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5.xml" ContentType="application/vnd.ms-excel.controlproperties+xml"/>
  <Override PartName="/xl/drawings/drawing24.xml" ContentType="application/vnd.openxmlformats-officedocument.drawing+xml"/>
  <Override PartName="/xl/ctrlProps/ctrlProp6.xml" ContentType="application/vnd.ms-excel.controlproperti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updateLinks="never" codeName="ThisWorkbook" defaultThemeVersion="124226"/>
  <mc:AlternateContent xmlns:mc="http://schemas.openxmlformats.org/markup-compatibility/2006">
    <mc:Choice Requires="x15">
      <x15ac:absPath xmlns:x15ac="http://schemas.microsoft.com/office/spreadsheetml/2010/11/ac" url="\\CWELL-FILE01\Data\Regulatory\CoS &amp; IRM\2021 IRM\Models\"/>
    </mc:Choice>
  </mc:AlternateContent>
  <xr:revisionPtr revIDLastSave="0" documentId="13_ncr:1_{9ADA06D5-FCF8-4792-BBFB-8AC4F06944B1}" xr6:coauthVersionLast="45" xr6:coauthVersionMax="45" xr10:uidLastSave="{00000000-0000-0000-0000-000000000000}"/>
  <workbookProtection workbookAlgorithmName="SHA-512" workbookHashValue="VpixZmtmxffPOGdPbj3HW9u+KlJI8syfFSegmVy71S70HsXTcGb2duRr7J/0A9BcYDTpMX/vGkKJkw2IMDGGGQ==" workbookSaltValue="94mSK4/eA1offKl1MIS3oA==" workbookSpinCount="100000" lockStructure="1"/>
  <bookViews>
    <workbookView xWindow="28680" yWindow="-120" windowWidth="29040" windowHeight="15840" tabRatio="858" activeTab="4" xr2:uid="{00000000-000D-0000-FFFF-FFFF00000000}"/>
  </bookViews>
  <sheets>
    <sheet name="Instructions" sheetId="102" r:id="rId1"/>
    <sheet name="1. Information Sheet" sheetId="1" r:id="rId2"/>
    <sheet name="Sheet1" sheetId="58" state="hidden" r:id="rId3"/>
    <sheet name="2. Current Tariff Schedule" sheetId="8" r:id="rId4"/>
    <sheet name="3. Continuity Schedule" sheetId="74" r:id="rId5"/>
    <sheet name="2016 List" sheetId="47" state="hidden" r:id="rId6"/>
    <sheet name="4. Billing Det. for Def-Var" sheetId="13" r:id="rId7"/>
    <sheet name="5. Allocating Def-Var Balances" sheetId="76" r:id="rId8"/>
    <sheet name="6. Class A Consumption Data" sheetId="84" state="hidden" r:id="rId9"/>
    <sheet name="6.1a GA Allocation" sheetId="89" state="hidden" r:id="rId10"/>
    <sheet name="6.1 GA" sheetId="78" state="hidden" r:id="rId11"/>
    <sheet name="6.2a CBR B_Allocation" sheetId="90" state="hidden" r:id="rId12"/>
    <sheet name="6.2 CBR B" sheetId="85" state="hidden" r:id="rId13"/>
    <sheet name="7. Calculation of Def-Var RR" sheetId="15" r:id="rId14"/>
    <sheet name="8. STS - Tax Change" sheetId="31" r:id="rId15"/>
    <sheet name="9. Shared Tax - Rate Rider" sheetId="30" r:id="rId16"/>
    <sheet name="10. RTSR Current Rates" sheetId="33" r:id="rId17"/>
    <sheet name="11. RTSR - UTRs &amp; Sub-Tx" sheetId="77" r:id="rId18"/>
    <sheet name="12. RTSR - Historical Wholesale" sheetId="36" r:id="rId19"/>
    <sheet name="13. RTSR - Current Wholesale" sheetId="37" r:id="rId20"/>
    <sheet name="14. RTSR - Forecast Wholesale" sheetId="38" r:id="rId21"/>
    <sheet name="15. RTSR Rates to Forecast" sheetId="39" r:id="rId22"/>
    <sheet name="16. Rev2Cost_GDPIPI" sheetId="17" r:id="rId23"/>
    <sheet name="17. Regulatory Charges" sheetId="73" r:id="rId24"/>
    <sheet name="18. Additional Rates" sheetId="18" r:id="rId25"/>
    <sheet name="Rate Rider Database" sheetId="100" state="hidden" r:id="rId26"/>
    <sheet name="19. Final Tariff Schedule" sheetId="23" r:id="rId27"/>
    <sheet name="20. Bill Impacts" sheetId="56" r:id="rId28"/>
    <sheet name="2 1 5 TotalConsumptionData_Dist" sheetId="64" state="hidden" r:id="rId29"/>
    <sheet name="212_Total_Connection_RollUp" sheetId="81" state="hidden" r:id="rId30"/>
    <sheet name="2.1.7 Filing" sheetId="80" state="hidden" r:id="rId31"/>
    <sheet name="20. HIDDEN" sheetId="62" state="hidden" r:id="rId32"/>
    <sheet name="20. Bill Impacts hidden" sheetId="57" state="hidden" r:id="rId33"/>
    <sheet name="Database" sheetId="48" state="hidden" r:id="rId34"/>
    <sheet name="lists" sheetId="7" state="hidden" r:id="rId35"/>
    <sheet name="Sheet2" sheetId="63" state="hidden" r:id="rId36"/>
    <sheet name="Sheet3" sheetId="82"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30" hidden="1">'2.1.7 Filing'!$A$4:$K$1507</definedName>
    <definedName name="_xlnm._FilterDatabase" localSheetId="5" hidden="1">'2016 List'!$AA:$AA</definedName>
    <definedName name="_xlnm._FilterDatabase" localSheetId="33" hidden="1">Database!$A$1:$W$15481</definedName>
    <definedName name="_xlnm._FilterDatabase" localSheetId="34" hidden="1">lists!$I$1:$I$123</definedName>
    <definedName name="_xlnm._FilterDatabase" localSheetId="35" hidden="1">Sheet2!#REF!</definedName>
    <definedName name="Alectra_SA">'2016 List'!$C$2:$C$6</definedName>
    <definedName name="BI_LDCLIST" localSheetId="31">'[1]3. Rate Class Selection'!$B$19:$B$21</definedName>
    <definedName name="BI_LDCLIST" localSheetId="4">#REF!</definedName>
    <definedName name="BI_LDCLIST" localSheetId="10">#REF!</definedName>
    <definedName name="BI_LDCLIST">#REF!</definedName>
    <definedName name="BI_SS" localSheetId="32">'20. Bill Impacts hidden'!$A$2:$L$52</definedName>
    <definedName name="BI_SS" localSheetId="31">'20. HIDDEN'!$A$2:$N$55</definedName>
    <definedName name="BridgeYear" localSheetId="31">'[2]LDC Info'!$E$26</definedName>
    <definedName name="BridgeYear">'[3]LDC Info'!$E$26</definedName>
    <definedName name="contactf" localSheetId="22">#REF!</definedName>
    <definedName name="contactf" localSheetId="24">#REF!</definedName>
    <definedName name="contactf" localSheetId="26">#REF!</definedName>
    <definedName name="contactf" localSheetId="27">#REF!</definedName>
    <definedName name="contactf" localSheetId="32">#REF!</definedName>
    <definedName name="contactf" localSheetId="31">#REF!</definedName>
    <definedName name="contactf" localSheetId="4">#REF!</definedName>
    <definedName name="contactf" localSheetId="10">#REF!</definedName>
    <definedName name="contactf" localSheetId="14">#REF!</definedName>
    <definedName name="contactf" localSheetId="15">#REF!</definedName>
    <definedName name="contactf">#REF!</definedName>
    <definedName name="COS_RES_CUSTOMERS" localSheetId="17">'[4]16. Rev2Cost_GDPIPI'!$F$12</definedName>
    <definedName name="COS_RES_CUSTOMERS" localSheetId="4">'[5]15. Rev2Cost_GDPIPI'!$F$12</definedName>
    <definedName name="COS_RES_CUSTOMERS" localSheetId="7">'[6]16. Rev2Cost_GDPIPI'!$F$12</definedName>
    <definedName name="COS_RES_CUSTOMERS" localSheetId="10">'[7]15. Rev2Cost_GDPIPI'!$F$12</definedName>
    <definedName name="COS_RES_CUSTOMERS">'16. Rev2Cost_GDPIPI'!$F$12</definedName>
    <definedName name="COS_RES_KWH" localSheetId="17">'[4]16. Rev2Cost_GDPIPI'!$F$13</definedName>
    <definedName name="COS_RES_KWH" localSheetId="4">'[5]15. Rev2Cost_GDPIPI'!$F$13</definedName>
    <definedName name="COS_RES_KWH" localSheetId="7">'[6]16. Rev2Cost_GDPIPI'!$F$13</definedName>
    <definedName name="COS_RES_KWH" localSheetId="10">'[7]15. Rev2Cost_GDPIPI'!$F$13</definedName>
    <definedName name="COS_RES_KWH">'16. Rev2Cost_GDPIPI'!$F$13</definedName>
    <definedName name="Cust3a">'6. Class A Consumption Data'!$C$25</definedName>
    <definedName name="Cust3b">'6. Class A Consumption Data'!$C$487</definedName>
    <definedName name="CustomerAdministration" localSheetId="31">[2]lists!$Z$1:$Z$36</definedName>
    <definedName name="CustomerAdministration" localSheetId="9">[8]lists!#REF!</definedName>
    <definedName name="CustomerAdministration" localSheetId="11">[8]lists!#REF!</definedName>
    <definedName name="CustomerAdministration">lists!#REF!</definedName>
    <definedName name="DRC" localSheetId="9">'[8]17. Regulatory Charges'!$D$29</definedName>
    <definedName name="DRC" localSheetId="11">'[8]17. Regulatory Charges'!$D$29</definedName>
    <definedName name="DRC">'17. Regulatory Charges'!$D$29</definedName>
    <definedName name="DRP">'17. Regulatory Charges'!$D$35</definedName>
    <definedName name="EBNUMBER" localSheetId="31">'[2]LDC Info'!$E$16</definedName>
    <definedName name="EBNUMBER">'[3]LDC Info'!$E$16</definedName>
    <definedName name="Elexicon_SA">'2016 List'!$C$12:$C$13</definedName>
    <definedName name="Energy_SA">'2016 List'!$C$17:$C$18</definedName>
    <definedName name="EnergyPlus_SA">'2016 List'!$C$17:$C$18</definedName>
    <definedName name="Entegrus_SA" localSheetId="4">'[5]2016 List'!$C$5:$C$8</definedName>
    <definedName name="Entegrus_SA" localSheetId="7">'[6]2016 List'!$C$5:$C$8</definedName>
    <definedName name="Entegrus_SA" localSheetId="10">'[7]2016 List'!$C$5:$C$8</definedName>
    <definedName name="Entegrus_SA" localSheetId="9">'[8]2016 List'!$C$6:$C$8</definedName>
    <definedName name="Entegrus_SA" localSheetId="11">'[8]2016 List'!$C$6:$C$8</definedName>
    <definedName name="Entegrus_SA">'2016 List'!$C$25:$C$26</definedName>
    <definedName name="ERTH_SA">'2016 List'!$C$9:$C$10</definedName>
    <definedName name="_xlnm.Extract" localSheetId="5">'2016 List'!$X$1</definedName>
    <definedName name="_xlnm.Extract" localSheetId="34">lists!#REF!</definedName>
    <definedName name="fed_sb">'8. STS - Tax Change'!#REF!</definedName>
    <definedName name="fedtax">'8. STS - Tax Change'!#REF!</definedName>
    <definedName name="fifteen" localSheetId="33">Database!#REF!</definedName>
    <definedName name="Fixed_Charges">lists!$I$1:$I$220</definedName>
    <definedName name="forecast_wholesale_lineplus" localSheetId="4">'[5]13. RTSR - Forecast Wholesale'!$P$113</definedName>
    <definedName name="forecast_wholesale_lineplus" localSheetId="10">'[7]13. RTSR - Forecast Wholesale'!$P$113</definedName>
    <definedName name="forecast_wholesale_lineplus" localSheetId="9">'[8]14. RTSR - Forecast Wholesale'!$P$113</definedName>
    <definedName name="forecast_wholesale_lineplus" localSheetId="11">'[8]14. RTSR - Forecast Wholesale'!$P$113</definedName>
    <definedName name="forecast_wholesale_lineplus">'14. RTSR - Forecast Wholesale'!$P$113</definedName>
    <definedName name="forecast_wholesale_network" localSheetId="4">'[5]13. RTSR - Forecast Wholesale'!$F$109</definedName>
    <definedName name="forecast_wholesale_network" localSheetId="10">'[7]13. RTSR - Forecast Wholesale'!$F$109</definedName>
    <definedName name="forecast_wholesale_network" localSheetId="9">'[8]14. RTSR - Forecast Wholesale'!$F$109</definedName>
    <definedName name="forecast_wholesale_network" localSheetId="11">'[8]14. RTSR - Forecast Wholesale'!$F$109</definedName>
    <definedName name="forecast_wholesale_network">'14. RTSR - Forecast Wholesale'!$F$109</definedName>
    <definedName name="G1LD" localSheetId="11">'[8]6. Class A Consumption Data'!$C$14</definedName>
    <definedName name="G1LD">'6. Class A Consumption Data'!$C$14</definedName>
    <definedName name="G1LDCBR" localSheetId="11">'6. Class A Consumption Data'!$C$17</definedName>
    <definedName name="G1LDCBR">'6. Class A Consumption Data'!$C$17</definedName>
    <definedName name="Group1Desposing" localSheetId="9">'[8]4. Billing Det. for Def-Var'!#REF!</definedName>
    <definedName name="Group1Desposing" localSheetId="11">'[8]4. Billing Det. for Def-Var'!#REF!</definedName>
    <definedName name="Group1Desposing">'4. Billing Det. for Def-Var'!#REF!</definedName>
    <definedName name="histdate">[9]Financials!$E$76</definedName>
    <definedName name="HydroOne_SA">'2016 List'!$C$21:$C$23</definedName>
    <definedName name="Incr2000" localSheetId="22">#REF!</definedName>
    <definedName name="Incr2000" localSheetId="24">#REF!</definedName>
    <definedName name="Incr2000" localSheetId="26">#REF!</definedName>
    <definedName name="Incr2000" localSheetId="27">#REF!</definedName>
    <definedName name="Incr2000" localSheetId="32">#REF!</definedName>
    <definedName name="Incr2000" localSheetId="31">#REF!</definedName>
    <definedName name="Incr2000" localSheetId="4">#REF!</definedName>
    <definedName name="Incr2000" localSheetId="10">#REF!</definedName>
    <definedName name="Incr2000" localSheetId="14">#REF!</definedName>
    <definedName name="Incr2000" localSheetId="15">#REF!</definedName>
    <definedName name="Incr2000">#REF!</definedName>
    <definedName name="Lakeland_SA" localSheetId="4">'[5]2016 List'!$C$10:$C$11</definedName>
    <definedName name="Lakeland_SA" localSheetId="7">'[6]2016 List'!$C$10:$C$11</definedName>
    <definedName name="Lakeland_SA" localSheetId="10">'[7]2016 List'!$C$10:$C$11</definedName>
    <definedName name="Lakeland_SA" localSheetId="9">'[8]2016 List'!$C$13:$C$14</definedName>
    <definedName name="Lakeland_SA" localSheetId="11">'[8]2016 List'!$C$13:$C$14</definedName>
    <definedName name="Lakeland_SA">'2016 List'!$C$15:$C$16</definedName>
    <definedName name="LDC_LIST" localSheetId="31">[10]lists!$AM$1:$AM$80</definedName>
    <definedName name="LDC_LIST">lists!$AA$1:$AA$88</definedName>
    <definedName name="LDCLIST" localSheetId="31">'[2]LDC Info'!$AA$3:$AA$99</definedName>
    <definedName name="LDCList" localSheetId="9">OFFSET('[8]2016 List'!$A$1,0,0,COUNTA('[8]2016 List'!$A:$A),1)</definedName>
    <definedName name="LDCList" localSheetId="11">OFFSET('[8]2016 List'!$A$1,0,0,COUNTA('[8]2016 List'!$A:$A),1)</definedName>
    <definedName name="LDCList">OFFSET('2016 List'!$A$1,0,0,COUNTA('2016 List'!$A:$A),1)</definedName>
    <definedName name="LDCNAME1">'1. Information Sheet'!$F$14</definedName>
    <definedName name="LDCNAMES">lists!$Z$1:$Z$78</definedName>
    <definedName name="LIMIT" localSheetId="22">#REF!</definedName>
    <definedName name="LIMIT" localSheetId="24">#REF!</definedName>
    <definedName name="LIMIT" localSheetId="26">#REF!</definedName>
    <definedName name="LIMIT" localSheetId="27">#REF!</definedName>
    <definedName name="LIMIT" localSheetId="32">#REF!</definedName>
    <definedName name="LIMIT" localSheetId="31">#REF!</definedName>
    <definedName name="LIMIT" localSheetId="4">#REF!</definedName>
    <definedName name="LIMIT" localSheetId="10">#REF!</definedName>
    <definedName name="LIMIT" localSheetId="14">#REF!</definedName>
    <definedName name="LIMIT" localSheetId="15">#REF!</definedName>
    <definedName name="LIMIT">#REF!</definedName>
    <definedName name="listdata" localSheetId="9">'[8]4. Billing Det. for Def-Var'!#REF!</definedName>
    <definedName name="listdata" localSheetId="11">'[8]4. Billing Det. for Def-Var'!#REF!</definedName>
    <definedName name="listdata">'4. Billing Det. for Def-Var'!#REF!</definedName>
    <definedName name="LossFactors" localSheetId="31">[2]lists!$L$2:$L$15</definedName>
    <definedName name="LossFactors" localSheetId="9">[8]lists!$L$2:$L$15</definedName>
    <definedName name="LossFactors" localSheetId="11">[8]lists!$L$2:$L$15</definedName>
    <definedName name="LossFactors">lists!$L$2:$L$15</definedName>
    <definedName name="man_beg_bud" localSheetId="22">#REF!</definedName>
    <definedName name="man_beg_bud" localSheetId="24">#REF!</definedName>
    <definedName name="man_beg_bud" localSheetId="26">#REF!</definedName>
    <definedName name="man_beg_bud" localSheetId="27">#REF!</definedName>
    <definedName name="man_beg_bud" localSheetId="32">#REF!</definedName>
    <definedName name="man_beg_bud" localSheetId="31">#REF!</definedName>
    <definedName name="man_beg_bud" localSheetId="4">#REF!</definedName>
    <definedName name="man_beg_bud" localSheetId="10">#REF!</definedName>
    <definedName name="man_beg_bud" localSheetId="14">#REF!</definedName>
    <definedName name="man_beg_bud" localSheetId="15">#REF!</definedName>
    <definedName name="man_beg_bud">#REF!</definedName>
    <definedName name="man_end_bud" localSheetId="22">#REF!</definedName>
    <definedName name="man_end_bud" localSheetId="24">#REF!</definedName>
    <definedName name="man_end_bud" localSheetId="26">#REF!</definedName>
    <definedName name="man_end_bud" localSheetId="27">#REF!</definedName>
    <definedName name="man_end_bud" localSheetId="32">#REF!</definedName>
    <definedName name="man_end_bud" localSheetId="31">#REF!</definedName>
    <definedName name="man_end_bud" localSheetId="4">#REF!</definedName>
    <definedName name="man_end_bud" localSheetId="10">#REF!</definedName>
    <definedName name="man_end_bud" localSheetId="14">#REF!</definedName>
    <definedName name="man_end_bud" localSheetId="15">#REF!</definedName>
    <definedName name="man_end_bud">#REF!</definedName>
    <definedName name="man12ACT" localSheetId="22">#REF!</definedName>
    <definedName name="man12ACT" localSheetId="24">#REF!</definedName>
    <definedName name="man12ACT" localSheetId="26">#REF!</definedName>
    <definedName name="man12ACT" localSheetId="27">#REF!</definedName>
    <definedName name="man12ACT" localSheetId="32">#REF!</definedName>
    <definedName name="man12ACT" localSheetId="31">#REF!</definedName>
    <definedName name="man12ACT" localSheetId="4">#REF!</definedName>
    <definedName name="man12ACT" localSheetId="10">#REF!</definedName>
    <definedName name="man12ACT" localSheetId="14">#REF!</definedName>
    <definedName name="man12ACT" localSheetId="15">#REF!</definedName>
    <definedName name="man12ACT">#REF!</definedName>
    <definedName name="MANBUD" localSheetId="22">#REF!</definedName>
    <definedName name="MANBUD" localSheetId="24">#REF!</definedName>
    <definedName name="MANBUD" localSheetId="26">#REF!</definedName>
    <definedName name="MANBUD" localSheetId="27">#REF!</definedName>
    <definedName name="MANBUD" localSheetId="32">#REF!</definedName>
    <definedName name="MANBUD" localSheetId="31">#REF!</definedName>
    <definedName name="MANBUD" localSheetId="4">#REF!</definedName>
    <definedName name="MANBUD" localSheetId="10">#REF!</definedName>
    <definedName name="MANBUD" localSheetId="14">#REF!</definedName>
    <definedName name="MANBUD" localSheetId="15">#REF!</definedName>
    <definedName name="MANBUD">#REF!</definedName>
    <definedName name="manCYACT" localSheetId="22">#REF!</definedName>
    <definedName name="manCYACT" localSheetId="24">#REF!</definedName>
    <definedName name="manCYACT" localSheetId="26">#REF!</definedName>
    <definedName name="manCYACT" localSheetId="27">#REF!</definedName>
    <definedName name="manCYACT" localSheetId="32">#REF!</definedName>
    <definedName name="manCYACT" localSheetId="31">#REF!</definedName>
    <definedName name="manCYACT" localSheetId="4">#REF!</definedName>
    <definedName name="manCYACT" localSheetId="10">#REF!</definedName>
    <definedName name="manCYACT" localSheetId="14">#REF!</definedName>
    <definedName name="manCYACT" localSheetId="15">#REF!</definedName>
    <definedName name="manCYACT">#REF!</definedName>
    <definedName name="manCYBUD" localSheetId="22">#REF!</definedName>
    <definedName name="manCYBUD" localSheetId="24">#REF!</definedName>
    <definedName name="manCYBUD" localSheetId="26">#REF!</definedName>
    <definedName name="manCYBUD" localSheetId="27">#REF!</definedName>
    <definedName name="manCYBUD" localSheetId="32">#REF!</definedName>
    <definedName name="manCYBUD" localSheetId="31">#REF!</definedName>
    <definedName name="manCYBUD" localSheetId="4">#REF!</definedName>
    <definedName name="manCYBUD" localSheetId="10">#REF!</definedName>
    <definedName name="manCYBUD" localSheetId="14">#REF!</definedName>
    <definedName name="manCYBUD" localSheetId="15">#REF!</definedName>
    <definedName name="manCYBUD">#REF!</definedName>
    <definedName name="manCYF" localSheetId="22">#REF!</definedName>
    <definedName name="manCYF" localSheetId="24">#REF!</definedName>
    <definedName name="manCYF" localSheetId="26">#REF!</definedName>
    <definedName name="manCYF" localSheetId="27">#REF!</definedName>
    <definedName name="manCYF" localSheetId="32">#REF!</definedName>
    <definedName name="manCYF" localSheetId="31">#REF!</definedName>
    <definedName name="manCYF" localSheetId="4">#REF!</definedName>
    <definedName name="manCYF" localSheetId="10">#REF!</definedName>
    <definedName name="manCYF" localSheetId="14">#REF!</definedName>
    <definedName name="manCYF" localSheetId="15">#REF!</definedName>
    <definedName name="manCYF">#REF!</definedName>
    <definedName name="MANEND" localSheetId="22">#REF!</definedName>
    <definedName name="MANEND" localSheetId="24">#REF!</definedName>
    <definedName name="MANEND" localSheetId="26">#REF!</definedName>
    <definedName name="MANEND" localSheetId="27">#REF!</definedName>
    <definedName name="MANEND" localSheetId="32">#REF!</definedName>
    <definedName name="MANEND" localSheetId="31">#REF!</definedName>
    <definedName name="MANEND" localSheetId="4">#REF!</definedName>
    <definedName name="MANEND" localSheetId="10">#REF!</definedName>
    <definedName name="MANEND" localSheetId="14">#REF!</definedName>
    <definedName name="MANEND" localSheetId="15">#REF!</definedName>
    <definedName name="MANEND">#REF!</definedName>
    <definedName name="manNYbud" localSheetId="22">#REF!</definedName>
    <definedName name="manNYbud" localSheetId="24">#REF!</definedName>
    <definedName name="manNYbud" localSheetId="26">#REF!</definedName>
    <definedName name="manNYbud" localSheetId="27">#REF!</definedName>
    <definedName name="manNYbud" localSheetId="32">#REF!</definedName>
    <definedName name="manNYbud" localSheetId="31">#REF!</definedName>
    <definedName name="manNYbud" localSheetId="4">#REF!</definedName>
    <definedName name="manNYbud" localSheetId="10">#REF!</definedName>
    <definedName name="manNYbud" localSheetId="14">#REF!</definedName>
    <definedName name="manNYbud" localSheetId="15">#REF!</definedName>
    <definedName name="manNYbud">#REF!</definedName>
    <definedName name="manpower_costs" localSheetId="22">#REF!</definedName>
    <definedName name="manpower_costs" localSheetId="24">#REF!</definedName>
    <definedName name="manpower_costs" localSheetId="26">#REF!</definedName>
    <definedName name="manpower_costs" localSheetId="27">#REF!</definedName>
    <definedName name="manpower_costs" localSheetId="32">#REF!</definedName>
    <definedName name="manpower_costs" localSheetId="31">#REF!</definedName>
    <definedName name="manpower_costs" localSheetId="4">#REF!</definedName>
    <definedName name="manpower_costs" localSheetId="10">#REF!</definedName>
    <definedName name="manpower_costs" localSheetId="14">#REF!</definedName>
    <definedName name="manpower_costs" localSheetId="15">#REF!</definedName>
    <definedName name="manpower_costs">#REF!</definedName>
    <definedName name="manPYACT" localSheetId="22">#REF!</definedName>
    <definedName name="manPYACT" localSheetId="24">#REF!</definedName>
    <definedName name="manPYACT" localSheetId="26">#REF!</definedName>
    <definedName name="manPYACT" localSheetId="27">#REF!</definedName>
    <definedName name="manPYACT" localSheetId="32">#REF!</definedName>
    <definedName name="manPYACT" localSheetId="31">#REF!</definedName>
    <definedName name="manPYACT" localSheetId="4">#REF!</definedName>
    <definedName name="manPYACT" localSheetId="10">#REF!</definedName>
    <definedName name="manPYACT" localSheetId="14">#REF!</definedName>
    <definedName name="manPYACT" localSheetId="15">#REF!</definedName>
    <definedName name="manPYACT">#REF!</definedName>
    <definedName name="MANSTART" localSheetId="22">#REF!</definedName>
    <definedName name="MANSTART" localSheetId="24">#REF!</definedName>
    <definedName name="MANSTART" localSheetId="26">#REF!</definedName>
    <definedName name="MANSTART" localSheetId="27">#REF!</definedName>
    <definedName name="MANSTART" localSheetId="32">#REF!</definedName>
    <definedName name="MANSTART" localSheetId="31">#REF!</definedName>
    <definedName name="MANSTART" localSheetId="4">#REF!</definedName>
    <definedName name="MANSTART" localSheetId="10">#REF!</definedName>
    <definedName name="MANSTART" localSheetId="14">#REF!</definedName>
    <definedName name="MANSTART" localSheetId="15">#REF!</definedName>
    <definedName name="MANSTART">#REF!</definedName>
    <definedName name="mat_beg_bud" localSheetId="22">#REF!</definedName>
    <definedName name="mat_beg_bud" localSheetId="24">#REF!</definedName>
    <definedName name="mat_beg_bud" localSheetId="26">#REF!</definedName>
    <definedName name="mat_beg_bud" localSheetId="27">#REF!</definedName>
    <definedName name="mat_beg_bud" localSheetId="32">#REF!</definedName>
    <definedName name="mat_beg_bud" localSheetId="31">#REF!</definedName>
    <definedName name="mat_beg_bud" localSheetId="4">#REF!</definedName>
    <definedName name="mat_beg_bud" localSheetId="10">#REF!</definedName>
    <definedName name="mat_beg_bud" localSheetId="14">#REF!</definedName>
    <definedName name="mat_beg_bud" localSheetId="15">#REF!</definedName>
    <definedName name="mat_beg_bud">#REF!</definedName>
    <definedName name="mat_end_bud" localSheetId="22">#REF!</definedName>
    <definedName name="mat_end_bud" localSheetId="24">#REF!</definedName>
    <definedName name="mat_end_bud" localSheetId="26">#REF!</definedName>
    <definedName name="mat_end_bud" localSheetId="27">#REF!</definedName>
    <definedName name="mat_end_bud" localSheetId="32">#REF!</definedName>
    <definedName name="mat_end_bud" localSheetId="31">#REF!</definedName>
    <definedName name="mat_end_bud" localSheetId="4">#REF!</definedName>
    <definedName name="mat_end_bud" localSheetId="10">#REF!</definedName>
    <definedName name="mat_end_bud" localSheetId="14">#REF!</definedName>
    <definedName name="mat_end_bud" localSheetId="15">#REF!</definedName>
    <definedName name="mat_end_bud">#REF!</definedName>
    <definedName name="mat12ACT" localSheetId="22">#REF!</definedName>
    <definedName name="mat12ACT" localSheetId="24">#REF!</definedName>
    <definedName name="mat12ACT" localSheetId="26">#REF!</definedName>
    <definedName name="mat12ACT" localSheetId="27">#REF!</definedName>
    <definedName name="mat12ACT" localSheetId="32">#REF!</definedName>
    <definedName name="mat12ACT" localSheetId="31">#REF!</definedName>
    <definedName name="mat12ACT" localSheetId="4">#REF!</definedName>
    <definedName name="mat12ACT" localSheetId="10">#REF!</definedName>
    <definedName name="mat12ACT" localSheetId="14">#REF!</definedName>
    <definedName name="mat12ACT" localSheetId="15">#REF!</definedName>
    <definedName name="mat12ACT">#REF!</definedName>
    <definedName name="MATBUD" localSheetId="22">#REF!</definedName>
    <definedName name="MATBUD" localSheetId="24">#REF!</definedName>
    <definedName name="MATBUD" localSheetId="26">#REF!</definedName>
    <definedName name="MATBUD" localSheetId="27">#REF!</definedName>
    <definedName name="MATBUD" localSheetId="32">#REF!</definedName>
    <definedName name="MATBUD" localSheetId="31">#REF!</definedName>
    <definedName name="MATBUD" localSheetId="4">#REF!</definedName>
    <definedName name="MATBUD" localSheetId="10">#REF!</definedName>
    <definedName name="MATBUD" localSheetId="14">#REF!</definedName>
    <definedName name="MATBUD" localSheetId="15">#REF!</definedName>
    <definedName name="MATBUD">#REF!</definedName>
    <definedName name="matCYACT" localSheetId="22">#REF!</definedName>
    <definedName name="matCYACT" localSheetId="24">#REF!</definedName>
    <definedName name="matCYACT" localSheetId="26">#REF!</definedName>
    <definedName name="matCYACT" localSheetId="27">#REF!</definedName>
    <definedName name="matCYACT" localSheetId="32">#REF!</definedName>
    <definedName name="matCYACT" localSheetId="31">#REF!</definedName>
    <definedName name="matCYACT" localSheetId="4">#REF!</definedName>
    <definedName name="matCYACT" localSheetId="10">#REF!</definedName>
    <definedName name="matCYACT" localSheetId="14">#REF!</definedName>
    <definedName name="matCYACT" localSheetId="15">#REF!</definedName>
    <definedName name="matCYACT">#REF!</definedName>
    <definedName name="matCYBUD" localSheetId="22">#REF!</definedName>
    <definedName name="matCYBUD" localSheetId="24">#REF!</definedName>
    <definedName name="matCYBUD" localSheetId="26">#REF!</definedName>
    <definedName name="matCYBUD" localSheetId="27">#REF!</definedName>
    <definedName name="matCYBUD" localSheetId="32">#REF!</definedName>
    <definedName name="matCYBUD" localSheetId="31">#REF!</definedName>
    <definedName name="matCYBUD" localSheetId="4">#REF!</definedName>
    <definedName name="matCYBUD" localSheetId="10">#REF!</definedName>
    <definedName name="matCYBUD" localSheetId="14">#REF!</definedName>
    <definedName name="matCYBUD" localSheetId="15">#REF!</definedName>
    <definedName name="matCYBUD">#REF!</definedName>
    <definedName name="matCYF" localSheetId="22">#REF!</definedName>
    <definedName name="matCYF" localSheetId="24">#REF!</definedName>
    <definedName name="matCYF" localSheetId="26">#REF!</definedName>
    <definedName name="matCYF" localSheetId="27">#REF!</definedName>
    <definedName name="matCYF" localSheetId="32">#REF!</definedName>
    <definedName name="matCYF" localSheetId="31">#REF!</definedName>
    <definedName name="matCYF" localSheetId="4">#REF!</definedName>
    <definedName name="matCYF" localSheetId="10">#REF!</definedName>
    <definedName name="matCYF" localSheetId="14">#REF!</definedName>
    <definedName name="matCYF" localSheetId="15">#REF!</definedName>
    <definedName name="matCYF">#REF!</definedName>
    <definedName name="MATEND" localSheetId="22">#REF!</definedName>
    <definedName name="MATEND" localSheetId="24">#REF!</definedName>
    <definedName name="MATEND" localSheetId="26">#REF!</definedName>
    <definedName name="MATEND" localSheetId="27">#REF!</definedName>
    <definedName name="MATEND" localSheetId="32">#REF!</definedName>
    <definedName name="MATEND" localSheetId="31">#REF!</definedName>
    <definedName name="MATEND" localSheetId="4">#REF!</definedName>
    <definedName name="MATEND" localSheetId="10">#REF!</definedName>
    <definedName name="MATEND" localSheetId="14">#REF!</definedName>
    <definedName name="MATEND" localSheetId="15">#REF!</definedName>
    <definedName name="MATEND">#REF!</definedName>
    <definedName name="material_costs" localSheetId="22">#REF!</definedName>
    <definedName name="material_costs" localSheetId="24">#REF!</definedName>
    <definedName name="material_costs" localSheetId="26">#REF!</definedName>
    <definedName name="material_costs" localSheetId="27">#REF!</definedName>
    <definedName name="material_costs" localSheetId="32">#REF!</definedName>
    <definedName name="material_costs" localSheetId="31">#REF!</definedName>
    <definedName name="material_costs" localSheetId="4">#REF!</definedName>
    <definedName name="material_costs" localSheetId="10">#REF!</definedName>
    <definedName name="material_costs" localSheetId="14">#REF!</definedName>
    <definedName name="material_costs" localSheetId="15">#REF!</definedName>
    <definedName name="material_costs">#REF!</definedName>
    <definedName name="matNYbud" localSheetId="22">#REF!</definedName>
    <definedName name="matNYbud" localSheetId="24">#REF!</definedName>
    <definedName name="matNYbud" localSheetId="26">#REF!</definedName>
    <definedName name="matNYbud" localSheetId="27">#REF!</definedName>
    <definedName name="matNYbud" localSheetId="32">#REF!</definedName>
    <definedName name="matNYbud" localSheetId="31">#REF!</definedName>
    <definedName name="matNYbud" localSheetId="4">#REF!</definedName>
    <definedName name="matNYbud" localSheetId="10">#REF!</definedName>
    <definedName name="matNYbud" localSheetId="14">#REF!</definedName>
    <definedName name="matNYbud" localSheetId="15">#REF!</definedName>
    <definedName name="matNYbud">#REF!</definedName>
    <definedName name="matPYACT" localSheetId="22">#REF!</definedName>
    <definedName name="matPYACT" localSheetId="24">#REF!</definedName>
    <definedName name="matPYACT" localSheetId="26">#REF!</definedName>
    <definedName name="matPYACT" localSheetId="27">#REF!</definedName>
    <definedName name="matPYACT" localSheetId="32">#REF!</definedName>
    <definedName name="matPYACT" localSheetId="31">#REF!</definedName>
    <definedName name="matPYACT" localSheetId="4">#REF!</definedName>
    <definedName name="matPYACT" localSheetId="10">#REF!</definedName>
    <definedName name="matPYACT" localSheetId="14">#REF!</definedName>
    <definedName name="matPYACT" localSheetId="15">#REF!</definedName>
    <definedName name="matPYACT">#REF!</definedName>
    <definedName name="MATSTART" localSheetId="22">#REF!</definedName>
    <definedName name="MATSTART" localSheetId="24">#REF!</definedName>
    <definedName name="MATSTART" localSheetId="26">#REF!</definedName>
    <definedName name="MATSTART" localSheetId="27">#REF!</definedName>
    <definedName name="MATSTART" localSheetId="32">#REF!</definedName>
    <definedName name="MATSTART" localSheetId="31">#REF!</definedName>
    <definedName name="MATSTART" localSheetId="4">#REF!</definedName>
    <definedName name="MATSTART" localSheetId="10">#REF!</definedName>
    <definedName name="MATSTART" localSheetId="14">#REF!</definedName>
    <definedName name="MATSTART" localSheetId="15">#REF!</definedName>
    <definedName name="MATSTART">#REF!</definedName>
    <definedName name="maxtax">'8. STS - Tax Change'!#REF!</definedName>
    <definedName name="MidPeak" localSheetId="9">'[8]17. Regulatory Charges'!$D$24</definedName>
    <definedName name="MidPeak" localSheetId="11">'[8]17. Regulatory Charges'!$D$24</definedName>
    <definedName name="MidPeak">'17. Regulatory Charges'!$D$24</definedName>
    <definedName name="Newmarket_SA">'2016 List'!$C$28:$C$29</definedName>
    <definedName name="NonPayment" localSheetId="31">[2]lists!$AA$1:$AA$71</definedName>
    <definedName name="NonPayment" localSheetId="9">[8]lists!$O$1:$O$71</definedName>
    <definedName name="NonPayment" localSheetId="11">[8]lists!$O$1:$O$71</definedName>
    <definedName name="NonPayment">lists!$O$1:$O$71</definedName>
    <definedName name="OffPeak" localSheetId="9">'[8]17. Regulatory Charges'!$D$23</definedName>
    <definedName name="OffPeak" localSheetId="11">'[8]17. Regulatory Charges'!$D$23</definedName>
    <definedName name="OffPeak">'17. Regulatory Charges'!$D$23</definedName>
    <definedName name="OnPeak" localSheetId="9">'[8]17. Regulatory Charges'!$D$25</definedName>
    <definedName name="OnPeak" localSheetId="11">'[8]17. Regulatory Charges'!$D$25</definedName>
    <definedName name="OnPeak">'17. Regulatory Charges'!$D$25</definedName>
    <definedName name="ontario_sb">'8. STS - Tax Change'!#REF!</definedName>
    <definedName name="ontariotax">'8. STS - Tax Change'!#REF!</definedName>
    <definedName name="oth_beg_bud" localSheetId="22">#REF!</definedName>
    <definedName name="oth_beg_bud" localSheetId="24">#REF!</definedName>
    <definedName name="oth_beg_bud" localSheetId="26">#REF!</definedName>
    <definedName name="oth_beg_bud" localSheetId="27">#REF!</definedName>
    <definedName name="oth_beg_bud" localSheetId="32">#REF!</definedName>
    <definedName name="oth_beg_bud" localSheetId="31">#REF!</definedName>
    <definedName name="oth_beg_bud" localSheetId="4">#REF!</definedName>
    <definedName name="oth_beg_bud" localSheetId="10">#REF!</definedName>
    <definedName name="oth_beg_bud" localSheetId="14">#REF!</definedName>
    <definedName name="oth_beg_bud" localSheetId="15">#REF!</definedName>
    <definedName name="oth_beg_bud">#REF!</definedName>
    <definedName name="oth_end_bud" localSheetId="22">#REF!</definedName>
    <definedName name="oth_end_bud" localSheetId="24">#REF!</definedName>
    <definedName name="oth_end_bud" localSheetId="26">#REF!</definedName>
    <definedName name="oth_end_bud" localSheetId="27">#REF!</definedName>
    <definedName name="oth_end_bud" localSheetId="32">#REF!</definedName>
    <definedName name="oth_end_bud" localSheetId="31">#REF!</definedName>
    <definedName name="oth_end_bud" localSheetId="4">#REF!</definedName>
    <definedName name="oth_end_bud" localSheetId="10">#REF!</definedName>
    <definedName name="oth_end_bud" localSheetId="14">#REF!</definedName>
    <definedName name="oth_end_bud" localSheetId="15">#REF!</definedName>
    <definedName name="oth_end_bud">#REF!</definedName>
    <definedName name="oth12ACT" localSheetId="22">#REF!</definedName>
    <definedName name="oth12ACT" localSheetId="24">#REF!</definedName>
    <definedName name="oth12ACT" localSheetId="26">#REF!</definedName>
    <definedName name="oth12ACT" localSheetId="27">#REF!</definedName>
    <definedName name="oth12ACT" localSheetId="32">#REF!</definedName>
    <definedName name="oth12ACT" localSheetId="31">#REF!</definedName>
    <definedName name="oth12ACT" localSheetId="4">#REF!</definedName>
    <definedName name="oth12ACT" localSheetId="10">#REF!</definedName>
    <definedName name="oth12ACT" localSheetId="14">#REF!</definedName>
    <definedName name="oth12ACT" localSheetId="15">#REF!</definedName>
    <definedName name="oth12ACT">#REF!</definedName>
    <definedName name="othCYACT" localSheetId="22">#REF!</definedName>
    <definedName name="othCYACT" localSheetId="24">#REF!</definedName>
    <definedName name="othCYACT" localSheetId="26">#REF!</definedName>
    <definedName name="othCYACT" localSheetId="27">#REF!</definedName>
    <definedName name="othCYACT" localSheetId="32">#REF!</definedName>
    <definedName name="othCYACT" localSheetId="31">#REF!</definedName>
    <definedName name="othCYACT" localSheetId="4">#REF!</definedName>
    <definedName name="othCYACT" localSheetId="10">#REF!</definedName>
    <definedName name="othCYACT" localSheetId="14">#REF!</definedName>
    <definedName name="othCYACT" localSheetId="15">#REF!</definedName>
    <definedName name="othCYACT">#REF!</definedName>
    <definedName name="othCYBUD" localSheetId="22">#REF!</definedName>
    <definedName name="othCYBUD" localSheetId="24">#REF!</definedName>
    <definedName name="othCYBUD" localSheetId="26">#REF!</definedName>
    <definedName name="othCYBUD" localSheetId="27">#REF!</definedName>
    <definedName name="othCYBUD" localSheetId="32">#REF!</definedName>
    <definedName name="othCYBUD" localSheetId="31">#REF!</definedName>
    <definedName name="othCYBUD" localSheetId="4">#REF!</definedName>
    <definedName name="othCYBUD" localSheetId="10">#REF!</definedName>
    <definedName name="othCYBUD" localSheetId="14">#REF!</definedName>
    <definedName name="othCYBUD" localSheetId="15">#REF!</definedName>
    <definedName name="othCYBUD">#REF!</definedName>
    <definedName name="othCYF" localSheetId="22">#REF!</definedName>
    <definedName name="othCYF" localSheetId="24">#REF!</definedName>
    <definedName name="othCYF" localSheetId="26">#REF!</definedName>
    <definedName name="othCYF" localSheetId="27">#REF!</definedName>
    <definedName name="othCYF" localSheetId="32">#REF!</definedName>
    <definedName name="othCYF" localSheetId="31">#REF!</definedName>
    <definedName name="othCYF" localSheetId="4">#REF!</definedName>
    <definedName name="othCYF" localSheetId="10">#REF!</definedName>
    <definedName name="othCYF" localSheetId="14">#REF!</definedName>
    <definedName name="othCYF" localSheetId="15">#REF!</definedName>
    <definedName name="othCYF">#REF!</definedName>
    <definedName name="OTHEND" localSheetId="22">#REF!</definedName>
    <definedName name="OTHEND" localSheetId="24">#REF!</definedName>
    <definedName name="OTHEND" localSheetId="26">#REF!</definedName>
    <definedName name="OTHEND" localSheetId="27">#REF!</definedName>
    <definedName name="OTHEND" localSheetId="32">#REF!</definedName>
    <definedName name="OTHEND" localSheetId="31">#REF!</definedName>
    <definedName name="OTHEND" localSheetId="4">#REF!</definedName>
    <definedName name="OTHEND" localSheetId="10">#REF!</definedName>
    <definedName name="OTHEND" localSheetId="14">#REF!</definedName>
    <definedName name="OTHEND" localSheetId="15">#REF!</definedName>
    <definedName name="OTHEND">#REF!</definedName>
    <definedName name="other_costs" localSheetId="22">#REF!</definedName>
    <definedName name="other_costs" localSheetId="24">#REF!</definedName>
    <definedName name="other_costs" localSheetId="26">#REF!</definedName>
    <definedName name="other_costs" localSheetId="27">#REF!</definedName>
    <definedName name="other_costs" localSheetId="32">#REF!</definedName>
    <definedName name="other_costs" localSheetId="31">#REF!</definedName>
    <definedName name="other_costs" localSheetId="4">#REF!</definedName>
    <definedName name="other_costs" localSheetId="10">#REF!</definedName>
    <definedName name="other_costs" localSheetId="14">#REF!</definedName>
    <definedName name="other_costs" localSheetId="15">#REF!</definedName>
    <definedName name="other_costs">#REF!</definedName>
    <definedName name="OTHERBUD" localSheetId="22">#REF!</definedName>
    <definedName name="OTHERBUD" localSheetId="24">#REF!</definedName>
    <definedName name="OTHERBUD" localSheetId="26">#REF!</definedName>
    <definedName name="OTHERBUD" localSheetId="27">#REF!</definedName>
    <definedName name="OTHERBUD" localSheetId="32">#REF!</definedName>
    <definedName name="OTHERBUD" localSheetId="31">#REF!</definedName>
    <definedName name="OTHERBUD" localSheetId="4">#REF!</definedName>
    <definedName name="OTHERBUD" localSheetId="10">#REF!</definedName>
    <definedName name="OTHERBUD" localSheetId="14">#REF!</definedName>
    <definedName name="OTHERBUD" localSheetId="15">#REF!</definedName>
    <definedName name="OTHERBUD">#REF!</definedName>
    <definedName name="othNYbud" localSheetId="22">#REF!</definedName>
    <definedName name="othNYbud" localSheetId="24">#REF!</definedName>
    <definedName name="othNYbud" localSheetId="26">#REF!</definedName>
    <definedName name="othNYbud" localSheetId="27">#REF!</definedName>
    <definedName name="othNYbud" localSheetId="32">#REF!</definedName>
    <definedName name="othNYbud" localSheetId="31">#REF!</definedName>
    <definedName name="othNYbud" localSheetId="4">#REF!</definedName>
    <definedName name="othNYbud" localSheetId="10">#REF!</definedName>
    <definedName name="othNYbud" localSheetId="14">#REF!</definedName>
    <definedName name="othNYbud" localSheetId="15">#REF!</definedName>
    <definedName name="othNYbud">#REF!</definedName>
    <definedName name="othPYACT" localSheetId="22">#REF!</definedName>
    <definedName name="othPYACT" localSheetId="24">#REF!</definedName>
    <definedName name="othPYACT" localSheetId="26">#REF!</definedName>
    <definedName name="othPYACT" localSheetId="27">#REF!</definedName>
    <definedName name="othPYACT" localSheetId="32">#REF!</definedName>
    <definedName name="othPYACT" localSheetId="31">#REF!</definedName>
    <definedName name="othPYACT" localSheetId="4">#REF!</definedName>
    <definedName name="othPYACT" localSheetId="10">#REF!</definedName>
    <definedName name="othPYACT" localSheetId="14">#REF!</definedName>
    <definedName name="othPYACT" localSheetId="15">#REF!</definedName>
    <definedName name="othPYACT">#REF!</definedName>
    <definedName name="OTHSTART" localSheetId="22">#REF!</definedName>
    <definedName name="OTHSTART" localSheetId="24">#REF!</definedName>
    <definedName name="OTHSTART" localSheetId="26">#REF!</definedName>
    <definedName name="OTHSTART" localSheetId="27">#REF!</definedName>
    <definedName name="OTHSTART" localSheetId="32">#REF!</definedName>
    <definedName name="OTHSTART" localSheetId="31">#REF!</definedName>
    <definedName name="OTHSTART" localSheetId="4">#REF!</definedName>
    <definedName name="OTHSTART" localSheetId="10">#REF!</definedName>
    <definedName name="OTHSTART" localSheetId="14">#REF!</definedName>
    <definedName name="OTHSTART" localSheetId="15">#REF!</definedName>
    <definedName name="OTHSTART">#REF!</definedName>
    <definedName name="passwordlist">'2016 List'!$A$1:$B$70</definedName>
    <definedName name="_xlnm.Print_Area" localSheetId="1">'1. Information Sheet'!$A$1:$X$68</definedName>
    <definedName name="_xlnm.Print_Area" localSheetId="18">'12. RTSR - Historical Wholesale'!$A$1:$P$112</definedName>
    <definedName name="_xlnm.Print_Area" localSheetId="19">'13. RTSR - Current Wholesale'!$A$1:$P$113</definedName>
    <definedName name="_xlnm.Print_Area" localSheetId="20">'14. RTSR - Forecast Wholesale'!$A$1:$P$114</definedName>
    <definedName name="_xlnm.Print_Area" localSheetId="22">'16. Rev2Cost_GDPIPI'!$A$1:$J$16</definedName>
    <definedName name="_xlnm.Print_Area" localSheetId="23">'17. Regulatory Charges'!$A$1:$I$58</definedName>
    <definedName name="_xlnm.Print_Area" localSheetId="24">'18. Additional Rates'!$A$1:$G$16</definedName>
    <definedName name="_xlnm.Print_Area" localSheetId="26">'19. Final Tariff Schedule'!$B$1:$E$316</definedName>
    <definedName name="_xlnm.Print_Area" localSheetId="3">'2. Current Tariff Schedule'!$B$12:$E$339</definedName>
    <definedName name="_xlnm.Print_Area" localSheetId="27">'20. Bill Impacts'!$C$1:$O$818</definedName>
    <definedName name="_xlnm.Print_Area" localSheetId="32">'20. Bill Impacts hidden'!#REF!</definedName>
    <definedName name="_xlnm.Print_Area" localSheetId="31">'20. HIDDEN'!#REF!</definedName>
    <definedName name="_xlnm.Print_Area" localSheetId="4">'3. Continuity Schedule'!$A$1:$CA$55</definedName>
    <definedName name="_xlnm.Print_Area" localSheetId="6">'4. Billing Det. for Def-Var'!$A$1:$X$37</definedName>
    <definedName name="_xlnm.Print_Area" localSheetId="7">'5. Allocating Def-Var Balances'!$A$1:$W$16</definedName>
    <definedName name="_xlnm.Print_Area" localSheetId="13">'7. Calculation of Def-Var RR'!$A$1:$N$16</definedName>
    <definedName name="print_end" localSheetId="22">#REF!</definedName>
    <definedName name="print_end" localSheetId="24">#REF!</definedName>
    <definedName name="print_end" localSheetId="26">#REF!</definedName>
    <definedName name="print_end" localSheetId="27">#REF!</definedName>
    <definedName name="print_end" localSheetId="32">#REF!</definedName>
    <definedName name="print_end" localSheetId="31">#REF!</definedName>
    <definedName name="print_end" localSheetId="4">#REF!</definedName>
    <definedName name="print_end" localSheetId="10">#REF!</definedName>
    <definedName name="print_end" localSheetId="14">#REF!</definedName>
    <definedName name="print_end" localSheetId="15">#REF!</definedName>
    <definedName name="print_end">#REF!</definedName>
    <definedName name="_xlnm.Print_Titles" localSheetId="18">'12. RTSR - Historical Wholesale'!$1:$15</definedName>
    <definedName name="_xlnm.Print_Titles" localSheetId="19">'13. RTSR - Current Wholesale'!$1:$15</definedName>
    <definedName name="_xlnm.Print_Titles" localSheetId="20">'14. RTSR - Forecast Wholesale'!$1:$15</definedName>
    <definedName name="_xlnm.Print_Titles" localSheetId="24">'18. Additional Rates'!$1:$8</definedName>
    <definedName name="_xlnm.Print_Titles" localSheetId="26">'19. Final Tariff Schedule'!$1:$6</definedName>
    <definedName name="_xlnm.Print_Titles" localSheetId="3">'2. Current Tariff Schedule'!$1:$6</definedName>
    <definedName name="Rate_Class">lists!$A$1:$A$104</definedName>
    <definedName name="RATE_CLASSES" localSheetId="4">[11]lists!$A$1:$A$104</definedName>
    <definedName name="RATE_CLASSES" localSheetId="10">[12]lists!$A$1:$A$104</definedName>
    <definedName name="RATE_CLASSES" localSheetId="9">[13]lists!$A$1:$A$104</definedName>
    <definedName name="RATE_CLASSES" localSheetId="11">[13]lists!$A$1:$A$104</definedName>
    <definedName name="RATE_CLASSES">[2]lists!$A$1:$A$104</definedName>
    <definedName name="ratebase" localSheetId="17">'[4]8. STS - Tax Change'!$N$19</definedName>
    <definedName name="ratebase" localSheetId="4">'[5]7. STS - Tax Change'!$N$19</definedName>
    <definedName name="ratebase" localSheetId="7">'[6]8. STS - Tax Change'!$N$19</definedName>
    <definedName name="ratebase" localSheetId="10">'[7]7. STS - Tax Change'!$N$19</definedName>
    <definedName name="ratebase" localSheetId="9">'[8]8. STS - Tax Change'!$N$19</definedName>
    <definedName name="ratebase" localSheetId="11">'[8]8. STS - Tax Change'!$N$19</definedName>
    <definedName name="ratebase">'8. STS - Tax Change'!#REF!</definedName>
    <definedName name="ratedescription" localSheetId="31">[14]hidden1!$D$1:$D$122</definedName>
    <definedName name="ratedescription">[15]hidden1!$D$1:$D$122</definedName>
    <definedName name="RateRiderName">OFFSET('Rate Rider Database'!$C$1,1,0,COUNTA('Rate Rider Database'!$C:$C)-1,1)</definedName>
    <definedName name="RebaseYear" localSheetId="31">'[2]LDC Info'!$E$28</definedName>
    <definedName name="RebaseYear">'[3]LDC Info'!$E$28</definedName>
    <definedName name="SALBENF" localSheetId="22">#REF!</definedName>
    <definedName name="SALBENF" localSheetId="24">#REF!</definedName>
    <definedName name="SALBENF" localSheetId="26">#REF!</definedName>
    <definedName name="SALBENF" localSheetId="27">#REF!</definedName>
    <definedName name="SALBENF" localSheetId="32">#REF!</definedName>
    <definedName name="SALBENF" localSheetId="31">#REF!</definedName>
    <definedName name="SALBENF" localSheetId="4">#REF!</definedName>
    <definedName name="SALBENF" localSheetId="10">#REF!</definedName>
    <definedName name="SALBENF" localSheetId="14">#REF!</definedName>
    <definedName name="SALBENF" localSheetId="15">#REF!</definedName>
    <definedName name="SALBENF">#REF!</definedName>
    <definedName name="salreg" localSheetId="22">#REF!</definedName>
    <definedName name="salreg" localSheetId="24">#REF!</definedName>
    <definedName name="salreg" localSheetId="26">#REF!</definedName>
    <definedName name="salreg" localSheetId="27">#REF!</definedName>
    <definedName name="salreg" localSheetId="32">#REF!</definedName>
    <definedName name="salreg" localSheetId="31">#REF!</definedName>
    <definedName name="salreg" localSheetId="4">#REF!</definedName>
    <definedName name="salreg" localSheetId="10">#REF!</definedName>
    <definedName name="salreg" localSheetId="14">#REF!</definedName>
    <definedName name="salreg" localSheetId="15">#REF!</definedName>
    <definedName name="salreg">#REF!</definedName>
    <definedName name="SALREGF" localSheetId="22">#REF!</definedName>
    <definedName name="SALREGF" localSheetId="24">#REF!</definedName>
    <definedName name="SALREGF" localSheetId="26">#REF!</definedName>
    <definedName name="SALREGF" localSheetId="27">#REF!</definedName>
    <definedName name="SALREGF" localSheetId="32">#REF!</definedName>
    <definedName name="SALREGF" localSheetId="31">#REF!</definedName>
    <definedName name="SALREGF" localSheetId="4">#REF!</definedName>
    <definedName name="SALREGF" localSheetId="10">#REF!</definedName>
    <definedName name="SALREGF" localSheetId="14">#REF!</definedName>
    <definedName name="SALREGF" localSheetId="15">#REF!</definedName>
    <definedName name="SALREGF">#REF!</definedName>
    <definedName name="ServiceTerr">'1. Information Sheet'!$F$16</definedName>
    <definedName name="SME">'17. Regulatory Charges'!$D$33</definedName>
    <definedName name="ss">'2016 List'!$C$10:$C$13</definedName>
    <definedName name="StartEnd" localSheetId="17">'[4]2016 Database'!#REF!</definedName>
    <definedName name="StartEnd" localSheetId="4">'[5]2015 Database'!#REF!</definedName>
    <definedName name="StartEnd" localSheetId="7">'[6]2016 Database'!#REF!</definedName>
    <definedName name="StartEnd" localSheetId="10">'[16]2016 Database'!#REF!</definedName>
    <definedName name="StartEnd" localSheetId="9">[8]Database!#REF!</definedName>
    <definedName name="StartEnd" localSheetId="11">[8]Database!#REF!</definedName>
    <definedName name="StartEnd">Database!#REF!</definedName>
    <definedName name="Synergy_SA">'2016 List'!$C$33:$C$34</definedName>
    <definedName name="taxableincome">'8. STS - Tax Change'!#REF!</definedName>
    <definedName name="TEMPA" localSheetId="22">#REF!</definedName>
    <definedName name="TEMPA" localSheetId="24">#REF!</definedName>
    <definedName name="TEMPA" localSheetId="26">#REF!</definedName>
    <definedName name="TEMPA" localSheetId="27">#REF!</definedName>
    <definedName name="TEMPA" localSheetId="32">#REF!</definedName>
    <definedName name="TEMPA" localSheetId="31">#REF!</definedName>
    <definedName name="TEMPA" localSheetId="4">#REF!</definedName>
    <definedName name="TEMPA" localSheetId="10">#REF!</definedName>
    <definedName name="TEMPA" localSheetId="14">#REF!</definedName>
    <definedName name="TEMPA" localSheetId="15">#REF!</definedName>
    <definedName name="TEMPA">#REF!</definedName>
    <definedName name="TestYear" localSheetId="31">'[2]LDC Info'!$E$24</definedName>
    <definedName name="TestYear">'[3]LDC Info'!$E$24</definedName>
    <definedName name="Total_Current_Wholesale_Line">'13. RTSR - Current Wholesale'!$J$109</definedName>
    <definedName name="Total_Current_Wholesale_Lineplus" localSheetId="4">'[5]12. RTSR - Current Wholesale'!$P$113</definedName>
    <definedName name="Total_Current_Wholesale_Lineplus" localSheetId="10">'[7]12. RTSR - Current Wholesale'!$P$113</definedName>
    <definedName name="Total_Current_Wholesale_Lineplus" localSheetId="9">'[8]13. RTSR - Current Wholesale'!$P$113</definedName>
    <definedName name="Total_Current_Wholesale_Lineplus" localSheetId="11">'[8]13. RTSR - Current Wholesale'!$P$113</definedName>
    <definedName name="Total_Current_Wholesale_Lineplus">'13. RTSR - Current Wholesale'!$P$113</definedName>
    <definedName name="total_current_wholesale_network" localSheetId="4">'[5]12. RTSR - Current Wholesale'!$F$109</definedName>
    <definedName name="total_current_wholesale_network" localSheetId="10">'[7]12. RTSR - Current Wholesale'!$F$109</definedName>
    <definedName name="total_current_wholesale_network" localSheetId="9">'[8]13. RTSR - Current Wholesale'!$F$109</definedName>
    <definedName name="total_current_wholesale_network" localSheetId="11">'[8]13. RTSR - Current Wholesale'!$F$109</definedName>
    <definedName name="total_current_wholesale_network">'13. RTSR - Current Wholesale'!$F$109</definedName>
    <definedName name="total_dept" localSheetId="22">#REF!</definedName>
    <definedName name="total_dept" localSheetId="24">#REF!</definedName>
    <definedName name="total_dept" localSheetId="26">#REF!</definedName>
    <definedName name="total_dept" localSheetId="27">#REF!</definedName>
    <definedName name="total_dept" localSheetId="32">#REF!</definedName>
    <definedName name="total_dept" localSheetId="31">#REF!</definedName>
    <definedName name="total_dept" localSheetId="4">#REF!</definedName>
    <definedName name="total_dept" localSheetId="10">#REF!</definedName>
    <definedName name="total_dept" localSheetId="14">#REF!</definedName>
    <definedName name="total_dept" localSheetId="15">#REF!</definedName>
    <definedName name="total_dept">#REF!</definedName>
    <definedName name="total_manpower" localSheetId="22">#REF!</definedName>
    <definedName name="total_manpower" localSheetId="24">#REF!</definedName>
    <definedName name="total_manpower" localSheetId="26">#REF!</definedName>
    <definedName name="total_manpower" localSheetId="27">#REF!</definedName>
    <definedName name="total_manpower" localSheetId="32">#REF!</definedName>
    <definedName name="total_manpower" localSheetId="31">#REF!</definedName>
    <definedName name="total_manpower" localSheetId="4">#REF!</definedName>
    <definedName name="total_manpower" localSheetId="10">#REF!</definedName>
    <definedName name="total_manpower" localSheetId="14">#REF!</definedName>
    <definedName name="total_manpower" localSheetId="15">#REF!</definedName>
    <definedName name="total_manpower">#REF!</definedName>
    <definedName name="total_material" localSheetId="22">#REF!</definedName>
    <definedName name="total_material" localSheetId="24">#REF!</definedName>
    <definedName name="total_material" localSheetId="26">#REF!</definedName>
    <definedName name="total_material" localSheetId="27">#REF!</definedName>
    <definedName name="total_material" localSheetId="32">#REF!</definedName>
    <definedName name="total_material" localSheetId="31">#REF!</definedName>
    <definedName name="total_material" localSheetId="4">#REF!</definedName>
    <definedName name="total_material" localSheetId="10">#REF!</definedName>
    <definedName name="total_material" localSheetId="14">#REF!</definedName>
    <definedName name="total_material" localSheetId="15">#REF!</definedName>
    <definedName name="total_material">#REF!</definedName>
    <definedName name="total_other" localSheetId="22">#REF!</definedName>
    <definedName name="total_other" localSheetId="24">#REF!</definedName>
    <definedName name="total_other" localSheetId="26">#REF!</definedName>
    <definedName name="total_other" localSheetId="27">#REF!</definedName>
    <definedName name="total_other" localSheetId="32">#REF!</definedName>
    <definedName name="total_other" localSheetId="31">#REF!</definedName>
    <definedName name="total_other" localSheetId="4">#REF!</definedName>
    <definedName name="total_other" localSheetId="10">#REF!</definedName>
    <definedName name="total_other" localSheetId="14">#REF!</definedName>
    <definedName name="total_other" localSheetId="15">#REF!</definedName>
    <definedName name="total_other">#REF!</definedName>
    <definedName name="total_transportation" localSheetId="22">#REF!</definedName>
    <definedName name="total_transportation" localSheetId="24">#REF!</definedName>
    <definedName name="total_transportation" localSheetId="26">#REF!</definedName>
    <definedName name="total_transportation" localSheetId="27">#REF!</definedName>
    <definedName name="total_transportation" localSheetId="32">#REF!</definedName>
    <definedName name="total_transportation" localSheetId="31">#REF!</definedName>
    <definedName name="total_transportation" localSheetId="4">#REF!</definedName>
    <definedName name="total_transportation" localSheetId="10">#REF!</definedName>
    <definedName name="total_transportation" localSheetId="14">#REF!</definedName>
    <definedName name="total_transportation" localSheetId="15">#REF!</definedName>
    <definedName name="total_transportation">#REF!</definedName>
    <definedName name="TRANBUD" localSheetId="22">#REF!</definedName>
    <definedName name="TRANBUD" localSheetId="24">#REF!</definedName>
    <definedName name="TRANBUD" localSheetId="26">#REF!</definedName>
    <definedName name="TRANBUD" localSheetId="27">#REF!</definedName>
    <definedName name="TRANBUD" localSheetId="32">#REF!</definedName>
    <definedName name="TRANBUD" localSheetId="31">#REF!</definedName>
    <definedName name="TRANBUD" localSheetId="4">#REF!</definedName>
    <definedName name="TRANBUD" localSheetId="10">#REF!</definedName>
    <definedName name="TRANBUD" localSheetId="14">#REF!</definedName>
    <definedName name="TRANBUD" localSheetId="15">#REF!</definedName>
    <definedName name="TRANBUD">#REF!</definedName>
    <definedName name="TranCust">'6. Class A Consumption Data'!$C$19</definedName>
    <definedName name="TranCustb">'6. Class A Consumption Data'!$C$21</definedName>
    <definedName name="TRANEND" localSheetId="22">#REF!</definedName>
    <definedName name="TRANEND" localSheetId="24">#REF!</definedName>
    <definedName name="TRANEND" localSheetId="26">#REF!</definedName>
    <definedName name="TRANEND" localSheetId="27">#REF!</definedName>
    <definedName name="TRANEND" localSheetId="32">#REF!</definedName>
    <definedName name="TRANEND" localSheetId="31">#REF!</definedName>
    <definedName name="TRANEND" localSheetId="4">#REF!</definedName>
    <definedName name="TRANEND" localSheetId="10">#REF!</definedName>
    <definedName name="TRANEND" localSheetId="14">#REF!</definedName>
    <definedName name="TRANEND" localSheetId="15">#REF!</definedName>
    <definedName name="TRANEND">#REF!</definedName>
    <definedName name="TransCust">'6. Class A Consumption Data'!$C$19</definedName>
    <definedName name="transportation_costs" localSheetId="22">#REF!</definedName>
    <definedName name="transportation_costs" localSheetId="24">#REF!</definedName>
    <definedName name="transportation_costs" localSheetId="26">#REF!</definedName>
    <definedName name="transportation_costs" localSheetId="27">#REF!</definedName>
    <definedName name="transportation_costs" localSheetId="32">#REF!</definedName>
    <definedName name="transportation_costs" localSheetId="31">#REF!</definedName>
    <definedName name="transportation_costs" localSheetId="4">#REF!</definedName>
    <definedName name="transportation_costs" localSheetId="10">#REF!</definedName>
    <definedName name="transportation_costs" localSheetId="14">#REF!</definedName>
    <definedName name="transportation_costs" localSheetId="15">#REF!</definedName>
    <definedName name="transportation_costs">#REF!</definedName>
    <definedName name="TRANSTART" localSheetId="22">#REF!</definedName>
    <definedName name="TRANSTART" localSheetId="24">#REF!</definedName>
    <definedName name="TRANSTART" localSheetId="26">#REF!</definedName>
    <definedName name="TRANSTART" localSheetId="27">#REF!</definedName>
    <definedName name="TRANSTART" localSheetId="32">#REF!</definedName>
    <definedName name="TRANSTART" localSheetId="31">#REF!</definedName>
    <definedName name="TRANSTART" localSheetId="4">#REF!</definedName>
    <definedName name="TRANSTART" localSheetId="10">#REF!</definedName>
    <definedName name="TRANSTART" localSheetId="14">#REF!</definedName>
    <definedName name="TRANSTART" localSheetId="15">#REF!</definedName>
    <definedName name="TRANSTART">#REF!</definedName>
    <definedName name="trn_beg_bud" localSheetId="22">#REF!</definedName>
    <definedName name="trn_beg_bud" localSheetId="24">#REF!</definedName>
    <definedName name="trn_beg_bud" localSheetId="26">#REF!</definedName>
    <definedName name="trn_beg_bud" localSheetId="27">#REF!</definedName>
    <definedName name="trn_beg_bud" localSheetId="32">#REF!</definedName>
    <definedName name="trn_beg_bud" localSheetId="31">#REF!</definedName>
    <definedName name="trn_beg_bud" localSheetId="4">#REF!</definedName>
    <definedName name="trn_beg_bud" localSheetId="10">#REF!</definedName>
    <definedName name="trn_beg_bud" localSheetId="14">#REF!</definedName>
    <definedName name="trn_beg_bud" localSheetId="15">#REF!</definedName>
    <definedName name="trn_beg_bud">#REF!</definedName>
    <definedName name="trn_end_bud" localSheetId="22">#REF!</definedName>
    <definedName name="trn_end_bud" localSheetId="24">#REF!</definedName>
    <definedName name="trn_end_bud" localSheetId="26">#REF!</definedName>
    <definedName name="trn_end_bud" localSheetId="27">#REF!</definedName>
    <definedName name="trn_end_bud" localSheetId="32">#REF!</definedName>
    <definedName name="trn_end_bud" localSheetId="31">#REF!</definedName>
    <definedName name="trn_end_bud" localSheetId="4">#REF!</definedName>
    <definedName name="trn_end_bud" localSheetId="10">#REF!</definedName>
    <definedName name="trn_end_bud" localSheetId="14">#REF!</definedName>
    <definedName name="trn_end_bud" localSheetId="15">#REF!</definedName>
    <definedName name="trn_end_bud">#REF!</definedName>
    <definedName name="trn12ACT" localSheetId="22">#REF!</definedName>
    <definedName name="trn12ACT" localSheetId="24">#REF!</definedName>
    <definedName name="trn12ACT" localSheetId="26">#REF!</definedName>
    <definedName name="trn12ACT" localSheetId="27">#REF!</definedName>
    <definedName name="trn12ACT" localSheetId="32">#REF!</definedName>
    <definedName name="trn12ACT" localSheetId="31">#REF!</definedName>
    <definedName name="trn12ACT" localSheetId="4">#REF!</definedName>
    <definedName name="trn12ACT" localSheetId="10">#REF!</definedName>
    <definedName name="trn12ACT" localSheetId="14">#REF!</definedName>
    <definedName name="trn12ACT" localSheetId="15">#REF!</definedName>
    <definedName name="trn12ACT">#REF!</definedName>
    <definedName name="trnCYACT" localSheetId="22">#REF!</definedName>
    <definedName name="trnCYACT" localSheetId="24">#REF!</definedName>
    <definedName name="trnCYACT" localSheetId="26">#REF!</definedName>
    <definedName name="trnCYACT" localSheetId="27">#REF!</definedName>
    <definedName name="trnCYACT" localSheetId="32">#REF!</definedName>
    <definedName name="trnCYACT" localSheetId="31">#REF!</definedName>
    <definedName name="trnCYACT" localSheetId="4">#REF!</definedName>
    <definedName name="trnCYACT" localSheetId="10">#REF!</definedName>
    <definedName name="trnCYACT" localSheetId="14">#REF!</definedName>
    <definedName name="trnCYACT" localSheetId="15">#REF!</definedName>
    <definedName name="trnCYACT">#REF!</definedName>
    <definedName name="trnCYBUD" localSheetId="22">#REF!</definedName>
    <definedName name="trnCYBUD" localSheetId="24">#REF!</definedName>
    <definedName name="trnCYBUD" localSheetId="26">#REF!</definedName>
    <definedName name="trnCYBUD" localSheetId="27">#REF!</definedName>
    <definedName name="trnCYBUD" localSheetId="32">#REF!</definedName>
    <definedName name="trnCYBUD" localSheetId="31">#REF!</definedName>
    <definedName name="trnCYBUD" localSheetId="4">#REF!</definedName>
    <definedName name="trnCYBUD" localSheetId="10">#REF!</definedName>
    <definedName name="trnCYBUD" localSheetId="14">#REF!</definedName>
    <definedName name="trnCYBUD" localSheetId="15">#REF!</definedName>
    <definedName name="trnCYBUD">#REF!</definedName>
    <definedName name="trnCYF" localSheetId="22">#REF!</definedName>
    <definedName name="trnCYF" localSheetId="24">#REF!</definedName>
    <definedName name="trnCYF" localSheetId="26">#REF!</definedName>
    <definedName name="trnCYF" localSheetId="27">#REF!</definedName>
    <definedName name="trnCYF" localSheetId="32">#REF!</definedName>
    <definedName name="trnCYF" localSheetId="31">#REF!</definedName>
    <definedName name="trnCYF" localSheetId="4">#REF!</definedName>
    <definedName name="trnCYF" localSheetId="10">#REF!</definedName>
    <definedName name="trnCYF" localSheetId="14">#REF!</definedName>
    <definedName name="trnCYF" localSheetId="15">#REF!</definedName>
    <definedName name="trnCYF">#REF!</definedName>
    <definedName name="trnNYbud" localSheetId="22">#REF!</definedName>
    <definedName name="trnNYbud" localSheetId="24">#REF!</definedName>
    <definedName name="trnNYbud" localSheetId="26">#REF!</definedName>
    <definedName name="trnNYbud" localSheetId="27">#REF!</definedName>
    <definedName name="trnNYbud" localSheetId="32">#REF!</definedName>
    <definedName name="trnNYbud" localSheetId="31">#REF!</definedName>
    <definedName name="trnNYbud" localSheetId="4">#REF!</definedName>
    <definedName name="trnNYbud" localSheetId="10">#REF!</definedName>
    <definedName name="trnNYbud" localSheetId="14">#REF!</definedName>
    <definedName name="trnNYbud" localSheetId="15">#REF!</definedName>
    <definedName name="trnNYbud">#REF!</definedName>
    <definedName name="trnPYACT" localSheetId="22">#REF!</definedName>
    <definedName name="trnPYACT" localSheetId="24">#REF!</definedName>
    <definedName name="trnPYACT" localSheetId="26">#REF!</definedName>
    <definedName name="trnPYACT" localSheetId="27">#REF!</definedName>
    <definedName name="trnPYACT" localSheetId="32">#REF!</definedName>
    <definedName name="trnPYACT" localSheetId="31">#REF!</definedName>
    <definedName name="trnPYACT" localSheetId="4">#REF!</definedName>
    <definedName name="trnPYACT" localSheetId="10">#REF!</definedName>
    <definedName name="trnPYACT" localSheetId="14">#REF!</definedName>
    <definedName name="trnPYACT" localSheetId="15">#REF!</definedName>
    <definedName name="trnPYACT">#REF!</definedName>
    <definedName name="Units" localSheetId="31">[2]lists!$N$2:$N$5</definedName>
    <definedName name="units" localSheetId="4">[15]hidden1!$J$3:$J$8</definedName>
    <definedName name="Units">lists!$N$2:$N$5</definedName>
    <definedName name="Units1" localSheetId="9">[8]lists!#REF!</definedName>
    <definedName name="Units1" localSheetId="11">[8]lists!#REF!</definedName>
    <definedName name="Units1">lists!#REF!</definedName>
    <definedName name="Units2" localSheetId="9">[8]lists!#REF!</definedName>
    <definedName name="Units2" localSheetId="11">[8]lists!#REF!</definedName>
    <definedName name="Units2">lists!#REF!</definedName>
    <definedName name="Utility">[9]Financials!$A$1</definedName>
    <definedName name="utitliy1">[17]Financials!$A$1</definedName>
    <definedName name="WAGBENF" localSheetId="22">#REF!</definedName>
    <definedName name="WAGBENF" localSheetId="24">#REF!</definedName>
    <definedName name="WAGBENF" localSheetId="26">#REF!</definedName>
    <definedName name="WAGBENF" localSheetId="27">#REF!</definedName>
    <definedName name="WAGBENF" localSheetId="32">#REF!</definedName>
    <definedName name="WAGBENF" localSheetId="31">#REF!</definedName>
    <definedName name="WAGBENF" localSheetId="4">#REF!</definedName>
    <definedName name="WAGBENF" localSheetId="10">#REF!</definedName>
    <definedName name="WAGBENF" localSheetId="14">#REF!</definedName>
    <definedName name="WAGBENF" localSheetId="15">#REF!</definedName>
    <definedName name="WAGBENF">#REF!</definedName>
    <definedName name="wagdob" localSheetId="22">#REF!</definedName>
    <definedName name="wagdob" localSheetId="24">#REF!</definedName>
    <definedName name="wagdob" localSheetId="26">#REF!</definedName>
    <definedName name="wagdob" localSheetId="27">#REF!</definedName>
    <definedName name="wagdob" localSheetId="32">#REF!</definedName>
    <definedName name="wagdob" localSheetId="31">#REF!</definedName>
    <definedName name="wagdob" localSheetId="4">#REF!</definedName>
    <definedName name="wagdob" localSheetId="10">#REF!</definedName>
    <definedName name="wagdob" localSheetId="14">#REF!</definedName>
    <definedName name="wagdob" localSheetId="15">#REF!</definedName>
    <definedName name="wagdob">#REF!</definedName>
    <definedName name="wagdobf" localSheetId="22">#REF!</definedName>
    <definedName name="wagdobf" localSheetId="24">#REF!</definedName>
    <definedName name="wagdobf" localSheetId="26">#REF!</definedName>
    <definedName name="wagdobf" localSheetId="27">#REF!</definedName>
    <definedName name="wagdobf" localSheetId="32">#REF!</definedName>
    <definedName name="wagdobf" localSheetId="31">#REF!</definedName>
    <definedName name="wagdobf" localSheetId="4">#REF!</definedName>
    <definedName name="wagdobf" localSheetId="10">#REF!</definedName>
    <definedName name="wagdobf" localSheetId="14">#REF!</definedName>
    <definedName name="wagdobf" localSheetId="15">#REF!</definedName>
    <definedName name="wagdobf">#REF!</definedName>
    <definedName name="wagreg" localSheetId="22">#REF!</definedName>
    <definedName name="wagreg" localSheetId="24">#REF!</definedName>
    <definedName name="wagreg" localSheetId="26">#REF!</definedName>
    <definedName name="wagreg" localSheetId="27">#REF!</definedName>
    <definedName name="wagreg" localSheetId="32">#REF!</definedName>
    <definedName name="wagreg" localSheetId="31">#REF!</definedName>
    <definedName name="wagreg" localSheetId="4">#REF!</definedName>
    <definedName name="wagreg" localSheetId="10">#REF!</definedName>
    <definedName name="wagreg" localSheetId="14">#REF!</definedName>
    <definedName name="wagreg" localSheetId="15">#REF!</definedName>
    <definedName name="wagreg">#REF!</definedName>
    <definedName name="wagregf" localSheetId="22">#REF!</definedName>
    <definedName name="wagregf" localSheetId="24">#REF!</definedName>
    <definedName name="wagregf" localSheetId="26">#REF!</definedName>
    <definedName name="wagregf" localSheetId="27">#REF!</definedName>
    <definedName name="wagregf" localSheetId="32">#REF!</definedName>
    <definedName name="wagregf" localSheetId="31">#REF!</definedName>
    <definedName name="wagregf" localSheetId="4">#REF!</definedName>
    <definedName name="wagregf" localSheetId="10">#REF!</definedName>
    <definedName name="wagregf" localSheetId="14">#REF!</definedName>
    <definedName name="wagregf" localSheetId="15">#REF!</definedName>
    <definedName name="wagregf">#REF!</definedName>
    <definedName name="YRS_LEFT" localSheetId="17">'[4]16. Rev2Cost_GDPIPI'!$F$14</definedName>
    <definedName name="YRS_LEFT" localSheetId="4">'[5]15. Rev2Cost_GDPIPI'!$F$14</definedName>
    <definedName name="YRS_LEFT" localSheetId="7">'[6]16. Rev2Cost_GDPIPI'!$F$14</definedName>
    <definedName name="YRS_LEFT" localSheetId="10">'[7]15. Rev2Cost_GDPIPI'!$F$14</definedName>
    <definedName name="YRS_LEFT">'16. Rev2Cost_GDPIPI'!$F$14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9" i="56" l="1"/>
  <c r="G49" i="56"/>
  <c r="J48" i="56"/>
  <c r="G48" i="56"/>
  <c r="J47" i="56"/>
  <c r="G47" i="56"/>
  <c r="J46" i="56"/>
  <c r="G46" i="56"/>
  <c r="J45" i="56"/>
  <c r="G45" i="56"/>
  <c r="J44" i="56"/>
  <c r="G44" i="56"/>
  <c r="J43" i="56"/>
  <c r="G43" i="56"/>
  <c r="J42" i="56"/>
  <c r="G42" i="56"/>
  <c r="J41" i="56"/>
  <c r="G41" i="56"/>
  <c r="J40" i="56"/>
  <c r="G40" i="56"/>
  <c r="J39" i="56"/>
  <c r="G39" i="56"/>
  <c r="J38" i="56"/>
  <c r="G38" i="56"/>
  <c r="J37" i="56"/>
  <c r="G37" i="56"/>
  <c r="J36" i="56"/>
  <c r="G36" i="56"/>
  <c r="J35" i="56"/>
  <c r="G35" i="56"/>
  <c r="J34" i="56"/>
  <c r="G34" i="56"/>
  <c r="J33" i="56"/>
  <c r="G33" i="56"/>
  <c r="J32" i="56"/>
  <c r="G32" i="56"/>
  <c r="J31" i="56"/>
  <c r="G31" i="56"/>
  <c r="J30" i="56"/>
  <c r="G30" i="56"/>
  <c r="C49" i="56"/>
  <c r="C48" i="56"/>
  <c r="C47" i="56"/>
  <c r="C46" i="56"/>
  <c r="C45" i="56"/>
  <c r="C44" i="56"/>
  <c r="C43" i="56"/>
  <c r="C28" i="17"/>
  <c r="B28" i="17"/>
  <c r="B27" i="17"/>
  <c r="C27" i="17" s="1"/>
  <c r="C29" i="17" s="1"/>
  <c r="G24" i="17"/>
  <c r="D28" i="17" l="1"/>
  <c r="D27" i="17"/>
  <c r="E27" i="17" s="1"/>
  <c r="E755" i="56"/>
  <c r="E754" i="56"/>
  <c r="E753" i="56"/>
  <c r="E752" i="56"/>
  <c r="E751" i="56"/>
  <c r="K750" i="56"/>
  <c r="E750" i="56"/>
  <c r="C778" i="56"/>
  <c r="C775" i="56"/>
  <c r="C766" i="56"/>
  <c r="K801" i="56"/>
  <c r="H801" i="56"/>
  <c r="K796" i="56"/>
  <c r="H796" i="56"/>
  <c r="K791" i="56"/>
  <c r="H791" i="56"/>
  <c r="J787" i="56"/>
  <c r="K787" i="56" s="1"/>
  <c r="I787" i="56"/>
  <c r="G787" i="56"/>
  <c r="H787" i="56" s="1"/>
  <c r="J786" i="56"/>
  <c r="K786" i="56" s="1"/>
  <c r="I786" i="56"/>
  <c r="G786" i="56"/>
  <c r="H786" i="56" s="1"/>
  <c r="J785" i="56"/>
  <c r="K785" i="56" s="1"/>
  <c r="I785" i="56"/>
  <c r="G785" i="56"/>
  <c r="F785" i="56"/>
  <c r="K784" i="56"/>
  <c r="J784" i="56"/>
  <c r="I784" i="56"/>
  <c r="G784" i="56"/>
  <c r="H784" i="56" s="1"/>
  <c r="F784" i="56"/>
  <c r="J783" i="56"/>
  <c r="I783" i="56"/>
  <c r="G783" i="56"/>
  <c r="H783" i="56" s="1"/>
  <c r="F783" i="56"/>
  <c r="I781" i="56"/>
  <c r="K781" i="56" s="1"/>
  <c r="L781" i="56" s="1"/>
  <c r="M781" i="56" s="1"/>
  <c r="H781" i="56"/>
  <c r="F781" i="56"/>
  <c r="J780" i="56"/>
  <c r="I780" i="56"/>
  <c r="G780" i="56"/>
  <c r="H780" i="56" s="1"/>
  <c r="F780" i="56"/>
  <c r="J779" i="56"/>
  <c r="K779" i="56" s="1"/>
  <c r="I779" i="56"/>
  <c r="G779" i="56"/>
  <c r="F779" i="56"/>
  <c r="J777" i="56"/>
  <c r="K777" i="56" s="1"/>
  <c r="G777" i="56"/>
  <c r="H777" i="56" s="1"/>
  <c r="J776" i="56"/>
  <c r="K776" i="56" s="1"/>
  <c r="G776" i="56"/>
  <c r="H776" i="56" s="1"/>
  <c r="J774" i="56"/>
  <c r="K774" i="56" s="1"/>
  <c r="G774" i="56"/>
  <c r="H774" i="56" s="1"/>
  <c r="K773" i="56"/>
  <c r="H773" i="56"/>
  <c r="I772" i="56"/>
  <c r="K772" i="56" s="1"/>
  <c r="F772" i="56"/>
  <c r="H772" i="56" s="1"/>
  <c r="J771" i="56"/>
  <c r="K771" i="56" s="1"/>
  <c r="G771" i="56"/>
  <c r="H771" i="56" s="1"/>
  <c r="K770" i="56"/>
  <c r="J770" i="56"/>
  <c r="G770" i="56"/>
  <c r="H770" i="56" s="1"/>
  <c r="J769" i="56"/>
  <c r="K769" i="56" s="1"/>
  <c r="G769" i="56"/>
  <c r="H769" i="56" s="1"/>
  <c r="J768" i="56"/>
  <c r="K768" i="56" s="1"/>
  <c r="H768" i="56"/>
  <c r="G768" i="56"/>
  <c r="I767" i="56"/>
  <c r="J767" i="56" s="1"/>
  <c r="K767" i="56" s="1"/>
  <c r="F767" i="56"/>
  <c r="G767" i="56" s="1"/>
  <c r="H767" i="56" s="1"/>
  <c r="J765" i="56"/>
  <c r="K765" i="56" s="1"/>
  <c r="G765" i="56"/>
  <c r="H765" i="56" s="1"/>
  <c r="J764" i="56"/>
  <c r="K764" i="56" s="1"/>
  <c r="L764" i="56" s="1"/>
  <c r="M764" i="56" s="1"/>
  <c r="H764" i="56"/>
  <c r="J763" i="56"/>
  <c r="G763" i="56"/>
  <c r="J762" i="56"/>
  <c r="G762" i="56"/>
  <c r="J761" i="56"/>
  <c r="K761" i="56" s="1"/>
  <c r="G761" i="56"/>
  <c r="H761" i="56" s="1"/>
  <c r="K760" i="56"/>
  <c r="L760" i="56" s="1"/>
  <c r="M760" i="56" s="1"/>
  <c r="J760" i="56"/>
  <c r="H760" i="56"/>
  <c r="A760" i="56"/>
  <c r="A761" i="56" s="1"/>
  <c r="A762" i="56" s="1"/>
  <c r="A763" i="56" s="1"/>
  <c r="A764" i="56" s="1"/>
  <c r="A765" i="56" s="1"/>
  <c r="A766" i="56" s="1"/>
  <c r="A767" i="56" s="1"/>
  <c r="A768" i="56" s="1"/>
  <c r="A769" i="56" s="1"/>
  <c r="A770" i="56" s="1"/>
  <c r="A771" i="56" s="1"/>
  <c r="A772" i="56" s="1"/>
  <c r="A773" i="56" s="1"/>
  <c r="A774" i="56" s="1"/>
  <c r="A775" i="56" s="1"/>
  <c r="A776" i="56" s="1"/>
  <c r="A777" i="56" s="1"/>
  <c r="A778" i="56" s="1"/>
  <c r="A779" i="56" s="1"/>
  <c r="A780" i="56" s="1"/>
  <c r="A781" i="56" s="1"/>
  <c r="A782" i="56" s="1"/>
  <c r="A783" i="56" s="1"/>
  <c r="A784" i="56" s="1"/>
  <c r="A785" i="56" s="1"/>
  <c r="A786" i="56" s="1"/>
  <c r="A787" i="56" s="1"/>
  <c r="A788" i="56" s="1"/>
  <c r="A789" i="56" s="1"/>
  <c r="A790" i="56" s="1"/>
  <c r="A791" i="56" s="1"/>
  <c r="A792" i="56" s="1"/>
  <c r="A793" i="56" s="1"/>
  <c r="A794" i="56" s="1"/>
  <c r="A795" i="56" s="1"/>
  <c r="A796" i="56" s="1"/>
  <c r="A797" i="56" s="1"/>
  <c r="A798" i="56" s="1"/>
  <c r="A799" i="56" s="1"/>
  <c r="A800" i="56" s="1"/>
  <c r="A801" i="56" s="1"/>
  <c r="A802" i="56" s="1"/>
  <c r="A803" i="56" s="1"/>
  <c r="E699" i="56"/>
  <c r="E698" i="56"/>
  <c r="E697" i="56"/>
  <c r="E696" i="56"/>
  <c r="E695" i="56"/>
  <c r="K694" i="56"/>
  <c r="E694" i="56"/>
  <c r="H745" i="56" s="1"/>
  <c r="C722" i="56"/>
  <c r="C719" i="56"/>
  <c r="C710" i="56"/>
  <c r="K745" i="56"/>
  <c r="H740" i="56"/>
  <c r="K735" i="56"/>
  <c r="H735" i="56"/>
  <c r="J731" i="56"/>
  <c r="K731" i="56" s="1"/>
  <c r="I731" i="56"/>
  <c r="I711" i="56" s="1"/>
  <c r="J711" i="56" s="1"/>
  <c r="K711" i="56" s="1"/>
  <c r="G731" i="56"/>
  <c r="H731" i="56" s="1"/>
  <c r="J730" i="56"/>
  <c r="K730" i="56" s="1"/>
  <c r="I730" i="56"/>
  <c r="G730" i="56"/>
  <c r="H730" i="56" s="1"/>
  <c r="J729" i="56"/>
  <c r="K729" i="56" s="1"/>
  <c r="I729" i="56"/>
  <c r="G729" i="56"/>
  <c r="F729" i="56"/>
  <c r="J728" i="56"/>
  <c r="K728" i="56" s="1"/>
  <c r="I728" i="56"/>
  <c r="G728" i="56"/>
  <c r="F728" i="56"/>
  <c r="K727" i="56"/>
  <c r="J727" i="56"/>
  <c r="I727" i="56"/>
  <c r="G727" i="56"/>
  <c r="H727" i="56" s="1"/>
  <c r="F727" i="56"/>
  <c r="K725" i="56"/>
  <c r="L725" i="56" s="1"/>
  <c r="M725" i="56" s="1"/>
  <c r="I725" i="56"/>
  <c r="H725" i="56"/>
  <c r="F725" i="56"/>
  <c r="J724" i="56"/>
  <c r="K724" i="56" s="1"/>
  <c r="I724" i="56"/>
  <c r="G724" i="56"/>
  <c r="H724" i="56" s="1"/>
  <c r="F724" i="56"/>
  <c r="J723" i="56"/>
  <c r="I723" i="56"/>
  <c r="G723" i="56"/>
  <c r="H723" i="56" s="1"/>
  <c r="F723" i="56"/>
  <c r="J721" i="56"/>
  <c r="K721" i="56" s="1"/>
  <c r="G721" i="56"/>
  <c r="H721" i="56" s="1"/>
  <c r="J720" i="56"/>
  <c r="K720" i="56" s="1"/>
  <c r="G720" i="56"/>
  <c r="H720" i="56" s="1"/>
  <c r="J718" i="56"/>
  <c r="K718" i="56" s="1"/>
  <c r="G718" i="56"/>
  <c r="H718" i="56" s="1"/>
  <c r="K717" i="56"/>
  <c r="H717" i="56"/>
  <c r="I716" i="56"/>
  <c r="K716" i="56" s="1"/>
  <c r="F716" i="56"/>
  <c r="H716" i="56" s="1"/>
  <c r="K715" i="56"/>
  <c r="J715" i="56"/>
  <c r="G715" i="56"/>
  <c r="H715" i="56" s="1"/>
  <c r="J714" i="56"/>
  <c r="K714" i="56" s="1"/>
  <c r="L714" i="56" s="1"/>
  <c r="M714" i="56" s="1"/>
  <c r="G714" i="56"/>
  <c r="H714" i="56" s="1"/>
  <c r="J713" i="56"/>
  <c r="K713" i="56" s="1"/>
  <c r="H713" i="56"/>
  <c r="G713" i="56"/>
  <c r="J712" i="56"/>
  <c r="K712" i="56" s="1"/>
  <c r="G712" i="56"/>
  <c r="H712" i="56" s="1"/>
  <c r="F711" i="56"/>
  <c r="G711" i="56" s="1"/>
  <c r="H711" i="56" s="1"/>
  <c r="J709" i="56"/>
  <c r="K709" i="56" s="1"/>
  <c r="G709" i="56"/>
  <c r="H709" i="56" s="1"/>
  <c r="J708" i="56"/>
  <c r="K708" i="56" s="1"/>
  <c r="H708" i="56"/>
  <c r="J707" i="56"/>
  <c r="G707" i="56"/>
  <c r="J706" i="56"/>
  <c r="G706" i="56"/>
  <c r="J705" i="56"/>
  <c r="K705" i="56" s="1"/>
  <c r="G705" i="56"/>
  <c r="H705" i="56" s="1"/>
  <c r="K704" i="56"/>
  <c r="J704" i="56"/>
  <c r="H704" i="56"/>
  <c r="A704" i="56"/>
  <c r="A705" i="56" s="1"/>
  <c r="A706" i="56" s="1"/>
  <c r="A707" i="56" s="1"/>
  <c r="A708" i="56" s="1"/>
  <c r="A709" i="56" s="1"/>
  <c r="A710" i="56" s="1"/>
  <c r="A711" i="56" s="1"/>
  <c r="A712" i="56" s="1"/>
  <c r="A713" i="56" s="1"/>
  <c r="A714" i="56" s="1"/>
  <c r="A715" i="56" s="1"/>
  <c r="A716" i="56" s="1"/>
  <c r="A717" i="56" s="1"/>
  <c r="A718" i="56" s="1"/>
  <c r="A719" i="56" s="1"/>
  <c r="A720" i="56" s="1"/>
  <c r="A721" i="56" s="1"/>
  <c r="A722" i="56" s="1"/>
  <c r="A723" i="56" s="1"/>
  <c r="A724" i="56" s="1"/>
  <c r="A725" i="56" s="1"/>
  <c r="A726" i="56" s="1"/>
  <c r="A727" i="56" s="1"/>
  <c r="A728" i="56" s="1"/>
  <c r="A729" i="56" s="1"/>
  <c r="A730" i="56" s="1"/>
  <c r="A731" i="56" s="1"/>
  <c r="A732" i="56" s="1"/>
  <c r="A733" i="56" s="1"/>
  <c r="A734" i="56" s="1"/>
  <c r="A735" i="56" s="1"/>
  <c r="A736" i="56" s="1"/>
  <c r="A737" i="56" s="1"/>
  <c r="A738" i="56" s="1"/>
  <c r="A739" i="56" s="1"/>
  <c r="A740" i="56" s="1"/>
  <c r="A741" i="56" s="1"/>
  <c r="A742" i="56" s="1"/>
  <c r="A743" i="56" s="1"/>
  <c r="A744" i="56" s="1"/>
  <c r="A745" i="56" s="1"/>
  <c r="A746" i="56" s="1"/>
  <c r="A747" i="56" s="1"/>
  <c r="C685" i="56"/>
  <c r="E643" i="56"/>
  <c r="E642" i="56"/>
  <c r="G665" i="56" s="1"/>
  <c r="H665" i="56" s="1"/>
  <c r="E641" i="56"/>
  <c r="J665" i="56" s="1"/>
  <c r="K665" i="56" s="1"/>
  <c r="E640" i="56"/>
  <c r="J675" i="56" s="1"/>
  <c r="E639" i="56"/>
  <c r="K638" i="56"/>
  <c r="E638" i="56"/>
  <c r="C666" i="56"/>
  <c r="C663" i="56"/>
  <c r="C654" i="56"/>
  <c r="I675" i="56"/>
  <c r="G675" i="56"/>
  <c r="H675" i="56" s="1"/>
  <c r="J674" i="56"/>
  <c r="K674" i="56" s="1"/>
  <c r="I674" i="56"/>
  <c r="G674" i="56"/>
  <c r="H674" i="56" s="1"/>
  <c r="J673" i="56"/>
  <c r="I673" i="56"/>
  <c r="G673" i="56"/>
  <c r="H673" i="56" s="1"/>
  <c r="F673" i="56"/>
  <c r="J672" i="56"/>
  <c r="I672" i="56"/>
  <c r="G672" i="56"/>
  <c r="H672" i="56" s="1"/>
  <c r="F672" i="56"/>
  <c r="J671" i="56"/>
  <c r="I671" i="56"/>
  <c r="G671" i="56"/>
  <c r="H671" i="56" s="1"/>
  <c r="F671" i="56"/>
  <c r="J668" i="56"/>
  <c r="I668" i="56"/>
  <c r="G668" i="56"/>
  <c r="H668" i="56" s="1"/>
  <c r="F668" i="56"/>
  <c r="J667" i="56"/>
  <c r="K667" i="56" s="1"/>
  <c r="I667" i="56"/>
  <c r="G667" i="56"/>
  <c r="H667" i="56" s="1"/>
  <c r="F667" i="56"/>
  <c r="J664" i="56"/>
  <c r="K664" i="56" s="1"/>
  <c r="G664" i="56"/>
  <c r="H664" i="56" s="1"/>
  <c r="J662" i="56"/>
  <c r="K662" i="56" s="1"/>
  <c r="G662" i="56"/>
  <c r="H662" i="56" s="1"/>
  <c r="K661" i="56"/>
  <c r="H661" i="56"/>
  <c r="J659" i="56"/>
  <c r="K659" i="56" s="1"/>
  <c r="G659" i="56"/>
  <c r="H659" i="56" s="1"/>
  <c r="J658" i="56"/>
  <c r="K658" i="56" s="1"/>
  <c r="G658" i="56"/>
  <c r="H658" i="56" s="1"/>
  <c r="J657" i="56"/>
  <c r="K657" i="56" s="1"/>
  <c r="G657" i="56"/>
  <c r="H657" i="56" s="1"/>
  <c r="J656" i="56"/>
  <c r="K656" i="56" s="1"/>
  <c r="G656" i="56"/>
  <c r="H656" i="56" s="1"/>
  <c r="F655" i="56"/>
  <c r="J653" i="56"/>
  <c r="K653" i="56" s="1"/>
  <c r="G653" i="56"/>
  <c r="H653" i="56" s="1"/>
  <c r="K652" i="56"/>
  <c r="H652" i="56"/>
  <c r="J651" i="56"/>
  <c r="G651" i="56"/>
  <c r="J650" i="56"/>
  <c r="G650" i="56"/>
  <c r="J649" i="56"/>
  <c r="K649" i="56" s="1"/>
  <c r="G649" i="56"/>
  <c r="H649" i="56" s="1"/>
  <c r="K648" i="56"/>
  <c r="H648" i="56"/>
  <c r="A648" i="56"/>
  <c r="A649" i="56" s="1"/>
  <c r="A650" i="56" s="1"/>
  <c r="A651" i="56" s="1"/>
  <c r="A652" i="56" s="1"/>
  <c r="A653" i="56" s="1"/>
  <c r="A654" i="56" s="1"/>
  <c r="A655" i="56" s="1"/>
  <c r="A656" i="56" s="1"/>
  <c r="A657" i="56" s="1"/>
  <c r="A658" i="56" s="1"/>
  <c r="A659" i="56" s="1"/>
  <c r="A660" i="56" s="1"/>
  <c r="A661" i="56" s="1"/>
  <c r="A662" i="56" s="1"/>
  <c r="A663" i="56" s="1"/>
  <c r="A664" i="56" s="1"/>
  <c r="A665" i="56" s="1"/>
  <c r="A666" i="56" s="1"/>
  <c r="A667" i="56" s="1"/>
  <c r="A668" i="56" s="1"/>
  <c r="A669" i="56" s="1"/>
  <c r="A670" i="56" s="1"/>
  <c r="A671" i="56" s="1"/>
  <c r="A672" i="56" s="1"/>
  <c r="A673" i="56" s="1"/>
  <c r="A674" i="56" s="1"/>
  <c r="A675" i="56" s="1"/>
  <c r="A676" i="56" s="1"/>
  <c r="A677" i="56" s="1"/>
  <c r="A678" i="56" s="1"/>
  <c r="A679" i="56" s="1"/>
  <c r="A680" i="56" s="1"/>
  <c r="A681" i="56" s="1"/>
  <c r="A682" i="56" s="1"/>
  <c r="A683" i="56" s="1"/>
  <c r="A684" i="56" s="1"/>
  <c r="A685" i="56" s="1"/>
  <c r="A686" i="56" s="1"/>
  <c r="A687" i="56" s="1"/>
  <c r="A688" i="56" s="1"/>
  <c r="A689" i="56" s="1"/>
  <c r="A690" i="56" s="1"/>
  <c r="A691" i="56" s="1"/>
  <c r="C629" i="56"/>
  <c r="E587" i="56"/>
  <c r="J612" i="56" s="1"/>
  <c r="K612" i="56" s="1"/>
  <c r="E586" i="56"/>
  <c r="E585" i="56"/>
  <c r="G608" i="56" s="1"/>
  <c r="H608" i="56" s="1"/>
  <c r="E584" i="56"/>
  <c r="J619" i="56" s="1"/>
  <c r="E583" i="56"/>
  <c r="K582" i="56"/>
  <c r="E582" i="56"/>
  <c r="C610" i="56"/>
  <c r="C607" i="56"/>
  <c r="C598" i="56"/>
  <c r="I619" i="56"/>
  <c r="G619" i="56"/>
  <c r="H619" i="56" s="1"/>
  <c r="J618" i="56"/>
  <c r="K618" i="56" s="1"/>
  <c r="I618" i="56"/>
  <c r="G618" i="56"/>
  <c r="H618" i="56" s="1"/>
  <c r="J617" i="56"/>
  <c r="K617" i="56" s="1"/>
  <c r="I617" i="56"/>
  <c r="G617" i="56"/>
  <c r="F617" i="56"/>
  <c r="J616" i="56"/>
  <c r="K616" i="56" s="1"/>
  <c r="I616" i="56"/>
  <c r="G616" i="56"/>
  <c r="F616" i="56"/>
  <c r="J615" i="56"/>
  <c r="K615" i="56" s="1"/>
  <c r="I615" i="56"/>
  <c r="G615" i="56"/>
  <c r="F615" i="56"/>
  <c r="I612" i="56"/>
  <c r="G612" i="56"/>
  <c r="H612" i="56" s="1"/>
  <c r="F612" i="56"/>
  <c r="I611" i="56"/>
  <c r="G611" i="56"/>
  <c r="H611" i="56" s="1"/>
  <c r="F611" i="56"/>
  <c r="J609" i="56"/>
  <c r="K609" i="56" s="1"/>
  <c r="G609" i="56"/>
  <c r="H609" i="56" s="1"/>
  <c r="J608" i="56"/>
  <c r="K608" i="56" s="1"/>
  <c r="J606" i="56"/>
  <c r="K606" i="56" s="1"/>
  <c r="G606" i="56"/>
  <c r="H606" i="56" s="1"/>
  <c r="K605" i="56"/>
  <c r="H605" i="56"/>
  <c r="I604" i="56"/>
  <c r="K604" i="56" s="1"/>
  <c r="J603" i="56"/>
  <c r="K603" i="56" s="1"/>
  <c r="H603" i="56"/>
  <c r="G603" i="56"/>
  <c r="J602" i="56"/>
  <c r="K602" i="56" s="1"/>
  <c r="G602" i="56"/>
  <c r="H602" i="56" s="1"/>
  <c r="K601" i="56"/>
  <c r="J601" i="56"/>
  <c r="G601" i="56"/>
  <c r="H601" i="56" s="1"/>
  <c r="J600" i="56"/>
  <c r="K600" i="56" s="1"/>
  <c r="G600" i="56"/>
  <c r="H600" i="56" s="1"/>
  <c r="F599" i="56"/>
  <c r="G599" i="56" s="1"/>
  <c r="H599" i="56" s="1"/>
  <c r="J597" i="56"/>
  <c r="K597" i="56" s="1"/>
  <c r="G597" i="56"/>
  <c r="H597" i="56" s="1"/>
  <c r="K596" i="56"/>
  <c r="H596" i="56"/>
  <c r="J595" i="56"/>
  <c r="G595" i="56"/>
  <c r="J594" i="56"/>
  <c r="G594" i="56"/>
  <c r="J593" i="56"/>
  <c r="K593" i="56" s="1"/>
  <c r="G593" i="56"/>
  <c r="H593" i="56" s="1"/>
  <c r="K592" i="56"/>
  <c r="H592" i="56"/>
  <c r="A592" i="56"/>
  <c r="A593" i="56" s="1"/>
  <c r="A594" i="56" s="1"/>
  <c r="A595" i="56" s="1"/>
  <c r="A596" i="56" s="1"/>
  <c r="A597" i="56" s="1"/>
  <c r="A598" i="56" s="1"/>
  <c r="A599" i="56" s="1"/>
  <c r="A600" i="56" s="1"/>
  <c r="A601" i="56" s="1"/>
  <c r="A602" i="56" s="1"/>
  <c r="A603" i="56" s="1"/>
  <c r="A604" i="56" s="1"/>
  <c r="A605" i="56" s="1"/>
  <c r="A606" i="56" s="1"/>
  <c r="A607" i="56" s="1"/>
  <c r="A608" i="56" s="1"/>
  <c r="A609" i="56" s="1"/>
  <c r="A610" i="56" s="1"/>
  <c r="A611" i="56" s="1"/>
  <c r="A612" i="56" s="1"/>
  <c r="A613" i="56" s="1"/>
  <c r="A614" i="56" s="1"/>
  <c r="A615" i="56" s="1"/>
  <c r="A616" i="56" s="1"/>
  <c r="A617" i="56" s="1"/>
  <c r="A618" i="56" s="1"/>
  <c r="A619" i="56" s="1"/>
  <c r="A620" i="56" s="1"/>
  <c r="A621" i="56" s="1"/>
  <c r="A622" i="56" s="1"/>
  <c r="A623" i="56" s="1"/>
  <c r="A624" i="56" s="1"/>
  <c r="A625" i="56" s="1"/>
  <c r="A626" i="56" s="1"/>
  <c r="A627" i="56" s="1"/>
  <c r="A628" i="56" s="1"/>
  <c r="A629" i="56" s="1"/>
  <c r="A630" i="56" s="1"/>
  <c r="A631" i="56" s="1"/>
  <c r="A632" i="56" s="1"/>
  <c r="A633" i="56" s="1"/>
  <c r="A634" i="56" s="1"/>
  <c r="A635" i="56" s="1"/>
  <c r="C573" i="56"/>
  <c r="E531" i="56"/>
  <c r="E530" i="56"/>
  <c r="E529" i="56"/>
  <c r="E528" i="56"/>
  <c r="E527" i="56"/>
  <c r="K526" i="56"/>
  <c r="E526" i="56"/>
  <c r="C554" i="56"/>
  <c r="C551" i="56"/>
  <c r="C542" i="56"/>
  <c r="J563" i="56"/>
  <c r="K563" i="56" s="1"/>
  <c r="I563" i="56"/>
  <c r="G563" i="56"/>
  <c r="H563" i="56" s="1"/>
  <c r="J562" i="56"/>
  <c r="K562" i="56" s="1"/>
  <c r="I562" i="56"/>
  <c r="G562" i="56"/>
  <c r="H562" i="56" s="1"/>
  <c r="J561" i="56"/>
  <c r="I561" i="56"/>
  <c r="G561" i="56"/>
  <c r="H561" i="56" s="1"/>
  <c r="F561" i="56"/>
  <c r="J560" i="56"/>
  <c r="I560" i="56"/>
  <c r="G560" i="56"/>
  <c r="H560" i="56" s="1"/>
  <c r="F560" i="56"/>
  <c r="J559" i="56"/>
  <c r="I559" i="56"/>
  <c r="G559" i="56"/>
  <c r="H559" i="56" s="1"/>
  <c r="F559" i="56"/>
  <c r="J556" i="56"/>
  <c r="I556" i="56"/>
  <c r="G556" i="56"/>
  <c r="H556" i="56" s="1"/>
  <c r="F556" i="56"/>
  <c r="J555" i="56"/>
  <c r="K555" i="56" s="1"/>
  <c r="I555" i="56"/>
  <c r="G555" i="56"/>
  <c r="H555" i="56" s="1"/>
  <c r="F555" i="56"/>
  <c r="J553" i="56"/>
  <c r="K553" i="56" s="1"/>
  <c r="G553" i="56"/>
  <c r="H553" i="56" s="1"/>
  <c r="J552" i="56"/>
  <c r="K552" i="56" s="1"/>
  <c r="G552" i="56"/>
  <c r="H552" i="56" s="1"/>
  <c r="J550" i="56"/>
  <c r="K550" i="56" s="1"/>
  <c r="G550" i="56"/>
  <c r="H550" i="56" s="1"/>
  <c r="K549" i="56"/>
  <c r="H549" i="56"/>
  <c r="J547" i="56"/>
  <c r="K547" i="56" s="1"/>
  <c r="G547" i="56"/>
  <c r="H547" i="56" s="1"/>
  <c r="J546" i="56"/>
  <c r="K546" i="56" s="1"/>
  <c r="G546" i="56"/>
  <c r="H546" i="56" s="1"/>
  <c r="J545" i="56"/>
  <c r="K545" i="56" s="1"/>
  <c r="G545" i="56"/>
  <c r="H545" i="56" s="1"/>
  <c r="J544" i="56"/>
  <c r="K544" i="56" s="1"/>
  <c r="G544" i="56"/>
  <c r="H544" i="56" s="1"/>
  <c r="F543" i="56"/>
  <c r="G543" i="56" s="1"/>
  <c r="H543" i="56" s="1"/>
  <c r="J541" i="56"/>
  <c r="K541" i="56" s="1"/>
  <c r="G541" i="56"/>
  <c r="H541" i="56" s="1"/>
  <c r="J540" i="56"/>
  <c r="K540" i="56" s="1"/>
  <c r="H540" i="56"/>
  <c r="J539" i="56"/>
  <c r="G539" i="56"/>
  <c r="J538" i="56"/>
  <c r="G538" i="56"/>
  <c r="J537" i="56"/>
  <c r="K537" i="56" s="1"/>
  <c r="G537" i="56"/>
  <c r="H537" i="56" s="1"/>
  <c r="K536" i="56"/>
  <c r="J536" i="56"/>
  <c r="H536" i="56"/>
  <c r="C517" i="56"/>
  <c r="E475" i="56"/>
  <c r="E474" i="56"/>
  <c r="G497" i="56" s="1"/>
  <c r="H497" i="56" s="1"/>
  <c r="E473" i="56"/>
  <c r="J496" i="56" s="1"/>
  <c r="K496" i="56" s="1"/>
  <c r="E472" i="56"/>
  <c r="J507" i="56" s="1"/>
  <c r="E471" i="56"/>
  <c r="K470" i="56"/>
  <c r="E470" i="56"/>
  <c r="C498" i="56"/>
  <c r="C495" i="56"/>
  <c r="C486" i="56"/>
  <c r="I507" i="56"/>
  <c r="G507" i="56"/>
  <c r="H507" i="56" s="1"/>
  <c r="J506" i="56"/>
  <c r="K506" i="56" s="1"/>
  <c r="I506" i="56"/>
  <c r="J505" i="56"/>
  <c r="K505" i="56" s="1"/>
  <c r="I505" i="56"/>
  <c r="F505" i="56"/>
  <c r="J504" i="56"/>
  <c r="I504" i="56"/>
  <c r="G504" i="56"/>
  <c r="F504" i="56"/>
  <c r="J503" i="56"/>
  <c r="I503" i="56"/>
  <c r="K503" i="56" s="1"/>
  <c r="G503" i="56"/>
  <c r="F503" i="56"/>
  <c r="J500" i="56"/>
  <c r="I500" i="56"/>
  <c r="G500" i="56"/>
  <c r="H500" i="56" s="1"/>
  <c r="F500" i="56"/>
  <c r="J499" i="56"/>
  <c r="I499" i="56"/>
  <c r="G499" i="56"/>
  <c r="H499" i="56" s="1"/>
  <c r="F499" i="56"/>
  <c r="J497" i="56"/>
  <c r="K497" i="56" s="1"/>
  <c r="G496" i="56"/>
  <c r="H496" i="56" s="1"/>
  <c r="J494" i="56"/>
  <c r="K494" i="56" s="1"/>
  <c r="L494" i="56" s="1"/>
  <c r="M494" i="56" s="1"/>
  <c r="G494" i="56"/>
  <c r="H494" i="56" s="1"/>
  <c r="K493" i="56"/>
  <c r="H493" i="56"/>
  <c r="K491" i="56"/>
  <c r="J491" i="56"/>
  <c r="G491" i="56"/>
  <c r="H491" i="56" s="1"/>
  <c r="J490" i="56"/>
  <c r="K490" i="56" s="1"/>
  <c r="G490" i="56"/>
  <c r="H490" i="56" s="1"/>
  <c r="J489" i="56"/>
  <c r="K489" i="56" s="1"/>
  <c r="G489" i="56"/>
  <c r="H489" i="56" s="1"/>
  <c r="J488" i="56"/>
  <c r="K488" i="56" s="1"/>
  <c r="G488" i="56"/>
  <c r="H488" i="56" s="1"/>
  <c r="F487" i="56"/>
  <c r="G487" i="56" s="1"/>
  <c r="H487" i="56" s="1"/>
  <c r="J485" i="56"/>
  <c r="K485" i="56" s="1"/>
  <c r="G485" i="56"/>
  <c r="H485" i="56" s="1"/>
  <c r="K484" i="56"/>
  <c r="J484" i="56"/>
  <c r="H484" i="56"/>
  <c r="J483" i="56"/>
  <c r="G483" i="56"/>
  <c r="J482" i="56"/>
  <c r="G482" i="56"/>
  <c r="J481" i="56"/>
  <c r="K481" i="56" s="1"/>
  <c r="G481" i="56"/>
  <c r="H481" i="56" s="1"/>
  <c r="K480" i="56"/>
  <c r="J480" i="56"/>
  <c r="H480" i="56"/>
  <c r="A480" i="56"/>
  <c r="A481" i="56" s="1"/>
  <c r="A482" i="56" s="1"/>
  <c r="A483" i="56" s="1"/>
  <c r="A484" i="56" s="1"/>
  <c r="A485" i="56" s="1"/>
  <c r="A486" i="56" s="1"/>
  <c r="A487" i="56" s="1"/>
  <c r="A488" i="56" s="1"/>
  <c r="A489" i="56" s="1"/>
  <c r="A490" i="56" s="1"/>
  <c r="A491" i="56" s="1"/>
  <c r="A492" i="56" s="1"/>
  <c r="A493" i="56" s="1"/>
  <c r="A494" i="56" s="1"/>
  <c r="A495" i="56" s="1"/>
  <c r="A496" i="56" s="1"/>
  <c r="A497" i="56" s="1"/>
  <c r="A498" i="56" s="1"/>
  <c r="A499" i="56" s="1"/>
  <c r="A500" i="56" s="1"/>
  <c r="A501" i="56" s="1"/>
  <c r="A502" i="56" s="1"/>
  <c r="A503" i="56" s="1"/>
  <c r="A504" i="56" s="1"/>
  <c r="A505" i="56" s="1"/>
  <c r="A506" i="56" s="1"/>
  <c r="A507" i="56" s="1"/>
  <c r="A508" i="56" s="1"/>
  <c r="A509" i="56" s="1"/>
  <c r="A510" i="56" s="1"/>
  <c r="A511" i="56" s="1"/>
  <c r="A512" i="56" s="1"/>
  <c r="A513" i="56" s="1"/>
  <c r="A514" i="56" s="1"/>
  <c r="A515" i="56" s="1"/>
  <c r="A516" i="56" s="1"/>
  <c r="A517" i="56" s="1"/>
  <c r="A518" i="56" s="1"/>
  <c r="A519" i="56" s="1"/>
  <c r="A520" i="56" s="1"/>
  <c r="A521" i="56" s="1"/>
  <c r="A522" i="56" s="1"/>
  <c r="A523" i="56" s="1"/>
  <c r="C466" i="56"/>
  <c r="E419" i="56"/>
  <c r="E418" i="56"/>
  <c r="E417" i="56"/>
  <c r="E416" i="56"/>
  <c r="J451" i="56" s="1"/>
  <c r="K451" i="56" s="1"/>
  <c r="E415" i="56"/>
  <c r="K414" i="56"/>
  <c r="E414" i="56"/>
  <c r="F436" i="56" s="1"/>
  <c r="H436" i="56" s="1"/>
  <c r="C442" i="56"/>
  <c r="C439" i="56"/>
  <c r="C430" i="56"/>
  <c r="I451" i="56"/>
  <c r="G451" i="56"/>
  <c r="H451" i="56" s="1"/>
  <c r="J450" i="56"/>
  <c r="K450" i="56" s="1"/>
  <c r="I450" i="56"/>
  <c r="G450" i="56"/>
  <c r="H450" i="56" s="1"/>
  <c r="J449" i="56"/>
  <c r="K449" i="56" s="1"/>
  <c r="I449" i="56"/>
  <c r="G449" i="56"/>
  <c r="F449" i="56"/>
  <c r="J448" i="56"/>
  <c r="K448" i="56" s="1"/>
  <c r="I448" i="56"/>
  <c r="G448" i="56"/>
  <c r="F448" i="56"/>
  <c r="J447" i="56"/>
  <c r="K447" i="56" s="1"/>
  <c r="I447" i="56"/>
  <c r="G447" i="56"/>
  <c r="F447" i="56"/>
  <c r="I445" i="56"/>
  <c r="K445" i="56" s="1"/>
  <c r="H445" i="56"/>
  <c r="F445" i="56"/>
  <c r="J444" i="56"/>
  <c r="K444" i="56" s="1"/>
  <c r="I444" i="56"/>
  <c r="G444" i="56"/>
  <c r="H444" i="56" s="1"/>
  <c r="F444" i="56"/>
  <c r="J443" i="56"/>
  <c r="I443" i="56"/>
  <c r="G443" i="56"/>
  <c r="H443" i="56" s="1"/>
  <c r="F443" i="56"/>
  <c r="J441" i="56"/>
  <c r="K441" i="56" s="1"/>
  <c r="G441" i="56"/>
  <c r="H441" i="56" s="1"/>
  <c r="J440" i="56"/>
  <c r="K440" i="56" s="1"/>
  <c r="G440" i="56"/>
  <c r="H440" i="56" s="1"/>
  <c r="J438" i="56"/>
  <c r="K438" i="56" s="1"/>
  <c r="G438" i="56"/>
  <c r="H438" i="56" s="1"/>
  <c r="K437" i="56"/>
  <c r="L437" i="56" s="1"/>
  <c r="M437" i="56" s="1"/>
  <c r="H437" i="56"/>
  <c r="I436" i="56"/>
  <c r="K436" i="56" s="1"/>
  <c r="J435" i="56"/>
  <c r="K435" i="56" s="1"/>
  <c r="G435" i="56"/>
  <c r="H435" i="56" s="1"/>
  <c r="J434" i="56"/>
  <c r="K434" i="56" s="1"/>
  <c r="G434" i="56"/>
  <c r="H434" i="56" s="1"/>
  <c r="J433" i="56"/>
  <c r="K433" i="56" s="1"/>
  <c r="G433" i="56"/>
  <c r="H433" i="56" s="1"/>
  <c r="J432" i="56"/>
  <c r="K432" i="56" s="1"/>
  <c r="G432" i="56"/>
  <c r="H432" i="56" s="1"/>
  <c r="F431" i="56"/>
  <c r="G431" i="56" s="1"/>
  <c r="H431" i="56" s="1"/>
  <c r="J429" i="56"/>
  <c r="K429" i="56" s="1"/>
  <c r="G429" i="56"/>
  <c r="H429" i="56" s="1"/>
  <c r="K428" i="56"/>
  <c r="H428" i="56"/>
  <c r="J427" i="56"/>
  <c r="G427" i="56"/>
  <c r="J426" i="56"/>
  <c r="G426" i="56"/>
  <c r="J425" i="56"/>
  <c r="K425" i="56" s="1"/>
  <c r="G425" i="56"/>
  <c r="H425" i="56" s="1"/>
  <c r="K424" i="56"/>
  <c r="H424" i="56"/>
  <c r="C400" i="56"/>
  <c r="E363" i="56"/>
  <c r="E362" i="56"/>
  <c r="E361" i="56"/>
  <c r="J384" i="56" s="1"/>
  <c r="K384" i="56" s="1"/>
  <c r="E360" i="56"/>
  <c r="E359" i="56"/>
  <c r="K358" i="56"/>
  <c r="E358" i="56"/>
  <c r="I380" i="56" s="1"/>
  <c r="K380" i="56" s="1"/>
  <c r="C386" i="56"/>
  <c r="C383" i="56"/>
  <c r="C374" i="56"/>
  <c r="J395" i="56"/>
  <c r="K395" i="56" s="1"/>
  <c r="I395" i="56"/>
  <c r="G395" i="56"/>
  <c r="H395" i="56" s="1"/>
  <c r="J394" i="56"/>
  <c r="I394" i="56"/>
  <c r="G394" i="56"/>
  <c r="H394" i="56" s="1"/>
  <c r="J393" i="56"/>
  <c r="K393" i="56" s="1"/>
  <c r="I393" i="56"/>
  <c r="G393" i="56"/>
  <c r="F393" i="56"/>
  <c r="J392" i="56"/>
  <c r="K392" i="56" s="1"/>
  <c r="I392" i="56"/>
  <c r="G392" i="56"/>
  <c r="F392" i="56"/>
  <c r="J391" i="56"/>
  <c r="K391" i="56" s="1"/>
  <c r="I391" i="56"/>
  <c r="G391" i="56"/>
  <c r="H391" i="56" s="1"/>
  <c r="F391" i="56"/>
  <c r="F375" i="56" s="1"/>
  <c r="G375" i="56" s="1"/>
  <c r="H375" i="56" s="1"/>
  <c r="I389" i="56"/>
  <c r="K389" i="56" s="1"/>
  <c r="H389" i="56"/>
  <c r="F389" i="56"/>
  <c r="K388" i="56"/>
  <c r="J388" i="56"/>
  <c r="I388" i="56"/>
  <c r="G388" i="56"/>
  <c r="H388" i="56" s="1"/>
  <c r="F388" i="56"/>
  <c r="J387" i="56"/>
  <c r="K387" i="56" s="1"/>
  <c r="I387" i="56"/>
  <c r="G387" i="56"/>
  <c r="F387" i="56"/>
  <c r="J385" i="56"/>
  <c r="K385" i="56" s="1"/>
  <c r="G385" i="56"/>
  <c r="H385" i="56" s="1"/>
  <c r="J382" i="56"/>
  <c r="K382" i="56" s="1"/>
  <c r="G382" i="56"/>
  <c r="H382" i="56" s="1"/>
  <c r="K381" i="56"/>
  <c r="H381" i="56"/>
  <c r="K379" i="56"/>
  <c r="J379" i="56"/>
  <c r="G379" i="56"/>
  <c r="H379" i="56" s="1"/>
  <c r="J378" i="56"/>
  <c r="K378" i="56" s="1"/>
  <c r="G378" i="56"/>
  <c r="H378" i="56" s="1"/>
  <c r="J377" i="56"/>
  <c r="K377" i="56" s="1"/>
  <c r="G377" i="56"/>
  <c r="H377" i="56" s="1"/>
  <c r="J376" i="56"/>
  <c r="K376" i="56" s="1"/>
  <c r="G376" i="56"/>
  <c r="H376" i="56" s="1"/>
  <c r="J373" i="56"/>
  <c r="K373" i="56" s="1"/>
  <c r="G373" i="56"/>
  <c r="H373" i="56" s="1"/>
  <c r="K372" i="56"/>
  <c r="H372" i="56"/>
  <c r="J371" i="56"/>
  <c r="G371" i="56"/>
  <c r="J370" i="56"/>
  <c r="G370" i="56"/>
  <c r="J369" i="56"/>
  <c r="K369" i="56" s="1"/>
  <c r="G369" i="56"/>
  <c r="H369" i="56" s="1"/>
  <c r="K368" i="56"/>
  <c r="H368" i="56"/>
  <c r="A368" i="56"/>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C344" i="56"/>
  <c r="E307" i="56"/>
  <c r="E306" i="56"/>
  <c r="E305" i="56"/>
  <c r="J328" i="56" s="1"/>
  <c r="K328" i="56" s="1"/>
  <c r="E304" i="56"/>
  <c r="E303" i="56"/>
  <c r="K302" i="56"/>
  <c r="E302" i="56"/>
  <c r="C330" i="56"/>
  <c r="C327" i="56"/>
  <c r="C318" i="56"/>
  <c r="J339" i="56"/>
  <c r="K339" i="56" s="1"/>
  <c r="I339" i="56"/>
  <c r="G339" i="56"/>
  <c r="H339" i="56" s="1"/>
  <c r="J338" i="56"/>
  <c r="I338" i="56"/>
  <c r="G338" i="56"/>
  <c r="H338" i="56" s="1"/>
  <c r="J337" i="56"/>
  <c r="K337" i="56" s="1"/>
  <c r="I337" i="56"/>
  <c r="G337" i="56"/>
  <c r="F337" i="56"/>
  <c r="J336" i="56"/>
  <c r="K336" i="56" s="1"/>
  <c r="I336" i="56"/>
  <c r="G336" i="56"/>
  <c r="F336" i="56"/>
  <c r="K335" i="56"/>
  <c r="J335" i="56"/>
  <c r="I335" i="56"/>
  <c r="G335" i="56"/>
  <c r="H335" i="56" s="1"/>
  <c r="F335" i="56"/>
  <c r="F319" i="56" s="1"/>
  <c r="G319" i="56" s="1"/>
  <c r="H319" i="56" s="1"/>
  <c r="I333" i="56"/>
  <c r="K333" i="56" s="1"/>
  <c r="H333" i="56"/>
  <c r="F333" i="56"/>
  <c r="K332" i="56"/>
  <c r="J332" i="56"/>
  <c r="I332" i="56"/>
  <c r="G332" i="56"/>
  <c r="H332" i="56" s="1"/>
  <c r="F332" i="56"/>
  <c r="J331" i="56"/>
  <c r="I331" i="56"/>
  <c r="G331" i="56"/>
  <c r="H331" i="56" s="1"/>
  <c r="F331" i="56"/>
  <c r="J329" i="56"/>
  <c r="K329" i="56" s="1"/>
  <c r="G329" i="56"/>
  <c r="H329" i="56" s="1"/>
  <c r="G328" i="56"/>
  <c r="H328" i="56" s="1"/>
  <c r="J326" i="56"/>
  <c r="K326" i="56" s="1"/>
  <c r="G326" i="56"/>
  <c r="H326" i="56" s="1"/>
  <c r="K325" i="56"/>
  <c r="H325" i="56"/>
  <c r="J323" i="56"/>
  <c r="K323" i="56" s="1"/>
  <c r="H323" i="56"/>
  <c r="G323" i="56"/>
  <c r="J322" i="56"/>
  <c r="K322" i="56" s="1"/>
  <c r="G322" i="56"/>
  <c r="H322" i="56" s="1"/>
  <c r="K321" i="56"/>
  <c r="J321" i="56"/>
  <c r="G321" i="56"/>
  <c r="H321" i="56" s="1"/>
  <c r="J320" i="56"/>
  <c r="K320" i="56" s="1"/>
  <c r="G320" i="56"/>
  <c r="H320" i="56" s="1"/>
  <c r="J317" i="56"/>
  <c r="K317" i="56" s="1"/>
  <c r="G317" i="56"/>
  <c r="H317" i="56" s="1"/>
  <c r="K316" i="56"/>
  <c r="H316" i="56"/>
  <c r="J315" i="56"/>
  <c r="G315" i="56"/>
  <c r="J314" i="56"/>
  <c r="G314" i="56"/>
  <c r="J313" i="56"/>
  <c r="K313" i="56" s="1"/>
  <c r="G313" i="56"/>
  <c r="H313" i="56" s="1"/>
  <c r="K312" i="56"/>
  <c r="H312" i="56"/>
  <c r="A312" i="56"/>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C298" i="56"/>
  <c r="E251" i="56"/>
  <c r="E250" i="56"/>
  <c r="E249" i="56"/>
  <c r="G273" i="56" s="1"/>
  <c r="H273" i="56" s="1"/>
  <c r="E248" i="56"/>
  <c r="E247" i="56"/>
  <c r="K246" i="56"/>
  <c r="E246" i="56"/>
  <c r="H297" i="56" s="1"/>
  <c r="C274" i="56"/>
  <c r="C271" i="56"/>
  <c r="C262" i="56"/>
  <c r="K297" i="56"/>
  <c r="J283" i="56"/>
  <c r="K283" i="56" s="1"/>
  <c r="I283" i="56"/>
  <c r="G283" i="56"/>
  <c r="H283" i="56" s="1"/>
  <c r="J282" i="56"/>
  <c r="K282" i="56" s="1"/>
  <c r="I282" i="56"/>
  <c r="G282" i="56"/>
  <c r="H282" i="56" s="1"/>
  <c r="J281" i="56"/>
  <c r="I281" i="56"/>
  <c r="G281" i="56"/>
  <c r="H281" i="56" s="1"/>
  <c r="F281" i="56"/>
  <c r="J280" i="56"/>
  <c r="I280" i="56"/>
  <c r="G280" i="56"/>
  <c r="H280" i="56" s="1"/>
  <c r="F280" i="56"/>
  <c r="J279" i="56"/>
  <c r="I279" i="56"/>
  <c r="G279" i="56"/>
  <c r="H279" i="56" s="1"/>
  <c r="F279" i="56"/>
  <c r="I277" i="56"/>
  <c r="K277" i="56" s="1"/>
  <c r="L277" i="56" s="1"/>
  <c r="M277" i="56" s="1"/>
  <c r="H277" i="56"/>
  <c r="F277" i="56"/>
  <c r="J276" i="56"/>
  <c r="K276" i="56" s="1"/>
  <c r="I276" i="56"/>
  <c r="H276" i="56"/>
  <c r="G276" i="56"/>
  <c r="F276" i="56"/>
  <c r="J275" i="56"/>
  <c r="I275" i="56"/>
  <c r="G275" i="56"/>
  <c r="H275" i="56" s="1"/>
  <c r="F275" i="56"/>
  <c r="J273" i="56"/>
  <c r="K273" i="56" s="1"/>
  <c r="G272" i="56"/>
  <c r="H272" i="56" s="1"/>
  <c r="K269" i="56"/>
  <c r="H269" i="56"/>
  <c r="J266" i="56"/>
  <c r="K266" i="56" s="1"/>
  <c r="G266" i="56"/>
  <c r="H266" i="56" s="1"/>
  <c r="J264" i="56"/>
  <c r="K264" i="56" s="1"/>
  <c r="G263" i="56"/>
  <c r="H263" i="56" s="1"/>
  <c r="F263" i="56"/>
  <c r="J261" i="56"/>
  <c r="K261" i="56" s="1"/>
  <c r="K260" i="56"/>
  <c r="J260" i="56"/>
  <c r="H260" i="56"/>
  <c r="G259" i="56"/>
  <c r="G257" i="56"/>
  <c r="H257" i="56" s="1"/>
  <c r="K256" i="56"/>
  <c r="J256" i="56"/>
  <c r="H256" i="56"/>
  <c r="C242" i="56"/>
  <c r="E195" i="56"/>
  <c r="E194" i="56"/>
  <c r="E193" i="56"/>
  <c r="E192" i="56"/>
  <c r="E191" i="56"/>
  <c r="K190" i="56"/>
  <c r="E190" i="56"/>
  <c r="K236" i="56" s="1"/>
  <c r="C218" i="56"/>
  <c r="C215" i="56"/>
  <c r="C206" i="56"/>
  <c r="K241" i="56"/>
  <c r="J227" i="56"/>
  <c r="K227" i="56" s="1"/>
  <c r="I227" i="56"/>
  <c r="I207" i="56" s="1"/>
  <c r="J207" i="56" s="1"/>
  <c r="K207" i="56" s="1"/>
  <c r="G227" i="56"/>
  <c r="H227" i="56" s="1"/>
  <c r="J226" i="56"/>
  <c r="K226" i="56" s="1"/>
  <c r="I226" i="56"/>
  <c r="G226" i="56"/>
  <c r="H226" i="56" s="1"/>
  <c r="J225" i="56"/>
  <c r="I225" i="56"/>
  <c r="G225" i="56"/>
  <c r="H225" i="56" s="1"/>
  <c r="F225" i="56"/>
  <c r="J224" i="56"/>
  <c r="I224" i="56"/>
  <c r="G224" i="56"/>
  <c r="H224" i="56" s="1"/>
  <c r="F224" i="56"/>
  <c r="J223" i="56"/>
  <c r="I223" i="56"/>
  <c r="G223" i="56"/>
  <c r="H223" i="56" s="1"/>
  <c r="F223" i="56"/>
  <c r="I221" i="56"/>
  <c r="K221" i="56" s="1"/>
  <c r="L221" i="56" s="1"/>
  <c r="M221" i="56" s="1"/>
  <c r="H221" i="56"/>
  <c r="F221" i="56"/>
  <c r="J220" i="56"/>
  <c r="K220" i="56" s="1"/>
  <c r="I220" i="56"/>
  <c r="G220" i="56"/>
  <c r="H220" i="56" s="1"/>
  <c r="F220" i="56"/>
  <c r="J219" i="56"/>
  <c r="I219" i="56"/>
  <c r="K219" i="56" s="1"/>
  <c r="G219" i="56"/>
  <c r="H219" i="56" s="1"/>
  <c r="F219" i="56"/>
  <c r="J217" i="56"/>
  <c r="K217" i="56" s="1"/>
  <c r="G217" i="56"/>
  <c r="H217" i="56" s="1"/>
  <c r="J216" i="56"/>
  <c r="K216" i="56" s="1"/>
  <c r="G216" i="56"/>
  <c r="H216" i="56" s="1"/>
  <c r="J214" i="56"/>
  <c r="K214" i="56" s="1"/>
  <c r="G214" i="56"/>
  <c r="H214" i="56" s="1"/>
  <c r="K213" i="56"/>
  <c r="L213" i="56" s="1"/>
  <c r="M213" i="56" s="1"/>
  <c r="H213" i="56"/>
  <c r="I212" i="56"/>
  <c r="K212" i="56" s="1"/>
  <c r="F212" i="56"/>
  <c r="H212" i="56" s="1"/>
  <c r="J211" i="56"/>
  <c r="K211" i="56" s="1"/>
  <c r="G211" i="56"/>
  <c r="H211" i="56" s="1"/>
  <c r="J210" i="56"/>
  <c r="K210" i="56" s="1"/>
  <c r="G210" i="56"/>
  <c r="H210" i="56" s="1"/>
  <c r="J209" i="56"/>
  <c r="K209" i="56" s="1"/>
  <c r="G209" i="56"/>
  <c r="H209" i="56" s="1"/>
  <c r="J208" i="56"/>
  <c r="K208" i="56" s="1"/>
  <c r="G208" i="56"/>
  <c r="H208" i="56" s="1"/>
  <c r="F207" i="56"/>
  <c r="G207" i="56" s="1"/>
  <c r="H207" i="56" s="1"/>
  <c r="K205" i="56"/>
  <c r="J205" i="56"/>
  <c r="G205" i="56"/>
  <c r="H205" i="56" s="1"/>
  <c r="J204" i="56"/>
  <c r="K204" i="56" s="1"/>
  <c r="L204" i="56" s="1"/>
  <c r="M204" i="56" s="1"/>
  <c r="H204" i="56"/>
  <c r="J203" i="56"/>
  <c r="G203" i="56"/>
  <c r="J202" i="56"/>
  <c r="G202" i="56"/>
  <c r="J201" i="56"/>
  <c r="K201" i="56" s="1"/>
  <c r="G201" i="56"/>
  <c r="H201" i="56" s="1"/>
  <c r="K200" i="56"/>
  <c r="J200" i="56"/>
  <c r="H200" i="56"/>
  <c r="A200" i="56"/>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C176" i="56"/>
  <c r="E139" i="56"/>
  <c r="E138" i="56"/>
  <c r="E137" i="56"/>
  <c r="J160" i="56" s="1"/>
  <c r="K160" i="56" s="1"/>
  <c r="E136" i="56"/>
  <c r="J171" i="56" s="1"/>
  <c r="E135" i="56"/>
  <c r="K134" i="56"/>
  <c r="E134" i="56"/>
  <c r="A144" i="56" s="1"/>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C162" i="56"/>
  <c r="C159" i="56"/>
  <c r="C150" i="56"/>
  <c r="I171" i="56"/>
  <c r="G171" i="56"/>
  <c r="H171" i="56" s="1"/>
  <c r="J170" i="56"/>
  <c r="I170" i="56"/>
  <c r="G170" i="56"/>
  <c r="H170" i="56" s="1"/>
  <c r="J169" i="56"/>
  <c r="K169" i="56" s="1"/>
  <c r="I169" i="56"/>
  <c r="G169" i="56"/>
  <c r="F169" i="56"/>
  <c r="J168" i="56"/>
  <c r="K168" i="56" s="1"/>
  <c r="I168" i="56"/>
  <c r="G168" i="56"/>
  <c r="F168" i="56"/>
  <c r="K167" i="56"/>
  <c r="J167" i="56"/>
  <c r="I167" i="56"/>
  <c r="G167" i="56"/>
  <c r="F167" i="56"/>
  <c r="F151" i="56" s="1"/>
  <c r="G151" i="56" s="1"/>
  <c r="H151" i="56" s="1"/>
  <c r="I165" i="56"/>
  <c r="K165" i="56" s="1"/>
  <c r="L165" i="56" s="1"/>
  <c r="M165" i="56" s="1"/>
  <c r="H165" i="56"/>
  <c r="F165" i="56"/>
  <c r="K164" i="56"/>
  <c r="J164" i="56"/>
  <c r="I164" i="56"/>
  <c r="G164" i="56"/>
  <c r="H164" i="56" s="1"/>
  <c r="F164" i="56"/>
  <c r="J163" i="56"/>
  <c r="I163" i="56"/>
  <c r="G163" i="56"/>
  <c r="H163" i="56" s="1"/>
  <c r="F163" i="56"/>
  <c r="J161" i="56"/>
  <c r="K161" i="56" s="1"/>
  <c r="G161" i="56"/>
  <c r="H161" i="56" s="1"/>
  <c r="G160" i="56"/>
  <c r="H160" i="56" s="1"/>
  <c r="J158" i="56"/>
  <c r="K158" i="56" s="1"/>
  <c r="G158" i="56"/>
  <c r="H158" i="56" s="1"/>
  <c r="K157" i="56"/>
  <c r="H157" i="56"/>
  <c r="J155" i="56"/>
  <c r="K155" i="56" s="1"/>
  <c r="G155" i="56"/>
  <c r="H155" i="56" s="1"/>
  <c r="J154" i="56"/>
  <c r="K154" i="56" s="1"/>
  <c r="H154" i="56"/>
  <c r="G154" i="56"/>
  <c r="J153" i="56"/>
  <c r="K153" i="56" s="1"/>
  <c r="G153" i="56"/>
  <c r="H153" i="56" s="1"/>
  <c r="J152" i="56"/>
  <c r="K152" i="56" s="1"/>
  <c r="G152" i="56"/>
  <c r="H152" i="56" s="1"/>
  <c r="J149" i="56"/>
  <c r="K149" i="56" s="1"/>
  <c r="H149" i="56"/>
  <c r="G149" i="56"/>
  <c r="K148" i="56"/>
  <c r="J148" i="56"/>
  <c r="H148" i="56"/>
  <c r="J147" i="56"/>
  <c r="G147" i="56"/>
  <c r="J146" i="56"/>
  <c r="G146" i="56"/>
  <c r="J145" i="56"/>
  <c r="K145" i="56" s="1"/>
  <c r="G145" i="56"/>
  <c r="H145" i="56" s="1"/>
  <c r="K144" i="56"/>
  <c r="J144" i="56"/>
  <c r="H144" i="56"/>
  <c r="C120" i="56"/>
  <c r="E83" i="56"/>
  <c r="E82" i="56"/>
  <c r="E81" i="56"/>
  <c r="E80" i="56"/>
  <c r="J115" i="56" s="1"/>
  <c r="E79" i="56"/>
  <c r="K78" i="56"/>
  <c r="E78" i="56"/>
  <c r="I100" i="56" s="1"/>
  <c r="K100" i="56" s="1"/>
  <c r="C106" i="56"/>
  <c r="C103" i="56"/>
  <c r="C94" i="56"/>
  <c r="I115" i="56"/>
  <c r="G115" i="56"/>
  <c r="H115" i="56" s="1"/>
  <c r="J114" i="56"/>
  <c r="I114" i="56"/>
  <c r="J113" i="56"/>
  <c r="I113" i="56"/>
  <c r="F113" i="56"/>
  <c r="J112" i="56"/>
  <c r="K112" i="56" s="1"/>
  <c r="I112" i="56"/>
  <c r="F112" i="56"/>
  <c r="J111" i="56"/>
  <c r="K111" i="56" s="1"/>
  <c r="I111" i="56"/>
  <c r="I95" i="56" s="1"/>
  <c r="J95" i="56" s="1"/>
  <c r="K95" i="56" s="1"/>
  <c r="F111" i="56"/>
  <c r="I109" i="56"/>
  <c r="K109" i="56" s="1"/>
  <c r="F109" i="56"/>
  <c r="H109" i="56" s="1"/>
  <c r="J108" i="56"/>
  <c r="K108" i="56" s="1"/>
  <c r="I108" i="56"/>
  <c r="F108" i="56"/>
  <c r="J107" i="56"/>
  <c r="K107" i="56" s="1"/>
  <c r="I107" i="56"/>
  <c r="F107" i="56"/>
  <c r="J105" i="56"/>
  <c r="K105" i="56" s="1"/>
  <c r="J104" i="56"/>
  <c r="K104" i="56" s="1"/>
  <c r="G102" i="56"/>
  <c r="H102" i="56" s="1"/>
  <c r="K101" i="56"/>
  <c r="H101" i="56"/>
  <c r="G99" i="56"/>
  <c r="H99" i="56" s="1"/>
  <c r="J97" i="56"/>
  <c r="K97" i="56" s="1"/>
  <c r="G97" i="56"/>
  <c r="H97" i="56" s="1"/>
  <c r="G96" i="56"/>
  <c r="H96" i="56" s="1"/>
  <c r="G93" i="56"/>
  <c r="H93" i="56" s="1"/>
  <c r="J92" i="56"/>
  <c r="K92" i="56" s="1"/>
  <c r="H92" i="56"/>
  <c r="G91" i="56"/>
  <c r="J90" i="56"/>
  <c r="G89" i="56"/>
  <c r="H89" i="56" s="1"/>
  <c r="J88" i="56"/>
  <c r="K88" i="56" s="1"/>
  <c r="H88" i="56"/>
  <c r="A88" i="56"/>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J611" i="56" l="1"/>
  <c r="G655" i="56"/>
  <c r="H655" i="56" s="1"/>
  <c r="K671" i="56"/>
  <c r="K556" i="56"/>
  <c r="L556" i="56" s="1"/>
  <c r="M556" i="56" s="1"/>
  <c r="A424" i="56"/>
  <c r="A425" i="56" s="1"/>
  <c r="A426" i="56" s="1"/>
  <c r="A427" i="56" s="1"/>
  <c r="A428" i="56" s="1"/>
  <c r="A429" i="56" s="1"/>
  <c r="A430" i="56" s="1"/>
  <c r="A431" i="56" s="1"/>
  <c r="A432" i="56" s="1"/>
  <c r="A433" i="56" s="1"/>
  <c r="A434" i="56" s="1"/>
  <c r="A435" i="56" s="1"/>
  <c r="A436" i="56" s="1"/>
  <c r="A437" i="56" s="1"/>
  <c r="A438" i="56" s="1"/>
  <c r="A439" i="56" s="1"/>
  <c r="A440" i="56" s="1"/>
  <c r="A441" i="56" s="1"/>
  <c r="A442" i="56" s="1"/>
  <c r="A443" i="56" s="1"/>
  <c r="A444" i="56" s="1"/>
  <c r="A445" i="56" s="1"/>
  <c r="A446" i="56" s="1"/>
  <c r="A447" i="56" s="1"/>
  <c r="A448" i="56" s="1"/>
  <c r="A449" i="56" s="1"/>
  <c r="A450" i="56" s="1"/>
  <c r="A451" i="56" s="1"/>
  <c r="A452" i="56" s="1"/>
  <c r="A453" i="56" s="1"/>
  <c r="A454" i="56" s="1"/>
  <c r="A455" i="56" s="1"/>
  <c r="A456" i="56" s="1"/>
  <c r="A457" i="56" s="1"/>
  <c r="A458" i="56" s="1"/>
  <c r="A459" i="56" s="1"/>
  <c r="A460" i="56" s="1"/>
  <c r="A461" i="56" s="1"/>
  <c r="A462" i="56" s="1"/>
  <c r="A463" i="56" s="1"/>
  <c r="A464" i="56" s="1"/>
  <c r="A465" i="56" s="1"/>
  <c r="A466" i="56" s="1"/>
  <c r="A467" i="56" s="1"/>
  <c r="F268" i="56"/>
  <c r="H268" i="56" s="1"/>
  <c r="K231" i="56"/>
  <c r="L231" i="56" s="1"/>
  <c r="H241" i="56"/>
  <c r="H231" i="56"/>
  <c r="F156" i="56"/>
  <c r="H156" i="56" s="1"/>
  <c r="F100" i="56"/>
  <c r="H100" i="56" s="1"/>
  <c r="L100" i="56" s="1"/>
  <c r="M100" i="56" s="1"/>
  <c r="A256" i="56"/>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I268" i="56"/>
  <c r="K268" i="56" s="1"/>
  <c r="L268" i="56" s="1"/>
  <c r="M268" i="56" s="1"/>
  <c r="H236" i="56"/>
  <c r="K279" i="56"/>
  <c r="K280" i="56"/>
  <c r="L280" i="56" s="1"/>
  <c r="M280" i="56" s="1"/>
  <c r="K281" i="56"/>
  <c r="L281" i="56" s="1"/>
  <c r="M281" i="56" s="1"/>
  <c r="H336" i="56"/>
  <c r="H337" i="56"/>
  <c r="H392" i="56"/>
  <c r="L392" i="56" s="1"/>
  <c r="M392" i="56" s="1"/>
  <c r="H393" i="56"/>
  <c r="L393" i="56" s="1"/>
  <c r="M393" i="56" s="1"/>
  <c r="H447" i="56"/>
  <c r="H448" i="56"/>
  <c r="H449" i="56"/>
  <c r="L449" i="56" s="1"/>
  <c r="M449" i="56" s="1"/>
  <c r="K504" i="56"/>
  <c r="K559" i="56"/>
  <c r="K560" i="56"/>
  <c r="K561" i="56"/>
  <c r="H615" i="56"/>
  <c r="L615" i="56" s="1"/>
  <c r="M615" i="56" s="1"/>
  <c r="H728" i="56"/>
  <c r="H729" i="56"/>
  <c r="H785" i="56"/>
  <c r="L785" i="56" s="1"/>
  <c r="M785" i="56" s="1"/>
  <c r="H167" i="56"/>
  <c r="K223" i="56"/>
  <c r="K224" i="56"/>
  <c r="L224" i="56" s="1"/>
  <c r="M224" i="56" s="1"/>
  <c r="K225" i="56"/>
  <c r="L225" i="56" s="1"/>
  <c r="M225" i="56" s="1"/>
  <c r="K113" i="56"/>
  <c r="H168" i="56"/>
  <c r="H169" i="56"/>
  <c r="L169" i="56" s="1"/>
  <c r="M169" i="56" s="1"/>
  <c r="H503" i="56"/>
  <c r="H616" i="56"/>
  <c r="L616" i="56" s="1"/>
  <c r="M616" i="56" s="1"/>
  <c r="H617" i="56"/>
  <c r="K672" i="56"/>
  <c r="L672" i="56" s="1"/>
  <c r="M672" i="56" s="1"/>
  <c r="K673" i="56"/>
  <c r="K783" i="56"/>
  <c r="L783" i="56" s="1"/>
  <c r="M783" i="56" s="1"/>
  <c r="L168" i="56"/>
  <c r="M168" i="56" s="1"/>
  <c r="L336" i="56"/>
  <c r="M336" i="56" s="1"/>
  <c r="L337" i="56"/>
  <c r="M337" i="56" s="1"/>
  <c r="F27" i="17"/>
  <c r="G27" i="17"/>
  <c r="L773" i="56"/>
  <c r="M773" i="56" s="1"/>
  <c r="L784" i="56"/>
  <c r="M784" i="56" s="1"/>
  <c r="L791" i="56"/>
  <c r="L769" i="56"/>
  <c r="M769" i="56" s="1"/>
  <c r="L771" i="56"/>
  <c r="M771" i="56" s="1"/>
  <c r="L765" i="56"/>
  <c r="M765" i="56" s="1"/>
  <c r="L777" i="56"/>
  <c r="M777" i="56" s="1"/>
  <c r="N777" i="56" s="1"/>
  <c r="K780" i="56"/>
  <c r="L780" i="56" s="1"/>
  <c r="M780" i="56" s="1"/>
  <c r="H766" i="56"/>
  <c r="L768" i="56"/>
  <c r="M768" i="56" s="1"/>
  <c r="L776" i="56"/>
  <c r="M776" i="56" s="1"/>
  <c r="N776" i="56" s="1"/>
  <c r="H779" i="56"/>
  <c r="L774" i="56"/>
  <c r="M774" i="56" s="1"/>
  <c r="L767" i="56"/>
  <c r="M767" i="56" s="1"/>
  <c r="L772" i="56"/>
  <c r="M772" i="56" s="1"/>
  <c r="L787" i="56"/>
  <c r="M787" i="56" s="1"/>
  <c r="L761" i="56"/>
  <c r="M761" i="56" s="1"/>
  <c r="L779" i="56"/>
  <c r="M779" i="56" s="1"/>
  <c r="L770" i="56"/>
  <c r="M770" i="56" s="1"/>
  <c r="L786" i="56"/>
  <c r="M786" i="56" s="1"/>
  <c r="L717" i="56"/>
  <c r="M717" i="56" s="1"/>
  <c r="L708" i="56"/>
  <c r="M708" i="56" s="1"/>
  <c r="K723" i="56"/>
  <c r="L720" i="56"/>
  <c r="M720" i="56" s="1"/>
  <c r="N720" i="56" s="1"/>
  <c r="L728" i="56"/>
  <c r="M728" i="56" s="1"/>
  <c r="L735" i="56"/>
  <c r="L713" i="56"/>
  <c r="M713" i="56" s="1"/>
  <c r="L709" i="56"/>
  <c r="M709" i="56" s="1"/>
  <c r="L715" i="56"/>
  <c r="M715" i="56" s="1"/>
  <c r="L724" i="56"/>
  <c r="M724" i="56" s="1"/>
  <c r="L729" i="56"/>
  <c r="M729" i="56" s="1"/>
  <c r="L712" i="56"/>
  <c r="M712" i="56" s="1"/>
  <c r="L718" i="56"/>
  <c r="M718" i="56" s="1"/>
  <c r="L721" i="56"/>
  <c r="M721" i="56" s="1"/>
  <c r="N721" i="56" s="1"/>
  <c r="L711" i="56"/>
  <c r="M711" i="56" s="1"/>
  <c r="L716" i="56"/>
  <c r="M716" i="56" s="1"/>
  <c r="K740" i="56"/>
  <c r="L705" i="56"/>
  <c r="M705" i="56" s="1"/>
  <c r="L731" i="56"/>
  <c r="M731" i="56" s="1"/>
  <c r="L730" i="56"/>
  <c r="M730" i="56" s="1"/>
  <c r="L723" i="56"/>
  <c r="M723" i="56" s="1"/>
  <c r="L727" i="56"/>
  <c r="M727" i="56" s="1"/>
  <c r="L704" i="56"/>
  <c r="M704" i="56" s="1"/>
  <c r="H710" i="56"/>
  <c r="K675" i="56"/>
  <c r="L673" i="56"/>
  <c r="M673" i="56" s="1"/>
  <c r="L659" i="56"/>
  <c r="M659" i="56" s="1"/>
  <c r="L661" i="56"/>
  <c r="M661" i="56" s="1"/>
  <c r="L652" i="56"/>
  <c r="M652" i="56" s="1"/>
  <c r="L665" i="56"/>
  <c r="M665" i="56" s="1"/>
  <c r="N665" i="56" s="1"/>
  <c r="L662" i="56"/>
  <c r="M662" i="56" s="1"/>
  <c r="L656" i="56"/>
  <c r="M656" i="56" s="1"/>
  <c r="L664" i="56"/>
  <c r="M664" i="56" s="1"/>
  <c r="N664" i="56" s="1"/>
  <c r="L653" i="56"/>
  <c r="M653" i="56" s="1"/>
  <c r="L657" i="56"/>
  <c r="M657" i="56" s="1"/>
  <c r="K668" i="56"/>
  <c r="L668" i="56" s="1"/>
  <c r="M668" i="56" s="1"/>
  <c r="I655" i="56"/>
  <c r="J655" i="56" s="1"/>
  <c r="K655" i="56" s="1"/>
  <c r="L655" i="56" s="1"/>
  <c r="M655" i="56" s="1"/>
  <c r="F660" i="56"/>
  <c r="H660" i="56" s="1"/>
  <c r="I660" i="56"/>
  <c r="K660" i="56" s="1"/>
  <c r="L658" i="56"/>
  <c r="M658" i="56" s="1"/>
  <c r="L675" i="56"/>
  <c r="M675" i="56" s="1"/>
  <c r="L667" i="56"/>
  <c r="M667" i="56" s="1"/>
  <c r="L674" i="56"/>
  <c r="M674" i="56" s="1"/>
  <c r="H654" i="56"/>
  <c r="L649" i="56"/>
  <c r="M649" i="56" s="1"/>
  <c r="L671" i="56"/>
  <c r="M671" i="56" s="1"/>
  <c r="L648" i="56"/>
  <c r="M648" i="56" s="1"/>
  <c r="K619" i="56"/>
  <c r="L617" i="56"/>
  <c r="M617" i="56" s="1"/>
  <c r="L603" i="56"/>
  <c r="M603" i="56" s="1"/>
  <c r="L605" i="56"/>
  <c r="M605" i="56" s="1"/>
  <c r="L596" i="56"/>
  <c r="M596" i="56" s="1"/>
  <c r="L612" i="56"/>
  <c r="M612" i="56" s="1"/>
  <c r="K611" i="56"/>
  <c r="L608" i="56"/>
  <c r="M608" i="56" s="1"/>
  <c r="N608" i="56" s="1"/>
  <c r="L597" i="56"/>
  <c r="M597" i="56" s="1"/>
  <c r="L602" i="56"/>
  <c r="M602" i="56" s="1"/>
  <c r="H598" i="56"/>
  <c r="L601" i="56"/>
  <c r="M601" i="56" s="1"/>
  <c r="I599" i="56"/>
  <c r="J599" i="56" s="1"/>
  <c r="K599" i="56" s="1"/>
  <c r="L599" i="56" s="1"/>
  <c r="M599" i="56" s="1"/>
  <c r="F604" i="56"/>
  <c r="H604" i="56" s="1"/>
  <c r="L604" i="56" s="1"/>
  <c r="M604" i="56" s="1"/>
  <c r="L611" i="56"/>
  <c r="M611" i="56" s="1"/>
  <c r="L600" i="56"/>
  <c r="M600" i="56" s="1"/>
  <c r="L606" i="56"/>
  <c r="M606" i="56" s="1"/>
  <c r="L609" i="56"/>
  <c r="M609" i="56" s="1"/>
  <c r="N609" i="56" s="1"/>
  <c r="L619" i="56"/>
  <c r="M619" i="56" s="1"/>
  <c r="L593" i="56"/>
  <c r="M593" i="56" s="1"/>
  <c r="L618" i="56"/>
  <c r="M618" i="56" s="1"/>
  <c r="L592" i="56"/>
  <c r="M592" i="56" s="1"/>
  <c r="L547" i="56"/>
  <c r="M547" i="56" s="1"/>
  <c r="L549" i="56"/>
  <c r="M549" i="56" s="1"/>
  <c r="L540" i="56"/>
  <c r="M540" i="56" s="1"/>
  <c r="L541" i="56"/>
  <c r="M541" i="56" s="1"/>
  <c r="L544" i="56"/>
  <c r="M544" i="56" s="1"/>
  <c r="L545" i="56"/>
  <c r="M545" i="56" s="1"/>
  <c r="L552" i="56"/>
  <c r="M552" i="56" s="1"/>
  <c r="N552" i="56" s="1"/>
  <c r="I543" i="56"/>
  <c r="J543" i="56" s="1"/>
  <c r="K543" i="56" s="1"/>
  <c r="L543" i="56" s="1"/>
  <c r="M543" i="56" s="1"/>
  <c r="F548" i="56"/>
  <c r="H548" i="56" s="1"/>
  <c r="A536" i="56"/>
  <c r="A537" i="56" s="1"/>
  <c r="A538" i="56" s="1"/>
  <c r="A539" i="56" s="1"/>
  <c r="A540" i="56" s="1"/>
  <c r="A541" i="56" s="1"/>
  <c r="A542" i="56" s="1"/>
  <c r="A543" i="56" s="1"/>
  <c r="A544" i="56" s="1"/>
  <c r="A545" i="56" s="1"/>
  <c r="A546" i="56" s="1"/>
  <c r="A547" i="56" s="1"/>
  <c r="A548" i="56" s="1"/>
  <c r="A549" i="56" s="1"/>
  <c r="A550" i="56" s="1"/>
  <c r="A551" i="56" s="1"/>
  <c r="A552" i="56" s="1"/>
  <c r="A553" i="56" s="1"/>
  <c r="A554" i="56" s="1"/>
  <c r="A555" i="56" s="1"/>
  <c r="A556" i="56" s="1"/>
  <c r="A557" i="56" s="1"/>
  <c r="A558" i="56" s="1"/>
  <c r="A559" i="56" s="1"/>
  <c r="A560" i="56" s="1"/>
  <c r="A561" i="56" s="1"/>
  <c r="A562" i="56" s="1"/>
  <c r="A563" i="56" s="1"/>
  <c r="A564" i="56" s="1"/>
  <c r="A565" i="56" s="1"/>
  <c r="A566" i="56" s="1"/>
  <c r="A567" i="56" s="1"/>
  <c r="A568" i="56" s="1"/>
  <c r="A569" i="56" s="1"/>
  <c r="A570" i="56" s="1"/>
  <c r="A571" i="56" s="1"/>
  <c r="A572" i="56" s="1"/>
  <c r="A573" i="56" s="1"/>
  <c r="A574" i="56" s="1"/>
  <c r="A575" i="56" s="1"/>
  <c r="A576" i="56" s="1"/>
  <c r="A577" i="56" s="1"/>
  <c r="A578" i="56" s="1"/>
  <c r="A579" i="56" s="1"/>
  <c r="I548" i="56"/>
  <c r="K548" i="56" s="1"/>
  <c r="L548" i="56" s="1"/>
  <c r="M548" i="56" s="1"/>
  <c r="L546" i="56"/>
  <c r="M546" i="56" s="1"/>
  <c r="L550" i="56"/>
  <c r="M550" i="56" s="1"/>
  <c r="L553" i="56"/>
  <c r="M553" i="56" s="1"/>
  <c r="N553" i="56" s="1"/>
  <c r="L555" i="56"/>
  <c r="M555" i="56" s="1"/>
  <c r="L562" i="56"/>
  <c r="M562" i="56" s="1"/>
  <c r="L563" i="56"/>
  <c r="M563" i="56" s="1"/>
  <c r="H542" i="56"/>
  <c r="L537" i="56"/>
  <c r="M537" i="56" s="1"/>
  <c r="L559" i="56"/>
  <c r="M559" i="56" s="1"/>
  <c r="L560" i="56"/>
  <c r="M560" i="56" s="1"/>
  <c r="L561" i="56"/>
  <c r="M561" i="56" s="1"/>
  <c r="L536" i="56"/>
  <c r="M536" i="56" s="1"/>
  <c r="K507" i="56"/>
  <c r="L507" i="56" s="1"/>
  <c r="M507" i="56" s="1"/>
  <c r="L484" i="56"/>
  <c r="M484" i="56" s="1"/>
  <c r="L481" i="56"/>
  <c r="M481" i="56" s="1"/>
  <c r="L493" i="56"/>
  <c r="M493" i="56" s="1"/>
  <c r="L497" i="56"/>
  <c r="M497" i="56" s="1"/>
  <c r="N497" i="56" s="1"/>
  <c r="L488" i="56"/>
  <c r="M488" i="56" s="1"/>
  <c r="L489" i="56"/>
  <c r="M489" i="56" s="1"/>
  <c r="L496" i="56"/>
  <c r="M496" i="56" s="1"/>
  <c r="N496" i="56" s="1"/>
  <c r="G506" i="56"/>
  <c r="H506" i="56" s="1"/>
  <c r="L506" i="56" s="1"/>
  <c r="M506" i="56" s="1"/>
  <c r="H486" i="56"/>
  <c r="L485" i="56"/>
  <c r="M485" i="56" s="1"/>
  <c r="G505" i="56"/>
  <c r="H505" i="56" s="1"/>
  <c r="L505" i="56" s="1"/>
  <c r="M505" i="56" s="1"/>
  <c r="K500" i="56"/>
  <c r="L500" i="56" s="1"/>
  <c r="M500" i="56" s="1"/>
  <c r="I487" i="56"/>
  <c r="J487" i="56" s="1"/>
  <c r="K487" i="56" s="1"/>
  <c r="L487" i="56" s="1"/>
  <c r="M487" i="56" s="1"/>
  <c r="F492" i="56"/>
  <c r="H492" i="56" s="1"/>
  <c r="I492" i="56"/>
  <c r="K492" i="56" s="1"/>
  <c r="L492" i="56" s="1"/>
  <c r="M492" i="56" s="1"/>
  <c r="H504" i="56"/>
  <c r="L490" i="56"/>
  <c r="M490" i="56" s="1"/>
  <c r="L491" i="56"/>
  <c r="M491" i="56" s="1"/>
  <c r="L480" i="56"/>
  <c r="M480" i="56" s="1"/>
  <c r="K499" i="56"/>
  <c r="L503" i="56"/>
  <c r="M503" i="56" s="1"/>
  <c r="L448" i="56"/>
  <c r="M448" i="56" s="1"/>
  <c r="L441" i="56"/>
  <c r="M441" i="56" s="1"/>
  <c r="N441" i="56" s="1"/>
  <c r="L438" i="56"/>
  <c r="M438" i="56" s="1"/>
  <c r="L432" i="56"/>
  <c r="M432" i="56" s="1"/>
  <c r="L436" i="56"/>
  <c r="M436" i="56" s="1"/>
  <c r="L445" i="56"/>
  <c r="M445" i="56" s="1"/>
  <c r="L428" i="56"/>
  <c r="M428" i="56" s="1"/>
  <c r="L444" i="56"/>
  <c r="M444" i="56" s="1"/>
  <c r="L435" i="56"/>
  <c r="M435" i="56" s="1"/>
  <c r="L429" i="56"/>
  <c r="M429" i="56" s="1"/>
  <c r="L434" i="56"/>
  <c r="M434" i="56" s="1"/>
  <c r="L440" i="56"/>
  <c r="M440" i="56" s="1"/>
  <c r="N440" i="56" s="1"/>
  <c r="L425" i="56"/>
  <c r="M425" i="56" s="1"/>
  <c r="K443" i="56"/>
  <c r="L443" i="56" s="1"/>
  <c r="M443" i="56" s="1"/>
  <c r="L433" i="56"/>
  <c r="M433" i="56" s="1"/>
  <c r="I431" i="56"/>
  <c r="J431" i="56" s="1"/>
  <c r="K431" i="56" s="1"/>
  <c r="L431" i="56" s="1"/>
  <c r="M431" i="56" s="1"/>
  <c r="L451" i="56"/>
  <c r="M451" i="56" s="1"/>
  <c r="L450" i="56"/>
  <c r="M450" i="56" s="1"/>
  <c r="L447" i="56"/>
  <c r="M447" i="56" s="1"/>
  <c r="L424" i="56"/>
  <c r="M424" i="56" s="1"/>
  <c r="L427" i="56"/>
  <c r="M427" i="56" s="1"/>
  <c r="H430" i="56"/>
  <c r="K394" i="56"/>
  <c r="L389" i="56"/>
  <c r="M389" i="56" s="1"/>
  <c r="L372" i="56"/>
  <c r="M372" i="56" s="1"/>
  <c r="L381" i="56"/>
  <c r="M381" i="56" s="1"/>
  <c r="L388" i="56"/>
  <c r="M388" i="56" s="1"/>
  <c r="G384" i="56"/>
  <c r="H384" i="56" s="1"/>
  <c r="L384" i="56" s="1"/>
  <c r="M384" i="56" s="1"/>
  <c r="N384" i="56" s="1"/>
  <c r="L373" i="56"/>
  <c r="M373" i="56" s="1"/>
  <c r="L378" i="56"/>
  <c r="M378" i="56" s="1"/>
  <c r="H374" i="56"/>
  <c r="L369" i="56"/>
  <c r="M369" i="56" s="1"/>
  <c r="L385" i="56"/>
  <c r="M385" i="56" s="1"/>
  <c r="N385" i="56" s="1"/>
  <c r="L377" i="56"/>
  <c r="M377" i="56" s="1"/>
  <c r="L382" i="56"/>
  <c r="M382" i="56" s="1"/>
  <c r="H387" i="56"/>
  <c r="I375" i="56"/>
  <c r="J375" i="56" s="1"/>
  <c r="K375" i="56" s="1"/>
  <c r="L375" i="56" s="1"/>
  <c r="M375" i="56" s="1"/>
  <c r="F380" i="56"/>
  <c r="H380" i="56" s="1"/>
  <c r="L380" i="56" s="1"/>
  <c r="M380" i="56" s="1"/>
  <c r="L376" i="56"/>
  <c r="M376" i="56" s="1"/>
  <c r="L379" i="56"/>
  <c r="M379" i="56" s="1"/>
  <c r="L387" i="56"/>
  <c r="M387" i="56" s="1"/>
  <c r="L395" i="56"/>
  <c r="M395" i="56" s="1"/>
  <c r="L394" i="56"/>
  <c r="M394" i="56" s="1"/>
  <c r="L391" i="56"/>
  <c r="M391" i="56" s="1"/>
  <c r="L368" i="56"/>
  <c r="M368" i="56" s="1"/>
  <c r="K338" i="56"/>
  <c r="L338" i="56" s="1"/>
  <c r="M338" i="56" s="1"/>
  <c r="L333" i="56"/>
  <c r="M333" i="56" s="1"/>
  <c r="L325" i="56"/>
  <c r="M325" i="56" s="1"/>
  <c r="L316" i="56"/>
  <c r="M316" i="56" s="1"/>
  <c r="L332" i="56"/>
  <c r="M332" i="56" s="1"/>
  <c r="L328" i="56"/>
  <c r="M328" i="56" s="1"/>
  <c r="N328" i="56" s="1"/>
  <c r="H318" i="56"/>
  <c r="L323" i="56"/>
  <c r="M323" i="56" s="1"/>
  <c r="L317" i="56"/>
  <c r="M317" i="56" s="1"/>
  <c r="L321" i="56"/>
  <c r="M321" i="56" s="1"/>
  <c r="K331" i="56"/>
  <c r="L322" i="56"/>
  <c r="M322" i="56" s="1"/>
  <c r="I319" i="56"/>
  <c r="J319" i="56" s="1"/>
  <c r="K319" i="56" s="1"/>
  <c r="L319" i="56" s="1"/>
  <c r="M319" i="56" s="1"/>
  <c r="F324" i="56"/>
  <c r="H324" i="56" s="1"/>
  <c r="I324" i="56"/>
  <c r="K324" i="56" s="1"/>
  <c r="L320" i="56"/>
  <c r="M320" i="56" s="1"/>
  <c r="L326" i="56"/>
  <c r="M326" i="56" s="1"/>
  <c r="L329" i="56"/>
  <c r="M329" i="56" s="1"/>
  <c r="N329" i="56" s="1"/>
  <c r="L339" i="56"/>
  <c r="M339" i="56" s="1"/>
  <c r="L331" i="56"/>
  <c r="M331" i="56" s="1"/>
  <c r="L313" i="56"/>
  <c r="M313" i="56" s="1"/>
  <c r="L335" i="56"/>
  <c r="M335" i="56" s="1"/>
  <c r="L312" i="56"/>
  <c r="M312" i="56" s="1"/>
  <c r="L260" i="56"/>
  <c r="M260" i="56" s="1"/>
  <c r="L269" i="56"/>
  <c r="M269" i="56" s="1"/>
  <c r="L273" i="56"/>
  <c r="M273" i="56" s="1"/>
  <c r="N273" i="56" s="1"/>
  <c r="J257" i="56"/>
  <c r="K257" i="56" s="1"/>
  <c r="J259" i="56"/>
  <c r="J267" i="56"/>
  <c r="K267" i="56" s="1"/>
  <c r="J272" i="56"/>
  <c r="K272" i="56" s="1"/>
  <c r="L272" i="56" s="1"/>
  <c r="M272" i="56" s="1"/>
  <c r="N272" i="56" s="1"/>
  <c r="G258" i="56"/>
  <c r="G261" i="56"/>
  <c r="H261" i="56" s="1"/>
  <c r="L261" i="56" s="1"/>
  <c r="M261" i="56" s="1"/>
  <c r="G265" i="56"/>
  <c r="H265" i="56" s="1"/>
  <c r="G270" i="56"/>
  <c r="H270" i="56" s="1"/>
  <c r="J258" i="56"/>
  <c r="G264" i="56"/>
  <c r="H264" i="56" s="1"/>
  <c r="L264" i="56" s="1"/>
  <c r="M264" i="56" s="1"/>
  <c r="J265" i="56"/>
  <c r="K265" i="56" s="1"/>
  <c r="G267" i="56"/>
  <c r="H267" i="56" s="1"/>
  <c r="J270" i="56"/>
  <c r="K270" i="56" s="1"/>
  <c r="L266" i="56"/>
  <c r="M266" i="56" s="1"/>
  <c r="I263" i="56"/>
  <c r="J263" i="56" s="1"/>
  <c r="K263" i="56" s="1"/>
  <c r="L263" i="56" s="1"/>
  <c r="M263" i="56" s="1"/>
  <c r="L270" i="56"/>
  <c r="M270" i="56" s="1"/>
  <c r="K275" i="56"/>
  <c r="L275" i="56" s="1"/>
  <c r="M275" i="56" s="1"/>
  <c r="L276" i="56"/>
  <c r="M276" i="56" s="1"/>
  <c r="H292" i="56"/>
  <c r="H287" i="56"/>
  <c r="K292" i="56"/>
  <c r="K287" i="56"/>
  <c r="L282" i="56"/>
  <c r="M282" i="56" s="1"/>
  <c r="L283" i="56"/>
  <c r="M283" i="56" s="1"/>
  <c r="L279" i="56"/>
  <c r="M279" i="56" s="1"/>
  <c r="L256" i="56"/>
  <c r="M256" i="56" s="1"/>
  <c r="L209" i="56"/>
  <c r="M209" i="56" s="1"/>
  <c r="L211" i="56"/>
  <c r="M211" i="56" s="1"/>
  <c r="L220" i="56"/>
  <c r="M220" i="56" s="1"/>
  <c r="L210" i="56"/>
  <c r="M210" i="56" s="1"/>
  <c r="L216" i="56"/>
  <c r="M216" i="56" s="1"/>
  <c r="N216" i="56" s="1"/>
  <c r="H206" i="56"/>
  <c r="L205" i="56"/>
  <c r="M205" i="56" s="1"/>
  <c r="L219" i="56"/>
  <c r="M219" i="56" s="1"/>
  <c r="L208" i="56"/>
  <c r="M208" i="56" s="1"/>
  <c r="L212" i="56"/>
  <c r="M212" i="56" s="1"/>
  <c r="L214" i="56"/>
  <c r="M214" i="56" s="1"/>
  <c r="L217" i="56"/>
  <c r="M217" i="56" s="1"/>
  <c r="N217" i="56" s="1"/>
  <c r="L227" i="56"/>
  <c r="M227" i="56" s="1"/>
  <c r="L207" i="56"/>
  <c r="M207" i="56" s="1"/>
  <c r="L201" i="56"/>
  <c r="M201" i="56" s="1"/>
  <c r="L226" i="56"/>
  <c r="M226" i="56" s="1"/>
  <c r="L223" i="56"/>
  <c r="M223" i="56" s="1"/>
  <c r="L200" i="56"/>
  <c r="M200" i="56" s="1"/>
  <c r="K171" i="56"/>
  <c r="K170" i="56"/>
  <c r="L170" i="56" s="1"/>
  <c r="M170" i="56" s="1"/>
  <c r="L148" i="56"/>
  <c r="M148" i="56" s="1"/>
  <c r="L157" i="56"/>
  <c r="M157" i="56" s="1"/>
  <c r="L164" i="56"/>
  <c r="M164" i="56" s="1"/>
  <c r="K163" i="56"/>
  <c r="L163" i="56" s="1"/>
  <c r="M163" i="56" s="1"/>
  <c r="L155" i="56"/>
  <c r="M155" i="56" s="1"/>
  <c r="L160" i="56"/>
  <c r="M160" i="56" s="1"/>
  <c r="N160" i="56" s="1"/>
  <c r="L154" i="56"/>
  <c r="M154" i="56" s="1"/>
  <c r="L158" i="56"/>
  <c r="M158" i="56" s="1"/>
  <c r="L152" i="56"/>
  <c r="M152" i="56" s="1"/>
  <c r="L153" i="56"/>
  <c r="M153" i="56" s="1"/>
  <c r="L149" i="56"/>
  <c r="M149" i="56" s="1"/>
  <c r="L161" i="56"/>
  <c r="M161" i="56" s="1"/>
  <c r="N161" i="56" s="1"/>
  <c r="I151" i="56"/>
  <c r="J151" i="56" s="1"/>
  <c r="K151" i="56" s="1"/>
  <c r="L151" i="56" s="1"/>
  <c r="M151" i="56" s="1"/>
  <c r="I156" i="56"/>
  <c r="K156" i="56" s="1"/>
  <c r="L156" i="56" s="1"/>
  <c r="M156" i="56" s="1"/>
  <c r="L171" i="56"/>
  <c r="M171" i="56" s="1"/>
  <c r="H150" i="56"/>
  <c r="L145" i="56"/>
  <c r="M145" i="56" s="1"/>
  <c r="L167" i="56"/>
  <c r="M167" i="56" s="1"/>
  <c r="L144" i="56"/>
  <c r="M144" i="56" s="1"/>
  <c r="K150" i="56"/>
  <c r="K115" i="56"/>
  <c r="L115" i="56" s="1"/>
  <c r="M115" i="56" s="1"/>
  <c r="K114" i="56"/>
  <c r="L101" i="56"/>
  <c r="M101" i="56" s="1"/>
  <c r="L97" i="56"/>
  <c r="M97" i="56" s="1"/>
  <c r="J89" i="56"/>
  <c r="K89" i="56" s="1"/>
  <c r="L89" i="56" s="1"/>
  <c r="M89" i="56" s="1"/>
  <c r="J91" i="56"/>
  <c r="J93" i="56"/>
  <c r="K93" i="56" s="1"/>
  <c r="G98" i="56"/>
  <c r="H98" i="56" s="1"/>
  <c r="J99" i="56"/>
  <c r="K99" i="56" s="1"/>
  <c r="L99" i="56" s="1"/>
  <c r="M99" i="56" s="1"/>
  <c r="J102" i="56"/>
  <c r="K102" i="56" s="1"/>
  <c r="L102" i="56" s="1"/>
  <c r="M102" i="56" s="1"/>
  <c r="G105" i="56"/>
  <c r="H105" i="56" s="1"/>
  <c r="L105" i="56" s="1"/>
  <c r="M105" i="56" s="1"/>
  <c r="N105" i="56" s="1"/>
  <c r="G107" i="56"/>
  <c r="H107" i="56" s="1"/>
  <c r="G111" i="56"/>
  <c r="H111" i="56" s="1"/>
  <c r="L111" i="56" s="1"/>
  <c r="M111" i="56" s="1"/>
  <c r="G114" i="56"/>
  <c r="H114" i="56" s="1"/>
  <c r="G90" i="56"/>
  <c r="F95" i="56"/>
  <c r="G95" i="56" s="1"/>
  <c r="H95" i="56" s="1"/>
  <c r="L95" i="56" s="1"/>
  <c r="M95" i="56" s="1"/>
  <c r="J96" i="56"/>
  <c r="K96" i="56" s="1"/>
  <c r="L96" i="56" s="1"/>
  <c r="M96" i="56" s="1"/>
  <c r="J98" i="56"/>
  <c r="K98" i="56" s="1"/>
  <c r="G104" i="56"/>
  <c r="H104" i="56" s="1"/>
  <c r="L104" i="56" s="1"/>
  <c r="M104" i="56" s="1"/>
  <c r="N104" i="56" s="1"/>
  <c r="G108" i="56"/>
  <c r="H108" i="56" s="1"/>
  <c r="L108" i="56" s="1"/>
  <c r="M108" i="56" s="1"/>
  <c r="G112" i="56"/>
  <c r="H112" i="56" s="1"/>
  <c r="L112" i="56" s="1"/>
  <c r="M112" i="56" s="1"/>
  <c r="G113" i="56"/>
  <c r="H113" i="56" s="1"/>
  <c r="L109" i="56"/>
  <c r="M109" i="56" s="1"/>
  <c r="L114" i="56"/>
  <c r="M114" i="56" s="1"/>
  <c r="H94" i="56"/>
  <c r="L92" i="56"/>
  <c r="M92" i="56" s="1"/>
  <c r="L93" i="56"/>
  <c r="M93" i="56" s="1"/>
  <c r="L88" i="56"/>
  <c r="M88" i="56" s="1"/>
  <c r="L107" i="56"/>
  <c r="M107" i="56" s="1"/>
  <c r="L113" i="56" l="1"/>
  <c r="M113" i="56" s="1"/>
  <c r="L504" i="56"/>
  <c r="M504" i="56" s="1"/>
  <c r="G28" i="17"/>
  <c r="H28" i="17" s="1"/>
  <c r="I28" i="17" s="1"/>
  <c r="H27" i="17"/>
  <c r="L483" i="56"/>
  <c r="M483" i="56" s="1"/>
  <c r="L763" i="56"/>
  <c r="M763" i="56" s="1"/>
  <c r="K766" i="56"/>
  <c r="K775" i="56" s="1"/>
  <c r="H775" i="56"/>
  <c r="L707" i="56"/>
  <c r="M707" i="56" s="1"/>
  <c r="K710" i="56"/>
  <c r="L710" i="56" s="1"/>
  <c r="M710" i="56" s="1"/>
  <c r="H719" i="56"/>
  <c r="L660" i="56"/>
  <c r="M660" i="56" s="1"/>
  <c r="L651" i="56"/>
  <c r="M651" i="56" s="1"/>
  <c r="H663" i="56"/>
  <c r="K654" i="56"/>
  <c r="L595" i="56"/>
  <c r="M595" i="56" s="1"/>
  <c r="H607" i="56"/>
  <c r="K598" i="56"/>
  <c r="L539" i="56"/>
  <c r="M539" i="56" s="1"/>
  <c r="K542" i="56"/>
  <c r="H551" i="56"/>
  <c r="K486" i="56"/>
  <c r="L486" i="56" s="1"/>
  <c r="M486" i="56" s="1"/>
  <c r="L499" i="56"/>
  <c r="M499" i="56" s="1"/>
  <c r="K495" i="56"/>
  <c r="H495" i="56"/>
  <c r="K430" i="56"/>
  <c r="L430" i="56" s="1"/>
  <c r="M430" i="56" s="1"/>
  <c r="H439" i="56"/>
  <c r="L371" i="56"/>
  <c r="M371" i="56" s="1"/>
  <c r="H383" i="56"/>
  <c r="K374" i="56"/>
  <c r="L324" i="56"/>
  <c r="M324" i="56" s="1"/>
  <c r="L315" i="56"/>
  <c r="M315" i="56" s="1"/>
  <c r="K318" i="56"/>
  <c r="L318" i="56" s="1"/>
  <c r="M318" i="56" s="1"/>
  <c r="H327" i="56"/>
  <c r="L257" i="56"/>
  <c r="M257" i="56" s="1"/>
  <c r="L267" i="56"/>
  <c r="M267" i="56" s="1"/>
  <c r="L259" i="56"/>
  <c r="M259" i="56" s="1"/>
  <c r="L287" i="56"/>
  <c r="L265" i="56"/>
  <c r="M265" i="56" s="1"/>
  <c r="H262" i="56"/>
  <c r="H271" i="56" s="1"/>
  <c r="K262" i="56"/>
  <c r="L203" i="56"/>
  <c r="M203" i="56" s="1"/>
  <c r="H215" i="56"/>
  <c r="K206" i="56"/>
  <c r="H159" i="56"/>
  <c r="K159" i="56"/>
  <c r="L150" i="56"/>
  <c r="M150" i="56" s="1"/>
  <c r="L147" i="56"/>
  <c r="M147" i="56" s="1"/>
  <c r="L98" i="56"/>
  <c r="M98" i="56" s="1"/>
  <c r="L91" i="56"/>
  <c r="M91" i="56" s="1"/>
  <c r="H103" i="56"/>
  <c r="K94" i="56"/>
  <c r="I27" i="17" l="1"/>
  <c r="I29" i="17" s="1"/>
  <c r="A32" i="17"/>
  <c r="L766" i="56"/>
  <c r="M766" i="56" s="1"/>
  <c r="K778" i="56"/>
  <c r="L775" i="56"/>
  <c r="M775" i="56" s="1"/>
  <c r="H778" i="56"/>
  <c r="K719" i="56"/>
  <c r="K722" i="56" s="1"/>
  <c r="H722" i="56"/>
  <c r="L654" i="56"/>
  <c r="M654" i="56" s="1"/>
  <c r="K663" i="56"/>
  <c r="H666" i="56"/>
  <c r="L598" i="56"/>
  <c r="M598" i="56" s="1"/>
  <c r="K607" i="56"/>
  <c r="H610" i="56"/>
  <c r="H554" i="56"/>
  <c r="K551" i="56"/>
  <c r="L542" i="56"/>
  <c r="M542" i="56" s="1"/>
  <c r="L495" i="56"/>
  <c r="M495" i="56" s="1"/>
  <c r="K498" i="56"/>
  <c r="H498" i="56"/>
  <c r="K439" i="56"/>
  <c r="K442" i="56" s="1"/>
  <c r="H442" i="56"/>
  <c r="L374" i="56"/>
  <c r="M374" i="56" s="1"/>
  <c r="K383" i="56"/>
  <c r="H386" i="56"/>
  <c r="K327" i="56"/>
  <c r="K330" i="56" s="1"/>
  <c r="H330" i="56"/>
  <c r="L262" i="56"/>
  <c r="M262" i="56" s="1"/>
  <c r="K271" i="56"/>
  <c r="H274" i="56"/>
  <c r="K215" i="56"/>
  <c r="L206" i="56"/>
  <c r="M206" i="56" s="1"/>
  <c r="H218" i="56"/>
  <c r="K162" i="56"/>
  <c r="L159" i="56"/>
  <c r="M159" i="56" s="1"/>
  <c r="H162" i="56"/>
  <c r="K103" i="56"/>
  <c r="L94" i="56"/>
  <c r="M94" i="56" s="1"/>
  <c r="H106" i="56"/>
  <c r="H789" i="56" l="1"/>
  <c r="H794" i="56"/>
  <c r="H799" i="56"/>
  <c r="L778" i="56"/>
  <c r="M778" i="56" s="1"/>
  <c r="K799" i="56"/>
  <c r="K789" i="56"/>
  <c r="K794" i="56"/>
  <c r="L719" i="56"/>
  <c r="M719" i="56" s="1"/>
  <c r="H738" i="56"/>
  <c r="H733" i="56"/>
  <c r="H743" i="56"/>
  <c r="L722" i="56"/>
  <c r="M722" i="56" s="1"/>
  <c r="K733" i="56"/>
  <c r="K743" i="56"/>
  <c r="K738" i="56"/>
  <c r="H677" i="56"/>
  <c r="H679" i="56" s="1"/>
  <c r="H682" i="56"/>
  <c r="H684" i="56" s="1"/>
  <c r="H687" i="56"/>
  <c r="H689" i="56" s="1"/>
  <c r="K666" i="56"/>
  <c r="L663" i="56"/>
  <c r="M663" i="56" s="1"/>
  <c r="H626" i="56"/>
  <c r="H628" i="56" s="1"/>
  <c r="H621" i="56"/>
  <c r="H623" i="56" s="1"/>
  <c r="H631" i="56"/>
  <c r="H633" i="56" s="1"/>
  <c r="K610" i="56"/>
  <c r="L607" i="56"/>
  <c r="M607" i="56" s="1"/>
  <c r="H565" i="56"/>
  <c r="H567" i="56" s="1"/>
  <c r="H570" i="56"/>
  <c r="H572" i="56" s="1"/>
  <c r="H575" i="56"/>
  <c r="H577" i="56" s="1"/>
  <c r="K554" i="56"/>
  <c r="L551" i="56"/>
  <c r="M551" i="56" s="1"/>
  <c r="L498" i="56"/>
  <c r="K514" i="56"/>
  <c r="K516" i="56" s="1"/>
  <c r="K519" i="56"/>
  <c r="K521" i="56" s="1"/>
  <c r="K509" i="56"/>
  <c r="K511" i="56" s="1"/>
  <c r="M498" i="56"/>
  <c r="H514" i="56"/>
  <c r="H516" i="56" s="1"/>
  <c r="H519" i="56"/>
  <c r="H521" i="56" s="1"/>
  <c r="H509" i="56"/>
  <c r="H511" i="56" s="1"/>
  <c r="L439" i="56"/>
  <c r="M439" i="56" s="1"/>
  <c r="H453" i="56"/>
  <c r="H455" i="56" s="1"/>
  <c r="H458" i="56"/>
  <c r="H460" i="56" s="1"/>
  <c r="H463" i="56"/>
  <c r="H465" i="56" s="1"/>
  <c r="L442" i="56"/>
  <c r="M442" i="56" s="1"/>
  <c r="K453" i="56"/>
  <c r="K455" i="56" s="1"/>
  <c r="K463" i="56"/>
  <c r="K465" i="56" s="1"/>
  <c r="K458" i="56"/>
  <c r="K460" i="56" s="1"/>
  <c r="H397" i="56"/>
  <c r="H399" i="56" s="1"/>
  <c r="H407" i="56"/>
  <c r="H409" i="56" s="1"/>
  <c r="H402" i="56"/>
  <c r="H404" i="56" s="1"/>
  <c r="K386" i="56"/>
  <c r="L383" i="56"/>
  <c r="M383" i="56" s="1"/>
  <c r="L327" i="56"/>
  <c r="M327" i="56" s="1"/>
  <c r="H346" i="56"/>
  <c r="H348" i="56" s="1"/>
  <c r="H351" i="56"/>
  <c r="H353" i="56" s="1"/>
  <c r="H341" i="56"/>
  <c r="H343" i="56" s="1"/>
  <c r="L330" i="56"/>
  <c r="M330" i="56" s="1"/>
  <c r="K351" i="56"/>
  <c r="K353" i="56" s="1"/>
  <c r="K341" i="56"/>
  <c r="K343" i="56" s="1"/>
  <c r="K346" i="56"/>
  <c r="K348" i="56" s="1"/>
  <c r="K274" i="56"/>
  <c r="L271" i="56"/>
  <c r="M271" i="56" s="1"/>
  <c r="H285" i="56"/>
  <c r="H295" i="56"/>
  <c r="H290" i="56"/>
  <c r="H239" i="56"/>
  <c r="H229" i="56"/>
  <c r="H234" i="56"/>
  <c r="K218" i="56"/>
  <c r="L215" i="56"/>
  <c r="M215" i="56" s="1"/>
  <c r="H173" i="56"/>
  <c r="H175" i="56" s="1"/>
  <c r="H183" i="56"/>
  <c r="H185" i="56" s="1"/>
  <c r="H178" i="56"/>
  <c r="H180" i="56" s="1"/>
  <c r="L162" i="56"/>
  <c r="M162" i="56" s="1"/>
  <c r="K183" i="56"/>
  <c r="K185" i="56" s="1"/>
  <c r="K173" i="56"/>
  <c r="K175" i="56" s="1"/>
  <c r="K178" i="56"/>
  <c r="K180" i="56" s="1"/>
  <c r="H117" i="56"/>
  <c r="H119" i="56" s="1"/>
  <c r="H122" i="56"/>
  <c r="H124" i="56" s="1"/>
  <c r="H127" i="56"/>
  <c r="H129" i="56" s="1"/>
  <c r="K106" i="56"/>
  <c r="L103" i="56"/>
  <c r="M103" i="56" s="1"/>
  <c r="J56" i="39"/>
  <c r="J55" i="39"/>
  <c r="J54" i="39"/>
  <c r="J53" i="39"/>
  <c r="J52" i="39"/>
  <c r="J51" i="39"/>
  <c r="J50" i="39"/>
  <c r="I56" i="39"/>
  <c r="I55" i="39"/>
  <c r="I54" i="39"/>
  <c r="I53" i="39"/>
  <c r="I52" i="39"/>
  <c r="I51" i="39"/>
  <c r="I50" i="39"/>
  <c r="H56" i="39"/>
  <c r="H55" i="39"/>
  <c r="H54" i="39"/>
  <c r="H53" i="39"/>
  <c r="H52" i="39"/>
  <c r="H51" i="39"/>
  <c r="H50" i="39"/>
  <c r="G56" i="39"/>
  <c r="G55" i="39"/>
  <c r="G54" i="39"/>
  <c r="G53" i="39"/>
  <c r="G52" i="39"/>
  <c r="G51" i="39"/>
  <c r="G50" i="39"/>
  <c r="J45" i="39"/>
  <c r="J44" i="39"/>
  <c r="J43" i="39"/>
  <c r="J42" i="39"/>
  <c r="J41" i="39"/>
  <c r="J40" i="39"/>
  <c r="J39" i="39"/>
  <c r="I45" i="39"/>
  <c r="I44" i="39"/>
  <c r="I43" i="39"/>
  <c r="I42" i="39"/>
  <c r="I41" i="39"/>
  <c r="I40" i="39"/>
  <c r="I39" i="39"/>
  <c r="H45" i="39"/>
  <c r="H44" i="39"/>
  <c r="H43" i="39"/>
  <c r="H42" i="39"/>
  <c r="H41" i="39"/>
  <c r="H40" i="39"/>
  <c r="H39" i="39"/>
  <c r="G45" i="39"/>
  <c r="G44" i="39"/>
  <c r="G43" i="39"/>
  <c r="G42" i="39"/>
  <c r="G41" i="39"/>
  <c r="G40" i="39"/>
  <c r="G39" i="39"/>
  <c r="J34" i="39"/>
  <c r="J33" i="39"/>
  <c r="J32" i="39"/>
  <c r="J31" i="39"/>
  <c r="J30" i="39"/>
  <c r="J29" i="39"/>
  <c r="J28" i="39"/>
  <c r="I34" i="39"/>
  <c r="I33" i="39"/>
  <c r="I32" i="39"/>
  <c r="I31" i="39"/>
  <c r="I30" i="39"/>
  <c r="I29" i="39"/>
  <c r="I28" i="39"/>
  <c r="H34" i="39"/>
  <c r="H33" i="39"/>
  <c r="H32" i="39"/>
  <c r="H31" i="39"/>
  <c r="H30" i="39"/>
  <c r="H29" i="39"/>
  <c r="H28" i="39"/>
  <c r="G34" i="39"/>
  <c r="G33" i="39"/>
  <c r="G32" i="39"/>
  <c r="G31" i="39"/>
  <c r="G30" i="39"/>
  <c r="G29" i="39"/>
  <c r="G28" i="39"/>
  <c r="J23" i="39"/>
  <c r="J22" i="39"/>
  <c r="J21" i="39"/>
  <c r="J20" i="39"/>
  <c r="J19" i="39"/>
  <c r="J18" i="39"/>
  <c r="J17" i="39"/>
  <c r="I23" i="39"/>
  <c r="I22" i="39"/>
  <c r="I21" i="39"/>
  <c r="I20" i="39"/>
  <c r="I19" i="39"/>
  <c r="I18" i="39"/>
  <c r="I17" i="39"/>
  <c r="H23" i="39"/>
  <c r="H22" i="39"/>
  <c r="H21" i="39"/>
  <c r="H20" i="39"/>
  <c r="H19" i="39"/>
  <c r="H18" i="39"/>
  <c r="H17" i="39"/>
  <c r="G23" i="39"/>
  <c r="G22" i="39"/>
  <c r="G21" i="39"/>
  <c r="G20" i="39"/>
  <c r="G19" i="39"/>
  <c r="G18" i="39"/>
  <c r="G17" i="39"/>
  <c r="H26" i="33"/>
  <c r="H25" i="33"/>
  <c r="H20" i="33"/>
  <c r="H19" i="33"/>
  <c r="H18" i="33"/>
  <c r="H17" i="33"/>
  <c r="D35" i="30"/>
  <c r="C35" i="30"/>
  <c r="E35" i="30"/>
  <c r="E34" i="30" s="1"/>
  <c r="F34" i="30" s="1"/>
  <c r="E33" i="30"/>
  <c r="F33" i="30" s="1"/>
  <c r="E31" i="30"/>
  <c r="F31" i="30" s="1"/>
  <c r="E29" i="30"/>
  <c r="F29" i="30" s="1"/>
  <c r="K23" i="30"/>
  <c r="K22" i="30"/>
  <c r="K21" i="30"/>
  <c r="K20" i="30"/>
  <c r="K19" i="30"/>
  <c r="K18" i="30"/>
  <c r="K17" i="30"/>
  <c r="J23" i="30"/>
  <c r="J22" i="30"/>
  <c r="J21" i="30"/>
  <c r="J20" i="30"/>
  <c r="J19" i="30"/>
  <c r="J18" i="30"/>
  <c r="J17" i="30"/>
  <c r="E24" i="30"/>
  <c r="D24" i="30"/>
  <c r="C24" i="30"/>
  <c r="I23" i="30"/>
  <c r="I22" i="30"/>
  <c r="I21" i="30"/>
  <c r="I20" i="30"/>
  <c r="I19" i="30"/>
  <c r="L19" i="30" s="1"/>
  <c r="I18" i="30"/>
  <c r="I17" i="30"/>
  <c r="J23" i="15"/>
  <c r="M23" i="15" s="1"/>
  <c r="I23" i="15"/>
  <c r="L23" i="15" s="1"/>
  <c r="K23" i="15"/>
  <c r="J22" i="15"/>
  <c r="M22" i="15" s="1"/>
  <c r="I22" i="15"/>
  <c r="L22" i="15" s="1"/>
  <c r="K22" i="15"/>
  <c r="J21" i="15"/>
  <c r="M21" i="15" s="1"/>
  <c r="I21" i="15"/>
  <c r="L21" i="15" s="1"/>
  <c r="K21" i="15"/>
  <c r="J20" i="15"/>
  <c r="M20" i="15" s="1"/>
  <c r="I20" i="15"/>
  <c r="L20" i="15" s="1"/>
  <c r="K20" i="15"/>
  <c r="J19" i="15"/>
  <c r="M19" i="15" s="1"/>
  <c r="I19" i="15"/>
  <c r="L19" i="15" s="1"/>
  <c r="K19" i="15"/>
  <c r="J18" i="15"/>
  <c r="M18" i="15" s="1"/>
  <c r="I18" i="15"/>
  <c r="L18" i="15" s="1"/>
  <c r="K18" i="15"/>
  <c r="J17" i="15"/>
  <c r="M17" i="15" s="1"/>
  <c r="M24" i="15" s="1"/>
  <c r="I17" i="15"/>
  <c r="L17" i="15" s="1"/>
  <c r="K17" i="15"/>
  <c r="W25" i="76"/>
  <c r="V25" i="76"/>
  <c r="U25" i="76"/>
  <c r="T25" i="76"/>
  <c r="S25" i="76"/>
  <c r="R25" i="76"/>
  <c r="Q25" i="76"/>
  <c r="P25" i="76"/>
  <c r="O25" i="76"/>
  <c r="N25" i="76"/>
  <c r="M25" i="76"/>
  <c r="L25" i="76"/>
  <c r="K25" i="76"/>
  <c r="J25" i="76"/>
  <c r="I25" i="76"/>
  <c r="H25" i="76"/>
  <c r="G25" i="76"/>
  <c r="F25" i="76"/>
  <c r="E25" i="76"/>
  <c r="D25" i="76"/>
  <c r="C25" i="76"/>
  <c r="R1" i="13"/>
  <c r="J23" i="13"/>
  <c r="I23" i="13"/>
  <c r="J22" i="13"/>
  <c r="I22" i="13"/>
  <c r="J21" i="13"/>
  <c r="I21" i="13"/>
  <c r="J20" i="13"/>
  <c r="I20" i="13"/>
  <c r="J19" i="13"/>
  <c r="I19" i="13"/>
  <c r="J18" i="13"/>
  <c r="I18" i="13"/>
  <c r="J17" i="13"/>
  <c r="I17" i="13"/>
  <c r="T24" i="13"/>
  <c r="S24" i="13"/>
  <c r="R24" i="13"/>
  <c r="R25" i="13" s="1"/>
  <c r="Q24" i="13"/>
  <c r="Q25" i="13" s="1"/>
  <c r="P24" i="13"/>
  <c r="P25" i="13" s="1"/>
  <c r="O24" i="13"/>
  <c r="O25" i="13" s="1"/>
  <c r="N24" i="13"/>
  <c r="N25" i="13" s="1"/>
  <c r="M24" i="13"/>
  <c r="M25" i="13" s="1"/>
  <c r="L24" i="13"/>
  <c r="L25" i="13" s="1"/>
  <c r="K24" i="13"/>
  <c r="J24" i="13"/>
  <c r="I24" i="13"/>
  <c r="H24" i="13"/>
  <c r="G24" i="13"/>
  <c r="F24" i="13"/>
  <c r="E24" i="13"/>
  <c r="D24" i="13"/>
  <c r="C24" i="13"/>
  <c r="BV45" i="74"/>
  <c r="BV41" i="74"/>
  <c r="BV40" i="74"/>
  <c r="BV39" i="74"/>
  <c r="G115" i="18"/>
  <c r="G114" i="18"/>
  <c r="G113" i="18"/>
  <c r="G112" i="18"/>
  <c r="G111" i="18"/>
  <c r="G110" i="18"/>
  <c r="G109" i="18"/>
  <c r="G102" i="18"/>
  <c r="G101" i="18"/>
  <c r="G100" i="18"/>
  <c r="G99" i="18"/>
  <c r="G98" i="18"/>
  <c r="G97" i="18"/>
  <c r="G96" i="18"/>
  <c r="G89" i="18"/>
  <c r="G88" i="18"/>
  <c r="G87" i="18"/>
  <c r="G86" i="18"/>
  <c r="G85" i="18"/>
  <c r="G84" i="18"/>
  <c r="G83" i="18"/>
  <c r="G76" i="18"/>
  <c r="G75" i="18"/>
  <c r="G74" i="18"/>
  <c r="G73" i="18"/>
  <c r="G72" i="18"/>
  <c r="G71" i="18"/>
  <c r="G70" i="18"/>
  <c r="G63" i="18"/>
  <c r="G62" i="18"/>
  <c r="G61" i="18"/>
  <c r="G60" i="18"/>
  <c r="G59" i="18"/>
  <c r="G58" i="18"/>
  <c r="G57" i="18"/>
  <c r="G50" i="18"/>
  <c r="G49" i="18"/>
  <c r="G48" i="18"/>
  <c r="G47" i="18"/>
  <c r="G46" i="18"/>
  <c r="G45" i="18"/>
  <c r="G44" i="18"/>
  <c r="G37" i="18"/>
  <c r="G36" i="18"/>
  <c r="G35" i="18"/>
  <c r="G34" i="18"/>
  <c r="G33" i="18"/>
  <c r="G32" i="18"/>
  <c r="G31" i="18"/>
  <c r="G24" i="18"/>
  <c r="G23" i="18"/>
  <c r="G22" i="18"/>
  <c r="G21" i="18"/>
  <c r="G20" i="18"/>
  <c r="G19" i="18"/>
  <c r="G18" i="18"/>
  <c r="L455" i="56" l="1"/>
  <c r="H800" i="56"/>
  <c r="K790" i="56"/>
  <c r="K792" i="56" s="1"/>
  <c r="L789" i="56"/>
  <c r="M789" i="56" s="1"/>
  <c r="H795" i="56"/>
  <c r="H797" i="56" s="1"/>
  <c r="K795" i="56"/>
  <c r="L794" i="56"/>
  <c r="M794" i="56" s="1"/>
  <c r="K800" i="56"/>
  <c r="L799" i="56"/>
  <c r="M799" i="56" s="1"/>
  <c r="H790" i="56"/>
  <c r="H744" i="56"/>
  <c r="K744" i="56"/>
  <c r="L743" i="56"/>
  <c r="M743" i="56" s="1"/>
  <c r="H734" i="56"/>
  <c r="K739" i="56"/>
  <c r="L738" i="56"/>
  <c r="M738" i="56" s="1"/>
  <c r="K734" i="56"/>
  <c r="L733" i="56"/>
  <c r="M733" i="56" s="1"/>
  <c r="H739" i="56"/>
  <c r="H683" i="56"/>
  <c r="H685" i="56" s="1"/>
  <c r="H678" i="56"/>
  <c r="H680" i="56" s="1"/>
  <c r="H688" i="56"/>
  <c r="H690" i="56" s="1"/>
  <c r="L666" i="56"/>
  <c r="M666" i="56" s="1"/>
  <c r="K687" i="56"/>
  <c r="K689" i="56" s="1"/>
  <c r="K682" i="56"/>
  <c r="K684" i="56" s="1"/>
  <c r="K677" i="56"/>
  <c r="K679" i="56" s="1"/>
  <c r="L679" i="56" s="1"/>
  <c r="H632" i="56"/>
  <c r="H622" i="56"/>
  <c r="H627" i="56"/>
  <c r="H629" i="56" s="1"/>
  <c r="L610" i="56"/>
  <c r="M610" i="56" s="1"/>
  <c r="K621" i="56"/>
  <c r="K623" i="56" s="1"/>
  <c r="L623" i="56" s="1"/>
  <c r="K631" i="56"/>
  <c r="K633" i="56" s="1"/>
  <c r="K626" i="56"/>
  <c r="K628" i="56" s="1"/>
  <c r="H576" i="56"/>
  <c r="H578" i="56" s="1"/>
  <c r="H571" i="56"/>
  <c r="H573" i="56" s="1"/>
  <c r="H566" i="56"/>
  <c r="H568" i="56" s="1"/>
  <c r="L554" i="56"/>
  <c r="M554" i="56" s="1"/>
  <c r="K565" i="56"/>
  <c r="K567" i="56" s="1"/>
  <c r="L567" i="56" s="1"/>
  <c r="K570" i="56"/>
  <c r="K572" i="56" s="1"/>
  <c r="K575" i="56"/>
  <c r="K577" i="56" s="1"/>
  <c r="L511" i="56"/>
  <c r="H510" i="56"/>
  <c r="H520" i="56"/>
  <c r="H522" i="56" s="1"/>
  <c r="K520" i="56"/>
  <c r="L519" i="56"/>
  <c r="M519" i="56" s="1"/>
  <c r="H515" i="56"/>
  <c r="K515" i="56"/>
  <c r="K517" i="56" s="1"/>
  <c r="L514" i="56"/>
  <c r="M514" i="56" s="1"/>
  <c r="K510" i="56"/>
  <c r="L509" i="56"/>
  <c r="M509" i="56" s="1"/>
  <c r="H464" i="56"/>
  <c r="L463" i="56"/>
  <c r="M463" i="56" s="1"/>
  <c r="K464" i="56"/>
  <c r="H459" i="56"/>
  <c r="H461" i="56" s="1"/>
  <c r="K454" i="56"/>
  <c r="L453" i="56"/>
  <c r="M453" i="56" s="1"/>
  <c r="H454" i="56"/>
  <c r="K459" i="56"/>
  <c r="K461" i="56" s="1"/>
  <c r="L458" i="56"/>
  <c r="M458" i="56" s="1"/>
  <c r="H403" i="56"/>
  <c r="H408" i="56"/>
  <c r="H410" i="56" s="1"/>
  <c r="H398" i="56"/>
  <c r="H400" i="56" s="1"/>
  <c r="L386" i="56"/>
  <c r="M386" i="56" s="1"/>
  <c r="K397" i="56"/>
  <c r="K399" i="56" s="1"/>
  <c r="L399" i="56" s="1"/>
  <c r="K407" i="56"/>
  <c r="K409" i="56" s="1"/>
  <c r="K402" i="56"/>
  <c r="K404" i="56" s="1"/>
  <c r="L343" i="56"/>
  <c r="H342" i="56"/>
  <c r="K342" i="56"/>
  <c r="K344" i="56" s="1"/>
  <c r="L341" i="56"/>
  <c r="M341" i="56" s="1"/>
  <c r="H352" i="56"/>
  <c r="K352" i="56"/>
  <c r="L351" i="56"/>
  <c r="M351" i="56" s="1"/>
  <c r="H347" i="56"/>
  <c r="K347" i="56"/>
  <c r="K349" i="56" s="1"/>
  <c r="L346" i="56"/>
  <c r="M346" i="56" s="1"/>
  <c r="H291" i="56"/>
  <c r="H293" i="56" s="1"/>
  <c r="H286" i="56"/>
  <c r="H288" i="56" s="1"/>
  <c r="H296" i="56"/>
  <c r="L274" i="56"/>
  <c r="M274" i="56" s="1"/>
  <c r="K285" i="56"/>
  <c r="K295" i="56"/>
  <c r="K290" i="56"/>
  <c r="H230" i="56"/>
  <c r="H240" i="56"/>
  <c r="H242" i="56" s="1"/>
  <c r="H235" i="56"/>
  <c r="H237" i="56" s="1"/>
  <c r="L218" i="56"/>
  <c r="M218" i="56" s="1"/>
  <c r="K234" i="56"/>
  <c r="K229" i="56"/>
  <c r="K239" i="56"/>
  <c r="L175" i="56"/>
  <c r="H179" i="56"/>
  <c r="H181" i="56" s="1"/>
  <c r="K174" i="56"/>
  <c r="K176" i="56" s="1"/>
  <c r="L173" i="56"/>
  <c r="M173" i="56" s="1"/>
  <c r="H184" i="56"/>
  <c r="H186" i="56" s="1"/>
  <c r="K179" i="56"/>
  <c r="L178" i="56"/>
  <c r="M178" i="56" s="1"/>
  <c r="K184" i="56"/>
  <c r="L183" i="56"/>
  <c r="M183" i="56" s="1"/>
  <c r="H174" i="56"/>
  <c r="H128" i="56"/>
  <c r="H123" i="56"/>
  <c r="H118" i="56"/>
  <c r="H120" i="56" s="1"/>
  <c r="L106" i="56"/>
  <c r="M106" i="56" s="1"/>
  <c r="K122" i="56"/>
  <c r="K124" i="56" s="1"/>
  <c r="K117" i="56"/>
  <c r="K119" i="56" s="1"/>
  <c r="L119" i="56" s="1"/>
  <c r="K127" i="56"/>
  <c r="K129" i="56" s="1"/>
  <c r="E28" i="30"/>
  <c r="F28" i="30" s="1"/>
  <c r="E30" i="30"/>
  <c r="F30" i="30" s="1"/>
  <c r="E32" i="30"/>
  <c r="F32" i="30" s="1"/>
  <c r="L23" i="30"/>
  <c r="L17" i="30"/>
  <c r="N17" i="30" s="1"/>
  <c r="L21" i="30"/>
  <c r="N21" i="30" s="1"/>
  <c r="L20" i="30"/>
  <c r="L18" i="30"/>
  <c r="L22" i="30"/>
  <c r="N22" i="30" s="1"/>
  <c r="O19" i="30"/>
  <c r="N19" i="30"/>
  <c r="O23" i="30"/>
  <c r="N23" i="30"/>
  <c r="N20" i="30"/>
  <c r="O20" i="30"/>
  <c r="N18" i="30"/>
  <c r="O18" i="30"/>
  <c r="O22" i="30"/>
  <c r="M18" i="30"/>
  <c r="M22" i="30"/>
  <c r="I24" i="30"/>
  <c r="M19" i="30"/>
  <c r="M23" i="30"/>
  <c r="O17" i="30"/>
  <c r="O21" i="30"/>
  <c r="M20" i="30"/>
  <c r="L24" i="30"/>
  <c r="P23" i="30" s="1"/>
  <c r="K24" i="30"/>
  <c r="J24" i="30"/>
  <c r="L24" i="15"/>
  <c r="N24" i="15" s="1"/>
  <c r="L800" i="56" l="1"/>
  <c r="M800" i="56" s="1"/>
  <c r="L795" i="56"/>
  <c r="M795" i="56" s="1"/>
  <c r="K797" i="56"/>
  <c r="L797" i="56" s="1"/>
  <c r="M797" i="56" s="1"/>
  <c r="H792" i="56"/>
  <c r="L792" i="56" s="1"/>
  <c r="K802" i="56"/>
  <c r="L790" i="56"/>
  <c r="M790" i="56" s="1"/>
  <c r="H802" i="56"/>
  <c r="L734" i="56"/>
  <c r="M734" i="56" s="1"/>
  <c r="L744" i="56"/>
  <c r="L739" i="56"/>
  <c r="M739" i="56" s="1"/>
  <c r="H741" i="56"/>
  <c r="K741" i="56"/>
  <c r="M744" i="56"/>
  <c r="K736" i="56"/>
  <c r="H736" i="56"/>
  <c r="K746" i="56"/>
  <c r="H746" i="56"/>
  <c r="K683" i="56"/>
  <c r="L683" i="56" s="1"/>
  <c r="M683" i="56" s="1"/>
  <c r="L682" i="56"/>
  <c r="M682" i="56" s="1"/>
  <c r="K688" i="56"/>
  <c r="L688" i="56" s="1"/>
  <c r="M688" i="56" s="1"/>
  <c r="L687" i="56"/>
  <c r="M687" i="56" s="1"/>
  <c r="K678" i="56"/>
  <c r="L678" i="56" s="1"/>
  <c r="M678" i="56" s="1"/>
  <c r="L677" i="56"/>
  <c r="M677" i="56" s="1"/>
  <c r="K632" i="56"/>
  <c r="L632" i="56" s="1"/>
  <c r="M632" i="56" s="1"/>
  <c r="L631" i="56"/>
  <c r="M631" i="56" s="1"/>
  <c r="K622" i="56"/>
  <c r="L622" i="56" s="1"/>
  <c r="M622" i="56" s="1"/>
  <c r="L621" i="56"/>
  <c r="M621" i="56" s="1"/>
  <c r="K627" i="56"/>
  <c r="L627" i="56" s="1"/>
  <c r="M627" i="56" s="1"/>
  <c r="L626" i="56"/>
  <c r="M626" i="56" s="1"/>
  <c r="H624" i="56"/>
  <c r="H634" i="56"/>
  <c r="K566" i="56"/>
  <c r="L566" i="56" s="1"/>
  <c r="M566" i="56" s="1"/>
  <c r="L565" i="56"/>
  <c r="M565" i="56" s="1"/>
  <c r="K571" i="56"/>
  <c r="L571" i="56" s="1"/>
  <c r="M571" i="56" s="1"/>
  <c r="L570" i="56"/>
  <c r="M570" i="56" s="1"/>
  <c r="K576" i="56"/>
  <c r="L576" i="56" s="1"/>
  <c r="M576" i="56" s="1"/>
  <c r="L575" i="56"/>
  <c r="M575" i="56" s="1"/>
  <c r="L510" i="56"/>
  <c r="K512" i="56"/>
  <c r="L520" i="56"/>
  <c r="M520" i="56" s="1"/>
  <c r="K522" i="56"/>
  <c r="L522" i="56" s="1"/>
  <c r="M522" i="56" s="1"/>
  <c r="M510" i="56"/>
  <c r="H517" i="56"/>
  <c r="H512" i="56"/>
  <c r="L515" i="56"/>
  <c r="M515" i="56" s="1"/>
  <c r="L464" i="56"/>
  <c r="M464" i="56" s="1"/>
  <c r="K466" i="56"/>
  <c r="L459" i="56"/>
  <c r="M459" i="56" s="1"/>
  <c r="L461" i="56"/>
  <c r="M461" i="56" s="1"/>
  <c r="L454" i="56"/>
  <c r="M454" i="56" s="1"/>
  <c r="H456" i="56"/>
  <c r="K456" i="56"/>
  <c r="H466" i="56"/>
  <c r="L407" i="56"/>
  <c r="M407" i="56" s="1"/>
  <c r="K408" i="56"/>
  <c r="L408" i="56" s="1"/>
  <c r="M408" i="56" s="1"/>
  <c r="K398" i="56"/>
  <c r="L398" i="56" s="1"/>
  <c r="M398" i="56" s="1"/>
  <c r="L397" i="56"/>
  <c r="M397" i="56" s="1"/>
  <c r="K403" i="56"/>
  <c r="L403" i="56" s="1"/>
  <c r="M403" i="56" s="1"/>
  <c r="L402" i="56"/>
  <c r="M402" i="56" s="1"/>
  <c r="H405" i="56"/>
  <c r="L352" i="56"/>
  <c r="M352" i="56" s="1"/>
  <c r="H354" i="56"/>
  <c r="H349" i="56"/>
  <c r="K354" i="56"/>
  <c r="H344" i="56"/>
  <c r="L344" i="56" s="1"/>
  <c r="L347" i="56"/>
  <c r="M347" i="56" s="1"/>
  <c r="L342" i="56"/>
  <c r="M342" i="56" s="1"/>
  <c r="K286" i="56"/>
  <c r="L286" i="56" s="1"/>
  <c r="M286" i="56" s="1"/>
  <c r="L285" i="56"/>
  <c r="M285" i="56" s="1"/>
  <c r="H298" i="56"/>
  <c r="K296" i="56"/>
  <c r="L296" i="56" s="1"/>
  <c r="M296" i="56" s="1"/>
  <c r="L295" i="56"/>
  <c r="M295" i="56" s="1"/>
  <c r="K291" i="56"/>
  <c r="L291" i="56" s="1"/>
  <c r="M291" i="56" s="1"/>
  <c r="L290" i="56"/>
  <c r="M290" i="56" s="1"/>
  <c r="K230" i="56"/>
  <c r="L230" i="56" s="1"/>
  <c r="M230" i="56" s="1"/>
  <c r="L229" i="56"/>
  <c r="M229" i="56" s="1"/>
  <c r="H232" i="56"/>
  <c r="K235" i="56"/>
  <c r="L235" i="56" s="1"/>
  <c r="M235" i="56" s="1"/>
  <c r="L234" i="56"/>
  <c r="M234" i="56" s="1"/>
  <c r="K240" i="56"/>
  <c r="L240" i="56" s="1"/>
  <c r="M240" i="56" s="1"/>
  <c r="L239" i="56"/>
  <c r="M239" i="56" s="1"/>
  <c r="L179" i="56"/>
  <c r="M179" i="56" s="1"/>
  <c r="L184" i="56"/>
  <c r="M184" i="56" s="1"/>
  <c r="K181" i="56"/>
  <c r="L181" i="56" s="1"/>
  <c r="M181" i="56" s="1"/>
  <c r="H176" i="56"/>
  <c r="L176" i="56" s="1"/>
  <c r="K186" i="56"/>
  <c r="L186" i="56" s="1"/>
  <c r="M186" i="56" s="1"/>
  <c r="L174" i="56"/>
  <c r="M174" i="56" s="1"/>
  <c r="K123" i="56"/>
  <c r="L123" i="56" s="1"/>
  <c r="M123" i="56" s="1"/>
  <c r="L122" i="56"/>
  <c r="M122" i="56" s="1"/>
  <c r="K118" i="56"/>
  <c r="L118" i="56" s="1"/>
  <c r="M118" i="56" s="1"/>
  <c r="L117" i="56"/>
  <c r="K128" i="56"/>
  <c r="L128" i="56" s="1"/>
  <c r="M128" i="56" s="1"/>
  <c r="L127" i="56"/>
  <c r="M127" i="56" s="1"/>
  <c r="H125" i="56"/>
  <c r="H130" i="56"/>
  <c r="M17" i="30"/>
  <c r="M21" i="30"/>
  <c r="P18" i="30"/>
  <c r="P21" i="30"/>
  <c r="P22" i="30"/>
  <c r="P20" i="30"/>
  <c r="P17" i="30"/>
  <c r="P19" i="30"/>
  <c r="M117" i="56" l="1"/>
  <c r="L802" i="56"/>
  <c r="M802" i="56" s="1"/>
  <c r="M792" i="56"/>
  <c r="L736" i="56"/>
  <c r="M736" i="56" s="1"/>
  <c r="L746" i="56"/>
  <c r="M746" i="56" s="1"/>
  <c r="L741" i="56"/>
  <c r="M741" i="56" s="1"/>
  <c r="K680" i="56"/>
  <c r="L680" i="56" s="1"/>
  <c r="M680" i="56" s="1"/>
  <c r="K685" i="56"/>
  <c r="L685" i="56" s="1"/>
  <c r="M685" i="56" s="1"/>
  <c r="K690" i="56"/>
  <c r="L690" i="56" s="1"/>
  <c r="M690" i="56" s="1"/>
  <c r="K634" i="56"/>
  <c r="L634" i="56" s="1"/>
  <c r="M634" i="56" s="1"/>
  <c r="K629" i="56"/>
  <c r="L629" i="56" s="1"/>
  <c r="M629" i="56" s="1"/>
  <c r="K624" i="56"/>
  <c r="L624" i="56" s="1"/>
  <c r="M624" i="56" s="1"/>
  <c r="K578" i="56"/>
  <c r="L578" i="56" s="1"/>
  <c r="M578" i="56" s="1"/>
  <c r="K573" i="56"/>
  <c r="L573" i="56" s="1"/>
  <c r="M573" i="56" s="1"/>
  <c r="K568" i="56"/>
  <c r="L568" i="56" s="1"/>
  <c r="M568" i="56" s="1"/>
  <c r="L517" i="56"/>
  <c r="M517" i="56" s="1"/>
  <c r="L512" i="56"/>
  <c r="M512" i="56" s="1"/>
  <c r="L456" i="56"/>
  <c r="M456" i="56" s="1"/>
  <c r="L466" i="56"/>
  <c r="M466" i="56" s="1"/>
  <c r="K400" i="56"/>
  <c r="L400" i="56" s="1"/>
  <c r="M400" i="56" s="1"/>
  <c r="K405" i="56"/>
  <c r="L405" i="56" s="1"/>
  <c r="M405" i="56" s="1"/>
  <c r="K410" i="56"/>
  <c r="L410" i="56" s="1"/>
  <c r="M410" i="56" s="1"/>
  <c r="L354" i="56"/>
  <c r="M354" i="56" s="1"/>
  <c r="L349" i="56"/>
  <c r="M349" i="56" s="1"/>
  <c r="M344" i="56"/>
  <c r="K293" i="56"/>
  <c r="L293" i="56" s="1"/>
  <c r="M293" i="56" s="1"/>
  <c r="K298" i="56"/>
  <c r="L298" i="56" s="1"/>
  <c r="M298" i="56" s="1"/>
  <c r="K288" i="56"/>
  <c r="L288" i="56" s="1"/>
  <c r="M288" i="56" s="1"/>
  <c r="K237" i="56"/>
  <c r="L237" i="56" s="1"/>
  <c r="M237" i="56" s="1"/>
  <c r="K242" i="56"/>
  <c r="L242" i="56" s="1"/>
  <c r="M242" i="56" s="1"/>
  <c r="K232" i="56"/>
  <c r="L232" i="56" s="1"/>
  <c r="M232" i="56" s="1"/>
  <c r="M176" i="56"/>
  <c r="K130" i="56"/>
  <c r="L130" i="56" s="1"/>
  <c r="M130" i="56" s="1"/>
  <c r="K125" i="56"/>
  <c r="L125" i="56" s="1"/>
  <c r="M125" i="56" s="1"/>
  <c r="K120" i="56"/>
  <c r="L120" i="56" s="1"/>
  <c r="M120" i="56" s="1"/>
  <c r="P24" i="30"/>
  <c r="B478" i="84" l="1"/>
  <c r="AB478" i="84" s="1"/>
  <c r="B477" i="84"/>
  <c r="AB477" i="84" s="1"/>
  <c r="AA478" i="84"/>
  <c r="AA477" i="84"/>
  <c r="A478" i="84"/>
  <c r="A477" i="84"/>
  <c r="B475" i="84"/>
  <c r="AB475" i="84" s="1"/>
  <c r="B474" i="84"/>
  <c r="AB474" i="84" s="1"/>
  <c r="AA475" i="84"/>
  <c r="AA474" i="84"/>
  <c r="A475" i="84"/>
  <c r="A474" i="84"/>
  <c r="B472" i="84"/>
  <c r="AB472" i="84" s="1"/>
  <c r="B471" i="84"/>
  <c r="AB471" i="84" s="1"/>
  <c r="AA472" i="84"/>
  <c r="AA471" i="84"/>
  <c r="A472" i="84"/>
  <c r="A471" i="84"/>
  <c r="B469" i="84"/>
  <c r="AB469" i="84" s="1"/>
  <c r="B468" i="84"/>
  <c r="AB468" i="84" s="1"/>
  <c r="AA469" i="84"/>
  <c r="AA468" i="84"/>
  <c r="A469" i="84"/>
  <c r="A468" i="84"/>
  <c r="B466" i="84"/>
  <c r="AB466" i="84" s="1"/>
  <c r="B465" i="84"/>
  <c r="AB465" i="84" s="1"/>
  <c r="AA466" i="84"/>
  <c r="AA465" i="84"/>
  <c r="A466" i="84"/>
  <c r="A465" i="84"/>
  <c r="B463" i="84"/>
  <c r="AB463" i="84" s="1"/>
  <c r="B462" i="84"/>
  <c r="AB462" i="84" s="1"/>
  <c r="AA463" i="84"/>
  <c r="AA462" i="84"/>
  <c r="A463" i="84"/>
  <c r="A462" i="84"/>
  <c r="B460" i="84"/>
  <c r="AB460" i="84" s="1"/>
  <c r="B459" i="84"/>
  <c r="AB459" i="84" s="1"/>
  <c r="AA460" i="84"/>
  <c r="AA459" i="84"/>
  <c r="A460" i="84"/>
  <c r="A459" i="84"/>
  <c r="B457" i="84"/>
  <c r="AB457" i="84" s="1"/>
  <c r="B456" i="84"/>
  <c r="AB456" i="84" s="1"/>
  <c r="AA457" i="84"/>
  <c r="AA456" i="84"/>
  <c r="A457" i="84"/>
  <c r="A456" i="84"/>
  <c r="B454" i="84"/>
  <c r="AB454" i="84" s="1"/>
  <c r="B453" i="84"/>
  <c r="AB453" i="84" s="1"/>
  <c r="AA454" i="84"/>
  <c r="AA453" i="84"/>
  <c r="A454" i="84"/>
  <c r="A453" i="84"/>
  <c r="B451" i="84"/>
  <c r="AB451" i="84" s="1"/>
  <c r="B450" i="84"/>
  <c r="AB450" i="84" s="1"/>
  <c r="AA451" i="84"/>
  <c r="AA450" i="84"/>
  <c r="A451" i="84"/>
  <c r="A450" i="84"/>
  <c r="B448" i="84"/>
  <c r="AB448" i="84" s="1"/>
  <c r="B447" i="84"/>
  <c r="AB447" i="84" s="1"/>
  <c r="AA448" i="84"/>
  <c r="AA447" i="84"/>
  <c r="A448" i="84"/>
  <c r="A447" i="84"/>
  <c r="B445" i="84"/>
  <c r="AB445" i="84" s="1"/>
  <c r="B444" i="84"/>
  <c r="AB444" i="84" s="1"/>
  <c r="AA445" i="84"/>
  <c r="AA444" i="84"/>
  <c r="A445" i="84"/>
  <c r="A444" i="84"/>
  <c r="B442" i="84"/>
  <c r="AB442" i="84" s="1"/>
  <c r="B441" i="84"/>
  <c r="AB441" i="84" s="1"/>
  <c r="AA442" i="84"/>
  <c r="AA441" i="84"/>
  <c r="A442" i="84"/>
  <c r="A441" i="84"/>
  <c r="B439" i="84"/>
  <c r="AB439" i="84" s="1"/>
  <c r="B438" i="84"/>
  <c r="AB438" i="84" s="1"/>
  <c r="AA439" i="84"/>
  <c r="AA438" i="84"/>
  <c r="A439" i="84"/>
  <c r="A438" i="84"/>
  <c r="B436" i="84"/>
  <c r="AB436" i="84" s="1"/>
  <c r="B435" i="84"/>
  <c r="AB435" i="84" s="1"/>
  <c r="AA436" i="84"/>
  <c r="AA435" i="84"/>
  <c r="A436" i="84"/>
  <c r="A435" i="84"/>
  <c r="B433" i="84"/>
  <c r="AB433" i="84" s="1"/>
  <c r="B432" i="84"/>
  <c r="AB432" i="84" s="1"/>
  <c r="AA433" i="84"/>
  <c r="AA432" i="84"/>
  <c r="A433" i="84"/>
  <c r="A432" i="84"/>
  <c r="B430" i="84"/>
  <c r="AB430" i="84" s="1"/>
  <c r="B429" i="84"/>
  <c r="AB429" i="84" s="1"/>
  <c r="AA430" i="84"/>
  <c r="AA429" i="84"/>
  <c r="A430" i="84"/>
  <c r="A429" i="84"/>
  <c r="B427" i="84"/>
  <c r="AB427" i="84" s="1"/>
  <c r="B426" i="84"/>
  <c r="AB426" i="84" s="1"/>
  <c r="AA427" i="84"/>
  <c r="AA426" i="84"/>
  <c r="A427" i="84"/>
  <c r="A426" i="84"/>
  <c r="B424" i="84"/>
  <c r="AB424" i="84" s="1"/>
  <c r="B423" i="84"/>
  <c r="AB423" i="84" s="1"/>
  <c r="AA424" i="84"/>
  <c r="AA423" i="84"/>
  <c r="A424" i="84"/>
  <c r="A423" i="84"/>
  <c r="B421" i="84"/>
  <c r="AB421" i="84" s="1"/>
  <c r="B420" i="84"/>
  <c r="AB420" i="84" s="1"/>
  <c r="AA421" i="84"/>
  <c r="AA420" i="84"/>
  <c r="A421" i="84"/>
  <c r="A420" i="84"/>
  <c r="B418" i="84"/>
  <c r="AB418" i="84" s="1"/>
  <c r="B417" i="84"/>
  <c r="AB417" i="84" s="1"/>
  <c r="AA418" i="84"/>
  <c r="AA417" i="84"/>
  <c r="A418" i="84"/>
  <c r="A417" i="84"/>
  <c r="B415" i="84"/>
  <c r="AB415" i="84" s="1"/>
  <c r="B414" i="84"/>
  <c r="AB414" i="84" s="1"/>
  <c r="AA415" i="84"/>
  <c r="AA414" i="84"/>
  <c r="A415" i="84"/>
  <c r="A414" i="84"/>
  <c r="B412" i="84"/>
  <c r="AB412" i="84" s="1"/>
  <c r="B411" i="84"/>
  <c r="AB411" i="84" s="1"/>
  <c r="AA412" i="84"/>
  <c r="AA411" i="84"/>
  <c r="A412" i="84"/>
  <c r="A411" i="84"/>
  <c r="B409" i="84"/>
  <c r="AB409" i="84" s="1"/>
  <c r="B408" i="84"/>
  <c r="AB408" i="84" s="1"/>
  <c r="AA409" i="84"/>
  <c r="AA408" i="84"/>
  <c r="A409" i="84"/>
  <c r="A408" i="84"/>
  <c r="B406" i="84"/>
  <c r="AB406" i="84" s="1"/>
  <c r="B405" i="84"/>
  <c r="AB405" i="84" s="1"/>
  <c r="AA406" i="84"/>
  <c r="AA405" i="84"/>
  <c r="A406" i="84"/>
  <c r="A405" i="84"/>
  <c r="B403" i="84"/>
  <c r="AB403" i="84" s="1"/>
  <c r="B402" i="84"/>
  <c r="AB402" i="84" s="1"/>
  <c r="AA403" i="84"/>
  <c r="AA402" i="84"/>
  <c r="A403" i="84"/>
  <c r="A402" i="84"/>
  <c r="B400" i="84"/>
  <c r="AB400" i="84" s="1"/>
  <c r="B399" i="84"/>
  <c r="AB399" i="84" s="1"/>
  <c r="AA400" i="84"/>
  <c r="AA399" i="84"/>
  <c r="A400" i="84"/>
  <c r="A399" i="84"/>
  <c r="B397" i="84"/>
  <c r="AB397" i="84" s="1"/>
  <c r="B396" i="84"/>
  <c r="AB396" i="84" s="1"/>
  <c r="AA397" i="84"/>
  <c r="AA396" i="84"/>
  <c r="A397" i="84"/>
  <c r="A396" i="84"/>
  <c r="B394" i="84"/>
  <c r="AB394" i="84" s="1"/>
  <c r="B393" i="84"/>
  <c r="AB393" i="84" s="1"/>
  <c r="AA394" i="84"/>
  <c r="AA393" i="84"/>
  <c r="A394" i="84"/>
  <c r="A393" i="84"/>
  <c r="B391" i="84"/>
  <c r="AB391" i="84" s="1"/>
  <c r="B390" i="84"/>
  <c r="AB390" i="84" s="1"/>
  <c r="AA391" i="84"/>
  <c r="AA390" i="84"/>
  <c r="A391" i="84"/>
  <c r="A390" i="84"/>
  <c r="B388" i="84"/>
  <c r="AB388" i="84" s="1"/>
  <c r="B387" i="84"/>
  <c r="AB387" i="84" s="1"/>
  <c r="AA388" i="84"/>
  <c r="AA387" i="84"/>
  <c r="A388" i="84"/>
  <c r="A387" i="84"/>
  <c r="B385" i="84"/>
  <c r="AB385" i="84" s="1"/>
  <c r="B384" i="84"/>
  <c r="AB384" i="84" s="1"/>
  <c r="AA385" i="84"/>
  <c r="AA384" i="84"/>
  <c r="A385" i="84"/>
  <c r="A384" i="84"/>
  <c r="B382" i="84"/>
  <c r="AB382" i="84" s="1"/>
  <c r="B381" i="84"/>
  <c r="AB381" i="84" s="1"/>
  <c r="AA382" i="84"/>
  <c r="AA381" i="84"/>
  <c r="A382" i="84"/>
  <c r="A381" i="84"/>
  <c r="B379" i="84"/>
  <c r="AB379" i="84" s="1"/>
  <c r="B378" i="84"/>
  <c r="AB378" i="84" s="1"/>
  <c r="AA379" i="84"/>
  <c r="AA378" i="84"/>
  <c r="A379" i="84"/>
  <c r="A378" i="84"/>
  <c r="B376" i="84"/>
  <c r="AB376" i="84" s="1"/>
  <c r="B375" i="84"/>
  <c r="AB375" i="84" s="1"/>
  <c r="AA376" i="84"/>
  <c r="AA375" i="84"/>
  <c r="A376" i="84"/>
  <c r="A375" i="84"/>
  <c r="B373" i="84"/>
  <c r="AB373" i="84" s="1"/>
  <c r="B372" i="84"/>
  <c r="AB372" i="84" s="1"/>
  <c r="AA373" i="84"/>
  <c r="AA372" i="84"/>
  <c r="A373" i="84"/>
  <c r="A372" i="84"/>
  <c r="B370" i="84"/>
  <c r="AB370" i="84" s="1"/>
  <c r="B369" i="84"/>
  <c r="AB369" i="84" s="1"/>
  <c r="AA370" i="84"/>
  <c r="AA369" i="84"/>
  <c r="A370" i="84"/>
  <c r="A369" i="84"/>
  <c r="B367" i="84"/>
  <c r="AB367" i="84" s="1"/>
  <c r="B366" i="84"/>
  <c r="AB366" i="84" s="1"/>
  <c r="AA367" i="84"/>
  <c r="AA366" i="84"/>
  <c r="A367" i="84"/>
  <c r="A366" i="84"/>
  <c r="B364" i="84"/>
  <c r="AB364" i="84" s="1"/>
  <c r="B363" i="84"/>
  <c r="AB363" i="84" s="1"/>
  <c r="AA364" i="84"/>
  <c r="AA363" i="84"/>
  <c r="A364" i="84"/>
  <c r="A363" i="84"/>
  <c r="B361" i="84"/>
  <c r="AB361" i="84" s="1"/>
  <c r="B360" i="84"/>
  <c r="AB360" i="84" s="1"/>
  <c r="AA361" i="84"/>
  <c r="AA360" i="84"/>
  <c r="A361" i="84"/>
  <c r="A360" i="84"/>
  <c r="B358" i="84"/>
  <c r="AB358" i="84" s="1"/>
  <c r="B357" i="84"/>
  <c r="AB357" i="84" s="1"/>
  <c r="AA358" i="84"/>
  <c r="AA357" i="84"/>
  <c r="A358" i="84"/>
  <c r="A357" i="84"/>
  <c r="B355" i="84"/>
  <c r="AB355" i="84" s="1"/>
  <c r="B354" i="84"/>
  <c r="AB354" i="84" s="1"/>
  <c r="AA355" i="84"/>
  <c r="AA354" i="84"/>
  <c r="A355" i="84"/>
  <c r="A354" i="84"/>
  <c r="B352" i="84"/>
  <c r="AB352" i="84" s="1"/>
  <c r="B351" i="84"/>
  <c r="AB351" i="84" s="1"/>
  <c r="AA352" i="84"/>
  <c r="AA351" i="84"/>
  <c r="A352" i="84"/>
  <c r="A351" i="84"/>
  <c r="B349" i="84"/>
  <c r="AB349" i="84" s="1"/>
  <c r="B348" i="84"/>
  <c r="AB348" i="84" s="1"/>
  <c r="AA349" i="84"/>
  <c r="AA348" i="84"/>
  <c r="A349" i="84"/>
  <c r="A348" i="84"/>
  <c r="B346" i="84"/>
  <c r="AB346" i="84" s="1"/>
  <c r="B345" i="84"/>
  <c r="AB345" i="84" s="1"/>
  <c r="AA346" i="84"/>
  <c r="AA345" i="84"/>
  <c r="A346" i="84"/>
  <c r="A345" i="84"/>
  <c r="B343" i="84"/>
  <c r="AB343" i="84" s="1"/>
  <c r="B342" i="84"/>
  <c r="AB342" i="84" s="1"/>
  <c r="AA343" i="84"/>
  <c r="AA342" i="84"/>
  <c r="A343" i="84"/>
  <c r="A342" i="84"/>
  <c r="B340" i="84"/>
  <c r="AB340" i="84" s="1"/>
  <c r="B339" i="84"/>
  <c r="AB339" i="84" s="1"/>
  <c r="AA340" i="84"/>
  <c r="AA339" i="84"/>
  <c r="A340" i="84"/>
  <c r="A339" i="84"/>
  <c r="B337" i="84"/>
  <c r="AB337" i="84" s="1"/>
  <c r="B336" i="84"/>
  <c r="AB336" i="84" s="1"/>
  <c r="AA337" i="84"/>
  <c r="AA336" i="84"/>
  <c r="A337" i="84"/>
  <c r="A336" i="84"/>
  <c r="B334" i="84"/>
  <c r="AB334" i="84" s="1"/>
  <c r="B333" i="84"/>
  <c r="AB333" i="84" s="1"/>
  <c r="AA334" i="84"/>
  <c r="AA333" i="84"/>
  <c r="A334" i="84"/>
  <c r="A333" i="84"/>
  <c r="B331" i="84"/>
  <c r="AB331" i="84" s="1"/>
  <c r="B330" i="84"/>
  <c r="AB330" i="84" s="1"/>
  <c r="AA331" i="84"/>
  <c r="AA330" i="84"/>
  <c r="A331" i="84"/>
  <c r="A330" i="84"/>
  <c r="B328" i="84"/>
  <c r="AB328" i="84" s="1"/>
  <c r="B327" i="84"/>
  <c r="AB327" i="84" s="1"/>
  <c r="AA328" i="84"/>
  <c r="AA327" i="84"/>
  <c r="A328" i="84"/>
  <c r="A327" i="84"/>
  <c r="B325" i="84"/>
  <c r="AB325" i="84" s="1"/>
  <c r="B324" i="84"/>
  <c r="AB324" i="84" s="1"/>
  <c r="AA325" i="84"/>
  <c r="AA324" i="84"/>
  <c r="A325" i="84"/>
  <c r="A324" i="84"/>
  <c r="B322" i="84"/>
  <c r="AB322" i="84" s="1"/>
  <c r="B321" i="84"/>
  <c r="AB321" i="84" s="1"/>
  <c r="AA322" i="84"/>
  <c r="AA321" i="84"/>
  <c r="A322" i="84"/>
  <c r="A321" i="84"/>
  <c r="B319" i="84"/>
  <c r="AB319" i="84" s="1"/>
  <c r="B318" i="84"/>
  <c r="AB318" i="84" s="1"/>
  <c r="AA319" i="84"/>
  <c r="AA318" i="84"/>
  <c r="A319" i="84"/>
  <c r="A318" i="84"/>
  <c r="B316" i="84"/>
  <c r="AB316" i="84" s="1"/>
  <c r="B315" i="84"/>
  <c r="AB315" i="84" s="1"/>
  <c r="AA316" i="84"/>
  <c r="AA315" i="84"/>
  <c r="A316" i="84"/>
  <c r="A315" i="84"/>
  <c r="B313" i="84"/>
  <c r="AB313" i="84" s="1"/>
  <c r="B312" i="84"/>
  <c r="AB312" i="84" s="1"/>
  <c r="AA313" i="84"/>
  <c r="AA312" i="84"/>
  <c r="A313" i="84"/>
  <c r="A312" i="84"/>
  <c r="B310" i="84"/>
  <c r="AB310" i="84" s="1"/>
  <c r="B309" i="84"/>
  <c r="AB309" i="84" s="1"/>
  <c r="AA310" i="84"/>
  <c r="AA309" i="84"/>
  <c r="A310" i="84"/>
  <c r="A309" i="84"/>
  <c r="B307" i="84"/>
  <c r="AB307" i="84" s="1"/>
  <c r="B306" i="84"/>
  <c r="AB306" i="84" s="1"/>
  <c r="AA307" i="84"/>
  <c r="AA306" i="84"/>
  <c r="A307" i="84"/>
  <c r="A306" i="84"/>
  <c r="B304" i="84"/>
  <c r="AB304" i="84" s="1"/>
  <c r="B303" i="84"/>
  <c r="AB303" i="84" s="1"/>
  <c r="AA304" i="84"/>
  <c r="AA303" i="84"/>
  <c r="A304" i="84"/>
  <c r="A303" i="84"/>
  <c r="B301" i="84"/>
  <c r="AB301" i="84" s="1"/>
  <c r="B300" i="84"/>
  <c r="AB300" i="84" s="1"/>
  <c r="AA301" i="84"/>
  <c r="AA300" i="84"/>
  <c r="A301" i="84"/>
  <c r="A300" i="84"/>
  <c r="B298" i="84"/>
  <c r="AB298" i="84" s="1"/>
  <c r="B297" i="84"/>
  <c r="AB297" i="84" s="1"/>
  <c r="AA298" i="84"/>
  <c r="AA297" i="84"/>
  <c r="A298" i="84"/>
  <c r="A297" i="84"/>
  <c r="B295" i="84"/>
  <c r="AB295" i="84" s="1"/>
  <c r="B294" i="84"/>
  <c r="AB294" i="84" s="1"/>
  <c r="AA295" i="84"/>
  <c r="AA294" i="84"/>
  <c r="A295" i="84"/>
  <c r="A294" i="84"/>
  <c r="B292" i="84"/>
  <c r="AB292" i="84" s="1"/>
  <c r="B291" i="84"/>
  <c r="AB291" i="84" s="1"/>
  <c r="AA292" i="84"/>
  <c r="AA291" i="84"/>
  <c r="A292" i="84"/>
  <c r="A291" i="84"/>
  <c r="B289" i="84"/>
  <c r="AB289" i="84" s="1"/>
  <c r="B288" i="84"/>
  <c r="AB288" i="84" s="1"/>
  <c r="AA289" i="84"/>
  <c r="AA288" i="84"/>
  <c r="A289" i="84"/>
  <c r="A288" i="84"/>
  <c r="B286" i="84"/>
  <c r="AB286" i="84" s="1"/>
  <c r="B285" i="84"/>
  <c r="AB285" i="84" s="1"/>
  <c r="AA286" i="84"/>
  <c r="AA285" i="84"/>
  <c r="A286" i="84"/>
  <c r="A285" i="84"/>
  <c r="B283" i="84"/>
  <c r="AB283" i="84" s="1"/>
  <c r="B282" i="84"/>
  <c r="AB282" i="84" s="1"/>
  <c r="AA283" i="84"/>
  <c r="AA282" i="84"/>
  <c r="A283" i="84"/>
  <c r="A282" i="84"/>
  <c r="B280" i="84"/>
  <c r="AB280" i="84" s="1"/>
  <c r="B279" i="84"/>
  <c r="AB279" i="84" s="1"/>
  <c r="AA280" i="84"/>
  <c r="AA279" i="84"/>
  <c r="A280" i="84"/>
  <c r="A279" i="84"/>
  <c r="B277" i="84"/>
  <c r="AB277" i="84" s="1"/>
  <c r="B276" i="84"/>
  <c r="AB276" i="84" s="1"/>
  <c r="AA277" i="84"/>
  <c r="AA276" i="84"/>
  <c r="A277" i="84"/>
  <c r="A276" i="84"/>
  <c r="B274" i="84"/>
  <c r="AB274" i="84" s="1"/>
  <c r="B273" i="84"/>
  <c r="AB273" i="84" s="1"/>
  <c r="AA274" i="84"/>
  <c r="AA273" i="84"/>
  <c r="A274" i="84"/>
  <c r="A273" i="84"/>
  <c r="B271" i="84"/>
  <c r="AB271" i="84" s="1"/>
  <c r="B270" i="84"/>
  <c r="AB270" i="84" s="1"/>
  <c r="AA271" i="84"/>
  <c r="AA270" i="84"/>
  <c r="A271" i="84"/>
  <c r="A270" i="84"/>
  <c r="B268" i="84"/>
  <c r="AB268" i="84" s="1"/>
  <c r="B267" i="84"/>
  <c r="AB267" i="84" s="1"/>
  <c r="AA268" i="84"/>
  <c r="AA267" i="84"/>
  <c r="A268" i="84"/>
  <c r="A267" i="84"/>
  <c r="B265" i="84"/>
  <c r="AB265" i="84" s="1"/>
  <c r="B264" i="84"/>
  <c r="AB264" i="84" s="1"/>
  <c r="AA265" i="84"/>
  <c r="AA264" i="84"/>
  <c r="A265" i="84"/>
  <c r="A264" i="84"/>
  <c r="B262" i="84"/>
  <c r="AB262" i="84" s="1"/>
  <c r="B261" i="84"/>
  <c r="AB261" i="84" s="1"/>
  <c r="AA262" i="84"/>
  <c r="AA261" i="84"/>
  <c r="A262" i="84"/>
  <c r="A261" i="84"/>
  <c r="B259" i="84"/>
  <c r="AB259" i="84" s="1"/>
  <c r="B258" i="84"/>
  <c r="AB258" i="84" s="1"/>
  <c r="AA259" i="84"/>
  <c r="AA258" i="84"/>
  <c r="A259" i="84"/>
  <c r="A258" i="84"/>
  <c r="B256" i="84"/>
  <c r="AB256" i="84" s="1"/>
  <c r="B255" i="84"/>
  <c r="AB255" i="84" s="1"/>
  <c r="AA256" i="84"/>
  <c r="AA255" i="84"/>
  <c r="A256" i="84"/>
  <c r="A255" i="84"/>
  <c r="B253" i="84"/>
  <c r="AB253" i="84" s="1"/>
  <c r="B252" i="84"/>
  <c r="AB252" i="84" s="1"/>
  <c r="AA253" i="84"/>
  <c r="AA252" i="84"/>
  <c r="A253" i="84"/>
  <c r="A252" i="84"/>
  <c r="B250" i="84"/>
  <c r="AB250" i="84" s="1"/>
  <c r="B249" i="84"/>
  <c r="AB249" i="84" s="1"/>
  <c r="AA250" i="84"/>
  <c r="AA249" i="84"/>
  <c r="A250" i="84"/>
  <c r="A249" i="84"/>
  <c r="B247" i="84"/>
  <c r="AB247" i="84" s="1"/>
  <c r="B246" i="84"/>
  <c r="AB246" i="84" s="1"/>
  <c r="AA247" i="84"/>
  <c r="AA246" i="84"/>
  <c r="A247" i="84"/>
  <c r="A246" i="84"/>
  <c r="B244" i="84"/>
  <c r="AB244" i="84" s="1"/>
  <c r="B243" i="84"/>
  <c r="AB243" i="84" s="1"/>
  <c r="AA244" i="84"/>
  <c r="AA243" i="84"/>
  <c r="A244" i="84"/>
  <c r="A243" i="84"/>
  <c r="B241" i="84"/>
  <c r="AB241" i="84" s="1"/>
  <c r="B240" i="84"/>
  <c r="AB240" i="84" s="1"/>
  <c r="AA241" i="84"/>
  <c r="AA240" i="84"/>
  <c r="A241" i="84"/>
  <c r="A240" i="84"/>
  <c r="B238" i="84"/>
  <c r="AB238" i="84" s="1"/>
  <c r="B237" i="84"/>
  <c r="AB237" i="84" s="1"/>
  <c r="AA238" i="84"/>
  <c r="AA237" i="84"/>
  <c r="A238" i="84"/>
  <c r="A237" i="84"/>
  <c r="B235" i="84"/>
  <c r="AB235" i="84" s="1"/>
  <c r="B234" i="84"/>
  <c r="AB234" i="84" s="1"/>
  <c r="AA235" i="84"/>
  <c r="AA234" i="84"/>
  <c r="A235" i="84"/>
  <c r="A234" i="84"/>
  <c r="B232" i="84"/>
  <c r="AB232" i="84" s="1"/>
  <c r="B231" i="84"/>
  <c r="AB231" i="84" s="1"/>
  <c r="AA232" i="84"/>
  <c r="AA231" i="84"/>
  <c r="A232" i="84"/>
  <c r="A231" i="84"/>
  <c r="B229" i="84"/>
  <c r="AB229" i="84" s="1"/>
  <c r="B228" i="84"/>
  <c r="AB228" i="84" s="1"/>
  <c r="AA229" i="84"/>
  <c r="AA228" i="84"/>
  <c r="A229" i="84"/>
  <c r="A228" i="84"/>
  <c r="B226" i="84"/>
  <c r="AB226" i="84" s="1"/>
  <c r="B225" i="84"/>
  <c r="AB225" i="84" s="1"/>
  <c r="AA226" i="84"/>
  <c r="AA225" i="84"/>
  <c r="A226" i="84"/>
  <c r="A225" i="84"/>
  <c r="B223" i="84"/>
  <c r="AB223" i="84" s="1"/>
  <c r="B222" i="84"/>
  <c r="AB222" i="84" s="1"/>
  <c r="AA223" i="84"/>
  <c r="AA222" i="84"/>
  <c r="A223" i="84"/>
  <c r="A222" i="84"/>
  <c r="B220" i="84"/>
  <c r="AB220" i="84" s="1"/>
  <c r="B219" i="84"/>
  <c r="AB219" i="84" s="1"/>
  <c r="AA220" i="84"/>
  <c r="AA219" i="84"/>
  <c r="A220" i="84"/>
  <c r="A219" i="84"/>
  <c r="B217" i="84"/>
  <c r="AB217" i="84" s="1"/>
  <c r="B216" i="84"/>
  <c r="AB216" i="84" s="1"/>
  <c r="AA217" i="84"/>
  <c r="AA216" i="84"/>
  <c r="A217" i="84"/>
  <c r="A216" i="84"/>
  <c r="B214" i="84"/>
  <c r="AB214" i="84" s="1"/>
  <c r="B213" i="84"/>
  <c r="AB213" i="84" s="1"/>
  <c r="AA214" i="84"/>
  <c r="AA213" i="84"/>
  <c r="A214" i="84"/>
  <c r="A213" i="84"/>
  <c r="B211" i="84"/>
  <c r="AB211" i="84" s="1"/>
  <c r="B210" i="84"/>
  <c r="AB210" i="84" s="1"/>
  <c r="AA211" i="84"/>
  <c r="AA210" i="84"/>
  <c r="A211" i="84"/>
  <c r="A210" i="84"/>
  <c r="B208" i="84"/>
  <c r="AB208" i="84" s="1"/>
  <c r="B207" i="84"/>
  <c r="AB207" i="84" s="1"/>
  <c r="AA208" i="84"/>
  <c r="AA207" i="84"/>
  <c r="A208" i="84"/>
  <c r="A207" i="84"/>
  <c r="B205" i="84"/>
  <c r="AB205" i="84" s="1"/>
  <c r="B204" i="84"/>
  <c r="AB204" i="84" s="1"/>
  <c r="AA205" i="84"/>
  <c r="AA204" i="84"/>
  <c r="A205" i="84"/>
  <c r="A204" i="84"/>
  <c r="B202" i="84"/>
  <c r="AB202" i="84" s="1"/>
  <c r="B201" i="84"/>
  <c r="AB201" i="84" s="1"/>
  <c r="AA202" i="84"/>
  <c r="AA201" i="84"/>
  <c r="A202" i="84"/>
  <c r="A201" i="84"/>
  <c r="B199" i="84"/>
  <c r="AB199" i="84" s="1"/>
  <c r="B198" i="84"/>
  <c r="AB198" i="84" s="1"/>
  <c r="AA199" i="84"/>
  <c r="AA198" i="84"/>
  <c r="A199" i="84"/>
  <c r="A198" i="84"/>
  <c r="B196" i="84"/>
  <c r="AB196" i="84" s="1"/>
  <c r="B195" i="84"/>
  <c r="AB195" i="84" s="1"/>
  <c r="AA196" i="84"/>
  <c r="AA195" i="84"/>
  <c r="A196" i="84"/>
  <c r="A195" i="84"/>
  <c r="B193" i="84"/>
  <c r="AB193" i="84" s="1"/>
  <c r="B192" i="84"/>
  <c r="AB192" i="84" s="1"/>
  <c r="AA193" i="84"/>
  <c r="AA192" i="84"/>
  <c r="A193" i="84"/>
  <c r="A192" i="84"/>
  <c r="B190" i="84"/>
  <c r="AB190" i="84" s="1"/>
  <c r="B189" i="84"/>
  <c r="AB189" i="84" s="1"/>
  <c r="AA190" i="84"/>
  <c r="AA189" i="84"/>
  <c r="A190" i="84"/>
  <c r="A189" i="84"/>
  <c r="B187" i="84"/>
  <c r="AB187" i="84" s="1"/>
  <c r="B186" i="84"/>
  <c r="AB186" i="84" s="1"/>
  <c r="AA187" i="84"/>
  <c r="AA186" i="84"/>
  <c r="A187" i="84"/>
  <c r="A186" i="84"/>
  <c r="B184" i="84"/>
  <c r="AB184" i="84" s="1"/>
  <c r="B183" i="84"/>
  <c r="AB183" i="84" s="1"/>
  <c r="AA184" i="84"/>
  <c r="AA183" i="84"/>
  <c r="A184" i="84"/>
  <c r="A183" i="84"/>
  <c r="B181" i="84"/>
  <c r="AB181" i="84" s="1"/>
  <c r="B180" i="84"/>
  <c r="AB180" i="84" s="1"/>
  <c r="AA181" i="84"/>
  <c r="AA180" i="84"/>
  <c r="A181" i="84"/>
  <c r="A180" i="84"/>
  <c r="B178" i="84"/>
  <c r="AB178" i="84" s="1"/>
  <c r="B177" i="84"/>
  <c r="AB177" i="84" s="1"/>
  <c r="AA178" i="84"/>
  <c r="AA177" i="84"/>
  <c r="A178" i="84"/>
  <c r="A177" i="84"/>
  <c r="B175" i="84"/>
  <c r="AB175" i="84" s="1"/>
  <c r="B174" i="84"/>
  <c r="AB174" i="84" s="1"/>
  <c r="AA175" i="84"/>
  <c r="AA174" i="84"/>
  <c r="A175" i="84"/>
  <c r="A174" i="84"/>
  <c r="B172" i="84"/>
  <c r="AB172" i="84" s="1"/>
  <c r="B171" i="84"/>
  <c r="AB171" i="84" s="1"/>
  <c r="AA172" i="84"/>
  <c r="AA171" i="84"/>
  <c r="A172" i="84"/>
  <c r="A171" i="84"/>
  <c r="B169" i="84"/>
  <c r="AB169" i="84" s="1"/>
  <c r="B168" i="84"/>
  <c r="AB168" i="84" s="1"/>
  <c r="AA169" i="84"/>
  <c r="AA168" i="84"/>
  <c r="A169" i="84"/>
  <c r="A168" i="84"/>
  <c r="B166" i="84"/>
  <c r="AB166" i="84" s="1"/>
  <c r="B165" i="84"/>
  <c r="AB165" i="84" s="1"/>
  <c r="AA166" i="84"/>
  <c r="AA165" i="84"/>
  <c r="A166" i="84"/>
  <c r="A165" i="84"/>
  <c r="B163" i="84"/>
  <c r="AB163" i="84" s="1"/>
  <c r="B162" i="84"/>
  <c r="AB162" i="84" s="1"/>
  <c r="AA163" i="84"/>
  <c r="AA162" i="84"/>
  <c r="A163" i="84"/>
  <c r="A162" i="84"/>
  <c r="B160" i="84"/>
  <c r="AB160" i="84" s="1"/>
  <c r="B159" i="84"/>
  <c r="AB159" i="84" s="1"/>
  <c r="AA160" i="84"/>
  <c r="AA159" i="84"/>
  <c r="A160" i="84"/>
  <c r="A159" i="84"/>
  <c r="B157" i="84"/>
  <c r="AB157" i="84" s="1"/>
  <c r="B156" i="84"/>
  <c r="AB156" i="84" s="1"/>
  <c r="AA157" i="84"/>
  <c r="AA156" i="84"/>
  <c r="A157" i="84"/>
  <c r="A156" i="84"/>
  <c r="B154" i="84"/>
  <c r="AB154" i="84" s="1"/>
  <c r="B153" i="84"/>
  <c r="AB153" i="84" s="1"/>
  <c r="AA154" i="84"/>
  <c r="AA153" i="84"/>
  <c r="A154" i="84"/>
  <c r="A153" i="84"/>
  <c r="B151" i="84"/>
  <c r="AB151" i="84" s="1"/>
  <c r="B150" i="84"/>
  <c r="AB150" i="84" s="1"/>
  <c r="AA151" i="84"/>
  <c r="AA150" i="84"/>
  <c r="A151" i="84"/>
  <c r="A150" i="84"/>
  <c r="B148" i="84"/>
  <c r="AB148" i="84" s="1"/>
  <c r="B147" i="84"/>
  <c r="AB147" i="84" s="1"/>
  <c r="AA148" i="84"/>
  <c r="AA147" i="84"/>
  <c r="A148" i="84"/>
  <c r="A147" i="84"/>
  <c r="B145" i="84"/>
  <c r="AB145" i="84" s="1"/>
  <c r="B144" i="84"/>
  <c r="AB144" i="84" s="1"/>
  <c r="AA145" i="84"/>
  <c r="AA144" i="84"/>
  <c r="A145" i="84"/>
  <c r="A144" i="84"/>
  <c r="B142" i="84"/>
  <c r="AB142" i="84" s="1"/>
  <c r="B141" i="84"/>
  <c r="AB141" i="84" s="1"/>
  <c r="AA142" i="84"/>
  <c r="AA141" i="84"/>
  <c r="A142" i="84"/>
  <c r="A141" i="84"/>
  <c r="B139" i="84"/>
  <c r="AB139" i="84" s="1"/>
  <c r="B138" i="84"/>
  <c r="AB138" i="84" s="1"/>
  <c r="AA139" i="84"/>
  <c r="AA138" i="84"/>
  <c r="A139" i="84"/>
  <c r="A138" i="84"/>
  <c r="B136" i="84"/>
  <c r="AB136" i="84" s="1"/>
  <c r="B135" i="84"/>
  <c r="AB135" i="84" s="1"/>
  <c r="AA136" i="84"/>
  <c r="AA135" i="84"/>
  <c r="A136" i="84"/>
  <c r="A135" i="84"/>
  <c r="B133" i="84"/>
  <c r="AB133" i="84" s="1"/>
  <c r="B132" i="84"/>
  <c r="AB132" i="84" s="1"/>
  <c r="AA133" i="84"/>
  <c r="AA132" i="84"/>
  <c r="A133" i="84"/>
  <c r="A132" i="84"/>
  <c r="B130" i="84"/>
  <c r="AB130" i="84" s="1"/>
  <c r="B129" i="84"/>
  <c r="AB129" i="84" s="1"/>
  <c r="AA130" i="84"/>
  <c r="AA129" i="84"/>
  <c r="A130" i="84"/>
  <c r="A129" i="84"/>
  <c r="B127" i="84"/>
  <c r="AB127" i="84" s="1"/>
  <c r="B126" i="84"/>
  <c r="AB126" i="84" s="1"/>
  <c r="AA127" i="84"/>
  <c r="AA126" i="84"/>
  <c r="A127" i="84"/>
  <c r="A126" i="84"/>
  <c r="B124" i="84"/>
  <c r="AB124" i="84" s="1"/>
  <c r="B123" i="84"/>
  <c r="AB123" i="84" s="1"/>
  <c r="AA124" i="84"/>
  <c r="AA123" i="84"/>
  <c r="A124" i="84"/>
  <c r="A123" i="84"/>
  <c r="B121" i="84"/>
  <c r="AB121" i="84" s="1"/>
  <c r="B120" i="84"/>
  <c r="AB120" i="84" s="1"/>
  <c r="AA121" i="84"/>
  <c r="AA120" i="84"/>
  <c r="A121" i="84"/>
  <c r="A120" i="84"/>
  <c r="B118" i="84"/>
  <c r="AB118" i="84" s="1"/>
  <c r="B117" i="84"/>
  <c r="AB117" i="84" s="1"/>
  <c r="AA118" i="84"/>
  <c r="AA117" i="84"/>
  <c r="A118" i="84"/>
  <c r="A117" i="84"/>
  <c r="B115" i="84"/>
  <c r="AB115" i="84" s="1"/>
  <c r="B114" i="84"/>
  <c r="AB114" i="84" s="1"/>
  <c r="AA115" i="84"/>
  <c r="AA114" i="84"/>
  <c r="A115" i="84"/>
  <c r="A114" i="84"/>
  <c r="B112" i="84"/>
  <c r="AB112" i="84" s="1"/>
  <c r="B111" i="84"/>
  <c r="AB111" i="84" s="1"/>
  <c r="AA112" i="84"/>
  <c r="AA111" i="84"/>
  <c r="A112" i="84"/>
  <c r="A111" i="84"/>
  <c r="B109" i="84"/>
  <c r="AB109" i="84" s="1"/>
  <c r="B108" i="84"/>
  <c r="AB108" i="84" s="1"/>
  <c r="AA109" i="84"/>
  <c r="AA108" i="84"/>
  <c r="A109" i="84"/>
  <c r="A108" i="84"/>
  <c r="B106" i="84"/>
  <c r="AB106" i="84" s="1"/>
  <c r="B105" i="84"/>
  <c r="AB105" i="84" s="1"/>
  <c r="AA106" i="84"/>
  <c r="AA105" i="84"/>
  <c r="A106" i="84"/>
  <c r="A105" i="84"/>
  <c r="B103" i="84"/>
  <c r="AB103" i="84" s="1"/>
  <c r="B102" i="84"/>
  <c r="AB102" i="84" s="1"/>
  <c r="AA103" i="84"/>
  <c r="AA102" i="84"/>
  <c r="A103" i="84"/>
  <c r="A102" i="84"/>
  <c r="B100" i="84"/>
  <c r="AB100" i="84" s="1"/>
  <c r="B99" i="84"/>
  <c r="AB99" i="84" s="1"/>
  <c r="AA100" i="84"/>
  <c r="AA99" i="84"/>
  <c r="A100" i="84"/>
  <c r="A99" i="84"/>
  <c r="B97" i="84"/>
  <c r="AB97" i="84" s="1"/>
  <c r="B96" i="84"/>
  <c r="AB96" i="84" s="1"/>
  <c r="AA97" i="84"/>
  <c r="AA96" i="84"/>
  <c r="A97" i="84"/>
  <c r="A96" i="84"/>
  <c r="B94" i="84"/>
  <c r="AB94" i="84" s="1"/>
  <c r="B93" i="84"/>
  <c r="AB93" i="84" s="1"/>
  <c r="AA94" i="84"/>
  <c r="AA93" i="84"/>
  <c r="A94" i="84"/>
  <c r="A93" i="84"/>
  <c r="B91" i="84"/>
  <c r="AB91" i="84" s="1"/>
  <c r="B90" i="84"/>
  <c r="AB90" i="84" s="1"/>
  <c r="AA91" i="84"/>
  <c r="AA90" i="84"/>
  <c r="A91" i="84"/>
  <c r="A90" i="84"/>
  <c r="B88" i="84"/>
  <c r="AB88" i="84" s="1"/>
  <c r="B87" i="84"/>
  <c r="AB87" i="84" s="1"/>
  <c r="AA88" i="84"/>
  <c r="AA87" i="84"/>
  <c r="A88" i="84"/>
  <c r="A87" i="84"/>
  <c r="B85" i="84"/>
  <c r="AB85" i="84" s="1"/>
  <c r="B84" i="84"/>
  <c r="AB84" i="84" s="1"/>
  <c r="AA85" i="84"/>
  <c r="AA84" i="84"/>
  <c r="A85" i="84"/>
  <c r="A84" i="84"/>
  <c r="B82" i="84"/>
  <c r="AB82" i="84" s="1"/>
  <c r="B81" i="84"/>
  <c r="AB81" i="84" s="1"/>
  <c r="AA82" i="84"/>
  <c r="AA81" i="84"/>
  <c r="A82" i="84"/>
  <c r="A81" i="84"/>
  <c r="B79" i="84"/>
  <c r="AB79" i="84" s="1"/>
  <c r="B78" i="84"/>
  <c r="AB78" i="84" s="1"/>
  <c r="AA79" i="84"/>
  <c r="AA78" i="84"/>
  <c r="A79" i="84"/>
  <c r="A78" i="84"/>
  <c r="B76" i="84"/>
  <c r="AB76" i="84" s="1"/>
  <c r="B75" i="84"/>
  <c r="AB75" i="84" s="1"/>
  <c r="AA76" i="84"/>
  <c r="AA75" i="84"/>
  <c r="A76" i="84"/>
  <c r="A75" i="84"/>
  <c r="B73" i="84"/>
  <c r="AB73" i="84" s="1"/>
  <c r="B72" i="84"/>
  <c r="AB72" i="84" s="1"/>
  <c r="AA73" i="84"/>
  <c r="AA72" i="84"/>
  <c r="A73" i="84"/>
  <c r="A72" i="84"/>
  <c r="B70" i="84"/>
  <c r="AB70" i="84" s="1"/>
  <c r="B69" i="84"/>
  <c r="AB69" i="84" s="1"/>
  <c r="AA70" i="84"/>
  <c r="AA69" i="84"/>
  <c r="A70" i="84"/>
  <c r="A69" i="84"/>
  <c r="B67" i="84"/>
  <c r="AB67" i="84" s="1"/>
  <c r="B66" i="84"/>
  <c r="AB66" i="84" s="1"/>
  <c r="AA67" i="84"/>
  <c r="AA66" i="84"/>
  <c r="A67" i="84"/>
  <c r="A66" i="84"/>
  <c r="B64" i="84"/>
  <c r="AB64" i="84" s="1"/>
  <c r="B63" i="84"/>
  <c r="AB63" i="84" s="1"/>
  <c r="AA64" i="84"/>
  <c r="AA63" i="84"/>
  <c r="A64" i="84"/>
  <c r="A63" i="84"/>
  <c r="B61" i="84"/>
  <c r="AB61" i="84" s="1"/>
  <c r="B60" i="84"/>
  <c r="AB60" i="84" s="1"/>
  <c r="AA61" i="84"/>
  <c r="AA60" i="84"/>
  <c r="A61" i="84"/>
  <c r="A60" i="84"/>
  <c r="B58" i="84"/>
  <c r="AB58" i="84" s="1"/>
  <c r="B57" i="84"/>
  <c r="AB57" i="84" s="1"/>
  <c r="AA58" i="84"/>
  <c r="AA57" i="84"/>
  <c r="A58" i="84"/>
  <c r="A57" i="84"/>
  <c r="B55" i="84"/>
  <c r="AB55" i="84" s="1"/>
  <c r="B54" i="84"/>
  <c r="AB54" i="84" s="1"/>
  <c r="AA55" i="84"/>
  <c r="AA54" i="84"/>
  <c r="A55" i="84"/>
  <c r="A54" i="84"/>
  <c r="B52" i="84"/>
  <c r="AB52" i="84" s="1"/>
  <c r="B51" i="84"/>
  <c r="AB51" i="84" s="1"/>
  <c r="AA52" i="84"/>
  <c r="AA51" i="84"/>
  <c r="A52" i="84"/>
  <c r="A51" i="84"/>
  <c r="B49" i="84"/>
  <c r="AB49" i="84" s="1"/>
  <c r="B48" i="84"/>
  <c r="AB48" i="84" s="1"/>
  <c r="AA49" i="84"/>
  <c r="AA48" i="84"/>
  <c r="A49" i="84"/>
  <c r="A48" i="84"/>
  <c r="B46" i="84"/>
  <c r="AB46" i="84" s="1"/>
  <c r="B45" i="84"/>
  <c r="AB45" i="84" s="1"/>
  <c r="AA46" i="84"/>
  <c r="AA45" i="84"/>
  <c r="A46" i="84"/>
  <c r="A45" i="84"/>
  <c r="B43" i="84"/>
  <c r="AB43" i="84" s="1"/>
  <c r="B42" i="84"/>
  <c r="AB42" i="84" s="1"/>
  <c r="AA43" i="84"/>
  <c r="AA42" i="84"/>
  <c r="A43" i="84"/>
  <c r="A42" i="84"/>
  <c r="B40" i="84"/>
  <c r="AB40" i="84" s="1"/>
  <c r="B39" i="84"/>
  <c r="AB39" i="84" s="1"/>
  <c r="AA40" i="84"/>
  <c r="AA39" i="84"/>
  <c r="A40" i="84"/>
  <c r="A39" i="84"/>
  <c r="B37" i="84"/>
  <c r="AB37" i="84" s="1"/>
  <c r="B36" i="84"/>
  <c r="AB36" i="84" s="1"/>
  <c r="AA37" i="84"/>
  <c r="AA36" i="84"/>
  <c r="A37" i="84"/>
  <c r="A36" i="84"/>
  <c r="B34" i="84"/>
  <c r="AB34" i="84" s="1"/>
  <c r="B33" i="84"/>
  <c r="AB33" i="84" s="1"/>
  <c r="AA34" i="84"/>
  <c r="AA33" i="84"/>
  <c r="A34" i="84"/>
  <c r="A33" i="84"/>
  <c r="B31" i="84"/>
  <c r="AB31" i="84" s="1"/>
  <c r="B30" i="84"/>
  <c r="AB30" i="84" s="1"/>
  <c r="AA31" i="84"/>
  <c r="AA30" i="84"/>
  <c r="A31" i="84"/>
  <c r="A30" i="84"/>
  <c r="C183" i="90" l="1"/>
  <c r="C182" i="90"/>
  <c r="C181" i="90"/>
  <c r="C180" i="90"/>
  <c r="C179" i="90"/>
  <c r="C178" i="90"/>
  <c r="C177" i="90"/>
  <c r="C176" i="90"/>
  <c r="C175" i="90"/>
  <c r="C174" i="90"/>
  <c r="C173" i="90"/>
  <c r="C172" i="90"/>
  <c r="C171" i="90"/>
  <c r="C170" i="90"/>
  <c r="C169" i="90"/>
  <c r="C168" i="90"/>
  <c r="C167" i="90"/>
  <c r="C166" i="90"/>
  <c r="C165" i="90"/>
  <c r="C164" i="90"/>
  <c r="C163" i="90"/>
  <c r="C162" i="90"/>
  <c r="C161" i="90"/>
  <c r="C160" i="90"/>
  <c r="C159" i="90"/>
  <c r="C158" i="90"/>
  <c r="C157" i="90"/>
  <c r="C156" i="90"/>
  <c r="C155" i="90"/>
  <c r="C154" i="90"/>
  <c r="C153" i="90"/>
  <c r="C152" i="90"/>
  <c r="C151" i="90"/>
  <c r="C150" i="90"/>
  <c r="C149" i="90"/>
  <c r="C148" i="90"/>
  <c r="C147" i="90"/>
  <c r="C146" i="90"/>
  <c r="C145" i="90"/>
  <c r="C144" i="90"/>
  <c r="C143" i="90"/>
  <c r="C142" i="90"/>
  <c r="C141" i="90"/>
  <c r="C140" i="90"/>
  <c r="C139" i="90"/>
  <c r="C138" i="90"/>
  <c r="C137" i="90"/>
  <c r="C136" i="90"/>
  <c r="C135" i="90"/>
  <c r="C134" i="90"/>
  <c r="C133" i="90"/>
  <c r="C132" i="90"/>
  <c r="C131" i="90"/>
  <c r="C130" i="90"/>
  <c r="C129" i="90"/>
  <c r="C128" i="90"/>
  <c r="C127" i="90"/>
  <c r="C126" i="90"/>
  <c r="C125" i="90"/>
  <c r="C124" i="90"/>
  <c r="C123" i="90"/>
  <c r="C122" i="90"/>
  <c r="C121" i="90"/>
  <c r="C120" i="90"/>
  <c r="C119" i="90"/>
  <c r="C118" i="90"/>
  <c r="C117" i="90"/>
  <c r="C116" i="90"/>
  <c r="C115" i="90"/>
  <c r="C114" i="90"/>
  <c r="C113" i="90"/>
  <c r="C112" i="90"/>
  <c r="C111" i="90"/>
  <c r="C110" i="90"/>
  <c r="C109" i="90"/>
  <c r="C108" i="90"/>
  <c r="C107" i="90"/>
  <c r="C106" i="90"/>
  <c r="C105" i="90"/>
  <c r="C104" i="90"/>
  <c r="C103" i="90"/>
  <c r="C102" i="90"/>
  <c r="C101" i="90"/>
  <c r="C100" i="90"/>
  <c r="C99" i="90"/>
  <c r="C98" i="90"/>
  <c r="C97" i="90"/>
  <c r="C96" i="90"/>
  <c r="C95" i="90"/>
  <c r="C94" i="90"/>
  <c r="C93" i="90"/>
  <c r="C92" i="90"/>
  <c r="C91" i="90"/>
  <c r="C90" i="90"/>
  <c r="C89" i="90"/>
  <c r="C88" i="90"/>
  <c r="C87" i="90"/>
  <c r="C86" i="90"/>
  <c r="C85" i="90"/>
  <c r="C84" i="90"/>
  <c r="C83" i="90"/>
  <c r="C82" i="90"/>
  <c r="C81" i="90"/>
  <c r="C80" i="90"/>
  <c r="C79" i="90"/>
  <c r="C78" i="90"/>
  <c r="C77" i="90"/>
  <c r="C76" i="90"/>
  <c r="C75" i="90"/>
  <c r="C74" i="90"/>
  <c r="C73" i="90"/>
  <c r="C72" i="90"/>
  <c r="C71" i="90"/>
  <c r="C70" i="90"/>
  <c r="C69" i="90"/>
  <c r="C68" i="90"/>
  <c r="C67" i="90"/>
  <c r="C66" i="90"/>
  <c r="C65" i="90"/>
  <c r="C64" i="90"/>
  <c r="C63" i="90"/>
  <c r="C62" i="90"/>
  <c r="C61" i="90"/>
  <c r="C60" i="90"/>
  <c r="C59" i="90"/>
  <c r="C58" i="90"/>
  <c r="C57" i="90"/>
  <c r="C56" i="90"/>
  <c r="C55" i="90"/>
  <c r="C54" i="90"/>
  <c r="C53" i="90"/>
  <c r="C52" i="90"/>
  <c r="C51" i="90"/>
  <c r="C50" i="90"/>
  <c r="C49" i="90"/>
  <c r="C48" i="90"/>
  <c r="C47" i="90"/>
  <c r="C46" i="90"/>
  <c r="C45" i="90"/>
  <c r="C44" i="90"/>
  <c r="C43" i="90"/>
  <c r="C42" i="90"/>
  <c r="C41" i="90"/>
  <c r="C40" i="90"/>
  <c r="C39" i="90"/>
  <c r="C38" i="90"/>
  <c r="C37" i="90"/>
  <c r="C36" i="90"/>
  <c r="H183" i="90" a="1"/>
  <c r="H183" i="90" s="1"/>
  <c r="H182" i="90" a="1"/>
  <c r="H182" i="90" s="1"/>
  <c r="H181" i="90" a="1"/>
  <c r="H181" i="90" s="1"/>
  <c r="H180" i="90" a="1"/>
  <c r="H180" i="90" s="1"/>
  <c r="H179" i="90" a="1"/>
  <c r="H179" i="90" s="1"/>
  <c r="H178" i="90" a="1"/>
  <c r="H178" i="90" s="1"/>
  <c r="H177" i="90" a="1"/>
  <c r="H177" i="90" s="1"/>
  <c r="H176" i="90" a="1"/>
  <c r="H176" i="90" s="1"/>
  <c r="H175" i="90" a="1"/>
  <c r="H175" i="90" s="1"/>
  <c r="H174" i="90" a="1"/>
  <c r="H174" i="90" s="1"/>
  <c r="H173" i="90" a="1"/>
  <c r="H173" i="90" s="1"/>
  <c r="H172" i="90" a="1"/>
  <c r="H172" i="90" s="1"/>
  <c r="H171" i="90" a="1"/>
  <c r="H171" i="90" s="1"/>
  <c r="H170" i="90" a="1"/>
  <c r="H170" i="90" s="1"/>
  <c r="H169" i="90" a="1"/>
  <c r="H169" i="90" s="1"/>
  <c r="H168" i="90" a="1"/>
  <c r="H168" i="90" s="1"/>
  <c r="H167" i="90" a="1"/>
  <c r="H167" i="90" s="1"/>
  <c r="H166" i="90" a="1"/>
  <c r="H166" i="90" s="1"/>
  <c r="H165" i="90" a="1"/>
  <c r="H165" i="90" s="1"/>
  <c r="H164" i="90" a="1"/>
  <c r="H164" i="90" s="1"/>
  <c r="H163" i="90" a="1"/>
  <c r="H163" i="90" s="1"/>
  <c r="H162" i="90" a="1"/>
  <c r="H162" i="90" s="1"/>
  <c r="H161" i="90" a="1"/>
  <c r="H161" i="90" s="1"/>
  <c r="H160" i="90" a="1"/>
  <c r="H160" i="90" s="1"/>
  <c r="H159" i="90" a="1"/>
  <c r="H159" i="90" s="1"/>
  <c r="H158" i="90" a="1"/>
  <c r="H158" i="90" s="1"/>
  <c r="H157" i="90" a="1"/>
  <c r="H157" i="90" s="1"/>
  <c r="H156" i="90" a="1"/>
  <c r="H156" i="90" s="1"/>
  <c r="H155" i="90" a="1"/>
  <c r="H155" i="90" s="1"/>
  <c r="H154" i="90" a="1"/>
  <c r="H154" i="90" s="1"/>
  <c r="H153" i="90" a="1"/>
  <c r="H153" i="90" s="1"/>
  <c r="H152" i="90" a="1"/>
  <c r="H152" i="90" s="1"/>
  <c r="H151" i="90" a="1"/>
  <c r="H151" i="90" s="1"/>
  <c r="H150" i="90" a="1"/>
  <c r="H150" i="90" s="1"/>
  <c r="H149" i="90" a="1"/>
  <c r="H149" i="90" s="1"/>
  <c r="H148" i="90" a="1"/>
  <c r="H148" i="90" s="1"/>
  <c r="H147" i="90" a="1"/>
  <c r="H147" i="90" s="1"/>
  <c r="H146" i="90" a="1"/>
  <c r="H146" i="90" s="1"/>
  <c r="H145" i="90" a="1"/>
  <c r="H145" i="90" s="1"/>
  <c r="H144" i="90" a="1"/>
  <c r="H144" i="90" s="1"/>
  <c r="H143" i="90" a="1"/>
  <c r="H143" i="90" s="1"/>
  <c r="H142" i="90" a="1"/>
  <c r="H142" i="90" s="1"/>
  <c r="H141" i="90" a="1"/>
  <c r="H141" i="90" s="1"/>
  <c r="H140" i="90" a="1"/>
  <c r="H140" i="90" s="1"/>
  <c r="H139" i="90" a="1"/>
  <c r="H139" i="90" s="1"/>
  <c r="H138" i="90" a="1"/>
  <c r="H138" i="90" s="1"/>
  <c r="H137" i="90" a="1"/>
  <c r="H137" i="90" s="1"/>
  <c r="H136" i="90" a="1"/>
  <c r="H136" i="90" s="1"/>
  <c r="H135" i="90" a="1"/>
  <c r="H135" i="90" s="1"/>
  <c r="H134" i="90" a="1"/>
  <c r="H134" i="90" s="1"/>
  <c r="H133" i="90" a="1"/>
  <c r="H133" i="90" s="1"/>
  <c r="H132" i="90" a="1"/>
  <c r="H132" i="90" s="1"/>
  <c r="H131" i="90" a="1"/>
  <c r="H131" i="90" s="1"/>
  <c r="H130" i="90" a="1"/>
  <c r="H130" i="90" s="1"/>
  <c r="H129" i="90" a="1"/>
  <c r="H129" i="90" s="1"/>
  <c r="H128" i="90" a="1"/>
  <c r="H128" i="90" s="1"/>
  <c r="H127" i="90" a="1"/>
  <c r="H127" i="90" s="1"/>
  <c r="H126" i="90" a="1"/>
  <c r="H126" i="90" s="1"/>
  <c r="H125" i="90" a="1"/>
  <c r="H125" i="90" s="1"/>
  <c r="H124" i="90" a="1"/>
  <c r="H124" i="90" s="1"/>
  <c r="H123" i="90" a="1"/>
  <c r="H123" i="90" s="1"/>
  <c r="H122" i="90" a="1"/>
  <c r="H122" i="90" s="1"/>
  <c r="H121" i="90" a="1"/>
  <c r="H121" i="90" s="1"/>
  <c r="H120" i="90" a="1"/>
  <c r="H120" i="90" s="1"/>
  <c r="H119" i="90" a="1"/>
  <c r="H119" i="90" s="1"/>
  <c r="H118" i="90" a="1"/>
  <c r="H118" i="90" s="1"/>
  <c r="H117" i="90" a="1"/>
  <c r="H117" i="90" s="1"/>
  <c r="H116" i="90" a="1"/>
  <c r="H116" i="90" s="1"/>
  <c r="H115" i="90" a="1"/>
  <c r="H115" i="90" s="1"/>
  <c r="H114" i="90" a="1"/>
  <c r="H114" i="90" s="1"/>
  <c r="H113" i="90" a="1"/>
  <c r="H113" i="90" s="1"/>
  <c r="H112" i="90" a="1"/>
  <c r="H112" i="90" s="1"/>
  <c r="H111" i="90" a="1"/>
  <c r="H111" i="90" s="1"/>
  <c r="H110" i="90" a="1"/>
  <c r="H110" i="90" s="1"/>
  <c r="H109" i="90" a="1"/>
  <c r="H109" i="90" s="1"/>
  <c r="H108" i="90" a="1"/>
  <c r="H108" i="90" s="1"/>
  <c r="H107" i="90" a="1"/>
  <c r="H107" i="90" s="1"/>
  <c r="H106" i="90" a="1"/>
  <c r="H106" i="90" s="1"/>
  <c r="H105" i="90" a="1"/>
  <c r="H105" i="90" s="1"/>
  <c r="H104" i="90" a="1"/>
  <c r="H104" i="90" s="1"/>
  <c r="H103" i="90" a="1"/>
  <c r="H103" i="90" s="1"/>
  <c r="H102" i="90" a="1"/>
  <c r="H102" i="90" s="1"/>
  <c r="H101" i="90" a="1"/>
  <c r="H101" i="90" s="1"/>
  <c r="H100" i="90" a="1"/>
  <c r="H100" i="90" s="1"/>
  <c r="H99" i="90" a="1"/>
  <c r="H99" i="90" s="1"/>
  <c r="H98" i="90" a="1"/>
  <c r="H98" i="90" s="1"/>
  <c r="H97" i="90" a="1"/>
  <c r="H97" i="90" s="1"/>
  <c r="H96" i="90" a="1"/>
  <c r="H96" i="90" s="1"/>
  <c r="H95" i="90" a="1"/>
  <c r="H95" i="90" s="1"/>
  <c r="H94" i="90" a="1"/>
  <c r="H94" i="90" s="1"/>
  <c r="H93" i="90" a="1"/>
  <c r="H93" i="90" s="1"/>
  <c r="H92" i="90" a="1"/>
  <c r="H92" i="90" s="1"/>
  <c r="H91" i="90" a="1"/>
  <c r="H91" i="90" s="1"/>
  <c r="H90" i="90" a="1"/>
  <c r="H90" i="90" s="1"/>
  <c r="H89" i="90" a="1"/>
  <c r="H89" i="90" s="1"/>
  <c r="H88" i="90" a="1"/>
  <c r="H88" i="90" s="1"/>
  <c r="H87" i="90" a="1"/>
  <c r="H87" i="90" s="1"/>
  <c r="H86" i="90" a="1"/>
  <c r="H86" i="90" s="1"/>
  <c r="H85" i="90" a="1"/>
  <c r="H85" i="90" s="1"/>
  <c r="H84" i="90" a="1"/>
  <c r="H84" i="90" s="1"/>
  <c r="H83" i="90" a="1"/>
  <c r="H83" i="90" s="1"/>
  <c r="H82" i="90" a="1"/>
  <c r="H82" i="90" s="1"/>
  <c r="H81" i="90" a="1"/>
  <c r="H81" i="90" s="1"/>
  <c r="H80" i="90" a="1"/>
  <c r="H80" i="90" s="1"/>
  <c r="H79" i="90" a="1"/>
  <c r="H79" i="90" s="1"/>
  <c r="H78" i="90" a="1"/>
  <c r="H78" i="90" s="1"/>
  <c r="H77" i="90" a="1"/>
  <c r="H77" i="90" s="1"/>
  <c r="H76" i="90" a="1"/>
  <c r="H76" i="90" s="1"/>
  <c r="H75" i="90" a="1"/>
  <c r="H75" i="90" s="1"/>
  <c r="H74" i="90" a="1"/>
  <c r="H74" i="90" s="1"/>
  <c r="H73" i="90" a="1"/>
  <c r="H73" i="90" s="1"/>
  <c r="H72" i="90" a="1"/>
  <c r="H72" i="90" s="1"/>
  <c r="H71" i="90" a="1"/>
  <c r="H71" i="90" s="1"/>
  <c r="H70" i="90" a="1"/>
  <c r="H70" i="90" s="1"/>
  <c r="H69" i="90" a="1"/>
  <c r="H69" i="90" s="1"/>
  <c r="H68" i="90" a="1"/>
  <c r="H68" i="90" s="1"/>
  <c r="H67" i="90" a="1"/>
  <c r="H67" i="90" s="1"/>
  <c r="H66" i="90" a="1"/>
  <c r="H66" i="90" s="1"/>
  <c r="H65" i="90" a="1"/>
  <c r="H65" i="90" s="1"/>
  <c r="H64" i="90" a="1"/>
  <c r="H64" i="90" s="1"/>
  <c r="H63" i="90" a="1"/>
  <c r="H63" i="90" s="1"/>
  <c r="H62" i="90" a="1"/>
  <c r="H62" i="90" s="1"/>
  <c r="H61" i="90" a="1"/>
  <c r="H61" i="90" s="1"/>
  <c r="H60" i="90" a="1"/>
  <c r="H60" i="90" s="1"/>
  <c r="H59" i="90" a="1"/>
  <c r="H59" i="90" s="1"/>
  <c r="H58" i="90" a="1"/>
  <c r="H58" i="90" s="1"/>
  <c r="H57" i="90" a="1"/>
  <c r="H57" i="90" s="1"/>
  <c r="H56" i="90" a="1"/>
  <c r="H56" i="90" s="1"/>
  <c r="H55" i="90" a="1"/>
  <c r="H55" i="90" s="1"/>
  <c r="H54" i="90" a="1"/>
  <c r="H54" i="90" s="1"/>
  <c r="H53" i="90" a="1"/>
  <c r="H53" i="90" s="1"/>
  <c r="H52" i="90" a="1"/>
  <c r="H52" i="90" s="1"/>
  <c r="H51" i="90" a="1"/>
  <c r="H51" i="90" s="1"/>
  <c r="H50" i="90" a="1"/>
  <c r="H50" i="90" s="1"/>
  <c r="H49" i="90" a="1"/>
  <c r="H49" i="90" s="1"/>
  <c r="H48" i="90" a="1"/>
  <c r="H48" i="90" s="1"/>
  <c r="H47" i="90" a="1"/>
  <c r="H47" i="90" s="1"/>
  <c r="H46" i="90" a="1"/>
  <c r="H46" i="90" s="1"/>
  <c r="H45" i="90" a="1"/>
  <c r="H45" i="90" s="1"/>
  <c r="H44" i="90" a="1"/>
  <c r="H44" i="90" s="1"/>
  <c r="H43" i="90" a="1"/>
  <c r="H43" i="90" s="1"/>
  <c r="H42" i="90" a="1"/>
  <c r="H42" i="90" s="1"/>
  <c r="H41" i="90" a="1"/>
  <c r="H41" i="90" s="1"/>
  <c r="H40" i="90" a="1"/>
  <c r="H40" i="90" s="1"/>
  <c r="H39" i="90" a="1"/>
  <c r="H39" i="90" s="1"/>
  <c r="H38" i="90" a="1"/>
  <c r="H38" i="90" s="1"/>
  <c r="H37" i="90" a="1"/>
  <c r="H37" i="90" s="1"/>
  <c r="H36" i="90" a="1"/>
  <c r="H36" i="90" s="1"/>
  <c r="H35" i="90" a="1"/>
  <c r="H35" i="90" s="1"/>
  <c r="H34" i="90" a="1"/>
  <c r="H34" i="90" s="1"/>
  <c r="G183" i="90" a="1"/>
  <c r="G183" i="90" s="1"/>
  <c r="G182" i="90" a="1"/>
  <c r="G182" i="90" s="1"/>
  <c r="G181" i="90" a="1"/>
  <c r="G181" i="90" s="1"/>
  <c r="G180" i="90" a="1"/>
  <c r="G180" i="90" s="1"/>
  <c r="G179" i="90" a="1"/>
  <c r="G179" i="90" s="1"/>
  <c r="G178" i="90" a="1"/>
  <c r="G178" i="90" s="1"/>
  <c r="G177" i="90" a="1"/>
  <c r="G177" i="90" s="1"/>
  <c r="G176" i="90" a="1"/>
  <c r="G176" i="90" s="1"/>
  <c r="G175" i="90" a="1"/>
  <c r="G175" i="90" s="1"/>
  <c r="G174" i="90" a="1"/>
  <c r="G174" i="90" s="1"/>
  <c r="G173" i="90" a="1"/>
  <c r="G173" i="90" s="1"/>
  <c r="G172" i="90" a="1"/>
  <c r="G172" i="90" s="1"/>
  <c r="G171" i="90" a="1"/>
  <c r="G171" i="90" s="1"/>
  <c r="G170" i="90" a="1"/>
  <c r="G170" i="90" s="1"/>
  <c r="G169" i="90" a="1"/>
  <c r="G169" i="90" s="1"/>
  <c r="G168" i="90" a="1"/>
  <c r="G168" i="90" s="1"/>
  <c r="G167" i="90" a="1"/>
  <c r="G167" i="90" s="1"/>
  <c r="G166" i="90" a="1"/>
  <c r="G166" i="90" s="1"/>
  <c r="G165" i="90" a="1"/>
  <c r="G165" i="90" s="1"/>
  <c r="G164" i="90" a="1"/>
  <c r="G164" i="90" s="1"/>
  <c r="G163" i="90" a="1"/>
  <c r="G163" i="90" s="1"/>
  <c r="G162" i="90" a="1"/>
  <c r="G162" i="90" s="1"/>
  <c r="G161" i="90" a="1"/>
  <c r="G161" i="90" s="1"/>
  <c r="G160" i="90" a="1"/>
  <c r="G160" i="90" s="1"/>
  <c r="G159" i="90" a="1"/>
  <c r="G159" i="90" s="1"/>
  <c r="G158" i="90" a="1"/>
  <c r="G158" i="90" s="1"/>
  <c r="G157" i="90" a="1"/>
  <c r="G157" i="90" s="1"/>
  <c r="G156" i="90" a="1"/>
  <c r="G156" i="90" s="1"/>
  <c r="G155" i="90" a="1"/>
  <c r="G155" i="90" s="1"/>
  <c r="G154" i="90" a="1"/>
  <c r="G154" i="90" s="1"/>
  <c r="G153" i="90" a="1"/>
  <c r="G153" i="90" s="1"/>
  <c r="G152" i="90" a="1"/>
  <c r="G152" i="90" s="1"/>
  <c r="G151" i="90" a="1"/>
  <c r="G151" i="90" s="1"/>
  <c r="G150" i="90" a="1"/>
  <c r="G150" i="90" s="1"/>
  <c r="G149" i="90" a="1"/>
  <c r="G149" i="90" s="1"/>
  <c r="G148" i="90" a="1"/>
  <c r="G148" i="90" s="1"/>
  <c r="G147" i="90" a="1"/>
  <c r="G147" i="90" s="1"/>
  <c r="G146" i="90" a="1"/>
  <c r="G146" i="90" s="1"/>
  <c r="G145" i="90" a="1"/>
  <c r="G145" i="90" s="1"/>
  <c r="G144" i="90" a="1"/>
  <c r="G144" i="90" s="1"/>
  <c r="G143" i="90" a="1"/>
  <c r="G143" i="90" s="1"/>
  <c r="G142" i="90" a="1"/>
  <c r="G142" i="90" s="1"/>
  <c r="G141" i="90" a="1"/>
  <c r="G141" i="90" s="1"/>
  <c r="G140" i="90" a="1"/>
  <c r="G140" i="90" s="1"/>
  <c r="G139" i="90" a="1"/>
  <c r="G139" i="90" s="1"/>
  <c r="G138" i="90" a="1"/>
  <c r="G138" i="90" s="1"/>
  <c r="G137" i="90" a="1"/>
  <c r="G137" i="90" s="1"/>
  <c r="G136" i="90" a="1"/>
  <c r="G136" i="90" s="1"/>
  <c r="G135" i="90" a="1"/>
  <c r="G135" i="90" s="1"/>
  <c r="G134" i="90" a="1"/>
  <c r="G134" i="90" s="1"/>
  <c r="G133" i="90" a="1"/>
  <c r="G133" i="90" s="1"/>
  <c r="G132" i="90" a="1"/>
  <c r="G132" i="90" s="1"/>
  <c r="G131" i="90" a="1"/>
  <c r="G131" i="90" s="1"/>
  <c r="G130" i="90" a="1"/>
  <c r="G130" i="90" s="1"/>
  <c r="G129" i="90" a="1"/>
  <c r="G129" i="90" s="1"/>
  <c r="G128" i="90" a="1"/>
  <c r="G128" i="90" s="1"/>
  <c r="G127" i="90" a="1"/>
  <c r="G127" i="90" s="1"/>
  <c r="G126" i="90" a="1"/>
  <c r="G126" i="90" s="1"/>
  <c r="G125" i="90" a="1"/>
  <c r="G125" i="90" s="1"/>
  <c r="G124" i="90" a="1"/>
  <c r="G124" i="90" s="1"/>
  <c r="G123" i="90" a="1"/>
  <c r="G123" i="90" s="1"/>
  <c r="G122" i="90" a="1"/>
  <c r="G122" i="90" s="1"/>
  <c r="G121" i="90" a="1"/>
  <c r="G121" i="90" s="1"/>
  <c r="G120" i="90" a="1"/>
  <c r="G120" i="90" s="1"/>
  <c r="G119" i="90" a="1"/>
  <c r="G119" i="90" s="1"/>
  <c r="G118" i="90" a="1"/>
  <c r="G118" i="90" s="1"/>
  <c r="G117" i="90" a="1"/>
  <c r="G117" i="90" s="1"/>
  <c r="G116" i="90" a="1"/>
  <c r="G116" i="90" s="1"/>
  <c r="G115" i="90" a="1"/>
  <c r="G115" i="90" s="1"/>
  <c r="G114" i="90" a="1"/>
  <c r="G114" i="90" s="1"/>
  <c r="G113" i="90" a="1"/>
  <c r="G113" i="90" s="1"/>
  <c r="G112" i="90" a="1"/>
  <c r="G112" i="90" s="1"/>
  <c r="G111" i="90" a="1"/>
  <c r="G111" i="90" s="1"/>
  <c r="G110" i="90" a="1"/>
  <c r="G110" i="90" s="1"/>
  <c r="G109" i="90" a="1"/>
  <c r="G109" i="90" s="1"/>
  <c r="G108" i="90" a="1"/>
  <c r="G108" i="90" s="1"/>
  <c r="G107" i="90" a="1"/>
  <c r="G107" i="90" s="1"/>
  <c r="G106" i="90" a="1"/>
  <c r="G106" i="90" s="1"/>
  <c r="G105" i="90" a="1"/>
  <c r="G105" i="90" s="1"/>
  <c r="G104" i="90" a="1"/>
  <c r="G104" i="90" s="1"/>
  <c r="G103" i="90" a="1"/>
  <c r="G103" i="90" s="1"/>
  <c r="G102" i="90" a="1"/>
  <c r="G102" i="90" s="1"/>
  <c r="G101" i="90" a="1"/>
  <c r="G101" i="90" s="1"/>
  <c r="G100" i="90" a="1"/>
  <c r="G100" i="90" s="1"/>
  <c r="G99" i="90" a="1"/>
  <c r="G99" i="90" s="1"/>
  <c r="G98" i="90" a="1"/>
  <c r="G98" i="90" s="1"/>
  <c r="G97" i="90" a="1"/>
  <c r="G97" i="90" s="1"/>
  <c r="G96" i="90" a="1"/>
  <c r="G96" i="90" s="1"/>
  <c r="G95" i="90" a="1"/>
  <c r="G95" i="90" s="1"/>
  <c r="G94" i="90" a="1"/>
  <c r="G94" i="90" s="1"/>
  <c r="G93" i="90" a="1"/>
  <c r="G93" i="90" s="1"/>
  <c r="G92" i="90" a="1"/>
  <c r="G92" i="90" s="1"/>
  <c r="G91" i="90" a="1"/>
  <c r="G91" i="90" s="1"/>
  <c r="G90" i="90" a="1"/>
  <c r="G90" i="90" s="1"/>
  <c r="G89" i="90" a="1"/>
  <c r="G89" i="90" s="1"/>
  <c r="G88" i="90" a="1"/>
  <c r="G88" i="90" s="1"/>
  <c r="G87" i="90" a="1"/>
  <c r="G87" i="90" s="1"/>
  <c r="G86" i="90" a="1"/>
  <c r="G86" i="90" s="1"/>
  <c r="G85" i="90" a="1"/>
  <c r="G85" i="90" s="1"/>
  <c r="G84" i="90" a="1"/>
  <c r="G84" i="90" s="1"/>
  <c r="G83" i="90" a="1"/>
  <c r="G83" i="90" s="1"/>
  <c r="G82" i="90" a="1"/>
  <c r="G82" i="90" s="1"/>
  <c r="G81" i="90" a="1"/>
  <c r="G81" i="90" s="1"/>
  <c r="G80" i="90" a="1"/>
  <c r="G80" i="90" s="1"/>
  <c r="G79" i="90" a="1"/>
  <c r="G79" i="90" s="1"/>
  <c r="G78" i="90" a="1"/>
  <c r="G78" i="90" s="1"/>
  <c r="G77" i="90" a="1"/>
  <c r="G77" i="90" s="1"/>
  <c r="G76" i="90" a="1"/>
  <c r="G76" i="90" s="1"/>
  <c r="G75" i="90" a="1"/>
  <c r="G75" i="90" s="1"/>
  <c r="G74" i="90" a="1"/>
  <c r="G74" i="90" s="1"/>
  <c r="G73" i="90" a="1"/>
  <c r="G73" i="90" s="1"/>
  <c r="G72" i="90" a="1"/>
  <c r="G72" i="90" s="1"/>
  <c r="G71" i="90" a="1"/>
  <c r="G71" i="90" s="1"/>
  <c r="G70" i="90" a="1"/>
  <c r="G70" i="90" s="1"/>
  <c r="G69" i="90" a="1"/>
  <c r="G69" i="90" s="1"/>
  <c r="G68" i="90" a="1"/>
  <c r="G68" i="90" s="1"/>
  <c r="G67" i="90" a="1"/>
  <c r="G67" i="90" s="1"/>
  <c r="G66" i="90" a="1"/>
  <c r="G66" i="90" s="1"/>
  <c r="G65" i="90" a="1"/>
  <c r="G65" i="90" s="1"/>
  <c r="G64" i="90" a="1"/>
  <c r="G64" i="90" s="1"/>
  <c r="G63" i="90" a="1"/>
  <c r="G63" i="90" s="1"/>
  <c r="G62" i="90" a="1"/>
  <c r="G62" i="90" s="1"/>
  <c r="G61" i="90" a="1"/>
  <c r="G61" i="90" s="1"/>
  <c r="G60" i="90" a="1"/>
  <c r="G60" i="90" s="1"/>
  <c r="G59" i="90" a="1"/>
  <c r="G59" i="90" s="1"/>
  <c r="G58" i="90" a="1"/>
  <c r="G58" i="90" s="1"/>
  <c r="G57" i="90" a="1"/>
  <c r="G57" i="90" s="1"/>
  <c r="G56" i="90" a="1"/>
  <c r="G56" i="90" s="1"/>
  <c r="G55" i="90" a="1"/>
  <c r="G55" i="90" s="1"/>
  <c r="G54" i="90" a="1"/>
  <c r="G54" i="90" s="1"/>
  <c r="G53" i="90" a="1"/>
  <c r="G53" i="90" s="1"/>
  <c r="G52" i="90" a="1"/>
  <c r="G52" i="90" s="1"/>
  <c r="G51" i="90" a="1"/>
  <c r="G51" i="90" s="1"/>
  <c r="G50" i="90" a="1"/>
  <c r="G50" i="90" s="1"/>
  <c r="G49" i="90" a="1"/>
  <c r="G49" i="90" s="1"/>
  <c r="G48" i="90" a="1"/>
  <c r="G48" i="90" s="1"/>
  <c r="G47" i="90" a="1"/>
  <c r="G47" i="90" s="1"/>
  <c r="G46" i="90" a="1"/>
  <c r="G46" i="90" s="1"/>
  <c r="G45" i="90" a="1"/>
  <c r="G45" i="90" s="1"/>
  <c r="G44" i="90" a="1"/>
  <c r="G44" i="90" s="1"/>
  <c r="G43" i="90" a="1"/>
  <c r="G43" i="90" s="1"/>
  <c r="G42" i="90" a="1"/>
  <c r="G42" i="90" s="1"/>
  <c r="G41" i="90" a="1"/>
  <c r="G41" i="90" s="1"/>
  <c r="G40" i="90" a="1"/>
  <c r="G40" i="90" s="1"/>
  <c r="G39" i="90" a="1"/>
  <c r="G39" i="90" s="1"/>
  <c r="G38" i="90" a="1"/>
  <c r="G38" i="90" s="1"/>
  <c r="G37" i="90" a="1"/>
  <c r="G37" i="90" s="1"/>
  <c r="G36" i="90" a="1"/>
  <c r="G36" i="90" s="1"/>
  <c r="G35" i="90" a="1"/>
  <c r="G35" i="90" s="1"/>
  <c r="G34" i="90" a="1"/>
  <c r="G34" i="90" s="1"/>
  <c r="F183" i="90" a="1"/>
  <c r="F183" i="90" s="1"/>
  <c r="F182" i="90" a="1"/>
  <c r="F182" i="90" s="1"/>
  <c r="F181" i="90" a="1"/>
  <c r="F181" i="90" s="1"/>
  <c r="F180" i="90" a="1"/>
  <c r="F180" i="90" s="1"/>
  <c r="F179" i="90" a="1"/>
  <c r="F179" i="90" s="1"/>
  <c r="F178" i="90" a="1"/>
  <c r="F178" i="90" s="1"/>
  <c r="F177" i="90" a="1"/>
  <c r="F177" i="90" s="1"/>
  <c r="F176" i="90" a="1"/>
  <c r="F176" i="90" s="1"/>
  <c r="F175" i="90" a="1"/>
  <c r="F175" i="90" s="1"/>
  <c r="F174" i="90" a="1"/>
  <c r="F174" i="90" s="1"/>
  <c r="F173" i="90" a="1"/>
  <c r="F173" i="90" s="1"/>
  <c r="F172" i="90" a="1"/>
  <c r="F172" i="90" s="1"/>
  <c r="F171" i="90" a="1"/>
  <c r="F171" i="90" s="1"/>
  <c r="F170" i="90" a="1"/>
  <c r="F170" i="90" s="1"/>
  <c r="F169" i="90" a="1"/>
  <c r="F169" i="90" s="1"/>
  <c r="F168" i="90" a="1"/>
  <c r="F168" i="90" s="1"/>
  <c r="F167" i="90" a="1"/>
  <c r="F167" i="90" s="1"/>
  <c r="F166" i="90" a="1"/>
  <c r="F166" i="90" s="1"/>
  <c r="F165" i="90" a="1"/>
  <c r="F165" i="90" s="1"/>
  <c r="F164" i="90" a="1"/>
  <c r="F164" i="90" s="1"/>
  <c r="F163" i="90" a="1"/>
  <c r="F163" i="90" s="1"/>
  <c r="F162" i="90" a="1"/>
  <c r="F162" i="90" s="1"/>
  <c r="F161" i="90" a="1"/>
  <c r="F161" i="90" s="1"/>
  <c r="F160" i="90" a="1"/>
  <c r="F160" i="90" s="1"/>
  <c r="F159" i="90" a="1"/>
  <c r="F159" i="90" s="1"/>
  <c r="F158" i="90" a="1"/>
  <c r="F158" i="90" s="1"/>
  <c r="F157" i="90" a="1"/>
  <c r="F157" i="90" s="1"/>
  <c r="F156" i="90" a="1"/>
  <c r="F156" i="90" s="1"/>
  <c r="F155" i="90" a="1"/>
  <c r="F155" i="90" s="1"/>
  <c r="F154" i="90" a="1"/>
  <c r="F154" i="90" s="1"/>
  <c r="F153" i="90" a="1"/>
  <c r="F153" i="90" s="1"/>
  <c r="F152" i="90" a="1"/>
  <c r="F152" i="90" s="1"/>
  <c r="F151" i="90" a="1"/>
  <c r="F151" i="90" s="1"/>
  <c r="F150" i="90" a="1"/>
  <c r="F150" i="90" s="1"/>
  <c r="F149" i="90" a="1"/>
  <c r="F149" i="90" s="1"/>
  <c r="F148" i="90" a="1"/>
  <c r="F148" i="90" s="1"/>
  <c r="F147" i="90" a="1"/>
  <c r="F147" i="90" s="1"/>
  <c r="F146" i="90" a="1"/>
  <c r="F146" i="90" s="1"/>
  <c r="F145" i="90" a="1"/>
  <c r="F145" i="90" s="1"/>
  <c r="F144" i="90" a="1"/>
  <c r="F144" i="90" s="1"/>
  <c r="F143" i="90" a="1"/>
  <c r="F143" i="90" s="1"/>
  <c r="F142" i="90" a="1"/>
  <c r="F142" i="90" s="1"/>
  <c r="F141" i="90" a="1"/>
  <c r="F141" i="90" s="1"/>
  <c r="F140" i="90" a="1"/>
  <c r="F140" i="90" s="1"/>
  <c r="F139" i="90" a="1"/>
  <c r="F139" i="90" s="1"/>
  <c r="F138" i="90" a="1"/>
  <c r="F138" i="90" s="1"/>
  <c r="F137" i="90" a="1"/>
  <c r="F137" i="90" s="1"/>
  <c r="F136" i="90" a="1"/>
  <c r="F136" i="90" s="1"/>
  <c r="F135" i="90" a="1"/>
  <c r="F135" i="90" s="1"/>
  <c r="F134" i="90" a="1"/>
  <c r="F134" i="90" s="1"/>
  <c r="F133" i="90" a="1"/>
  <c r="F133" i="90" s="1"/>
  <c r="F132" i="90" a="1"/>
  <c r="F132" i="90" s="1"/>
  <c r="F131" i="90" a="1"/>
  <c r="F131" i="90" s="1"/>
  <c r="F130" i="90" a="1"/>
  <c r="F130" i="90" s="1"/>
  <c r="F129" i="90" a="1"/>
  <c r="F129" i="90" s="1"/>
  <c r="F128" i="90" a="1"/>
  <c r="F128" i="90" s="1"/>
  <c r="F127" i="90" a="1"/>
  <c r="F127" i="90" s="1"/>
  <c r="F126" i="90" a="1"/>
  <c r="F126" i="90" s="1"/>
  <c r="F125" i="90" a="1"/>
  <c r="F125" i="90" s="1"/>
  <c r="F124" i="90" a="1"/>
  <c r="F124" i="90" s="1"/>
  <c r="F123" i="90" a="1"/>
  <c r="F123" i="90" s="1"/>
  <c r="F122" i="90" a="1"/>
  <c r="F122" i="90" s="1"/>
  <c r="F121" i="90" a="1"/>
  <c r="F121" i="90" s="1"/>
  <c r="F120" i="90" a="1"/>
  <c r="F120" i="90" s="1"/>
  <c r="F119" i="90" a="1"/>
  <c r="F119" i="90" s="1"/>
  <c r="F118" i="90" a="1"/>
  <c r="F118" i="90" s="1"/>
  <c r="F117" i="90" a="1"/>
  <c r="F117" i="90" s="1"/>
  <c r="F116" i="90" a="1"/>
  <c r="F116" i="90" s="1"/>
  <c r="F115" i="90" a="1"/>
  <c r="F115" i="90" s="1"/>
  <c r="F114" i="90" a="1"/>
  <c r="F114" i="90" s="1"/>
  <c r="F113" i="90" a="1"/>
  <c r="F113" i="90" s="1"/>
  <c r="F112" i="90" a="1"/>
  <c r="F112" i="90" s="1"/>
  <c r="F111" i="90" a="1"/>
  <c r="F111" i="90" s="1"/>
  <c r="F110" i="90" a="1"/>
  <c r="F110" i="90" s="1"/>
  <c r="F109" i="90" a="1"/>
  <c r="F109" i="90" s="1"/>
  <c r="F108" i="90" a="1"/>
  <c r="F108" i="90" s="1"/>
  <c r="F107" i="90" a="1"/>
  <c r="F107" i="90" s="1"/>
  <c r="F106" i="90" a="1"/>
  <c r="F106" i="90" s="1"/>
  <c r="F105" i="90" a="1"/>
  <c r="F105" i="90" s="1"/>
  <c r="F104" i="90" a="1"/>
  <c r="F104" i="90" s="1"/>
  <c r="F103" i="90" a="1"/>
  <c r="F103" i="90" s="1"/>
  <c r="F102" i="90" a="1"/>
  <c r="F102" i="90" s="1"/>
  <c r="F101" i="90" a="1"/>
  <c r="F101" i="90" s="1"/>
  <c r="F100" i="90" a="1"/>
  <c r="F100" i="90" s="1"/>
  <c r="F99" i="90" a="1"/>
  <c r="F99" i="90" s="1"/>
  <c r="F98" i="90" a="1"/>
  <c r="F98" i="90" s="1"/>
  <c r="F97" i="90" a="1"/>
  <c r="F97" i="90" s="1"/>
  <c r="F96" i="90" a="1"/>
  <c r="F96" i="90" s="1"/>
  <c r="F95" i="90" a="1"/>
  <c r="F95" i="90" s="1"/>
  <c r="F94" i="90" a="1"/>
  <c r="F94" i="90" s="1"/>
  <c r="F93" i="90" a="1"/>
  <c r="F93" i="90" s="1"/>
  <c r="F92" i="90" a="1"/>
  <c r="F92" i="90" s="1"/>
  <c r="F91" i="90" a="1"/>
  <c r="F91" i="90" s="1"/>
  <c r="F90" i="90" a="1"/>
  <c r="F90" i="90" s="1"/>
  <c r="F89" i="90" a="1"/>
  <c r="F89" i="90" s="1"/>
  <c r="F88" i="90" a="1"/>
  <c r="F88" i="90" s="1"/>
  <c r="F87" i="90" a="1"/>
  <c r="F87" i="90" s="1"/>
  <c r="F86" i="90" a="1"/>
  <c r="F86" i="90" s="1"/>
  <c r="F85" i="90" a="1"/>
  <c r="F85" i="90" s="1"/>
  <c r="F84" i="90" a="1"/>
  <c r="F84" i="90" s="1"/>
  <c r="F83" i="90" a="1"/>
  <c r="F83" i="90" s="1"/>
  <c r="F82" i="90" a="1"/>
  <c r="F82" i="90" s="1"/>
  <c r="F81" i="90" a="1"/>
  <c r="F81" i="90" s="1"/>
  <c r="F80" i="90" a="1"/>
  <c r="F80" i="90" s="1"/>
  <c r="F79" i="90" a="1"/>
  <c r="F79" i="90" s="1"/>
  <c r="F78" i="90" a="1"/>
  <c r="F78" i="90" s="1"/>
  <c r="F77" i="90" a="1"/>
  <c r="F77" i="90" s="1"/>
  <c r="F76" i="90" a="1"/>
  <c r="F76" i="90" s="1"/>
  <c r="F75" i="90" a="1"/>
  <c r="F75" i="90" s="1"/>
  <c r="F74" i="90" a="1"/>
  <c r="F74" i="90" s="1"/>
  <c r="F73" i="90" a="1"/>
  <c r="F73" i="90" s="1"/>
  <c r="F72" i="90" a="1"/>
  <c r="F72" i="90" s="1"/>
  <c r="F71" i="90" a="1"/>
  <c r="F71" i="90" s="1"/>
  <c r="F70" i="90" a="1"/>
  <c r="F70" i="90" s="1"/>
  <c r="F69" i="90" a="1"/>
  <c r="F69" i="90" s="1"/>
  <c r="F68" i="90" a="1"/>
  <c r="F68" i="90" s="1"/>
  <c r="F67" i="90" a="1"/>
  <c r="F67" i="90" s="1"/>
  <c r="F66" i="90" a="1"/>
  <c r="F66" i="90" s="1"/>
  <c r="F65" i="90" a="1"/>
  <c r="F65" i="90" s="1"/>
  <c r="F64" i="90" a="1"/>
  <c r="F64" i="90" s="1"/>
  <c r="F63" i="90" a="1"/>
  <c r="F63" i="90" s="1"/>
  <c r="F62" i="90" a="1"/>
  <c r="F62" i="90" s="1"/>
  <c r="F61" i="90" a="1"/>
  <c r="F61" i="90" s="1"/>
  <c r="F60" i="90" a="1"/>
  <c r="F60" i="90" s="1"/>
  <c r="F59" i="90" a="1"/>
  <c r="F59" i="90" s="1"/>
  <c r="F58" i="90" a="1"/>
  <c r="F58" i="90" s="1"/>
  <c r="F57" i="90" a="1"/>
  <c r="F57" i="90" s="1"/>
  <c r="F56" i="90" a="1"/>
  <c r="F56" i="90" s="1"/>
  <c r="F55" i="90" a="1"/>
  <c r="F55" i="90" s="1"/>
  <c r="F54" i="90" a="1"/>
  <c r="F54" i="90" s="1"/>
  <c r="F53" i="90" a="1"/>
  <c r="F53" i="90" s="1"/>
  <c r="F52" i="90" a="1"/>
  <c r="F52" i="90" s="1"/>
  <c r="F51" i="90" a="1"/>
  <c r="F51" i="90" s="1"/>
  <c r="F50" i="90" a="1"/>
  <c r="F50" i="90" s="1"/>
  <c r="F49" i="90" a="1"/>
  <c r="F49" i="90" s="1"/>
  <c r="F48" i="90" a="1"/>
  <c r="F48" i="90" s="1"/>
  <c r="F47" i="90" a="1"/>
  <c r="F47" i="90" s="1"/>
  <c r="F46" i="90" a="1"/>
  <c r="F46" i="90" s="1"/>
  <c r="F45" i="90" a="1"/>
  <c r="F45" i="90" s="1"/>
  <c r="F44" i="90" a="1"/>
  <c r="F44" i="90" s="1"/>
  <c r="F43" i="90" a="1"/>
  <c r="F43" i="90" s="1"/>
  <c r="F42" i="90" a="1"/>
  <c r="F42" i="90" s="1"/>
  <c r="F41" i="90" a="1"/>
  <c r="F41" i="90" s="1"/>
  <c r="F40" i="90" a="1"/>
  <c r="F40" i="90" s="1"/>
  <c r="F39" i="90" a="1"/>
  <c r="F39" i="90" s="1"/>
  <c r="F38" i="90" a="1"/>
  <c r="F38" i="90" s="1"/>
  <c r="F37" i="90" a="1"/>
  <c r="F37" i="90" s="1"/>
  <c r="F36" i="90" a="1"/>
  <c r="F36" i="90" s="1"/>
  <c r="F35" i="90" a="1"/>
  <c r="F35" i="90" s="1"/>
  <c r="F34" i="90" a="1"/>
  <c r="F34" i="90" s="1"/>
  <c r="E35" i="90" a="1"/>
  <c r="E35" i="90" s="1"/>
  <c r="E34" i="90" a="1"/>
  <c r="E34" i="90" s="1"/>
  <c r="D35" i="90" a="1"/>
  <c r="D35" i="90" s="1"/>
  <c r="D34" i="90" a="1"/>
  <c r="D34" i="90" s="1"/>
  <c r="C34" i="90" s="1"/>
  <c r="C20" i="90"/>
  <c r="C19" i="90"/>
  <c r="C35" i="90" l="1"/>
  <c r="BK43" i="74"/>
  <c r="AQ43" i="74"/>
  <c r="C42" i="56" l="1"/>
  <c r="C41" i="56"/>
  <c r="C40" i="56"/>
  <c r="C39" i="56"/>
  <c r="C38" i="56"/>
  <c r="C37" i="56"/>
  <c r="J23" i="78"/>
  <c r="J22" i="78"/>
  <c r="J21" i="78"/>
  <c r="J20" i="78"/>
  <c r="J19" i="78"/>
  <c r="J18" i="78"/>
  <c r="J17" i="78"/>
  <c r="J24" i="78" s="1"/>
  <c r="H24" i="78"/>
  <c r="F24" i="78"/>
  <c r="C183" i="89"/>
  <c r="C182" i="89"/>
  <c r="C181" i="89"/>
  <c r="C180" i="89"/>
  <c r="C179" i="89"/>
  <c r="C178" i="89"/>
  <c r="C177" i="89"/>
  <c r="C176" i="89"/>
  <c r="C175" i="89"/>
  <c r="C174" i="89"/>
  <c r="C173" i="89"/>
  <c r="C172" i="89"/>
  <c r="C171" i="89"/>
  <c r="C170" i="89"/>
  <c r="C169" i="89"/>
  <c r="C168" i="89"/>
  <c r="C167" i="89"/>
  <c r="C166" i="89"/>
  <c r="C165" i="89"/>
  <c r="C164" i="89"/>
  <c r="C163" i="89"/>
  <c r="C162" i="89"/>
  <c r="C161" i="89"/>
  <c r="C160" i="89"/>
  <c r="C159" i="89"/>
  <c r="C158" i="89"/>
  <c r="C157" i="89"/>
  <c r="C156" i="89"/>
  <c r="C155" i="89"/>
  <c r="C154" i="89"/>
  <c r="C153" i="89"/>
  <c r="C152" i="89"/>
  <c r="C151" i="89"/>
  <c r="C150" i="89"/>
  <c r="C149" i="89"/>
  <c r="C148" i="89"/>
  <c r="C147" i="89"/>
  <c r="C146" i="89"/>
  <c r="C145" i="89"/>
  <c r="C144" i="89"/>
  <c r="C143" i="89"/>
  <c r="C142" i="89"/>
  <c r="C141" i="89"/>
  <c r="C140" i="89"/>
  <c r="C139" i="89"/>
  <c r="C138" i="89"/>
  <c r="C137" i="89"/>
  <c r="C136" i="89"/>
  <c r="C135" i="89"/>
  <c r="C134" i="89"/>
  <c r="C133" i="89"/>
  <c r="C132" i="89"/>
  <c r="C131" i="89"/>
  <c r="C130" i="89"/>
  <c r="C129" i="89"/>
  <c r="C128" i="89"/>
  <c r="C127" i="89"/>
  <c r="C126" i="89"/>
  <c r="C125" i="89"/>
  <c r="C124" i="89"/>
  <c r="C123" i="89"/>
  <c r="C122" i="89"/>
  <c r="C121" i="89"/>
  <c r="C120" i="89"/>
  <c r="C119" i="89"/>
  <c r="C118" i="89"/>
  <c r="C117" i="89"/>
  <c r="C116" i="89"/>
  <c r="C115" i="89"/>
  <c r="C114" i="89"/>
  <c r="C113" i="89"/>
  <c r="C112" i="89"/>
  <c r="C111" i="89"/>
  <c r="C110" i="89"/>
  <c r="C109" i="89"/>
  <c r="C108" i="89"/>
  <c r="C107" i="89"/>
  <c r="C106" i="89"/>
  <c r="C105" i="89"/>
  <c r="C104" i="89"/>
  <c r="C103" i="89"/>
  <c r="C102" i="89"/>
  <c r="C101" i="89"/>
  <c r="C100" i="89"/>
  <c r="C99" i="89"/>
  <c r="C98" i="89"/>
  <c r="C97" i="89"/>
  <c r="C96" i="89"/>
  <c r="C95" i="89"/>
  <c r="C94" i="89"/>
  <c r="C93" i="89"/>
  <c r="C92" i="89"/>
  <c r="C91" i="89"/>
  <c r="C90" i="89"/>
  <c r="C89" i="89"/>
  <c r="C88" i="89"/>
  <c r="C87" i="89"/>
  <c r="C86" i="89"/>
  <c r="C85" i="89"/>
  <c r="C84" i="89"/>
  <c r="C83" i="89"/>
  <c r="C82" i="89"/>
  <c r="C81" i="89"/>
  <c r="C80" i="89"/>
  <c r="C79" i="89"/>
  <c r="C78" i="89"/>
  <c r="C77" i="89"/>
  <c r="C76" i="89"/>
  <c r="C75" i="89"/>
  <c r="C74" i="89"/>
  <c r="C73" i="89"/>
  <c r="C72" i="89"/>
  <c r="C71" i="89"/>
  <c r="C70" i="89"/>
  <c r="C69" i="89"/>
  <c r="C68" i="89"/>
  <c r="C67" i="89"/>
  <c r="C66" i="89"/>
  <c r="C65" i="89"/>
  <c r="C64" i="89"/>
  <c r="C63" i="89"/>
  <c r="C62" i="89"/>
  <c r="C61" i="89"/>
  <c r="C60" i="89"/>
  <c r="C59" i="89"/>
  <c r="C58" i="89"/>
  <c r="C57" i="89"/>
  <c r="C56" i="89"/>
  <c r="C55" i="89"/>
  <c r="C54" i="89"/>
  <c r="C53" i="89"/>
  <c r="C52" i="89"/>
  <c r="C51" i="89"/>
  <c r="C50" i="89"/>
  <c r="C49" i="89"/>
  <c r="C48" i="89"/>
  <c r="C47" i="89"/>
  <c r="C46" i="89"/>
  <c r="C45" i="89"/>
  <c r="C44" i="89"/>
  <c r="C43" i="89"/>
  <c r="C42" i="89"/>
  <c r="C41" i="89"/>
  <c r="C40" i="89"/>
  <c r="C39" i="89"/>
  <c r="C38" i="89"/>
  <c r="C37" i="89"/>
  <c r="C36" i="89"/>
  <c r="C20" i="89"/>
  <c r="C19" i="89"/>
  <c r="H183" i="89" a="1"/>
  <c r="H183" i="89" s="1"/>
  <c r="H182" i="89" a="1"/>
  <c r="H182" i="89" s="1"/>
  <c r="H181" i="89" a="1"/>
  <c r="H181" i="89" s="1"/>
  <c r="H180" i="89" a="1"/>
  <c r="H180" i="89" s="1"/>
  <c r="H179" i="89" a="1"/>
  <c r="H179" i="89" s="1"/>
  <c r="H178" i="89" a="1"/>
  <c r="H178" i="89" s="1"/>
  <c r="H177" i="89" a="1"/>
  <c r="H177" i="89" s="1"/>
  <c r="H176" i="89" a="1"/>
  <c r="H176" i="89" s="1"/>
  <c r="H175" i="89" a="1"/>
  <c r="H175" i="89" s="1"/>
  <c r="H174" i="89" a="1"/>
  <c r="H174" i="89" s="1"/>
  <c r="H173" i="89" a="1"/>
  <c r="H173" i="89" s="1"/>
  <c r="H172" i="89" a="1"/>
  <c r="H172" i="89" s="1"/>
  <c r="H171" i="89" a="1"/>
  <c r="H171" i="89" s="1"/>
  <c r="H170" i="89" a="1"/>
  <c r="H170" i="89" s="1"/>
  <c r="H169" i="89" a="1"/>
  <c r="H169" i="89" s="1"/>
  <c r="H168" i="89" a="1"/>
  <c r="H168" i="89" s="1"/>
  <c r="H167" i="89" a="1"/>
  <c r="H167" i="89" s="1"/>
  <c r="H166" i="89" a="1"/>
  <c r="H166" i="89" s="1"/>
  <c r="H165" i="89" a="1"/>
  <c r="H165" i="89" s="1"/>
  <c r="H164" i="89" a="1"/>
  <c r="H164" i="89" s="1"/>
  <c r="H163" i="89" a="1"/>
  <c r="H163" i="89" s="1"/>
  <c r="H162" i="89" a="1"/>
  <c r="H162" i="89" s="1"/>
  <c r="H161" i="89" a="1"/>
  <c r="H161" i="89" s="1"/>
  <c r="H160" i="89" a="1"/>
  <c r="H160" i="89" s="1"/>
  <c r="H159" i="89" a="1"/>
  <c r="H159" i="89" s="1"/>
  <c r="H158" i="89" a="1"/>
  <c r="H158" i="89" s="1"/>
  <c r="H157" i="89" a="1"/>
  <c r="H157" i="89" s="1"/>
  <c r="H156" i="89" a="1"/>
  <c r="H156" i="89" s="1"/>
  <c r="H155" i="89" a="1"/>
  <c r="H155" i="89" s="1"/>
  <c r="H154" i="89" a="1"/>
  <c r="H154" i="89" s="1"/>
  <c r="H153" i="89" a="1"/>
  <c r="H153" i="89" s="1"/>
  <c r="H152" i="89" a="1"/>
  <c r="H152" i="89" s="1"/>
  <c r="H151" i="89" a="1"/>
  <c r="H151" i="89" s="1"/>
  <c r="H150" i="89" a="1"/>
  <c r="H150" i="89" s="1"/>
  <c r="H149" i="89" a="1"/>
  <c r="H149" i="89" s="1"/>
  <c r="H148" i="89" a="1"/>
  <c r="H148" i="89" s="1"/>
  <c r="H147" i="89" a="1"/>
  <c r="H147" i="89" s="1"/>
  <c r="H146" i="89" a="1"/>
  <c r="H146" i="89" s="1"/>
  <c r="H145" i="89" a="1"/>
  <c r="H145" i="89" s="1"/>
  <c r="H144" i="89" a="1"/>
  <c r="H144" i="89" s="1"/>
  <c r="H143" i="89" a="1"/>
  <c r="H143" i="89" s="1"/>
  <c r="H142" i="89" a="1"/>
  <c r="H142" i="89" s="1"/>
  <c r="H141" i="89" a="1"/>
  <c r="H141" i="89" s="1"/>
  <c r="H140" i="89" a="1"/>
  <c r="H140" i="89" s="1"/>
  <c r="H139" i="89" a="1"/>
  <c r="H139" i="89" s="1"/>
  <c r="H138" i="89" a="1"/>
  <c r="H138" i="89" s="1"/>
  <c r="H137" i="89" a="1"/>
  <c r="H137" i="89" s="1"/>
  <c r="H136" i="89" a="1"/>
  <c r="H136" i="89" s="1"/>
  <c r="H135" i="89" a="1"/>
  <c r="H135" i="89" s="1"/>
  <c r="H134" i="89" a="1"/>
  <c r="H134" i="89" s="1"/>
  <c r="H133" i="89" a="1"/>
  <c r="H133" i="89" s="1"/>
  <c r="H132" i="89" a="1"/>
  <c r="H132" i="89" s="1"/>
  <c r="H131" i="89" a="1"/>
  <c r="H131" i="89" s="1"/>
  <c r="H130" i="89" a="1"/>
  <c r="H130" i="89" s="1"/>
  <c r="H129" i="89" a="1"/>
  <c r="H129" i="89" s="1"/>
  <c r="H128" i="89" a="1"/>
  <c r="H128" i="89" s="1"/>
  <c r="H127" i="89" a="1"/>
  <c r="H127" i="89" s="1"/>
  <c r="H126" i="89" a="1"/>
  <c r="H126" i="89" s="1"/>
  <c r="H125" i="89" a="1"/>
  <c r="H125" i="89" s="1"/>
  <c r="H124" i="89" a="1"/>
  <c r="H124" i="89" s="1"/>
  <c r="H123" i="89" a="1"/>
  <c r="H123" i="89" s="1"/>
  <c r="H122" i="89" a="1"/>
  <c r="H122" i="89" s="1"/>
  <c r="H121" i="89" a="1"/>
  <c r="H121" i="89" s="1"/>
  <c r="H120" i="89" a="1"/>
  <c r="H120" i="89" s="1"/>
  <c r="H119" i="89" a="1"/>
  <c r="H119" i="89" s="1"/>
  <c r="H118" i="89" a="1"/>
  <c r="H118" i="89" s="1"/>
  <c r="H117" i="89" a="1"/>
  <c r="H117" i="89" s="1"/>
  <c r="H116" i="89" a="1"/>
  <c r="H116" i="89" s="1"/>
  <c r="H115" i="89" a="1"/>
  <c r="H115" i="89" s="1"/>
  <c r="H114" i="89" a="1"/>
  <c r="H114" i="89" s="1"/>
  <c r="H113" i="89" a="1"/>
  <c r="H113" i="89" s="1"/>
  <c r="H112" i="89" a="1"/>
  <c r="H112" i="89" s="1"/>
  <c r="H111" i="89" a="1"/>
  <c r="H111" i="89" s="1"/>
  <c r="H110" i="89" a="1"/>
  <c r="H110" i="89" s="1"/>
  <c r="H109" i="89" a="1"/>
  <c r="H109" i="89" s="1"/>
  <c r="H108" i="89" a="1"/>
  <c r="H108" i="89" s="1"/>
  <c r="H107" i="89" a="1"/>
  <c r="H107" i="89" s="1"/>
  <c r="H106" i="89" a="1"/>
  <c r="H106" i="89" s="1"/>
  <c r="H105" i="89" a="1"/>
  <c r="H105" i="89" s="1"/>
  <c r="H104" i="89" a="1"/>
  <c r="H104" i="89" s="1"/>
  <c r="H103" i="89" a="1"/>
  <c r="H103" i="89" s="1"/>
  <c r="H102" i="89" a="1"/>
  <c r="H102" i="89" s="1"/>
  <c r="H101" i="89" a="1"/>
  <c r="H101" i="89" s="1"/>
  <c r="H100" i="89" a="1"/>
  <c r="H100" i="89" s="1"/>
  <c r="H99" i="89" a="1"/>
  <c r="H99" i="89" s="1"/>
  <c r="H98" i="89" a="1"/>
  <c r="H98" i="89" s="1"/>
  <c r="H97" i="89" a="1"/>
  <c r="H97" i="89" s="1"/>
  <c r="H96" i="89" a="1"/>
  <c r="H96" i="89" s="1"/>
  <c r="H95" i="89" a="1"/>
  <c r="H95" i="89" s="1"/>
  <c r="H94" i="89" a="1"/>
  <c r="H94" i="89" s="1"/>
  <c r="H93" i="89" a="1"/>
  <c r="H93" i="89" s="1"/>
  <c r="H92" i="89" a="1"/>
  <c r="H92" i="89" s="1"/>
  <c r="H91" i="89" a="1"/>
  <c r="H91" i="89" s="1"/>
  <c r="H90" i="89" a="1"/>
  <c r="H90" i="89" s="1"/>
  <c r="H89" i="89" a="1"/>
  <c r="H89" i="89" s="1"/>
  <c r="H88" i="89" a="1"/>
  <c r="H88" i="89" s="1"/>
  <c r="H87" i="89" a="1"/>
  <c r="H87" i="89" s="1"/>
  <c r="H86" i="89" a="1"/>
  <c r="H86" i="89" s="1"/>
  <c r="H85" i="89" a="1"/>
  <c r="H85" i="89" s="1"/>
  <c r="H84" i="89" a="1"/>
  <c r="H84" i="89" s="1"/>
  <c r="H83" i="89" a="1"/>
  <c r="H83" i="89" s="1"/>
  <c r="H82" i="89" a="1"/>
  <c r="H82" i="89" s="1"/>
  <c r="H81" i="89" a="1"/>
  <c r="H81" i="89" s="1"/>
  <c r="H80" i="89" a="1"/>
  <c r="H80" i="89" s="1"/>
  <c r="H79" i="89" a="1"/>
  <c r="H79" i="89" s="1"/>
  <c r="H78" i="89" a="1"/>
  <c r="H78" i="89" s="1"/>
  <c r="H77" i="89" a="1"/>
  <c r="H77" i="89" s="1"/>
  <c r="H76" i="89" a="1"/>
  <c r="H76" i="89" s="1"/>
  <c r="H75" i="89" a="1"/>
  <c r="H75" i="89" s="1"/>
  <c r="H74" i="89" a="1"/>
  <c r="H74" i="89" s="1"/>
  <c r="H73" i="89" a="1"/>
  <c r="H73" i="89" s="1"/>
  <c r="H72" i="89" a="1"/>
  <c r="H72" i="89" s="1"/>
  <c r="H71" i="89" a="1"/>
  <c r="H71" i="89" s="1"/>
  <c r="H70" i="89" a="1"/>
  <c r="H70" i="89" s="1"/>
  <c r="H69" i="89" a="1"/>
  <c r="H69" i="89" s="1"/>
  <c r="H68" i="89" a="1"/>
  <c r="H68" i="89" s="1"/>
  <c r="H67" i="89" a="1"/>
  <c r="H67" i="89" s="1"/>
  <c r="H66" i="89" a="1"/>
  <c r="H66" i="89" s="1"/>
  <c r="H65" i="89" a="1"/>
  <c r="H65" i="89" s="1"/>
  <c r="H64" i="89" a="1"/>
  <c r="H64" i="89" s="1"/>
  <c r="H63" i="89" a="1"/>
  <c r="H63" i="89" s="1"/>
  <c r="H62" i="89" a="1"/>
  <c r="H62" i="89" s="1"/>
  <c r="H61" i="89" a="1"/>
  <c r="H61" i="89" s="1"/>
  <c r="H60" i="89" a="1"/>
  <c r="H60" i="89" s="1"/>
  <c r="H59" i="89" a="1"/>
  <c r="H59" i="89" s="1"/>
  <c r="H58" i="89" a="1"/>
  <c r="H58" i="89" s="1"/>
  <c r="H57" i="89" a="1"/>
  <c r="H57" i="89" s="1"/>
  <c r="H56" i="89" a="1"/>
  <c r="H56" i="89" s="1"/>
  <c r="H55" i="89" a="1"/>
  <c r="H55" i="89" s="1"/>
  <c r="H54" i="89" a="1"/>
  <c r="H54" i="89" s="1"/>
  <c r="H53" i="89" a="1"/>
  <c r="H53" i="89" s="1"/>
  <c r="H52" i="89" a="1"/>
  <c r="H52" i="89" s="1"/>
  <c r="H51" i="89" a="1"/>
  <c r="H51" i="89" s="1"/>
  <c r="H50" i="89" a="1"/>
  <c r="H50" i="89" s="1"/>
  <c r="H49" i="89" a="1"/>
  <c r="H49" i="89" s="1"/>
  <c r="H48" i="89" a="1"/>
  <c r="H48" i="89" s="1"/>
  <c r="H47" i="89" a="1"/>
  <c r="H47" i="89" s="1"/>
  <c r="H46" i="89" a="1"/>
  <c r="H46" i="89" s="1"/>
  <c r="H45" i="89" a="1"/>
  <c r="H45" i="89" s="1"/>
  <c r="H44" i="89" a="1"/>
  <c r="H44" i="89" s="1"/>
  <c r="H43" i="89" a="1"/>
  <c r="H43" i="89" s="1"/>
  <c r="H42" i="89" a="1"/>
  <c r="H42" i="89" s="1"/>
  <c r="H41" i="89" a="1"/>
  <c r="H41" i="89" s="1"/>
  <c r="H40" i="89" a="1"/>
  <c r="H40" i="89" s="1"/>
  <c r="H39" i="89" a="1"/>
  <c r="H39" i="89" s="1"/>
  <c r="H38" i="89" a="1"/>
  <c r="H38" i="89" s="1"/>
  <c r="H37" i="89" a="1"/>
  <c r="H37" i="89" s="1"/>
  <c r="H36" i="89" a="1"/>
  <c r="H36" i="89" s="1"/>
  <c r="H35" i="89" a="1"/>
  <c r="H35" i="89" s="1"/>
  <c r="H34" i="89" a="1"/>
  <c r="H34" i="89" s="1"/>
  <c r="G183" i="89" a="1"/>
  <c r="G183" i="89" s="1"/>
  <c r="G182" i="89" a="1"/>
  <c r="G182" i="89" s="1"/>
  <c r="G181" i="89" a="1"/>
  <c r="G181" i="89" s="1"/>
  <c r="G180" i="89" a="1"/>
  <c r="G180" i="89" s="1"/>
  <c r="G179" i="89" a="1"/>
  <c r="G179" i="89" s="1"/>
  <c r="G178" i="89" a="1"/>
  <c r="G178" i="89" s="1"/>
  <c r="G177" i="89" a="1"/>
  <c r="G177" i="89" s="1"/>
  <c r="G176" i="89" a="1"/>
  <c r="G176" i="89" s="1"/>
  <c r="G175" i="89" a="1"/>
  <c r="G175" i="89" s="1"/>
  <c r="G174" i="89" a="1"/>
  <c r="G174" i="89" s="1"/>
  <c r="G173" i="89" a="1"/>
  <c r="G173" i="89" s="1"/>
  <c r="G172" i="89" a="1"/>
  <c r="G172" i="89" s="1"/>
  <c r="G171" i="89" a="1"/>
  <c r="G171" i="89" s="1"/>
  <c r="G170" i="89" a="1"/>
  <c r="G170" i="89" s="1"/>
  <c r="G169" i="89" a="1"/>
  <c r="G169" i="89" s="1"/>
  <c r="G168" i="89" a="1"/>
  <c r="G168" i="89" s="1"/>
  <c r="G167" i="89" a="1"/>
  <c r="G167" i="89" s="1"/>
  <c r="G166" i="89" a="1"/>
  <c r="G166" i="89" s="1"/>
  <c r="G165" i="89" a="1"/>
  <c r="G165" i="89" s="1"/>
  <c r="G164" i="89" a="1"/>
  <c r="G164" i="89" s="1"/>
  <c r="G163" i="89" a="1"/>
  <c r="G163" i="89" s="1"/>
  <c r="G162" i="89" a="1"/>
  <c r="G162" i="89" s="1"/>
  <c r="G161" i="89" a="1"/>
  <c r="G161" i="89" s="1"/>
  <c r="G160" i="89" a="1"/>
  <c r="G160" i="89" s="1"/>
  <c r="G159" i="89" a="1"/>
  <c r="G159" i="89" s="1"/>
  <c r="G158" i="89" a="1"/>
  <c r="G158" i="89" s="1"/>
  <c r="G157" i="89" a="1"/>
  <c r="G157" i="89" s="1"/>
  <c r="G156" i="89" a="1"/>
  <c r="G156" i="89" s="1"/>
  <c r="G155" i="89" a="1"/>
  <c r="G155" i="89" s="1"/>
  <c r="G154" i="89" a="1"/>
  <c r="G154" i="89" s="1"/>
  <c r="G153" i="89" a="1"/>
  <c r="G153" i="89" s="1"/>
  <c r="G152" i="89" a="1"/>
  <c r="G152" i="89" s="1"/>
  <c r="G151" i="89" a="1"/>
  <c r="G151" i="89" s="1"/>
  <c r="G150" i="89" a="1"/>
  <c r="G150" i="89" s="1"/>
  <c r="G149" i="89" a="1"/>
  <c r="G149" i="89" s="1"/>
  <c r="G148" i="89" a="1"/>
  <c r="G148" i="89" s="1"/>
  <c r="G147" i="89" a="1"/>
  <c r="G147" i="89" s="1"/>
  <c r="G146" i="89" a="1"/>
  <c r="G146" i="89" s="1"/>
  <c r="G145" i="89" a="1"/>
  <c r="G145" i="89" s="1"/>
  <c r="G144" i="89" a="1"/>
  <c r="G144" i="89" s="1"/>
  <c r="G143" i="89" a="1"/>
  <c r="G143" i="89" s="1"/>
  <c r="G142" i="89" a="1"/>
  <c r="G142" i="89" s="1"/>
  <c r="G141" i="89" a="1"/>
  <c r="G141" i="89" s="1"/>
  <c r="G140" i="89" a="1"/>
  <c r="G140" i="89" s="1"/>
  <c r="G139" i="89" a="1"/>
  <c r="G139" i="89" s="1"/>
  <c r="G138" i="89" a="1"/>
  <c r="G138" i="89" s="1"/>
  <c r="G137" i="89" a="1"/>
  <c r="G137" i="89" s="1"/>
  <c r="G136" i="89" a="1"/>
  <c r="G136" i="89" s="1"/>
  <c r="G135" i="89" a="1"/>
  <c r="G135" i="89" s="1"/>
  <c r="G134" i="89" a="1"/>
  <c r="G134" i="89" s="1"/>
  <c r="G133" i="89" a="1"/>
  <c r="G133" i="89" s="1"/>
  <c r="G132" i="89" a="1"/>
  <c r="G132" i="89" s="1"/>
  <c r="G131" i="89" a="1"/>
  <c r="G131" i="89" s="1"/>
  <c r="G130" i="89" a="1"/>
  <c r="G130" i="89" s="1"/>
  <c r="G129" i="89" a="1"/>
  <c r="G129" i="89" s="1"/>
  <c r="G128" i="89" a="1"/>
  <c r="G128" i="89" s="1"/>
  <c r="G127" i="89" a="1"/>
  <c r="G127" i="89" s="1"/>
  <c r="G126" i="89" a="1"/>
  <c r="G126" i="89" s="1"/>
  <c r="G125" i="89" a="1"/>
  <c r="G125" i="89" s="1"/>
  <c r="G124" i="89" a="1"/>
  <c r="G124" i="89" s="1"/>
  <c r="G123" i="89" a="1"/>
  <c r="G123" i="89" s="1"/>
  <c r="G122" i="89" a="1"/>
  <c r="G122" i="89" s="1"/>
  <c r="G121" i="89" a="1"/>
  <c r="G121" i="89" s="1"/>
  <c r="G120" i="89" a="1"/>
  <c r="G120" i="89" s="1"/>
  <c r="G119" i="89" a="1"/>
  <c r="G119" i="89" s="1"/>
  <c r="G118" i="89" a="1"/>
  <c r="G118" i="89" s="1"/>
  <c r="G117" i="89" a="1"/>
  <c r="G117" i="89" s="1"/>
  <c r="G116" i="89" a="1"/>
  <c r="G116" i="89" s="1"/>
  <c r="G115" i="89" a="1"/>
  <c r="G115" i="89" s="1"/>
  <c r="G114" i="89" a="1"/>
  <c r="G114" i="89" s="1"/>
  <c r="G113" i="89" a="1"/>
  <c r="G113" i="89" s="1"/>
  <c r="G112" i="89" a="1"/>
  <c r="G112" i="89" s="1"/>
  <c r="G111" i="89" a="1"/>
  <c r="G111" i="89" s="1"/>
  <c r="G110" i="89" a="1"/>
  <c r="G110" i="89" s="1"/>
  <c r="G109" i="89" a="1"/>
  <c r="G109" i="89" s="1"/>
  <c r="G108" i="89" a="1"/>
  <c r="G108" i="89" s="1"/>
  <c r="G107" i="89" a="1"/>
  <c r="G107" i="89" s="1"/>
  <c r="G106" i="89" a="1"/>
  <c r="G106" i="89" s="1"/>
  <c r="G105" i="89" a="1"/>
  <c r="G105" i="89" s="1"/>
  <c r="G104" i="89" a="1"/>
  <c r="G104" i="89" s="1"/>
  <c r="G103" i="89" a="1"/>
  <c r="G103" i="89" s="1"/>
  <c r="G102" i="89" a="1"/>
  <c r="G102" i="89" s="1"/>
  <c r="G101" i="89" a="1"/>
  <c r="G101" i="89" s="1"/>
  <c r="G100" i="89" a="1"/>
  <c r="G100" i="89" s="1"/>
  <c r="G99" i="89" a="1"/>
  <c r="G99" i="89" s="1"/>
  <c r="G98" i="89" a="1"/>
  <c r="G98" i="89" s="1"/>
  <c r="G97" i="89" a="1"/>
  <c r="G97" i="89" s="1"/>
  <c r="G96" i="89" a="1"/>
  <c r="G96" i="89" s="1"/>
  <c r="G95" i="89" a="1"/>
  <c r="G95" i="89" s="1"/>
  <c r="G94" i="89" a="1"/>
  <c r="G94" i="89" s="1"/>
  <c r="G93" i="89" a="1"/>
  <c r="G93" i="89" s="1"/>
  <c r="G92" i="89" a="1"/>
  <c r="G92" i="89" s="1"/>
  <c r="G91" i="89" a="1"/>
  <c r="G91" i="89" s="1"/>
  <c r="G90" i="89" a="1"/>
  <c r="G90" i="89" s="1"/>
  <c r="G89" i="89" a="1"/>
  <c r="G89" i="89" s="1"/>
  <c r="G88" i="89" a="1"/>
  <c r="G88" i="89" s="1"/>
  <c r="G87" i="89" a="1"/>
  <c r="G87" i="89" s="1"/>
  <c r="G86" i="89" a="1"/>
  <c r="G86" i="89" s="1"/>
  <c r="G85" i="89" a="1"/>
  <c r="G85" i="89" s="1"/>
  <c r="G84" i="89" a="1"/>
  <c r="G84" i="89" s="1"/>
  <c r="G83" i="89" a="1"/>
  <c r="G83" i="89" s="1"/>
  <c r="G82" i="89" a="1"/>
  <c r="G82" i="89" s="1"/>
  <c r="G81" i="89" a="1"/>
  <c r="G81" i="89" s="1"/>
  <c r="G80" i="89" a="1"/>
  <c r="G80" i="89" s="1"/>
  <c r="G79" i="89" a="1"/>
  <c r="G79" i="89" s="1"/>
  <c r="G78" i="89" a="1"/>
  <c r="G78" i="89" s="1"/>
  <c r="G77" i="89" a="1"/>
  <c r="G77" i="89" s="1"/>
  <c r="G76" i="89" a="1"/>
  <c r="G76" i="89" s="1"/>
  <c r="G75" i="89" a="1"/>
  <c r="G75" i="89" s="1"/>
  <c r="G74" i="89" a="1"/>
  <c r="G74" i="89" s="1"/>
  <c r="G73" i="89" a="1"/>
  <c r="G73" i="89" s="1"/>
  <c r="G72" i="89" a="1"/>
  <c r="G72" i="89" s="1"/>
  <c r="G71" i="89" a="1"/>
  <c r="G71" i="89" s="1"/>
  <c r="G70" i="89" a="1"/>
  <c r="G70" i="89" s="1"/>
  <c r="G69" i="89" a="1"/>
  <c r="G69" i="89" s="1"/>
  <c r="G68" i="89" a="1"/>
  <c r="G68" i="89" s="1"/>
  <c r="G67" i="89" a="1"/>
  <c r="G67" i="89" s="1"/>
  <c r="G66" i="89" a="1"/>
  <c r="G66" i="89" s="1"/>
  <c r="G65" i="89" a="1"/>
  <c r="G65" i="89" s="1"/>
  <c r="G64" i="89" a="1"/>
  <c r="G64" i="89" s="1"/>
  <c r="G63" i="89" a="1"/>
  <c r="G63" i="89" s="1"/>
  <c r="G62" i="89" a="1"/>
  <c r="G62" i="89" s="1"/>
  <c r="G61" i="89" a="1"/>
  <c r="G61" i="89" s="1"/>
  <c r="G60" i="89" a="1"/>
  <c r="G60" i="89" s="1"/>
  <c r="G59" i="89" a="1"/>
  <c r="G59" i="89" s="1"/>
  <c r="G58" i="89" a="1"/>
  <c r="G58" i="89" s="1"/>
  <c r="G57" i="89" a="1"/>
  <c r="G57" i="89" s="1"/>
  <c r="G56" i="89" a="1"/>
  <c r="G56" i="89" s="1"/>
  <c r="G55" i="89" a="1"/>
  <c r="G55" i="89" s="1"/>
  <c r="G54" i="89" a="1"/>
  <c r="G54" i="89" s="1"/>
  <c r="G53" i="89" a="1"/>
  <c r="G53" i="89" s="1"/>
  <c r="G52" i="89" a="1"/>
  <c r="G52" i="89" s="1"/>
  <c r="G51" i="89" a="1"/>
  <c r="G51" i="89" s="1"/>
  <c r="G50" i="89" a="1"/>
  <c r="G50" i="89" s="1"/>
  <c r="G49" i="89" a="1"/>
  <c r="G49" i="89" s="1"/>
  <c r="G48" i="89" a="1"/>
  <c r="G48" i="89" s="1"/>
  <c r="G47" i="89" a="1"/>
  <c r="G47" i="89" s="1"/>
  <c r="G46" i="89" a="1"/>
  <c r="G46" i="89" s="1"/>
  <c r="G45" i="89" a="1"/>
  <c r="G45" i="89" s="1"/>
  <c r="G44" i="89" a="1"/>
  <c r="G44" i="89" s="1"/>
  <c r="G43" i="89" a="1"/>
  <c r="G43" i="89" s="1"/>
  <c r="G42" i="89" a="1"/>
  <c r="G42" i="89" s="1"/>
  <c r="G41" i="89" a="1"/>
  <c r="G41" i="89" s="1"/>
  <c r="G40" i="89" a="1"/>
  <c r="G40" i="89" s="1"/>
  <c r="G39" i="89" a="1"/>
  <c r="G39" i="89" s="1"/>
  <c r="G38" i="89" a="1"/>
  <c r="G38" i="89" s="1"/>
  <c r="G37" i="89" a="1"/>
  <c r="G37" i="89" s="1"/>
  <c r="G36" i="89" a="1"/>
  <c r="G36" i="89" s="1"/>
  <c r="G35" i="89" a="1"/>
  <c r="G35" i="89" s="1"/>
  <c r="G34" i="89" a="1"/>
  <c r="G34" i="89" s="1"/>
  <c r="F183" i="89" a="1"/>
  <c r="F183" i="89" s="1"/>
  <c r="F182" i="89" a="1"/>
  <c r="F182" i="89" s="1"/>
  <c r="F181" i="89" a="1"/>
  <c r="F181" i="89" s="1"/>
  <c r="F180" i="89" a="1"/>
  <c r="F180" i="89" s="1"/>
  <c r="F179" i="89" a="1"/>
  <c r="F179" i="89" s="1"/>
  <c r="F178" i="89" a="1"/>
  <c r="F178" i="89" s="1"/>
  <c r="F177" i="89" a="1"/>
  <c r="F177" i="89" s="1"/>
  <c r="F176" i="89" a="1"/>
  <c r="F176" i="89" s="1"/>
  <c r="F175" i="89" a="1"/>
  <c r="F175" i="89" s="1"/>
  <c r="F174" i="89" a="1"/>
  <c r="F174" i="89" s="1"/>
  <c r="F173" i="89" a="1"/>
  <c r="F173" i="89" s="1"/>
  <c r="F172" i="89" a="1"/>
  <c r="F172" i="89" s="1"/>
  <c r="F171" i="89" a="1"/>
  <c r="F171" i="89" s="1"/>
  <c r="F170" i="89" a="1"/>
  <c r="F170" i="89" s="1"/>
  <c r="F169" i="89" a="1"/>
  <c r="F169" i="89" s="1"/>
  <c r="F168" i="89" a="1"/>
  <c r="F168" i="89" s="1"/>
  <c r="F167" i="89" a="1"/>
  <c r="F167" i="89" s="1"/>
  <c r="F166" i="89" a="1"/>
  <c r="F166" i="89" s="1"/>
  <c r="F165" i="89" a="1"/>
  <c r="F165" i="89" s="1"/>
  <c r="F164" i="89" a="1"/>
  <c r="F164" i="89" s="1"/>
  <c r="F163" i="89" a="1"/>
  <c r="F163" i="89" s="1"/>
  <c r="F162" i="89" a="1"/>
  <c r="F162" i="89" s="1"/>
  <c r="F161" i="89" a="1"/>
  <c r="F161" i="89" s="1"/>
  <c r="F160" i="89" a="1"/>
  <c r="F160" i="89" s="1"/>
  <c r="F159" i="89" a="1"/>
  <c r="F159" i="89" s="1"/>
  <c r="F158" i="89" a="1"/>
  <c r="F158" i="89" s="1"/>
  <c r="F157" i="89" a="1"/>
  <c r="F157" i="89" s="1"/>
  <c r="F156" i="89" a="1"/>
  <c r="F156" i="89" s="1"/>
  <c r="F155" i="89" a="1"/>
  <c r="F155" i="89" s="1"/>
  <c r="F154" i="89" a="1"/>
  <c r="F154" i="89" s="1"/>
  <c r="F153" i="89" a="1"/>
  <c r="F153" i="89" s="1"/>
  <c r="F152" i="89" a="1"/>
  <c r="F152" i="89" s="1"/>
  <c r="F151" i="89" a="1"/>
  <c r="F151" i="89" s="1"/>
  <c r="F150" i="89" a="1"/>
  <c r="F150" i="89" s="1"/>
  <c r="F149" i="89" a="1"/>
  <c r="F149" i="89" s="1"/>
  <c r="F148" i="89" a="1"/>
  <c r="F148" i="89" s="1"/>
  <c r="F147" i="89" a="1"/>
  <c r="F147" i="89" s="1"/>
  <c r="F146" i="89" a="1"/>
  <c r="F146" i="89" s="1"/>
  <c r="F145" i="89" a="1"/>
  <c r="F145" i="89" s="1"/>
  <c r="F144" i="89" a="1"/>
  <c r="F144" i="89" s="1"/>
  <c r="F143" i="89" a="1"/>
  <c r="F143" i="89" s="1"/>
  <c r="F142" i="89" a="1"/>
  <c r="F142" i="89" s="1"/>
  <c r="F141" i="89" a="1"/>
  <c r="F141" i="89" s="1"/>
  <c r="F140" i="89" a="1"/>
  <c r="F140" i="89" s="1"/>
  <c r="F139" i="89" a="1"/>
  <c r="F139" i="89" s="1"/>
  <c r="F138" i="89" a="1"/>
  <c r="F138" i="89" s="1"/>
  <c r="F137" i="89" a="1"/>
  <c r="F137" i="89" s="1"/>
  <c r="F136" i="89" a="1"/>
  <c r="F136" i="89" s="1"/>
  <c r="F135" i="89" a="1"/>
  <c r="F135" i="89" s="1"/>
  <c r="F134" i="89" a="1"/>
  <c r="F134" i="89" s="1"/>
  <c r="F133" i="89" a="1"/>
  <c r="F133" i="89" s="1"/>
  <c r="F132" i="89" a="1"/>
  <c r="F132" i="89" s="1"/>
  <c r="F131" i="89" a="1"/>
  <c r="F131" i="89" s="1"/>
  <c r="F130" i="89" a="1"/>
  <c r="F130" i="89" s="1"/>
  <c r="F129" i="89" a="1"/>
  <c r="F129" i="89" s="1"/>
  <c r="F128" i="89" a="1"/>
  <c r="F128" i="89" s="1"/>
  <c r="F127" i="89" a="1"/>
  <c r="F127" i="89" s="1"/>
  <c r="F126" i="89" a="1"/>
  <c r="F126" i="89" s="1"/>
  <c r="F125" i="89" a="1"/>
  <c r="F125" i="89" s="1"/>
  <c r="F124" i="89" a="1"/>
  <c r="F124" i="89" s="1"/>
  <c r="F123" i="89" a="1"/>
  <c r="F123" i="89" s="1"/>
  <c r="F122" i="89" a="1"/>
  <c r="F122" i="89" s="1"/>
  <c r="F121" i="89" a="1"/>
  <c r="F121" i="89" s="1"/>
  <c r="F120" i="89" a="1"/>
  <c r="F120" i="89" s="1"/>
  <c r="F119" i="89" a="1"/>
  <c r="F119" i="89" s="1"/>
  <c r="F118" i="89" a="1"/>
  <c r="F118" i="89" s="1"/>
  <c r="F117" i="89" a="1"/>
  <c r="F117" i="89" s="1"/>
  <c r="F116" i="89" a="1"/>
  <c r="F116" i="89" s="1"/>
  <c r="F115" i="89" a="1"/>
  <c r="F115" i="89" s="1"/>
  <c r="F114" i="89" a="1"/>
  <c r="F114" i="89" s="1"/>
  <c r="F113" i="89" a="1"/>
  <c r="F113" i="89" s="1"/>
  <c r="F112" i="89" a="1"/>
  <c r="F112" i="89" s="1"/>
  <c r="F111" i="89" a="1"/>
  <c r="F111" i="89" s="1"/>
  <c r="F110" i="89" a="1"/>
  <c r="F110" i="89" s="1"/>
  <c r="F109" i="89" a="1"/>
  <c r="F109" i="89" s="1"/>
  <c r="F108" i="89" a="1"/>
  <c r="F108" i="89" s="1"/>
  <c r="F107" i="89" a="1"/>
  <c r="F107" i="89" s="1"/>
  <c r="F106" i="89" a="1"/>
  <c r="F106" i="89" s="1"/>
  <c r="F105" i="89" a="1"/>
  <c r="F105" i="89" s="1"/>
  <c r="F104" i="89" a="1"/>
  <c r="F104" i="89" s="1"/>
  <c r="F103" i="89" a="1"/>
  <c r="F103" i="89" s="1"/>
  <c r="F102" i="89" a="1"/>
  <c r="F102" i="89" s="1"/>
  <c r="F101" i="89" a="1"/>
  <c r="F101" i="89" s="1"/>
  <c r="F100" i="89" a="1"/>
  <c r="F100" i="89" s="1"/>
  <c r="F99" i="89" a="1"/>
  <c r="F99" i="89" s="1"/>
  <c r="F98" i="89" a="1"/>
  <c r="F98" i="89" s="1"/>
  <c r="F97" i="89" a="1"/>
  <c r="F97" i="89" s="1"/>
  <c r="F96" i="89" a="1"/>
  <c r="F96" i="89" s="1"/>
  <c r="F95" i="89" a="1"/>
  <c r="F95" i="89" s="1"/>
  <c r="F94" i="89" a="1"/>
  <c r="F94" i="89" s="1"/>
  <c r="F93" i="89" a="1"/>
  <c r="F93" i="89" s="1"/>
  <c r="F92" i="89" a="1"/>
  <c r="F92" i="89" s="1"/>
  <c r="F91" i="89" a="1"/>
  <c r="F91" i="89" s="1"/>
  <c r="F90" i="89" a="1"/>
  <c r="F90" i="89" s="1"/>
  <c r="F89" i="89" a="1"/>
  <c r="F89" i="89" s="1"/>
  <c r="F88" i="89" a="1"/>
  <c r="F88" i="89" s="1"/>
  <c r="F87" i="89" a="1"/>
  <c r="F87" i="89" s="1"/>
  <c r="F86" i="89" a="1"/>
  <c r="F86" i="89" s="1"/>
  <c r="F85" i="89" a="1"/>
  <c r="F85" i="89" s="1"/>
  <c r="F84" i="89" a="1"/>
  <c r="F84" i="89" s="1"/>
  <c r="F83" i="89" a="1"/>
  <c r="F83" i="89" s="1"/>
  <c r="F82" i="89" a="1"/>
  <c r="F82" i="89" s="1"/>
  <c r="F81" i="89" a="1"/>
  <c r="F81" i="89" s="1"/>
  <c r="F80" i="89" a="1"/>
  <c r="F80" i="89" s="1"/>
  <c r="F79" i="89" a="1"/>
  <c r="F79" i="89" s="1"/>
  <c r="F78" i="89" a="1"/>
  <c r="F78" i="89" s="1"/>
  <c r="F77" i="89" a="1"/>
  <c r="F77" i="89" s="1"/>
  <c r="F76" i="89" a="1"/>
  <c r="F76" i="89" s="1"/>
  <c r="F75" i="89" a="1"/>
  <c r="F75" i="89" s="1"/>
  <c r="F74" i="89" a="1"/>
  <c r="F74" i="89" s="1"/>
  <c r="F73" i="89" a="1"/>
  <c r="F73" i="89" s="1"/>
  <c r="F72" i="89" a="1"/>
  <c r="F72" i="89" s="1"/>
  <c r="F71" i="89" a="1"/>
  <c r="F71" i="89" s="1"/>
  <c r="F70" i="89" a="1"/>
  <c r="F70" i="89" s="1"/>
  <c r="F69" i="89" a="1"/>
  <c r="F69" i="89" s="1"/>
  <c r="F68" i="89" a="1"/>
  <c r="F68" i="89" s="1"/>
  <c r="F67" i="89" a="1"/>
  <c r="F67" i="89" s="1"/>
  <c r="F66" i="89" a="1"/>
  <c r="F66" i="89" s="1"/>
  <c r="F65" i="89" a="1"/>
  <c r="F65" i="89" s="1"/>
  <c r="F64" i="89" a="1"/>
  <c r="F64" i="89" s="1"/>
  <c r="F63" i="89" a="1"/>
  <c r="F63" i="89" s="1"/>
  <c r="F62" i="89" a="1"/>
  <c r="F62" i="89" s="1"/>
  <c r="F61" i="89" a="1"/>
  <c r="F61" i="89" s="1"/>
  <c r="F60" i="89" a="1"/>
  <c r="F60" i="89" s="1"/>
  <c r="F59" i="89" a="1"/>
  <c r="F59" i="89" s="1"/>
  <c r="F58" i="89" a="1"/>
  <c r="F58" i="89" s="1"/>
  <c r="F57" i="89" a="1"/>
  <c r="F57" i="89" s="1"/>
  <c r="F56" i="89" a="1"/>
  <c r="F56" i="89" s="1"/>
  <c r="F55" i="89" a="1"/>
  <c r="F55" i="89" s="1"/>
  <c r="F54" i="89" a="1"/>
  <c r="F54" i="89" s="1"/>
  <c r="F53" i="89" a="1"/>
  <c r="F53" i="89" s="1"/>
  <c r="F52" i="89" a="1"/>
  <c r="F52" i="89" s="1"/>
  <c r="F51" i="89" a="1"/>
  <c r="F51" i="89" s="1"/>
  <c r="F50" i="89" a="1"/>
  <c r="F50" i="89" s="1"/>
  <c r="F49" i="89" a="1"/>
  <c r="F49" i="89" s="1"/>
  <c r="F48" i="89" a="1"/>
  <c r="F48" i="89" s="1"/>
  <c r="F47" i="89" a="1"/>
  <c r="F47" i="89" s="1"/>
  <c r="F46" i="89" a="1"/>
  <c r="F46" i="89" s="1"/>
  <c r="F45" i="89" a="1"/>
  <c r="F45" i="89" s="1"/>
  <c r="F44" i="89" a="1"/>
  <c r="F44" i="89" s="1"/>
  <c r="F43" i="89" a="1"/>
  <c r="F43" i="89" s="1"/>
  <c r="F42" i="89" a="1"/>
  <c r="F42" i="89" s="1"/>
  <c r="F41" i="89" a="1"/>
  <c r="F41" i="89" s="1"/>
  <c r="F40" i="89" a="1"/>
  <c r="F40" i="89" s="1"/>
  <c r="F39" i="89" a="1"/>
  <c r="F39" i="89" s="1"/>
  <c r="F38" i="89" a="1"/>
  <c r="F38" i="89" s="1"/>
  <c r="F37" i="89" a="1"/>
  <c r="F37" i="89" s="1"/>
  <c r="F36" i="89" a="1"/>
  <c r="F36" i="89" s="1"/>
  <c r="F35" i="89" a="1"/>
  <c r="F35" i="89" s="1"/>
  <c r="F34" i="89" a="1"/>
  <c r="F34" i="89" s="1"/>
  <c r="E35" i="89" a="1"/>
  <c r="E35" i="89" s="1"/>
  <c r="E34" i="89" a="1"/>
  <c r="E34" i="89" s="1"/>
  <c r="D35" i="89" a="1"/>
  <c r="D35" i="89" s="1"/>
  <c r="D34" i="89" a="1"/>
  <c r="D34" i="89" s="1"/>
  <c r="C35" i="89" l="1"/>
  <c r="C34" i="89"/>
  <c r="N38" i="36" l="1"/>
  <c r="J38" i="36"/>
  <c r="F38" i="36"/>
  <c r="S386" i="64" l="1"/>
  <c r="R386" i="64"/>
  <c r="Q386" i="64"/>
  <c r="P386" i="64"/>
  <c r="O386" i="64"/>
  <c r="N386" i="64"/>
  <c r="M386" i="64"/>
  <c r="L386" i="64"/>
  <c r="K386" i="64"/>
  <c r="J386" i="64"/>
  <c r="I386" i="64"/>
  <c r="H386" i="64"/>
  <c r="G386" i="64"/>
  <c r="F386" i="64"/>
  <c r="K53" i="62" l="1"/>
  <c r="H53" i="62"/>
  <c r="K48" i="62"/>
  <c r="H48" i="62"/>
  <c r="K43" i="62"/>
  <c r="H43" i="62"/>
  <c r="C17" i="84" l="1"/>
  <c r="J54" i="1" l="1"/>
  <c r="D39" i="73" l="1"/>
  <c r="I15039" i="48"/>
  <c r="I15021" i="48"/>
  <c r="I15002" i="48"/>
  <c r="I14983" i="48"/>
  <c r="I14962" i="48"/>
  <c r="I14943" i="48"/>
  <c r="I14888" i="48"/>
  <c r="M39" i="37" l="1"/>
  <c r="M40" i="37" s="1"/>
  <c r="M41" i="37" s="1"/>
  <c r="M42" i="37" s="1"/>
  <c r="M43" i="37" s="1"/>
  <c r="M44" i="37" s="1"/>
  <c r="M45" i="37" s="1"/>
  <c r="I39" i="37"/>
  <c r="I40" i="37" s="1"/>
  <c r="I41" i="37" s="1"/>
  <c r="I42" i="37" s="1"/>
  <c r="I43" i="37" s="1"/>
  <c r="I44" i="37" s="1"/>
  <c r="I45" i="37" s="1"/>
  <c r="E39" i="37"/>
  <c r="E40" i="37" s="1"/>
  <c r="E41" i="37" s="1"/>
  <c r="E42" i="37" s="1"/>
  <c r="E43" i="37" s="1"/>
  <c r="E44" i="37" s="1"/>
  <c r="E45" i="37" s="1"/>
  <c r="M20" i="37"/>
  <c r="M21" i="37" s="1"/>
  <c r="M22" i="37" s="1"/>
  <c r="M23" i="37" s="1"/>
  <c r="M24" i="37" s="1"/>
  <c r="M25" i="37" s="1"/>
  <c r="M26" i="37" s="1"/>
  <c r="M27" i="37" s="1"/>
  <c r="M28" i="37" s="1"/>
  <c r="M29" i="37" s="1"/>
  <c r="M30" i="37" s="1"/>
  <c r="M31" i="37" s="1"/>
  <c r="I20" i="37"/>
  <c r="E20" i="37"/>
  <c r="F71" i="77"/>
  <c r="F56" i="77"/>
  <c r="F41" i="77"/>
  <c r="J36" i="62" l="1"/>
  <c r="J35" i="62"/>
  <c r="G36" i="62"/>
  <c r="G35" i="62"/>
  <c r="F19" i="62"/>
  <c r="L26" i="77" l="1"/>
  <c r="L24" i="77"/>
  <c r="L22" i="77"/>
  <c r="H184" i="89" l="1"/>
  <c r="G184" i="89"/>
  <c r="L37" i="77"/>
  <c r="L39" i="77"/>
  <c r="L35" i="77"/>
  <c r="L41" i="77" l="1"/>
  <c r="F47" i="73"/>
  <c r="F42" i="73"/>
  <c r="F43" i="73"/>
  <c r="F44" i="73"/>
  <c r="F45" i="73"/>
  <c r="F46" i="73"/>
  <c r="F48" i="73"/>
  <c r="F49" i="73"/>
  <c r="F52" i="73"/>
  <c r="F53" i="73"/>
  <c r="F39" i="73" l="1"/>
  <c r="H14" i="31" l="1"/>
  <c r="H184" i="90" l="1"/>
  <c r="A53" i="1"/>
  <c r="B13" i="85" l="1"/>
  <c r="C14" i="84"/>
  <c r="H21" i="90" a="1"/>
  <c r="H21" i="90" s="1"/>
  <c r="G21" i="90" a="1"/>
  <c r="G21" i="90" s="1"/>
  <c r="F21" i="90" a="1"/>
  <c r="F21" i="90" s="1"/>
  <c r="E21" i="90" a="1"/>
  <c r="E21" i="90" s="1"/>
  <c r="D21" i="90" a="1"/>
  <c r="D21" i="90" s="1"/>
  <c r="C21" i="90" s="1"/>
  <c r="H21" i="89" a="1"/>
  <c r="H21" i="89" s="1"/>
  <c r="G21" i="89" a="1"/>
  <c r="G21" i="89" s="1"/>
  <c r="F21" i="89" a="1"/>
  <c r="F21" i="89" s="1"/>
  <c r="E21" i="89" a="1"/>
  <c r="E21" i="89" s="1"/>
  <c r="D21" i="89" a="1"/>
  <c r="D21" i="89" s="1"/>
  <c r="C21" i="89" l="1"/>
  <c r="S53" i="1"/>
  <c r="B2" i="13" l="1"/>
  <c r="BT32" i="74" l="1"/>
  <c r="BT33" i="74"/>
  <c r="BT35" i="74"/>
  <c r="BT36" i="74"/>
  <c r="BT37" i="74"/>
  <c r="BT31" i="74"/>
  <c r="I33" i="62" l="1"/>
  <c r="I32" i="62" l="1"/>
  <c r="I31" i="62"/>
  <c r="D14" i="73"/>
  <c r="C32" i="89" l="1"/>
  <c r="F33" i="62"/>
  <c r="F32" i="62"/>
  <c r="F31" i="62"/>
  <c r="G184" i="90" l="1"/>
  <c r="G23" i="90" s="1"/>
  <c r="B16" i="90"/>
  <c r="J40" i="31" l="1"/>
  <c r="H38" i="31"/>
  <c r="H42" i="31" s="1"/>
  <c r="H44" i="31" s="1"/>
  <c r="J18" i="31"/>
  <c r="J16" i="31"/>
  <c r="J22" i="31" s="1"/>
  <c r="J25" i="31" l="1"/>
  <c r="J30" i="31"/>
  <c r="J33" i="31" s="1"/>
  <c r="J31" i="31"/>
  <c r="J34" i="31" s="1"/>
  <c r="J36" i="31" l="1"/>
  <c r="J38" i="31" s="1"/>
  <c r="J42" i="31" s="1"/>
  <c r="J44" i="31" s="1"/>
  <c r="J46" i="31" s="1"/>
  <c r="J48" i="31" s="1"/>
  <c r="I53" i="1"/>
  <c r="BX38" i="74" l="1"/>
  <c r="H25" i="62" l="1"/>
  <c r="F184" i="90" l="1"/>
  <c r="F23" i="90" s="1"/>
  <c r="E41" i="77" l="1"/>
  <c r="J14" i="62" l="1"/>
  <c r="G14" i="62"/>
  <c r="J15" i="62" l="1"/>
  <c r="G15" i="62"/>
  <c r="K25" i="62" l="1"/>
  <c r="L25" i="62" l="1"/>
  <c r="M25" i="62" s="1"/>
  <c r="D14" i="15" l="1"/>
  <c r="I24" i="62" l="1"/>
  <c r="F24" i="62"/>
  <c r="B14" i="17" l="1"/>
  <c r="E184" i="89" l="1"/>
  <c r="E23" i="89" s="1"/>
  <c r="G23" i="89"/>
  <c r="H23" i="89"/>
  <c r="F184" i="89"/>
  <c r="F23" i="89" s="1"/>
  <c r="D184" i="89"/>
  <c r="D23" i="89" s="1"/>
  <c r="C23" i="89" s="1"/>
  <c r="C184" i="89" l="1"/>
  <c r="I124" i="89" s="1"/>
  <c r="I42" i="89" l="1"/>
  <c r="I91" i="89"/>
  <c r="I115" i="89"/>
  <c r="I49" i="89"/>
  <c r="I75" i="89"/>
  <c r="I130" i="89"/>
  <c r="I144" i="89"/>
  <c r="I180" i="89"/>
  <c r="I51" i="89"/>
  <c r="I134" i="89"/>
  <c r="I147" i="89"/>
  <c r="I87" i="89"/>
  <c r="I77" i="89"/>
  <c r="I117" i="89"/>
  <c r="I162" i="89"/>
  <c r="I142" i="89"/>
  <c r="I172" i="89"/>
  <c r="I88" i="89"/>
  <c r="I105" i="89"/>
  <c r="I140" i="89"/>
  <c r="I92" i="89"/>
  <c r="I94" i="89"/>
  <c r="I123" i="89"/>
  <c r="I160" i="89"/>
  <c r="I55" i="89"/>
  <c r="I83" i="89"/>
  <c r="I125" i="89"/>
  <c r="I171" i="89"/>
  <c r="I99" i="89"/>
  <c r="I138" i="89"/>
  <c r="I136" i="89"/>
  <c r="I164" i="89"/>
  <c r="I133" i="89"/>
  <c r="I35" i="89"/>
  <c r="I53" i="89"/>
  <c r="I177" i="89"/>
  <c r="I120" i="89"/>
  <c r="I61" i="89"/>
  <c r="I137" i="89"/>
  <c r="I145" i="89"/>
  <c r="I98" i="89"/>
  <c r="I96" i="89"/>
  <c r="I141" i="89"/>
  <c r="I152" i="89"/>
  <c r="I112" i="89"/>
  <c r="I107" i="89"/>
  <c r="I155" i="89"/>
  <c r="I114" i="89"/>
  <c r="I151" i="89"/>
  <c r="I50" i="89"/>
  <c r="I79" i="89"/>
  <c r="I74" i="89"/>
  <c r="I39" i="89"/>
  <c r="I68" i="89"/>
  <c r="I84" i="89"/>
  <c r="I64" i="89"/>
  <c r="I80" i="89"/>
  <c r="I103" i="89"/>
  <c r="I118" i="89"/>
  <c r="I104" i="89"/>
  <c r="I34" i="89"/>
  <c r="I54" i="89"/>
  <c r="I47" i="89"/>
  <c r="I36" i="89"/>
  <c r="I82" i="89"/>
  <c r="I57" i="89"/>
  <c r="I73" i="89"/>
  <c r="I41" i="89"/>
  <c r="I70" i="89"/>
  <c r="I86" i="89"/>
  <c r="I109" i="89"/>
  <c r="I116" i="89"/>
  <c r="I119" i="89"/>
  <c r="I97" i="89"/>
  <c r="I106" i="89"/>
  <c r="I135" i="89"/>
  <c r="I149" i="89"/>
  <c r="I150" i="89"/>
  <c r="I182" i="89"/>
  <c r="I165" i="89"/>
  <c r="I170" i="89"/>
  <c r="I181" i="89"/>
  <c r="I46" i="89"/>
  <c r="I56" i="89"/>
  <c r="I63" i="89"/>
  <c r="I38" i="89"/>
  <c r="I58" i="89"/>
  <c r="I89" i="89"/>
  <c r="I60" i="89"/>
  <c r="I76" i="89"/>
  <c r="I45" i="89"/>
  <c r="I72" i="89"/>
  <c r="I110" i="89"/>
  <c r="I108" i="89"/>
  <c r="I121" i="89"/>
  <c r="I101" i="89"/>
  <c r="I113" i="89"/>
  <c r="I139" i="89"/>
  <c r="I153" i="89"/>
  <c r="I157" i="89"/>
  <c r="I158" i="89"/>
  <c r="I169" i="89"/>
  <c r="I174" i="89"/>
  <c r="I154" i="89"/>
  <c r="I183" i="89"/>
  <c r="I48" i="89"/>
  <c r="I62" i="89"/>
  <c r="I71" i="89"/>
  <c r="I40" i="89"/>
  <c r="I66" i="89"/>
  <c r="I65" i="89"/>
  <c r="I81" i="89"/>
  <c r="I52" i="89"/>
  <c r="I78" i="89"/>
  <c r="I100" i="89"/>
  <c r="I111" i="89"/>
  <c r="I93" i="89"/>
  <c r="I102" i="89"/>
  <c r="I127" i="89"/>
  <c r="I143" i="89"/>
  <c r="I146" i="89"/>
  <c r="I173" i="89"/>
  <c r="I159" i="89"/>
  <c r="I175" i="89"/>
  <c r="I176" i="89"/>
  <c r="I44" i="89"/>
  <c r="I95" i="89"/>
  <c r="I131" i="89"/>
  <c r="I148" i="89"/>
  <c r="I163" i="89"/>
  <c r="I178" i="89"/>
  <c r="I167" i="89"/>
  <c r="I166" i="89"/>
  <c r="I67" i="89"/>
  <c r="I126" i="89"/>
  <c r="I179" i="89"/>
  <c r="I43" i="89"/>
  <c r="I90" i="89"/>
  <c r="I128" i="89"/>
  <c r="I168" i="89"/>
  <c r="I122" i="89"/>
  <c r="I69" i="89"/>
  <c r="I132" i="89"/>
  <c r="I59" i="89"/>
  <c r="I37" i="89"/>
  <c r="I129" i="89"/>
  <c r="I161" i="89"/>
  <c r="I85" i="89"/>
  <c r="I156" i="89"/>
  <c r="I184" i="89" l="1"/>
  <c r="E184" i="90" l="1"/>
  <c r="E23" i="90" s="1"/>
  <c r="B16" i="89"/>
  <c r="D184" i="90" l="1"/>
  <c r="D23" i="90" s="1"/>
  <c r="C23" i="90" s="1"/>
  <c r="D495" i="84" l="1"/>
  <c r="D497" i="84"/>
  <c r="D499" i="84"/>
  <c r="D501" i="84"/>
  <c r="D503" i="84"/>
  <c r="D505" i="84"/>
  <c r="D507" i="84"/>
  <c r="D509" i="84"/>
  <c r="D511" i="84"/>
  <c r="D513" i="84"/>
  <c r="D515" i="84"/>
  <c r="D517" i="84"/>
  <c r="D519" i="84"/>
  <c r="D521" i="84"/>
  <c r="D523" i="84"/>
  <c r="D525" i="84"/>
  <c r="D527" i="84"/>
  <c r="D529" i="84"/>
  <c r="D531" i="84"/>
  <c r="D533" i="84"/>
  <c r="D535" i="84"/>
  <c r="D537" i="84"/>
  <c r="D539" i="84"/>
  <c r="D541" i="84"/>
  <c r="D543" i="84"/>
  <c r="D545" i="84"/>
  <c r="D547" i="84"/>
  <c r="D549" i="84"/>
  <c r="D551" i="84"/>
  <c r="D553" i="84"/>
  <c r="D555" i="84"/>
  <c r="D557" i="84"/>
  <c r="D559" i="84"/>
  <c r="D561" i="84"/>
  <c r="D563" i="84"/>
  <c r="D565" i="84"/>
  <c r="D567" i="84"/>
  <c r="D569" i="84"/>
  <c r="D571" i="84"/>
  <c r="D573" i="84"/>
  <c r="D575" i="84"/>
  <c r="D577" i="84"/>
  <c r="D579" i="84"/>
  <c r="D581" i="84"/>
  <c r="D583" i="84"/>
  <c r="D585" i="84"/>
  <c r="D587" i="84"/>
  <c r="D589" i="84"/>
  <c r="D591" i="84"/>
  <c r="D593" i="84"/>
  <c r="D595" i="84"/>
  <c r="D597" i="84"/>
  <c r="D599" i="84"/>
  <c r="D601" i="84"/>
  <c r="D603" i="84"/>
  <c r="D605" i="84"/>
  <c r="D607" i="84"/>
  <c r="D609" i="84"/>
  <c r="D611" i="84"/>
  <c r="D613" i="84"/>
  <c r="D615" i="84"/>
  <c r="D617" i="84"/>
  <c r="D619" i="84"/>
  <c r="D621" i="84"/>
  <c r="D623" i="84"/>
  <c r="D625" i="84"/>
  <c r="D627" i="84"/>
  <c r="D629" i="84"/>
  <c r="D631" i="84"/>
  <c r="D633" i="84"/>
  <c r="D635" i="84"/>
  <c r="D637" i="84"/>
  <c r="D639" i="84"/>
  <c r="D641" i="84"/>
  <c r="D643" i="84"/>
  <c r="D645" i="84"/>
  <c r="D647" i="84"/>
  <c r="D649" i="84"/>
  <c r="D651" i="84"/>
  <c r="D653" i="84"/>
  <c r="D655" i="84"/>
  <c r="D657" i="84"/>
  <c r="D659" i="84"/>
  <c r="D661" i="84"/>
  <c r="D663" i="84"/>
  <c r="D665" i="84"/>
  <c r="D667" i="84"/>
  <c r="D669" i="84"/>
  <c r="D671" i="84"/>
  <c r="D673" i="84"/>
  <c r="D675" i="84"/>
  <c r="D677" i="84"/>
  <c r="D679" i="84"/>
  <c r="D681" i="84"/>
  <c r="D683" i="84"/>
  <c r="D685" i="84"/>
  <c r="D687" i="84"/>
  <c r="D689" i="84"/>
  <c r="D691" i="84"/>
  <c r="D693" i="84"/>
  <c r="D695" i="84"/>
  <c r="D697" i="84"/>
  <c r="D699" i="84"/>
  <c r="D701" i="84"/>
  <c r="D703" i="84"/>
  <c r="D705" i="84"/>
  <c r="D707" i="84"/>
  <c r="D709" i="84"/>
  <c r="D711" i="84"/>
  <c r="D713" i="84"/>
  <c r="D715" i="84"/>
  <c r="D717" i="84"/>
  <c r="D719" i="84"/>
  <c r="D721" i="84"/>
  <c r="D723" i="84"/>
  <c r="D725" i="84"/>
  <c r="D727" i="84"/>
  <c r="D729" i="84"/>
  <c r="D731" i="84"/>
  <c r="D733" i="84"/>
  <c r="D735" i="84"/>
  <c r="D737" i="84"/>
  <c r="D739" i="84"/>
  <c r="D741" i="84"/>
  <c r="D743" i="84"/>
  <c r="D745" i="84"/>
  <c r="D747" i="84"/>
  <c r="D749" i="84"/>
  <c r="D751" i="84"/>
  <c r="D753" i="84"/>
  <c r="D755" i="84"/>
  <c r="D757" i="84"/>
  <c r="D759" i="84"/>
  <c r="D761" i="84"/>
  <c r="D763" i="84"/>
  <c r="D765" i="84"/>
  <c r="D767" i="84"/>
  <c r="D769" i="84"/>
  <c r="D771" i="84"/>
  <c r="D773" i="84"/>
  <c r="D775" i="84"/>
  <c r="D777" i="84"/>
  <c r="D779" i="84"/>
  <c r="D781" i="84"/>
  <c r="D783" i="84"/>
  <c r="D785" i="84"/>
  <c r="D787" i="84"/>
  <c r="D789" i="84"/>
  <c r="D791" i="84"/>
  <c r="J26" i="62" l="1"/>
  <c r="K26" i="62" s="1"/>
  <c r="G26" i="62"/>
  <c r="H26" i="62" s="1"/>
  <c r="J21" i="62"/>
  <c r="K21" i="62" s="1"/>
  <c r="G21" i="62"/>
  <c r="H21" i="62" s="1"/>
  <c r="G22" i="62"/>
  <c r="H22" i="62" s="1"/>
  <c r="D34" i="84"/>
  <c r="D37" i="84"/>
  <c r="D40" i="84"/>
  <c r="D43" i="84"/>
  <c r="D46" i="84"/>
  <c r="D49" i="84"/>
  <c r="D52" i="84"/>
  <c r="D55" i="84"/>
  <c r="D58" i="84"/>
  <c r="D61" i="84"/>
  <c r="D64" i="84"/>
  <c r="D67" i="84"/>
  <c r="D70" i="84"/>
  <c r="D73" i="84"/>
  <c r="D76" i="84"/>
  <c r="D79" i="84"/>
  <c r="D82" i="84"/>
  <c r="D85" i="84"/>
  <c r="D88" i="84"/>
  <c r="D91" i="84"/>
  <c r="D94" i="84"/>
  <c r="D97" i="84"/>
  <c r="D100" i="84"/>
  <c r="D103" i="84"/>
  <c r="D106" i="84"/>
  <c r="D109" i="84"/>
  <c r="D112" i="84"/>
  <c r="D115" i="84"/>
  <c r="D118" i="84"/>
  <c r="D121" i="84"/>
  <c r="D124" i="84"/>
  <c r="D127" i="84"/>
  <c r="D130" i="84"/>
  <c r="D133" i="84"/>
  <c r="D136" i="84"/>
  <c r="D139" i="84"/>
  <c r="D142" i="84"/>
  <c r="D145" i="84"/>
  <c r="D148" i="84"/>
  <c r="D151" i="84"/>
  <c r="D154" i="84"/>
  <c r="D157" i="84"/>
  <c r="D160" i="84"/>
  <c r="D163" i="84"/>
  <c r="D166" i="84"/>
  <c r="D169" i="84"/>
  <c r="D172" i="84"/>
  <c r="D175" i="84"/>
  <c r="D178" i="84"/>
  <c r="D181" i="84"/>
  <c r="D184" i="84"/>
  <c r="D187" i="84"/>
  <c r="D190" i="84"/>
  <c r="D193" i="84"/>
  <c r="D196" i="84"/>
  <c r="D199" i="84"/>
  <c r="D202" i="84"/>
  <c r="D205" i="84"/>
  <c r="D208" i="84"/>
  <c r="D211" i="84"/>
  <c r="D214" i="84"/>
  <c r="D217" i="84"/>
  <c r="D220" i="84"/>
  <c r="D223" i="84"/>
  <c r="D226" i="84"/>
  <c r="D229" i="84"/>
  <c r="D232" i="84"/>
  <c r="D235" i="84"/>
  <c r="D238" i="84"/>
  <c r="D241" i="84"/>
  <c r="D244" i="84"/>
  <c r="D247" i="84"/>
  <c r="D250" i="84"/>
  <c r="D253" i="84"/>
  <c r="D256" i="84"/>
  <c r="D259" i="84"/>
  <c r="D262" i="84"/>
  <c r="D265" i="84"/>
  <c r="D268" i="84"/>
  <c r="D271" i="84"/>
  <c r="D274" i="84"/>
  <c r="D277" i="84"/>
  <c r="D280" i="84"/>
  <c r="D283" i="84"/>
  <c r="D286" i="84"/>
  <c r="D289" i="84"/>
  <c r="D292" i="84"/>
  <c r="D295" i="84"/>
  <c r="D298" i="84"/>
  <c r="D301" i="84"/>
  <c r="D304" i="84"/>
  <c r="D307" i="84"/>
  <c r="D310" i="84"/>
  <c r="D313" i="84"/>
  <c r="D316" i="84"/>
  <c r="D319" i="84"/>
  <c r="D322" i="84"/>
  <c r="D325" i="84"/>
  <c r="D328" i="84"/>
  <c r="D331" i="84"/>
  <c r="D334" i="84"/>
  <c r="D337" i="84"/>
  <c r="D340" i="84"/>
  <c r="D343" i="84"/>
  <c r="D346" i="84"/>
  <c r="D349" i="84"/>
  <c r="D352" i="84"/>
  <c r="D355" i="84"/>
  <c r="D358" i="84"/>
  <c r="D361" i="84"/>
  <c r="D364" i="84"/>
  <c r="D367" i="84"/>
  <c r="D370" i="84"/>
  <c r="D373" i="84"/>
  <c r="D376" i="84"/>
  <c r="D379" i="84"/>
  <c r="D382" i="84"/>
  <c r="D385" i="84"/>
  <c r="D388" i="84"/>
  <c r="D391" i="84"/>
  <c r="D394" i="84"/>
  <c r="D397" i="84"/>
  <c r="D400" i="84"/>
  <c r="D403" i="84"/>
  <c r="D406" i="84"/>
  <c r="D409" i="84"/>
  <c r="D412" i="84"/>
  <c r="D415" i="84"/>
  <c r="D418" i="84"/>
  <c r="D421" i="84"/>
  <c r="D424" i="84"/>
  <c r="D427" i="84"/>
  <c r="D430" i="84"/>
  <c r="D433" i="84"/>
  <c r="D436" i="84"/>
  <c r="D439" i="84"/>
  <c r="D442" i="84"/>
  <c r="D445" i="84"/>
  <c r="D448" i="84"/>
  <c r="D451" i="84"/>
  <c r="D454" i="84"/>
  <c r="D457" i="84"/>
  <c r="D460" i="84"/>
  <c r="D463" i="84"/>
  <c r="D466" i="84"/>
  <c r="D469" i="84"/>
  <c r="D472" i="84"/>
  <c r="D475" i="84"/>
  <c r="D478" i="84"/>
  <c r="L26" i="62" l="1"/>
  <c r="M26" i="62" s="1"/>
  <c r="L21" i="62"/>
  <c r="M21" i="62" s="1"/>
  <c r="D31" i="84" l="1"/>
  <c r="H22" i="85" l="1" a="1"/>
  <c r="H22" i="85" s="1"/>
  <c r="H18" i="85" a="1"/>
  <c r="H18" i="85" s="1"/>
  <c r="G21" i="85" a="1"/>
  <c r="G21" i="85" s="1"/>
  <c r="G17" i="85" a="1"/>
  <c r="G17" i="85" s="1"/>
  <c r="H21" i="85" a="1"/>
  <c r="H21" i="85" s="1"/>
  <c r="H17" i="85" a="1"/>
  <c r="H17" i="85" s="1"/>
  <c r="G20" i="85" a="1"/>
  <c r="G20" i="85" s="1"/>
  <c r="H20" i="85" a="1"/>
  <c r="H20" i="85" s="1"/>
  <c r="G23" i="85" a="1"/>
  <c r="G23" i="85" s="1"/>
  <c r="G19" i="85" a="1"/>
  <c r="G19" i="85" s="1"/>
  <c r="H23" i="85" a="1"/>
  <c r="H23" i="85" s="1"/>
  <c r="H19" i="85" a="1"/>
  <c r="H19" i="85" s="1"/>
  <c r="G22" i="85" a="1"/>
  <c r="G22" i="85" s="1"/>
  <c r="G18" i="85" a="1"/>
  <c r="G18" i="85" s="1"/>
  <c r="G18" i="78" a="1"/>
  <c r="G18" i="78" s="1"/>
  <c r="G17" i="78" a="1"/>
  <c r="G17" i="78" s="1"/>
  <c r="G19" i="78" a="1"/>
  <c r="G19" i="78" s="1"/>
  <c r="G23" i="78" a="1"/>
  <c r="G23" i="78" s="1"/>
  <c r="G21" i="78" a="1"/>
  <c r="G21" i="78" s="1"/>
  <c r="G22" i="78" a="1"/>
  <c r="G22" i="78" s="1"/>
  <c r="G20" i="78" a="1"/>
  <c r="G20" i="78" s="1"/>
  <c r="D493" i="84"/>
  <c r="F20" i="85" l="1" a="1"/>
  <c r="F20" i="85" s="1"/>
  <c r="J20" i="85" s="1"/>
  <c r="E23" i="85" a="1"/>
  <c r="E23" i="85" s="1"/>
  <c r="I23" i="85" s="1"/>
  <c r="E19" i="85" a="1"/>
  <c r="E19" i="85" s="1"/>
  <c r="I19" i="85" s="1"/>
  <c r="E18" i="85" a="1"/>
  <c r="E18" i="85" s="1"/>
  <c r="I18" i="85" s="1"/>
  <c r="E20" i="85" a="1"/>
  <c r="E20" i="85" s="1"/>
  <c r="I20" i="85" s="1"/>
  <c r="F23" i="85" a="1"/>
  <c r="F23" i="85" s="1"/>
  <c r="J23" i="85" s="1"/>
  <c r="F19" i="85" a="1"/>
  <c r="F19" i="85" s="1"/>
  <c r="J19" i="85" s="1"/>
  <c r="E22" i="85" a="1"/>
  <c r="E22" i="85" s="1"/>
  <c r="I22" i="85" s="1"/>
  <c r="F17" i="85" a="1"/>
  <c r="F17" i="85" s="1"/>
  <c r="J17" i="85" s="1"/>
  <c r="F22" i="85" a="1"/>
  <c r="F22" i="85" s="1"/>
  <c r="J22" i="85" s="1"/>
  <c r="F18" i="85" a="1"/>
  <c r="F18" i="85" s="1"/>
  <c r="J18" i="85" s="1"/>
  <c r="E21" i="85" a="1"/>
  <c r="E21" i="85" s="1"/>
  <c r="I21" i="85" s="1"/>
  <c r="E17" i="85" a="1"/>
  <c r="E17" i="85" s="1"/>
  <c r="I17" i="85" s="1"/>
  <c r="F21" i="85" a="1"/>
  <c r="F21" i="85" s="1"/>
  <c r="J21" i="85" s="1"/>
  <c r="G24" i="85"/>
  <c r="H24" i="85"/>
  <c r="G24" i="78"/>
  <c r="E19" i="78" a="1"/>
  <c r="E19" i="78" s="1"/>
  <c r="I19" i="78" s="1"/>
  <c r="E21" i="78" a="1"/>
  <c r="E21" i="78" s="1"/>
  <c r="I21" i="78" s="1"/>
  <c r="E18" i="78" a="1"/>
  <c r="E18" i="78" s="1"/>
  <c r="I18" i="78" s="1"/>
  <c r="E23" i="78" a="1"/>
  <c r="E23" i="78" s="1"/>
  <c r="I23" i="78" s="1"/>
  <c r="E20" i="78" a="1"/>
  <c r="E20" i="78" s="1"/>
  <c r="I20" i="78" s="1"/>
  <c r="E17" i="78" a="1"/>
  <c r="E17" i="78" s="1"/>
  <c r="E22" i="78" a="1"/>
  <c r="E22" i="78" s="1"/>
  <c r="I22" i="78" s="1"/>
  <c r="H22" i="90"/>
  <c r="E22" i="90"/>
  <c r="G22" i="90"/>
  <c r="F22" i="90"/>
  <c r="G22" i="89"/>
  <c r="H22" i="89"/>
  <c r="F22" i="89"/>
  <c r="E22" i="89"/>
  <c r="L13" i="78"/>
  <c r="N36" i="74"/>
  <c r="T36" i="74" s="1"/>
  <c r="X36" i="74" s="1"/>
  <c r="AD36" i="74" s="1"/>
  <c r="AH36" i="74" s="1"/>
  <c r="AN36" i="74" s="1"/>
  <c r="AR36" i="74" s="1"/>
  <c r="AX36" i="74" s="1"/>
  <c r="BB36" i="74" s="1"/>
  <c r="BH36" i="74" s="1"/>
  <c r="BL36" i="74" s="1"/>
  <c r="BP36" i="74" s="1"/>
  <c r="I36" i="74"/>
  <c r="O36" i="74" s="1"/>
  <c r="S36" i="74" s="1"/>
  <c r="Y36" i="74" s="1"/>
  <c r="AC36" i="74" s="1"/>
  <c r="AI36" i="74" s="1"/>
  <c r="AM36" i="74" s="1"/>
  <c r="AS36" i="74" s="1"/>
  <c r="AW36" i="74" s="1"/>
  <c r="BC36" i="74" s="1"/>
  <c r="BG36" i="74" s="1"/>
  <c r="J24" i="85" l="1"/>
  <c r="E24" i="85"/>
  <c r="F24" i="85"/>
  <c r="I24" i="85"/>
  <c r="K17" i="85" s="1"/>
  <c r="BW36" i="74"/>
  <c r="BX36" i="74" s="1"/>
  <c r="E24" i="78"/>
  <c r="I17" i="78"/>
  <c r="D22" i="90"/>
  <c r="C22" i="90" s="1"/>
  <c r="D22" i="89"/>
  <c r="C22" i="89" s="1"/>
  <c r="BO36" i="74"/>
  <c r="I37" i="62"/>
  <c r="I36" i="62"/>
  <c r="I35" i="62"/>
  <c r="BQ36" i="74" l="1"/>
  <c r="BS36" i="74" s="1"/>
  <c r="L17" i="85"/>
  <c r="K18" i="85"/>
  <c r="L18" i="85" s="1"/>
  <c r="K22" i="85"/>
  <c r="L22" i="85" s="1"/>
  <c r="K19" i="85"/>
  <c r="L19" i="85" s="1"/>
  <c r="K23" i="85"/>
  <c r="L23" i="85" s="1"/>
  <c r="K20" i="85"/>
  <c r="L20" i="85" s="1"/>
  <c r="K21" i="85"/>
  <c r="L21" i="85" s="1"/>
  <c r="I24" i="78"/>
  <c r="C24" i="89"/>
  <c r="F36" i="62"/>
  <c r="F37" i="62"/>
  <c r="F35" i="62"/>
  <c r="L24" i="85" l="1"/>
  <c r="K24" i="85"/>
  <c r="K21" i="78"/>
  <c r="L21" i="78" s="1"/>
  <c r="M21" i="78" s="1"/>
  <c r="K22" i="78"/>
  <c r="L22" i="78" s="1"/>
  <c r="M22" i="78" s="1"/>
  <c r="K18" i="78"/>
  <c r="L18" i="78" s="1"/>
  <c r="M18" i="78" s="1"/>
  <c r="K20" i="78"/>
  <c r="L20" i="78" s="1"/>
  <c r="M20" i="78" s="1"/>
  <c r="K19" i="78"/>
  <c r="L19" i="78" s="1"/>
  <c r="M19" i="78" s="1"/>
  <c r="K23" i="78"/>
  <c r="L23" i="78" s="1"/>
  <c r="M23" i="78" s="1"/>
  <c r="K17" i="78"/>
  <c r="T35" i="56"/>
  <c r="T36" i="56"/>
  <c r="T37" i="56"/>
  <c r="T38" i="56"/>
  <c r="T39" i="56"/>
  <c r="T40" i="56"/>
  <c r="T41" i="56"/>
  <c r="T42" i="56"/>
  <c r="T43" i="56"/>
  <c r="T44" i="56"/>
  <c r="T45" i="56"/>
  <c r="T46" i="56"/>
  <c r="T47" i="56"/>
  <c r="T48" i="56"/>
  <c r="T49" i="56"/>
  <c r="L17" i="78" l="1"/>
  <c r="K24" i="78"/>
  <c r="BT24" i="74"/>
  <c r="M17" i="78" l="1"/>
  <c r="L24" i="78"/>
  <c r="J16" i="62"/>
  <c r="J12" i="62"/>
  <c r="G20" i="62" l="1"/>
  <c r="P38" i="36" l="1"/>
  <c r="M49" i="36"/>
  <c r="M48" i="36"/>
  <c r="M47" i="36"/>
  <c r="M46" i="36"/>
  <c r="P46" i="36" s="1"/>
  <c r="M45" i="36"/>
  <c r="M44" i="36"/>
  <c r="M43" i="36"/>
  <c r="M42" i="36"/>
  <c r="P42" i="36" s="1"/>
  <c r="M41" i="36"/>
  <c r="M40" i="36"/>
  <c r="M39" i="36"/>
  <c r="I49" i="36"/>
  <c r="P49" i="36" s="1"/>
  <c r="I48" i="36"/>
  <c r="P48" i="36" s="1"/>
  <c r="I47" i="36"/>
  <c r="P47" i="36" s="1"/>
  <c r="I46" i="36"/>
  <c r="I45" i="36"/>
  <c r="P45" i="36" s="1"/>
  <c r="I44" i="36"/>
  <c r="P44" i="36" s="1"/>
  <c r="I43" i="36"/>
  <c r="P43" i="36" s="1"/>
  <c r="I42" i="36"/>
  <c r="I41" i="36"/>
  <c r="P41" i="36" s="1"/>
  <c r="I40" i="36"/>
  <c r="P40" i="36" s="1"/>
  <c r="I39" i="36"/>
  <c r="P39" i="36" s="1"/>
  <c r="E40" i="36"/>
  <c r="E41" i="36"/>
  <c r="E42" i="36"/>
  <c r="E43" i="36"/>
  <c r="E44" i="36"/>
  <c r="E45" i="36"/>
  <c r="E46" i="36"/>
  <c r="E47" i="36"/>
  <c r="E48" i="36"/>
  <c r="E49" i="36"/>
  <c r="J22" i="62" l="1"/>
  <c r="K22" i="62" s="1"/>
  <c r="L22" i="62" s="1"/>
  <c r="M22" i="62" s="1"/>
  <c r="M30" i="36" l="1"/>
  <c r="I30" i="36"/>
  <c r="E30" i="36"/>
  <c r="M29" i="36"/>
  <c r="I29" i="36"/>
  <c r="E29" i="36"/>
  <c r="M28" i="36"/>
  <c r="I28" i="36"/>
  <c r="E28" i="36"/>
  <c r="M27" i="36"/>
  <c r="I27" i="36"/>
  <c r="E27" i="36"/>
  <c r="M26" i="36"/>
  <c r="I26" i="36"/>
  <c r="E26" i="36"/>
  <c r="M25" i="36"/>
  <c r="I25" i="36"/>
  <c r="E25" i="36"/>
  <c r="M24" i="36"/>
  <c r="I24" i="36"/>
  <c r="E24" i="36"/>
  <c r="M23" i="36"/>
  <c r="I23" i="36"/>
  <c r="E23" i="36"/>
  <c r="M22" i="36"/>
  <c r="I22" i="36"/>
  <c r="E22" i="36"/>
  <c r="M21" i="36"/>
  <c r="I21" i="36"/>
  <c r="E21" i="36"/>
  <c r="M20" i="36"/>
  <c r="I20" i="36"/>
  <c r="E20" i="36"/>
  <c r="M19" i="36"/>
  <c r="I19" i="36"/>
  <c r="E19" i="36"/>
  <c r="I25" i="74" l="1"/>
  <c r="E71" i="77" l="1"/>
  <c r="H71" i="77"/>
  <c r="L71" i="77"/>
  <c r="E56" i="77" l="1"/>
  <c r="P110" i="36" l="1"/>
  <c r="M77" i="38" l="1"/>
  <c r="I77" i="38"/>
  <c r="E77" i="38"/>
  <c r="E58" i="38"/>
  <c r="M58" i="38"/>
  <c r="I58" i="38"/>
  <c r="I37" i="74" l="1"/>
  <c r="P111" i="37" l="1"/>
  <c r="P111" i="38"/>
  <c r="M77" i="37" l="1"/>
  <c r="I77" i="37"/>
  <c r="E77" i="37"/>
  <c r="M58" i="37"/>
  <c r="I58" i="37"/>
  <c r="E58" i="37"/>
  <c r="L56" i="77" l="1"/>
  <c r="H56" i="77"/>
  <c r="M39" i="38"/>
  <c r="I39" i="38"/>
  <c r="E39" i="38"/>
  <c r="M20" i="38"/>
  <c r="I20" i="38"/>
  <c r="E20" i="38"/>
  <c r="X43" i="74" l="1"/>
  <c r="AD43" i="74" s="1"/>
  <c r="AH43" i="74" s="1"/>
  <c r="AN43" i="74" s="1"/>
  <c r="AR43" i="74" s="1"/>
  <c r="S43" i="74"/>
  <c r="Y43" i="74" s="1"/>
  <c r="AC43" i="74" s="1"/>
  <c r="AI43" i="74" s="1"/>
  <c r="AM43" i="74" s="1"/>
  <c r="AS43" i="74" s="1"/>
  <c r="BR40" i="74"/>
  <c r="BN40" i="74"/>
  <c r="BM40" i="74"/>
  <c r="BK40" i="74"/>
  <c r="BJ40" i="74"/>
  <c r="BI40" i="74"/>
  <c r="BF40" i="74"/>
  <c r="BE40" i="74"/>
  <c r="BD40" i="74"/>
  <c r="BA40" i="74"/>
  <c r="AZ40" i="74"/>
  <c r="AY40" i="74"/>
  <c r="AV40" i="74"/>
  <c r="AU40" i="74"/>
  <c r="AT40" i="74"/>
  <c r="AQ40" i="74"/>
  <c r="AP40" i="74"/>
  <c r="AO40" i="74"/>
  <c r="AL40" i="74"/>
  <c r="AK40" i="74"/>
  <c r="AJ40" i="74"/>
  <c r="AG40" i="74"/>
  <c r="AF40" i="74"/>
  <c r="AE40" i="74"/>
  <c r="AB40" i="74"/>
  <c r="AA40" i="74"/>
  <c r="Z40" i="74"/>
  <c r="W40" i="74"/>
  <c r="V40" i="74"/>
  <c r="U40" i="74"/>
  <c r="R40" i="74"/>
  <c r="Q40" i="74"/>
  <c r="P40" i="74"/>
  <c r="M40" i="74"/>
  <c r="L40" i="74"/>
  <c r="K40" i="74"/>
  <c r="J40" i="74"/>
  <c r="H40" i="74"/>
  <c r="G40" i="74"/>
  <c r="F40" i="74"/>
  <c r="E40" i="74"/>
  <c r="BR39" i="74"/>
  <c r="BN39" i="74"/>
  <c r="BM39" i="74"/>
  <c r="BK39" i="74"/>
  <c r="BJ39" i="74"/>
  <c r="BI39" i="74"/>
  <c r="BF39" i="74"/>
  <c r="BE39" i="74"/>
  <c r="BD39" i="74"/>
  <c r="BA39" i="74"/>
  <c r="AZ39" i="74"/>
  <c r="AY39" i="74"/>
  <c r="AV39" i="74"/>
  <c r="AU39" i="74"/>
  <c r="AT39" i="74"/>
  <c r="AQ39" i="74"/>
  <c r="AP39" i="74"/>
  <c r="AO39" i="74"/>
  <c r="AL39" i="74"/>
  <c r="AK39" i="74"/>
  <c r="AJ39" i="74"/>
  <c r="AG39" i="74"/>
  <c r="AF39" i="74"/>
  <c r="AF41" i="74" s="1"/>
  <c r="AF45" i="74" s="1"/>
  <c r="AE39" i="74"/>
  <c r="AB39" i="74"/>
  <c r="AA39" i="74"/>
  <c r="Z39" i="74"/>
  <c r="W39" i="74"/>
  <c r="V39" i="74"/>
  <c r="U39" i="74"/>
  <c r="R39" i="74"/>
  <c r="Q39" i="74"/>
  <c r="P39" i="74"/>
  <c r="M39" i="74"/>
  <c r="L39" i="74"/>
  <c r="K39" i="74"/>
  <c r="J39" i="74"/>
  <c r="H39" i="74"/>
  <c r="G39" i="74"/>
  <c r="F39" i="74"/>
  <c r="E39" i="74"/>
  <c r="N37" i="74"/>
  <c r="T37" i="74" s="1"/>
  <c r="X37" i="74" s="1"/>
  <c r="AD37" i="74" s="1"/>
  <c r="AH37" i="74" s="1"/>
  <c r="AN37" i="74" s="1"/>
  <c r="AR37" i="74" s="1"/>
  <c r="AX37" i="74" s="1"/>
  <c r="BB37" i="74" s="1"/>
  <c r="BH37" i="74" s="1"/>
  <c r="BL37" i="74" s="1"/>
  <c r="BP37" i="74" s="1"/>
  <c r="BS37" i="74" s="1"/>
  <c r="O37" i="74"/>
  <c r="S37" i="74" s="1"/>
  <c r="Y37" i="74" s="1"/>
  <c r="AC37" i="74" s="1"/>
  <c r="AI37" i="74" s="1"/>
  <c r="AM37" i="74" s="1"/>
  <c r="AS37" i="74" s="1"/>
  <c r="AW37" i="74" s="1"/>
  <c r="BC37" i="74" s="1"/>
  <c r="BG37" i="74" s="1"/>
  <c r="BW37" i="74" s="1"/>
  <c r="N35" i="74"/>
  <c r="T35" i="74" s="1"/>
  <c r="X35" i="74" s="1"/>
  <c r="AD35" i="74" s="1"/>
  <c r="AH35" i="74" s="1"/>
  <c r="AN35" i="74" s="1"/>
  <c r="AR35" i="74" s="1"/>
  <c r="AX35" i="74" s="1"/>
  <c r="BB35" i="74" s="1"/>
  <c r="BH35" i="74" s="1"/>
  <c r="BL35" i="74" s="1"/>
  <c r="BP35" i="74" s="1"/>
  <c r="I35" i="74"/>
  <c r="O35" i="74" s="1"/>
  <c r="S35" i="74" s="1"/>
  <c r="Y35" i="74" s="1"/>
  <c r="AC35" i="74" s="1"/>
  <c r="AI35" i="74" s="1"/>
  <c r="AM35" i="74" s="1"/>
  <c r="AS35" i="74" s="1"/>
  <c r="AW35" i="74" s="1"/>
  <c r="BC35" i="74" s="1"/>
  <c r="BG35" i="74" s="1"/>
  <c r="N34" i="74"/>
  <c r="T34" i="74" s="1"/>
  <c r="X34" i="74" s="1"/>
  <c r="AD34" i="74" s="1"/>
  <c r="AH34" i="74" s="1"/>
  <c r="AN34" i="74" s="1"/>
  <c r="AR34" i="74" s="1"/>
  <c r="AX34" i="74" s="1"/>
  <c r="BB34" i="74" s="1"/>
  <c r="BH34" i="74" s="1"/>
  <c r="BL34" i="74" s="1"/>
  <c r="I34" i="74"/>
  <c r="O34" i="74" s="1"/>
  <c r="S34" i="74" s="1"/>
  <c r="Y34" i="74" s="1"/>
  <c r="AC34" i="74" s="1"/>
  <c r="AI34" i="74" s="1"/>
  <c r="AM34" i="74" s="1"/>
  <c r="AS34" i="74" s="1"/>
  <c r="AW34" i="74" s="1"/>
  <c r="BC34" i="74" s="1"/>
  <c r="BG34" i="74" s="1"/>
  <c r="N33" i="74"/>
  <c r="T33" i="74" s="1"/>
  <c r="X33" i="74" s="1"/>
  <c r="AD33" i="74" s="1"/>
  <c r="AH33" i="74" s="1"/>
  <c r="AN33" i="74" s="1"/>
  <c r="AR33" i="74" s="1"/>
  <c r="AX33" i="74" s="1"/>
  <c r="BB33" i="74" s="1"/>
  <c r="BH33" i="74" s="1"/>
  <c r="BL33" i="74" s="1"/>
  <c r="BP33" i="74" s="1"/>
  <c r="I33" i="74"/>
  <c r="O33" i="74" s="1"/>
  <c r="S33" i="74" s="1"/>
  <c r="Y33" i="74" s="1"/>
  <c r="AC33" i="74" s="1"/>
  <c r="AI33" i="74" s="1"/>
  <c r="AM33" i="74" s="1"/>
  <c r="AS33" i="74" s="1"/>
  <c r="AW33" i="74" s="1"/>
  <c r="BC33" i="74" s="1"/>
  <c r="BG33" i="74" s="1"/>
  <c r="N32" i="74"/>
  <c r="T32" i="74" s="1"/>
  <c r="X32" i="74" s="1"/>
  <c r="AD32" i="74" s="1"/>
  <c r="AH32" i="74" s="1"/>
  <c r="AN32" i="74" s="1"/>
  <c r="AR32" i="74" s="1"/>
  <c r="AX32" i="74" s="1"/>
  <c r="BB32" i="74" s="1"/>
  <c r="BH32" i="74" s="1"/>
  <c r="BL32" i="74" s="1"/>
  <c r="BP32" i="74" s="1"/>
  <c r="I32" i="74"/>
  <c r="O32" i="74" s="1"/>
  <c r="S32" i="74" s="1"/>
  <c r="Y32" i="74" s="1"/>
  <c r="AC32" i="74" s="1"/>
  <c r="AI32" i="74" s="1"/>
  <c r="AM32" i="74" s="1"/>
  <c r="AS32" i="74" s="1"/>
  <c r="AW32" i="74" s="1"/>
  <c r="BC32" i="74" s="1"/>
  <c r="BG32" i="74" s="1"/>
  <c r="N31" i="74"/>
  <c r="T31" i="74" s="1"/>
  <c r="X31" i="74" s="1"/>
  <c r="AD31" i="74" s="1"/>
  <c r="AH31" i="74" s="1"/>
  <c r="AN31" i="74" s="1"/>
  <c r="AR31" i="74" s="1"/>
  <c r="AX31" i="74" s="1"/>
  <c r="BB31" i="74" s="1"/>
  <c r="BH31" i="74" s="1"/>
  <c r="BL31" i="74" s="1"/>
  <c r="BP31" i="74" s="1"/>
  <c r="I31" i="74"/>
  <c r="O31" i="74" s="1"/>
  <c r="S31" i="74" s="1"/>
  <c r="Y31" i="74" s="1"/>
  <c r="AC31" i="74" s="1"/>
  <c r="AI31" i="74" s="1"/>
  <c r="AM31" i="74" s="1"/>
  <c r="AS31" i="74" s="1"/>
  <c r="AW31" i="74" s="1"/>
  <c r="BC31" i="74" s="1"/>
  <c r="BG31" i="74" s="1"/>
  <c r="N30" i="74"/>
  <c r="T30" i="74" s="1"/>
  <c r="X30" i="74" s="1"/>
  <c r="AD30" i="74" s="1"/>
  <c r="AH30" i="74" s="1"/>
  <c r="AN30" i="74" s="1"/>
  <c r="AR30" i="74" s="1"/>
  <c r="AX30" i="74" s="1"/>
  <c r="BB30" i="74" s="1"/>
  <c r="BH30" i="74" s="1"/>
  <c r="BL30" i="74" s="1"/>
  <c r="BP30" i="74" s="1"/>
  <c r="I30" i="74"/>
  <c r="O30" i="74" s="1"/>
  <c r="S30" i="74" s="1"/>
  <c r="Y30" i="74" s="1"/>
  <c r="AC30" i="74" s="1"/>
  <c r="AI30" i="74" s="1"/>
  <c r="AM30" i="74" s="1"/>
  <c r="AS30" i="74" s="1"/>
  <c r="AW30" i="74" s="1"/>
  <c r="BC30" i="74" s="1"/>
  <c r="BG30" i="74" s="1"/>
  <c r="BW30" i="74" s="1"/>
  <c r="BX30" i="74" s="1"/>
  <c r="N29" i="74"/>
  <c r="N39" i="74" s="1"/>
  <c r="I29" i="74"/>
  <c r="N28" i="74"/>
  <c r="T28" i="74" s="1"/>
  <c r="X28" i="74" s="1"/>
  <c r="AD28" i="74" s="1"/>
  <c r="AH28" i="74" s="1"/>
  <c r="AN28" i="74" s="1"/>
  <c r="AR28" i="74" s="1"/>
  <c r="AX28" i="74" s="1"/>
  <c r="BB28" i="74" s="1"/>
  <c r="BH28" i="74" s="1"/>
  <c r="BL28" i="74" s="1"/>
  <c r="BP28" i="74" s="1"/>
  <c r="I28" i="74"/>
  <c r="O28" i="74" s="1"/>
  <c r="S28" i="74" s="1"/>
  <c r="Y28" i="74" s="1"/>
  <c r="AC28" i="74" s="1"/>
  <c r="AI28" i="74" s="1"/>
  <c r="AM28" i="74" s="1"/>
  <c r="AS28" i="74" s="1"/>
  <c r="AW28" i="74" s="1"/>
  <c r="BC28" i="74" s="1"/>
  <c r="BG28" i="74" s="1"/>
  <c r="N27" i="74"/>
  <c r="T27" i="74" s="1"/>
  <c r="X27" i="74" s="1"/>
  <c r="AD27" i="74" s="1"/>
  <c r="AH27" i="74" s="1"/>
  <c r="AN27" i="74" s="1"/>
  <c r="AR27" i="74" s="1"/>
  <c r="AX27" i="74" s="1"/>
  <c r="BB27" i="74" s="1"/>
  <c r="BH27" i="74" s="1"/>
  <c r="BL27" i="74" s="1"/>
  <c r="BP27" i="74" s="1"/>
  <c r="I27" i="74"/>
  <c r="O27" i="74" s="1"/>
  <c r="S27" i="74" s="1"/>
  <c r="Y27" i="74" s="1"/>
  <c r="AC27" i="74" s="1"/>
  <c r="AI27" i="74" s="1"/>
  <c r="AM27" i="74" s="1"/>
  <c r="AS27" i="74" s="1"/>
  <c r="AW27" i="74" s="1"/>
  <c r="BC27" i="74" s="1"/>
  <c r="BG27" i="74" s="1"/>
  <c r="N26" i="74"/>
  <c r="T26" i="74" s="1"/>
  <c r="X26" i="74" s="1"/>
  <c r="AD26" i="74" s="1"/>
  <c r="AH26" i="74" s="1"/>
  <c r="AN26" i="74" s="1"/>
  <c r="AR26" i="74" s="1"/>
  <c r="AX26" i="74" s="1"/>
  <c r="BB26" i="74" s="1"/>
  <c r="BH26" i="74" s="1"/>
  <c r="BL26" i="74" s="1"/>
  <c r="BP26" i="74" s="1"/>
  <c r="I26" i="74"/>
  <c r="O26" i="74" s="1"/>
  <c r="S26" i="74" s="1"/>
  <c r="Y26" i="74" s="1"/>
  <c r="AC26" i="74" s="1"/>
  <c r="AI26" i="74" s="1"/>
  <c r="AM26" i="74" s="1"/>
  <c r="AS26" i="74" s="1"/>
  <c r="AW26" i="74" s="1"/>
  <c r="BC26" i="74" s="1"/>
  <c r="BG26" i="74" s="1"/>
  <c r="N25" i="74"/>
  <c r="T25" i="74" s="1"/>
  <c r="X25" i="74" s="1"/>
  <c r="AD25" i="74" s="1"/>
  <c r="AH25" i="74" s="1"/>
  <c r="AN25" i="74" s="1"/>
  <c r="AR25" i="74" s="1"/>
  <c r="AX25" i="74" s="1"/>
  <c r="BB25" i="74" s="1"/>
  <c r="BH25" i="74" s="1"/>
  <c r="BL25" i="74" s="1"/>
  <c r="BP25" i="74" s="1"/>
  <c r="O25" i="74"/>
  <c r="S25" i="74" s="1"/>
  <c r="Y25" i="74" s="1"/>
  <c r="AC25" i="74" s="1"/>
  <c r="AI25" i="74" s="1"/>
  <c r="AM25" i="74" s="1"/>
  <c r="AS25" i="74" s="1"/>
  <c r="AW25" i="74" s="1"/>
  <c r="BC25" i="74" s="1"/>
  <c r="BG25" i="74" s="1"/>
  <c r="N24" i="74"/>
  <c r="I24" i="74"/>
  <c r="O24" i="74" s="1"/>
  <c r="N23" i="74"/>
  <c r="T23" i="74" s="1"/>
  <c r="X23" i="74" s="1"/>
  <c r="AD23" i="74" s="1"/>
  <c r="AH23" i="74" s="1"/>
  <c r="AN23" i="74" s="1"/>
  <c r="AR23" i="74" s="1"/>
  <c r="AX23" i="74" s="1"/>
  <c r="BB23" i="74" s="1"/>
  <c r="BH23" i="74" s="1"/>
  <c r="I23" i="74"/>
  <c r="O23" i="74" s="1"/>
  <c r="S23" i="74" s="1"/>
  <c r="Y23" i="74" s="1"/>
  <c r="AC23" i="74" s="1"/>
  <c r="AI23" i="74" s="1"/>
  <c r="AM23" i="74" s="1"/>
  <c r="AS23" i="74" s="1"/>
  <c r="AW23" i="74" s="1"/>
  <c r="BC23" i="74" s="1"/>
  <c r="BG23" i="74" s="1"/>
  <c r="N22" i="74"/>
  <c r="I22" i="74"/>
  <c r="O22" i="74" s="1"/>
  <c r="N21" i="74"/>
  <c r="I21" i="74"/>
  <c r="O21" i="74" s="1"/>
  <c r="AX43" i="74" l="1"/>
  <c r="BB43" i="74" s="1"/>
  <c r="BH43" i="74" s="1"/>
  <c r="BL43" i="74" s="1"/>
  <c r="BP43" i="74" s="1"/>
  <c r="AT41" i="74"/>
  <c r="AT45" i="74" s="1"/>
  <c r="AW43" i="74"/>
  <c r="BC43" i="74" s="1"/>
  <c r="BG43" i="74" s="1"/>
  <c r="BF41" i="74"/>
  <c r="BF45" i="74" s="1"/>
  <c r="BW33" i="74"/>
  <c r="BX33" i="74" s="1"/>
  <c r="BW35" i="74"/>
  <c r="BX35" i="74" s="1"/>
  <c r="BW34" i="74"/>
  <c r="BX34" i="74" s="1"/>
  <c r="BW32" i="74"/>
  <c r="BX32" i="74" s="1"/>
  <c r="BW31" i="74"/>
  <c r="BX31" i="74" s="1"/>
  <c r="BW28" i="74"/>
  <c r="BX28" i="74" s="1"/>
  <c r="BW27" i="74"/>
  <c r="BX27" i="74" s="1"/>
  <c r="BW26" i="74"/>
  <c r="BX26" i="74" s="1"/>
  <c r="BW25" i="74"/>
  <c r="BX25" i="74" s="1"/>
  <c r="Q41" i="74"/>
  <c r="Q45" i="74" s="1"/>
  <c r="AK41" i="74"/>
  <c r="BE41" i="74"/>
  <c r="BE45" i="74" s="1"/>
  <c r="G41" i="74"/>
  <c r="G45" i="74" s="1"/>
  <c r="BM41" i="74"/>
  <c r="BM45" i="74" s="1"/>
  <c r="AA41" i="74"/>
  <c r="AA45" i="74" s="1"/>
  <c r="AU41" i="74"/>
  <c r="AU45" i="74" s="1"/>
  <c r="AP41" i="74"/>
  <c r="AP45" i="74" s="1"/>
  <c r="H41" i="74"/>
  <c r="H45" i="74" s="1"/>
  <c r="U41" i="74"/>
  <c r="U45" i="74" s="1"/>
  <c r="BL23" i="74"/>
  <c r="BP23" i="74" s="1"/>
  <c r="AL41" i="74"/>
  <c r="AL45" i="74" s="1"/>
  <c r="BJ41" i="74"/>
  <c r="BJ45" i="74" s="1"/>
  <c r="AE41" i="74"/>
  <c r="AE45" i="74" s="1"/>
  <c r="AQ41" i="74"/>
  <c r="AQ45" i="74" s="1"/>
  <c r="BX37" i="74"/>
  <c r="M41" i="74"/>
  <c r="M45" i="74" s="1"/>
  <c r="AO41" i="74"/>
  <c r="AO45" i="74" s="1"/>
  <c r="E41" i="74"/>
  <c r="E45" i="74" s="1"/>
  <c r="F41" i="74"/>
  <c r="F45" i="74" s="1"/>
  <c r="BP34" i="74"/>
  <c r="BD41" i="74"/>
  <c r="BD45" i="74" s="1"/>
  <c r="AG41" i="74"/>
  <c r="AG45" i="74" s="1"/>
  <c r="BN41" i="74"/>
  <c r="BN45" i="74" s="1"/>
  <c r="BI41" i="74"/>
  <c r="BI45" i="74" s="1"/>
  <c r="AY41" i="74"/>
  <c r="AY45" i="74" s="1"/>
  <c r="AZ41" i="74"/>
  <c r="AZ45" i="74" s="1"/>
  <c r="BA41" i="74"/>
  <c r="BA45" i="74" s="1"/>
  <c r="AV41" i="74"/>
  <c r="AV45" i="74" s="1"/>
  <c r="AK45" i="74"/>
  <c r="Z41" i="74"/>
  <c r="Z45" i="74" s="1"/>
  <c r="T22" i="74"/>
  <c r="X22" i="74" s="1"/>
  <c r="AD22" i="74" s="1"/>
  <c r="AH22" i="74" s="1"/>
  <c r="AN22" i="74" s="1"/>
  <c r="AR22" i="74" s="1"/>
  <c r="AX22" i="74" s="1"/>
  <c r="BB22" i="74" s="1"/>
  <c r="BH22" i="74" s="1"/>
  <c r="T24" i="74"/>
  <c r="X24" i="74" s="1"/>
  <c r="AD24" i="74" s="1"/>
  <c r="AH24" i="74" s="1"/>
  <c r="AN24" i="74" s="1"/>
  <c r="AR24" i="74" s="1"/>
  <c r="AX24" i="74" s="1"/>
  <c r="BB24" i="74" s="1"/>
  <c r="BH24" i="74" s="1"/>
  <c r="T21" i="74"/>
  <c r="X21" i="74" s="1"/>
  <c r="AD21" i="74" s="1"/>
  <c r="AH21" i="74" s="1"/>
  <c r="AN21" i="74" s="1"/>
  <c r="AR21" i="74" s="1"/>
  <c r="AX21" i="74" s="1"/>
  <c r="T29" i="74"/>
  <c r="X29" i="74" s="1"/>
  <c r="S24" i="74"/>
  <c r="Y24" i="74" s="1"/>
  <c r="AC24" i="74" s="1"/>
  <c r="AI24" i="74" s="1"/>
  <c r="AM24" i="74" s="1"/>
  <c r="AS24" i="74" s="1"/>
  <c r="AW24" i="74" s="1"/>
  <c r="BC24" i="74" s="1"/>
  <c r="BG24" i="74" s="1"/>
  <c r="S21" i="74"/>
  <c r="Y21" i="74" s="1"/>
  <c r="P41" i="74"/>
  <c r="P45" i="74" s="1"/>
  <c r="L41" i="74"/>
  <c r="L45" i="74" s="1"/>
  <c r="K41" i="74"/>
  <c r="K45" i="74" s="1"/>
  <c r="J41" i="74"/>
  <c r="J45" i="74" s="1"/>
  <c r="S22" i="74"/>
  <c r="Y22" i="74" s="1"/>
  <c r="AC22" i="74" s="1"/>
  <c r="AI22" i="74" s="1"/>
  <c r="AM22" i="74" s="1"/>
  <c r="AS22" i="74" s="1"/>
  <c r="AW22" i="74" s="1"/>
  <c r="BC22" i="74" s="1"/>
  <c r="BG22" i="74" s="1"/>
  <c r="R41" i="74"/>
  <c r="R45" i="74" s="1"/>
  <c r="V41" i="74"/>
  <c r="V45" i="74" s="1"/>
  <c r="BR41" i="74"/>
  <c r="BR45" i="74" s="1"/>
  <c r="BO32" i="74"/>
  <c r="BO25" i="74"/>
  <c r="BO26" i="74"/>
  <c r="BO28" i="74"/>
  <c r="BO34" i="74"/>
  <c r="BQ34" i="74" s="1"/>
  <c r="BO37" i="74"/>
  <c r="BO35" i="74"/>
  <c r="BQ35" i="74" s="1"/>
  <c r="BS35" i="74" s="1"/>
  <c r="BO31" i="74"/>
  <c r="BQ31" i="74" s="1"/>
  <c r="BO33" i="74"/>
  <c r="BO23" i="74"/>
  <c r="BQ23" i="74" s="1"/>
  <c r="BO27" i="74"/>
  <c r="BO30" i="74"/>
  <c r="I40" i="74"/>
  <c r="O29" i="74"/>
  <c r="I39" i="74"/>
  <c r="W41" i="74"/>
  <c r="W45" i="74" s="1"/>
  <c r="AB41" i="74"/>
  <c r="AB45" i="74" s="1"/>
  <c r="AJ41" i="74"/>
  <c r="AJ45" i="74" s="1"/>
  <c r="BK41" i="74"/>
  <c r="BK45" i="74" s="1"/>
  <c r="N40" i="74"/>
  <c r="N41" i="74" s="1"/>
  <c r="N45" i="74" s="1"/>
  <c r="BQ33" i="74" l="1"/>
  <c r="BS33" i="74" s="1"/>
  <c r="BQ32" i="74"/>
  <c r="BS32" i="74" s="1"/>
  <c r="BT30" i="74"/>
  <c r="BQ30" i="74"/>
  <c r="BS30" i="74" s="1"/>
  <c r="BQ28" i="74"/>
  <c r="BS28" i="74" s="1"/>
  <c r="BQ27" i="74"/>
  <c r="BS27" i="74" s="1"/>
  <c r="BQ26" i="74"/>
  <c r="BS26" i="74" s="1"/>
  <c r="BQ25" i="74"/>
  <c r="BS25" i="74" s="1"/>
  <c r="BS23" i="74"/>
  <c r="BW43" i="74"/>
  <c r="BX43" i="74" s="1"/>
  <c r="BO43" i="74"/>
  <c r="BT34" i="74"/>
  <c r="BS31" i="74"/>
  <c r="T39" i="74"/>
  <c r="BW23" i="74"/>
  <c r="BX23" i="74" s="1"/>
  <c r="BL24" i="74"/>
  <c r="BP24" i="74" s="1"/>
  <c r="BT23" i="74"/>
  <c r="BL22" i="74"/>
  <c r="BP22" i="74" s="1"/>
  <c r="BS34" i="74"/>
  <c r="AC21" i="74"/>
  <c r="AI21" i="74" s="1"/>
  <c r="AM21" i="74" s="1"/>
  <c r="AS21" i="74" s="1"/>
  <c r="AW21" i="74" s="1"/>
  <c r="BC21" i="74" s="1"/>
  <c r="BG21" i="74" s="1"/>
  <c r="BB21" i="74"/>
  <c r="BH21" i="74" s="1"/>
  <c r="BL21" i="74" s="1"/>
  <c r="T40" i="74"/>
  <c r="T41" i="74" s="1"/>
  <c r="T45" i="74" s="1"/>
  <c r="BO24" i="74"/>
  <c r="BQ24" i="74" s="1"/>
  <c r="BO22" i="74"/>
  <c r="BQ22" i="74" s="1"/>
  <c r="X39" i="74"/>
  <c r="X40" i="74"/>
  <c r="AD29" i="74"/>
  <c r="I41" i="74"/>
  <c r="I45" i="74" s="1"/>
  <c r="O40" i="74"/>
  <c r="O39" i="74"/>
  <c r="S29" i="74"/>
  <c r="BS24" i="74" l="1"/>
  <c r="BT28" i="74"/>
  <c r="BT27" i="74"/>
  <c r="BT26" i="74"/>
  <c r="BT25" i="74"/>
  <c r="C27" i="90" s="1"/>
  <c r="BS22" i="74"/>
  <c r="BW24" i="74"/>
  <c r="BX24" i="74" s="1"/>
  <c r="BW22" i="74"/>
  <c r="BX22" i="74" s="1"/>
  <c r="BW21" i="74"/>
  <c r="BX21" i="74" s="1"/>
  <c r="BT22" i="74"/>
  <c r="BO21" i="74"/>
  <c r="BQ21" i="74" s="1"/>
  <c r="BP21" i="74"/>
  <c r="BS43" i="74"/>
  <c r="BT43" i="74"/>
  <c r="O41" i="74"/>
  <c r="O45" i="74" s="1"/>
  <c r="S40" i="74"/>
  <c r="Y29" i="74"/>
  <c r="S39" i="74"/>
  <c r="AD40" i="74"/>
  <c r="AH29" i="74"/>
  <c r="AD39" i="74"/>
  <c r="X41" i="74"/>
  <c r="X45" i="74" s="1"/>
  <c r="BS21" i="74" l="1"/>
  <c r="BT21" i="74"/>
  <c r="AD41" i="74"/>
  <c r="AD45" i="74" s="1"/>
  <c r="AH40" i="74"/>
  <c r="AN29" i="74"/>
  <c r="AH39" i="74"/>
  <c r="S41" i="74"/>
  <c r="S45" i="74" s="1"/>
  <c r="Y40" i="74"/>
  <c r="Y39" i="74"/>
  <c r="AC29" i="74"/>
  <c r="Y41" i="74" l="1"/>
  <c r="Y45" i="74" s="1"/>
  <c r="AH41" i="74"/>
  <c r="AH45" i="74" s="1"/>
  <c r="AN39" i="74"/>
  <c r="AN40" i="74"/>
  <c r="AR29" i="74"/>
  <c r="AC40" i="74"/>
  <c r="AI29" i="74"/>
  <c r="AC39" i="74"/>
  <c r="AC41" i="74" l="1"/>
  <c r="AC45" i="74" s="1"/>
  <c r="AR39" i="74"/>
  <c r="AR40" i="74"/>
  <c r="AX29" i="74"/>
  <c r="AI40" i="74"/>
  <c r="AI39" i="74"/>
  <c r="AM29" i="74"/>
  <c r="AN41" i="74"/>
  <c r="AN45" i="74" s="1"/>
  <c r="AI41" i="74" l="1"/>
  <c r="AI45" i="74" s="1"/>
  <c r="AX40" i="74"/>
  <c r="BB29" i="74"/>
  <c r="AX39" i="74"/>
  <c r="AM39" i="74"/>
  <c r="AM40" i="74"/>
  <c r="AS29" i="74"/>
  <c r="AR41" i="74"/>
  <c r="AR45" i="74" s="1"/>
  <c r="AX41" i="74" l="1"/>
  <c r="AX45" i="74" s="1"/>
  <c r="AS40" i="74"/>
  <c r="AS39" i="74"/>
  <c r="AW29" i="74"/>
  <c r="BB40" i="74"/>
  <c r="BB39" i="74"/>
  <c r="BH29" i="74"/>
  <c r="AM41" i="74"/>
  <c r="AM45" i="74" s="1"/>
  <c r="AS41" i="74" l="1"/>
  <c r="AS45" i="74" s="1"/>
  <c r="BB41" i="74"/>
  <c r="BB45" i="74" s="1"/>
  <c r="AW40" i="74"/>
  <c r="AW39" i="74"/>
  <c r="BC29" i="74"/>
  <c r="BH39" i="74"/>
  <c r="BL29" i="74"/>
  <c r="BH40" i="74"/>
  <c r="BC40" i="74" l="1"/>
  <c r="BC39" i="74"/>
  <c r="BG29" i="74"/>
  <c r="AW41" i="74"/>
  <c r="AW45" i="74" s="1"/>
  <c r="BL39" i="74"/>
  <c r="BL40" i="74"/>
  <c r="BP29" i="74"/>
  <c r="BH41" i="74"/>
  <c r="BH45" i="74" s="1"/>
  <c r="BW29" i="74" l="1"/>
  <c r="BX29" i="74" s="1"/>
  <c r="BC41" i="74"/>
  <c r="BC45" i="74" s="1"/>
  <c r="BP39" i="74"/>
  <c r="BP40" i="74"/>
  <c r="BG40" i="74"/>
  <c r="BW40" i="74" s="1"/>
  <c r="BG39" i="74"/>
  <c r="BW39" i="74" s="1"/>
  <c r="BO29" i="74"/>
  <c r="BQ29" i="74" s="1"/>
  <c r="BL41" i="74"/>
  <c r="BL45" i="74" s="1"/>
  <c r="BP41" i="74" l="1"/>
  <c r="BP45" i="74" s="1"/>
  <c r="BG41" i="74"/>
  <c r="BO39" i="74"/>
  <c r="BO40" i="74"/>
  <c r="BQ39" i="74" l="1"/>
  <c r="BQ40" i="74"/>
  <c r="BQ41" i="74" s="1"/>
  <c r="BQ45" i="74" s="1"/>
  <c r="BS29" i="74"/>
  <c r="BT29" i="74"/>
  <c r="BG45" i="74"/>
  <c r="BW41" i="74"/>
  <c r="BW45" i="74" s="1"/>
  <c r="BO41" i="74"/>
  <c r="BO45" i="74" s="1"/>
  <c r="C27" i="89" l="1"/>
  <c r="C28" i="89" s="1"/>
  <c r="BT40" i="74"/>
  <c r="BT39" i="74"/>
  <c r="BS39" i="74"/>
  <c r="BS40" i="74"/>
  <c r="D58" i="38"/>
  <c r="BT41" i="74" l="1"/>
  <c r="BT45" i="74" s="1"/>
  <c r="BS41" i="74"/>
  <c r="BS45" i="74" s="1"/>
  <c r="C29" i="89"/>
  <c r="J83" i="89"/>
  <c r="K83" i="89" s="1"/>
  <c r="J37" i="89"/>
  <c r="K37" i="89" s="1"/>
  <c r="J38" i="89"/>
  <c r="K38" i="89" s="1"/>
  <c r="J99" i="89"/>
  <c r="K99" i="89" s="1"/>
  <c r="J107" i="89"/>
  <c r="K107" i="89" s="1"/>
  <c r="J47" i="89"/>
  <c r="K47" i="89" s="1"/>
  <c r="J145" i="89"/>
  <c r="K145" i="89" s="1"/>
  <c r="J128" i="89"/>
  <c r="K128" i="89" s="1"/>
  <c r="J90" i="89"/>
  <c r="K90" i="89" s="1"/>
  <c r="J111" i="89"/>
  <c r="K111" i="89" s="1"/>
  <c r="J98" i="89"/>
  <c r="K98" i="89" s="1"/>
  <c r="J113" i="89"/>
  <c r="K113" i="89" s="1"/>
  <c r="J102" i="89"/>
  <c r="K102" i="89" s="1"/>
  <c r="J57" i="89"/>
  <c r="K57" i="89" s="1"/>
  <c r="J152" i="89"/>
  <c r="K152" i="89" s="1"/>
  <c r="J127" i="89"/>
  <c r="K127" i="89" s="1"/>
  <c r="J87" i="89"/>
  <c r="K87" i="89" s="1"/>
  <c r="J173" i="89"/>
  <c r="K173" i="89" s="1"/>
  <c r="J146" i="89"/>
  <c r="K146" i="89" s="1"/>
  <c r="J175" i="89"/>
  <c r="K175" i="89" s="1"/>
  <c r="J144" i="89"/>
  <c r="K144" i="89" s="1"/>
  <c r="J76" i="89"/>
  <c r="K76" i="89" s="1"/>
  <c r="J136" i="89"/>
  <c r="K136" i="89" s="1"/>
  <c r="J63" i="89"/>
  <c r="K63" i="89" s="1"/>
  <c r="J44" i="89"/>
  <c r="K44" i="89" s="1"/>
  <c r="J172" i="89"/>
  <c r="K172" i="89" s="1"/>
  <c r="J86" i="89"/>
  <c r="K86" i="89" s="1"/>
  <c r="J88" i="89"/>
  <c r="K88" i="89" s="1"/>
  <c r="J110" i="89"/>
  <c r="K110" i="89" s="1"/>
  <c r="J97" i="89"/>
  <c r="K97" i="89" s="1"/>
  <c r="J54" i="89"/>
  <c r="K54" i="89" s="1"/>
  <c r="J162" i="89"/>
  <c r="K162" i="89" s="1"/>
  <c r="J41" i="89"/>
  <c r="K41" i="89" s="1"/>
  <c r="J148" i="89"/>
  <c r="K148" i="89" s="1"/>
  <c r="J171" i="89"/>
  <c r="K171" i="89" s="1"/>
  <c r="J151" i="89"/>
  <c r="K151" i="89" s="1"/>
  <c r="J55" i="89"/>
  <c r="K55" i="89" s="1"/>
  <c r="J167" i="89"/>
  <c r="K167" i="89" s="1"/>
  <c r="J101" i="89"/>
  <c r="K101" i="89" s="1"/>
  <c r="J168" i="89"/>
  <c r="K168" i="89" s="1"/>
  <c r="J80" i="89"/>
  <c r="K80" i="89" s="1"/>
  <c r="J121" i="89"/>
  <c r="K121" i="89" s="1"/>
  <c r="J177" i="89"/>
  <c r="K177" i="89" s="1"/>
  <c r="J125" i="89"/>
  <c r="K125" i="89" s="1"/>
  <c r="J95" i="89"/>
  <c r="K95" i="89" s="1"/>
  <c r="J70" i="89"/>
  <c r="K70" i="89" s="1"/>
  <c r="J39" i="89"/>
  <c r="K39" i="89" s="1"/>
  <c r="J104" i="89"/>
  <c r="K104" i="89" s="1"/>
  <c r="J133" i="89"/>
  <c r="K133" i="89" s="1"/>
  <c r="J42" i="89"/>
  <c r="K42" i="89" s="1"/>
  <c r="J140" i="89"/>
  <c r="K140" i="89" s="1"/>
  <c r="J183" i="89"/>
  <c r="K183" i="89" s="1"/>
  <c r="J48" i="89"/>
  <c r="K48" i="89" s="1"/>
  <c r="J159" i="89"/>
  <c r="K159" i="89" s="1"/>
  <c r="J71" i="89"/>
  <c r="K71" i="89" s="1"/>
  <c r="J77" i="89"/>
  <c r="K77" i="89" s="1"/>
  <c r="J166" i="89"/>
  <c r="K166" i="89" s="1"/>
  <c r="J123" i="89"/>
  <c r="K123" i="89" s="1"/>
  <c r="J181" i="89"/>
  <c r="K181" i="89" s="1"/>
  <c r="J96" i="89"/>
  <c r="K96" i="89" s="1"/>
  <c r="J169" i="89"/>
  <c r="K169" i="89" s="1"/>
  <c r="J142" i="89"/>
  <c r="K142" i="89" s="1"/>
  <c r="J56" i="89"/>
  <c r="K56" i="89" s="1"/>
  <c r="J85" i="89"/>
  <c r="K85" i="89" s="1"/>
  <c r="J91" i="89"/>
  <c r="K91" i="89" s="1"/>
  <c r="J53" i="89"/>
  <c r="K53" i="89" s="1"/>
  <c r="J112" i="89"/>
  <c r="K112" i="89" s="1"/>
  <c r="J35" i="89"/>
  <c r="K35" i="89" s="1"/>
  <c r="J62" i="89"/>
  <c r="K62" i="89" s="1"/>
  <c r="J138" i="89"/>
  <c r="K138" i="89" s="1"/>
  <c r="J40" i="89"/>
  <c r="K40" i="89" s="1"/>
  <c r="J137" i="89"/>
  <c r="K137" i="89" s="1"/>
  <c r="J135" i="89"/>
  <c r="K135" i="89" s="1"/>
  <c r="J68" i="89"/>
  <c r="K68" i="89" s="1"/>
  <c r="J149" i="89"/>
  <c r="K149" i="89" s="1"/>
  <c r="J108" i="89"/>
  <c r="K108" i="89" s="1"/>
  <c r="J147" i="89"/>
  <c r="K147" i="89" s="1"/>
  <c r="J64" i="89"/>
  <c r="K64" i="89" s="1"/>
  <c r="J69" i="89"/>
  <c r="K69" i="89" s="1"/>
  <c r="J116" i="89"/>
  <c r="K116" i="89" s="1"/>
  <c r="J58" i="89"/>
  <c r="K58" i="89" s="1"/>
  <c r="J164" i="89"/>
  <c r="K164" i="89" s="1"/>
  <c r="J43" i="89"/>
  <c r="K43" i="89" s="1"/>
  <c r="J182" i="89"/>
  <c r="K182" i="89" s="1"/>
  <c r="J75" i="89"/>
  <c r="K75" i="89" s="1"/>
  <c r="J52" i="89"/>
  <c r="K52" i="89" s="1"/>
  <c r="J84" i="89"/>
  <c r="K84" i="89" s="1"/>
  <c r="J74" i="89"/>
  <c r="K74" i="89" s="1"/>
  <c r="J157" i="89"/>
  <c r="K157" i="89" s="1"/>
  <c r="J45" i="89"/>
  <c r="K45" i="89" s="1"/>
  <c r="J49" i="89"/>
  <c r="K49" i="89" s="1"/>
  <c r="J94" i="89"/>
  <c r="K94" i="89" s="1"/>
  <c r="J89" i="89"/>
  <c r="K89" i="89" s="1"/>
  <c r="J61" i="89"/>
  <c r="K61" i="89" s="1"/>
  <c r="J143" i="89"/>
  <c r="K143" i="89" s="1"/>
  <c r="J114" i="89"/>
  <c r="K114" i="89" s="1"/>
  <c r="J66" i="89"/>
  <c r="K66" i="89" s="1"/>
  <c r="J115" i="89"/>
  <c r="K115" i="89" s="1"/>
  <c r="J82" i="89"/>
  <c r="K82" i="89" s="1"/>
  <c r="J51" i="89"/>
  <c r="K51" i="89" s="1"/>
  <c r="J73" i="89"/>
  <c r="K73" i="89" s="1"/>
  <c r="J170" i="89"/>
  <c r="K170" i="89" s="1"/>
  <c r="J158" i="89"/>
  <c r="K158" i="89" s="1"/>
  <c r="J79" i="89"/>
  <c r="K79" i="89" s="1"/>
  <c r="J78" i="89"/>
  <c r="K78" i="89" s="1"/>
  <c r="J163" i="89"/>
  <c r="K163" i="89" s="1"/>
  <c r="J34" i="89"/>
  <c r="J60" i="89"/>
  <c r="K60" i="89" s="1"/>
  <c r="J179" i="89"/>
  <c r="K179" i="89" s="1"/>
  <c r="J81" i="89"/>
  <c r="K81" i="89" s="1"/>
  <c r="J150" i="89"/>
  <c r="K150" i="89" s="1"/>
  <c r="J124" i="89"/>
  <c r="K124" i="89" s="1"/>
  <c r="J36" i="89"/>
  <c r="K36" i="89" s="1"/>
  <c r="J103" i="89"/>
  <c r="K103" i="89" s="1"/>
  <c r="J117" i="89"/>
  <c r="K117" i="89" s="1"/>
  <c r="J67" i="89"/>
  <c r="K67" i="89" s="1"/>
  <c r="J65" i="89"/>
  <c r="K65" i="89" s="1"/>
  <c r="J180" i="89"/>
  <c r="K180" i="89" s="1"/>
  <c r="J161" i="89"/>
  <c r="K161" i="89" s="1"/>
  <c r="J141" i="89"/>
  <c r="K141" i="89" s="1"/>
  <c r="J93" i="89"/>
  <c r="K93" i="89" s="1"/>
  <c r="J46" i="89"/>
  <c r="K46" i="89" s="1"/>
  <c r="J134" i="89"/>
  <c r="K134" i="89" s="1"/>
  <c r="J155" i="89"/>
  <c r="K155" i="89" s="1"/>
  <c r="J178" i="89"/>
  <c r="K178" i="89" s="1"/>
  <c r="J126" i="89"/>
  <c r="K126" i="89" s="1"/>
  <c r="J118" i="89"/>
  <c r="K118" i="89" s="1"/>
  <c r="J132" i="89"/>
  <c r="K132" i="89" s="1"/>
  <c r="J72" i="89"/>
  <c r="K72" i="89" s="1"/>
  <c r="J176" i="89"/>
  <c r="K176" i="89" s="1"/>
  <c r="J100" i="89"/>
  <c r="K100" i="89" s="1"/>
  <c r="J160" i="89"/>
  <c r="K160" i="89" s="1"/>
  <c r="J50" i="89"/>
  <c r="K50" i="89" s="1"/>
  <c r="J105" i="89"/>
  <c r="K105" i="89" s="1"/>
  <c r="J154" i="89"/>
  <c r="K154" i="89" s="1"/>
  <c r="J119" i="89"/>
  <c r="K119" i="89" s="1"/>
  <c r="J109" i="89"/>
  <c r="K109" i="89" s="1"/>
  <c r="J122" i="89"/>
  <c r="K122" i="89" s="1"/>
  <c r="J174" i="89"/>
  <c r="K174" i="89" s="1"/>
  <c r="J106" i="89"/>
  <c r="K106" i="89" s="1"/>
  <c r="J59" i="89"/>
  <c r="K59" i="89" s="1"/>
  <c r="J139" i="89"/>
  <c r="K139" i="89" s="1"/>
  <c r="J156" i="89"/>
  <c r="K156" i="89" s="1"/>
  <c r="J92" i="89"/>
  <c r="K92" i="89" s="1"/>
  <c r="J153" i="89"/>
  <c r="K153" i="89" s="1"/>
  <c r="J120" i="89"/>
  <c r="K120" i="89" s="1"/>
  <c r="J129" i="89"/>
  <c r="K129" i="89" s="1"/>
  <c r="J130" i="89"/>
  <c r="K130" i="89" s="1"/>
  <c r="J165" i="89"/>
  <c r="K165" i="89" s="1"/>
  <c r="J131" i="89"/>
  <c r="K131" i="89" s="1"/>
  <c r="N106" i="36"/>
  <c r="L106" i="36"/>
  <c r="M106" i="36" s="1"/>
  <c r="J106" i="36"/>
  <c r="H106" i="36"/>
  <c r="F106" i="36"/>
  <c r="D106" i="36"/>
  <c r="N105" i="36"/>
  <c r="L105" i="36"/>
  <c r="J105" i="36"/>
  <c r="H105" i="36"/>
  <c r="F105" i="36"/>
  <c r="D105" i="36"/>
  <c r="N104" i="36"/>
  <c r="L104" i="36"/>
  <c r="M104" i="36" s="1"/>
  <c r="J104" i="36"/>
  <c r="H104" i="36"/>
  <c r="F104" i="36"/>
  <c r="D104" i="36"/>
  <c r="N103" i="36"/>
  <c r="L103" i="36"/>
  <c r="J103" i="36"/>
  <c r="H103" i="36"/>
  <c r="I103" i="36" s="1"/>
  <c r="F103" i="36"/>
  <c r="D103" i="36"/>
  <c r="N102" i="36"/>
  <c r="L102" i="36"/>
  <c r="J102" i="36"/>
  <c r="H102" i="36"/>
  <c r="F102" i="36"/>
  <c r="D102" i="36"/>
  <c r="N101" i="36"/>
  <c r="L101" i="36"/>
  <c r="J101" i="36"/>
  <c r="H101" i="36"/>
  <c r="F101" i="36"/>
  <c r="D101" i="36"/>
  <c r="N100" i="36"/>
  <c r="L100" i="36"/>
  <c r="J100" i="36"/>
  <c r="H100" i="36"/>
  <c r="F100" i="36"/>
  <c r="D100" i="36"/>
  <c r="N99" i="36"/>
  <c r="L99" i="36"/>
  <c r="M99" i="36" s="1"/>
  <c r="J99" i="36"/>
  <c r="H99" i="36"/>
  <c r="F99" i="36"/>
  <c r="D99" i="36"/>
  <c r="N98" i="36"/>
  <c r="L98" i="36"/>
  <c r="J98" i="36"/>
  <c r="H98" i="36"/>
  <c r="F98" i="36"/>
  <c r="D98" i="36"/>
  <c r="N97" i="36"/>
  <c r="L97" i="36"/>
  <c r="J97" i="36"/>
  <c r="H97" i="36"/>
  <c r="I97" i="36" s="1"/>
  <c r="F97" i="36"/>
  <c r="D97" i="36"/>
  <c r="N96" i="36"/>
  <c r="L96" i="36"/>
  <c r="M96" i="36" s="1"/>
  <c r="J96" i="36"/>
  <c r="H96" i="36"/>
  <c r="D96" i="36"/>
  <c r="N95" i="36"/>
  <c r="L95" i="36"/>
  <c r="J95" i="36"/>
  <c r="H95" i="36"/>
  <c r="F95" i="36"/>
  <c r="D95" i="36"/>
  <c r="M95" i="36" l="1"/>
  <c r="K34" i="89"/>
  <c r="J184" i="89"/>
  <c r="I105" i="36"/>
  <c r="M103" i="36"/>
  <c r="M102" i="36"/>
  <c r="M101" i="36"/>
  <c r="M100" i="36"/>
  <c r="I99" i="36"/>
  <c r="M98" i="36"/>
  <c r="E97" i="36"/>
  <c r="E101" i="36"/>
  <c r="E103" i="36"/>
  <c r="E105" i="36"/>
  <c r="E98" i="36"/>
  <c r="E100" i="36"/>
  <c r="E102" i="36"/>
  <c r="E106" i="36"/>
  <c r="P99" i="36"/>
  <c r="P101" i="36"/>
  <c r="M97" i="36"/>
  <c r="I102" i="36"/>
  <c r="I98" i="36"/>
  <c r="P95" i="36"/>
  <c r="P103" i="36"/>
  <c r="I104" i="36"/>
  <c r="I106" i="36"/>
  <c r="I96" i="36"/>
  <c r="I100" i="36"/>
  <c r="P97" i="36"/>
  <c r="I95" i="36"/>
  <c r="E95" i="36"/>
  <c r="P105" i="36"/>
  <c r="M105" i="36"/>
  <c r="I101" i="36"/>
  <c r="E104" i="36"/>
  <c r="E99" i="36"/>
  <c r="P96" i="36"/>
  <c r="P100" i="36"/>
  <c r="P102" i="36"/>
  <c r="P104" i="36"/>
  <c r="P98" i="36"/>
  <c r="P106" i="36"/>
  <c r="D40" i="37" l="1"/>
  <c r="D41" i="37"/>
  <c r="D42" i="37"/>
  <c r="D43" i="37"/>
  <c r="D44" i="37"/>
  <c r="D45" i="37"/>
  <c r="D46" i="37"/>
  <c r="D47" i="37"/>
  <c r="D48" i="37"/>
  <c r="D49" i="37"/>
  <c r="D50" i="37"/>
  <c r="O2" i="62" l="1"/>
  <c r="I38" i="62" l="1"/>
  <c r="J17" i="62"/>
  <c r="J13" i="62"/>
  <c r="G17" i="62"/>
  <c r="G13" i="62"/>
  <c r="I39" i="62" l="1"/>
  <c r="I19" i="62" s="1"/>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D56" i="56" l="1"/>
  <c r="D57" i="56"/>
  <c r="D58" i="56"/>
  <c r="D59" i="56"/>
  <c r="D60" i="56"/>
  <c r="D61" i="56"/>
  <c r="D62" i="56"/>
  <c r="D63" i="56"/>
  <c r="D64" i="56"/>
  <c r="D65" i="56"/>
  <c r="D66" i="56"/>
  <c r="D67" i="56"/>
  <c r="D68" i="56"/>
  <c r="D69" i="56"/>
  <c r="D70" i="56"/>
  <c r="D71" i="56"/>
  <c r="D72" i="56"/>
  <c r="D73" i="56"/>
  <c r="D74" i="56"/>
  <c r="D55" i="56"/>
  <c r="G74" i="56" l="1"/>
  <c r="G73" i="56"/>
  <c r="G72" i="56"/>
  <c r="G71" i="56"/>
  <c r="G70" i="56"/>
  <c r="G69" i="56"/>
  <c r="G68" i="56"/>
  <c r="G67" i="56"/>
  <c r="G66" i="56"/>
  <c r="G65" i="56"/>
  <c r="G64" i="56"/>
  <c r="G63" i="56"/>
  <c r="G62" i="56"/>
  <c r="G61" i="56"/>
  <c r="G60" i="56"/>
  <c r="G59" i="56"/>
  <c r="G58" i="56"/>
  <c r="G57" i="56"/>
  <c r="G56" i="56"/>
  <c r="G55" i="56"/>
  <c r="J39" i="62"/>
  <c r="G39" i="62"/>
  <c r="J38" i="62"/>
  <c r="K38" i="62" s="1"/>
  <c r="G38" i="62"/>
  <c r="H38" i="62" s="1"/>
  <c r="J37" i="62"/>
  <c r="K37" i="62" s="1"/>
  <c r="G37" i="62"/>
  <c r="H37" i="62" s="1"/>
  <c r="K36" i="62"/>
  <c r="H36" i="62"/>
  <c r="K35" i="62"/>
  <c r="H35" i="62"/>
  <c r="K33" i="62"/>
  <c r="H33" i="62"/>
  <c r="J32" i="62"/>
  <c r="K32" i="62" s="1"/>
  <c r="G32" i="62"/>
  <c r="H32" i="62" s="1"/>
  <c r="J31" i="62"/>
  <c r="K31" i="62" s="1"/>
  <c r="G31" i="62"/>
  <c r="H31" i="62" s="1"/>
  <c r="J29" i="62"/>
  <c r="K29" i="62" s="1"/>
  <c r="G29" i="62"/>
  <c r="H29" i="62" s="1"/>
  <c r="J28" i="62"/>
  <c r="K28" i="62" s="1"/>
  <c r="G28" i="62"/>
  <c r="H28" i="62" s="1"/>
  <c r="K24" i="62"/>
  <c r="H24" i="62"/>
  <c r="J19" i="62"/>
  <c r="K19" i="62" s="1"/>
  <c r="J23" i="62"/>
  <c r="K23" i="62" s="1"/>
  <c r="G23" i="62"/>
  <c r="H23" i="62" s="1"/>
  <c r="J20" i="62"/>
  <c r="K20" i="62" s="1"/>
  <c r="H20" i="62"/>
  <c r="K17" i="62"/>
  <c r="H17" i="62"/>
  <c r="K16" i="62"/>
  <c r="H16" i="62"/>
  <c r="K13" i="62"/>
  <c r="H13" i="62"/>
  <c r="K12" i="62"/>
  <c r="K15" i="62" s="1"/>
  <c r="H12" i="62"/>
  <c r="H15" i="62" s="1"/>
  <c r="A12" i="62"/>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B74" i="56"/>
  <c r="B73" i="56"/>
  <c r="B72" i="56"/>
  <c r="B71" i="56"/>
  <c r="B70" i="56"/>
  <c r="B69" i="56"/>
  <c r="B68" i="56"/>
  <c r="B67" i="56"/>
  <c r="B66" i="56"/>
  <c r="B65" i="56"/>
  <c r="B64" i="56"/>
  <c r="B63" i="56"/>
  <c r="B62" i="56"/>
  <c r="B61" i="56"/>
  <c r="B60" i="56"/>
  <c r="B59" i="56"/>
  <c r="B58" i="56"/>
  <c r="B57" i="56"/>
  <c r="B56" i="56"/>
  <c r="B55" i="56"/>
  <c r="U31" i="56"/>
  <c r="U32" i="56" s="1"/>
  <c r="U33" i="56" s="1"/>
  <c r="U34" i="56" s="1"/>
  <c r="U35" i="56" s="1"/>
  <c r="U36" i="56" s="1"/>
  <c r="U37" i="56" s="1"/>
  <c r="U38" i="56" s="1"/>
  <c r="U39" i="56" s="1"/>
  <c r="U40" i="56" s="1"/>
  <c r="U41" i="56" s="1"/>
  <c r="U42" i="56" s="1"/>
  <c r="U43" i="56" s="1"/>
  <c r="U44" i="56" s="1"/>
  <c r="U45" i="56" s="1"/>
  <c r="U46" i="56" s="1"/>
  <c r="U47" i="56" s="1"/>
  <c r="U48" i="56" s="1"/>
  <c r="U49" i="56" s="1"/>
  <c r="J67" i="56" l="1"/>
  <c r="N67" i="56"/>
  <c r="K67" i="56"/>
  <c r="O67" i="56"/>
  <c r="H67" i="56"/>
  <c r="L67" i="56"/>
  <c r="I67" i="56"/>
  <c r="M67" i="56"/>
  <c r="J66" i="56"/>
  <c r="N66" i="56"/>
  <c r="K66" i="56"/>
  <c r="O66" i="56"/>
  <c r="H66" i="56"/>
  <c r="L66" i="56"/>
  <c r="I66" i="56"/>
  <c r="M66" i="56"/>
  <c r="H65" i="56"/>
  <c r="O65" i="56"/>
  <c r="J65" i="56"/>
  <c r="K65" i="56"/>
  <c r="N65" i="56"/>
  <c r="M65" i="56"/>
  <c r="L65" i="56"/>
  <c r="I65" i="56"/>
  <c r="J64" i="56"/>
  <c r="N64" i="56"/>
  <c r="M64" i="56"/>
  <c r="O64" i="56"/>
  <c r="L64" i="56"/>
  <c r="I64" i="56"/>
  <c r="H64" i="56"/>
  <c r="K64" i="56"/>
  <c r="N63" i="56"/>
  <c r="O63" i="56"/>
  <c r="K63" i="56"/>
  <c r="H63" i="56"/>
  <c r="L63" i="56"/>
  <c r="J63" i="56"/>
  <c r="M63" i="56"/>
  <c r="I63" i="56"/>
  <c r="N62" i="56"/>
  <c r="H62" i="56"/>
  <c r="K62" i="56"/>
  <c r="J62" i="56"/>
  <c r="L62" i="56"/>
  <c r="M62" i="56"/>
  <c r="I62" i="56"/>
  <c r="O62" i="56"/>
  <c r="J74" i="56"/>
  <c r="N74" i="56"/>
  <c r="K74" i="56"/>
  <c r="O74" i="56"/>
  <c r="H74" i="56"/>
  <c r="L74" i="56"/>
  <c r="I74" i="56"/>
  <c r="M74" i="56"/>
  <c r="J73" i="56"/>
  <c r="N73" i="56"/>
  <c r="K73" i="56"/>
  <c r="O73" i="56"/>
  <c r="H73" i="56"/>
  <c r="L73" i="56"/>
  <c r="I73" i="56"/>
  <c r="M73" i="56"/>
  <c r="J72" i="56"/>
  <c r="N72" i="56"/>
  <c r="K72" i="56"/>
  <c r="O72" i="56"/>
  <c r="H72" i="56"/>
  <c r="L72" i="56"/>
  <c r="I72" i="56"/>
  <c r="M72" i="56"/>
  <c r="J71" i="56"/>
  <c r="N71" i="56"/>
  <c r="K71" i="56"/>
  <c r="O71" i="56"/>
  <c r="H71" i="56"/>
  <c r="L71" i="56"/>
  <c r="I71" i="56"/>
  <c r="M71" i="56"/>
  <c r="J70" i="56"/>
  <c r="N70" i="56"/>
  <c r="K70" i="56"/>
  <c r="O70" i="56"/>
  <c r="H70" i="56"/>
  <c r="L70" i="56"/>
  <c r="I70" i="56"/>
  <c r="M70" i="56"/>
  <c r="J69" i="56"/>
  <c r="N69" i="56"/>
  <c r="K69" i="56"/>
  <c r="O69" i="56"/>
  <c r="H69" i="56"/>
  <c r="L69" i="56"/>
  <c r="I69" i="56"/>
  <c r="M69" i="56"/>
  <c r="J68" i="56"/>
  <c r="N68" i="56"/>
  <c r="K68" i="56"/>
  <c r="O68" i="56"/>
  <c r="H68" i="56"/>
  <c r="L68" i="56"/>
  <c r="I68" i="56"/>
  <c r="M68" i="56"/>
  <c r="L55" i="56"/>
  <c r="H55" i="56"/>
  <c r="K55" i="56"/>
  <c r="I55" i="56"/>
  <c r="J55" i="56"/>
  <c r="N55" i="56"/>
  <c r="M55" i="56"/>
  <c r="O55" i="56"/>
  <c r="J59" i="56"/>
  <c r="N59" i="56"/>
  <c r="O59" i="56"/>
  <c r="M59" i="56"/>
  <c r="I59" i="56"/>
  <c r="L59" i="56"/>
  <c r="H59" i="56"/>
  <c r="K59" i="56"/>
  <c r="N56" i="56"/>
  <c r="L56" i="56"/>
  <c r="O56" i="56"/>
  <c r="J56" i="56"/>
  <c r="I56" i="56"/>
  <c r="H56" i="56"/>
  <c r="M56" i="56"/>
  <c r="K56" i="56"/>
  <c r="H60" i="56"/>
  <c r="L60" i="56"/>
  <c r="M60" i="56"/>
  <c r="I60" i="56"/>
  <c r="K60" i="56"/>
  <c r="J60" i="56"/>
  <c r="N60" i="56"/>
  <c r="O60" i="56"/>
  <c r="N57" i="56"/>
  <c r="H57" i="56"/>
  <c r="K57" i="56"/>
  <c r="M57" i="56"/>
  <c r="I57" i="56"/>
  <c r="O57" i="56"/>
  <c r="J57" i="56"/>
  <c r="L57" i="56"/>
  <c r="N61" i="56"/>
  <c r="O61" i="56"/>
  <c r="J61" i="56"/>
  <c r="L61" i="56"/>
  <c r="M61" i="56"/>
  <c r="H61" i="56"/>
  <c r="I61" i="56"/>
  <c r="K61" i="56"/>
  <c r="L58" i="56"/>
  <c r="O58" i="56"/>
  <c r="I58" i="56"/>
  <c r="H58" i="56"/>
  <c r="J58" i="56"/>
  <c r="M58" i="56"/>
  <c r="K58" i="56"/>
  <c r="N58" i="56"/>
  <c r="L15" i="62"/>
  <c r="M15" i="62" s="1"/>
  <c r="L35" i="62"/>
  <c r="M35" i="62" s="1"/>
  <c r="H39" i="62"/>
  <c r="L24" i="62"/>
  <c r="M24" i="62" s="1"/>
  <c r="K39" i="62"/>
  <c r="L32" i="62"/>
  <c r="M32" i="62" s="1"/>
  <c r="L37" i="62"/>
  <c r="M37" i="62" s="1"/>
  <c r="L23" i="62"/>
  <c r="M23" i="62" s="1"/>
  <c r="L33" i="62"/>
  <c r="M33" i="62" s="1"/>
  <c r="L12" i="62"/>
  <c r="M12" i="62" s="1"/>
  <c r="L13" i="62"/>
  <c r="M13" i="62" s="1"/>
  <c r="G19" i="62"/>
  <c r="H19" i="62" s="1"/>
  <c r="H18" i="62"/>
  <c r="L36" i="62"/>
  <c r="M36" i="62" s="1"/>
  <c r="L16" i="62"/>
  <c r="M16" i="62" s="1"/>
  <c r="L29" i="62"/>
  <c r="M29" i="62" s="1"/>
  <c r="N29" i="62" s="1"/>
  <c r="L20" i="62"/>
  <c r="M20" i="62" s="1"/>
  <c r="L28" i="62"/>
  <c r="M28" i="62" s="1"/>
  <c r="N28" i="62" s="1"/>
  <c r="L17" i="62"/>
  <c r="M17" i="62" s="1"/>
  <c r="L38" i="62"/>
  <c r="M38" i="62" s="1"/>
  <c r="L31" i="62"/>
  <c r="M31" i="62" s="1"/>
  <c r="K18" i="62" l="1"/>
  <c r="K27" i="62" s="1"/>
  <c r="K30" i="62" s="1"/>
  <c r="K46" i="62" s="1"/>
  <c r="H27" i="62"/>
  <c r="L39" i="62"/>
  <c r="M39" i="62" s="1"/>
  <c r="L19" i="62"/>
  <c r="M19" i="62" s="1"/>
  <c r="L18" i="62" l="1"/>
  <c r="M18" i="62" s="1"/>
  <c r="K51" i="62"/>
  <c r="K41" i="62"/>
  <c r="L27" i="62"/>
  <c r="M27" i="62" s="1"/>
  <c r="H30" i="62"/>
  <c r="H41" i="62" l="1"/>
  <c r="H51" i="62"/>
  <c r="H46" i="62"/>
  <c r="L30" i="62"/>
  <c r="M30" i="62" s="1"/>
  <c r="K42" i="62"/>
  <c r="K47" i="62"/>
  <c r="K49" i="62" s="1"/>
  <c r="K44" i="62" l="1"/>
  <c r="L43" i="62"/>
  <c r="H47" i="62"/>
  <c r="L47" i="62" s="1"/>
  <c r="M47" i="62" s="1"/>
  <c r="L46" i="62"/>
  <c r="M46" i="62" s="1"/>
  <c r="H42" i="62"/>
  <c r="L41" i="62"/>
  <c r="M41" i="62" s="1"/>
  <c r="H44" i="62" l="1"/>
  <c r="H49" i="62"/>
  <c r="L49" i="62" s="1"/>
  <c r="M49" i="62" s="1"/>
  <c r="L42" i="62"/>
  <c r="M42" i="62" s="1"/>
  <c r="L44" i="62" l="1"/>
  <c r="M44" i="62" s="1"/>
  <c r="K28" i="57" l="1"/>
  <c r="L28" i="57" s="1"/>
  <c r="K29" i="57"/>
  <c r="L29" i="57" s="1"/>
  <c r="K30" i="57"/>
  <c r="L30" i="57" s="1"/>
  <c r="K31" i="57"/>
  <c r="L31" i="57" s="1"/>
  <c r="J23" i="57"/>
  <c r="J17" i="57"/>
  <c r="J15" i="57"/>
  <c r="H36" i="57"/>
  <c r="H20" i="57" s="1"/>
  <c r="E36" i="57"/>
  <c r="E20" i="57" s="1"/>
  <c r="I20" i="57"/>
  <c r="F20" i="57"/>
  <c r="I36" i="57"/>
  <c r="I35" i="57"/>
  <c r="J35" i="57" s="1"/>
  <c r="I34" i="57"/>
  <c r="J34" i="57" s="1"/>
  <c r="I33" i="57"/>
  <c r="J33" i="57" s="1"/>
  <c r="I32" i="57"/>
  <c r="J32" i="57" s="1"/>
  <c r="I31" i="57"/>
  <c r="I29" i="57"/>
  <c r="I28" i="57"/>
  <c r="F36" i="57"/>
  <c r="F35" i="57"/>
  <c r="G35" i="57" s="1"/>
  <c r="F34" i="57"/>
  <c r="G34" i="57" s="1"/>
  <c r="F33" i="57"/>
  <c r="G33" i="57" s="1"/>
  <c r="F32" i="57"/>
  <c r="G32" i="57" s="1"/>
  <c r="F31" i="57"/>
  <c r="F29" i="57"/>
  <c r="F28" i="57"/>
  <c r="G23" i="57"/>
  <c r="G17" i="57"/>
  <c r="G15" i="57"/>
  <c r="I26" i="57"/>
  <c r="J26" i="57" s="1"/>
  <c r="I25" i="57"/>
  <c r="J25" i="57" s="1"/>
  <c r="F26" i="57"/>
  <c r="G26" i="57" s="1"/>
  <c r="F25" i="57"/>
  <c r="G25" i="57" s="1"/>
  <c r="I16" i="57"/>
  <c r="I18" i="57" s="1"/>
  <c r="J18" i="57" s="1"/>
  <c r="F16" i="57"/>
  <c r="G16" i="57" s="1"/>
  <c r="J36" i="57" l="1"/>
  <c r="G20" i="57"/>
  <c r="K35" i="57"/>
  <c r="L35" i="57" s="1"/>
  <c r="K15" i="57"/>
  <c r="L15" i="57" s="1"/>
  <c r="K25" i="57"/>
  <c r="L25" i="57" s="1"/>
  <c r="G36" i="57"/>
  <c r="K36" i="57" s="1"/>
  <c r="L36" i="57" s="1"/>
  <c r="K32" i="57"/>
  <c r="L32" i="57" s="1"/>
  <c r="K23" i="57"/>
  <c r="L23" i="57" s="1"/>
  <c r="K26" i="57"/>
  <c r="L26" i="57" s="1"/>
  <c r="K33" i="57"/>
  <c r="L33" i="57" s="1"/>
  <c r="K34" i="57"/>
  <c r="L34" i="57" s="1"/>
  <c r="J16" i="57"/>
  <c r="K16" i="57" s="1"/>
  <c r="L16" i="57" s="1"/>
  <c r="J20" i="57"/>
  <c r="K17" i="57"/>
  <c r="L17" i="57" s="1"/>
  <c r="F22" i="57"/>
  <c r="G22" i="57" s="1"/>
  <c r="F18" i="57"/>
  <c r="G18" i="57" s="1"/>
  <c r="G19" i="57" s="1"/>
  <c r="I21" i="57"/>
  <c r="J21" i="57" s="1"/>
  <c r="I22" i="57"/>
  <c r="J22" i="57" s="1"/>
  <c r="F21" i="57"/>
  <c r="G21" i="57" s="1"/>
  <c r="K20" i="57" l="1"/>
  <c r="L20" i="57" s="1"/>
  <c r="G24" i="57"/>
  <c r="G27" i="57" s="1"/>
  <c r="G38" i="57" s="1"/>
  <c r="G39" i="57" s="1"/>
  <c r="G40" i="57" s="1"/>
  <c r="K21" i="57"/>
  <c r="L21" i="57" s="1"/>
  <c r="J19" i="57"/>
  <c r="J24" i="57" s="1"/>
  <c r="J27" i="57" s="1"/>
  <c r="J48" i="57" s="1"/>
  <c r="K22" i="57"/>
  <c r="L22" i="57" s="1"/>
  <c r="K18" i="57"/>
  <c r="L18" i="57" s="1"/>
  <c r="G43" i="57" l="1"/>
  <c r="G44" i="57" s="1"/>
  <c r="G45" i="57" s="1"/>
  <c r="G46" i="57" s="1"/>
  <c r="G48" i="57"/>
  <c r="G49" i="57" s="1"/>
  <c r="G50" i="57" s="1"/>
  <c r="G51" i="57" s="1"/>
  <c r="K19" i="57"/>
  <c r="K24" i="57" s="1"/>
  <c r="K27" i="57" s="1"/>
  <c r="J49" i="57"/>
  <c r="J38" i="57"/>
  <c r="J43" i="57"/>
  <c r="G41" i="57"/>
  <c r="K48" i="57" l="1"/>
  <c r="L48" i="57" s="1"/>
  <c r="J39" i="57"/>
  <c r="K38" i="57"/>
  <c r="L38" i="57" s="1"/>
  <c r="J50" i="57"/>
  <c r="K49" i="57"/>
  <c r="L49" i="57" s="1"/>
  <c r="J44" i="57"/>
  <c r="K43" i="57"/>
  <c r="L43" i="57" s="1"/>
  <c r="K50" i="57" l="1"/>
  <c r="L50" i="57" s="1"/>
  <c r="J45" i="57"/>
  <c r="K44" i="57"/>
  <c r="L44" i="57" s="1"/>
  <c r="J40" i="57"/>
  <c r="K39" i="57"/>
  <c r="L39" i="57" s="1"/>
  <c r="A12" i="57"/>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K45" i="57" l="1"/>
  <c r="L45" i="57" s="1"/>
  <c r="K40" i="57"/>
  <c r="L40" i="57" s="1"/>
  <c r="J51" i="57"/>
  <c r="K51" i="57" s="1"/>
  <c r="L51" i="57" s="1"/>
  <c r="A35" i="57"/>
  <c r="A36" i="57" s="1"/>
  <c r="A37" i="57" s="1"/>
  <c r="A38" i="57" s="1"/>
  <c r="A39" i="57" s="1"/>
  <c r="A40" i="57" s="1"/>
  <c r="A41" i="57" s="1"/>
  <c r="A42" i="57" s="1"/>
  <c r="A43" i="57" s="1"/>
  <c r="A44" i="57" s="1"/>
  <c r="A45" i="57" s="1"/>
  <c r="A46" i="57" s="1"/>
  <c r="A47" i="57" s="1"/>
  <c r="A48" i="57" s="1"/>
  <c r="A49" i="57" s="1"/>
  <c r="A50" i="57" s="1"/>
  <c r="A51" i="57" s="1"/>
  <c r="A52" i="57" s="1"/>
  <c r="J41" i="57" l="1"/>
  <c r="K41" i="57" s="1"/>
  <c r="L41" i="57" s="1"/>
  <c r="J46" i="57"/>
  <c r="K46" i="57" s="1"/>
  <c r="L46" i="57" s="1"/>
  <c r="D13" i="15" l="1"/>
  <c r="D13" i="17" l="1"/>
  <c r="H20" i="38"/>
  <c r="I21" i="38"/>
  <c r="H39" i="38"/>
  <c r="L20" i="38"/>
  <c r="N20" i="38" s="1"/>
  <c r="L39" i="38"/>
  <c r="H21" i="38"/>
  <c r="H40" i="38"/>
  <c r="L21" i="38"/>
  <c r="L40" i="38"/>
  <c r="H22" i="38"/>
  <c r="H41" i="38"/>
  <c r="L22" i="38"/>
  <c r="L41" i="38"/>
  <c r="H23" i="38"/>
  <c r="H42" i="38"/>
  <c r="L23" i="38"/>
  <c r="L42" i="38"/>
  <c r="H24" i="38"/>
  <c r="H43" i="38"/>
  <c r="L24" i="38"/>
  <c r="L43" i="38"/>
  <c r="H25" i="38"/>
  <c r="H44" i="38"/>
  <c r="L25" i="38"/>
  <c r="L44" i="38"/>
  <c r="H26" i="38"/>
  <c r="H45" i="38"/>
  <c r="L26" i="38"/>
  <c r="L45" i="38"/>
  <c r="H27" i="38"/>
  <c r="H46" i="38"/>
  <c r="L27" i="38"/>
  <c r="L46" i="38"/>
  <c r="H28" i="38"/>
  <c r="H47" i="38"/>
  <c r="L28" i="38"/>
  <c r="L47" i="38"/>
  <c r="H29" i="38"/>
  <c r="H48" i="38"/>
  <c r="L29" i="38"/>
  <c r="L48" i="38"/>
  <c r="H30" i="38"/>
  <c r="H49" i="38"/>
  <c r="L30" i="38"/>
  <c r="L49" i="38"/>
  <c r="H31" i="38"/>
  <c r="H50" i="38"/>
  <c r="L31" i="38"/>
  <c r="L50" i="38"/>
  <c r="D20" i="38"/>
  <c r="D39" i="38"/>
  <c r="D21" i="38"/>
  <c r="D40" i="38"/>
  <c r="D22" i="38"/>
  <c r="D41" i="38"/>
  <c r="D23" i="38"/>
  <c r="D42" i="38"/>
  <c r="D24" i="38"/>
  <c r="D43" i="38"/>
  <c r="D25" i="38"/>
  <c r="D44" i="38"/>
  <c r="D26" i="38"/>
  <c r="D45" i="38"/>
  <c r="D27" i="38"/>
  <c r="D46" i="38"/>
  <c r="D28" i="38"/>
  <c r="D47" i="38"/>
  <c r="D29" i="38"/>
  <c r="D48" i="38"/>
  <c r="D30" i="38"/>
  <c r="D49" i="38"/>
  <c r="D31" i="38"/>
  <c r="D50" i="38"/>
  <c r="H20" i="37"/>
  <c r="H39" i="37"/>
  <c r="H58" i="37"/>
  <c r="I59" i="37"/>
  <c r="H77" i="37"/>
  <c r="I78" i="37"/>
  <c r="I79" i="37" s="1"/>
  <c r="L20" i="37"/>
  <c r="L39" i="37"/>
  <c r="L58" i="37"/>
  <c r="M59" i="37"/>
  <c r="M60" i="37" s="1"/>
  <c r="M61" i="37" s="1"/>
  <c r="L77" i="37"/>
  <c r="M78" i="37"/>
  <c r="M79" i="37" s="1"/>
  <c r="M80" i="37" s="1"/>
  <c r="M81" i="37" s="1"/>
  <c r="H21" i="37"/>
  <c r="H40" i="37"/>
  <c r="H59" i="37"/>
  <c r="H78" i="37"/>
  <c r="L21" i="37"/>
  <c r="L40" i="37"/>
  <c r="L59" i="37"/>
  <c r="L78" i="37"/>
  <c r="H22" i="37"/>
  <c r="H41" i="37"/>
  <c r="H60" i="37"/>
  <c r="H79" i="37"/>
  <c r="L22" i="37"/>
  <c r="L41" i="37"/>
  <c r="L60" i="37"/>
  <c r="L79" i="37"/>
  <c r="H23" i="37"/>
  <c r="H42" i="37"/>
  <c r="H61" i="37"/>
  <c r="H80" i="37"/>
  <c r="L23" i="37"/>
  <c r="L42" i="37"/>
  <c r="L61" i="37"/>
  <c r="L80" i="37"/>
  <c r="H24" i="37"/>
  <c r="H43" i="37"/>
  <c r="H62" i="37"/>
  <c r="H81" i="37"/>
  <c r="L24" i="37"/>
  <c r="L43" i="37"/>
  <c r="L62" i="37"/>
  <c r="L81" i="37"/>
  <c r="H25" i="37"/>
  <c r="H44" i="37"/>
  <c r="H63" i="37"/>
  <c r="H82" i="37"/>
  <c r="L25" i="37"/>
  <c r="L44" i="37"/>
  <c r="L63" i="37"/>
  <c r="L82" i="37"/>
  <c r="H26" i="37"/>
  <c r="H45" i="37"/>
  <c r="H64" i="37"/>
  <c r="H83" i="37"/>
  <c r="L26" i="37"/>
  <c r="L45" i="37"/>
  <c r="L64" i="37"/>
  <c r="L83" i="37"/>
  <c r="H27" i="37"/>
  <c r="H46" i="37"/>
  <c r="H65" i="37"/>
  <c r="H84" i="37"/>
  <c r="L27" i="37"/>
  <c r="L46" i="37"/>
  <c r="L65" i="37"/>
  <c r="L84" i="37"/>
  <c r="H28" i="37"/>
  <c r="H47" i="37"/>
  <c r="H66" i="37"/>
  <c r="H85" i="37"/>
  <c r="L28" i="37"/>
  <c r="L47" i="37"/>
  <c r="L66" i="37"/>
  <c r="L85" i="37"/>
  <c r="H29" i="37"/>
  <c r="H48" i="37"/>
  <c r="H67" i="37"/>
  <c r="H86" i="37"/>
  <c r="L29" i="37"/>
  <c r="L48" i="37"/>
  <c r="L67" i="37"/>
  <c r="L86" i="37"/>
  <c r="H30" i="37"/>
  <c r="H49" i="37"/>
  <c r="H68" i="37"/>
  <c r="H87" i="37"/>
  <c r="L30" i="37"/>
  <c r="L49" i="37"/>
  <c r="L68" i="37"/>
  <c r="L87" i="37"/>
  <c r="H31" i="37"/>
  <c r="H50" i="37"/>
  <c r="H69" i="37"/>
  <c r="H88" i="37"/>
  <c r="L31" i="37"/>
  <c r="L50" i="37"/>
  <c r="L69" i="37"/>
  <c r="L88" i="37"/>
  <c r="D20" i="37"/>
  <c r="E21" i="37"/>
  <c r="D39" i="37"/>
  <c r="F39" i="37" s="1"/>
  <c r="E46" i="37"/>
  <c r="E47" i="37" s="1"/>
  <c r="E48" i="37" s="1"/>
  <c r="E49" i="37" s="1"/>
  <c r="E50" i="37" s="1"/>
  <c r="D58" i="37"/>
  <c r="D77" i="37"/>
  <c r="E78" i="37"/>
  <c r="E79" i="37" s="1"/>
  <c r="D21" i="37"/>
  <c r="D59" i="37"/>
  <c r="D78" i="37"/>
  <c r="D22" i="37"/>
  <c r="D60" i="37"/>
  <c r="D79" i="37"/>
  <c r="D23" i="37"/>
  <c r="D61" i="37"/>
  <c r="D80" i="37"/>
  <c r="D24" i="37"/>
  <c r="D62" i="37"/>
  <c r="D81" i="37"/>
  <c r="D25" i="37"/>
  <c r="D63" i="37"/>
  <c r="D82" i="37"/>
  <c r="D26" i="37"/>
  <c r="D64" i="37"/>
  <c r="D83" i="37"/>
  <c r="D27" i="37"/>
  <c r="D65" i="37"/>
  <c r="D84" i="37"/>
  <c r="D28" i="37"/>
  <c r="D66" i="37"/>
  <c r="D85" i="37"/>
  <c r="D29" i="37"/>
  <c r="D67" i="37"/>
  <c r="D86" i="37"/>
  <c r="D30" i="37"/>
  <c r="D68" i="37"/>
  <c r="D87" i="37"/>
  <c r="D31" i="37"/>
  <c r="D69" i="37"/>
  <c r="D88" i="37"/>
  <c r="L88" i="38"/>
  <c r="H88" i="38"/>
  <c r="D88" i="38"/>
  <c r="L87" i="38"/>
  <c r="H87" i="38"/>
  <c r="D87" i="38"/>
  <c r="L86" i="38"/>
  <c r="H86" i="38"/>
  <c r="D86" i="38"/>
  <c r="L85" i="38"/>
  <c r="H85" i="38"/>
  <c r="D85" i="38"/>
  <c r="L84" i="38"/>
  <c r="H84" i="38"/>
  <c r="D84" i="38"/>
  <c r="L83" i="38"/>
  <c r="H83" i="38"/>
  <c r="D83" i="38"/>
  <c r="L82" i="38"/>
  <c r="H82" i="38"/>
  <c r="D82" i="38"/>
  <c r="L81" i="38"/>
  <c r="H81" i="38"/>
  <c r="D81" i="38"/>
  <c r="L80" i="38"/>
  <c r="H80" i="38"/>
  <c r="D80" i="38"/>
  <c r="L79" i="38"/>
  <c r="H79" i="38"/>
  <c r="D79" i="38"/>
  <c r="L78" i="38"/>
  <c r="H78" i="38"/>
  <c r="D78" i="38"/>
  <c r="M78" i="38"/>
  <c r="L77" i="38"/>
  <c r="I78" i="38"/>
  <c r="J78" i="38" s="1"/>
  <c r="H77" i="38"/>
  <c r="D77" i="38"/>
  <c r="B73" i="38"/>
  <c r="L69" i="38"/>
  <c r="H69" i="38"/>
  <c r="D69" i="38"/>
  <c r="L68" i="38"/>
  <c r="H68" i="38"/>
  <c r="D68" i="38"/>
  <c r="L67" i="38"/>
  <c r="H67" i="38"/>
  <c r="D67" i="38"/>
  <c r="L66" i="38"/>
  <c r="H66" i="38"/>
  <c r="D66" i="38"/>
  <c r="L65" i="38"/>
  <c r="H65" i="38"/>
  <c r="D65" i="38"/>
  <c r="L64" i="38"/>
  <c r="H64" i="38"/>
  <c r="D64" i="38"/>
  <c r="L63" i="38"/>
  <c r="H63" i="38"/>
  <c r="D63" i="38"/>
  <c r="L62" i="38"/>
  <c r="H62" i="38"/>
  <c r="D62" i="38"/>
  <c r="L61" i="38"/>
  <c r="H61" i="38"/>
  <c r="D61" i="38"/>
  <c r="L60" i="38"/>
  <c r="H60" i="38"/>
  <c r="D60" i="38"/>
  <c r="L59" i="38"/>
  <c r="H59" i="38"/>
  <c r="D59" i="38"/>
  <c r="M59" i="38"/>
  <c r="M60" i="38" s="1"/>
  <c r="M61" i="38" s="1"/>
  <c r="L58" i="38"/>
  <c r="I59" i="38"/>
  <c r="H58" i="38"/>
  <c r="E59" i="38"/>
  <c r="B54" i="38"/>
  <c r="B73" i="37"/>
  <c r="B54" i="37"/>
  <c r="D108" i="36"/>
  <c r="N89" i="36"/>
  <c r="L89" i="36"/>
  <c r="M89" i="36" s="1"/>
  <c r="J89" i="36"/>
  <c r="H89" i="36"/>
  <c r="I89" i="36" s="1"/>
  <c r="F89" i="36"/>
  <c r="D89" i="36"/>
  <c r="P87" i="36"/>
  <c r="M87" i="36"/>
  <c r="I87" i="36"/>
  <c r="E87" i="36"/>
  <c r="P86" i="36"/>
  <c r="M86" i="36"/>
  <c r="I86" i="36"/>
  <c r="E86" i="36"/>
  <c r="P85" i="36"/>
  <c r="M85" i="36"/>
  <c r="I85" i="36"/>
  <c r="E85" i="36"/>
  <c r="P84" i="36"/>
  <c r="M84" i="36"/>
  <c r="I84" i="36"/>
  <c r="E84" i="36"/>
  <c r="P83" i="36"/>
  <c r="M83" i="36"/>
  <c r="I83" i="36"/>
  <c r="E83" i="36"/>
  <c r="P82" i="36"/>
  <c r="M82" i="36"/>
  <c r="I82" i="36"/>
  <c r="E82" i="36"/>
  <c r="P81" i="36"/>
  <c r="M81" i="36"/>
  <c r="I81" i="36"/>
  <c r="E81" i="36"/>
  <c r="P80" i="36"/>
  <c r="M80" i="36"/>
  <c r="I80" i="36"/>
  <c r="E80" i="36"/>
  <c r="P79" i="36"/>
  <c r="M79" i="36"/>
  <c r="I79" i="36"/>
  <c r="E79" i="36"/>
  <c r="P78" i="36"/>
  <c r="M78" i="36"/>
  <c r="I78" i="36"/>
  <c r="E78" i="36"/>
  <c r="P77" i="36"/>
  <c r="M77" i="36"/>
  <c r="I77" i="36"/>
  <c r="E77" i="36"/>
  <c r="P76" i="36"/>
  <c r="M76" i="36"/>
  <c r="I76" i="36"/>
  <c r="E76" i="36"/>
  <c r="N70" i="36"/>
  <c r="L70" i="36"/>
  <c r="M70" i="36" s="1"/>
  <c r="J70" i="36"/>
  <c r="H70" i="36"/>
  <c r="F70" i="36"/>
  <c r="D70" i="36"/>
  <c r="E70" i="36" s="1"/>
  <c r="P68" i="36"/>
  <c r="M68" i="36"/>
  <c r="I68" i="36"/>
  <c r="E68" i="36"/>
  <c r="P67" i="36"/>
  <c r="M67" i="36"/>
  <c r="I67" i="36"/>
  <c r="E67" i="36"/>
  <c r="P66" i="36"/>
  <c r="M66" i="36"/>
  <c r="I66" i="36"/>
  <c r="E66" i="36"/>
  <c r="P65" i="36"/>
  <c r="M65" i="36"/>
  <c r="I65" i="36"/>
  <c r="E65" i="36"/>
  <c r="P64" i="36"/>
  <c r="M64" i="36"/>
  <c r="I64" i="36"/>
  <c r="E64" i="36"/>
  <c r="P63" i="36"/>
  <c r="M63" i="36"/>
  <c r="I63" i="36"/>
  <c r="E63" i="36"/>
  <c r="P62" i="36"/>
  <c r="M62" i="36"/>
  <c r="I62" i="36"/>
  <c r="E62" i="36"/>
  <c r="P61" i="36"/>
  <c r="M61" i="36"/>
  <c r="I61" i="36"/>
  <c r="E61" i="36"/>
  <c r="P60" i="36"/>
  <c r="M60" i="36"/>
  <c r="I60" i="36"/>
  <c r="E60" i="36"/>
  <c r="P59" i="36"/>
  <c r="M59" i="36"/>
  <c r="I59" i="36"/>
  <c r="E59" i="36"/>
  <c r="P58" i="36"/>
  <c r="M58" i="36"/>
  <c r="I58" i="36"/>
  <c r="E58" i="36"/>
  <c r="P57" i="36"/>
  <c r="M57" i="36"/>
  <c r="I57" i="36"/>
  <c r="E57" i="36"/>
  <c r="N51" i="36"/>
  <c r="L51" i="36"/>
  <c r="J51" i="36"/>
  <c r="H51" i="36"/>
  <c r="D51" i="36"/>
  <c r="N32" i="36"/>
  <c r="L32" i="36"/>
  <c r="M32" i="36" s="1"/>
  <c r="J32" i="36"/>
  <c r="H32" i="36"/>
  <c r="F32" i="36"/>
  <c r="D32" i="36"/>
  <c r="P30" i="36"/>
  <c r="P29" i="36"/>
  <c r="P28" i="36"/>
  <c r="P27" i="36"/>
  <c r="P26" i="36"/>
  <c r="P25" i="36"/>
  <c r="P24" i="36"/>
  <c r="P23" i="36"/>
  <c r="P22" i="36"/>
  <c r="P21" i="36"/>
  <c r="P20" i="36"/>
  <c r="P19" i="36"/>
  <c r="AM17" i="7"/>
  <c r="AM15" i="7"/>
  <c r="AN15" i="7" s="1"/>
  <c r="AN16" i="7" s="1"/>
  <c r="AN17" i="7" s="1"/>
  <c r="AK15" i="7"/>
  <c r="AK16" i="7" s="1"/>
  <c r="AP14" i="7"/>
  <c r="AP8" i="7"/>
  <c r="AK9" i="7"/>
  <c r="AK10" i="7" s="1"/>
  <c r="AK11" i="7" s="1"/>
  <c r="AK6" i="7"/>
  <c r="AK3" i="7"/>
  <c r="AK4" i="7"/>
  <c r="AK2" i="7"/>
  <c r="AM6" i="7"/>
  <c r="AM4" i="7"/>
  <c r="AL4" i="7"/>
  <c r="AM3" i="7"/>
  <c r="AM2" i="7"/>
  <c r="AM11" i="7"/>
  <c r="AM9" i="7"/>
  <c r="AN9" i="7" s="1"/>
  <c r="AL6" i="7"/>
  <c r="AL3" i="7"/>
  <c r="AL2" i="7"/>
  <c r="C1" i="7"/>
  <c r="F77" i="38"/>
  <c r="E78" i="38"/>
  <c r="E79" i="38" s="1"/>
  <c r="E59" i="37"/>
  <c r="E60" i="37" s="1"/>
  <c r="F77" i="37"/>
  <c r="E40" i="38"/>
  <c r="N77" i="38"/>
  <c r="N39" i="37"/>
  <c r="M21" i="38"/>
  <c r="N21" i="38" s="1"/>
  <c r="N77" i="37"/>
  <c r="H23" i="17" l="1"/>
  <c r="G22" i="17"/>
  <c r="F21" i="17"/>
  <c r="H19" i="17"/>
  <c r="G18" i="17"/>
  <c r="F17" i="17"/>
  <c r="G23" i="17"/>
  <c r="F22" i="17"/>
  <c r="H20" i="17"/>
  <c r="G19" i="17"/>
  <c r="F18" i="17"/>
  <c r="F23" i="17"/>
  <c r="H21" i="17"/>
  <c r="G20" i="17"/>
  <c r="F19" i="17"/>
  <c r="H17" i="17"/>
  <c r="H22" i="17"/>
  <c r="G21" i="17"/>
  <c r="F20" i="17"/>
  <c r="H18" i="17"/>
  <c r="G17" i="17"/>
  <c r="P70" i="36"/>
  <c r="N80" i="37"/>
  <c r="J78" i="37"/>
  <c r="H52" i="38"/>
  <c r="P89" i="36"/>
  <c r="H33" i="38"/>
  <c r="D33" i="38"/>
  <c r="L52" i="38"/>
  <c r="P32" i="36"/>
  <c r="D98" i="37"/>
  <c r="L107" i="37"/>
  <c r="J79" i="37"/>
  <c r="N81" i="37"/>
  <c r="I51" i="36"/>
  <c r="I79" i="38"/>
  <c r="I80" i="38" s="1"/>
  <c r="J80" i="38" s="1"/>
  <c r="N59" i="38"/>
  <c r="N78" i="37"/>
  <c r="N79" i="37"/>
  <c r="J77" i="38"/>
  <c r="P77" i="38" s="1"/>
  <c r="F58" i="37"/>
  <c r="L102" i="37"/>
  <c r="L101" i="37"/>
  <c r="J58" i="37"/>
  <c r="J58" i="38"/>
  <c r="L100" i="37"/>
  <c r="L108" i="36"/>
  <c r="L90" i="38"/>
  <c r="M90" i="38" s="1"/>
  <c r="H101" i="37"/>
  <c r="H97" i="37"/>
  <c r="H104" i="37"/>
  <c r="H98" i="37"/>
  <c r="E32" i="36"/>
  <c r="F20" i="38"/>
  <c r="D96" i="37"/>
  <c r="L52" i="37"/>
  <c r="L33" i="37"/>
  <c r="AN4" i="7"/>
  <c r="AP4" i="7" s="1"/>
  <c r="AQ4" i="7" s="1"/>
  <c r="E21" i="38"/>
  <c r="F21" i="38" s="1"/>
  <c r="F41" i="37"/>
  <c r="J20" i="38"/>
  <c r="P20" i="38" s="1"/>
  <c r="L96" i="37"/>
  <c r="D33" i="37"/>
  <c r="AN6" i="7"/>
  <c r="D97" i="37"/>
  <c r="N108" i="36"/>
  <c r="N40" i="37"/>
  <c r="F40" i="38"/>
  <c r="M40" i="38"/>
  <c r="N40" i="38" s="1"/>
  <c r="N39" i="38"/>
  <c r="F40" i="37"/>
  <c r="F42" i="37"/>
  <c r="P51" i="36"/>
  <c r="J39" i="38"/>
  <c r="D107" i="37"/>
  <c r="D106" i="37"/>
  <c r="D105" i="37"/>
  <c r="I32" i="36"/>
  <c r="J20" i="37"/>
  <c r="I70" i="36"/>
  <c r="H108" i="36"/>
  <c r="F78" i="37"/>
  <c r="E89" i="36"/>
  <c r="M82" i="37"/>
  <c r="N82" i="37" s="1"/>
  <c r="D102" i="37"/>
  <c r="D101" i="37"/>
  <c r="D100" i="37"/>
  <c r="L106" i="37"/>
  <c r="L105" i="37"/>
  <c r="L104" i="37"/>
  <c r="L103" i="37"/>
  <c r="H100" i="37"/>
  <c r="L99" i="37"/>
  <c r="H99" i="37"/>
  <c r="J77" i="37"/>
  <c r="P77" i="37" s="1"/>
  <c r="J39" i="37"/>
  <c r="P39" i="37" s="1"/>
  <c r="F39" i="38"/>
  <c r="AP15" i="7"/>
  <c r="AQ15" i="7" s="1"/>
  <c r="AK12" i="7"/>
  <c r="M51" i="36"/>
  <c r="H71" i="37"/>
  <c r="L90" i="37"/>
  <c r="M90" i="37" s="1"/>
  <c r="D52" i="38"/>
  <c r="J108" i="36"/>
  <c r="F58" i="38"/>
  <c r="L71" i="38"/>
  <c r="M71" i="38" s="1"/>
  <c r="AK17" i="7"/>
  <c r="AK18" i="7" s="1"/>
  <c r="AP16" i="7"/>
  <c r="AQ16" i="7" s="1"/>
  <c r="AN10" i="7"/>
  <c r="AP10" i="7" s="1"/>
  <c r="AQ10" i="7" s="1"/>
  <c r="AP9" i="7"/>
  <c r="AQ9" i="7" s="1"/>
  <c r="D52" i="37"/>
  <c r="H52" i="37"/>
  <c r="AN2" i="7"/>
  <c r="AP2" i="7" s="1"/>
  <c r="AQ2" i="7" s="1"/>
  <c r="H96" i="37"/>
  <c r="F43" i="37"/>
  <c r="J40" i="37"/>
  <c r="J41" i="37"/>
  <c r="N78" i="38"/>
  <c r="P78" i="38" s="1"/>
  <c r="M79" i="38"/>
  <c r="I60" i="37"/>
  <c r="J59" i="37"/>
  <c r="AN3" i="7"/>
  <c r="AP3" i="7" s="1"/>
  <c r="AQ3" i="7" s="1"/>
  <c r="N59" i="37"/>
  <c r="M22" i="38"/>
  <c r="M23" i="38" s="1"/>
  <c r="H90" i="38"/>
  <c r="H102" i="37"/>
  <c r="L98" i="37"/>
  <c r="N60" i="38"/>
  <c r="H105" i="37"/>
  <c r="N58" i="37"/>
  <c r="AP17" i="7"/>
  <c r="AQ17" i="7" s="1"/>
  <c r="AN18" i="7"/>
  <c r="N22" i="37"/>
  <c r="E80" i="37"/>
  <c r="F79" i="37"/>
  <c r="I80" i="37"/>
  <c r="N61" i="38"/>
  <c r="M62" i="38"/>
  <c r="N62" i="38" s="1"/>
  <c r="AP6" i="7"/>
  <c r="AQ6" i="7" s="1"/>
  <c r="F59" i="37"/>
  <c r="AK5" i="7"/>
  <c r="D71" i="37"/>
  <c r="D90" i="37"/>
  <c r="H33" i="37"/>
  <c r="H90" i="37"/>
  <c r="L106" i="38"/>
  <c r="L102" i="38"/>
  <c r="L101" i="38"/>
  <c r="D71" i="38"/>
  <c r="N58" i="38"/>
  <c r="H71" i="38"/>
  <c r="D104" i="37"/>
  <c r="D103" i="37"/>
  <c r="D99" i="37"/>
  <c r="H103" i="37"/>
  <c r="L97" i="37"/>
  <c r="N20" i="37"/>
  <c r="D90" i="38"/>
  <c r="F20" i="37"/>
  <c r="H106" i="37"/>
  <c r="E80" i="38"/>
  <c r="F79" i="38"/>
  <c r="N61" i="37"/>
  <c r="M62" i="37"/>
  <c r="E61" i="37"/>
  <c r="F60" i="37"/>
  <c r="N60" i="37"/>
  <c r="E41" i="38"/>
  <c r="F78" i="38"/>
  <c r="F21" i="37"/>
  <c r="E22" i="37"/>
  <c r="H107" i="37"/>
  <c r="L71" i="37"/>
  <c r="M71" i="37" s="1"/>
  <c r="N21" i="37"/>
  <c r="H107" i="38"/>
  <c r="H106" i="38"/>
  <c r="H105" i="38"/>
  <c r="H104" i="38"/>
  <c r="H103" i="38"/>
  <c r="H102" i="38"/>
  <c r="H101" i="38"/>
  <c r="H100" i="38"/>
  <c r="H99" i="38"/>
  <c r="H98" i="38"/>
  <c r="I40" i="38"/>
  <c r="I21" i="37"/>
  <c r="I22" i="37" s="1"/>
  <c r="I23" i="37" s="1"/>
  <c r="I24" i="37" s="1"/>
  <c r="I25" i="37" s="1"/>
  <c r="I26" i="37" s="1"/>
  <c r="I27" i="37" s="1"/>
  <c r="I28" i="37" s="1"/>
  <c r="I29" i="37" s="1"/>
  <c r="I30" i="37" s="1"/>
  <c r="I31" i="37" s="1"/>
  <c r="D106" i="38"/>
  <c r="D104" i="38"/>
  <c r="D102" i="38"/>
  <c r="D100" i="38"/>
  <c r="D98" i="38"/>
  <c r="L107" i="38"/>
  <c r="L105" i="38"/>
  <c r="L104" i="38"/>
  <c r="L103" i="38"/>
  <c r="L100" i="38"/>
  <c r="L99" i="38"/>
  <c r="L98" i="38"/>
  <c r="L33" i="38"/>
  <c r="H97" i="38"/>
  <c r="L96" i="38"/>
  <c r="H96" i="38"/>
  <c r="D107" i="38"/>
  <c r="D105" i="38"/>
  <c r="D103" i="38"/>
  <c r="D101" i="38"/>
  <c r="D99" i="38"/>
  <c r="D97" i="38"/>
  <c r="D96" i="38"/>
  <c r="L97" i="38"/>
  <c r="I60" i="38"/>
  <c r="J59" i="38"/>
  <c r="F59" i="38"/>
  <c r="E60" i="38"/>
  <c r="I22" i="38"/>
  <c r="J21" i="38"/>
  <c r="AP18" i="7" l="1"/>
  <c r="AQ18" i="7" s="1"/>
  <c r="P40" i="37"/>
  <c r="P78" i="37"/>
  <c r="I81" i="38"/>
  <c r="I82" i="38" s="1"/>
  <c r="P58" i="38"/>
  <c r="P79" i="37"/>
  <c r="M41" i="38"/>
  <c r="N41" i="38" s="1"/>
  <c r="M108" i="36"/>
  <c r="J79" i="38"/>
  <c r="F96" i="37"/>
  <c r="E96" i="37" s="1"/>
  <c r="P39" i="38"/>
  <c r="P58" i="37"/>
  <c r="N96" i="37"/>
  <c r="M96" i="37" s="1"/>
  <c r="E22" i="38"/>
  <c r="E23" i="38" s="1"/>
  <c r="F23" i="38" s="1"/>
  <c r="J96" i="37"/>
  <c r="I96" i="37" s="1"/>
  <c r="N23" i="37"/>
  <c r="M63" i="38"/>
  <c r="N63" i="38" s="1"/>
  <c r="N96" i="38"/>
  <c r="M96" i="38" s="1"/>
  <c r="F97" i="38"/>
  <c r="E97" i="38" s="1"/>
  <c r="F96" i="38"/>
  <c r="E96" i="38" s="1"/>
  <c r="F44" i="37"/>
  <c r="N22" i="38"/>
  <c r="J96" i="38"/>
  <c r="L109" i="37"/>
  <c r="AN5" i="7"/>
  <c r="AP5" i="7" s="1"/>
  <c r="AQ5" i="7" s="1"/>
  <c r="AN11" i="7"/>
  <c r="AP11" i="7" s="1"/>
  <c r="AQ11" i="7" s="1"/>
  <c r="N97" i="38"/>
  <c r="M97" i="38" s="1"/>
  <c r="I108" i="36"/>
  <c r="M83" i="37"/>
  <c r="P20" i="37"/>
  <c r="D109" i="37"/>
  <c r="P108" i="36"/>
  <c r="P112" i="36" s="1"/>
  <c r="N41" i="37"/>
  <c r="N98" i="37" s="1"/>
  <c r="M98" i="37" s="1"/>
  <c r="M46" i="37"/>
  <c r="M47" i="37" s="1"/>
  <c r="M48" i="37" s="1"/>
  <c r="M49" i="37" s="1"/>
  <c r="M50" i="37" s="1"/>
  <c r="I61" i="37"/>
  <c r="J60" i="37"/>
  <c r="P60" i="37" s="1"/>
  <c r="M80" i="38"/>
  <c r="N79" i="38"/>
  <c r="P59" i="37"/>
  <c r="N23" i="38"/>
  <c r="M24" i="38"/>
  <c r="I81" i="37"/>
  <c r="J80" i="37"/>
  <c r="P80" i="37" s="1"/>
  <c r="F45" i="37"/>
  <c r="E81" i="37"/>
  <c r="F80" i="37"/>
  <c r="J21" i="37"/>
  <c r="P21" i="37" s="1"/>
  <c r="I41" i="38"/>
  <c r="J40" i="38"/>
  <c r="J97" i="38" s="1"/>
  <c r="F97" i="37"/>
  <c r="N62" i="37"/>
  <c r="M63" i="37"/>
  <c r="E81" i="38"/>
  <c r="F80" i="38"/>
  <c r="H109" i="37"/>
  <c r="F41" i="38"/>
  <c r="E42" i="38"/>
  <c r="D109" i="38"/>
  <c r="H109" i="38"/>
  <c r="J23" i="37"/>
  <c r="J22" i="37"/>
  <c r="E62" i="37"/>
  <c r="F61" i="37"/>
  <c r="L109" i="38"/>
  <c r="N97" i="37"/>
  <c r="F22" i="37"/>
  <c r="F98" i="37" s="1"/>
  <c r="E98" i="37" s="1"/>
  <c r="E23" i="37"/>
  <c r="N24" i="37"/>
  <c r="I61" i="38"/>
  <c r="J60" i="38"/>
  <c r="P60" i="38" s="1"/>
  <c r="P59" i="38"/>
  <c r="F60" i="38"/>
  <c r="E61" i="38"/>
  <c r="P21" i="38"/>
  <c r="I23" i="38"/>
  <c r="J22" i="38"/>
  <c r="J81" i="38" l="1"/>
  <c r="P79" i="38"/>
  <c r="M42" i="38"/>
  <c r="F22" i="38"/>
  <c r="F98" i="38" s="1"/>
  <c r="E98" i="38" s="1"/>
  <c r="J42" i="37"/>
  <c r="I46" i="37"/>
  <c r="I47" i="37" s="1"/>
  <c r="I48" i="37" s="1"/>
  <c r="I49" i="37" s="1"/>
  <c r="I50" i="37" s="1"/>
  <c r="P96" i="37"/>
  <c r="M64" i="38"/>
  <c r="M65" i="38" s="1"/>
  <c r="P96" i="38"/>
  <c r="E24" i="38"/>
  <c r="I96" i="38"/>
  <c r="P41" i="37"/>
  <c r="J97" i="37"/>
  <c r="P97" i="37" s="1"/>
  <c r="AN12" i="7"/>
  <c r="AP12" i="7" s="1"/>
  <c r="AQ12" i="7" s="1"/>
  <c r="N83" i="37"/>
  <c r="M84" i="37"/>
  <c r="N98" i="38"/>
  <c r="M98" i="38" s="1"/>
  <c r="M81" i="38"/>
  <c r="N80" i="38"/>
  <c r="P80" i="38" s="1"/>
  <c r="I62" i="37"/>
  <c r="J61" i="37"/>
  <c r="P61" i="37" s="1"/>
  <c r="N42" i="37"/>
  <c r="M25" i="38"/>
  <c r="N24" i="38"/>
  <c r="F46" i="37"/>
  <c r="J81" i="37"/>
  <c r="P81" i="37" s="1"/>
  <c r="I82" i="37"/>
  <c r="F81" i="37"/>
  <c r="E82" i="37"/>
  <c r="J82" i="38"/>
  <c r="I83" i="38"/>
  <c r="N25" i="37"/>
  <c r="M97" i="37"/>
  <c r="J24" i="37"/>
  <c r="P23" i="37"/>
  <c r="F42" i="38"/>
  <c r="E43" i="38"/>
  <c r="P40" i="38"/>
  <c r="F23" i="37"/>
  <c r="F99" i="37" s="1"/>
  <c r="E99" i="37" s="1"/>
  <c r="E24" i="37"/>
  <c r="E97" i="37"/>
  <c r="J41" i="38"/>
  <c r="P41" i="38" s="1"/>
  <c r="I42" i="38"/>
  <c r="E63" i="37"/>
  <c r="F62" i="37"/>
  <c r="J98" i="37"/>
  <c r="P22" i="37"/>
  <c r="F81" i="38"/>
  <c r="E82" i="38"/>
  <c r="M64" i="37"/>
  <c r="N63" i="37"/>
  <c r="I62" i="38"/>
  <c r="J61" i="38"/>
  <c r="P61" i="38" s="1"/>
  <c r="F61" i="38"/>
  <c r="E62" i="38"/>
  <c r="P22" i="38"/>
  <c r="I24" i="38"/>
  <c r="J23" i="38"/>
  <c r="P97" i="38"/>
  <c r="I97" i="38"/>
  <c r="M43" i="38" l="1"/>
  <c r="N42" i="38"/>
  <c r="N99" i="38" s="1"/>
  <c r="M99" i="38" s="1"/>
  <c r="N64" i="38"/>
  <c r="F24" i="38"/>
  <c r="E25" i="38"/>
  <c r="I97" i="37"/>
  <c r="J43" i="37"/>
  <c r="M85" i="37"/>
  <c r="N84" i="37"/>
  <c r="J99" i="37"/>
  <c r="I99" i="37" s="1"/>
  <c r="F99" i="38"/>
  <c r="E99" i="38" s="1"/>
  <c r="J62" i="37"/>
  <c r="P62" i="37" s="1"/>
  <c r="I63" i="37"/>
  <c r="N81" i="38"/>
  <c r="P81" i="38" s="1"/>
  <c r="M82" i="38"/>
  <c r="N43" i="37"/>
  <c r="P42" i="37"/>
  <c r="N99" i="37"/>
  <c r="M99" i="37" s="1"/>
  <c r="J98" i="38"/>
  <c r="P98" i="38" s="1"/>
  <c r="I84" i="38"/>
  <c r="J83" i="38"/>
  <c r="F47" i="37"/>
  <c r="E83" i="37"/>
  <c r="F82" i="37"/>
  <c r="I83" i="37"/>
  <c r="J82" i="37"/>
  <c r="P82" i="37" s="1"/>
  <c r="M26" i="38"/>
  <c r="N25" i="38"/>
  <c r="J25" i="37"/>
  <c r="F63" i="37"/>
  <c r="E64" i="37"/>
  <c r="E25" i="37"/>
  <c r="E26" i="37" s="1"/>
  <c r="E27" i="37" s="1"/>
  <c r="E28" i="37" s="1"/>
  <c r="E29" i="37" s="1"/>
  <c r="E30" i="37" s="1"/>
  <c r="E31" i="37" s="1"/>
  <c r="F24" i="37"/>
  <c r="E44" i="38"/>
  <c r="F43" i="38"/>
  <c r="I43" i="38"/>
  <c r="J42" i="38"/>
  <c r="M65" i="37"/>
  <c r="N64" i="37"/>
  <c r="F82" i="38"/>
  <c r="E83" i="38"/>
  <c r="P98" i="37"/>
  <c r="I98" i="37"/>
  <c r="N65" i="38"/>
  <c r="M66" i="38"/>
  <c r="P24" i="37"/>
  <c r="N26" i="37"/>
  <c r="J62" i="38"/>
  <c r="P62" i="38" s="1"/>
  <c r="I63" i="38"/>
  <c r="F62" i="38"/>
  <c r="E63" i="38"/>
  <c r="P23" i="38"/>
  <c r="I25" i="38"/>
  <c r="J24" i="38"/>
  <c r="P42" i="38" l="1"/>
  <c r="N43" i="38"/>
  <c r="N100" i="38" s="1"/>
  <c r="M100" i="38" s="1"/>
  <c r="M44" i="38"/>
  <c r="E26" i="38"/>
  <c r="F25" i="38"/>
  <c r="I98" i="38"/>
  <c r="J100" i="37"/>
  <c r="I100" i="37" s="1"/>
  <c r="J44" i="37"/>
  <c r="M86" i="37"/>
  <c r="N85" i="37"/>
  <c r="P99" i="37"/>
  <c r="N82" i="38"/>
  <c r="P82" i="38" s="1"/>
  <c r="M83" i="38"/>
  <c r="N44" i="37"/>
  <c r="J63" i="37"/>
  <c r="P63" i="37" s="1"/>
  <c r="I64" i="37"/>
  <c r="P43" i="37"/>
  <c r="N100" i="37"/>
  <c r="M100" i="37" s="1"/>
  <c r="I85" i="38"/>
  <c r="J84" i="38"/>
  <c r="M27" i="38"/>
  <c r="N26" i="38"/>
  <c r="J83" i="37"/>
  <c r="P83" i="37" s="1"/>
  <c r="I84" i="37"/>
  <c r="F48" i="37"/>
  <c r="F83" i="37"/>
  <c r="E84" i="37"/>
  <c r="N66" i="38"/>
  <c r="M67" i="38"/>
  <c r="N27" i="37"/>
  <c r="I44" i="38"/>
  <c r="J43" i="38"/>
  <c r="J100" i="38" s="1"/>
  <c r="F100" i="38"/>
  <c r="E100" i="38" s="1"/>
  <c r="J26" i="37"/>
  <c r="F44" i="38"/>
  <c r="E45" i="38"/>
  <c r="F100" i="37"/>
  <c r="F64" i="37"/>
  <c r="E65" i="37"/>
  <c r="E84" i="38"/>
  <c r="F83" i="38"/>
  <c r="M66" i="37"/>
  <c r="N65" i="37"/>
  <c r="F25" i="37"/>
  <c r="F101" i="37" s="1"/>
  <c r="E101" i="37" s="1"/>
  <c r="J99" i="38"/>
  <c r="I99" i="38" s="1"/>
  <c r="P25" i="37"/>
  <c r="J63" i="38"/>
  <c r="P63" i="38" s="1"/>
  <c r="I64" i="38"/>
  <c r="F63" i="38"/>
  <c r="E64" i="38"/>
  <c r="P24" i="38"/>
  <c r="I26" i="38"/>
  <c r="J25" i="38"/>
  <c r="N44" i="38" l="1"/>
  <c r="N101" i="38" s="1"/>
  <c r="M101" i="38" s="1"/>
  <c r="M45" i="38"/>
  <c r="E27" i="38"/>
  <c r="F26" i="38"/>
  <c r="J101" i="37"/>
  <c r="I101" i="37" s="1"/>
  <c r="J45" i="37"/>
  <c r="N86" i="37"/>
  <c r="M87" i="37"/>
  <c r="P99" i="38"/>
  <c r="P100" i="37"/>
  <c r="N45" i="37"/>
  <c r="F101" i="38"/>
  <c r="E101" i="38" s="1"/>
  <c r="N101" i="37"/>
  <c r="M101" i="37" s="1"/>
  <c r="P44" i="37"/>
  <c r="M84" i="38"/>
  <c r="N83" i="38"/>
  <c r="P83" i="38" s="1"/>
  <c r="J64" i="37"/>
  <c r="I65" i="37"/>
  <c r="N27" i="38"/>
  <c r="M28" i="38"/>
  <c r="E85" i="37"/>
  <c r="F84" i="37"/>
  <c r="J84" i="37"/>
  <c r="P84" i="37" s="1"/>
  <c r="I85" i="37"/>
  <c r="I86" i="38"/>
  <c r="J85" i="38"/>
  <c r="F49" i="37"/>
  <c r="F50" i="37"/>
  <c r="F26" i="37"/>
  <c r="F102" i="37" s="1"/>
  <c r="E102" i="37" s="1"/>
  <c r="F84" i="38"/>
  <c r="E85" i="38"/>
  <c r="P26" i="37"/>
  <c r="I45" i="38"/>
  <c r="J44" i="38"/>
  <c r="E100" i="37"/>
  <c r="J27" i="37"/>
  <c r="N28" i="37"/>
  <c r="F65" i="37"/>
  <c r="E66" i="37"/>
  <c r="E46" i="38"/>
  <c r="F45" i="38"/>
  <c r="N67" i="38"/>
  <c r="M68" i="38"/>
  <c r="M67" i="37"/>
  <c r="N66" i="37"/>
  <c r="P43" i="38"/>
  <c r="J64" i="38"/>
  <c r="I65" i="38"/>
  <c r="E65" i="38"/>
  <c r="F64" i="38"/>
  <c r="P25" i="38"/>
  <c r="I27" i="38"/>
  <c r="J26" i="38"/>
  <c r="I100" i="38"/>
  <c r="P100" i="38"/>
  <c r="P44" i="38" l="1"/>
  <c r="N45" i="38"/>
  <c r="M46" i="38"/>
  <c r="F27" i="38"/>
  <c r="E28" i="38"/>
  <c r="J46" i="37"/>
  <c r="P101" i="37"/>
  <c r="N87" i="37"/>
  <c r="M88" i="37"/>
  <c r="N88" i="37" s="1"/>
  <c r="N102" i="38"/>
  <c r="M102" i="38" s="1"/>
  <c r="N84" i="38"/>
  <c r="P84" i="38" s="1"/>
  <c r="M85" i="38"/>
  <c r="N46" i="37"/>
  <c r="P64" i="37"/>
  <c r="J102" i="37"/>
  <c r="I102" i="37" s="1"/>
  <c r="F52" i="37"/>
  <c r="E52" i="37" s="1"/>
  <c r="J65" i="37"/>
  <c r="P65" i="37" s="1"/>
  <c r="I66" i="37"/>
  <c r="N102" i="37"/>
  <c r="M102" i="37" s="1"/>
  <c r="P45" i="37"/>
  <c r="J86" i="38"/>
  <c r="I87" i="38"/>
  <c r="F85" i="37"/>
  <c r="E86" i="37"/>
  <c r="I86" i="37"/>
  <c r="J85" i="37"/>
  <c r="P85" i="37" s="1"/>
  <c r="M29" i="38"/>
  <c r="N28" i="38"/>
  <c r="N29" i="37"/>
  <c r="P27" i="37"/>
  <c r="N68" i="38"/>
  <c r="M69" i="38"/>
  <c r="N69" i="38" s="1"/>
  <c r="E47" i="38"/>
  <c r="F46" i="38"/>
  <c r="F27" i="37"/>
  <c r="F103" i="37" s="1"/>
  <c r="E103" i="37" s="1"/>
  <c r="I46" i="38"/>
  <c r="J45" i="38"/>
  <c r="J102" i="38" s="1"/>
  <c r="M68" i="37"/>
  <c r="N67" i="37"/>
  <c r="F66" i="37"/>
  <c r="E67" i="37"/>
  <c r="J28" i="37"/>
  <c r="E86" i="38"/>
  <c r="F85" i="38"/>
  <c r="J101" i="38"/>
  <c r="I101" i="38" s="1"/>
  <c r="F102" i="38"/>
  <c r="E102" i="38" s="1"/>
  <c r="I66" i="38"/>
  <c r="J65" i="38"/>
  <c r="P65" i="38" s="1"/>
  <c r="P64" i="38"/>
  <c r="F65" i="38"/>
  <c r="E66" i="38"/>
  <c r="P26" i="38"/>
  <c r="J27" i="38"/>
  <c r="I28" i="38"/>
  <c r="M47" i="38" l="1"/>
  <c r="N46" i="38"/>
  <c r="N103" i="38" s="1"/>
  <c r="M103" i="38" s="1"/>
  <c r="F28" i="38"/>
  <c r="E29" i="38"/>
  <c r="J103" i="37"/>
  <c r="J47" i="37"/>
  <c r="N90" i="37"/>
  <c r="P101" i="38"/>
  <c r="P102" i="37"/>
  <c r="P46" i="37"/>
  <c r="N103" i="37"/>
  <c r="M103" i="37" s="1"/>
  <c r="J66" i="37"/>
  <c r="P66" i="37" s="1"/>
  <c r="I67" i="37"/>
  <c r="N47" i="37"/>
  <c r="M86" i="38"/>
  <c r="N85" i="38"/>
  <c r="P85" i="38" s="1"/>
  <c r="N71" i="38"/>
  <c r="N29" i="38"/>
  <c r="M30" i="38"/>
  <c r="J86" i="37"/>
  <c r="P86" i="37" s="1"/>
  <c r="I87" i="37"/>
  <c r="E87" i="37"/>
  <c r="F86" i="37"/>
  <c r="I88" i="38"/>
  <c r="J88" i="38" s="1"/>
  <c r="J87" i="38"/>
  <c r="F28" i="37"/>
  <c r="F104" i="37" s="1"/>
  <c r="E104" i="37" s="1"/>
  <c r="E87" i="38"/>
  <c r="F86" i="38"/>
  <c r="P28" i="37"/>
  <c r="N68" i="37"/>
  <c r="M69" i="37"/>
  <c r="N69" i="37" s="1"/>
  <c r="N30" i="37"/>
  <c r="N31" i="37"/>
  <c r="F103" i="38"/>
  <c r="E103" i="38" s="1"/>
  <c r="F67" i="37"/>
  <c r="E68" i="37"/>
  <c r="P45" i="38"/>
  <c r="E48" i="38"/>
  <c r="F47" i="38"/>
  <c r="J29" i="37"/>
  <c r="J46" i="38"/>
  <c r="I47" i="38"/>
  <c r="I103" i="37"/>
  <c r="I67" i="38"/>
  <c r="J66" i="38"/>
  <c r="P66" i="38" s="1"/>
  <c r="E67" i="38"/>
  <c r="F66" i="38"/>
  <c r="J28" i="38"/>
  <c r="I29" i="38"/>
  <c r="P27" i="38"/>
  <c r="I102" i="38"/>
  <c r="P102" i="38"/>
  <c r="P46" i="38" l="1"/>
  <c r="N47" i="38"/>
  <c r="N104" i="38" s="1"/>
  <c r="M104" i="38" s="1"/>
  <c r="M48" i="38"/>
  <c r="E30" i="38"/>
  <c r="F29" i="38"/>
  <c r="J48" i="37"/>
  <c r="P103" i="37"/>
  <c r="N104" i="37"/>
  <c r="M104" i="37" s="1"/>
  <c r="P47" i="37"/>
  <c r="J104" i="37"/>
  <c r="I104" i="37" s="1"/>
  <c r="N48" i="37"/>
  <c r="M87" i="38"/>
  <c r="N86" i="38"/>
  <c r="P86" i="38" s="1"/>
  <c r="J67" i="37"/>
  <c r="P67" i="37" s="1"/>
  <c r="I68" i="37"/>
  <c r="J87" i="37"/>
  <c r="I88" i="37"/>
  <c r="J88" i="37" s="1"/>
  <c r="P88" i="37" s="1"/>
  <c r="N30" i="38"/>
  <c r="M31" i="38"/>
  <c r="N31" i="38" s="1"/>
  <c r="J90" i="38"/>
  <c r="I90" i="38" s="1"/>
  <c r="E88" i="37"/>
  <c r="F88" i="37" s="1"/>
  <c r="F87" i="37"/>
  <c r="P29" i="37"/>
  <c r="F104" i="38"/>
  <c r="E104" i="38" s="1"/>
  <c r="F68" i="37"/>
  <c r="E69" i="37"/>
  <c r="F69" i="37" s="1"/>
  <c r="E49" i="38"/>
  <c r="F48" i="38"/>
  <c r="N33" i="37"/>
  <c r="M33" i="37" s="1"/>
  <c r="F29" i="37"/>
  <c r="F105" i="37" s="1"/>
  <c r="J30" i="37"/>
  <c r="J31" i="37"/>
  <c r="J47" i="38"/>
  <c r="I48" i="38"/>
  <c r="N71" i="37"/>
  <c r="F87" i="38"/>
  <c r="E88" i="38"/>
  <c r="F88" i="38" s="1"/>
  <c r="J103" i="38"/>
  <c r="I103" i="38" s="1"/>
  <c r="I68" i="38"/>
  <c r="J67" i="38"/>
  <c r="P67" i="38" s="1"/>
  <c r="E68" i="38"/>
  <c r="F67" i="38"/>
  <c r="J29" i="38"/>
  <c r="I30" i="38"/>
  <c r="P28" i="38"/>
  <c r="P47" i="38" l="1"/>
  <c r="N48" i="38"/>
  <c r="N105" i="38" s="1"/>
  <c r="M105" i="38" s="1"/>
  <c r="M49" i="38"/>
  <c r="E31" i="38"/>
  <c r="F31" i="38" s="1"/>
  <c r="F30" i="38"/>
  <c r="J49" i="37"/>
  <c r="J50" i="37"/>
  <c r="P104" i="37"/>
  <c r="F90" i="37"/>
  <c r="E90" i="37" s="1"/>
  <c r="N33" i="38"/>
  <c r="M33" i="38" s="1"/>
  <c r="N50" i="37"/>
  <c r="N49" i="37"/>
  <c r="M88" i="38"/>
  <c r="N88" i="38" s="1"/>
  <c r="P88" i="38" s="1"/>
  <c r="N87" i="38"/>
  <c r="N105" i="37"/>
  <c r="P48" i="37"/>
  <c r="J104" i="38"/>
  <c r="I104" i="38" s="1"/>
  <c r="F71" i="37"/>
  <c r="E71" i="37" s="1"/>
  <c r="J105" i="37"/>
  <c r="I105" i="37" s="1"/>
  <c r="J68" i="37"/>
  <c r="P68" i="37" s="1"/>
  <c r="I69" i="37"/>
  <c r="J69" i="37" s="1"/>
  <c r="P69" i="37" s="1"/>
  <c r="P87" i="37"/>
  <c r="P90" i="37" s="1"/>
  <c r="J90" i="37"/>
  <c r="I90" i="37" s="1"/>
  <c r="F90" i="38"/>
  <c r="E90" i="38" s="1"/>
  <c r="F31" i="37"/>
  <c r="F30" i="37"/>
  <c r="F106" i="37" s="1"/>
  <c r="E106" i="37" s="1"/>
  <c r="F105" i="38"/>
  <c r="E105" i="38" s="1"/>
  <c r="I49" i="38"/>
  <c r="J48" i="38"/>
  <c r="P31" i="37"/>
  <c r="J33" i="37"/>
  <c r="I33" i="37" s="1"/>
  <c r="F49" i="38"/>
  <c r="E50" i="38"/>
  <c r="F50" i="38" s="1"/>
  <c r="P103" i="38"/>
  <c r="E105" i="37"/>
  <c r="P30" i="37"/>
  <c r="I69" i="38"/>
  <c r="J69" i="38" s="1"/>
  <c r="J68" i="38"/>
  <c r="P68" i="38" s="1"/>
  <c r="F68" i="38"/>
  <c r="E69" i="38"/>
  <c r="F69" i="38" s="1"/>
  <c r="J30" i="38"/>
  <c r="I31" i="38"/>
  <c r="J31" i="38" s="1"/>
  <c r="P29" i="38"/>
  <c r="P48" i="38" l="1"/>
  <c r="M50" i="38"/>
  <c r="N50" i="38" s="1"/>
  <c r="N107" i="38" s="1"/>
  <c r="M107" i="38" s="1"/>
  <c r="N49" i="38"/>
  <c r="F33" i="38"/>
  <c r="E33" i="38" s="1"/>
  <c r="J52" i="37"/>
  <c r="I52" i="37" s="1"/>
  <c r="P105" i="37"/>
  <c r="J106" i="37"/>
  <c r="I106" i="37" s="1"/>
  <c r="P71" i="37"/>
  <c r="P104" i="38"/>
  <c r="P49" i="37"/>
  <c r="N52" i="37"/>
  <c r="M52" i="37" s="1"/>
  <c r="N106" i="37"/>
  <c r="M106" i="37" s="1"/>
  <c r="N90" i="38"/>
  <c r="P87" i="38"/>
  <c r="P90" i="38" s="1"/>
  <c r="J107" i="37"/>
  <c r="I107" i="37" s="1"/>
  <c r="J71" i="37"/>
  <c r="I71" i="37" s="1"/>
  <c r="M105" i="37"/>
  <c r="N107" i="37"/>
  <c r="M107" i="37" s="1"/>
  <c r="P50" i="37"/>
  <c r="F106" i="38"/>
  <c r="F71" i="38"/>
  <c r="E71" i="38" s="1"/>
  <c r="J49" i="38"/>
  <c r="I50" i="38"/>
  <c r="J50" i="38" s="1"/>
  <c r="J107" i="38" s="1"/>
  <c r="F107" i="37"/>
  <c r="F33" i="37"/>
  <c r="E33" i="37" s="1"/>
  <c r="P33" i="37"/>
  <c r="J105" i="38"/>
  <c r="P105" i="38" s="1"/>
  <c r="F52" i="38"/>
  <c r="E52" i="38" s="1"/>
  <c r="F107" i="38"/>
  <c r="E107" i="38" s="1"/>
  <c r="P69" i="38"/>
  <c r="P71" i="38" s="1"/>
  <c r="J71" i="38"/>
  <c r="I71" i="38" s="1"/>
  <c r="P31" i="38"/>
  <c r="J33" i="38"/>
  <c r="I33" i="38" s="1"/>
  <c r="P30" i="38"/>
  <c r="N52" i="38" l="1"/>
  <c r="M52" i="38" s="1"/>
  <c r="P49" i="38"/>
  <c r="N106" i="38"/>
  <c r="P106" i="37"/>
  <c r="J106" i="38"/>
  <c r="I106" i="38" s="1"/>
  <c r="I105" i="38"/>
  <c r="P107" i="37"/>
  <c r="J109" i="37"/>
  <c r="I109" i="37" s="1"/>
  <c r="P52" i="37"/>
  <c r="N109" i="37"/>
  <c r="M109" i="37" s="1"/>
  <c r="P33" i="38"/>
  <c r="P50" i="38"/>
  <c r="J52" i="38"/>
  <c r="I52" i="38" s="1"/>
  <c r="E107" i="37"/>
  <c r="F109" i="37"/>
  <c r="E106" i="38"/>
  <c r="F109" i="38"/>
  <c r="I107" i="38"/>
  <c r="P107" i="38"/>
  <c r="N109" i="38" l="1"/>
  <c r="M109" i="38" s="1"/>
  <c r="M106" i="38"/>
  <c r="P52" i="38"/>
  <c r="J109" i="38"/>
  <c r="I109" i="38" s="1"/>
  <c r="P106" i="38"/>
  <c r="P109" i="38" s="1"/>
  <c r="P113" i="38" s="1"/>
  <c r="P109" i="37"/>
  <c r="P113" i="37" s="1"/>
  <c r="E109" i="38"/>
  <c r="E109" i="37"/>
  <c r="H52" i="62" l="1"/>
  <c r="H54" i="62" s="1"/>
  <c r="L51" i="62" l="1"/>
  <c r="M51" i="62" s="1"/>
  <c r="K52" i="62"/>
  <c r="K54" i="62" s="1"/>
  <c r="L52" i="62" l="1"/>
  <c r="M52" i="62" s="1"/>
  <c r="L54" i="62"/>
  <c r="M54" i="62" s="1"/>
  <c r="T30" i="56"/>
  <c r="T31" i="56" l="1"/>
  <c r="T32" i="56" l="1"/>
  <c r="T33" i="56" l="1"/>
  <c r="T34" i="56"/>
  <c r="C32" i="90"/>
  <c r="C184" i="90"/>
  <c r="I138" i="90" s="1"/>
  <c r="I66" i="90" l="1"/>
  <c r="I63" i="90"/>
  <c r="I150" i="90"/>
  <c r="I74" i="90"/>
  <c r="I98" i="90"/>
  <c r="I44" i="90"/>
  <c r="I85" i="90"/>
  <c r="I57" i="90"/>
  <c r="I99" i="90"/>
  <c r="I105" i="90"/>
  <c r="I58" i="90"/>
  <c r="I128" i="90"/>
  <c r="I82" i="90"/>
  <c r="I48" i="90"/>
  <c r="I80" i="90"/>
  <c r="I110" i="90"/>
  <c r="I171" i="90"/>
  <c r="I90" i="90"/>
  <c r="I139" i="90"/>
  <c r="I179" i="90"/>
  <c r="I175" i="90"/>
  <c r="I55" i="90"/>
  <c r="I111" i="90"/>
  <c r="I120" i="90"/>
  <c r="I113" i="90"/>
  <c r="I136" i="90"/>
  <c r="I156" i="90"/>
  <c r="I161" i="90"/>
  <c r="I122" i="90"/>
  <c r="I92" i="90"/>
  <c r="I176" i="90"/>
  <c r="I36" i="90"/>
  <c r="I97" i="90"/>
  <c r="I124" i="90"/>
  <c r="I126" i="90"/>
  <c r="I71" i="90"/>
  <c r="I169" i="90"/>
  <c r="I134" i="90"/>
  <c r="I50" i="90"/>
  <c r="I76" i="90"/>
  <c r="I68" i="90"/>
  <c r="I127" i="90"/>
  <c r="I56" i="90"/>
  <c r="I89" i="90"/>
  <c r="I141" i="90"/>
  <c r="I154" i="90"/>
  <c r="I114" i="90"/>
  <c r="I47" i="90"/>
  <c r="I40" i="90"/>
  <c r="I146" i="90"/>
  <c r="I84" i="90"/>
  <c r="I137" i="90"/>
  <c r="I165" i="90"/>
  <c r="I125" i="90"/>
  <c r="I153" i="90"/>
  <c r="I152" i="90"/>
  <c r="I129" i="90"/>
  <c r="I166" i="90"/>
  <c r="I53" i="90"/>
  <c r="I88" i="90"/>
  <c r="I149" i="90"/>
  <c r="I131" i="90"/>
  <c r="I77" i="90"/>
  <c r="I100" i="90"/>
  <c r="I159" i="90"/>
  <c r="I72" i="90"/>
  <c r="I177" i="90"/>
  <c r="I70" i="90"/>
  <c r="I143" i="90"/>
  <c r="I91" i="90"/>
  <c r="I42" i="90"/>
  <c r="I35" i="90"/>
  <c r="I123" i="90"/>
  <c r="I52" i="90"/>
  <c r="I144" i="90"/>
  <c r="I69" i="90"/>
  <c r="I115" i="90"/>
  <c r="I168" i="90"/>
  <c r="I96" i="90"/>
  <c r="I178" i="90"/>
  <c r="I65" i="90"/>
  <c r="I147" i="90"/>
  <c r="I121" i="90"/>
  <c r="I170" i="90"/>
  <c r="I51" i="90"/>
  <c r="I182" i="90"/>
  <c r="I75" i="90"/>
  <c r="I94" i="90"/>
  <c r="I135" i="90"/>
  <c r="I112" i="90"/>
  <c r="I81" i="90"/>
  <c r="I93" i="90"/>
  <c r="I46" i="90"/>
  <c r="I41" i="90"/>
  <c r="I45" i="90"/>
  <c r="I118" i="90"/>
  <c r="I180" i="90"/>
  <c r="I102" i="90"/>
  <c r="I163" i="90"/>
  <c r="I104" i="90"/>
  <c r="I67" i="90"/>
  <c r="I157" i="90"/>
  <c r="I183" i="90"/>
  <c r="I87" i="90"/>
  <c r="I54" i="90"/>
  <c r="I117" i="90"/>
  <c r="I64" i="90"/>
  <c r="I174" i="90"/>
  <c r="I151" i="90"/>
  <c r="I162" i="90"/>
  <c r="I34" i="90"/>
  <c r="I101" i="90"/>
  <c r="I140" i="90"/>
  <c r="I86" i="90"/>
  <c r="I108" i="90"/>
  <c r="I164" i="90"/>
  <c r="I172" i="90"/>
  <c r="I39" i="90"/>
  <c r="I59" i="90"/>
  <c r="I43" i="90"/>
  <c r="I145" i="90"/>
  <c r="I167" i="90"/>
  <c r="I173" i="90"/>
  <c r="I95" i="90"/>
  <c r="I106" i="90"/>
  <c r="I119" i="90"/>
  <c r="I160" i="90"/>
  <c r="I103" i="90"/>
  <c r="I155" i="90"/>
  <c r="I133" i="90"/>
  <c r="I148" i="90"/>
  <c r="I142" i="90"/>
  <c r="I62" i="90"/>
  <c r="I79" i="90"/>
  <c r="I73" i="90"/>
  <c r="I158" i="90"/>
  <c r="I61" i="90"/>
  <c r="I37" i="90"/>
  <c r="I49" i="90"/>
  <c r="I78" i="90"/>
  <c r="I83" i="90"/>
  <c r="I116" i="90"/>
  <c r="I130" i="90"/>
  <c r="I107" i="90"/>
  <c r="I109" i="90"/>
  <c r="I38" i="90"/>
  <c r="I132" i="90"/>
  <c r="I60" i="90"/>
  <c r="I181" i="90"/>
  <c r="I184" i="90" l="1"/>
  <c r="H23" i="90" s="1"/>
  <c r="C24" i="90" l="1"/>
  <c r="C28" i="90" s="1"/>
  <c r="J45" i="90" l="1"/>
  <c r="K45" i="90" s="1"/>
  <c r="J95" i="90"/>
  <c r="K95" i="90" s="1"/>
  <c r="J69" i="90"/>
  <c r="K69" i="90" s="1"/>
  <c r="J178" i="90"/>
  <c r="K178" i="90" s="1"/>
  <c r="J77" i="90"/>
  <c r="K77" i="90" s="1"/>
  <c r="J180" i="90"/>
  <c r="K180" i="90" s="1"/>
  <c r="J91" i="90"/>
  <c r="K91" i="90" s="1"/>
  <c r="J75" i="90"/>
  <c r="K75" i="90" s="1"/>
  <c r="J142" i="90"/>
  <c r="K142" i="90" s="1"/>
  <c r="J42" i="90"/>
  <c r="K42" i="90" s="1"/>
  <c r="J169" i="90"/>
  <c r="K169" i="90" s="1"/>
  <c r="J67" i="90"/>
  <c r="K67" i="90" s="1"/>
  <c r="J105" i="90"/>
  <c r="K105" i="90" s="1"/>
  <c r="J52" i="90"/>
  <c r="K52" i="90" s="1"/>
  <c r="J37" i="90"/>
  <c r="K37" i="90" s="1"/>
  <c r="J163" i="90"/>
  <c r="K163" i="90" s="1"/>
  <c r="J122" i="90"/>
  <c r="K122" i="90" s="1"/>
  <c r="J46" i="90"/>
  <c r="K46" i="90" s="1"/>
  <c r="J63" i="90"/>
  <c r="K63" i="90" s="1"/>
  <c r="J72" i="90"/>
  <c r="K72" i="90" s="1"/>
  <c r="J133" i="90"/>
  <c r="K133" i="90" s="1"/>
  <c r="J96" i="90"/>
  <c r="K96" i="90" s="1"/>
  <c r="J103" i="90"/>
  <c r="K103" i="90" s="1"/>
  <c r="J40" i="90"/>
  <c r="K40" i="90" s="1"/>
  <c r="J55" i="90"/>
  <c r="K55" i="90" s="1"/>
  <c r="J150" i="90"/>
  <c r="K150" i="90" s="1"/>
  <c r="J71" i="90"/>
  <c r="K71" i="90" s="1"/>
  <c r="J57" i="90"/>
  <c r="K57" i="90" s="1"/>
  <c r="J35" i="90"/>
  <c r="K35" i="90" s="1"/>
  <c r="J158" i="90"/>
  <c r="K158" i="90" s="1"/>
  <c r="J121" i="90"/>
  <c r="K121" i="90" s="1"/>
  <c r="J68" i="90"/>
  <c r="K68" i="90" s="1"/>
  <c r="J54" i="90"/>
  <c r="K54" i="90" s="1"/>
  <c r="J48" i="90"/>
  <c r="K48" i="90" s="1"/>
  <c r="J168" i="90"/>
  <c r="K168" i="90" s="1"/>
  <c r="J116" i="90"/>
  <c r="K116" i="90" s="1"/>
  <c r="J34" i="90"/>
  <c r="K34" i="90" s="1"/>
  <c r="J181" i="90"/>
  <c r="K181" i="90" s="1"/>
  <c r="J41" i="90"/>
  <c r="K41" i="90" s="1"/>
  <c r="J130" i="90"/>
  <c r="K130" i="90" s="1"/>
  <c r="J84" i="90"/>
  <c r="K84" i="90" s="1"/>
  <c r="C29" i="90"/>
  <c r="J101" i="90"/>
  <c r="K101" i="90" s="1"/>
  <c r="J66" i="90"/>
  <c r="K66" i="90" s="1"/>
  <c r="J53" i="90"/>
  <c r="K53" i="90" s="1"/>
  <c r="J157" i="90"/>
  <c r="K157" i="90" s="1"/>
  <c r="J179" i="90"/>
  <c r="K179" i="90" s="1"/>
  <c r="J60" i="90"/>
  <c r="K60" i="90" s="1"/>
  <c r="J108" i="90"/>
  <c r="K108" i="90" s="1"/>
  <c r="J165" i="90"/>
  <c r="K165" i="90" s="1"/>
  <c r="J61" i="90"/>
  <c r="K61" i="90" s="1"/>
  <c r="J136" i="90"/>
  <c r="K136" i="90" s="1"/>
  <c r="J112" i="90"/>
  <c r="K112" i="90" s="1"/>
  <c r="J85" i="90"/>
  <c r="K85" i="90" s="1"/>
  <c r="J148" i="90"/>
  <c r="K148" i="90" s="1"/>
  <c r="J141" i="90"/>
  <c r="K141" i="90" s="1"/>
  <c r="J140" i="90"/>
  <c r="K140" i="90" s="1"/>
  <c r="J90" i="90"/>
  <c r="K90" i="90" s="1"/>
  <c r="J147" i="90"/>
  <c r="K147" i="90" s="1"/>
  <c r="J38" i="90"/>
  <c r="K38" i="90" s="1"/>
  <c r="J110" i="90"/>
  <c r="K110" i="90" s="1"/>
  <c r="J145" i="90"/>
  <c r="K145" i="90" s="1"/>
  <c r="J65" i="90"/>
  <c r="K65" i="90" s="1"/>
  <c r="J125" i="90"/>
  <c r="K125" i="90" s="1"/>
  <c r="J114" i="90"/>
  <c r="K114" i="90" s="1"/>
  <c r="J137" i="90"/>
  <c r="K137" i="90" s="1"/>
  <c r="J120" i="90"/>
  <c r="K120" i="90" s="1"/>
  <c r="J94" i="90"/>
  <c r="K94" i="90" s="1"/>
  <c r="J151" i="90"/>
  <c r="K151" i="90" s="1"/>
  <c r="J160" i="90"/>
  <c r="K160" i="90" s="1"/>
  <c r="J129" i="90"/>
  <c r="K129" i="90" s="1"/>
  <c r="J92" i="90"/>
  <c r="K92" i="90" s="1"/>
  <c r="J58" i="90"/>
  <c r="K58" i="90" s="1"/>
  <c r="J89" i="90"/>
  <c r="K89" i="90" s="1"/>
  <c r="J172" i="90"/>
  <c r="K172" i="90" s="1"/>
  <c r="J138" i="90"/>
  <c r="K138" i="90" s="1"/>
  <c r="J107" i="90"/>
  <c r="K107" i="90" s="1"/>
  <c r="J97" i="90"/>
  <c r="K97" i="90" s="1"/>
  <c r="J44" i="90"/>
  <c r="K44" i="90" s="1"/>
  <c r="J79" i="90"/>
  <c r="K79" i="90" s="1"/>
  <c r="J70" i="90"/>
  <c r="K70" i="90" s="1"/>
  <c r="J155" i="90"/>
  <c r="K155" i="90" s="1"/>
  <c r="J98" i="90"/>
  <c r="K98" i="90" s="1"/>
  <c r="J143" i="90"/>
  <c r="K143" i="90" s="1"/>
  <c r="J144" i="90"/>
  <c r="K144" i="90" s="1"/>
  <c r="J127" i="90"/>
  <c r="K127" i="90" s="1"/>
  <c r="J117" i="90"/>
  <c r="K117" i="90" s="1"/>
  <c r="J111" i="90"/>
  <c r="K111" i="90" s="1"/>
  <c r="J49" i="90"/>
  <c r="K49" i="90" s="1"/>
  <c r="J149" i="90"/>
  <c r="K149" i="90" s="1"/>
  <c r="J126" i="90"/>
  <c r="K126" i="90" s="1"/>
  <c r="J124" i="90"/>
  <c r="K124" i="90" s="1"/>
  <c r="J102" i="90"/>
  <c r="K102" i="90" s="1"/>
  <c r="J80" i="90"/>
  <c r="K80" i="90" s="1"/>
  <c r="J47" i="90"/>
  <c r="K47" i="90" s="1"/>
  <c r="J64" i="90"/>
  <c r="K64" i="90" s="1"/>
  <c r="J106" i="90"/>
  <c r="K106" i="90" s="1"/>
  <c r="J182" i="90"/>
  <c r="K182" i="90" s="1"/>
  <c r="J173" i="90"/>
  <c r="K173" i="90" s="1"/>
  <c r="J170" i="90"/>
  <c r="K170" i="90" s="1"/>
  <c r="J76" i="90"/>
  <c r="K76" i="90" s="1"/>
  <c r="J87" i="90"/>
  <c r="K87" i="90" s="1"/>
  <c r="J62" i="90"/>
  <c r="K62" i="90" s="1"/>
  <c r="J99" i="90"/>
  <c r="K99" i="90" s="1"/>
  <c r="J123" i="90"/>
  <c r="K123" i="90" s="1"/>
  <c r="J81" i="90"/>
  <c r="K81" i="90" s="1"/>
  <c r="J154" i="90"/>
  <c r="K154" i="90" s="1"/>
  <c r="J162" i="90"/>
  <c r="K162" i="90" s="1"/>
  <c r="J176" i="90"/>
  <c r="K176" i="90" s="1"/>
  <c r="J135" i="90"/>
  <c r="K135" i="90" s="1"/>
  <c r="J131" i="90"/>
  <c r="K131" i="90" s="1"/>
  <c r="J177" i="90"/>
  <c r="K177" i="90" s="1"/>
  <c r="J88" i="90"/>
  <c r="K88" i="90" s="1"/>
  <c r="J128" i="90"/>
  <c r="K128" i="90" s="1"/>
  <c r="J36" i="90"/>
  <c r="K36" i="90" s="1"/>
  <c r="J109" i="90"/>
  <c r="K109" i="90" s="1"/>
  <c r="J159" i="90"/>
  <c r="K159" i="90" s="1"/>
  <c r="J134" i="90"/>
  <c r="K134" i="90" s="1"/>
  <c r="J139" i="90"/>
  <c r="K139" i="90" s="1"/>
  <c r="J104" i="90"/>
  <c r="K104" i="90" s="1"/>
  <c r="J156" i="90"/>
  <c r="K156" i="90" s="1"/>
  <c r="J175" i="90"/>
  <c r="K175" i="90" s="1"/>
  <c r="J51" i="90"/>
  <c r="K51" i="90" s="1"/>
  <c r="J73" i="90"/>
  <c r="K73" i="90" s="1"/>
  <c r="J166" i="90"/>
  <c r="K166" i="90" s="1"/>
  <c r="J167" i="90"/>
  <c r="K167" i="90" s="1"/>
  <c r="J153" i="90"/>
  <c r="K153" i="90" s="1"/>
  <c r="J82" i="90"/>
  <c r="K82" i="90" s="1"/>
  <c r="J115" i="90"/>
  <c r="K115" i="90" s="1"/>
  <c r="J183" i="90"/>
  <c r="K183" i="90" s="1"/>
  <c r="J146" i="90"/>
  <c r="K146" i="90" s="1"/>
  <c r="J86" i="90"/>
  <c r="K86" i="90" s="1"/>
  <c r="J50" i="90"/>
  <c r="K50" i="90" s="1"/>
  <c r="J118" i="90"/>
  <c r="K118" i="90" s="1"/>
  <c r="J171" i="90"/>
  <c r="K171" i="90" s="1"/>
  <c r="J59" i="90"/>
  <c r="K59" i="90" s="1"/>
  <c r="J39" i="90"/>
  <c r="K39" i="90" s="1"/>
  <c r="J74" i="90"/>
  <c r="K74" i="90" s="1"/>
  <c r="J164" i="90"/>
  <c r="K164" i="90" s="1"/>
  <c r="J152" i="90"/>
  <c r="K152" i="90" s="1"/>
  <c r="J43" i="90"/>
  <c r="K43" i="90" s="1"/>
  <c r="J56" i="90"/>
  <c r="K56" i="90" s="1"/>
  <c r="J113" i="90"/>
  <c r="K113" i="90" s="1"/>
  <c r="J132" i="90"/>
  <c r="K132" i="90" s="1"/>
  <c r="J119" i="90"/>
  <c r="K119" i="90" s="1"/>
  <c r="J93" i="90"/>
  <c r="K93" i="90" s="1"/>
  <c r="J83" i="90"/>
  <c r="K83" i="90" s="1"/>
  <c r="J100" i="90"/>
  <c r="K100" i="90" s="1"/>
  <c r="J78" i="90"/>
  <c r="K78" i="90" s="1"/>
  <c r="J161" i="90"/>
  <c r="K161" i="90" s="1"/>
  <c r="J174" i="90"/>
  <c r="K174" i="90" s="1"/>
  <c r="J184" i="90" l="1"/>
  <c r="K184" i="90"/>
  <c r="F51" i="36"/>
  <c r="E51" i="36" s="1"/>
  <c r="E39" i="36"/>
  <c r="F96" i="36"/>
  <c r="F108" i="36" s="1"/>
  <c r="E108" i="36" s="1"/>
  <c r="E96" i="3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tc={AF8EE8CA-8559-4246-8201-C192CE05A26E}</author>
    <author>tc={F2997D2D-9C4F-4055-88BF-F6F7E0256F74}</author>
  </authors>
  <commentList>
    <comment ref="BW28"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It is the adjustment from 2021 GA analysis.</t>
      </text>
    </comment>
    <comment ref="BW29" authorId="1" shapeId="0" xr:uid="{00000000-0006-0000-0400-000002000000}">
      <text>
        <t>[Threaded comment]
Your version of Excel allows you to read this threaded comment; however, any edits to it will get removed if the file is opened in a newer version of Excel. Learn more: https://go.microsoft.com/fwlink/?linkid=870924
Comment:
    It is an adjustment from 2021 GA analysis.</t>
      </text>
    </comment>
  </commentList>
</comments>
</file>

<file path=xl/sharedStrings.xml><?xml version="1.0" encoding="utf-8"?>
<sst xmlns="http://schemas.openxmlformats.org/spreadsheetml/2006/main" count="85929" uniqueCount="7383">
  <si>
    <t>Version</t>
  </si>
  <si>
    <t xml:space="preserve">Utility Name   </t>
  </si>
  <si>
    <t>General Service 1,000 to 4,999 kW</t>
  </si>
  <si>
    <t>General Service Equal To Or Greater Than 1,500 kW - Interval Metered</t>
  </si>
  <si>
    <t>General Service 3,000 to 4,999 kW</t>
  </si>
  <si>
    <t>Embedded Distributor</t>
  </si>
  <si>
    <t>Service Territory</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</si>
  <si>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</si>
  <si>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</si>
  <si>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</si>
  <si>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</si>
  <si>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</si>
  <si>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</si>
  <si>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</si>
  <si>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</si>
  <si>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</si>
  <si>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</si>
  <si>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</si>
  <si>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</si>
  <si>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</si>
  <si>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</si>
  <si>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</si>
  <si>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</si>
  <si>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</si>
  <si>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</si>
  <si>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</si>
  <si>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</si>
  <si>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Wholesale Market Service Rate</t>
  </si>
  <si>
    <t>Standard Supply Service - Administrative Charge (if applicable)</t>
  </si>
  <si>
    <t>$/kW</t>
  </si>
  <si>
    <t>January</t>
  </si>
  <si>
    <t>February</t>
  </si>
  <si>
    <t>March</t>
  </si>
  <si>
    <t>April</t>
  </si>
  <si>
    <t>May</t>
  </si>
  <si>
    <t>June</t>
  </si>
  <si>
    <t>July</t>
  </si>
  <si>
    <t>August</t>
  </si>
  <si>
    <t>September</t>
  </si>
  <si>
    <t>October</t>
  </si>
  <si>
    <t>November</t>
  </si>
  <si>
    <t>December</t>
  </si>
  <si>
    <t>RSVA - Wholesale Market Service Charge</t>
  </si>
  <si>
    <t>RSVA - Retail Transmission Network Charge</t>
  </si>
  <si>
    <t>RSVA - Retail Transmission Connection Charge</t>
  </si>
  <si>
    <t>LV Variance Account</t>
  </si>
  <si>
    <t>RSVA - Power (excluding Global Adjustment)</t>
  </si>
  <si>
    <t>Total</t>
  </si>
  <si>
    <t>Rate Class</t>
  </si>
  <si>
    <t>Unit</t>
  </si>
  <si>
    <r>
      <t xml:space="preserve">% of  Total </t>
    </r>
    <r>
      <rPr>
        <b/>
        <sz val="10"/>
        <color theme="3"/>
        <rFont val="Arial"/>
        <family val="2"/>
      </rPr>
      <t>kWh</t>
    </r>
  </si>
  <si>
    <r>
      <t xml:space="preserve">% of  Total </t>
    </r>
    <r>
      <rPr>
        <b/>
        <sz val="10"/>
        <color theme="3"/>
        <rFont val="Arial"/>
        <family val="2"/>
      </rPr>
      <t>non-RPP kWh</t>
    </r>
  </si>
  <si>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</si>
  <si>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</si>
  <si>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</si>
  <si>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</si>
  <si>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</si>
  <si>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</si>
  <si>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</si>
  <si>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</si>
  <si>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</si>
  <si>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</si>
  <si>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</si>
  <si>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</si>
  <si>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</si>
  <si>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</si>
  <si>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</si>
  <si>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</si>
  <si>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Choose Stretch Factor Group</t>
  </si>
  <si>
    <t>Associated Stretch Factor Value</t>
  </si>
  <si>
    <t>Price Cap Index</t>
  </si>
  <si>
    <t>Price Escalator</t>
  </si>
  <si>
    <t>Productivity Factor</t>
  </si>
  <si>
    <t>RETAIL SERVICE CHARGES (if applicable)</t>
  </si>
  <si>
    <t>Current MFC</t>
  </si>
  <si>
    <t>Current  Volumetric Charge</t>
  </si>
  <si>
    <t>MFC Adjustment from R/C Model</t>
  </si>
  <si>
    <t>DVR Adjustment from R/C Model</t>
  </si>
  <si>
    <t>Proposed MFC</t>
  </si>
  <si>
    <t>Proposed Volumetric Charge</t>
  </si>
  <si>
    <t>Distribution Volumetric Rate</t>
  </si>
  <si>
    <t>ALLOWANCES</t>
  </si>
  <si>
    <t>%</t>
  </si>
  <si>
    <t>SPECIFIC SERVICE CHARGES</t>
  </si>
  <si>
    <t>Account set up charge/change of occupancy charge (plus credit agency costs if applicable)</t>
  </si>
  <si>
    <t>Credit Card Convenience Charge</t>
  </si>
  <si>
    <t>Dispute Test – Commercial TT -- MC</t>
  </si>
  <si>
    <t>Interval meter request change</t>
  </si>
  <si>
    <t>Meter dispute charge plus Measurement Canada fees (if meter found correct)</t>
  </si>
  <si>
    <t>Special Billing Service (sub-metering charge per meter)</t>
  </si>
  <si>
    <t>Special meter reads</t>
  </si>
  <si>
    <t>Price Cap Index to be Applied to MFC and DVR</t>
  </si>
  <si>
    <t>Bell Canada Pole Rentals</t>
  </si>
  <si>
    <t>Norfolk Pole Rentals – Billed</t>
  </si>
  <si>
    <t>Owner Requested Disconnection/Reconnection – during regular hours</t>
  </si>
  <si>
    <t>Collection/Disconnection/Load Limiter/Reconnection – if in Community</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</si>
  <si>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</si>
  <si>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</si>
  <si>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</si>
  <si>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</si>
  <si>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</si>
  <si>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</si>
  <si>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</si>
  <si>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</si>
  <si>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</si>
  <si>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</si>
  <si>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</si>
  <si>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</si>
  <si>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</si>
  <si>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</si>
  <si>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Collection of account charge – no disconnection - during regular business hours</t>
  </si>
  <si>
    <t>Disconnect/Reconnect at pole – after regular hours</t>
  </si>
  <si>
    <t>Install/Remove load control device – during regular hours</t>
  </si>
  <si>
    <t>Collection of account charge – no disconnection</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</si>
  <si>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</si>
  <si>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</si>
  <si>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</si>
  <si>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</si>
  <si>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</si>
  <si>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</si>
  <si>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</si>
  <si>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</si>
  <si>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</si>
  <si>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</si>
  <si>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</si>
  <si>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</si>
  <si>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</si>
  <si>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</si>
  <si>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</si>
  <si>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</si>
  <si>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</si>
  <si>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</si>
  <si>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</si>
  <si>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</si>
  <si>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</si>
  <si>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</si>
  <si>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</si>
  <si>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</si>
  <si>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Total Loss Factor – Secondary Metered Customer</t>
  </si>
  <si>
    <t>Total Loss Factor – Embedded Distributor – Hydro One Networks Inc.</t>
  </si>
  <si>
    <t>Total Loss Factor – Primary Metered Customer</t>
  </si>
  <si>
    <t>Low Voltage Service Charge</t>
  </si>
  <si>
    <t>Orangeville Hydro Limited</t>
  </si>
  <si>
    <t>LOSS FACTORS</t>
  </si>
  <si>
    <t>Rate Description</t>
  </si>
  <si>
    <t>Amount</t>
  </si>
  <si>
    <t>Volume</t>
  </si>
  <si>
    <t>Debt Retirement Charge (DRC)</t>
  </si>
  <si>
    <t>HST</t>
  </si>
  <si>
    <t>Ontario Clean Energy Benefit (OCEB)</t>
  </si>
  <si>
    <t xml:space="preserve">Wholesale Market Service Rate </t>
  </si>
  <si>
    <t>Standard Supply Service – Administration Charge (if applicable)</t>
  </si>
  <si>
    <t>Loss Factor</t>
  </si>
  <si>
    <t>Consumption</t>
  </si>
  <si>
    <t>kWh</t>
  </si>
  <si>
    <t>kW</t>
  </si>
  <si>
    <t>Sub-Total:  Delivery (Distribution and Retail Transmission)</t>
  </si>
  <si>
    <t>Sub-Total:  Regulatory</t>
  </si>
  <si>
    <t>Algoma Power Inc.</t>
  </si>
  <si>
    <t>Kingston Hydro Corporation</t>
  </si>
  <si>
    <t>Greater Sudbury Hydro Inc.</t>
  </si>
  <si>
    <t>Horizon Utilities Corporation</t>
  </si>
  <si>
    <t>Hydro One Brampton Networks Inc.</t>
  </si>
  <si>
    <t>Kenora Hydro Electric Corporation Ltd.</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</si>
  <si>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</si>
  <si>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</si>
  <si>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</si>
  <si>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</si>
  <si>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</si>
  <si>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</si>
  <si>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</si>
  <si>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</si>
  <si>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</si>
  <si>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</si>
  <si>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</si>
  <si>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</si>
  <si>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</si>
  <si>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</si>
  <si>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</si>
  <si>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</si>
  <si>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</si>
  <si>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</si>
  <si>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</si>
  <si>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</si>
  <si>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</si>
  <si>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</si>
  <si>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</si>
  <si>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</si>
  <si>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</si>
  <si>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</si>
  <si>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</si>
  <si>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</si>
  <si>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</si>
  <si>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</si>
  <si>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</si>
  <si>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</si>
  <si>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</si>
  <si>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</si>
  <si>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</si>
  <si>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</si>
  <si>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</si>
  <si>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</si>
  <si>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</si>
  <si>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</si>
  <si>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</si>
  <si>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</si>
  <si>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</si>
  <si>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</si>
  <si>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r>
      <t xml:space="preserve">1568 LRAM Variance Account Class Allocation                           </t>
    </r>
    <r>
      <rPr>
        <b/>
        <sz val="10"/>
        <color rgb="FFFF0000"/>
        <rFont val="Arial"/>
        <family val="2"/>
      </rPr>
      <t>($ amounts)</t>
    </r>
  </si>
  <si>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</si>
  <si>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</si>
  <si>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</si>
  <si>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</si>
  <si>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</si>
  <si>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</si>
  <si>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</si>
  <si>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</si>
  <si>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</si>
  <si>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</si>
  <si>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</si>
  <si>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</si>
  <si>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</si>
  <si>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</si>
  <si>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</si>
  <si>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</si>
  <si>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</si>
  <si>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</si>
  <si>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</si>
  <si>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Bluewater Power Distribution Corporation</t>
  </si>
  <si>
    <t>Brant County Power Inc.</t>
  </si>
  <si>
    <t>Cambridge and North Dumfries Hydro Inc.</t>
  </si>
  <si>
    <t>Erie Thames Powerlines Corporation</t>
  </si>
  <si>
    <t>Hearst Power Distribution Company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</si>
  <si>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</si>
  <si>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</si>
  <si>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</si>
  <si>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</si>
  <si>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</si>
  <si>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</si>
  <si>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</si>
  <si>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</si>
  <si>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</si>
  <si>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</si>
  <si>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</si>
  <si>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</si>
  <si>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</si>
  <si>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</si>
  <si>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</si>
  <si>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</si>
  <si>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</si>
  <si>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</si>
  <si>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</si>
  <si>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</si>
  <si>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</si>
  <si>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</si>
  <si>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</si>
  <si>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</si>
  <si>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</si>
  <si>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</si>
  <si>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</si>
  <si>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</si>
  <si>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</si>
  <si>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</si>
  <si>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</si>
  <si>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</si>
  <si>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</si>
  <si>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</si>
  <si>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</si>
  <si>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</si>
  <si>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</si>
  <si>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</si>
  <si>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</si>
  <si>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</si>
  <si>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</si>
  <si>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</si>
  <si>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</si>
  <si>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</si>
  <si>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</si>
  <si>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</si>
  <si>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</si>
  <si>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</si>
  <si>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</si>
  <si>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</si>
  <si>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</si>
  <si>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</si>
  <si>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</si>
  <si>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</si>
  <si>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</si>
  <si>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</si>
  <si>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</si>
  <si>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</si>
  <si>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</si>
  <si>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</si>
  <si>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</si>
  <si>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</si>
  <si>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</si>
  <si>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</si>
  <si>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</si>
  <si>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</si>
  <si>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</si>
  <si>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</si>
  <si>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</si>
  <si>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</si>
  <si>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</si>
  <si>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</si>
  <si>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</si>
  <si>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</si>
  <si>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</si>
  <si>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</si>
  <si>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</si>
  <si>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</si>
  <si>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</si>
  <si>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</si>
  <si>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</si>
  <si>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</si>
  <si>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</si>
  <si>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</si>
  <si>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</si>
  <si>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</si>
  <si>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</si>
  <si>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</si>
  <si>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</si>
  <si>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</si>
  <si>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</si>
  <si>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</si>
  <si>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</si>
  <si>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</si>
  <si>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</si>
  <si>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</si>
  <si>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</si>
  <si>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</si>
  <si>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</si>
  <si>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</si>
  <si>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</si>
  <si>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</si>
  <si>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</si>
  <si>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</si>
  <si>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</si>
  <si>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</si>
  <si>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RSVA - Global Adjustment</t>
  </si>
  <si>
    <t>Current Board-Approved</t>
  </si>
  <si>
    <t>Proposed</t>
  </si>
  <si>
    <t>Impact</t>
  </si>
  <si>
    <t>Rate</t>
  </si>
  <si>
    <t>Charge</t>
  </si>
  <si>
    <t>$ Change</t>
  </si>
  <si>
    <t>% Change</t>
  </si>
  <si>
    <t>($)</t>
  </si>
  <si>
    <t>Monthly Service Charge</t>
  </si>
  <si>
    <t>Sub-Total A (excluding pass through)</t>
  </si>
  <si>
    <t>Smart Meter Entity Charge</t>
  </si>
  <si>
    <t>RTSR - Network</t>
  </si>
  <si>
    <t>Wholesale Market Service Charge (WMSC)</t>
  </si>
  <si>
    <t>Rural and Remote Rate Protection (RRRP)</t>
  </si>
  <si>
    <t>Standard Supply Service Charge</t>
  </si>
  <si>
    <r>
      <t xml:space="preserve">Total Bill </t>
    </r>
    <r>
      <rPr>
        <sz val="10"/>
        <rFont val="Arial"/>
        <family val="2"/>
      </rPr>
      <t>(including HST)</t>
    </r>
  </si>
  <si>
    <t>Total Bill on TOU (before Taxes)</t>
  </si>
  <si>
    <t>Total Deferral/Variance Account Rate Riders</t>
  </si>
  <si>
    <t>Fixed Rate Riders</t>
  </si>
  <si>
    <t>Volumetric Rate Riders</t>
  </si>
  <si>
    <t>Demand</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</si>
  <si>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</si>
  <si>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</si>
  <si>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</si>
  <si>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</si>
  <si>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</si>
  <si>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</si>
  <si>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</si>
  <si>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</si>
  <si>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</si>
  <si>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</si>
  <si>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</si>
  <si>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</si>
  <si>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</si>
  <si>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</si>
  <si>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</si>
  <si>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</si>
  <si>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</si>
  <si>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</si>
  <si>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</si>
  <si>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</si>
  <si>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</si>
  <si>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</si>
  <si>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</si>
  <si>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</si>
  <si>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</si>
  <si>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</si>
  <si>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</si>
  <si>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</si>
  <si>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</si>
  <si>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</si>
  <si>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</si>
  <si>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</si>
  <si>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</si>
  <si>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</si>
  <si>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</si>
  <si>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</si>
  <si>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</si>
  <si>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</si>
  <si>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</si>
  <si>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</si>
  <si>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</si>
  <si>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</si>
  <si>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</si>
  <si>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</si>
  <si>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</si>
  <si>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</si>
  <si>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</si>
  <si>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</si>
  <si>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</si>
  <si>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</si>
  <si>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</si>
  <si>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</si>
  <si>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</si>
  <si>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</si>
  <si>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</si>
  <si>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</si>
  <si>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</si>
  <si>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</si>
  <si>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</si>
  <si>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 Rider for Recovery of Stranded Meter Assets – effective until April 30, 2015</t>
  </si>
  <si>
    <t>Line Losses on Cost of Power</t>
  </si>
  <si>
    <t>Green Energy Act Plan Funding Adder</t>
  </si>
  <si>
    <t>Rate Rider for Disposition of Deferral/Variance Accounts (2010) - effective until December 31, 2014</t>
  </si>
  <si>
    <t>Service Charge (per light)</t>
  </si>
  <si>
    <t>Rate Rider for Deferral/Variance Account Disposition (2014) - effective until April 30, 2015</t>
  </si>
  <si>
    <t>a</t>
  </si>
  <si>
    <t>RESIDENTIAL SERVICE CLASSIFICATION</t>
  </si>
  <si>
    <t>Rural or Remote Electricity Rate Protection Charge (RRRP)</t>
  </si>
  <si>
    <t>Milton Hydro Distribution Inc.</t>
  </si>
  <si>
    <t>A</t>
  </si>
  <si>
    <t>B</t>
  </si>
  <si>
    <t>C</t>
  </si>
  <si>
    <t>Non-Loss Adjusted Metered kWh</t>
  </si>
  <si>
    <t>Non-Loss Adjusted Metered kW</t>
  </si>
  <si>
    <t>Loss Adjusted Billed kWh</t>
  </si>
  <si>
    <t>Uniform Transmission Rates</t>
  </si>
  <si>
    <t>Network Service Rate</t>
  </si>
  <si>
    <t>Line Connection Service Rate</t>
  </si>
  <si>
    <t>Transformation Connection Service Rate</t>
  </si>
  <si>
    <t>Hydro One Sub-Transmission Rates</t>
  </si>
  <si>
    <t>Both Line and Transformation Connection Service Rate</t>
  </si>
  <si>
    <t>IESO</t>
  </si>
  <si>
    <t>Network</t>
  </si>
  <si>
    <t>Line Connection</t>
  </si>
  <si>
    <t>Transformation Connection</t>
  </si>
  <si>
    <t>Month</t>
  </si>
  <si>
    <t>Units Billed</t>
  </si>
  <si>
    <t>Hydro One</t>
  </si>
  <si>
    <t>Add Extra Host Here (I)</t>
  </si>
  <si>
    <t>(if needed)</t>
  </si>
  <si>
    <t>Add Extra Host Here (II)</t>
  </si>
  <si>
    <t>LRAM Variance Account</t>
  </si>
  <si>
    <t>Allocation of Group 1 Accounts (including Account 1568)</t>
  </si>
  <si>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</si>
  <si>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</si>
  <si>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</si>
  <si>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</si>
  <si>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</si>
  <si>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</si>
  <si>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</si>
  <si>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</si>
  <si>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</si>
  <si>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</si>
  <si>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</si>
  <si>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</si>
  <si>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</si>
  <si>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</si>
  <si>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</si>
  <si>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</si>
  <si>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</si>
  <si>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</si>
  <si>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</si>
  <si>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</si>
  <si>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</si>
  <si>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</si>
  <si>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</si>
  <si>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</si>
  <si>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</si>
  <si>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</si>
  <si>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</si>
  <si>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</si>
  <si>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</si>
  <si>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</si>
  <si>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</si>
  <si>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</si>
  <si>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</si>
  <si>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</si>
  <si>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</si>
  <si>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</si>
  <si>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</si>
  <si>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</si>
  <si>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</si>
  <si>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</si>
  <si>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</si>
  <si>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</si>
  <si>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</si>
  <si>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</si>
  <si>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</si>
  <si>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</si>
  <si>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</si>
  <si>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</si>
  <si>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</si>
  <si>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</si>
  <si>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</si>
  <si>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</si>
  <si>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</si>
  <si>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</si>
  <si>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</si>
  <si>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</si>
  <si>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Account 1568 Rate Rider</t>
  </si>
  <si>
    <t>Summary - Sharing of Tax Change Forecast Amounts</t>
  </si>
  <si>
    <t>NO</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</si>
  <si>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</si>
  <si>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</si>
  <si>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</si>
  <si>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</si>
  <si>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</si>
  <si>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</si>
  <si>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</si>
  <si>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</si>
  <si>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</si>
  <si>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</si>
  <si>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</si>
  <si>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</si>
  <si>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</si>
  <si>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</si>
  <si>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</si>
  <si>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</si>
  <si>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</si>
  <si>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</si>
  <si>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</si>
  <si>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</si>
  <si>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</si>
  <si>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</si>
  <si>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</si>
  <si>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</si>
  <si>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</si>
  <si>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</si>
  <si>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</si>
  <si>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</si>
  <si>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</si>
  <si>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</si>
  <si>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</si>
  <si>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</si>
  <si>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</si>
  <si>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</si>
  <si>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</si>
  <si>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</si>
  <si>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</si>
  <si>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</si>
  <si>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</si>
  <si>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</si>
  <si>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</si>
  <si>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</si>
  <si>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</si>
  <si>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</si>
  <si>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</si>
  <si>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</si>
  <si>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</si>
  <si>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</si>
  <si>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</si>
  <si>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</si>
  <si>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</si>
  <si>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</si>
  <si>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</si>
  <si>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</si>
  <si>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</si>
  <si>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</si>
  <si>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</si>
  <si>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</si>
  <si>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</si>
  <si>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</si>
  <si>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</si>
  <si>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</si>
  <si>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</si>
  <si>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</si>
  <si>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</si>
  <si>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</si>
  <si>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</si>
  <si>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</si>
  <si>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</si>
  <si>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</si>
  <si>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</si>
  <si>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</si>
  <si>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</si>
  <si>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</si>
  <si>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</si>
  <si>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</si>
  <si>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</si>
  <si>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STREET LIGHTING SERVICE CLASSIFICATION</t>
  </si>
  <si>
    <t>GENERAL SERVICE 50 TO 4,999 KW SERVICE CLASSIFICATION</t>
  </si>
  <si>
    <t>UNMETERED SCATTERED LOAD SERVICE CLASSIFICATION</t>
  </si>
  <si>
    <t>microFIT SERVICE CLASSIFICATION</t>
  </si>
  <si>
    <t>% of Customer Numbers **</t>
  </si>
  <si>
    <t>Retail Transmission Rate - Line and Transformation Connection Service Rate - Interval Metered (1,000 to 4,999 kW)</t>
  </si>
  <si>
    <t>LARGE USE SERVICE CLASSIFICATION</t>
  </si>
  <si>
    <t>EMBEDDED DISTRIBUTOR SERVICE CLASSIFICATION</t>
  </si>
  <si>
    <t>Collus PowerStream Corp.</t>
  </si>
  <si>
    <t>EnWin Utilities Ltd.</t>
  </si>
  <si>
    <t>Grimsby Power Incorporated</t>
  </si>
  <si>
    <t>Hydro One Remote Communities Inc.</t>
  </si>
  <si>
    <t>Innpower Corporation</t>
  </si>
  <si>
    <t>X</t>
  </si>
  <si>
    <t>SENTINEL LIGHTING SERVICE CLASSIFICATION</t>
  </si>
  <si>
    <t>GENERAL SERVICE 1,000 TO 4,999 KW (CO-GENERATION) SERVICE CLASSIFICATION</t>
  </si>
  <si>
    <t>STANDBY POWER SERVICE CLASSIFICATION</t>
  </si>
  <si>
    <t>Retail Transmission Rate - Network Service Rate - &lt; 1,000 kW</t>
  </si>
  <si>
    <t>Retail Transmission Rate - Network Service Rate - Interval Metered &lt; 1,000 kW</t>
  </si>
  <si>
    <t>Retail Transmission Rate - Line and Transformation Connection Service Rate - &lt; 1,000 kW</t>
  </si>
  <si>
    <t>Retail Transmission Rate - Line and Transformation Connection Service Rate - Interval Metered &lt; 1,000 kW</t>
  </si>
  <si>
    <t>GENERAL SERVICE 50 TO 2,999 KW SERVICE CLASSIFICATION</t>
  </si>
  <si>
    <t>GENERAL SERVICE 3,000 TO 4,999 KW SERVICE CLASSIFICATION</t>
  </si>
  <si>
    <t>LARGE USE - REGULAR SERVICE CLASSIFICATION</t>
  </si>
  <si>
    <t>LARGE USE - 3TS SERVICE CLASSIFICATION</t>
  </si>
  <si>
    <t>LARGE USE - FORD ANNEX SERVICE CLASSIFICATION</t>
  </si>
  <si>
    <t>Retail Transmission Rate - Line and Transformation Connection Service Rate - Interval Metered &gt; 1,000 kW</t>
  </si>
  <si>
    <t>GENERAL SERVICE 500 TO 1,499 KW SERVICE CLASSIFICATION</t>
  </si>
  <si>
    <t>GENERAL SERVICE EQUAL TO OR GREATER THAN 1,500 KW SERVICE CLASSIFICATION</t>
  </si>
  <si>
    <t>SEASONAL RESIDENTIAL SERVICE CLASSIFICATION</t>
  </si>
  <si>
    <t>ENERGY FROM WASTE SERVICE CLASSIFICATION</t>
  </si>
  <si>
    <t>Newmarket-Tay Power Distribution Ltd.</t>
  </si>
  <si>
    <t>Company_Name</t>
  </si>
  <si>
    <t>Due Year</t>
  </si>
  <si>
    <t>Account_No</t>
  </si>
  <si>
    <t>Account_Description</t>
  </si>
  <si>
    <t>value</t>
  </si>
  <si>
    <t>Group1</t>
  </si>
  <si>
    <t>Principal</t>
  </si>
  <si>
    <t>Interest</t>
  </si>
  <si>
    <t>Total_Balance</t>
  </si>
  <si>
    <t>YES</t>
  </si>
  <si>
    <t>Smart Metering Entity Charge Variance Account</t>
  </si>
  <si>
    <t>Disposition and Recovery/Refund of Regulatory Balances (2008)</t>
  </si>
  <si>
    <t>Disposition and Recovery/Refund of Regulatory Balances (2009)</t>
  </si>
  <si>
    <t>Disposition and Recovery/Refund of Regulatory Balances (2010)</t>
  </si>
  <si>
    <t>Disposition and Recovery/Refund of Regulatory Balances (2011)</t>
  </si>
  <si>
    <t>Disposition and Recovery/Refund of Regulatory Balances (2012)</t>
  </si>
  <si>
    <t>Disposition and Recovery/Refund of Regulatory Balances (2013)</t>
  </si>
  <si>
    <t>Disposition and Recovery/Refund of Regulatory Balances (2014)</t>
  </si>
  <si>
    <t>Disposition and Recovery/Refund of Regulatory Balances Control Account</t>
  </si>
  <si>
    <t>Algoma Power Inc.1550</t>
  </si>
  <si>
    <t>Algoma Power Inc.1551</t>
  </si>
  <si>
    <t>Algoma Power Inc.1568</t>
  </si>
  <si>
    <t>Algoma Power Inc.1580</t>
  </si>
  <si>
    <t>Algoma Power Inc.1584</t>
  </si>
  <si>
    <t>Algoma Power Inc.1586</t>
  </si>
  <si>
    <t>Algoma Power Inc.1588</t>
  </si>
  <si>
    <t>Algoma Power Inc.1589</t>
  </si>
  <si>
    <t>Bluewater Power Distribution Corporation1550</t>
  </si>
  <si>
    <t>Bluewater Power Distribution Corporation1551</t>
  </si>
  <si>
    <t>Bluewater Power Distribution Corporation1568</t>
  </si>
  <si>
    <t>Bluewater Power Distribution Corporation1580</t>
  </si>
  <si>
    <t>Bluewater Power Distribution Corporation1584</t>
  </si>
  <si>
    <t>Bluewater Power Distribution Corporation1586</t>
  </si>
  <si>
    <t>Bluewater Power Distribution Corporation1588</t>
  </si>
  <si>
    <t>Bluewater Power Distribution Corporation1589</t>
  </si>
  <si>
    <t>Brantford Power Inc.1550</t>
  </si>
  <si>
    <t>Brantford Power Inc.1551</t>
  </si>
  <si>
    <t>Brantford Power Inc.1568</t>
  </si>
  <si>
    <t>Brantford Power Inc.1580</t>
  </si>
  <si>
    <t>Brantford Power Inc.1584</t>
  </si>
  <si>
    <t>Brantford Power Inc.1586</t>
  </si>
  <si>
    <t>Brantford Power Inc.1588</t>
  </si>
  <si>
    <t>Brantford Power Inc.1589</t>
  </si>
  <si>
    <t>Burlington Hydro Inc.1550</t>
  </si>
  <si>
    <t>Burlington Hydro Inc.1551</t>
  </si>
  <si>
    <t>Burlington Hydro Inc.1568</t>
  </si>
  <si>
    <t>Burlington Hydro Inc.1580</t>
  </si>
  <si>
    <t>Burlington Hydro Inc.1584</t>
  </si>
  <si>
    <t>Burlington Hydro Inc.1586</t>
  </si>
  <si>
    <t>Burlington Hydro Inc.1588</t>
  </si>
  <si>
    <t>Burlington Hydro Inc.1589</t>
  </si>
  <si>
    <t>Canadian Niagara Power Inc.1550</t>
  </si>
  <si>
    <t>Canadian Niagara Power Inc.1551</t>
  </si>
  <si>
    <t>Canadian Niagara Power Inc.1568</t>
  </si>
  <si>
    <t>Canadian Niagara Power Inc.1580</t>
  </si>
  <si>
    <t>Canadian Niagara Power Inc.1584</t>
  </si>
  <si>
    <t>Canadian Niagara Power Inc.1586</t>
  </si>
  <si>
    <t>Canadian Niagara Power Inc.1588</t>
  </si>
  <si>
    <t>Canadian Niagara Power Inc.1589</t>
  </si>
  <si>
    <t>Centre Wellington Hydro Ltd.1550</t>
  </si>
  <si>
    <t>Centre Wellington Hydro Ltd.1551</t>
  </si>
  <si>
    <t>Centre Wellington Hydro Ltd.1568</t>
  </si>
  <si>
    <t>Centre Wellington Hydro Ltd.1580</t>
  </si>
  <si>
    <t>Centre Wellington Hydro Ltd.1584</t>
  </si>
  <si>
    <t>Centre Wellington Hydro Ltd.1586</t>
  </si>
  <si>
    <t>Centre Wellington Hydro Ltd.1588</t>
  </si>
  <si>
    <t>Centre Wellington Hydro Ltd.1589</t>
  </si>
  <si>
    <t>Chapleau Public Utilities Corporation1550</t>
  </si>
  <si>
    <t>Chapleau Public Utilities Corporation1551</t>
  </si>
  <si>
    <t>Chapleau Public Utilities Corporation1568</t>
  </si>
  <si>
    <t>Chapleau Public Utilities Corporation1580</t>
  </si>
  <si>
    <t>Chapleau Public Utilities Corporation1584</t>
  </si>
  <si>
    <t>Chapleau Public Utilities Corporation1586</t>
  </si>
  <si>
    <t>Chapleau Public Utilities Corporation1588</t>
  </si>
  <si>
    <t>Chapleau Public Utilities Corporation1589</t>
  </si>
  <si>
    <t>Cooperative Hydro Embrun Inc.1550</t>
  </si>
  <si>
    <t>Cooperative Hydro Embrun Inc.1551</t>
  </si>
  <si>
    <t>Cooperative Hydro Embrun Inc.1568</t>
  </si>
  <si>
    <t>Cooperative Hydro Embrun Inc.1580</t>
  </si>
  <si>
    <t>Cooperative Hydro Embrun Inc.1584</t>
  </si>
  <si>
    <t>Cooperative Hydro Embrun Inc.1586</t>
  </si>
  <si>
    <t>Cooperative Hydro Embrun Inc.1588</t>
  </si>
  <si>
    <t>Cooperative Hydro Embrun Inc.1589</t>
  </si>
  <si>
    <t>E.L.K. Energy Inc.1550</t>
  </si>
  <si>
    <t>E.L.K. Energy Inc.1551</t>
  </si>
  <si>
    <t>E.L.K. Energy Inc.1568</t>
  </si>
  <si>
    <t>E.L.K. Energy Inc.1580</t>
  </si>
  <si>
    <t>E.L.K. Energy Inc.1584</t>
  </si>
  <si>
    <t>E.L.K. Energy Inc.1586</t>
  </si>
  <si>
    <t>E.L.K. Energy Inc.1588</t>
  </si>
  <si>
    <t>E.L.K. Energy Inc.1589</t>
  </si>
  <si>
    <t>Entegrus Powerlines Inc.1550</t>
  </si>
  <si>
    <t>Entegrus Powerlines Inc.1551</t>
  </si>
  <si>
    <t>Entegrus Powerlines Inc.1568</t>
  </si>
  <si>
    <t>Entegrus Powerlines Inc.1580</t>
  </si>
  <si>
    <t>Entegrus Powerlines Inc.1584</t>
  </si>
  <si>
    <t>Entegrus Powerlines Inc.1586</t>
  </si>
  <si>
    <t>Entegrus Powerlines Inc.1588</t>
  </si>
  <si>
    <t>Entegrus Powerlines Inc.1589</t>
  </si>
  <si>
    <t>Espanola Regional Hydro Distribution Corporation1550</t>
  </si>
  <si>
    <t>Espanola Regional Hydro Distribution Corporation1551</t>
  </si>
  <si>
    <t>Espanola Regional Hydro Distribution Corporation1568</t>
  </si>
  <si>
    <t>Espanola Regional Hydro Distribution Corporation1580</t>
  </si>
  <si>
    <t>Espanola Regional Hydro Distribution Corporation1584</t>
  </si>
  <si>
    <t>Espanola Regional Hydro Distribution Corporation1586</t>
  </si>
  <si>
    <t>Espanola Regional Hydro Distribution Corporation1588</t>
  </si>
  <si>
    <t>Espanola Regional Hydro Distribution Corporation1589</t>
  </si>
  <si>
    <t>Fort Frances Power Corporation1550</t>
  </si>
  <si>
    <t>Fort Frances Power Corporation1551</t>
  </si>
  <si>
    <t>Fort Frances Power Corporation1568</t>
  </si>
  <si>
    <t>Fort Frances Power Corporation1580</t>
  </si>
  <si>
    <t>Fort Frances Power Corporation1584</t>
  </si>
  <si>
    <t>Fort Frances Power Corporation1586</t>
  </si>
  <si>
    <t>Fort Frances Power Corporation1588</t>
  </si>
  <si>
    <t>Fort Frances Power Corporation1589</t>
  </si>
  <si>
    <t>Greater Sudbury Hydro Inc.1550</t>
  </si>
  <si>
    <t>Greater Sudbury Hydro Inc.1551</t>
  </si>
  <si>
    <t>Greater Sudbury Hydro Inc.1568</t>
  </si>
  <si>
    <t>Greater Sudbury Hydro Inc.1580</t>
  </si>
  <si>
    <t>Greater Sudbury Hydro Inc.1584</t>
  </si>
  <si>
    <t>Greater Sudbury Hydro Inc.1586</t>
  </si>
  <si>
    <t>Greater Sudbury Hydro Inc.1588</t>
  </si>
  <si>
    <t>Greater Sudbury Hydro Inc.1589</t>
  </si>
  <si>
    <t>Grimsby Power Incorporated1550</t>
  </si>
  <si>
    <t>Grimsby Power Incorporated1551</t>
  </si>
  <si>
    <t>Grimsby Power Incorporated1568</t>
  </si>
  <si>
    <t>Grimsby Power Incorporated1580</t>
  </si>
  <si>
    <t>Grimsby Power Incorporated1584</t>
  </si>
  <si>
    <t>Grimsby Power Incorporated1586</t>
  </si>
  <si>
    <t>Grimsby Power Incorporated1588</t>
  </si>
  <si>
    <t>Grimsby Power Incorporated1589</t>
  </si>
  <si>
    <t>Halton Hills Hydro Inc.1550</t>
  </si>
  <si>
    <t>Halton Hills Hydro Inc.1551</t>
  </si>
  <si>
    <t>Halton Hills Hydro Inc.1568</t>
  </si>
  <si>
    <t>Halton Hills Hydro Inc.1580</t>
  </si>
  <si>
    <t>Halton Hills Hydro Inc.1584</t>
  </si>
  <si>
    <t>Halton Hills Hydro Inc.1586</t>
  </si>
  <si>
    <t>Halton Hills Hydro Inc.1588</t>
  </si>
  <si>
    <t>Halton Hills Hydro Inc.1589</t>
  </si>
  <si>
    <t>Hydro 2000 Inc.1550</t>
  </si>
  <si>
    <t>Hydro 2000 Inc.1551</t>
  </si>
  <si>
    <t>Hydro 2000 Inc.1568</t>
  </si>
  <si>
    <t>Hydro 2000 Inc.1580</t>
  </si>
  <si>
    <t>Hydro 2000 Inc.1584</t>
  </si>
  <si>
    <t>Hydro 2000 Inc.1586</t>
  </si>
  <si>
    <t>Hydro 2000 Inc.1588</t>
  </si>
  <si>
    <t>Hydro 2000 Inc.1589</t>
  </si>
  <si>
    <t>Hydro Hawkesbury Inc.1550</t>
  </si>
  <si>
    <t>Hydro Hawkesbury Inc.1551</t>
  </si>
  <si>
    <t>Hydro Hawkesbury Inc.1568</t>
  </si>
  <si>
    <t>Hydro Hawkesbury Inc.1580</t>
  </si>
  <si>
    <t>Hydro Hawkesbury Inc.1584</t>
  </si>
  <si>
    <t>Hydro Hawkesbury Inc.1586</t>
  </si>
  <si>
    <t>Hydro Hawkesbury Inc.1588</t>
  </si>
  <si>
    <t>Hydro Hawkesbury Inc.1589</t>
  </si>
  <si>
    <t>Hydro One Networks Inc.1550</t>
  </si>
  <si>
    <t>Hydro One Networks Inc.1551</t>
  </si>
  <si>
    <t>Hydro One Networks Inc.1568</t>
  </si>
  <si>
    <t>Hydro One Networks Inc.1580</t>
  </si>
  <si>
    <t>Hydro One Networks Inc.1584</t>
  </si>
  <si>
    <t>Hydro One Networks Inc.1586</t>
  </si>
  <si>
    <t>Hydro One Networks Inc.1588</t>
  </si>
  <si>
    <t>Hydro One Networks Inc.1589</t>
  </si>
  <si>
    <t>Hydro One Remote Communities Inc.1550</t>
  </si>
  <si>
    <t>Hydro One Remote Communities Inc.1551</t>
  </si>
  <si>
    <t>Hydro One Remote Communities Inc.1568</t>
  </si>
  <si>
    <t>Hydro One Remote Communities Inc.1580</t>
  </si>
  <si>
    <t>Hydro One Remote Communities Inc.1584</t>
  </si>
  <si>
    <t>Hydro One Remote Communities Inc.1586</t>
  </si>
  <si>
    <t>Hydro One Remote Communities Inc.1588</t>
  </si>
  <si>
    <t>Hydro One Remote Communities Inc.1589</t>
  </si>
  <si>
    <t>Hydro Ottawa Limited1550</t>
  </si>
  <si>
    <t>Hydro Ottawa Limited1551</t>
  </si>
  <si>
    <t>Hydro Ottawa Limited1568</t>
  </si>
  <si>
    <t>Hydro Ottawa Limited1580</t>
  </si>
  <si>
    <t>Hydro Ottawa Limited1584</t>
  </si>
  <si>
    <t>Hydro Ottawa Limited1586</t>
  </si>
  <si>
    <t>Hydro Ottawa Limited1588</t>
  </si>
  <si>
    <t>Hydro Ottawa Limited1589</t>
  </si>
  <si>
    <t>Innpower Corporation1550</t>
  </si>
  <si>
    <t>Innpower Corporation1551</t>
  </si>
  <si>
    <t>Innpower Corporation1568</t>
  </si>
  <si>
    <t>Innpower Corporation1580</t>
  </si>
  <si>
    <t>Innpower Corporation1584</t>
  </si>
  <si>
    <t>Innpower Corporation1586</t>
  </si>
  <si>
    <t>Innpower Corporation1588</t>
  </si>
  <si>
    <t>Innpower Corporation1589</t>
  </si>
  <si>
    <t>Kingston Hydro Corporation1550</t>
  </si>
  <si>
    <t>Kingston Hydro Corporation1551</t>
  </si>
  <si>
    <t>Kingston Hydro Corporation1568</t>
  </si>
  <si>
    <t>Kingston Hydro Corporation1580</t>
  </si>
  <si>
    <t>Kingston Hydro Corporation1584</t>
  </si>
  <si>
    <t>Kingston Hydro Corporation1586</t>
  </si>
  <si>
    <t>Kingston Hydro Corporation1588</t>
  </si>
  <si>
    <t>Kingston Hydro Corporation1589</t>
  </si>
  <si>
    <t>Kitchener-Wilmot Hydro Inc.1550</t>
  </si>
  <si>
    <t>Kitchener-Wilmot Hydro Inc.1551</t>
  </si>
  <si>
    <t>Kitchener-Wilmot Hydro Inc.1568</t>
  </si>
  <si>
    <t>Kitchener-Wilmot Hydro Inc.1580</t>
  </si>
  <si>
    <t>Kitchener-Wilmot Hydro Inc.1584</t>
  </si>
  <si>
    <t>Kitchener-Wilmot Hydro Inc.1586</t>
  </si>
  <si>
    <t>Kitchener-Wilmot Hydro Inc.1588</t>
  </si>
  <si>
    <t>Kitchener-Wilmot Hydro Inc.1589</t>
  </si>
  <si>
    <t>Lakefront Utilities Inc.1550</t>
  </si>
  <si>
    <t>Lakefront Utilities Inc.1551</t>
  </si>
  <si>
    <t>Lakefront Utilities Inc.1568</t>
  </si>
  <si>
    <t>Lakefront Utilities Inc.1580</t>
  </si>
  <si>
    <t>Lakefront Utilities Inc.1584</t>
  </si>
  <si>
    <t>Lakefront Utilities Inc.1586</t>
  </si>
  <si>
    <t>Lakefront Utilities Inc.1588</t>
  </si>
  <si>
    <t>Lakefront Utilities Inc.1589</t>
  </si>
  <si>
    <t>Lakeland Power Distribution Ltd.1550</t>
  </si>
  <si>
    <t>Lakeland Power Distribution Ltd.1551</t>
  </si>
  <si>
    <t>Lakeland Power Distribution Ltd.1568</t>
  </si>
  <si>
    <t>Lakeland Power Distribution Ltd.1580</t>
  </si>
  <si>
    <t>Lakeland Power Distribution Ltd.1584</t>
  </si>
  <si>
    <t>Lakeland Power Distribution Ltd.1586</t>
  </si>
  <si>
    <t>Lakeland Power Distribution Ltd.1588</t>
  </si>
  <si>
    <t>Lakeland Power Distribution Ltd.1589</t>
  </si>
  <si>
    <t>London Hydro Inc.1550</t>
  </si>
  <si>
    <t>London Hydro Inc.1551</t>
  </si>
  <si>
    <t>London Hydro Inc.1568</t>
  </si>
  <si>
    <t>London Hydro Inc.1580</t>
  </si>
  <si>
    <t>London Hydro Inc.1584</t>
  </si>
  <si>
    <t>London Hydro Inc.1586</t>
  </si>
  <si>
    <t>London Hydro Inc.1588</t>
  </si>
  <si>
    <t>London Hydro Inc.1589</t>
  </si>
  <si>
    <t>Milton Hydro Distribution Inc.1550</t>
  </si>
  <si>
    <t>Milton Hydro Distribution Inc.1551</t>
  </si>
  <si>
    <t>Milton Hydro Distribution Inc.1568</t>
  </si>
  <si>
    <t>Milton Hydro Distribution Inc.1580</t>
  </si>
  <si>
    <t>Milton Hydro Distribution Inc.1584</t>
  </si>
  <si>
    <t>Milton Hydro Distribution Inc.1586</t>
  </si>
  <si>
    <t>Milton Hydro Distribution Inc.1588</t>
  </si>
  <si>
    <t>Milton Hydro Distribution Inc.1589</t>
  </si>
  <si>
    <t>Niagara Peninsula Energy Inc.1550</t>
  </si>
  <si>
    <t>Niagara Peninsula Energy Inc.1551</t>
  </si>
  <si>
    <t>Niagara Peninsula Energy Inc.1568</t>
  </si>
  <si>
    <t>Niagara Peninsula Energy Inc.1580</t>
  </si>
  <si>
    <t>Niagara Peninsula Energy Inc.1584</t>
  </si>
  <si>
    <t>Niagara Peninsula Energy Inc.1586</t>
  </si>
  <si>
    <t>Niagara Peninsula Energy Inc.1588</t>
  </si>
  <si>
    <t>Niagara Peninsula Energy Inc.1589</t>
  </si>
  <si>
    <t>Niagara-on-the-Lake Hydro Inc.1550</t>
  </si>
  <si>
    <t>Niagara-on-the-Lake Hydro Inc.1551</t>
  </si>
  <si>
    <t>Niagara-on-the-Lake Hydro Inc.1568</t>
  </si>
  <si>
    <t>Niagara-on-the-Lake Hydro Inc.1580</t>
  </si>
  <si>
    <t>Niagara-on-the-Lake Hydro Inc.1584</t>
  </si>
  <si>
    <t>Niagara-on-the-Lake Hydro Inc.1586</t>
  </si>
  <si>
    <t>Niagara-on-the-Lake Hydro Inc.1588</t>
  </si>
  <si>
    <t>Niagara-on-the-Lake Hydro Inc.1589</t>
  </si>
  <si>
    <t>North Bay Hydro Distribution Limited1550</t>
  </si>
  <si>
    <t>North Bay Hydro Distribution Limited1551</t>
  </si>
  <si>
    <t>North Bay Hydro Distribution Limited1568</t>
  </si>
  <si>
    <t>North Bay Hydro Distribution Limited1580</t>
  </si>
  <si>
    <t>North Bay Hydro Distribution Limited1584</t>
  </si>
  <si>
    <t>North Bay Hydro Distribution Limited1586</t>
  </si>
  <si>
    <t>North Bay Hydro Distribution Limited1588</t>
  </si>
  <si>
    <t>North Bay Hydro Distribution Limited1589</t>
  </si>
  <si>
    <t>Northern Ontario Wires Inc.1550</t>
  </si>
  <si>
    <t>Northern Ontario Wires Inc.1551</t>
  </si>
  <si>
    <t>Northern Ontario Wires Inc.1568</t>
  </si>
  <si>
    <t>Northern Ontario Wires Inc.1580</t>
  </si>
  <si>
    <t>Northern Ontario Wires Inc.1584</t>
  </si>
  <si>
    <t>Northern Ontario Wires Inc.1586</t>
  </si>
  <si>
    <t>Northern Ontario Wires Inc.1588</t>
  </si>
  <si>
    <t>Northern Ontario Wires Inc.1589</t>
  </si>
  <si>
    <t>Oakville Hydro Electricity Distribution Inc.1550</t>
  </si>
  <si>
    <t>Oakville Hydro Electricity Distribution Inc.1551</t>
  </si>
  <si>
    <t>Oakville Hydro Electricity Distribution Inc.1568</t>
  </si>
  <si>
    <t>Oakville Hydro Electricity Distribution Inc.1580</t>
  </si>
  <si>
    <t>Oakville Hydro Electricity Distribution Inc.1584</t>
  </si>
  <si>
    <t>Oakville Hydro Electricity Distribution Inc.1586</t>
  </si>
  <si>
    <t>Oakville Hydro Electricity Distribution Inc.1588</t>
  </si>
  <si>
    <t>Oakville Hydro Electricity Distribution Inc.1589</t>
  </si>
  <si>
    <t>Orangeville Hydro Limited1550</t>
  </si>
  <si>
    <t>Orangeville Hydro Limited1551</t>
  </si>
  <si>
    <t>Orangeville Hydro Limited1568</t>
  </si>
  <si>
    <t>Orangeville Hydro Limited1580</t>
  </si>
  <si>
    <t>Orangeville Hydro Limited1584</t>
  </si>
  <si>
    <t>Orangeville Hydro Limited1586</t>
  </si>
  <si>
    <t>Orangeville Hydro Limited1588</t>
  </si>
  <si>
    <t>Orangeville Hydro Limited1589</t>
  </si>
  <si>
    <t>Orillia Power Distribution Corporation1550</t>
  </si>
  <si>
    <t>Orillia Power Distribution Corporation1551</t>
  </si>
  <si>
    <t>Orillia Power Distribution Corporation1568</t>
  </si>
  <si>
    <t>Orillia Power Distribution Corporation1580</t>
  </si>
  <si>
    <t>Orillia Power Distribution Corporation1584</t>
  </si>
  <si>
    <t>Orillia Power Distribution Corporation1586</t>
  </si>
  <si>
    <t>Orillia Power Distribution Corporation1588</t>
  </si>
  <si>
    <t>Orillia Power Distribution Corporation1589</t>
  </si>
  <si>
    <t>Oshawa PUC Networks Inc.1550</t>
  </si>
  <si>
    <t>Oshawa PUC Networks Inc.1551</t>
  </si>
  <si>
    <t>Oshawa PUC Networks Inc.1568</t>
  </si>
  <si>
    <t>Oshawa PUC Networks Inc.1580</t>
  </si>
  <si>
    <t>Oshawa PUC Networks Inc.1584</t>
  </si>
  <si>
    <t>Oshawa PUC Networks Inc.1586</t>
  </si>
  <si>
    <t>Oshawa PUC Networks Inc.1588</t>
  </si>
  <si>
    <t>Oshawa PUC Networks Inc.1589</t>
  </si>
  <si>
    <t>Ottawa River Power Corporation1550</t>
  </si>
  <si>
    <t>Ottawa River Power Corporation1551</t>
  </si>
  <si>
    <t>Ottawa River Power Corporation1568</t>
  </si>
  <si>
    <t>Ottawa River Power Corporation1580</t>
  </si>
  <si>
    <t>Ottawa River Power Corporation1584</t>
  </si>
  <si>
    <t>Ottawa River Power Corporation1586</t>
  </si>
  <si>
    <t>Ottawa River Power Corporation1588</t>
  </si>
  <si>
    <t>Ottawa River Power Corporation1589</t>
  </si>
  <si>
    <t>Peterborough Distribution Incorporated1550</t>
  </si>
  <si>
    <t>Peterborough Distribution Incorporated1551</t>
  </si>
  <si>
    <t>Peterborough Distribution Incorporated1568</t>
  </si>
  <si>
    <t>Peterborough Distribution Incorporated1580</t>
  </si>
  <si>
    <t>Peterborough Distribution Incorporated1584</t>
  </si>
  <si>
    <t>Peterborough Distribution Incorporated1586</t>
  </si>
  <si>
    <t>Peterborough Distribution Incorporated1588</t>
  </si>
  <si>
    <t>Peterborough Distribution Incorporated1589</t>
  </si>
  <si>
    <t>PUC Distribution Inc.1550</t>
  </si>
  <si>
    <t>PUC Distribution Inc.1551</t>
  </si>
  <si>
    <t>PUC Distribution Inc.1568</t>
  </si>
  <si>
    <t>PUC Distribution Inc.1580</t>
  </si>
  <si>
    <t>PUC Distribution Inc.1584</t>
  </si>
  <si>
    <t>PUC Distribution Inc.1586</t>
  </si>
  <si>
    <t>PUC Distribution Inc.1588</t>
  </si>
  <si>
    <t>PUC Distribution Inc.1589</t>
  </si>
  <si>
    <t>Renfrew Hydro Inc.1550</t>
  </si>
  <si>
    <t>Renfrew Hydro Inc.1551</t>
  </si>
  <si>
    <t>Renfrew Hydro Inc.1568</t>
  </si>
  <si>
    <t>Renfrew Hydro Inc.1580</t>
  </si>
  <si>
    <t>Renfrew Hydro Inc.1584</t>
  </si>
  <si>
    <t>Renfrew Hydro Inc.1586</t>
  </si>
  <si>
    <t>Renfrew Hydro Inc.1588</t>
  </si>
  <si>
    <t>Renfrew Hydro Inc.1589</t>
  </si>
  <si>
    <t>Rideau St. Lawrence Distribution Inc.1550</t>
  </si>
  <si>
    <t>Rideau St. Lawrence Distribution Inc.1551</t>
  </si>
  <si>
    <t>Rideau St. Lawrence Distribution Inc.1568</t>
  </si>
  <si>
    <t>Rideau St. Lawrence Distribution Inc.1580</t>
  </si>
  <si>
    <t>Rideau St. Lawrence Distribution Inc.1584</t>
  </si>
  <si>
    <t>Rideau St. Lawrence Distribution Inc.1586</t>
  </si>
  <si>
    <t>Rideau St. Lawrence Distribution Inc.1588</t>
  </si>
  <si>
    <t>Rideau St. Lawrence Distribution Inc.1589</t>
  </si>
  <si>
    <t>Tillsonburg Hydro Inc.1550</t>
  </si>
  <si>
    <t>Tillsonburg Hydro Inc.1551</t>
  </si>
  <si>
    <t>Tillsonburg Hydro Inc.1568</t>
  </si>
  <si>
    <t>Tillsonburg Hydro Inc.1580</t>
  </si>
  <si>
    <t>Tillsonburg Hydro Inc.1584</t>
  </si>
  <si>
    <t>Tillsonburg Hydro Inc.1586</t>
  </si>
  <si>
    <t>Tillsonburg Hydro Inc.1588</t>
  </si>
  <si>
    <t>Tillsonburg Hydro Inc.1589</t>
  </si>
  <si>
    <t>Toronto Hydro-Electric System Limited1550</t>
  </si>
  <si>
    <t>Toronto Hydro-Electric System Limited1551</t>
  </si>
  <si>
    <t>Toronto Hydro-Electric System Limited1568</t>
  </si>
  <si>
    <t>Toronto Hydro-Electric System Limited1580</t>
  </si>
  <si>
    <t>Toronto Hydro-Electric System Limited1584</t>
  </si>
  <si>
    <t>Toronto Hydro-Electric System Limited1586</t>
  </si>
  <si>
    <t>Toronto Hydro-Electric System Limited1588</t>
  </si>
  <si>
    <t>Toronto Hydro-Electric System Limited1589</t>
  </si>
  <si>
    <t>Wasaga Distribution Inc.1550</t>
  </si>
  <si>
    <t>Wasaga Distribution Inc.1551</t>
  </si>
  <si>
    <t>Wasaga Distribution Inc.1568</t>
  </si>
  <si>
    <t>Wasaga Distribution Inc.1580</t>
  </si>
  <si>
    <t>Wasaga Distribution Inc.1584</t>
  </si>
  <si>
    <t>Wasaga Distribution Inc.1586</t>
  </si>
  <si>
    <t>Wasaga Distribution Inc.1588</t>
  </si>
  <si>
    <t>Wasaga Distribution Inc.1589</t>
  </si>
  <si>
    <t>Waterloo North Hydro Inc.1550</t>
  </si>
  <si>
    <t>Waterloo North Hydro Inc.1551</t>
  </si>
  <si>
    <t>Waterloo North Hydro Inc.1568</t>
  </si>
  <si>
    <t>Waterloo North Hydro Inc.1580</t>
  </si>
  <si>
    <t>Waterloo North Hydro Inc.1584</t>
  </si>
  <si>
    <t>Waterloo North Hydro Inc.1586</t>
  </si>
  <si>
    <t>Waterloo North Hydro Inc.1588</t>
  </si>
  <si>
    <t>Waterloo North Hydro Inc.1589</t>
  </si>
  <si>
    <t>Welland Hydro-Electric System Corp.1550</t>
  </si>
  <si>
    <t>Welland Hydro-Electric System Corp.1551</t>
  </si>
  <si>
    <t>Welland Hydro-Electric System Corp.1568</t>
  </si>
  <si>
    <t>Welland Hydro-Electric System Corp.1580</t>
  </si>
  <si>
    <t>Welland Hydro-Electric System Corp.1584</t>
  </si>
  <si>
    <t>Welland Hydro-Electric System Corp.1586</t>
  </si>
  <si>
    <t>Welland Hydro-Electric System Corp.1588</t>
  </si>
  <si>
    <t>Welland Hydro-Electric System Corp.1589</t>
  </si>
  <si>
    <t>Wellington North Power Inc.1550</t>
  </si>
  <si>
    <t>Wellington North Power Inc.1551</t>
  </si>
  <si>
    <t>Wellington North Power Inc.1568</t>
  </si>
  <si>
    <t>Wellington North Power Inc.1580</t>
  </si>
  <si>
    <t>Wellington North Power Inc.1584</t>
  </si>
  <si>
    <t>Wellington North Power Inc.1586</t>
  </si>
  <si>
    <t>Wellington North Power Inc.1588</t>
  </si>
  <si>
    <t>Wellington North Power Inc.1589</t>
  </si>
  <si>
    <t>Westario Power Inc.1550</t>
  </si>
  <si>
    <t>Westario Power Inc.1551</t>
  </si>
  <si>
    <t>Westario Power Inc.1568</t>
  </si>
  <si>
    <t>Westario Power Inc.1580</t>
  </si>
  <si>
    <t>Westario Power Inc.1584</t>
  </si>
  <si>
    <t>Westario Power Inc.1586</t>
  </si>
  <si>
    <t>Westario Power Inc.1588</t>
  </si>
  <si>
    <t>Westario Power Inc.1589</t>
  </si>
  <si>
    <t>Algoma Power Inc.1595_(2008)</t>
  </si>
  <si>
    <t>Algoma Power Inc.1595_(2009)</t>
  </si>
  <si>
    <t>Algoma Power Inc.1595_(2010)</t>
  </si>
  <si>
    <t>Algoma Power Inc.1595_(2011)</t>
  </si>
  <si>
    <t>Algoma Power Inc.1595_(2012)</t>
  </si>
  <si>
    <t>Algoma Power Inc.1595_(2013)</t>
  </si>
  <si>
    <t>Algoma Power Inc.1595_(2014)</t>
  </si>
  <si>
    <t>Bluewater Power Distribution Corporation1595_(2008)</t>
  </si>
  <si>
    <t>Bluewater Power Distribution Corporation1595_(2009)</t>
  </si>
  <si>
    <t>Bluewater Power Distribution Corporation1595_(2010)</t>
  </si>
  <si>
    <t>Bluewater Power Distribution Corporation1595_(2011)</t>
  </si>
  <si>
    <t>Bluewater Power Distribution Corporation1595_(2012)</t>
  </si>
  <si>
    <t>Bluewater Power Distribution Corporation1595_(2013)</t>
  </si>
  <si>
    <t>Bluewater Power Distribution Corporation1595_(2014)</t>
  </si>
  <si>
    <t>Brantford Power Inc.1595_(2008)</t>
  </si>
  <si>
    <t>Brantford Power Inc.1595_(2009)</t>
  </si>
  <si>
    <t>Brantford Power Inc.1595_(2010)</t>
  </si>
  <si>
    <t>Brantford Power Inc.1595_(2011)</t>
  </si>
  <si>
    <t>Brantford Power Inc.1595_(2012)</t>
  </si>
  <si>
    <t>Brantford Power Inc.1595_(2013)</t>
  </si>
  <si>
    <t>Brantford Power Inc.1595_(2014)</t>
  </si>
  <si>
    <t>Burlington Hydro Inc.1595_(2008)</t>
  </si>
  <si>
    <t>Burlington Hydro Inc.1595_(2009)</t>
  </si>
  <si>
    <t>Burlington Hydro Inc.1595_(2010)</t>
  </si>
  <si>
    <t>Burlington Hydro Inc.1595_(2011)</t>
  </si>
  <si>
    <t>Burlington Hydro Inc.1595_(2012)</t>
  </si>
  <si>
    <t>Burlington Hydro Inc.1595_(2013)</t>
  </si>
  <si>
    <t>Burlington Hydro Inc.1595_(2014)</t>
  </si>
  <si>
    <t>Canadian Niagara Power Inc.1595_(2008)</t>
  </si>
  <si>
    <t>Canadian Niagara Power Inc.1595_(2009)</t>
  </si>
  <si>
    <t>Canadian Niagara Power Inc.1595_(2010)</t>
  </si>
  <si>
    <t>Canadian Niagara Power Inc.1595_(2011)</t>
  </si>
  <si>
    <t>Canadian Niagara Power Inc.1595_(2012)</t>
  </si>
  <si>
    <t>Canadian Niagara Power Inc.1595_(2013)</t>
  </si>
  <si>
    <t>Canadian Niagara Power Inc.1595_(2014)</t>
  </si>
  <si>
    <t>Centre Wellington Hydro Ltd.1595_(2008)</t>
  </si>
  <si>
    <t>Centre Wellington Hydro Ltd.1595_(2009)</t>
  </si>
  <si>
    <t>Centre Wellington Hydro Ltd.1595_(2010)</t>
  </si>
  <si>
    <t>Centre Wellington Hydro Ltd.1595_(2011)</t>
  </si>
  <si>
    <t>Centre Wellington Hydro Ltd.1595_(2012)</t>
  </si>
  <si>
    <t>Centre Wellington Hydro Ltd.1595_(2013)</t>
  </si>
  <si>
    <t>Centre Wellington Hydro Ltd.1595_(2014)</t>
  </si>
  <si>
    <t>Chapleau Public Utilities Corporation1595_(2008)</t>
  </si>
  <si>
    <t>Chapleau Public Utilities Corporation1595_(2009)</t>
  </si>
  <si>
    <t>Chapleau Public Utilities Corporation1595_(2010)</t>
  </si>
  <si>
    <t>Chapleau Public Utilities Corporation1595_(2011)</t>
  </si>
  <si>
    <t>Chapleau Public Utilities Corporation1595_(2012)</t>
  </si>
  <si>
    <t>Chapleau Public Utilities Corporation1595_(2013)</t>
  </si>
  <si>
    <t>Chapleau Public Utilities Corporation1595_(2014)</t>
  </si>
  <si>
    <t>Cooperative Hydro Embrun Inc.1595_(2008)</t>
  </si>
  <si>
    <t>Cooperative Hydro Embrun Inc.1595_(2009)</t>
  </si>
  <si>
    <t>Cooperative Hydro Embrun Inc.1595_(2010)</t>
  </si>
  <si>
    <t>Cooperative Hydro Embrun Inc.1595_(2011)</t>
  </si>
  <si>
    <t>Cooperative Hydro Embrun Inc.1595_(2012)</t>
  </si>
  <si>
    <t>Cooperative Hydro Embrun Inc.1595_(2013)</t>
  </si>
  <si>
    <t>Cooperative Hydro Embrun Inc.1595_(2014)</t>
  </si>
  <si>
    <t>E.L.K. Energy Inc.1595_(2008)</t>
  </si>
  <si>
    <t>E.L.K. Energy Inc.1595_(2009)</t>
  </si>
  <si>
    <t>E.L.K. Energy Inc.1595_(2010)</t>
  </si>
  <si>
    <t>E.L.K. Energy Inc.1595_(2011)</t>
  </si>
  <si>
    <t>E.L.K. Energy Inc.1595_(2012)</t>
  </si>
  <si>
    <t>E.L.K. Energy Inc.1595_(2013)</t>
  </si>
  <si>
    <t>E.L.K. Energy Inc.1595_(2014)</t>
  </si>
  <si>
    <t>Entegrus Powerlines Inc.1595_(2008)</t>
  </si>
  <si>
    <t>Entegrus Powerlines Inc.1595_(2009)</t>
  </si>
  <si>
    <t>Entegrus Powerlines Inc.1595_(2010)</t>
  </si>
  <si>
    <t>Entegrus Powerlines Inc.1595_(2011)</t>
  </si>
  <si>
    <t>Entegrus Powerlines Inc.1595_(2012)</t>
  </si>
  <si>
    <t>Entegrus Powerlines Inc.1595_(2013)</t>
  </si>
  <si>
    <t>Entegrus Powerlines Inc.1595_(2014)</t>
  </si>
  <si>
    <t>Espanola Regional Hydro Distribution Corporation1595_(2008)</t>
  </si>
  <si>
    <t>Espanola Regional Hydro Distribution Corporation1595_(2009)</t>
  </si>
  <si>
    <t>Espanola Regional Hydro Distribution Corporation1595_(2010)</t>
  </si>
  <si>
    <t>Espanola Regional Hydro Distribution Corporation1595_(2011)</t>
  </si>
  <si>
    <t>Espanola Regional Hydro Distribution Corporation1595_(2012)</t>
  </si>
  <si>
    <t>Espanola Regional Hydro Distribution Corporation1595_(2013)</t>
  </si>
  <si>
    <t>Espanola Regional Hydro Distribution Corporation1595_(2014)</t>
  </si>
  <si>
    <t>Fort Frances Power Corporation1595_(2008)</t>
  </si>
  <si>
    <t>Fort Frances Power Corporation1595_(2009)</t>
  </si>
  <si>
    <t>Fort Frances Power Corporation1595_(2010)</t>
  </si>
  <si>
    <t>Fort Frances Power Corporation1595_(2011)</t>
  </si>
  <si>
    <t>Fort Frances Power Corporation1595_(2012)</t>
  </si>
  <si>
    <t>Fort Frances Power Corporation1595_(2013)</t>
  </si>
  <si>
    <t>Fort Frances Power Corporation1595_(2014)</t>
  </si>
  <si>
    <t>Greater Sudbury Hydro Inc.1595_(2008)</t>
  </si>
  <si>
    <t>Greater Sudbury Hydro Inc.1595_(2009)</t>
  </si>
  <si>
    <t>Greater Sudbury Hydro Inc.1595_(2010)</t>
  </si>
  <si>
    <t>Greater Sudbury Hydro Inc.1595_(2011)</t>
  </si>
  <si>
    <t>Greater Sudbury Hydro Inc.1595_(2012)</t>
  </si>
  <si>
    <t>Greater Sudbury Hydro Inc.1595_(2013)</t>
  </si>
  <si>
    <t>Greater Sudbury Hydro Inc.1595_(2014)</t>
  </si>
  <si>
    <t>Grimsby Power Incorporated1595_(2008)</t>
  </si>
  <si>
    <t>Grimsby Power Incorporated1595_(2009)</t>
  </si>
  <si>
    <t>Grimsby Power Incorporated1595_(2010)</t>
  </si>
  <si>
    <t>Grimsby Power Incorporated1595_(2011)</t>
  </si>
  <si>
    <t>Grimsby Power Incorporated1595_(2012)</t>
  </si>
  <si>
    <t>Grimsby Power Incorporated1595_(2013)</t>
  </si>
  <si>
    <t>Grimsby Power Incorporated1595_(2014)</t>
  </si>
  <si>
    <t>Halton Hills Hydro Inc.1595_(2008)</t>
  </si>
  <si>
    <t>Halton Hills Hydro Inc.1595_(2009)</t>
  </si>
  <si>
    <t>Halton Hills Hydro Inc.1595_(2010)</t>
  </si>
  <si>
    <t>Halton Hills Hydro Inc.1595_(2011)</t>
  </si>
  <si>
    <t>Halton Hills Hydro Inc.1595_(2012)</t>
  </si>
  <si>
    <t>Halton Hills Hydro Inc.1595_(2013)</t>
  </si>
  <si>
    <t>Halton Hills Hydro Inc.1595_(2014)</t>
  </si>
  <si>
    <t>Hydro 2000 Inc.1595_(2008)</t>
  </si>
  <si>
    <t>Hydro 2000 Inc.1595_(2009)</t>
  </si>
  <si>
    <t>Hydro 2000 Inc.1595_(2010)</t>
  </si>
  <si>
    <t>Hydro 2000 Inc.1595_(2011)</t>
  </si>
  <si>
    <t>Hydro 2000 Inc.1595_(2012)</t>
  </si>
  <si>
    <t>Hydro 2000 Inc.1595_(2013)</t>
  </si>
  <si>
    <t>Hydro 2000 Inc.1595_(2014)</t>
  </si>
  <si>
    <t>Hydro Hawkesbury Inc.1595_(2008)</t>
  </si>
  <si>
    <t>Hydro Hawkesbury Inc.1595_(2009)</t>
  </si>
  <si>
    <t>Hydro Hawkesbury Inc.1595_(2010)</t>
  </si>
  <si>
    <t>Hydro Hawkesbury Inc.1595_(2011)</t>
  </si>
  <si>
    <t>Hydro Hawkesbury Inc.1595_(2012)</t>
  </si>
  <si>
    <t>Hydro Hawkesbury Inc.1595_(2013)</t>
  </si>
  <si>
    <t>Hydro Hawkesbury Inc.1595_(2014)</t>
  </si>
  <si>
    <t>Hydro One Networks Inc.1595_(2008)</t>
  </si>
  <si>
    <t>Hydro One Networks Inc.1595_(2009)</t>
  </si>
  <si>
    <t>Hydro One Networks Inc.1595_(2010)</t>
  </si>
  <si>
    <t>Hydro One Networks Inc.1595_(2011)</t>
  </si>
  <si>
    <t>Hydro One Networks Inc.1595_(2012)</t>
  </si>
  <si>
    <t>Hydro One Networks Inc.1595_(2013)</t>
  </si>
  <si>
    <t>Hydro One Networks Inc.1595_(2014)</t>
  </si>
  <si>
    <t>Hydro One Remote Communities Inc.1595_(2008)</t>
  </si>
  <si>
    <t>Hydro One Remote Communities Inc.1595_(2009)</t>
  </si>
  <si>
    <t>Hydro One Remote Communities Inc.1595_(2010)</t>
  </si>
  <si>
    <t>Hydro One Remote Communities Inc.1595_(2011)</t>
  </si>
  <si>
    <t>Hydro One Remote Communities Inc.1595_(2012)</t>
  </si>
  <si>
    <t>Hydro One Remote Communities Inc.1595_(2013)</t>
  </si>
  <si>
    <t>Hydro One Remote Communities Inc.1595_(2014)</t>
  </si>
  <si>
    <t>Hydro Ottawa Limited1595_(2008)</t>
  </si>
  <si>
    <t>Hydro Ottawa Limited1595_(2009)</t>
  </si>
  <si>
    <t>Hydro Ottawa Limited1595_(2010)</t>
  </si>
  <si>
    <t>Hydro Ottawa Limited1595_(2011)</t>
  </si>
  <si>
    <t>Hydro Ottawa Limited1595_(2012)</t>
  </si>
  <si>
    <t>Hydro Ottawa Limited1595_(2013)</t>
  </si>
  <si>
    <t>Hydro Ottawa Limited1595_(2014)</t>
  </si>
  <si>
    <t>Innpower Corporation1595_(2008)</t>
  </si>
  <si>
    <t>Innpower Corporation1595_(2009)</t>
  </si>
  <si>
    <t>Innpower Corporation1595_(2010)</t>
  </si>
  <si>
    <t>Innpower Corporation1595_(2011)</t>
  </si>
  <si>
    <t>Innpower Corporation1595_(2012)</t>
  </si>
  <si>
    <t>Innpower Corporation1595_(2013)</t>
  </si>
  <si>
    <t>Innpower Corporation1595_(2014)</t>
  </si>
  <si>
    <t>Kingston Hydro Corporation1595_(2008)</t>
  </si>
  <si>
    <t>Kingston Hydro Corporation1595_(2009)</t>
  </si>
  <si>
    <t>Kingston Hydro Corporation1595_(2010)</t>
  </si>
  <si>
    <t>Kingston Hydro Corporation1595_(2011)</t>
  </si>
  <si>
    <t>Kingston Hydro Corporation1595_(2012)</t>
  </si>
  <si>
    <t>Kingston Hydro Corporation1595_(2013)</t>
  </si>
  <si>
    <t>Kingston Hydro Corporation1595_(2014)</t>
  </si>
  <si>
    <t>Kitchener-Wilmot Hydro Inc.1595_(2008)</t>
  </si>
  <si>
    <t>Kitchener-Wilmot Hydro Inc.1595_(2009)</t>
  </si>
  <si>
    <t>Kitchener-Wilmot Hydro Inc.1595_(2010)</t>
  </si>
  <si>
    <t>Kitchener-Wilmot Hydro Inc.1595_(2011)</t>
  </si>
  <si>
    <t>Kitchener-Wilmot Hydro Inc.1595_(2012)</t>
  </si>
  <si>
    <t>Kitchener-Wilmot Hydro Inc.1595_(2013)</t>
  </si>
  <si>
    <t>Kitchener-Wilmot Hydro Inc.1595_(2014)</t>
  </si>
  <si>
    <t>Lakefront Utilities Inc.1595_(2008)</t>
  </si>
  <si>
    <t>Lakefront Utilities Inc.1595_(2009)</t>
  </si>
  <si>
    <t>Lakefront Utilities Inc.1595_(2010)</t>
  </si>
  <si>
    <t>Lakefront Utilities Inc.1595_(2011)</t>
  </si>
  <si>
    <t>Lakefront Utilities Inc.1595_(2012)</t>
  </si>
  <si>
    <t>Lakefront Utilities Inc.1595_(2013)</t>
  </si>
  <si>
    <t>Lakefront Utilities Inc.1595_(2014)</t>
  </si>
  <si>
    <t>Lakeland Power Distribution Ltd.1595_(2008)</t>
  </si>
  <si>
    <t>Lakeland Power Distribution Ltd.1595_(2009)</t>
  </si>
  <si>
    <t>Lakeland Power Distribution Ltd.1595_(2010)</t>
  </si>
  <si>
    <t>Lakeland Power Distribution Ltd.1595_(2011)</t>
  </si>
  <si>
    <t>Lakeland Power Distribution Ltd.1595_(2012)</t>
  </si>
  <si>
    <t>Lakeland Power Distribution Ltd.1595_(2013)</t>
  </si>
  <si>
    <t>Lakeland Power Distribution Ltd.1595_(2014)</t>
  </si>
  <si>
    <t>London Hydro Inc.1595_(2008)</t>
  </si>
  <si>
    <t>London Hydro Inc.1595_(2009)</t>
  </si>
  <si>
    <t>London Hydro Inc.1595_(2010)</t>
  </si>
  <si>
    <t>London Hydro Inc.1595_(2011)</t>
  </si>
  <si>
    <t>London Hydro Inc.1595_(2012)</t>
  </si>
  <si>
    <t>London Hydro Inc.1595_(2013)</t>
  </si>
  <si>
    <t>London Hydro Inc.1595_(2014)</t>
  </si>
  <si>
    <t>Milton Hydro Distribution Inc.1595_(2008)</t>
  </si>
  <si>
    <t>Milton Hydro Distribution Inc.1595_(2009)</t>
  </si>
  <si>
    <t>Milton Hydro Distribution Inc.1595_(2010)</t>
  </si>
  <si>
    <t>Milton Hydro Distribution Inc.1595_(2011)</t>
  </si>
  <si>
    <t>Milton Hydro Distribution Inc.1595_(2012)</t>
  </si>
  <si>
    <t>Milton Hydro Distribution Inc.1595_(2013)</t>
  </si>
  <si>
    <t>Milton Hydro Distribution Inc.1595_(2014)</t>
  </si>
  <si>
    <t>Niagara Peninsula Energy Inc.1595_(2008)</t>
  </si>
  <si>
    <t>Niagara Peninsula Energy Inc.1595_(2009)</t>
  </si>
  <si>
    <t>Niagara Peninsula Energy Inc.1595_(2010)</t>
  </si>
  <si>
    <t>Niagara Peninsula Energy Inc.1595_(2011)</t>
  </si>
  <si>
    <t>Niagara Peninsula Energy Inc.1595_(2012)</t>
  </si>
  <si>
    <t>Niagara Peninsula Energy Inc.1595_(2013)</t>
  </si>
  <si>
    <t>Niagara Peninsula Energy Inc.1595_(2014)</t>
  </si>
  <si>
    <t>Niagara-on-the-Lake Hydro Inc.1595_(2008)</t>
  </si>
  <si>
    <t>Niagara-on-the-Lake Hydro Inc.1595_(2009)</t>
  </si>
  <si>
    <t>Niagara-on-the-Lake Hydro Inc.1595_(2010)</t>
  </si>
  <si>
    <t>Niagara-on-the-Lake Hydro Inc.1595_(2011)</t>
  </si>
  <si>
    <t>Niagara-on-the-Lake Hydro Inc.1595_(2012)</t>
  </si>
  <si>
    <t>Niagara-on-the-Lake Hydro Inc.1595_(2013)</t>
  </si>
  <si>
    <t>Niagara-on-the-Lake Hydro Inc.1595_(2014)</t>
  </si>
  <si>
    <t>North Bay Hydro Distribution Limited1595_(2008)</t>
  </si>
  <si>
    <t>North Bay Hydro Distribution Limited1595_(2009)</t>
  </si>
  <si>
    <t>North Bay Hydro Distribution Limited1595_(2010)</t>
  </si>
  <si>
    <t>North Bay Hydro Distribution Limited1595_(2011)</t>
  </si>
  <si>
    <t>North Bay Hydro Distribution Limited1595_(2012)</t>
  </si>
  <si>
    <t>North Bay Hydro Distribution Limited1595_(2013)</t>
  </si>
  <si>
    <t>North Bay Hydro Distribution Limited1595_(2014)</t>
  </si>
  <si>
    <t>Northern Ontario Wires Inc.1595_(2008)</t>
  </si>
  <si>
    <t>Northern Ontario Wires Inc.1595_(2009)</t>
  </si>
  <si>
    <t>Northern Ontario Wires Inc.1595_(2010)</t>
  </si>
  <si>
    <t>Northern Ontario Wires Inc.1595_(2011)</t>
  </si>
  <si>
    <t>Northern Ontario Wires Inc.1595_(2012)</t>
  </si>
  <si>
    <t>Northern Ontario Wires Inc.1595_(2013)</t>
  </si>
  <si>
    <t>Northern Ontario Wires Inc.1595_(2014)</t>
  </si>
  <si>
    <t>Oakville Hydro Electricity Distribution Inc.1595_(2008)</t>
  </si>
  <si>
    <t>Oakville Hydro Electricity Distribution Inc.1595_(2009)</t>
  </si>
  <si>
    <t>Oakville Hydro Electricity Distribution Inc.1595_(2010)</t>
  </si>
  <si>
    <t>Oakville Hydro Electricity Distribution Inc.1595_(2011)</t>
  </si>
  <si>
    <t>Oakville Hydro Electricity Distribution Inc.1595_(2012)</t>
  </si>
  <si>
    <t>Oakville Hydro Electricity Distribution Inc.1595_(2013)</t>
  </si>
  <si>
    <t>Oakville Hydro Electricity Distribution Inc.1595_(2014)</t>
  </si>
  <si>
    <t>Orangeville Hydro Limited1595_(2008)</t>
  </si>
  <si>
    <t>Orangeville Hydro Limited1595_(2009)</t>
  </si>
  <si>
    <t>Orangeville Hydro Limited1595_(2010)</t>
  </si>
  <si>
    <t>Orangeville Hydro Limited1595_(2011)</t>
  </si>
  <si>
    <t>Orangeville Hydro Limited1595_(2012)</t>
  </si>
  <si>
    <t>Orangeville Hydro Limited1595_(2013)</t>
  </si>
  <si>
    <t>Orangeville Hydro Limited1595_(2014)</t>
  </si>
  <si>
    <t>Orillia Power Distribution Corporation1595_(2008)</t>
  </si>
  <si>
    <t>Orillia Power Distribution Corporation1595_(2009)</t>
  </si>
  <si>
    <t>Orillia Power Distribution Corporation1595_(2010)</t>
  </si>
  <si>
    <t>Orillia Power Distribution Corporation1595_(2011)</t>
  </si>
  <si>
    <t>Orillia Power Distribution Corporation1595_(2012)</t>
  </si>
  <si>
    <t>Orillia Power Distribution Corporation1595_(2013)</t>
  </si>
  <si>
    <t>Orillia Power Distribution Corporation1595_(2014)</t>
  </si>
  <si>
    <t>Oshawa PUC Networks Inc.1595_(2008)</t>
  </si>
  <si>
    <t>Oshawa PUC Networks Inc.1595_(2009)</t>
  </si>
  <si>
    <t>Oshawa PUC Networks Inc.1595_(2010)</t>
  </si>
  <si>
    <t>Oshawa PUC Networks Inc.1595_(2011)</t>
  </si>
  <si>
    <t>Oshawa PUC Networks Inc.1595_(2012)</t>
  </si>
  <si>
    <t>Oshawa PUC Networks Inc.1595_(2013)</t>
  </si>
  <si>
    <t>Oshawa PUC Networks Inc.1595_(2014)</t>
  </si>
  <si>
    <t>Ottawa River Power Corporation1595_(2008)</t>
  </si>
  <si>
    <t>Ottawa River Power Corporation1595_(2009)</t>
  </si>
  <si>
    <t>Ottawa River Power Corporation1595_(2010)</t>
  </si>
  <si>
    <t>Ottawa River Power Corporation1595_(2011)</t>
  </si>
  <si>
    <t>Ottawa River Power Corporation1595_(2012)</t>
  </si>
  <si>
    <t>Ottawa River Power Corporation1595_(2013)</t>
  </si>
  <si>
    <t>Ottawa River Power Corporation1595_(2014)</t>
  </si>
  <si>
    <t>Peterborough Distribution Incorporated1595_(2008)</t>
  </si>
  <si>
    <t>Peterborough Distribution Incorporated1595_(2009)</t>
  </si>
  <si>
    <t>Peterborough Distribution Incorporated1595_(2010)</t>
  </si>
  <si>
    <t>Peterborough Distribution Incorporated1595_(2011)</t>
  </si>
  <si>
    <t>Peterborough Distribution Incorporated1595_(2012)</t>
  </si>
  <si>
    <t>Peterborough Distribution Incorporated1595_(2013)</t>
  </si>
  <si>
    <t>Peterborough Distribution Incorporated1595_(2014)</t>
  </si>
  <si>
    <t>PUC Distribution Inc.1595_(2008)</t>
  </si>
  <si>
    <t>PUC Distribution Inc.1595_(2009)</t>
  </si>
  <si>
    <t>PUC Distribution Inc.1595_(2010)</t>
  </si>
  <si>
    <t>PUC Distribution Inc.1595_(2011)</t>
  </si>
  <si>
    <t>PUC Distribution Inc.1595_(2012)</t>
  </si>
  <si>
    <t>PUC Distribution Inc.1595_(2013)</t>
  </si>
  <si>
    <t>PUC Distribution Inc.1595_(2014)</t>
  </si>
  <si>
    <t>Renfrew Hydro Inc.1595_(2008)</t>
  </si>
  <si>
    <t>Renfrew Hydro Inc.1595_(2009)</t>
  </si>
  <si>
    <t>Renfrew Hydro Inc.1595_(2010)</t>
  </si>
  <si>
    <t>Renfrew Hydro Inc.1595_(2011)</t>
  </si>
  <si>
    <t>Renfrew Hydro Inc.1595_(2012)</t>
  </si>
  <si>
    <t>Renfrew Hydro Inc.1595_(2013)</t>
  </si>
  <si>
    <t>Renfrew Hydro Inc.1595_(2014)</t>
  </si>
  <si>
    <t>Rideau St. Lawrence Distribution Inc.1595_(2008)</t>
  </si>
  <si>
    <t>Rideau St. Lawrence Distribution Inc.1595_(2009)</t>
  </si>
  <si>
    <t>Rideau St. Lawrence Distribution Inc.1595_(2010)</t>
  </si>
  <si>
    <t>Rideau St. Lawrence Distribution Inc.1595_(2011)</t>
  </si>
  <si>
    <t>Rideau St. Lawrence Distribution Inc.1595_(2012)</t>
  </si>
  <si>
    <t>Rideau St. Lawrence Distribution Inc.1595_(2013)</t>
  </si>
  <si>
    <t>Rideau St. Lawrence Distribution Inc.1595_(2014)</t>
  </si>
  <si>
    <t>Tillsonburg Hydro Inc.1595_(2008)</t>
  </si>
  <si>
    <t>Tillsonburg Hydro Inc.1595_(2009)</t>
  </si>
  <si>
    <t>Tillsonburg Hydro Inc.1595_(2010)</t>
  </si>
  <si>
    <t>Tillsonburg Hydro Inc.1595_(2011)</t>
  </si>
  <si>
    <t>Tillsonburg Hydro Inc.1595_(2012)</t>
  </si>
  <si>
    <t>Tillsonburg Hydro Inc.1595_(2013)</t>
  </si>
  <si>
    <t>Tillsonburg Hydro Inc.1595_(2014)</t>
  </si>
  <si>
    <t>Toronto Hydro-Electric System Limited1595_(2008)</t>
  </si>
  <si>
    <t>Toronto Hydro-Electric System Limited1595_(2009)</t>
  </si>
  <si>
    <t>Toronto Hydro-Electric System Limited1595_(2010)</t>
  </si>
  <si>
    <t>Toronto Hydro-Electric System Limited1595_(2011)</t>
  </si>
  <si>
    <t>Toronto Hydro-Electric System Limited1595_(2012)</t>
  </si>
  <si>
    <t>Toronto Hydro-Electric System Limited1595_(2013)</t>
  </si>
  <si>
    <t>Toronto Hydro-Electric System Limited1595_(2014)</t>
  </si>
  <si>
    <t>Wasaga Distribution Inc.1595_(2008)</t>
  </si>
  <si>
    <t>Wasaga Distribution Inc.1595_(2009)</t>
  </si>
  <si>
    <t>Wasaga Distribution Inc.1595_(2010)</t>
  </si>
  <si>
    <t>Wasaga Distribution Inc.1595_(2011)</t>
  </si>
  <si>
    <t>Wasaga Distribution Inc.1595_(2012)</t>
  </si>
  <si>
    <t>Wasaga Distribution Inc.1595_(2013)</t>
  </si>
  <si>
    <t>Wasaga Distribution Inc.1595_(2014)</t>
  </si>
  <si>
    <t>Waterloo North Hydro Inc.1595_(2008)</t>
  </si>
  <si>
    <t>Waterloo North Hydro Inc.1595_(2009)</t>
  </si>
  <si>
    <t>Waterloo North Hydro Inc.1595_(2010)</t>
  </si>
  <si>
    <t>Waterloo North Hydro Inc.1595_(2011)</t>
  </si>
  <si>
    <t>Waterloo North Hydro Inc.1595_(2012)</t>
  </si>
  <si>
    <t>Waterloo North Hydro Inc.1595_(2013)</t>
  </si>
  <si>
    <t>Waterloo North Hydro Inc.1595_(2014)</t>
  </si>
  <si>
    <t>Welland Hydro-Electric System Corp.1595_(2008)</t>
  </si>
  <si>
    <t>Welland Hydro-Electric System Corp.1595_(2009)</t>
  </si>
  <si>
    <t>Welland Hydro-Electric System Corp.1595_(2010)</t>
  </si>
  <si>
    <t>Welland Hydro-Electric System Corp.1595_(2011)</t>
  </si>
  <si>
    <t>Welland Hydro-Electric System Corp.1595_(2012)</t>
  </si>
  <si>
    <t>Welland Hydro-Electric System Corp.1595_(2013)</t>
  </si>
  <si>
    <t>Welland Hydro-Electric System Corp.1595_(2014)</t>
  </si>
  <si>
    <t>Wellington North Power Inc.1595_(2008)</t>
  </si>
  <si>
    <t>Wellington North Power Inc.1595_(2009)</t>
  </si>
  <si>
    <t>Wellington North Power Inc.1595_(2010)</t>
  </si>
  <si>
    <t>Wellington North Power Inc.1595_(2011)</t>
  </si>
  <si>
    <t>Wellington North Power Inc.1595_(2012)</t>
  </si>
  <si>
    <t>Wellington North Power Inc.1595_(2013)</t>
  </si>
  <si>
    <t>Wellington North Power Inc.1595_(2014)</t>
  </si>
  <si>
    <t>Westario Power Inc.1595_(2008)</t>
  </si>
  <si>
    <t>Westario Power Inc.1595_(2009)</t>
  </si>
  <si>
    <t>Westario Power Inc.1595_(2010)</t>
  </si>
  <si>
    <t>Westario Power Inc.1595_(2011)</t>
  </si>
  <si>
    <t>Westario Power Inc.1595_(2012)</t>
  </si>
  <si>
    <t>Westario Power Inc.1595_(2013)</t>
  </si>
  <si>
    <t>Westario Power Inc.1595_(2014)</t>
  </si>
  <si>
    <t>Algoma Power Inc.1595_ControlAccount</t>
  </si>
  <si>
    <t>Bluewater Power Distribution Corporation1595_ControlAccount</t>
  </si>
  <si>
    <t>Brantford Power Inc.1595_ControlAccount</t>
  </si>
  <si>
    <t>Burlington Hydro Inc.1595_ControlAccount</t>
  </si>
  <si>
    <t>Canadian Niagara Power Inc.1595_ControlAccount</t>
  </si>
  <si>
    <t>Centre Wellington Hydro Ltd.1595_ControlAccount</t>
  </si>
  <si>
    <t>Chapleau Public Utilities Corporation1595_ControlAccount</t>
  </si>
  <si>
    <t>Cooperative Hydro Embrun Inc.1595_ControlAccount</t>
  </si>
  <si>
    <t>E.L.K. Energy Inc.1595_ControlAccount</t>
  </si>
  <si>
    <t>Entegrus Powerlines Inc.1595_ControlAccount</t>
  </si>
  <si>
    <t>Espanola Regional Hydro Distribution Corporation1595_ControlAccount</t>
  </si>
  <si>
    <t>Fort Frances Power Corporation1595_ControlAccount</t>
  </si>
  <si>
    <t>Greater Sudbury Hydro Inc.1595_ControlAccount</t>
  </si>
  <si>
    <t>Grimsby Power Incorporated1595_ControlAccount</t>
  </si>
  <si>
    <t>Halton Hills Hydro Inc.1595_ControlAccount</t>
  </si>
  <si>
    <t>Hydro 2000 Inc.1595_ControlAccount</t>
  </si>
  <si>
    <t>Hydro Hawkesbury Inc.1595_ControlAccount</t>
  </si>
  <si>
    <t>Hydro One Networks Inc.1595_ControlAccount</t>
  </si>
  <si>
    <t>Hydro One Remote Communities Inc.1595_ControlAccount</t>
  </si>
  <si>
    <t>Hydro Ottawa Limited1595_ControlAccount</t>
  </si>
  <si>
    <t>Innpower Corporation1595_ControlAccount</t>
  </si>
  <si>
    <t>Kingston Hydro Corporation1595_ControlAccount</t>
  </si>
  <si>
    <t>Kitchener-Wilmot Hydro Inc.1595_ControlAccount</t>
  </si>
  <si>
    <t>Lakefront Utilities Inc.1595_ControlAccount</t>
  </si>
  <si>
    <t>Lakeland Power Distribution Ltd.1595_ControlAccount</t>
  </si>
  <si>
    <t>London Hydro Inc.1595_ControlAccount</t>
  </si>
  <si>
    <t>Milton Hydro Distribution Inc.1595_ControlAccount</t>
  </si>
  <si>
    <t>Niagara Peninsula Energy Inc.1595_ControlAccount</t>
  </si>
  <si>
    <t>Niagara-on-the-Lake Hydro Inc.1595_ControlAccount</t>
  </si>
  <si>
    <t>North Bay Hydro Distribution Limited1595_ControlAccount</t>
  </si>
  <si>
    <t>Northern Ontario Wires Inc.1595_ControlAccount</t>
  </si>
  <si>
    <t>Oakville Hydro Electricity Distribution Inc.1595_ControlAccount</t>
  </si>
  <si>
    <t>Orangeville Hydro Limited1595_ControlAccount</t>
  </si>
  <si>
    <t>Orillia Power Distribution Corporation1595_ControlAccount</t>
  </si>
  <si>
    <t>Oshawa PUC Networks Inc.1595_ControlAccount</t>
  </si>
  <si>
    <t>Ottawa River Power Corporation1595_ControlAccount</t>
  </si>
  <si>
    <t>Peterborough Distribution Incorporated1595_ControlAccount</t>
  </si>
  <si>
    <t>PUC Distribution Inc.1595_ControlAccount</t>
  </si>
  <si>
    <t>Renfrew Hydro Inc.1595_ControlAccount</t>
  </si>
  <si>
    <t>Rideau St. Lawrence Distribution Inc.1595_ControlAccount</t>
  </si>
  <si>
    <t>Tillsonburg Hydro Inc.1595_ControlAccount</t>
  </si>
  <si>
    <t>Toronto Hydro-Electric System Limited1595_ControlAccount</t>
  </si>
  <si>
    <t>Wasaga Distribution Inc.1595_ControlAccount</t>
  </si>
  <si>
    <t>Waterloo North Hydro Inc.1595_ControlAccount</t>
  </si>
  <si>
    <t>Welland Hydro-Electric System Corp.1595_ControlAccount</t>
  </si>
  <si>
    <t>Wellington North Power Inc.1595_ControlAccount</t>
  </si>
  <si>
    <t>Westario Power Inc.1595_ControlAccount</t>
  </si>
  <si>
    <t>Filing_Year</t>
  </si>
  <si>
    <t>Rate_Class</t>
  </si>
  <si>
    <t>Rate_Class_Detail</t>
  </si>
  <si>
    <t>General Service &gt;= 50 kW</t>
  </si>
  <si>
    <t>Residential</t>
  </si>
  <si>
    <t>Street Lighting Connections</t>
  </si>
  <si>
    <t>General Service &lt; 50 kW</t>
  </si>
  <si>
    <t>Large User</t>
  </si>
  <si>
    <t>Sentinel Lighting Connections</t>
  </si>
  <si>
    <t>Unmetered Scattered Load Connections</t>
  </si>
  <si>
    <t>Embedded Distributor(s)</t>
  </si>
  <si>
    <t>Sub Transmission Customers</t>
  </si>
  <si>
    <t>TotConsmptionforDistCustkW</t>
  </si>
  <si>
    <t>TotConsmptionforDistCustkWh</t>
  </si>
  <si>
    <r>
      <t xml:space="preserve">Total Metered </t>
    </r>
    <r>
      <rPr>
        <b/>
        <sz val="10"/>
        <color rgb="FFFF0000"/>
        <rFont val="Arial"/>
        <family val="2"/>
      </rPr>
      <t>kW</t>
    </r>
  </si>
  <si>
    <r>
      <t xml:space="preserve">Total Metered </t>
    </r>
    <r>
      <rPr>
        <b/>
        <sz val="10"/>
        <color rgb="FFFF0000"/>
        <rFont val="Arial"/>
        <family val="2"/>
      </rPr>
      <t>kWh</t>
    </r>
  </si>
  <si>
    <r>
      <t xml:space="preserve">Total Metered </t>
    </r>
    <r>
      <rPr>
        <b/>
        <sz val="10"/>
        <color rgb="FFFF0000"/>
        <rFont val="Arial"/>
        <family val="2"/>
      </rPr>
      <t xml:space="preserve">kWh </t>
    </r>
    <r>
      <rPr>
        <b/>
        <sz val="10"/>
        <rFont val="Arial"/>
        <family val="2"/>
      </rPr>
      <t xml:space="preserve">less WMP consumption </t>
    </r>
  </si>
  <si>
    <r>
      <t xml:space="preserve">Total Metered </t>
    </r>
    <r>
      <rPr>
        <b/>
        <sz val="10"/>
        <color rgb="FFFF0000"/>
        <rFont val="Arial"/>
        <family val="2"/>
      </rPr>
      <t xml:space="preserve">kW </t>
    </r>
    <r>
      <rPr>
        <b/>
        <sz val="10"/>
        <rFont val="Arial"/>
        <family val="2"/>
      </rPr>
      <t xml:space="preserve">less WMP consumption </t>
    </r>
  </si>
  <si>
    <r>
      <t xml:space="preserve">% of  Total </t>
    </r>
    <r>
      <rPr>
        <b/>
        <sz val="10"/>
        <color theme="3"/>
        <rFont val="Arial"/>
        <family val="2"/>
      </rPr>
      <t xml:space="preserve">kWh </t>
    </r>
    <r>
      <rPr>
        <b/>
        <sz val="10"/>
        <rFont val="Arial"/>
        <family val="2"/>
      </rPr>
      <t>adjusted for WMP</t>
    </r>
  </si>
  <si>
    <t>Default Rate Rider Recovery Period (in months)</t>
  </si>
  <si>
    <t>Proposed Rate Rider Recovery Period (in months)</t>
  </si>
  <si>
    <t>Metered kW 
or kVA</t>
  </si>
  <si>
    <t>allocated based on Total less WMP</t>
  </si>
  <si>
    <t>Total Metered kWh</t>
  </si>
  <si>
    <t>Federal small business rate</t>
  </si>
  <si>
    <t>Sharing of Tax Amount (50%)</t>
  </si>
  <si>
    <t>The purpose of this table is to re-align the current RTS Network Rates to recover current wholesale network costs.</t>
  </si>
  <si>
    <t>Rate Design Transition Years Left</t>
  </si>
  <si>
    <t>Note that cells with the highlighted color shown to the left indicate quantities that are loss adjusted.</t>
  </si>
  <si>
    <t>Table 1</t>
  </si>
  <si>
    <r>
      <t xml:space="preserve">RATE CLASSES / CATEGORIES 
</t>
    </r>
    <r>
      <rPr>
        <b/>
        <i/>
        <sz val="9"/>
        <rFont val="Arial"/>
        <family val="2"/>
      </rPr>
      <t>(eg: Residential TOU, Residential Retailer)</t>
    </r>
  </si>
  <si>
    <t>RPP?
Non-RPP Retailer?
Non-RPP
Other?</t>
  </si>
  <si>
    <t>Consumption (kWh)</t>
  </si>
  <si>
    <t>Demand kW
(if applicable)</t>
  </si>
  <si>
    <t>RPP</t>
  </si>
  <si>
    <t>Non-RPP (Retailer)</t>
  </si>
  <si>
    <t>Non-RPP (Other)</t>
  </si>
  <si>
    <t>Table 2</t>
  </si>
  <si>
    <t>Sub-Total</t>
  </si>
  <si>
    <t>Customer Class:</t>
  </si>
  <si>
    <t>RPP / Non-RPP:</t>
  </si>
  <si>
    <t>ST_A</t>
  </si>
  <si>
    <t>ST_B</t>
  </si>
  <si>
    <t>ST_C</t>
  </si>
  <si>
    <t>Non-RPP Retailer Avg. Price</t>
  </si>
  <si>
    <t>Average IESO Wholesale Market Price</t>
  </si>
  <si>
    <t>RPP_TOTAL</t>
  </si>
  <si>
    <t>Total Bill on TOU</t>
  </si>
  <si>
    <t>Total Bill on Non-RPP Avg. Price</t>
  </si>
  <si>
    <t>Non-RPP (Retailer)_TOTAL</t>
  </si>
  <si>
    <t>Total Bill on Average IESO Wholesale Market Price</t>
  </si>
  <si>
    <t>Non-RPP (Other)_TOTAL</t>
  </si>
  <si>
    <t>Sub-Total C - Delivery
(including Sub-Total B)</t>
  </si>
  <si>
    <t>Sub-Total B - Distribution
(includes Sub-Total A)</t>
  </si>
  <si>
    <t>Total Bill on Average IESO 
Wholesale Market Price</t>
  </si>
  <si>
    <t>If needed, add extra host here. (II)</t>
  </si>
  <si>
    <t>If needed, add extra host here. (I)</t>
  </si>
  <si>
    <t>1. Information Sheet</t>
  </si>
  <si>
    <t>Sheet1</t>
  </si>
  <si>
    <t>2. Current Tariff Schedule</t>
  </si>
  <si>
    <t>2016 List</t>
  </si>
  <si>
    <t>4. Billing Det. for Def-Var</t>
  </si>
  <si>
    <t>5. Allocating Def-Var Balances</t>
  </si>
  <si>
    <t>2.1.7 Filing</t>
  </si>
  <si>
    <t>lists</t>
  </si>
  <si>
    <t>Applicable Loss Factor</t>
  </si>
  <si>
    <r>
      <t xml:space="preserve">Total Metered </t>
    </r>
    <r>
      <rPr>
        <b/>
        <sz val="10"/>
        <color rgb="FFFF0000"/>
        <rFont val="Arial"/>
        <family val="2"/>
      </rPr>
      <t xml:space="preserve">kW </t>
    </r>
    <r>
      <rPr>
        <b/>
        <sz val="10"/>
        <rFont val="Arial"/>
        <family val="2"/>
      </rPr>
      <t xml:space="preserve">less WMP consumption 
</t>
    </r>
    <r>
      <rPr>
        <b/>
        <i/>
        <sz val="10"/>
        <rFont val="Arial"/>
        <family val="2"/>
      </rPr>
      <t>(if applicable)</t>
    </r>
  </si>
  <si>
    <r>
      <t xml:space="preserve">Total Metered </t>
    </r>
    <r>
      <rPr>
        <b/>
        <sz val="10"/>
        <color rgb="FFFF0000"/>
        <rFont val="Arial"/>
        <family val="2"/>
      </rPr>
      <t xml:space="preserve">kWh </t>
    </r>
    <r>
      <rPr>
        <b/>
        <sz val="10"/>
        <rFont val="Arial"/>
        <family val="2"/>
      </rPr>
      <t xml:space="preserve">less WMP consumption
</t>
    </r>
    <r>
      <rPr>
        <b/>
        <i/>
        <sz val="10"/>
        <rFont val="Arial"/>
        <family val="2"/>
      </rPr>
      <t>(if applicable)</t>
    </r>
  </si>
  <si>
    <t>DISTRIBUTOR</t>
  </si>
  <si>
    <t>Total_Customer_Connections</t>
  </si>
  <si>
    <r>
      <t xml:space="preserve">Current 
Loss Factor 
</t>
    </r>
    <r>
      <rPr>
        <b/>
        <sz val="8"/>
        <rFont val="Arial"/>
        <family val="2"/>
      </rPr>
      <t>(eg: 1.0351)</t>
    </r>
  </si>
  <si>
    <t>Current Loss Factor</t>
  </si>
  <si>
    <t>Proposed/Approved Loss Factor</t>
  </si>
  <si>
    <t>Sub-Total B - Distribution (includes Sub-Total A)</t>
  </si>
  <si>
    <t>Sub-Total C - Delivery (including Sub-Total B)</t>
  </si>
  <si>
    <t xml:space="preserve">Ontario Electricity Support Program 
(OESP) </t>
  </si>
  <si>
    <t>Proposed Loss Factor</t>
  </si>
  <si>
    <r>
      <rPr>
        <b/>
        <sz val="10"/>
        <rFont val="Arial Black"/>
        <family val="2"/>
      </rPr>
      <t>RTSR</t>
    </r>
    <r>
      <rPr>
        <b/>
        <sz val="10"/>
        <rFont val="Arial"/>
        <family val="2"/>
      </rPr>
      <t xml:space="preserve">
Demand or 
Demand-Interval?</t>
    </r>
  </si>
  <si>
    <t>Festival Hydro Inc.1550</t>
  </si>
  <si>
    <t>Festival Hydro Inc.1551</t>
  </si>
  <si>
    <t>Festival Hydro Inc.1568</t>
  </si>
  <si>
    <t>Festival Hydro Inc.1580</t>
  </si>
  <si>
    <t>Festival Hydro Inc.1584</t>
  </si>
  <si>
    <t>Festival Hydro Inc.1586</t>
  </si>
  <si>
    <t>Festival Hydro Inc.1588</t>
  </si>
  <si>
    <t>Festival Hydro Inc.1589</t>
  </si>
  <si>
    <t>Festival Hydro Inc.1595_(2008)</t>
  </si>
  <si>
    <t>Festival Hydro Inc.1595_(2009)</t>
  </si>
  <si>
    <t>Festival Hydro Inc.1595_(2010)</t>
  </si>
  <si>
    <t>Festival Hydro Inc.1595_(2011)</t>
  </si>
  <si>
    <t>Festival Hydro Inc.1595_(2012)</t>
  </si>
  <si>
    <t>Festival Hydro Inc.1595_(2013)</t>
  </si>
  <si>
    <t>Festival Hydro Inc.1595_(2014)</t>
  </si>
  <si>
    <t>Festival Hydro Inc.1595_ControlAccount</t>
  </si>
  <si>
    <t>DISTRIBUTED GENERATION [DGEN] SERVICE CLASSIFICATION</t>
  </si>
  <si>
    <t>ONTARIO ELECTRICITY SUPPORT PROGRAM RECIPIENTS</t>
  </si>
  <si>
    <t>GENERAL SERVICE 3,000 TO 4,999 KW - INTERMEDIATE USE SERVICE CLASSIFICATION</t>
  </si>
  <si>
    <t>GENERAL SERVICE 50 TO 699 KW SERVICE CLASSIFICATION</t>
  </si>
  <si>
    <t>GENERAL SERVICE 700 TO 4,999 KW SERVICE CLASSIFICATION</t>
  </si>
  <si>
    <t xml:space="preserve">STANDBY POWER SERVICE CLASSIFICATION </t>
  </si>
  <si>
    <t>INTERMEDIATE USER SERVICE CLASSIFICATION</t>
  </si>
  <si>
    <t>LARGE USE WITH DEDICATED ASSETS SERVICE CLASSIFICATION</t>
  </si>
  <si>
    <t>Ret_Metered_consumption_in_kWhs</t>
  </si>
  <si>
    <t>Ret_Metered_consumption_in_kWs</t>
  </si>
  <si>
    <t>Dist_RPPMeterCustkWh</t>
  </si>
  <si>
    <t>Dist_RPPMeterCustkW</t>
  </si>
  <si>
    <t>Dist_NonRPPMeterCustkWh</t>
  </si>
  <si>
    <t>Dist_NonRPPMeterCustkW</t>
  </si>
  <si>
    <t>Calculated_TOTAL_KWH</t>
  </si>
  <si>
    <t>Calculated_TOTAL_KW</t>
  </si>
  <si>
    <t>ALGOMA POWER INC.</t>
  </si>
  <si>
    <t>GENERAL SERVICE EQUAL TO OR GREATER THAN 50 KW</t>
  </si>
  <si>
    <t>RESIDENTIAL - R2</t>
  </si>
  <si>
    <t>RESIDENTIAL - R1</t>
  </si>
  <si>
    <t>RESIDENTIAL - SEASONAL</t>
  </si>
  <si>
    <t>STREET LIGHTING CONNECTIONS</t>
  </si>
  <si>
    <t>ATIKOKAN HYDRO INC.</t>
  </si>
  <si>
    <t>LARGE USER</t>
  </si>
  <si>
    <t>SENTINEL LIGHTING CONNECTIONS</t>
  </si>
  <si>
    <t>UNMETERED SCATTERED LOAD CONNECTIONS</t>
  </si>
  <si>
    <t>BRANTFORD POWER INC.</t>
  </si>
  <si>
    <t>EMBEDDED DISTRIBUTOR(S)</t>
  </si>
  <si>
    <t>BURLINGTON HYDRO INC.</t>
  </si>
  <si>
    <t>CANADIAN NIAGARA POWER INC.</t>
  </si>
  <si>
    <t>CENTRE WELLINGTON HYDRO LTD.</t>
  </si>
  <si>
    <t>CHAPLEAU PUBLIC UTILITIES CORPORATION</t>
  </si>
  <si>
    <t>COOPERATIVE HYDRO EMBRUN INC.</t>
  </si>
  <si>
    <t>E.L.K. ENERGY INC.</t>
  </si>
  <si>
    <t>ENTEGRUS POWERLINES INC.</t>
  </si>
  <si>
    <t>ENWIN UTILITIES LTD.</t>
  </si>
  <si>
    <t>ESPANOLA REGIONAL HYDRO DISTRIBUTION CORPORATION</t>
  </si>
  <si>
    <t>FESTIVAL HYDRO INC.</t>
  </si>
  <si>
    <t>FORT FRANCES POWER CORPORATION</t>
  </si>
  <si>
    <t>GREATER SUDBURY HYDRO INC.</t>
  </si>
  <si>
    <t>GRIMSBY POWER INCORPORATED</t>
  </si>
  <si>
    <t>HALTON HILLS HYDRO INC.</t>
  </si>
  <si>
    <t>HYDRO HAWKESBURY INC.</t>
  </si>
  <si>
    <t>HYDRO ONE NETWORKS INC.</t>
  </si>
  <si>
    <t>SUB TRANSMISSION CUSTOMERS</t>
  </si>
  <si>
    <t>HYDRO OTTAWA LIMITED</t>
  </si>
  <si>
    <t>INNPOWER CORPORATION</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</si>
  <si>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</si>
  <si>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</si>
  <si>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</si>
  <si>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</si>
  <si>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</si>
  <si>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</si>
  <si>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</si>
  <si>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</si>
  <si>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 BAY HYDRO DISTRIBUTION LIMITED</t>
  </si>
  <si>
    <t>NORTHERN ONTARIO WIRES INC.</t>
  </si>
  <si>
    <t>OAKVILLE HYDRO ELECTRICITY DISTRIBUTION INC.</t>
  </si>
  <si>
    <t>GENERAL SERVICE 1,000 KW AND GREATER</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</si>
  <si>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</si>
  <si>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</si>
  <si>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</si>
  <si>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</si>
  <si>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</si>
  <si>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</si>
  <si>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</si>
  <si>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</si>
  <si>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</si>
  <si>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TILLSONBURG HYDRO INC.</t>
  </si>
  <si>
    <t>GENERAL SERVICE 500 TO 1,499 KW</t>
  </si>
  <si>
    <t>TORONTO HYDRO-ELECTRIC SYSTEM LIMITED</t>
  </si>
  <si>
    <t>WASAGA DISTRIBUTION INC.</t>
  </si>
  <si>
    <t>WATERLOO NORTH HYDRO INC.</t>
  </si>
  <si>
    <t>WELLAND HYDRO-ELECTRIC SYSTEM CORP.</t>
  </si>
  <si>
    <t>WELLINGTON NORTH POWER INC.</t>
  </si>
  <si>
    <t>WESTARIO POWER INC.</t>
  </si>
  <si>
    <t>ORILLIA POWER DISTRIBUTION CORPORATION_GENERAL SERVICE 50 TO 4,999 KW SERVICE CLASSIFICATION</t>
  </si>
  <si>
    <t>ORILLIA POWER DISTRIBUTION CORPORATION_GENERAL SERVICE LESS THAN 50 KW SERVICE CLASSIFICATION</t>
  </si>
  <si>
    <t>ORILLIA POWER DISTRIBUTION CORPORATION_RESIDENTIAL SERVICE CLASSIFICATION</t>
  </si>
  <si>
    <t>ORILLIA POWER DISTRIBUTION CORPORATION_UNMETERED SCATTERED LOAD SERVICE CLASSIFICATION</t>
  </si>
  <si>
    <t>ORILLIA POWER DISTRIBUTION CORPORATION_SENTINEL LIGHTING SERVICE CLASSIFICATION</t>
  </si>
  <si>
    <t>ORILLIA POWER DISTRIBUTION CORPORATION_STREET LIGHTING SERVICE CLASSIFICATION</t>
  </si>
  <si>
    <t>1580 (Class A)</t>
  </si>
  <si>
    <t>% of total kWh</t>
  </si>
  <si>
    <t>GA Rate Rider</t>
  </si>
  <si>
    <t>7. Calculation of Def-Var RR</t>
  </si>
  <si>
    <t>8. STS - Tax Change</t>
  </si>
  <si>
    <t>9. Shared Tax - Rate Rider</t>
  </si>
  <si>
    <t>10. RTSR Current Rates</t>
  </si>
  <si>
    <t>11. RTSR - UTRs &amp; Sub-Tx</t>
  </si>
  <si>
    <t>12. RTSR - Historical Wholesale</t>
  </si>
  <si>
    <t>13. RTSR - Current Wholesale</t>
  </si>
  <si>
    <t>14. RTSR - Forecast Wholesale</t>
  </si>
  <si>
    <t>15. RTSR Rates to Forecast</t>
  </si>
  <si>
    <t>16. Rev2Cost_GDPIPI</t>
  </si>
  <si>
    <t>18. Additional Rates</t>
  </si>
  <si>
    <t>19. Final Tariff Schedule</t>
  </si>
  <si>
    <t>20. Bill Impacts</t>
  </si>
  <si>
    <t>20. Bill Impacts hidden</t>
  </si>
  <si>
    <t>2016 Database</t>
  </si>
  <si>
    <t>17. Regulatory Charges</t>
  </si>
  <si>
    <t>Low Voltage Switchgear Credit (if applicable, enter as a negative value)</t>
  </si>
  <si>
    <r>
      <t xml:space="preserve">1595 Recovery Proportion (2009) </t>
    </r>
    <r>
      <rPr>
        <b/>
        <vertAlign val="superscript"/>
        <sz val="10"/>
        <rFont val="Arial"/>
        <family val="2"/>
      </rPr>
      <t>1</t>
    </r>
  </si>
  <si>
    <r>
      <t xml:space="preserve">1595 Recovery Proportion (2013) </t>
    </r>
    <r>
      <rPr>
        <b/>
        <vertAlign val="superscript"/>
        <sz val="10"/>
        <rFont val="Arial"/>
        <family val="2"/>
      </rPr>
      <t>1</t>
    </r>
  </si>
  <si>
    <r>
      <t xml:space="preserve">1595 Recovery Proportion (2015) </t>
    </r>
    <r>
      <rPr>
        <b/>
        <vertAlign val="superscript"/>
        <sz val="10"/>
        <rFont val="Arial"/>
        <family val="2"/>
      </rPr>
      <t>1</t>
    </r>
  </si>
  <si>
    <t>Account Descriptions</t>
  </si>
  <si>
    <t>Account Number</t>
  </si>
  <si>
    <t>Total Claim</t>
  </si>
  <si>
    <t>Claim before Forecasted Transactions</t>
  </si>
  <si>
    <t>Group 1 Accounts</t>
  </si>
  <si>
    <t>Total Group 1 Balance excluding Account 1589 - Global Adjustment</t>
  </si>
  <si>
    <t>Total Group 1 Balance</t>
  </si>
  <si>
    <t>LRAM Variance Account (only input amounts if applying for disposition of this account)</t>
  </si>
  <si>
    <t>Total including Account 1568</t>
  </si>
  <si>
    <t>1580 (Class B)</t>
  </si>
  <si>
    <t>Total Interest</t>
  </si>
  <si>
    <t>2 1 5 TotalConsumptionData_Dist</t>
  </si>
  <si>
    <t>OEB-Approved Disposition during 2015</t>
  </si>
  <si>
    <t>Opening Principal Amounts as of Jan 1, 2015</t>
  </si>
  <si>
    <t>Closing Interest Amounts as of Dec 31, 2014</t>
  </si>
  <si>
    <t>OEB-Approved Disposition during 2014</t>
  </si>
  <si>
    <t>Opening Interest Amounts as of Jan 1, 2014</t>
  </si>
  <si>
    <t>Closing Principal Balance as of Dec 31, 2014</t>
  </si>
  <si>
    <t>Opening Principal Amounts as of Jan 1, 2014</t>
  </si>
  <si>
    <t>Revenue Reconciliation:</t>
  </si>
  <si>
    <t>Company and Account_No</t>
  </si>
  <si>
    <t>Disposition and Recovery/Refund of Regulatory Balances (2015)</t>
  </si>
  <si>
    <t>ALGOMA POWER INC._STREET LIGHTING SERVICE CLASSIFICATION</t>
  </si>
  <si>
    <t>ATIKOKAN HYDRO INC._GENERAL SERVICE 50 TO 4,999 KW SERVICE CLASSIFICATION</t>
  </si>
  <si>
    <t>ATIKOKAN HYDRO INC._GENERAL SERVICE LESS THAN 50 KW SERVICE CLASSIFICATION</t>
  </si>
  <si>
    <t>ATIKOKAN HYDRO INC._RESIDENTIAL SERVICE CLASSIFICATION</t>
  </si>
  <si>
    <t>ATIKOKAN HYDRO INC._STREET LIGHTING SERVICE CLASSIFICATION</t>
  </si>
  <si>
    <t>BRANTFORD POWER INC._EMBEDDED DISTRIBUTOR SERVICE CLASSIFICATION</t>
  </si>
  <si>
    <t>BRANTFORD POWER INC._GENERAL SERVICE 50 TO 4,999 KW SERVICE CLASSIFICATION</t>
  </si>
  <si>
    <t>BRANTFORD POWER INC._GENERAL SERVICE LESS THAN 50 KW SERVICE CLASSIFICATION</t>
  </si>
  <si>
    <t>BRANTFORD POWER INC._RESIDENTIAL SERVICE CLASSIFICATION</t>
  </si>
  <si>
    <t>BRANTFORD POWER INC._SENTINEL LIGHTING SERVICE CLASSIFICATION</t>
  </si>
  <si>
    <t>BRANTFORD POWER INC._STREET LIGHTING SERVICE CLASSIFICATION</t>
  </si>
  <si>
    <t>BRANTFORD POWER INC._UNMETERED SCATTERED LOAD SERVICE CLASSIFICATION</t>
  </si>
  <si>
    <t>BURLINGTON HYDRO INC._GENERAL SERVICE 50 TO 4,999 KW SERVICE CLASSIFICATION</t>
  </si>
  <si>
    <t>BURLINGTON HYDRO INC._GENERAL SERVICE LESS THAN 50 KW SERVICE CLASSIFICATION</t>
  </si>
  <si>
    <t>BURLINGTON HYDRO INC._RESIDENTIAL SERVICE CLASSIFICATION</t>
  </si>
  <si>
    <t>BURLINGTON HYDRO INC._STREET LIGHTING SERVICE CLASSIFICATION</t>
  </si>
  <si>
    <t>BURLINGTON HYDRO INC._UNMETERED SCATTERED LOAD SERVICE CLASSIFICATION</t>
  </si>
  <si>
    <t>CENTRE WELLINGTON HYDRO LTD._GENERAL SERVICE 3,000 TO 4,999 KW SERVICE CLASSIFICATION</t>
  </si>
  <si>
    <t>CENTRE WELLINGTON HYDRO LTD._GENERAL SERVICE 50 TO 2,999 KW SERVICE CLASSIFICATION</t>
  </si>
  <si>
    <t>CENTRE WELLINGTON HYDRO LTD._GENERAL SERVICE LESS THAN 50 KW SERVICE CLASSIFICATION</t>
  </si>
  <si>
    <t>CENTRE WELLINGTON HYDRO LTD._RESIDENTIAL SERVICE CLASSIFICATION</t>
  </si>
  <si>
    <t>CENTRE WELLINGTON HYDRO LTD._SENTINEL LIGHTING SERVICE CLASSIFICATION</t>
  </si>
  <si>
    <t>CENTRE WELLINGTON HYDRO LTD._STREET LIGHTING SERVICE CLASSIFICATION</t>
  </si>
  <si>
    <t>CENTRE WELLINGTON HYDRO LTD._UNMETERED SCATTERED LOAD SERVICE CLASSIFICATION</t>
  </si>
  <si>
    <t>CHAPLEAU PUBLIC UTILITIES CORPORATION_GENERAL SERVICE 50 TO 4,999 KW SERVICE CLASSIFICATION</t>
  </si>
  <si>
    <t>CHAPLEAU PUBLIC UTILITIES CORPORATION_GENERAL SERVICE LESS THAN 50 KW SERVICE CLASSIFICATION</t>
  </si>
  <si>
    <t>CHAPLEAU PUBLIC UTILITIES CORPORATION_RESIDENTIAL SERVICE CLASSIFICATION</t>
  </si>
  <si>
    <t>CHAPLEAU PUBLIC UTILITIES CORPORATION_SENTINEL LIGHTING SERVICE CLASSIFICATION</t>
  </si>
  <si>
    <t>CHAPLEAU PUBLIC UTILITIES CORPORATION_STREET LIGHTING SERVICE CLASSIFICATION</t>
  </si>
  <si>
    <t>CHAPLEAU PUBLIC UTILITIES CORPORATION_UNMETERED SCATTERED LOAD SERVICE CLASSIFICATION</t>
  </si>
  <si>
    <t>COOPERATIVE HYDRO EMBRUN INC._GENERAL SERVICE 50 TO 4,999 KW SERVICE CLASSIFICATION</t>
  </si>
  <si>
    <t>COOPERATIVE HYDRO EMBRUN INC._GENERAL SERVICE LESS THAN 50 KW SERVICE CLASSIFICATION</t>
  </si>
  <si>
    <t>COOPERATIVE HYDRO EMBRUN INC._RESIDENTIAL SERVICE CLASSIFICATION</t>
  </si>
  <si>
    <t>COOPERATIVE HYDRO EMBRUN INC._STREET LIGHTING SERVICE CLASSIFICATION</t>
  </si>
  <si>
    <t>COOPERATIVE HYDRO EMBRUN INC._UNMETERED SCATTERED LOAD SERVICE CLASSIFICATION</t>
  </si>
  <si>
    <t>E.L.K. ENERGY INC._EMBEDDED DISTRIBUTOR SERVICE CLASSIFICATION</t>
  </si>
  <si>
    <t>E.L.K. ENERGY INC._GENERAL SERVICE 50 TO 4,999 KW SERVICE CLASSIFICATION</t>
  </si>
  <si>
    <t>E.L.K. ENERGY INC._GENERAL SERVICE LESS THAN 50 KW SERVICE CLASSIFICATION</t>
  </si>
  <si>
    <t>E.L.K. ENERGY INC._RESIDENTIAL SERVICE CLASSIFICATION</t>
  </si>
  <si>
    <t>E.L.K. ENERGY INC._SENTINEL LIGHTING SERVICE CLASSIFICATION</t>
  </si>
  <si>
    <t>E.L.K. ENERGY INC._STREET LIGHTING SERVICE CLASSIFICATION</t>
  </si>
  <si>
    <t>E.L.K. ENERGY INC._UNMETERED SCATTERED LOAD SERVICE CLASSIFICATION</t>
  </si>
  <si>
    <t>ENWIN UTILITIES LTD._GENERAL SERVICE 50 TO 4,999 KW SERVICE CLASSIFICATION</t>
  </si>
  <si>
    <t>ENWIN UTILITIES LTD._GENERAL SERVICE LESS THAN 50 KW SERVICE CLASSIFICATION</t>
  </si>
  <si>
    <t>ENWIN UTILITIES LTD._LARGE USE - 3TS SERVICE CLASSIFICATION</t>
  </si>
  <si>
    <t>ENWIN UTILITIES LTD._LARGE USE - FORD ANNEX SERVICE CLASSIFICATION</t>
  </si>
  <si>
    <t>ENWIN UTILITIES LTD._LARGE USE - REGULAR SERVICE CLASSIFICATION</t>
  </si>
  <si>
    <t>ENWIN UTILITIES LTD._RESIDENTIAL SERVICE CLASSIFICATION</t>
  </si>
  <si>
    <t>ENWIN UTILITIES LTD._SENTINEL LIGHTING SERVICE CLASSIFICATION</t>
  </si>
  <si>
    <t>ENWIN UTILITIES LTD._STREET LIGHTING SERVICE CLASSIFICATION</t>
  </si>
  <si>
    <t>ENWIN UTILITIES LTD._UNMETERED SCATTERED LOAD SERVICE CLASSIFICATION</t>
  </si>
  <si>
    <t>ESPANOLA REGIONAL HYDRO DISTRIBUTION CORPORATION_GENERAL SERVICE 50 TO 4,999 KW SERVICE CLASSIFICATION</t>
  </si>
  <si>
    <t>ESPANOLA REGIONAL HYDRO DISTRIBUTION CORPORATION_GENERAL SERVICE LESS THAN 50 KW SERVICE CLASSIFICATION</t>
  </si>
  <si>
    <t>ESPANOLA REGIONAL HYDRO DISTRIBUTION CORPORATION_RESIDENTIAL SERVICE CLASSIFICATION</t>
  </si>
  <si>
    <t>ESPANOLA REGIONAL HYDRO DISTRIBUTION CORPORATION_SENTINEL LIGHTING SERVICE CLASSIFICATION</t>
  </si>
  <si>
    <t>ESPANOLA REGIONAL HYDRO DISTRIBUTION CORPORATION_STREET LIGHTING SERVICE CLASSIFICATION</t>
  </si>
  <si>
    <t>ESPANOLA REGIONAL HYDRO DISTRIBUTION CORPORATION_UNMETERED SCATTERED LOAD SERVICE CLASSIFICATION</t>
  </si>
  <si>
    <t>FESTIVAL HYDRO INC._GENERAL SERVICE 50 TO 4,999 KW SERVICE CLASSIFICATION</t>
  </si>
  <si>
    <t>FESTIVAL HYDRO INC._GENERAL SERVICE LESS THAN 50 KW SERVICE CLASSIFICATION</t>
  </si>
  <si>
    <t>FESTIVAL HYDRO INC._LARGE USE SERVICE CLASSIFICATION</t>
  </si>
  <si>
    <t>FESTIVAL HYDRO INC._RESIDENTIAL SERVICE CLASSIFICATION</t>
  </si>
  <si>
    <t>FESTIVAL HYDRO INC._SENTINEL LIGHTING SERVICE CLASSIFICATION</t>
  </si>
  <si>
    <t>FESTIVAL HYDRO INC._STREET LIGHTING SERVICE CLASSIFICATION</t>
  </si>
  <si>
    <t>FESTIVAL HYDRO INC._UNMETERED SCATTERED LOAD SERVICE CLASSIFICATION</t>
  </si>
  <si>
    <t>FORT FRANCES POWER CORPORATION_GENERAL SERVICE 50 TO 4,999 KW SERVICE CLASSIFICATION</t>
  </si>
  <si>
    <t>FORT FRANCES POWER CORPORATION_GENERAL SERVICE LESS THAN 50 KW SERVICE CLASSIFICATION</t>
  </si>
  <si>
    <t>FORT FRANCES POWER CORPORATION_RESIDENTIAL SERVICE CLASSIFICATION</t>
  </si>
  <si>
    <t>FORT FRANCES POWER CORPORATION_STREET LIGHTING SERVICE CLASSIFICATION</t>
  </si>
  <si>
    <t>FORT FRANCES POWER CORPORATION_UNMETERED SCATTERED LOAD SERVICE CLASSIFICATION</t>
  </si>
  <si>
    <t>GREATER SUDBURY HYDRO INC._GENERAL SERVICE 50 TO 4,999 KW SERVICE CLASSIFICATION</t>
  </si>
  <si>
    <t>GREATER SUDBURY HYDRO INC._GENERAL SERVICE LESS THAN 50 KW SERVICE CLASSIFICATION</t>
  </si>
  <si>
    <t>GREATER SUDBURY HYDRO INC._RESIDENTIAL SERVICE CLASSIFICATION</t>
  </si>
  <si>
    <t>GREATER SUDBURY HYDRO INC._SENTINEL LIGHTING SERVICE CLASSIFICATION</t>
  </si>
  <si>
    <t>GREATER SUDBURY HYDRO INC._STREET LIGHTING SERVICE CLASSIFICATION</t>
  </si>
  <si>
    <t>GREATER SUDBURY HYDRO INC._UNMETERED SCATTERED LOAD SERVICE CLASSIFICATION</t>
  </si>
  <si>
    <t>GRIMSBY POWER INCORPORATED_GENERAL SERVICE 50 TO 4,999 KW SERVICE CLASSIFICATION</t>
  </si>
  <si>
    <t>GRIMSBY POWER INCORPORATED_GENERAL SERVICE LESS THAN 50 KW SERVICE CLASSIFICATION</t>
  </si>
  <si>
    <t>GRIMSBY POWER INCORPORATED_RESIDENTIAL SERVICE CLASSIFICATION</t>
  </si>
  <si>
    <t>GRIMSBY POWER INCORPORATED_STREET LIGHTING SERVICE CLASSIFICATION</t>
  </si>
  <si>
    <t>GRIMSBY POWER INCORPORATED_UNMETERED SCATTERED LOAD SERVICE CLASSIFICATION</t>
  </si>
  <si>
    <t>HALTON HILLS HYDRO INC._GENERAL SERVICE 1,000 TO 4,999 KW SERVICE CLASSIFICATION</t>
  </si>
  <si>
    <t>HALTON HILLS HYDRO INC._GENERAL SERVICE 50 TO 999 KW SERVICE CLASSIFICATION</t>
  </si>
  <si>
    <t>HALTON HILLS HYDRO INC._GENERAL SERVICE LESS THAN 50 KW SERVICE CLASSIFICATION</t>
  </si>
  <si>
    <t>HALTON HILLS HYDRO INC._RESIDENTIAL SERVICE CLASSIFICATION</t>
  </si>
  <si>
    <t>HALTON HILLS HYDRO INC._SENTINEL LIGHTING SERVICE CLASSIFICATION</t>
  </si>
  <si>
    <t>HALTON HILLS HYDRO INC._STREET LIGHTING SERVICE CLASSIFICATION</t>
  </si>
  <si>
    <t>HALTON HILLS HYDRO INC._UNMETERED SCATTERED LOAD SERVICE CLASSIFICATION</t>
  </si>
  <si>
    <t>HYDRO HAWKESBURY INC._GENERAL SERVICE 50 TO 4,999 KW SERVICE CLASSIFICATION</t>
  </si>
  <si>
    <t>HYDRO HAWKESBURY INC._GENERAL SERVICE LESS THAN 50 KW SERVICE CLASSIFICATION</t>
  </si>
  <si>
    <t>HYDRO HAWKESBURY INC._RESIDENTIAL SERVICE CLASSIFICATION</t>
  </si>
  <si>
    <t>HYDRO HAWKESBURY INC._SENTINEL LIGHTING SERVICE CLASSIFICATION</t>
  </si>
  <si>
    <t>HYDRO HAWKESBURY INC._STREET LIGHTING SERVICE CLASSIFICATION</t>
  </si>
  <si>
    <t>HYDRO HAWKESBURY INC._UNMETERED SCATTERED LOAD SERVICE CLASSIFICATION</t>
  </si>
  <si>
    <t>HYDRO OTTAWA LIMITED_GENERAL SERVICE 1,500 TO 4,999 KW SERVICE CLASSIFICATION</t>
  </si>
  <si>
    <t>HYDRO OTTAWA LIMITED_GENERAL SERVICE 50 TO 1,499 KW SERVICE CLASSIFICATION</t>
  </si>
  <si>
    <t>HYDRO OTTAWA LIMITED_GENERAL SERVICE LESS THAN 50 KW SERVICE CLASSIFICATION</t>
  </si>
  <si>
    <t>HYDRO OTTAWA LIMITED_LARGE USE SERVICE CLASSIFICATION</t>
  </si>
  <si>
    <t>HYDRO OTTAWA LIMITED_RESIDENTIAL SERVICE CLASSIFICATION</t>
  </si>
  <si>
    <t>HYDRO OTTAWA LIMITED_SENTINEL LIGHTING SERVICE CLASSIFICATION</t>
  </si>
  <si>
    <t>HYDRO OTTAWA LIMITED_STREET LIGHTING SERVICE CLASSIFICATION</t>
  </si>
  <si>
    <t>HYDRO OTTAWA LIMITED_UNMETERED SCATTERED LOAD SERVICE CLASSIFICATION</t>
  </si>
  <si>
    <t>INNPOWER CORPORATION_GENERAL SERVICE 50 TO 4,999 KW SERVICE CLASSIFICATION</t>
  </si>
  <si>
    <t>INNPOWER CORPORATION_GENERAL SERVICE LESS THAN 50 KW SERVICE CLASSIFICATION</t>
  </si>
  <si>
    <t>INNPOWER CORPORATION_RESIDENTIAL SERVICE CLASSIFICATION</t>
  </si>
  <si>
    <t>INNPOWER CORPORATION_SENTINEL LIGHTING SERVICE CLASSIFICATION</t>
  </si>
  <si>
    <t>INNPOWER CORPORATION_STREET LIGHTING SERVICE CLASSIFICATION</t>
  </si>
  <si>
    <t>INNPOWER CORPORATION_UNMETERED SCATTERED LOAD SERVICE CLASSIFICATION</t>
  </si>
  <si>
    <t>KINGSTON HYDRO CORPORATION_GENERAL SERVICE 50 TO 4,999 KW SERVICE CLASSIFICATION</t>
  </si>
  <si>
    <t>KINGSTON HYDRO CORPORATION_GENERAL SERVICE LESS THAN 50 KW SERVICE CLASSIFICATION</t>
  </si>
  <si>
    <t>KINGSTON HYDRO CORPORATION_LARGE USE SERVICE CLASSIFICATION</t>
  </si>
  <si>
    <t>KINGSTON HYDRO CORPORATION_RESIDENTIAL SERVICE CLASSIFICATION</t>
  </si>
  <si>
    <t>KINGSTON HYDRO CORPORATION_STREET LIGHTING SERVICE CLASSIFICATION</t>
  </si>
  <si>
    <t>KINGSTON HYDRO CORPORATION_UNMETERED SCATTERED LOAD SERVICE CLASSIFICATION</t>
  </si>
  <si>
    <t>KITCHENER-WILMOT HYDRO INC._GENERAL SERVICE 50 TO 4,999 KW SERVICE CLASSIFICATION</t>
  </si>
  <si>
    <t>KITCHENER-WILMOT HYDRO INC._GENERAL SERVICE LESS THAN 50 KW SERVICE CLASSIFICATION</t>
  </si>
  <si>
    <t>KITCHENER-WILMOT HYDRO INC._LARGE USE SERVICE CLASSIFICATION</t>
  </si>
  <si>
    <t>KITCHENER-WILMOT HYDRO INC._RESIDENTIAL SERVICE CLASSIFICATION</t>
  </si>
  <si>
    <t>KITCHENER-WILMOT HYDRO INC._STREET LIGHTING SERVICE CLASSIFICATION</t>
  </si>
  <si>
    <t>KITCHENER-WILMOT HYDRO INC._UNMETERED SCATTERED LOAD SERVICE CLASSIFICATION</t>
  </si>
  <si>
    <t>LAKEFRONT UTILITIES INC._GENERAL SERVICE 3,000 TO 4,999 KW SERVICE CLASSIFICATION</t>
  </si>
  <si>
    <t>LAKEFRONT UTILITIES INC._GENERAL SERVICE 50 TO 2,999 KW SERVICE CLASSIFICATION</t>
  </si>
  <si>
    <t>LAKEFRONT UTILITIES INC._GENERAL SERVICE LESS THAN 50 KW SERVICE CLASSIFICATION</t>
  </si>
  <si>
    <t>LAKEFRONT UTILITIES INC._RESIDENTIAL SERVICE CLASSIFICATION</t>
  </si>
  <si>
    <t>LAKEFRONT UTILITIES INC._SENTINEL LIGHTING SERVICE CLASSIFICATION</t>
  </si>
  <si>
    <t>LAKEFRONT UTILITIES INC._STREET LIGHTING SERVICE CLASSIFICATION</t>
  </si>
  <si>
    <t>LAKEFRONT UTILITIES INC._UNMETERED SCATTERED LOAD SERVICE CLASSIFICATION</t>
  </si>
  <si>
    <t>LONDON HYDRO INC._GENERAL SERVICE 50 TO 4,999 KW SERVICE CLASSIFICATION</t>
  </si>
  <si>
    <t>LONDON HYDRO INC._GENERAL SERVICE 1,000 TO 4,999 KW (CO-GENERATION) SERVICE CLASSIFICATION</t>
  </si>
  <si>
    <t>LONDON HYDRO INC._GENERAL SERVICE LESS THAN 50 KW SERVICE CLASSIFICATION</t>
  </si>
  <si>
    <t>LONDON HYDRO INC._LARGE USE SERVICE CLASSIFICATION</t>
  </si>
  <si>
    <t>LONDON HYDRO INC._RESIDENTIAL SERVICE CLASSIFICATION</t>
  </si>
  <si>
    <t>LONDON HYDRO INC._SENTINEL LIGHTING SERVICE CLASSIFICATION</t>
  </si>
  <si>
    <t>LONDON HYDRO INC._STREET LIGHTING SERVICE CLASSIFICATION</t>
  </si>
  <si>
    <t>LONDON HYDRO INC._UNMETERED SCATTERED LOAD SERVICE CLASSIFICATION</t>
  </si>
  <si>
    <t>MILTON HYDRO DISTRIBUTION INC._GENERAL SERVICE 1,000 TO 4,999 KW SERVICE CLASSIFICATION</t>
  </si>
  <si>
    <t>MILTON HYDRO DISTRIBUTION INC._GENERAL SERVICE 50 TO 999 KW SERVICE CLASSIFICATION</t>
  </si>
  <si>
    <t>MILTON HYDRO DISTRIBUTION INC._GENERAL SERVICE LESS THAN 50 KW SERVICE CLASSIFICATION</t>
  </si>
  <si>
    <t>MILTON HYDRO DISTRIBUTION INC._LARGE USE SERVICE CLASSIFICATION</t>
  </si>
  <si>
    <t>MILTON HYDRO DISTRIBUTION INC._RESIDENTIAL SERVICE CLASSIFICATION</t>
  </si>
  <si>
    <t>MILTON HYDRO DISTRIBUTION INC._SENTINEL LIGHTING SERVICE CLASSIFICATION</t>
  </si>
  <si>
    <t>MILTON HYDRO DISTRIBUTION INC._STREET LIGHTING SERVICE CLASSIFICATION</t>
  </si>
  <si>
    <t>MILTON HYDRO DISTRIBUTION INC._UNMETERED SCATTERED LOAD SERVICE CLASSIFICATION</t>
  </si>
  <si>
    <t>NIAGARA PENINSULA ENERGY INC._GENERAL SERVICE 50 TO 4,999 KW SERVICE CLASSIFICATION</t>
  </si>
  <si>
    <t>NIAGARA PENINSULA ENERGY INC._GENERAL SERVICE LESS THAN 50 KW SERVICE CLASSIFICATION</t>
  </si>
  <si>
    <t>NIAGARA PENINSULA ENERGY INC._RESIDENTIAL SERVICE CLASSIFICATION</t>
  </si>
  <si>
    <t>NIAGARA PENINSULA ENERGY INC._SENTINEL LIGHTING SERVICE CLASSIFICATION</t>
  </si>
  <si>
    <t>NIAGARA PENINSULA ENERGY INC._STREET LIGHTING SERVICE CLASSIFICATION</t>
  </si>
  <si>
    <t>NIAGARA PENINSULA ENERGY INC._UNMETERED SCATTERED LOAD SERVICE CLASSIFICATION</t>
  </si>
  <si>
    <t>NIAGARA-ON-THE-LAKE HYDRO INC._GENERAL SERVICE 50 TO 4,999 KW SERVICE CLASSIFICATION</t>
  </si>
  <si>
    <t>NIAGARA-ON-THE-LAKE HYDRO INC._GENERAL SERVICE LESS THAN 50 KW SERVICE CLASSIFICATION</t>
  </si>
  <si>
    <t>NIAGARA-ON-THE-LAKE HYDRO INC._RESIDENTIAL SERVICE CLASSIFICATION</t>
  </si>
  <si>
    <t>NIAGARA-ON-THE-LAKE HYDRO INC._STREET LIGHTING SERVICE CLASSIFICATION</t>
  </si>
  <si>
    <t>NIAGARA-ON-THE-LAKE HYDRO INC._UNMETERED SCATTERED LOAD SERVICE CLASSIFICATION</t>
  </si>
  <si>
    <t>NORTH BAY HYDRO DISTRIBUTION LIMITED_GENERAL SERVICE 3,000 TO 4,999 KW SERVICE CLASSIFICATION</t>
  </si>
  <si>
    <t>NORTH BAY HYDRO DISTRIBUTION LIMITED_GENERAL SERVICE 50 TO 2,999 KW SERVICE CLASSIFICATION</t>
  </si>
  <si>
    <t>NORTH BAY HYDRO DISTRIBUTION LIMITED_GENERAL SERVICE LESS THAN 50 KW SERVICE CLASSIFICATION</t>
  </si>
  <si>
    <t>NORTH BAY HYDRO DISTRIBUTION LIMITED_RESIDENTIAL SERVICE CLASSIFICATION</t>
  </si>
  <si>
    <t>NORTH BAY HYDRO DISTRIBUTION LIMITED_SENTINEL LIGHTING SERVICE CLASSIFICATION</t>
  </si>
  <si>
    <t>NORTH BAY HYDRO DISTRIBUTION LIMITED_STREET LIGHTING SERVICE CLASSIFICATION</t>
  </si>
  <si>
    <t>NORTH BAY HYDRO DISTRIBUTION LIMITED_UNMETERED SCATTERED LOAD SERVICE CLASSIFICATION</t>
  </si>
  <si>
    <t>NORTHERN ONTARIO WIRES INC._GENERAL SERVICE 50 TO 4,999 KW SERVICE CLASSIFICATION</t>
  </si>
  <si>
    <t>NORTHERN ONTARIO WIRES INC._GENERAL SERVICE LESS THAN 50 KW SERVICE CLASSIFICATION</t>
  </si>
  <si>
    <t>NORTHERN ONTARIO WIRES INC._RESIDENTIAL SERVICE CLASSIFICATION</t>
  </si>
  <si>
    <t>NORTHERN ONTARIO WIRES INC._STREET LIGHTING SERVICE CLASSIFICATION</t>
  </si>
  <si>
    <t>NORTHERN ONTARIO WIRES INC._UNMETERED SCATTERED LOAD SERVICE CLASSIFICATION</t>
  </si>
  <si>
    <t>OAKVILLE HYDRO ELECTRICITY DISTRIBUTION INC._EMBEDDED DISTRIBUTOR SERVICE CLASSIFICATION</t>
  </si>
  <si>
    <t>OAKVILLE HYDRO ELECTRICITY DISTRIBUTION INC._GENERAL SERVICE 1,000 KW AND GREATER SERVICE CLASSIFICATION</t>
  </si>
  <si>
    <t>OAKVILLE HYDRO ELECTRICITY DISTRIBUTION INC._GENERAL SERVICE 50 TO 999 KW SERVICE CLASSIFICATION</t>
  </si>
  <si>
    <t>OAKVILLE HYDRO ELECTRICITY DISTRIBUTION INC._GENERAL SERVICE LESS THAN 50 KW SERVICE CLASSIFICATION</t>
  </si>
  <si>
    <t>OAKVILLE HYDRO ELECTRICITY DISTRIBUTION INC._RESIDENTIAL SERVICE CLASSIFICATION</t>
  </si>
  <si>
    <t>OAKVILLE HYDRO ELECTRICITY DISTRIBUTION INC._SENTINEL LIGHTING SERVICE CLASSIFICATION</t>
  </si>
  <si>
    <t>OAKVILLE HYDRO ELECTRICITY DISTRIBUTION INC._STREET LIGHTING SERVICE CLASSIFICATION</t>
  </si>
  <si>
    <t>OAKVILLE HYDRO ELECTRICITY DISTRIBUTION INC._UNMETERED SCATTERED LOAD SERVICE CLASSIFICATION</t>
  </si>
  <si>
    <t>ORANGEVILLE HYDRO LIMITED_GENERAL SERVICE 50 TO 4,999 KW SERVICE CLASSIFICATION</t>
  </si>
  <si>
    <t>ORANGEVILLE HYDRO LIMITED_GENERAL SERVICE LESS THAN 50 KW SERVICE CLASSIFICATION</t>
  </si>
  <si>
    <t>ORANGEVILLE HYDRO LIMITED_RESIDENTIAL SERVICE CLASSIFICATION</t>
  </si>
  <si>
    <t>ORANGEVILLE HYDRO LIMITED_SENTINEL LIGHTING SERVICE CLASSIFICATION</t>
  </si>
  <si>
    <t>ORANGEVILLE HYDRO LIMITED_STREET LIGHTING SERVICE CLASSIFICATION</t>
  </si>
  <si>
    <t>ORANGEVILLE HYDRO LIMITED_UNMETERED SCATTERED LOAD SERVICE CLASSIFICATION</t>
  </si>
  <si>
    <t>OSHAWA PUC NETWORKS INC._GENERAL SERVICE 1,000 TO 4,999 KW SERVICE CLASSIFICATION</t>
  </si>
  <si>
    <t>OSHAWA PUC NETWORKS INC._GENERAL SERVICE 50 TO 999 KW SERVICE CLASSIFICATION</t>
  </si>
  <si>
    <t>OSHAWA PUC NETWORKS INC._GENERAL SERVICE LESS THAN 50 KW SERVICE CLASSIFICATION</t>
  </si>
  <si>
    <t>OSHAWA PUC NETWORKS INC._LARGE USE SERVICE CLASSIFICATION</t>
  </si>
  <si>
    <t>OSHAWA PUC NETWORKS INC._RESIDENTIAL SERVICE CLASSIFICATION</t>
  </si>
  <si>
    <t>OSHAWA PUC NETWORKS INC._SENTINEL LIGHTING SERVICE CLASSIFICATION</t>
  </si>
  <si>
    <t>OSHAWA PUC NETWORKS INC._STREET LIGHTING SERVICE CLASSIFICATION</t>
  </si>
  <si>
    <t>OSHAWA PUC NETWORKS INC._UNMETERED SCATTERED LOAD SERVICE CLASSIFICATION</t>
  </si>
  <si>
    <t>OTTAWA RIVER POWER CORPORATION_GENERAL SERVICE 50 TO 4,999 KW SERVICE CLASSIFICATION</t>
  </si>
  <si>
    <t>OTTAWA RIVER POWER CORPORATION_GENERAL SERVICE LESS THAN 50 KW SERVICE CLASSIFICATION</t>
  </si>
  <si>
    <t>OTTAWA RIVER POWER CORPORATION_RESIDENTIAL SERVICE CLASSIFICATION</t>
  </si>
  <si>
    <t>OTTAWA RIVER POWER CORPORATION_SENTINEL LIGHTING SERVICE CLASSIFICATION</t>
  </si>
  <si>
    <t>OTTAWA RIVER POWER CORPORATION_STREET LIGHTING SERVICE CLASSIFICATION</t>
  </si>
  <si>
    <t>OTTAWA RIVER POWER CORPORATION_UNMETERED SCATTERED LOAD SERVICE CLASSIFICATION</t>
  </si>
  <si>
    <t>PETERBOROUGH DISTRIBUTION INCORPORATED_GENERAL SERVICE 50 TO 4,999 KW SERVICE CLASSIFICATION</t>
  </si>
  <si>
    <t>PETERBOROUGH DISTRIBUTION INCORPORATED_GENERAL SERVICE LESS THAN 50 KW SERVICE CLASSIFICATION</t>
  </si>
  <si>
    <t>PETERBOROUGH DISTRIBUTION INCORPORATED_LARGE USE SERVICE CLASSIFICATION</t>
  </si>
  <si>
    <t>PETERBOROUGH DISTRIBUTION INCORPORATED_RESIDENTIAL SERVICE CLASSIFICATION</t>
  </si>
  <si>
    <t>PETERBOROUGH DISTRIBUTION INCORPORATED_SENTINEL LIGHTING SERVICE CLASSIFICATION</t>
  </si>
  <si>
    <t>PETERBOROUGH DISTRIBUTION INCORPORATED_STREET LIGHTING SERVICE CLASSIFICATION</t>
  </si>
  <si>
    <t>PETERBOROUGH DISTRIBUTION INCORPORATED_UNMETERED SCATTERED LOAD SERVICE CLASSIFICATION</t>
  </si>
  <si>
    <t>PUC DISTRIBUTION INC._GENERAL SERVICE 50 TO 4,999 KW SERVICE CLASSIFICATION</t>
  </si>
  <si>
    <t>PUC DISTRIBUTION INC._GENERAL SERVICE LESS THAN 50 KW SERVICE CLASSIFICATION</t>
  </si>
  <si>
    <t>PUC DISTRIBUTION INC._RESIDENTIAL SERVICE CLASSIFICATION</t>
  </si>
  <si>
    <t>PUC DISTRIBUTION INC._SENTINEL LIGHTING SERVICE CLASSIFICATION</t>
  </si>
  <si>
    <t>PUC DISTRIBUTION INC._STREET LIGHTING SERVICE CLASSIFICATION</t>
  </si>
  <si>
    <t>PUC DISTRIBUTION INC._UNMETERED SCATTERED LOAD SERVICE CLASSIFICATION</t>
  </si>
  <si>
    <t>RENFREW HYDRO INC._GENERAL SERVICE 50 TO 4,999 KW SERVICE CLASSIFICATION</t>
  </si>
  <si>
    <t>RENFREW HYDRO INC._GENERAL SERVICE LESS THAN 50 KW SERVICE CLASSIFICATION</t>
  </si>
  <si>
    <t>RENFREW HYDRO INC._RESIDENTIAL SERVICE CLASSIFICATION</t>
  </si>
  <si>
    <t>RENFREW HYDRO INC._STREET LIGHTING SERVICE CLASSIFICATION</t>
  </si>
  <si>
    <t>RENFREW HYDRO INC._UNMETERED SCATTERED LOAD SERVICE CLASSIFICATION</t>
  </si>
  <si>
    <t>RIDEAU ST. LAWRENCE DISTRIBUTION INC._GENERAL SERVICE 50 TO 4,999 KW SERVICE CLASSIFICATION</t>
  </si>
  <si>
    <t>RIDEAU ST. LAWRENCE DISTRIBUTION INC._GENERAL SERVICE LESS THAN 50 KW SERVICE CLASSIFICATION</t>
  </si>
  <si>
    <t>RIDEAU ST. LAWRENCE DISTRIBUTION INC._RESIDENTIAL SERVICE CLASSIFICATION</t>
  </si>
  <si>
    <t>RIDEAU ST. LAWRENCE DISTRIBUTION INC._SENTINEL LIGHTING SERVICE CLASSIFICATION</t>
  </si>
  <si>
    <t>RIDEAU ST. LAWRENCE DISTRIBUTION INC._STREET LIGHTING SERVICE CLASSIFICATION</t>
  </si>
  <si>
    <t>RIDEAU ST. LAWRENCE DISTRIBUTION INC._UNMETERED SCATTERED LOAD SERVICE CLASSIFICATION</t>
  </si>
  <si>
    <t>SIOUX LOOKOUT HYDRO INC._GENERAL SERVICE 50 TO 4,999 KW SERVICE CLASSIFICATION</t>
  </si>
  <si>
    <t>SIOUX LOOKOUT HYDRO INC._GENERAL SERVICE LESS THAN 50 KW SERVICE CLASSIFICATION</t>
  </si>
  <si>
    <t>SIOUX LOOKOUT HYDRO INC._RESIDENTIAL SERVICE CLASSIFICATION</t>
  </si>
  <si>
    <t>SIOUX LOOKOUT HYDRO INC._STREET LIGHTING SERVICE CLASSIFICATION</t>
  </si>
  <si>
    <t>TILLSONBURG HYDRO INC._GENERAL SERVICE 50 TO 499 KW SERVICE CLASSIFICATION</t>
  </si>
  <si>
    <t>TILLSONBURG HYDRO INC._GENERAL SERVICE 500 TO 1,499 KW SERVICE CLASSIFICATION</t>
  </si>
  <si>
    <t>TILLSONBURG HYDRO INC._GENERAL SERVICE EQUAL TO OR GREATER THAN 1,500 KW SERVICE CLASSIFICATION</t>
  </si>
  <si>
    <t>TILLSONBURG HYDRO INC._GENERAL SERVICE LESS THAN 50 KW SERVICE CLASSIFICATION</t>
  </si>
  <si>
    <t>TILLSONBURG HYDRO INC._RESIDENTIAL SERVICE CLASSIFICATION</t>
  </si>
  <si>
    <t>TILLSONBURG HYDRO INC._SENTINEL LIGHTING SERVICE CLASSIFICATION</t>
  </si>
  <si>
    <t>TILLSONBURG HYDRO INC._STREET LIGHTING SERVICE CLASSIFICATION</t>
  </si>
  <si>
    <t>TILLSONBURG HYDRO INC._UNMETERED SCATTERED LOAD SERVICE CLASSIFICATION</t>
  </si>
  <si>
    <t>TORONTO HYDRO-ELECTRIC SYSTEM LIMITED_GENERAL SERVICE 1,000 TO 4,999 KW SERVICE CLASSIFICATION</t>
  </si>
  <si>
    <t>TORONTO HYDRO-ELECTRIC SYSTEM LIMITED_GENERAL SERVICE 50 TO 999 KW SERVICE CLASSIFICATION</t>
  </si>
  <si>
    <t>TORONTO HYDRO-ELECTRIC SYSTEM LIMITED_GENERAL SERVICE LESS THAN 50 KW SERVICE CLASSIFICATION</t>
  </si>
  <si>
    <t>TORONTO HYDRO-ELECTRIC SYSTEM LIMITED_LARGE USE SERVICE CLASSIFICATION</t>
  </si>
  <si>
    <t>TORONTO HYDRO-ELECTRIC SYSTEM LIMITED_STREET LIGHTING SERVICE CLASSIFICATION</t>
  </si>
  <si>
    <t>TORONTO HYDRO-ELECTRIC SYSTEM LIMITED_UNMETERED SCATTERED LOAD SERVICE CLASSIFICATION</t>
  </si>
  <si>
    <t>WASAGA DISTRIBUTION INC._GENERAL SERVICE 50 TO 4,999 KW SERVICE CLASSIFICATION</t>
  </si>
  <si>
    <t>WASAGA DISTRIBUTION INC._GENERAL SERVICE LESS THAN 50 KW SERVICE CLASSIFICATION</t>
  </si>
  <si>
    <t>WASAGA DISTRIBUTION INC._RESIDENTIAL SERVICE CLASSIFICATION</t>
  </si>
  <si>
    <t>WASAGA DISTRIBUTION INC._STREET LIGHTING SERVICE CLASSIFICATION</t>
  </si>
  <si>
    <t>WASAGA DISTRIBUTION INC._UNMETERED SCATTERED LOAD SERVICE CLASSIFICATION</t>
  </si>
  <si>
    <t>WATERLOO NORTH HYDRO INC._EMBEDDED DISTRIBUTOR SERVICE CLASSIFICATION</t>
  </si>
  <si>
    <t>WATERLOO NORTH HYDRO INC._GENERAL SERVICE 50 TO 4,999 KW SERVICE CLASSIFICATION</t>
  </si>
  <si>
    <t>WATERLOO NORTH HYDRO INC._GENERAL SERVICE LESS THAN 50 KW SERVICE CLASSIFICATION</t>
  </si>
  <si>
    <t>WATERLOO NORTH HYDRO INC._LARGE USE SERVICE CLASSIFICATION</t>
  </si>
  <si>
    <t>WATERLOO NORTH HYDRO INC._RESIDENTIAL SERVICE CLASSIFICATION</t>
  </si>
  <si>
    <t>WATERLOO NORTH HYDRO INC._STREET LIGHTING SERVICE CLASSIFICATION</t>
  </si>
  <si>
    <t>WATERLOO NORTH HYDRO INC._UNMETERED SCATTERED LOAD SERVICE CLASSIFICATION</t>
  </si>
  <si>
    <t>WELLAND HYDRO-ELECTRIC SYSTEM CORP._GENERAL SERVICE 50 TO 4,999 KW SERVICE CLASSIFICATION</t>
  </si>
  <si>
    <t>WELLAND HYDRO-ELECTRIC SYSTEM CORP._GENERAL SERVICE LESS THAN 50 KW SERVICE CLASSIFICATION</t>
  </si>
  <si>
    <t>WELLAND HYDRO-ELECTRIC SYSTEM CORP._RESIDENTIAL SERVICE CLASSIFICATION</t>
  </si>
  <si>
    <t>WELLAND HYDRO-ELECTRIC SYSTEM CORP._SENTINEL LIGHTING SERVICE CLASSIFICATION</t>
  </si>
  <si>
    <t>WELLAND HYDRO-ELECTRIC SYSTEM CORP._STREET LIGHTING SERVICE CLASSIFICATION</t>
  </si>
  <si>
    <t>WELLAND HYDRO-ELECTRIC SYSTEM CORP._UNMETERED SCATTERED LOAD SERVICE CLASSIFICATION</t>
  </si>
  <si>
    <t>WELLINGTON NORTH POWER INC._GENERAL SERVICE 1,000 TO 4,999 KW SERVICE CLASSIFICATION</t>
  </si>
  <si>
    <t>WELLINGTON NORTH POWER INC._GENERAL SERVICE 50 TO 999 KW SERVICE CLASSIFICATION</t>
  </si>
  <si>
    <t>WELLINGTON NORTH POWER INC._GENERAL SERVICE LESS THAN 50 KW SERVICE CLASSIFICATION</t>
  </si>
  <si>
    <t>WELLINGTON NORTH POWER INC._RESIDENTIAL SERVICE CLASSIFICATION</t>
  </si>
  <si>
    <t>WELLINGTON NORTH POWER INC._SENTINEL LIGHTING SERVICE CLASSIFICATION</t>
  </si>
  <si>
    <t>WELLINGTON NORTH POWER INC._STREET LIGHTING SERVICE CLASSIFICATION</t>
  </si>
  <si>
    <t>WELLINGTON NORTH POWER INC._UNMETERED SCATTERED LOAD SERVICE CLASSIFICATION</t>
  </si>
  <si>
    <t>WESTARIO POWER INC._GENERAL SERVICE 50 TO 4,999 KW SERVICE CLASSIFICATION</t>
  </si>
  <si>
    <t>WESTARIO POWER INC._GENERAL SERVICE LESS THAN 50 KW SERVICE CLASSIFICATION</t>
  </si>
  <si>
    <t>WESTARIO POWER INC._RESIDENTIAL SERVICE CLASSIFICATION</t>
  </si>
  <si>
    <t>WESTARIO POWER INC._SENTINEL LIGHTING SERVICE CLASSIFICATION</t>
  </si>
  <si>
    <t>WESTARIO POWER INC._STREET LIGHTING SERVICE CLASSIFICATION</t>
  </si>
  <si>
    <t>WESTARIO POWER INC._UNMETERED SCATTERED LOAD SERVICE CLASSIFICATION</t>
  </si>
  <si>
    <t>For all OEB-Approved dispositions, please ensure that the disposition amount has the same sign (e.g: debit balances are to have a positive figure and credit balance are to have a negative figure) as per the related OEB decision.</t>
  </si>
  <si>
    <t>Please provide explanations for the nature of the adjustments.  If the adjustment relates to previously OEB-Approved disposed balances, please provide amounts for adjustments and include supporting documentations.</t>
  </si>
  <si>
    <r>
      <t>Number of Customers for Residential and GS&lt;50 classes</t>
    </r>
    <r>
      <rPr>
        <b/>
        <vertAlign val="superscript"/>
        <sz val="11"/>
        <color theme="1"/>
        <rFont val="Calibri"/>
        <family val="2"/>
        <scheme val="minor"/>
      </rPr>
      <t>3</t>
    </r>
  </si>
  <si>
    <t>Low Voltage Switchgear Credit (if applicable)</t>
  </si>
  <si>
    <t>Total including deduction for Low Voltage Switchgear Credit</t>
  </si>
  <si>
    <t>OEB-approved # of Transition Years</t>
  </si>
  <si>
    <t>Update the following rates if an OEB Decision has been issued at the time of completing this application</t>
  </si>
  <si>
    <t>Allocation of Total GA Balance $</t>
  </si>
  <si>
    <t>Total GA Balance</t>
  </si>
  <si>
    <t>1595_(2009)</t>
  </si>
  <si>
    <t>1595_(2015)</t>
  </si>
  <si>
    <t xml:space="preserve"> </t>
  </si>
  <si>
    <t>Re-based Billed Customers or Connections</t>
  </si>
  <si>
    <t>Re-based Billed kWh</t>
  </si>
  <si>
    <t>Re-based Billed kW</t>
  </si>
  <si>
    <t>Re-based Distribution Volumetric Rate kWh</t>
  </si>
  <si>
    <t>Re-based Distribution Volumetric Rate kW</t>
  </si>
  <si>
    <t>Service Charge Revenue</t>
  </si>
  <si>
    <t>Distribution Volumetric Rate Revenue 
kWh</t>
  </si>
  <si>
    <t>Distribution Volumetric Rate Revenue 
kW</t>
  </si>
  <si>
    <t>Revenue Requirement from Rates</t>
  </si>
  <si>
    <t>Service Charge 
% Revenue</t>
  </si>
  <si>
    <t>Distribution Volumetric Rate 
% Revenue 
kWh</t>
  </si>
  <si>
    <t>Distribution Volumetric Rate 
% Revenue 
kW</t>
  </si>
  <si>
    <t>Total % Revenue</t>
  </si>
  <si>
    <t>D</t>
  </si>
  <si>
    <t>E</t>
  </si>
  <si>
    <t>F</t>
  </si>
  <si>
    <t>Rate Model Total Value</t>
  </si>
  <si>
    <t>Essex Powerlines Corporation1550</t>
  </si>
  <si>
    <t>Essex Powerlines Corporation1551</t>
  </si>
  <si>
    <t>Essex Powerlines Corporation1568</t>
  </si>
  <si>
    <t>Essex Powerlines Corporation1580</t>
  </si>
  <si>
    <t>Essex Powerlines Corporation1584</t>
  </si>
  <si>
    <t>Essex Powerlines Corporation1586</t>
  </si>
  <si>
    <t>Essex Powerlines Corporation1588</t>
  </si>
  <si>
    <t>Essex Powerlines Corporation1589</t>
  </si>
  <si>
    <t>Essex Powerlines Corporation1595_(2008)</t>
  </si>
  <si>
    <t>Essex Powerlines Corporation1595_(2009)</t>
  </si>
  <si>
    <t>Essex Powerlines Corporation1595_(2010)</t>
  </si>
  <si>
    <t>Essex Powerlines Corporation1595_(2011)</t>
  </si>
  <si>
    <t>Essex Powerlines Corporation1595_(2012)</t>
  </si>
  <si>
    <t>Essex Powerlines Corporation1595_(2013)</t>
  </si>
  <si>
    <t>Essex Powerlines Corporation1595_(2014)</t>
  </si>
  <si>
    <t>Essex Powerlines Corporation1595_ControlAccount</t>
  </si>
  <si>
    <t>Sioux Lookout Hydro Inc.1550</t>
  </si>
  <si>
    <t>Sioux Lookout Hydro Inc.1551</t>
  </si>
  <si>
    <t>Sioux Lookout Hydro Inc.1568</t>
  </si>
  <si>
    <t>Sioux Lookout Hydro Inc.1580</t>
  </si>
  <si>
    <t>Sioux Lookout Hydro Inc.1584</t>
  </si>
  <si>
    <t>Sioux Lookout Hydro Inc.1586</t>
  </si>
  <si>
    <t>Sioux Lookout Hydro Inc.1588</t>
  </si>
  <si>
    <t>Sioux Lookout Hydro Inc.1589</t>
  </si>
  <si>
    <t>Sioux Lookout Hydro Inc.1595_(2008)</t>
  </si>
  <si>
    <t>Sioux Lookout Hydro Inc.1595_(2009)</t>
  </si>
  <si>
    <t>Sioux Lookout Hydro Inc.1595_(2010)</t>
  </si>
  <si>
    <t>Sioux Lookout Hydro Inc.1595_(2011)</t>
  </si>
  <si>
    <t>Sioux Lookout Hydro Inc.1595_(2012)</t>
  </si>
  <si>
    <t>Sioux Lookout Hydro Inc.1595_(2013)</t>
  </si>
  <si>
    <t>Sioux Lookout Hydro Inc.1595_(2014)</t>
  </si>
  <si>
    <t>Sioux Lookout Hydro Inc.1595_ControlAccount</t>
  </si>
  <si>
    <t>ASD</t>
  </si>
  <si>
    <t>KKK</t>
  </si>
  <si>
    <t>Current OEB-Approved</t>
  </si>
  <si>
    <t>212_Total_Connection_RollUp</t>
  </si>
  <si>
    <t>20. HIDDEN</t>
  </si>
  <si>
    <t>Sheet2</t>
  </si>
  <si>
    <t>3. Continuity Schedule</t>
  </si>
  <si>
    <t>COMPETITIVE SECTOR MULTI-UNIT RESIDENTIAL SERVICE CLASSIFICATION</t>
  </si>
  <si>
    <t>Hearst Power Distribution Company Ltd.</t>
  </si>
  <si>
    <t>InnPower Corporation</t>
  </si>
  <si>
    <r>
      <t xml:space="preserve">Metered </t>
    </r>
    <r>
      <rPr>
        <b/>
        <sz val="11"/>
        <color rgb="FFFF0000"/>
        <rFont val="Arial"/>
        <family val="2"/>
      </rPr>
      <t>kWh</t>
    </r>
    <r>
      <rPr>
        <b/>
        <sz val="10"/>
        <rFont val="Arial"/>
        <family val="2"/>
      </rPr>
      <t xml:space="preserve"> for Wholesale Market Participants (WMP)</t>
    </r>
  </si>
  <si>
    <r>
      <t xml:space="preserve">Metered </t>
    </r>
    <r>
      <rPr>
        <b/>
        <sz val="11"/>
        <color rgb="FFFF0000"/>
        <rFont val="Arial"/>
        <family val="2"/>
      </rPr>
      <t>kW</t>
    </r>
    <r>
      <rPr>
        <b/>
        <sz val="10"/>
        <rFont val="Arial"/>
        <family val="2"/>
      </rPr>
      <t xml:space="preserve"> for Wholesale Market Participants (WMP)</t>
    </r>
  </si>
  <si>
    <t>GA Rate Riders</t>
  </si>
  <si>
    <t>Niagara-on-the-Lake Hydro Inc.1595_(2015)</t>
  </si>
  <si>
    <t>Algoma Power Inc.1595_(2015)</t>
  </si>
  <si>
    <t>Bluewater Power Distribution Corporation1595_(2015)</t>
  </si>
  <si>
    <t>Brantford Power Inc.1595_(2015)</t>
  </si>
  <si>
    <t>Burlington Hydro Inc.1595_(2015)</t>
  </si>
  <si>
    <t>Canadian Niagara Power Inc.1595_(2015)</t>
  </si>
  <si>
    <t>Centre Wellington Hydro Ltd.1595_(2015)</t>
  </si>
  <si>
    <t>Chapleau Public Utilities Corporation1595_(2015)</t>
  </si>
  <si>
    <t>Cooperative Hydro Embrun Inc.1595_(2015)</t>
  </si>
  <si>
    <t>E.L.K. Energy Inc.1595_(2015)</t>
  </si>
  <si>
    <t>Entegrus Powerlines Inc.1595_(2015)</t>
  </si>
  <si>
    <t>Espanola Regional Hydro Distribution Corporation1595_(2015)</t>
  </si>
  <si>
    <t>Essex Powerlines Corporation1595_(2015)</t>
  </si>
  <si>
    <t>Festival Hydro Inc.1595_(2015)</t>
  </si>
  <si>
    <t>Fort Frances Power Corporation1595_(2015)</t>
  </si>
  <si>
    <t>Greater Sudbury Hydro Inc.1595_(2015)</t>
  </si>
  <si>
    <t>Grimsby Power Incorporated1595_(2015)</t>
  </si>
  <si>
    <t>Halton Hills Hydro Inc.1595_(2015)</t>
  </si>
  <si>
    <t>Hydro 2000 Inc.1595_(2015)</t>
  </si>
  <si>
    <t>Hydro Hawkesbury Inc.1595_(2015)</t>
  </si>
  <si>
    <t>Hydro One Networks Inc.1595_(2015)</t>
  </si>
  <si>
    <t>Hydro One Remote Communities Inc.1595_(2015)</t>
  </si>
  <si>
    <t>Hydro Ottawa Limited1595_(2015)</t>
  </si>
  <si>
    <t>Innpower Corporation1595_(2015)</t>
  </si>
  <si>
    <t>Kingston Hydro Corporation1595_(2015)</t>
  </si>
  <si>
    <t>Kitchener-Wilmot Hydro Inc.1595_(2015)</t>
  </si>
  <si>
    <t>Lakefront Utilities Inc.1595_(2015)</t>
  </si>
  <si>
    <t>Lakeland Power Distribution Ltd.1595_(2015)</t>
  </si>
  <si>
    <t>London Hydro Inc.1595_(2015)</t>
  </si>
  <si>
    <t>Milton Hydro Distribution Inc.1595_(2015)</t>
  </si>
  <si>
    <t>Niagara Peninsula Energy Inc.1595_(2015)</t>
  </si>
  <si>
    <t>North Bay Hydro Distribution Limited1595_(2015)</t>
  </si>
  <si>
    <t>Northern Ontario Wires Inc.1595_(2015)</t>
  </si>
  <si>
    <t>Oakville Hydro Electricity Distribution Inc.1595_(2015)</t>
  </si>
  <si>
    <t>Orangeville Hydro Limited1595_(2015)</t>
  </si>
  <si>
    <t>Orillia Power Distribution Corporation1595_(2015)</t>
  </si>
  <si>
    <t>Oshawa PUC Networks Inc.1595_(2015)</t>
  </si>
  <si>
    <t>Ottawa River Power Corporation1595_(2015)</t>
  </si>
  <si>
    <t>PUC Distribution Inc.1595_(2015)</t>
  </si>
  <si>
    <t>Renfrew Hydro Inc.1595_(2015)</t>
  </si>
  <si>
    <t>Rideau St. Lawrence Distribution Inc.1595_(2015)</t>
  </si>
  <si>
    <t>Sioux Lookout Hydro Inc.1595_(2015)</t>
  </si>
  <si>
    <t>Tillsonburg Hydro Inc.1595_(2015)</t>
  </si>
  <si>
    <t>Toronto Hydro-Electric System Limited1595_(2015)</t>
  </si>
  <si>
    <t>Wasaga Distribution Inc.1595_(2015)</t>
  </si>
  <si>
    <t>Waterloo North Hydro Inc.1595_(2015)</t>
  </si>
  <si>
    <t>Welland Hydro-Electric System Corp.1595_(2015)</t>
  </si>
  <si>
    <t>Wellington North Power Inc.1595_(2015)</t>
  </si>
  <si>
    <t>Westario Power Inc.1595_(2015)</t>
  </si>
  <si>
    <t>Total GA $ allocated to Current Class B Customers</t>
  </si>
  <si>
    <t>% of kWh</t>
  </si>
  <si>
    <r>
      <t xml:space="preserve">Revenue Reconcilation </t>
    </r>
    <r>
      <rPr>
        <b/>
        <vertAlign val="superscript"/>
        <sz val="11"/>
        <color theme="1"/>
        <rFont val="Calibri"/>
        <family val="2"/>
        <scheme val="minor"/>
      </rPr>
      <t>1</t>
    </r>
  </si>
  <si>
    <r>
      <t xml:space="preserve">Allocation of Group 1 Account Balances to All Classes </t>
    </r>
    <r>
      <rPr>
        <b/>
        <vertAlign val="superscript"/>
        <sz val="10"/>
        <rFont val="Arial"/>
        <family val="2"/>
      </rPr>
      <t>2</t>
    </r>
  </si>
  <si>
    <r>
      <t xml:space="preserve">Allocation of Group 1 Account Balances to Non-WMP Classes Only (If Applicable) </t>
    </r>
    <r>
      <rPr>
        <b/>
        <vertAlign val="superscript"/>
        <sz val="10"/>
        <rFont val="Arial"/>
        <family val="2"/>
      </rPr>
      <t>2</t>
    </r>
  </si>
  <si>
    <r>
      <t xml:space="preserve">Deferral/Variance Account Rate Rider </t>
    </r>
    <r>
      <rPr>
        <b/>
        <vertAlign val="superscript"/>
        <sz val="10"/>
        <rFont val="Arial"/>
        <family val="2"/>
      </rPr>
      <t>2</t>
    </r>
  </si>
  <si>
    <r>
      <t xml:space="preserve">Deferral/Variance Account Rate Rider for Non-WMP 
(if applicable) </t>
    </r>
    <r>
      <rPr>
        <b/>
        <vertAlign val="superscript"/>
        <sz val="10"/>
        <rFont val="Arial"/>
        <family val="2"/>
      </rPr>
      <t>2</t>
    </r>
  </si>
  <si>
    <t>Effective Year of Residential Rate Design Transition (yyyy)</t>
  </si>
  <si>
    <t xml:space="preserve">Billed kWh for Residential Class
(approved in the last CoS)
</t>
  </si>
  <si>
    <t xml:space="preserve"># of Residential Customers
(approved in the last CoS)
</t>
  </si>
  <si>
    <t>Billing Determinant Applied to Fixed Charge for Unmetered Classes (e.g. # of devices/connections).</t>
  </si>
  <si>
    <t>SEASONAL CUSTOMERS SERVICE CLASSIFICATION</t>
  </si>
  <si>
    <t xml:space="preserve">Haldimand County Hydro Inc. </t>
  </si>
  <si>
    <t>GENERAL SERVICE 1,000 KW AND GREATER SERVICE CLASSIFICATION</t>
  </si>
  <si>
    <t xml:space="preserve">Woodstock Hydro Services Inc. </t>
  </si>
  <si>
    <t>Hydro One Networks Inc. (Norfolk Power Distribution Inc.)</t>
  </si>
  <si>
    <t>ENWIN UTILITIES LTD._GENERAL SERVICE 3,000 TO 4,999 KW - INTERMEDIATE USE SERVICE CLASSIFICATION</t>
  </si>
  <si>
    <t>ESSEX POWERLINES CORPORATION</t>
  </si>
  <si>
    <t>ESSEX POWERLINES CORPORATION_GENERAL SERVICE LESS THAN 50 KW SERVICE CLASSIFICATION</t>
  </si>
  <si>
    <t>ESSEX POWERLINES CORPORATION_RESIDENTIAL SERVICE CLASSIFICATION</t>
  </si>
  <si>
    <t>ESSEX POWERLINES CORPORATION_SENTINEL LIGHTING SERVICE CLASSIFICATION</t>
  </si>
  <si>
    <t>ESSEX POWERLINES CORPORATION_STREET LIGHTING SERVICE CLASSIFICATION</t>
  </si>
  <si>
    <t>ESSEX POWERLINES CORPORATION_UNMETERED SCATTERED LOAD SERVICE CLASSIFICATION</t>
  </si>
  <si>
    <t>KITCHENER-WILMOT HYDRO INC._EMBEDDED DISTRIBUTOR SERVICE CLASSIFICATION</t>
  </si>
  <si>
    <t>Found</t>
  </si>
  <si>
    <t>Customer</t>
  </si>
  <si>
    <t>Monthly Equal Payments</t>
  </si>
  <si>
    <t>FIT SERVICE CLASSIFICATION</t>
  </si>
  <si>
    <t>GENERAL SERVICE GREATER THAN 1,000 KW SERVICE CLASSIFICATION</t>
  </si>
  <si>
    <t>As per Chapter 3 Filing Requirements, shared tax rate riders are based on a 1 year disposition.</t>
  </si>
  <si>
    <t>Wholesale Market Service Rate (WMS) - not including CBR</t>
  </si>
  <si>
    <t xml:space="preserve">Capacity Based Recovery (CBR) - Applicable for Class B Customers </t>
  </si>
  <si>
    <t>Regulatory Charges</t>
  </si>
  <si>
    <t>Time-of-Use RPP Prices</t>
  </si>
  <si>
    <t xml:space="preserve">As of </t>
  </si>
  <si>
    <t>Off-Peak</t>
  </si>
  <si>
    <t>On-Peak</t>
  </si>
  <si>
    <t>Mid-Peak</t>
  </si>
  <si>
    <t>Energy+ Inc.</t>
  </si>
  <si>
    <t>For Former Brant County Power Service Area</t>
  </si>
  <si>
    <t>For Former Cambridge and North Dumfries Hydro Service Area</t>
  </si>
  <si>
    <t>Former Haldimand County Hydro Inc. Service Area</t>
  </si>
  <si>
    <t/>
  </si>
  <si>
    <t>Former Norfolk Power Distribution Inc. Service Area</t>
  </si>
  <si>
    <t>Former Woodstock Hydro Services Inc. Service Area</t>
  </si>
  <si>
    <t>GENERAL SERVICE 1,500 TO 4,999 KW SERVICE CLASSIFICATION</t>
  </si>
  <si>
    <t>Customer 1</t>
  </si>
  <si>
    <t>Customer 2</t>
  </si>
  <si>
    <t>Customer 3</t>
  </si>
  <si>
    <t>Customer 4</t>
  </si>
  <si>
    <t>Customer 5</t>
  </si>
  <si>
    <t>IESOMeterCustkWh</t>
  </si>
  <si>
    <t>IESOMeterCustKW</t>
  </si>
  <si>
    <t>CANADIAN NIAGARA POWER INC._GENERAL SERVICE 50 TO 4,999 KW SERVICE CLASSIFICATION</t>
  </si>
  <si>
    <t>CANADIAN NIAGARA POWER INC._GENERAL SERVICE LESS THAN 50 KW SERVICE CLASSIFICATION</t>
  </si>
  <si>
    <t>CANADIAN NIAGARA POWER INC._RESIDENTIAL SERVICE CLASSIFICATION</t>
  </si>
  <si>
    <t>CANADIAN NIAGARA POWER INC._SENTINEL LIGHTING SERVICE CLASSIFICATION</t>
  </si>
  <si>
    <t>CANADIAN NIAGARA POWER INC._STREET LIGHTING SERVICE CLASSIFICATION</t>
  </si>
  <si>
    <t>CANADIAN NIAGARA POWER INC._UNMETERED SCATTERED LOAD SERVICE CLASSIFICATION</t>
  </si>
  <si>
    <t>GRIMSBY POWER INCORPORATED_EMBEDDED DISTRIBUTOR SERVICE CLASSIFICATION</t>
  </si>
  <si>
    <t>Sub-account CBR class A - Interest</t>
  </si>
  <si>
    <t>Sub-account CBR class A - Principal</t>
  </si>
  <si>
    <t>Sub-account CBR class B - Interest</t>
  </si>
  <si>
    <t>Sub-account CBR class B - Principal</t>
  </si>
  <si>
    <t>Disposition and Recovery/Refund of Regulatory Balances (2016)</t>
  </si>
  <si>
    <t>Algoma Power Inc.1595_(2016)</t>
  </si>
  <si>
    <t>Bluewater Power Distribution Corporation1595_(2016)</t>
  </si>
  <si>
    <t>Brantford Power Inc.1595_(2016)</t>
  </si>
  <si>
    <t>Burlington Hydro Inc.1595_(2016)</t>
  </si>
  <si>
    <t>Canadian Niagara Power Inc.1595_(2016)</t>
  </si>
  <si>
    <t>Centre Wellington Hydro Ltd.1595_(2016)</t>
  </si>
  <si>
    <t>Chapleau Public Utilities Corporation1595_(2016)</t>
  </si>
  <si>
    <t>Cooperative Hydro Embrun Inc.1595_(2016)</t>
  </si>
  <si>
    <t>E.L.K. Energy Inc.1595_(2016)</t>
  </si>
  <si>
    <t>Entegrus Powerlines Inc.1595_(2016)</t>
  </si>
  <si>
    <t>Espanola Regional Hydro Distribution Corporation1595_(2016)</t>
  </si>
  <si>
    <t>Essex Powerlines Corporation1595_(2016)</t>
  </si>
  <si>
    <t>Festival Hydro Inc.1595_(2016)</t>
  </si>
  <si>
    <t>Fort Frances Power Corporation1595_(2016)</t>
  </si>
  <si>
    <t>Greater Sudbury Hydro Inc.1595_(2016)</t>
  </si>
  <si>
    <t>Grimsby Power Incorporated1595_(2016)</t>
  </si>
  <si>
    <t>Halton Hills Hydro Inc.1595_(2016)</t>
  </si>
  <si>
    <t>Hydro 2000 Inc.1595_(2016)</t>
  </si>
  <si>
    <t>Hydro Hawkesbury Inc.1595_(2016)</t>
  </si>
  <si>
    <t>Hydro One Networks Inc.1595_(2016)</t>
  </si>
  <si>
    <t>Hydro One Remote Communities Inc.1595_(2016)</t>
  </si>
  <si>
    <t>Hydro Ottawa Limited1595_(2016)</t>
  </si>
  <si>
    <t>Innpower Corporation1595_(2016)</t>
  </si>
  <si>
    <t>Kingston Hydro Corporation1595_(2016)</t>
  </si>
  <si>
    <t>Kitchener-Wilmot Hydro Inc.1595_(2016)</t>
  </si>
  <si>
    <t>Lakefront Utilities Inc.1595_(2016)</t>
  </si>
  <si>
    <t>Lakeland Power Distribution Ltd.1595_(2016)</t>
  </si>
  <si>
    <t>London Hydro Inc.1595_(2016)</t>
  </si>
  <si>
    <t>Milton Hydro Distribution Inc.1595_(2016)</t>
  </si>
  <si>
    <t>Niagara Peninsula Energy Inc.1595_(2016)</t>
  </si>
  <si>
    <t>Niagara-on-the-Lake Hydro Inc.1595_(2016)</t>
  </si>
  <si>
    <t>North Bay Hydro Distribution Limited1595_(2016)</t>
  </si>
  <si>
    <t>Northern Ontario Wires Inc.1595_(2016)</t>
  </si>
  <si>
    <t>Oakville Hydro Electricity Distribution Inc.1595_(2016)</t>
  </si>
  <si>
    <t>Orangeville Hydro Limited1595_(2016)</t>
  </si>
  <si>
    <t>Orillia Power Distribution Corporation1595_(2016)</t>
  </si>
  <si>
    <t>Oshawa PUC Networks Inc.1595_(2016)</t>
  </si>
  <si>
    <t>Ottawa River Power Corporation1595_(2016)</t>
  </si>
  <si>
    <t>PUC Distribution Inc.1595_(2016)</t>
  </si>
  <si>
    <t>Renfrew Hydro Inc.1595_(2016)</t>
  </si>
  <si>
    <t>Rideau St. Lawrence Distribution Inc.1595_(2016)</t>
  </si>
  <si>
    <t>Sioux Lookout Hydro Inc.1595_(2016)</t>
  </si>
  <si>
    <t>Tillsonburg Hydro Inc.1595_(2016)</t>
  </si>
  <si>
    <t>Toronto Hydro-Electric System Limited1595_(2016)</t>
  </si>
  <si>
    <t>Wasaga Distribution Inc.1595_(2016)</t>
  </si>
  <si>
    <t>Waterloo North Hydro Inc.1595_(2016)</t>
  </si>
  <si>
    <t>Welland Hydro-Electric System Corp.1595_(2016)</t>
  </si>
  <si>
    <t>Wellington North Power Inc.1595_(2016)</t>
  </si>
  <si>
    <t>Westario Power Inc.1595_(2016)</t>
  </si>
  <si>
    <t>3a</t>
  </si>
  <si>
    <t>January to June</t>
  </si>
  <si>
    <t>July to December</t>
  </si>
  <si>
    <t>Class A/B</t>
  </si>
  <si>
    <t>3b</t>
  </si>
  <si>
    <t>Customer 6</t>
  </si>
  <si>
    <t>Customer 7</t>
  </si>
  <si>
    <t>Customer 8</t>
  </si>
  <si>
    <t>Customer 9</t>
  </si>
  <si>
    <t>Customer 10</t>
  </si>
  <si>
    <t>Customer 11</t>
  </si>
  <si>
    <t>Customer 12</t>
  </si>
  <si>
    <t>Allocation of total Non-RPP Consumption (kWh) between Current Class B and Class A/B Transition Customers</t>
  </si>
  <si>
    <t xml:space="preserve">Transition Customers' Portion of Total Consumption </t>
  </si>
  <si>
    <t>Transition Customers Portion of GA Balance</t>
  </si>
  <si>
    <t>CBR Class B Rate Rider</t>
  </si>
  <si>
    <t>Total CBR Class B $ allocated to Current Class B Customers</t>
  </si>
  <si>
    <t>Metered Consumption for Current Class B Customers (Total Consumption LESS WMP, Class A and Transition Customers' Consumption)</t>
  </si>
  <si>
    <t xml:space="preserve">Customer </t>
  </si>
  <si>
    <t>Allocation of CBR Class B Balances to Transition Customers</t>
  </si>
  <si>
    <t>Transition Customers Portion of CBR Class B Balance</t>
  </si>
  <si>
    <t xml:space="preserve">Total CBR Class B Balance </t>
  </si>
  <si>
    <t>Allocation of Total CBR Class B Balance $</t>
  </si>
  <si>
    <t>Interest Jan 1 to Dec 31, 2014</t>
  </si>
  <si>
    <t>Closing Principal Balance as of Dec 31, 2015</t>
  </si>
  <si>
    <t>Opening Interest Amounts as of Jan 1, 2015</t>
  </si>
  <si>
    <t>Closing Interest Amounts as of Dec 31, 2015</t>
  </si>
  <si>
    <t>Opening Principal Amounts as of Jan 1, 2016</t>
  </si>
  <si>
    <t>OEB-Approved Disposition during 2016</t>
  </si>
  <si>
    <t>Closing Principal Balance as of Dec 31, 2016</t>
  </si>
  <si>
    <t>Opening Interest Amounts as of Jan 1, 2016</t>
  </si>
  <si>
    <t>Interest Jan 1 to Dec 31, 2016</t>
  </si>
  <si>
    <t>Closing Interest Amounts as of Dec 31, 2016</t>
  </si>
  <si>
    <t>Customer 13</t>
  </si>
  <si>
    <t>Customer 14</t>
  </si>
  <si>
    <t>Customer 15</t>
  </si>
  <si>
    <t>Customer 16</t>
  </si>
  <si>
    <t>Customer 17</t>
  </si>
  <si>
    <t>Customer 18</t>
  </si>
  <si>
    <t>Customer 19</t>
  </si>
  <si>
    <t>Customer 20</t>
  </si>
  <si>
    <t>Customer 21</t>
  </si>
  <si>
    <t>Customer 22</t>
  </si>
  <si>
    <t>Customer 23</t>
  </si>
  <si>
    <t>Customer 24</t>
  </si>
  <si>
    <t>Customer 25</t>
  </si>
  <si>
    <t>Customer 26</t>
  </si>
  <si>
    <t>Customer 27</t>
  </si>
  <si>
    <t>Customer 28</t>
  </si>
  <si>
    <t>Customer 29</t>
  </si>
  <si>
    <t>Customer 30</t>
  </si>
  <si>
    <t>Customer 31</t>
  </si>
  <si>
    <t>Customer 32</t>
  </si>
  <si>
    <t>Customer 33</t>
  </si>
  <si>
    <t>Customer 34</t>
  </si>
  <si>
    <t>Customer 35</t>
  </si>
  <si>
    <t>Customer 36</t>
  </si>
  <si>
    <t>Customer 37</t>
  </si>
  <si>
    <t>Customer 38</t>
  </si>
  <si>
    <t>Customer 39</t>
  </si>
  <si>
    <t>Customer 40</t>
  </si>
  <si>
    <t>Customer 41</t>
  </si>
  <si>
    <t>Customer 42</t>
  </si>
  <si>
    <t>Customer 43</t>
  </si>
  <si>
    <t>Customer 44</t>
  </si>
  <si>
    <t>Customer 45</t>
  </si>
  <si>
    <t>Customer 46</t>
  </si>
  <si>
    <t>Customer 47</t>
  </si>
  <si>
    <t>Customer 48</t>
  </si>
  <si>
    <t>Customer 49</t>
  </si>
  <si>
    <t>Customer 50</t>
  </si>
  <si>
    <t>Customer 51</t>
  </si>
  <si>
    <t>Customer 52</t>
  </si>
  <si>
    <t>Customer 53</t>
  </si>
  <si>
    <t>Customer 54</t>
  </si>
  <si>
    <t>Customer 55</t>
  </si>
  <si>
    <t>Customer 56</t>
  </si>
  <si>
    <t>Customer 57</t>
  </si>
  <si>
    <t>Customer 58</t>
  </si>
  <si>
    <t>Customer 59</t>
  </si>
  <si>
    <t>Customer 60</t>
  </si>
  <si>
    <t>Customer 61</t>
  </si>
  <si>
    <t>Customer 62</t>
  </si>
  <si>
    <t>Customer 63</t>
  </si>
  <si>
    <t>Customer 64</t>
  </si>
  <si>
    <t>Customer 65</t>
  </si>
  <si>
    <t>Customer 66</t>
  </si>
  <si>
    <t>Customer 67</t>
  </si>
  <si>
    <t>Customer 68</t>
  </si>
  <si>
    <t>Customer 69</t>
  </si>
  <si>
    <t>Customer 70</t>
  </si>
  <si>
    <t>Customer 71</t>
  </si>
  <si>
    <t>Customer 72</t>
  </si>
  <si>
    <t>Customer 73</t>
  </si>
  <si>
    <t>Customer 74</t>
  </si>
  <si>
    <t>Customer 75</t>
  </si>
  <si>
    <t>Customer 76</t>
  </si>
  <si>
    <t>Customer 77</t>
  </si>
  <si>
    <t>Customer 78</t>
  </si>
  <si>
    <t>Customer 79</t>
  </si>
  <si>
    <t>Customer 80</t>
  </si>
  <si>
    <t>Customer 81</t>
  </si>
  <si>
    <t>Customer 82</t>
  </si>
  <si>
    <t>Customer 83</t>
  </si>
  <si>
    <t>Customer 84</t>
  </si>
  <si>
    <t>Customer 85</t>
  </si>
  <si>
    <t>Customer 86</t>
  </si>
  <si>
    <t>Customer 87</t>
  </si>
  <si>
    <t>Customer 88</t>
  </si>
  <si>
    <t>Customer 89</t>
  </si>
  <si>
    <t>Customer 90</t>
  </si>
  <si>
    <t>Customer 91</t>
  </si>
  <si>
    <t>Customer 92</t>
  </si>
  <si>
    <t>Customer 93</t>
  </si>
  <si>
    <t>Customer 94</t>
  </si>
  <si>
    <t>Customer 95</t>
  </si>
  <si>
    <t>Customer 96</t>
  </si>
  <si>
    <t>Customer 97</t>
  </si>
  <si>
    <t>Customer 98</t>
  </si>
  <si>
    <t>Customer 99</t>
  </si>
  <si>
    <t>Customer 100</t>
  </si>
  <si>
    <t>Customer 101</t>
  </si>
  <si>
    <t>Customer 102</t>
  </si>
  <si>
    <t>Customer 103</t>
  </si>
  <si>
    <t>Customer 104</t>
  </si>
  <si>
    <t>Customer 105</t>
  </si>
  <si>
    <t>Customer 106</t>
  </si>
  <si>
    <t>Customer 107</t>
  </si>
  <si>
    <t>Customer 108</t>
  </si>
  <si>
    <t>Customer 109</t>
  </si>
  <si>
    <t>Customer 110</t>
  </si>
  <si>
    <t>Customer 111</t>
  </si>
  <si>
    <t>Customer 112</t>
  </si>
  <si>
    <t>Customer 113</t>
  </si>
  <si>
    <t>Customer 114</t>
  </si>
  <si>
    <t>Customer 115</t>
  </si>
  <si>
    <t>Customer 116</t>
  </si>
  <si>
    <t>Customer 117</t>
  </si>
  <si>
    <t>Customer 118</t>
  </si>
  <si>
    <t>Customer 119</t>
  </si>
  <si>
    <t>Customer 120</t>
  </si>
  <si>
    <t>Customer 121</t>
  </si>
  <si>
    <t>Customer 122</t>
  </si>
  <si>
    <t>Customer 123</t>
  </si>
  <si>
    <t>Customer 124</t>
  </si>
  <si>
    <t>Customer 125</t>
  </si>
  <si>
    <t>Customer 126</t>
  </si>
  <si>
    <t>Customer 127</t>
  </si>
  <si>
    <t>Customer 128</t>
  </si>
  <si>
    <t>Customer 129</t>
  </si>
  <si>
    <t>Customer 130</t>
  </si>
  <si>
    <t>Customer 131</t>
  </si>
  <si>
    <t>Customer 132</t>
  </si>
  <si>
    <t>Customer 133</t>
  </si>
  <si>
    <t>Customer 134</t>
  </si>
  <si>
    <t>Customer 135</t>
  </si>
  <si>
    <t>Customer 136</t>
  </si>
  <si>
    <t>Customer 137</t>
  </si>
  <si>
    <t>Customer 138</t>
  </si>
  <si>
    <t>Customer 139</t>
  </si>
  <si>
    <t>Customer 140</t>
  </si>
  <si>
    <t>Customer 141</t>
  </si>
  <si>
    <t>Customer 142</t>
  </si>
  <si>
    <t>Customer 143</t>
  </si>
  <si>
    <t>Customer 144</t>
  </si>
  <si>
    <t>Customer 145</t>
  </si>
  <si>
    <t>Customer 146</t>
  </si>
  <si>
    <t>Customer 147</t>
  </si>
  <si>
    <t>Customer 148</t>
  </si>
  <si>
    <t>Customer 149</t>
  </si>
  <si>
    <t>Customer 150</t>
  </si>
  <si>
    <t>6. Class A Consumption Data</t>
  </si>
  <si>
    <t>6.1 GA</t>
  </si>
  <si>
    <t>6.1a GA Allocation</t>
  </si>
  <si>
    <t>6.2 CBR B</t>
  </si>
  <si>
    <t>6.2a CBR B_Allocation</t>
  </si>
  <si>
    <t>Allocation of GA Balances to Class A/B Transition Customers</t>
  </si>
  <si>
    <t># of Class A/B Transition Customers</t>
  </si>
  <si>
    <t>CBR Class B Balance to be disposed to Current Class B Customers through Rate Rider</t>
  </si>
  <si>
    <t>GA Balance to be disposed to Current Class B Customers through Rate Rider</t>
  </si>
  <si>
    <r>
      <t xml:space="preserve">1595 Recovery Proportion (2016) </t>
    </r>
    <r>
      <rPr>
        <b/>
        <vertAlign val="superscript"/>
        <sz val="10"/>
        <rFont val="Arial"/>
        <family val="2"/>
      </rPr>
      <t>1</t>
    </r>
  </si>
  <si>
    <t>1595_(2016)</t>
  </si>
  <si>
    <t>CBR Class B Rate Riders</t>
  </si>
  <si>
    <r>
      <t xml:space="preserve">Metered </t>
    </r>
    <r>
      <rPr>
        <b/>
        <sz val="10"/>
        <color rgb="FFFF0000"/>
        <rFont val="Arial"/>
        <family val="2"/>
      </rPr>
      <t>kWh</t>
    </r>
    <r>
      <rPr>
        <b/>
        <sz val="10"/>
        <rFont val="Arial"/>
        <family val="2"/>
      </rPr>
      <t xml:space="preserve"> for Non-RPP Customers (excluding WMP)</t>
    </r>
  </si>
  <si>
    <r>
      <t xml:space="preserve">Metered </t>
    </r>
    <r>
      <rPr>
        <b/>
        <sz val="10"/>
        <color rgb="FFFF0000"/>
        <rFont val="Arial"/>
        <family val="2"/>
      </rPr>
      <t>kW</t>
    </r>
    <r>
      <rPr>
        <b/>
        <sz val="10"/>
        <rFont val="Arial"/>
        <family val="2"/>
      </rPr>
      <t xml:space="preserve"> for Non-RPP Customers (excluding WMP)</t>
    </r>
  </si>
  <si>
    <t>Re-based Service Charge</t>
  </si>
  <si>
    <t>2a</t>
  </si>
  <si>
    <t>2b</t>
  </si>
  <si>
    <t>Years since Account 1589 GA  balance was last disposed (up to 2016)</t>
  </si>
  <si>
    <t>Non-RPP Metered Consumption for Current Class B Customers (Non-RPP Consumption excluding WMP, Class A and Transition Customers' Consumption)</t>
  </si>
  <si>
    <t>Instructions for Tabs 3 to 7</t>
  </si>
  <si>
    <t>Tab</t>
  </si>
  <si>
    <t xml:space="preserve">Step </t>
  </si>
  <si>
    <t>Details</t>
  </si>
  <si>
    <t>3 - Continuity Schedule</t>
  </si>
  <si>
    <t>Complete the DVA continuity schedule.</t>
  </si>
  <si>
    <t>4 - Billing Determinant</t>
  </si>
  <si>
    <t>6 - Class A Data Consumption</t>
  </si>
  <si>
    <t>6.1a - GA Allocation</t>
  </si>
  <si>
    <t>6.1 - GA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</si>
  <si>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</si>
  <si>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 xml:space="preserve">6.2 - CBR </t>
  </si>
  <si>
    <t>6.2a - CBR_B Allocation</t>
  </si>
  <si>
    <t>7 - Calculation of Def-Var RR</t>
  </si>
  <si>
    <t>Enter the proposed rate rider recovery period if different than the default 12 month period. The rest of the information in the tab is auto-populated and the rate riders are calculated accordingly .</t>
  </si>
  <si>
    <t>RESIDENTIAL R1 SERVICE CLASSIFICATION</t>
  </si>
  <si>
    <t>RESIDENTIAL R2 SERVICE CLASSIFICATION</t>
  </si>
  <si>
    <t>Tab Details</t>
  </si>
  <si>
    <t>This tab shows the billing determinants that will be used to allocate account balances and calculate rate riders.</t>
  </si>
  <si>
    <t>Confirm the accuracy of the RRR data used to populate the tab.</t>
  </si>
  <si>
    <t>This tab calculates the GA rate rider to be applied to all non-RPP Class B customers (except for the transition customers allocated a customer specific balance in tab 6.1a).</t>
  </si>
  <si>
    <t>5 - Allocating Def-Var Balances</t>
  </si>
  <si>
    <t>This tab calculates the Group 1 rate riders, except for GA and CBR Class B (if Class A customers exist)</t>
  </si>
  <si>
    <t>Add additional scenarios if required</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</si>
  <si>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</si>
  <si>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This tab allocates the GA balance to transition customers (i.e Class A customers who were former Class B customers and Class B customers who were former Class A customers) who contributed to the current GA balance. The tables below calculate specific amounts for each customer who made the change. The general GA rate rider to non-RPP customers is not to be charged to the transition customers that are allocated amounts in the table below. Consistent with prior decisions, distributors are generally expected to settle the amount through 12 equal adjustments to bills.</t>
  </si>
  <si>
    <t>This tab allocates the CBR Class B balance to transition customers (i.e Class A customers who were former Class B customers and Class B customers who were former Class A customers) who contributed to the current CBR Class B balance. The tables below calculate specific amounts for each customer who made the change. The general CBR Class B rate rider is not to be charged to the transition customers that are allocated amounts in the table below. Consistent with prior decisions, distributors are generally expected to settle the amount through 12 equal adjustments to bills.</t>
  </si>
  <si>
    <t>This tab is the continuity schedule that shows  all the accounts and the accumulation of the balances a utility has.</t>
  </si>
  <si>
    <t>Review the allocated balances to ensure the allocation is appropriate. Note that the final allocation for Account 1580, sub-account CBR Class B is calculated after the completion of tabs 6 to 6.2a.</t>
  </si>
  <si>
    <t>HYDRO 2000 INC.</t>
  </si>
  <si>
    <t>HYDRO 2000 INC._GENERAL SERVICE 50 TO 4,999 KW SERVICE CLASSIFICATION</t>
  </si>
  <si>
    <t>HYDRO 2000 INC._GENERAL SERVICE LESS THAN 50 KW SERVICE CLASSIFICATION</t>
  </si>
  <si>
    <t>HYDRO 2000 INC._RESIDENTIAL SERVICE CLASSIFICATION</t>
  </si>
  <si>
    <t>HYDRO 2000 INC._STREET LIGHTING SERVICE CLASSIFICATION</t>
  </si>
  <si>
    <t>HYDRO 2000 INC._UNMETERED SCATTERED LOAD SERVICE CLASSIFICATION</t>
  </si>
  <si>
    <t>1550</t>
  </si>
  <si>
    <t>1551</t>
  </si>
  <si>
    <t>1568</t>
  </si>
  <si>
    <t>1580</t>
  </si>
  <si>
    <t>1584</t>
  </si>
  <si>
    <t>1586</t>
  </si>
  <si>
    <t>1588</t>
  </si>
  <si>
    <t>1589</t>
  </si>
  <si>
    <t>1595</t>
  </si>
  <si>
    <r>
      <t>RSVA - Wholesale Market Service Charge</t>
    </r>
    <r>
      <rPr>
        <vertAlign val="superscript"/>
        <sz val="11"/>
        <rFont val="Arial"/>
        <family val="2"/>
      </rPr>
      <t>5</t>
    </r>
  </si>
  <si>
    <r>
      <t>Variance WMS – Sub-account CBR Class A</t>
    </r>
    <r>
      <rPr>
        <vertAlign val="superscript"/>
        <sz val="11"/>
        <rFont val="Arial"/>
        <family val="2"/>
      </rPr>
      <t>5</t>
    </r>
  </si>
  <si>
    <r>
      <t>Variance WMS – Sub-account CBR Class B</t>
    </r>
    <r>
      <rPr>
        <vertAlign val="superscript"/>
        <sz val="11"/>
        <rFont val="Arial"/>
        <family val="2"/>
      </rPr>
      <t>5</t>
    </r>
  </si>
  <si>
    <r>
      <t>RSVA - Power</t>
    </r>
    <r>
      <rPr>
        <vertAlign val="superscript"/>
        <sz val="11"/>
        <rFont val="Arial"/>
        <family val="2"/>
      </rPr>
      <t>4</t>
    </r>
  </si>
  <si>
    <r>
      <t>RSVA - Global Adjustment</t>
    </r>
    <r>
      <rPr>
        <vertAlign val="superscript"/>
        <sz val="11"/>
        <rFont val="Arial"/>
        <family val="2"/>
      </rPr>
      <t>4</t>
    </r>
  </si>
  <si>
    <r>
      <t>Disposition and Recovery/Refund of Regulatory Balances (2009)</t>
    </r>
    <r>
      <rPr>
        <vertAlign val="superscript"/>
        <sz val="11"/>
        <rFont val="Arial"/>
        <family val="2"/>
      </rPr>
      <t>3</t>
    </r>
  </si>
  <si>
    <r>
      <t>Disposition and Recovery/Refund of Regulatory Balances (2015)</t>
    </r>
    <r>
      <rPr>
        <vertAlign val="superscript"/>
        <sz val="11"/>
        <rFont val="Arial"/>
        <family val="2"/>
      </rPr>
      <t>3</t>
    </r>
  </si>
  <si>
    <t>Transition Customers - Non-loss Adjusted Billing Determinants by Customer</t>
  </si>
  <si>
    <t>The purpose of this tab is to calculate the GA rate riders for all current Class B customers who did not transition between Class A and B in the period since the Account 1589 GA was last disposed. Calculations in this tab will be modified upon completion of tab 6.1a, which allocates a portion of the GA balance to transition customers, if applicable.
Effective January 2017, the billing determinant and all rate riders for the disposition of GA balances will be calculated on an energy basis (kWhs) regardless of the billing determinant used for distribution rates for the particular class (see Chapter 3, Filing Requirements, section 3.2.5.2)</t>
  </si>
  <si>
    <t>Total Connection</t>
  </si>
  <si>
    <t xml:space="preserve">$ </t>
  </si>
  <si>
    <t>H</t>
  </si>
  <si>
    <t>I</t>
  </si>
  <si>
    <t>J</t>
  </si>
  <si>
    <t>K</t>
  </si>
  <si>
    <t>L</t>
  </si>
  <si>
    <t>M</t>
  </si>
  <si>
    <t>N</t>
  </si>
  <si>
    <t>O</t>
  </si>
  <si>
    <t>P</t>
  </si>
  <si>
    <t>Q</t>
  </si>
  <si>
    <t>R</t>
  </si>
  <si>
    <t>S</t>
  </si>
  <si>
    <t>T</t>
  </si>
  <si>
    <t>U</t>
  </si>
  <si>
    <t>V</t>
  </si>
  <si>
    <t>W</t>
  </si>
  <si>
    <t>EFF_DATE</t>
  </si>
  <si>
    <t>Algoma Power Inc._Start</t>
  </si>
  <si>
    <t>IMP_DATE</t>
  </si>
  <si>
    <t>TARIFF OF RATES AND CHARGES</t>
  </si>
  <si>
    <t>EBNUMBER</t>
  </si>
  <si>
    <t>NUMBER OF RATE CLASSES</t>
  </si>
  <si>
    <t>This schedule supersedes and replaces all previously</t>
  </si>
  <si>
    <t>approved schedules of Rates, Charges and Loss Factors</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</si>
  <si>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</si>
  <si>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</si>
  <si>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</si>
  <si>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APPLICATION</t>
  </si>
  <si>
    <t>1_APPLICATION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</si>
  <si>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</si>
  <si>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</si>
  <si>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</si>
  <si>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</si>
  <si>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1_MRC_Del</t>
  </si>
  <si>
    <t>Service Charge - Applicable only to customers that meet criteria (i) above</t>
  </si>
  <si>
    <t>1_RESIDENTIAL R1 SERVICE CLASSIFICATION_MSC</t>
  </si>
  <si>
    <t>Service Charge - Applicable only to customers that meet criteria (ii) above</t>
  </si>
  <si>
    <t>1_RESIDENTIAL R1 SERVICE CLASSIFICATION_SME</t>
  </si>
  <si>
    <t>Distribution Volumetric Rate - Applicable only to customers that meet criteria (i) above</t>
  </si>
  <si>
    <t>1_RESIDENTIAL R1 SERVICE CLASSIFICATION_DVC</t>
  </si>
  <si>
    <t>Distribution Volumetric Rate - Applicable only to customers that meet criteria (ii) above</t>
  </si>
  <si>
    <t>1_RESIDENTIAL R1 SERVICE CLASSIFICATION_DEFVAR_ALL</t>
  </si>
  <si>
    <t>1_RESIDENTIAL R1 SERVICE CLASSIFICATION_GA_kwh</t>
  </si>
  <si>
    <t>MONTHLY RATES AND CHARGES - Regulatory Component</t>
  </si>
  <si>
    <t>1_MRC_Reg</t>
  </si>
  <si>
    <t>1_RESIDENTIAL R1 SERVICE CLASSIFICATION_WMSR</t>
  </si>
  <si>
    <t>1_RESIDENTIAL R1 SERVICE CLASSIFICATION_RRRP</t>
  </si>
  <si>
    <t>1_RESIDENTIAL R1 SERVICE CLASSIFICATION_SSS</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</si>
  <si>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</si>
  <si>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</si>
  <si>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2_APPLICATION</t>
  </si>
  <si>
    <t>2_MRC_Del</t>
  </si>
  <si>
    <t>2_RESIDENTIAL R2 SERVICE CLASSIFICATION_MSC</t>
  </si>
  <si>
    <t>2_RESIDENTIAL R2 SERVICE CLASSIFICATION_DVC</t>
  </si>
  <si>
    <t>2_RESIDENTIAL R2 SERVICE CLASSIFICATION_DEFVAR_ALL</t>
  </si>
  <si>
    <t>2_RESIDENTIAL R2 SERVICE CLASSIFICATION_GA_kwh</t>
  </si>
  <si>
    <t>2_MRC_Reg</t>
  </si>
  <si>
    <t>2_RESIDENTIAL R2 SERVICE CLASSIFICATION_WMSR</t>
  </si>
  <si>
    <t>2_RESIDENTIAL R2 SERVICE CLASSIFICATION_RRRP</t>
  </si>
  <si>
    <t>2_RESIDENTIAL R2 SERVICE CLASSIFICATION_SSS</t>
  </si>
  <si>
    <t>3_APPLICATION</t>
  </si>
  <si>
    <t>3_MRC_Del</t>
  </si>
  <si>
    <t>5_APPLICATION</t>
  </si>
  <si>
    <t>5_MRC_Del</t>
  </si>
  <si>
    <t xml:space="preserve">Distribution Volumetric Rate </t>
  </si>
  <si>
    <t>5_MRC_Reg</t>
  </si>
  <si>
    <t>6_STREET LIGHTING SERVICE CLASSIFICATION</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</si>
  <si>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</si>
  <si>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6_APPLICATION</t>
  </si>
  <si>
    <t>6_MRC_Del</t>
  </si>
  <si>
    <t>6_STREET LIGHTING SERVICE CLASSIFICATION_MSC</t>
  </si>
  <si>
    <t>6_STREET LIGHTING SERVICE CLASSIFICATION_DVC</t>
  </si>
  <si>
    <t>6_STREET LIGHTING SERVICE CLASSIFICATION_DEFVAR_ALL</t>
  </si>
  <si>
    <t>6_STREET LIGHTING SERVICE CLASSIFICATION_GA_kwh</t>
  </si>
  <si>
    <t>6_STREET LIGHTING SERVICE CLASSIFICATION_Retail Transmission Rate - Network Service Rate</t>
  </si>
  <si>
    <t>6_STREET LIGHTING SERVICE CLASSIFICATION_Retail Transmission Rate - Line and Transformation Connection Service Rate</t>
  </si>
  <si>
    <t>6_MRC_Reg</t>
  </si>
  <si>
    <t>6_STREET LIGHTING SERVICE CLASSIFICATION_WMSR</t>
  </si>
  <si>
    <t>6_STREET LIGHTING SERVICE CLASSIFICATION_RRRP</t>
  </si>
  <si>
    <t>6_STREET LIGHTING SERVICE CLASSIFICATION_SSS</t>
  </si>
  <si>
    <t>7_microFIT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</si>
  <si>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</si>
  <si>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7_APPLICATION</t>
  </si>
  <si>
    <t>Unless specifically noted, this schedule does not contain any charges for the electricity commodity, be it under the Regulated Price Plan, a contract with a retailer or the wholesale market price, as applicable.</t>
  </si>
  <si>
    <t>7_MRC_Del</t>
  </si>
  <si>
    <t>7_microFIT SERVICE CLASSIFICATION_MSC</t>
  </si>
  <si>
    <t>Algoma Power Inc._ALLOWANCES</t>
  </si>
  <si>
    <t>Transformer Allowance for Ownership - per kW of billing demand/month</t>
  </si>
  <si>
    <t>Primary Metering Allowance for Transformer Losses - applied to measured demand &amp; energy</t>
  </si>
  <si>
    <t>Algoma Power Inc._SSC</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</si>
  <si>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</si>
  <si>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</si>
  <si>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Algoma Power Inc._CA</t>
  </si>
  <si>
    <t xml:space="preserve">Arrears certificate (credit reference) </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</si>
  <si>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</si>
  <si>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</si>
  <si>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</si>
  <si>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</si>
  <si>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</si>
  <si>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</si>
  <si>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</si>
  <si>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</si>
  <si>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</si>
  <si>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(plus bank charges)</t>
  </si>
  <si>
    <t>Charge to certify cheque</t>
  </si>
  <si>
    <t>Legal letter charge</t>
  </si>
  <si>
    <t>Non-Payment of Account</t>
  </si>
  <si>
    <t>Algoma Power Inc._NPoA</t>
  </si>
  <si>
    <t>Late Payment - per month</t>
  </si>
  <si>
    <t>Late Payment - per annum</t>
  </si>
  <si>
    <t>Disconnect/Reconnect at Meter - during regular hours</t>
  </si>
  <si>
    <t>Disconnect/Reconnect at Pole - during regular hours</t>
  </si>
  <si>
    <t>Other</t>
  </si>
  <si>
    <t xml:space="preserve">Specific charge for access to the power poles - per pole/year </t>
  </si>
  <si>
    <t>(with the exception of wireless attachments)</t>
  </si>
  <si>
    <t>Service call - customer owned equipment</t>
  </si>
  <si>
    <t>Service call - after regular hours</t>
  </si>
  <si>
    <t xml:space="preserve">Temporary service install &amp; remove - overhead - no transformer </t>
  </si>
  <si>
    <t>Temporary service install &amp; remove - underground - no transformer</t>
  </si>
  <si>
    <t>Temporary service install &amp; remove - overhead - with transformer</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</si>
  <si>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</si>
  <si>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</si>
  <si>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Retail Service Charges refer to services provided by Algoma Power Inc. to retailers or customers related to the supply of competitive electricity and are defined in the 2006 Electricity Distribution Rate Handbook.</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</si>
  <si>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</si>
  <si>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</si>
  <si>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</si>
  <si>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</si>
  <si>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</si>
  <si>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</si>
  <si>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</si>
  <si>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</si>
  <si>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</si>
  <si>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</si>
  <si>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</si>
  <si>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</si>
  <si>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</si>
  <si>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</si>
  <si>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</si>
  <si>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Algoma Power Inc._LFs</t>
  </si>
  <si>
    <t>If the distributor is not capable of prorating changed loss factors jointly with distribution rates, the revised loss factors will be implemented upon the first subsequent billing for each billing cycle.</t>
  </si>
  <si>
    <t>Total Loss Factor - Secondary Metered Customer</t>
  </si>
  <si>
    <t xml:space="preserve">Total Loss Factor - Primary Metered Customer </t>
  </si>
  <si>
    <t>Algoma Power Inc._End</t>
  </si>
  <si>
    <t>Bluewater Power Distribution Corporation_Start</t>
  </si>
  <si>
    <t>1_RESIDENTIAL SERVICE CLASSIFICATION</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</si>
  <si>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</si>
  <si>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</si>
  <si>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</si>
  <si>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1_RESIDENTIAL SERVICE CLASSIFICATION_MSC</t>
  </si>
  <si>
    <t>1_RESIDENTIAL SERVICE CLASSIFICATION_SME</t>
  </si>
  <si>
    <t>1_RESIDENTIAL SERVICE CLASSIFICATION_DVC</t>
  </si>
  <si>
    <t>1_RESIDENTIAL SERVICE CLASSIFICATION_LV</t>
  </si>
  <si>
    <t>1_RESIDENTIAL SERVICE CLASSIFICATION_GA_kwh</t>
  </si>
  <si>
    <t>1_RESIDENTIAL SERVICE CLASSIFICATION_LRAM</t>
  </si>
  <si>
    <t>1_RESIDENTIAL SERVICE CLASSIFICATION_DEFVAR_ALL</t>
  </si>
  <si>
    <t>1_RESIDENTIAL SERVICE CLASSIFICATION_Retail Transmission Rate - Network Service Rate</t>
  </si>
  <si>
    <t>1_RESIDENTIAL SERVICE CLASSIFICATION_Retail Transmission Rate - Line and Transformation Connection Service Rate</t>
  </si>
  <si>
    <t>1_RESIDENTIAL SERVICE CLASSIFICATION_WMSR</t>
  </si>
  <si>
    <t>1_RESIDENTIAL SERVICE CLASSIFICATION_RRRP</t>
  </si>
  <si>
    <t>1_RESIDENTIAL SERVICE CLASSIFICATION_SSS</t>
  </si>
  <si>
    <t>GENERAL SERVICE LESS THAN 50 KW SERVICE CLASSIFICATION</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</si>
  <si>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</si>
  <si>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GENERAL SERVICE 50 TO 999 KW SERVICE CLASSIFICATION</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</si>
  <si>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</si>
  <si>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3_MRC_Reg</t>
  </si>
  <si>
    <t>GENERAL SERVICE 1,000 TO 4,999 KW SERVICE CLASSIFICATION</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</si>
  <si>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</si>
  <si>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4_APPLICATION</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</si>
  <si>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</si>
  <si>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4_MRC_Del</t>
  </si>
  <si>
    <t>4_MRC_Reg</t>
  </si>
  <si>
    <t>5_LARGE USE SERVICE CLASSIFICATION</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</si>
  <si>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</si>
  <si>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5_LARGE USE SERVICE CLASSIFICATION_MSC</t>
  </si>
  <si>
    <t>5_LARGE USE SERVICE CLASSIFICATION_DVC</t>
  </si>
  <si>
    <t>5_LARGE USE SERVICE CLASSIFICATION_LV</t>
  </si>
  <si>
    <t>5_LARGE USE SERVICE CLASSIFICATION_LRAM</t>
  </si>
  <si>
    <t>5_LARGE USE SERVICE CLASSIFICATION_DEFVAR_ALL</t>
  </si>
  <si>
    <t>5_LARGE USE SERVICE CLASSIFICATION_WMSR</t>
  </si>
  <si>
    <t>5_LARGE USE SERVICE CLASSIFICATION_RRRP</t>
  </si>
  <si>
    <t>5_LARGE USE SERVICE CLASSIFICATION_SSS</t>
  </si>
  <si>
    <t>6_UNMETERED SCATTERED LOAD SERVICE CLASSIFICATION</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</si>
  <si>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</si>
  <si>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CLASSIFICATION_MSC</t>
  </si>
  <si>
    <t>6_UNMETERED SCATTERED LOAD SERVICE CLASSIFICATION_DVC</t>
  </si>
  <si>
    <t>6_UNMETERED SCATTERED LOAD SERVICE CLASSIFICATION_LV</t>
  </si>
  <si>
    <t>6_UNMETERED SCATTERED LOAD SERVICE CLASSIFICATION_LRAM</t>
  </si>
  <si>
    <t>6_UNMETERED SCATTERED LOAD SERVICE CLASSIFICATION_DEFVAR_ALL</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</si>
  <si>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</si>
  <si>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</si>
  <si>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</si>
  <si>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</si>
  <si>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</si>
  <si>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</si>
  <si>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</si>
  <si>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7_SENTINEL LIGHTING SERVICE CLASSIFICATION_MSC</t>
  </si>
  <si>
    <t>7_SENTINEL LIGHTING SERVICE CLASSIFICATION_DVC</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</si>
  <si>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</si>
  <si>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</si>
  <si>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</si>
  <si>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</si>
  <si>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CLASSIFICATION_Retail Transmission Rate - Network Service Rate</t>
  </si>
  <si>
    <t>7_SENTINEL LIGHTING SERVICE CLASSIFICATION_Retail Transmission Rate - Line and Transformation Connection Service Rate</t>
  </si>
  <si>
    <t>7_MRC_Reg</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</si>
  <si>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</si>
  <si>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</si>
  <si>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</si>
  <si>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</si>
  <si>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</si>
  <si>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8_APPLICATION</t>
  </si>
  <si>
    <t>8_MRC_Del</t>
  </si>
  <si>
    <t>8_STREET LIGHTING SERVICE CLASSIFICATION_MSC</t>
  </si>
  <si>
    <t>8_STREET LIGHTING SERVICE CLASSIFICATION_DVC</t>
  </si>
  <si>
    <t>8_STREET LIGHTING SERVICE CLASSIFICATION_LV</t>
  </si>
  <si>
    <t>8_STREET LIGHTING SERVICE CLASSIFICATION_GA_kwh</t>
  </si>
  <si>
    <t>8_STREET LIGHTING SERVICE CLASSIFICATION_LRAM</t>
  </si>
  <si>
    <t>8_STREET LIGHTING SERVICE CLASSIFICATION_DEFVAR_ALL</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</si>
  <si>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</si>
  <si>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</si>
  <si>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</si>
  <si>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</si>
  <si>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</si>
  <si>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</si>
  <si>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</si>
  <si>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9_APPLICATION</t>
  </si>
  <si>
    <t>9_MRC_Del</t>
  </si>
  <si>
    <t>9_microFIT SERVICE CLASSIFICATION_MSC</t>
  </si>
  <si>
    <t>Bluewater Power Distribution Corporation_ALLOWANCES</t>
  </si>
  <si>
    <t>Bluewater Power Distribution Corporation_SSC</t>
  </si>
  <si>
    <t>Bluewater Power Distribution Corporation_CA</t>
  </si>
  <si>
    <t>Collection of account charge - no disconnection</t>
  </si>
  <si>
    <t>Specific charge for access to the power poles - $/pole/year                                                                                                                                                                                                                                                                                                                                                                                                                                         (with the exception of wireless attachments)</t>
  </si>
  <si>
    <t>Bluewater Power Distribution Corporation_RSC</t>
  </si>
  <si>
    <t>Retail Service Charges refer to services provided by a distributor to retailers or customers related to the supply of competitive electricity.</t>
  </si>
  <si>
    <t>Service Transaction Requests (STR)</t>
  </si>
  <si>
    <t>Electronic Business Transaction (EBT) system, applied to the requesting party</t>
  </si>
  <si>
    <t>Bluewater Power Distribution Corporation_LFs</t>
  </si>
  <si>
    <t>Total Loss Factor - Secondary Metered Customer &lt; 5,000 kW</t>
  </si>
  <si>
    <t>Total Loss Factor - Secondary Metered Customer &gt; 5,000 kW</t>
  </si>
  <si>
    <t>Total Loss Factor - Primary Metered Customer &lt; 5,000 kW</t>
  </si>
  <si>
    <t>Total Loss Factor - Primary Metered Customer &gt; 5,000 kW</t>
  </si>
  <si>
    <t>Bluewater Power Distribution Corporation_End</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</si>
  <si>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</si>
  <si>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</si>
  <si>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MONTHLY RATES AND CHARGES</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</si>
  <si>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</si>
  <si>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6_LARGE USE SERVICE CLASSIFICATION</t>
  </si>
  <si>
    <t>6_LARGE USE SERVICE CLASSIFICATION_MSC</t>
  </si>
  <si>
    <t>6_LARGE USE SERVICE CLASSIFICATION_DVC</t>
  </si>
  <si>
    <t>6_LARGE USE SERVICE CLASSIFICATION_GA_kwh</t>
  </si>
  <si>
    <t>6_LARGE USE SERVICE CLASSIFICATION_DEFVAR_ALL</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</si>
  <si>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</si>
  <si>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</si>
  <si>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</si>
  <si>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</si>
  <si>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</si>
  <si>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7_UNMETERED SCATTERED LOAD SERVICE CLASSIFICATION</t>
  </si>
  <si>
    <t>7_UNMETERED SCATTERED LOAD SERVICE CLASSIFICATION_MSC</t>
  </si>
  <si>
    <t>7_UNMETERED SCATTERED LOAD SERVICE CLASSIFICATION_DVC</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</si>
  <si>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</si>
  <si>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</si>
  <si>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</si>
  <si>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</si>
  <si>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</si>
  <si>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9_STANDBY POWER SERVICE CLASSIFICATION</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</si>
  <si>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</si>
  <si>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</si>
  <si>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10_APPLICATION</t>
  </si>
  <si>
    <t>10_MRC_Del</t>
  </si>
  <si>
    <t>10_MRC_Reg</t>
  </si>
  <si>
    <t>11_APPLICATION</t>
  </si>
  <si>
    <t>11_MRC_Del</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</si>
  <si>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</si>
  <si>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12_APPLICATION</t>
  </si>
  <si>
    <t>12_MRC_Del</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</si>
  <si>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</si>
  <si>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 xml:space="preserve">   General Service less than 50 kW Classification</t>
  </si>
  <si>
    <t>Arrears certificate</t>
  </si>
  <si>
    <t>Special billing service (aggregation)</t>
  </si>
  <si>
    <t>Special billing service (sub-metering charge per meter)</t>
  </si>
  <si>
    <t>Owner requested disconnection/reconnection - during regular hours</t>
  </si>
  <si>
    <t>Owner requested disconnection/reconnection - after regular hours</t>
  </si>
  <si>
    <t>Brantford Power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</si>
  <si>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</si>
  <si>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1_RESIDENTIAL SERVICE CLASSIFICATION_SMA</t>
  </si>
  <si>
    <t>This classification refers to a non residential account taking electricity at 750 volts or less whose monthly average peak demand is less than, or is forecast to be less than, 50 kW.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</si>
  <si>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</si>
  <si>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electricity distributor licensed by the Ontario Energy Board that is provided electricity by means of this distributor’s facilities. Further servicing details are available in the distributor’s Conditions of Service.</t>
  </si>
  <si>
    <t>MONTHLY RATES AND CHARGES - Approved on an Interim Basis</t>
  </si>
  <si>
    <t>6_microFIT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</si>
  <si>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</si>
  <si>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6_microFIT SERVICE CLASSIFICATION_MSC</t>
  </si>
  <si>
    <t>This classification refers to accounts that are an unmetered lighting load supplied to a sentinel light.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</si>
  <si>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</si>
  <si>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</si>
  <si>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9_MRC_Reg</t>
  </si>
  <si>
    <t>Standby Charge - for a month where standby power is not provided. The charge is applied to the contracted amount
(e.g. nameplate rating of the generation facility).</t>
  </si>
  <si>
    <t>Brantford Power Inc._ALLOWANCES</t>
  </si>
  <si>
    <t>Brantford Power Inc._SSC</t>
  </si>
  <si>
    <t>It should be noted that this schedule does not list any charges, assessments or credits that are required by law to be invoiced by a distributor and that are not subject to Ontario Energy Board approval, such as the Debt Retirement Charge, the Global Adjustment and the HST.</t>
  </si>
  <si>
    <t>Brantford Power Inc._CA</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</si>
  <si>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</si>
  <si>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</si>
  <si>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</si>
  <si>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Brantford Power Inc._NPoA</t>
  </si>
  <si>
    <t xml:space="preserve">        Temporary service install &amp; remove - overhead - no transformer</t>
  </si>
  <si>
    <t xml:space="preserve">        Meter removal without authorization</t>
  </si>
  <si>
    <t>Brantford Power Inc._RSC</t>
  </si>
  <si>
    <t>Brantford Power Inc._LFs</t>
  </si>
  <si>
    <t>Brantford Power Inc._End</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</si>
  <si>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</si>
  <si>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</si>
  <si>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</si>
  <si>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</si>
  <si>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4_UNMETERED SCATTERED LOAD SERVICE CLASSIFICATION</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</si>
  <si>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</si>
  <si>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CLASSIFICATION_MSC</t>
  </si>
  <si>
    <t>4_UNMETERED SCATTERED LOAD SERVICE CLASSIFICATION_DVC</t>
  </si>
  <si>
    <t>4_UNMETERED SCATTERED LOAD SERVICE CLASSIFICATION_LRAM</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</si>
  <si>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</si>
  <si>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</si>
  <si>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</si>
  <si>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</si>
  <si>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</si>
  <si>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</si>
  <si>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</si>
  <si>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</si>
  <si>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CLASSIFICATION_MSC</t>
  </si>
  <si>
    <t>5_STREET LIGHTING SERVICE CLASSIFICATION_DVC</t>
  </si>
  <si>
    <t>5_STREET LIGHTING SERVICE CLASSIFICATION_GA_kwh</t>
  </si>
  <si>
    <t>5_STREET LIGHTING SERVICE CLASSIFICATION_LRAM</t>
  </si>
  <si>
    <t>5_STREET LIGHTING SERVICE CLASSIFICATION_DEFVAR_ALL</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</si>
  <si>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</si>
  <si>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</si>
  <si>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</si>
  <si>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</si>
  <si>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</si>
  <si>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</si>
  <si>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Burlington Hydro Inc._ALLOWANCES</t>
  </si>
  <si>
    <t>Burlington Hydro Inc._SSC</t>
  </si>
  <si>
    <t>Burlington Hydro Inc._CA</t>
  </si>
  <si>
    <t>Temporary service - install &amp; remove - overhead - no transformer</t>
  </si>
  <si>
    <t>Specific charge for wireline access to the power poles - $/pole/year</t>
  </si>
  <si>
    <t>Burlington Hydro Inc._RSC</t>
  </si>
  <si>
    <t>Burlington Hydro Inc._LFs</t>
  </si>
  <si>
    <t>Burlington Hydro Inc._End</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</si>
  <si>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</si>
  <si>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</si>
  <si>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</si>
  <si>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</si>
  <si>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</si>
  <si>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</si>
  <si>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</si>
  <si>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</si>
  <si>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</si>
  <si>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4_GENERAL SERVICE 3,000 TO 4,999 KW SERVICE CLASSIFICATION</t>
  </si>
  <si>
    <t>4_GENERAL SERVICE 3,000 TO 4,999 KW SERVICE CLASSIFICATION_MSC</t>
  </si>
  <si>
    <t>4_GENERAL SERVICE 3,000 TO 4,999 KW SERVICE CLASSIFICATION_DVC</t>
  </si>
  <si>
    <t>4_GENERAL SERVICE 3,000 TO 4,999 KW SERVICE CLASSIFICATION_LV</t>
  </si>
  <si>
    <t>4_GENERAL SERVICE 3,000 TO 4,999 KW SERVICE CLASSIFICATION_Retail Transmission Rate - Network Service Rate</t>
  </si>
  <si>
    <t>4_GENERAL SERVICE 3,000 TO 4,999 KW SERVICE CLASSIFICATION_Retail Transmission Rate - Line and Transformation Connection Service Rate</t>
  </si>
  <si>
    <t>4_GENERAL SERVICE 3,000 TO 4,999 KW SERVICE CLASSIFICATION_WMSR</t>
  </si>
  <si>
    <t>4_GENERAL SERVICE 3,000 TO 4,999 KW SERVICE CLASSIFICATION_RRRP</t>
  </si>
  <si>
    <t>4_GENERAL SERVICE 3,000 TO 4,999 KW SERVICE CLASSIFICATION_SSS</t>
  </si>
  <si>
    <t>5_UNMETERED SCATTERED LOAD SERVICE CLASSIFICATION</t>
  </si>
  <si>
    <t>5_UNMETERED SCATTERED LOAD SERVICE CLASSIFICATION_MSC</t>
  </si>
  <si>
    <t>5_UNMETERED SCATTERED LOAD SERVICE CLASSIFICATION_DVC</t>
  </si>
  <si>
    <t>5_UNMETERED SCATTERED LOAD SERVICE CLASSIFICATION_LV</t>
  </si>
  <si>
    <t>5_UNMETERED SCATTERED LOAD SERVICE CLASSIFICATION_LRAM</t>
  </si>
  <si>
    <t>5_UNMETERED SCATTERED LOAD SERVICE CLASSIFICATION_Retail Transmission Rate - Network Service Rate</t>
  </si>
  <si>
    <t>5_UNMETERED SCATTERED LOAD SERVICE CLASSIFICATION_Retail Transmission Rate - Line and Transformation Connection Service Rate</t>
  </si>
  <si>
    <t>5_UNMETERED SCATTERED LOAD SERVICE CLASSIFICATION_WMSR</t>
  </si>
  <si>
    <t>5_UNMETERED SCATTERED LOAD SERVICE CLASSIFICATION_RRRP</t>
  </si>
  <si>
    <t>5_UNMETERED SCATTERED LOAD SERVICE CLASSIFICATION_SSS</t>
  </si>
  <si>
    <t>6_SENTINEL LIGHTING SERVICE CLASSIFICATION</t>
  </si>
  <si>
    <t>6_SENTINEL LIGHTING SERVICE CLASSIFICATION_MSC</t>
  </si>
  <si>
    <t>6_SENTINEL LIGHTING SERVICE CLASSIFICATION_DVC</t>
  </si>
  <si>
    <t>6_SENTINEL LIGHTING SERVICE CLASSIFICATION_LV</t>
  </si>
  <si>
    <t>6_SENTINEL LIGHTING SERVICE CLASSIFICATION_LRAM</t>
  </si>
  <si>
    <t>6_SENTINEL LIGHTING SERVICE CLASSIFICATION_Retail Transmission Rate - Network Service Rate</t>
  </si>
  <si>
    <t>6_SENTINEL LIGHTING SERVICE CLASSIFICATION_Retail Transmission Rate - Line and Transformation Connection Service Rate</t>
  </si>
  <si>
    <t>6_SENTINEL LIGHTING SERVICE CLASSIFICATION_WMSR</t>
  </si>
  <si>
    <t>6_SENTINEL LIGHTING SERVICE CLASSIFICATION_RRRP</t>
  </si>
  <si>
    <t>6_SENTINEL LIGHTING SERVICE CLASSIFICATION_SSS</t>
  </si>
  <si>
    <t>7_STREET LIGHTING SERVICE CLASSIFICATION</t>
  </si>
  <si>
    <t>7_STREET LIGHTING SERVICE CLASSIFICATION_MSC</t>
  </si>
  <si>
    <t>7_STREET LIGHTING SERVICE CLASSIFICATION_DVC</t>
  </si>
  <si>
    <t>7_STREET LIGHTING SERVICE CLASSIFICATION_LV</t>
  </si>
  <si>
    <t>7_STREET LIGHTING SERVICE CLASSIFICATION_LRAM</t>
  </si>
  <si>
    <t>7_STREET LIGHTING SERVICE CLASSIFICATION_Retail Transmission Rate - Network Service Rate</t>
  </si>
  <si>
    <t>7_STREET LIGHTING SERVICE CLASSIFICATION_Retail Transmission Rate - Line and Transformation Connection Service Rate</t>
  </si>
  <si>
    <t>7_STREET LIGHTING SERVICE CLASSIFICATION_WMSR</t>
  </si>
  <si>
    <t>7_STREET LIGHTING SERVICE CLASSIFICATION_RRRP</t>
  </si>
  <si>
    <t>7_STREET LIGHTING SERVICE CLASSIFICATION_SSS</t>
  </si>
  <si>
    <t>8_microFIT SERVICE CLASSIFICATION</t>
  </si>
  <si>
    <t>8_microFIT SERVICE CLASSIFICATION_MSC</t>
  </si>
  <si>
    <t>Temporary service - install &amp; remove - underground - no transformer</t>
  </si>
  <si>
    <t>Temporary service - install &amp; remove - overhead - with transformer</t>
  </si>
  <si>
    <t>Specific charge for access to the power poles - $/pole/year</t>
  </si>
  <si>
    <t xml:space="preserve"> (with the exception of wireless attachments) </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</si>
  <si>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</si>
  <si>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</si>
  <si>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6_STREET LIGHTING SERVICE CLASSIFICATION_LV</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</si>
  <si>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</si>
  <si>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Temporary service - installation and removal - underground - no transformer</t>
  </si>
  <si>
    <t>Temporary service - installation and removal - overhead - with transformer</t>
  </si>
  <si>
    <t>Specific charge for access to the power poles - $/pole/year
(with the exception of wireless attachments)</t>
  </si>
  <si>
    <t>Canadian Niagara Power Inc._Start</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</si>
  <si>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</si>
  <si>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</si>
  <si>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Rate Rider for Disposition of MIST Meters (2017) - effective until December 31, 2021</t>
  </si>
  <si>
    <t>Rate Rider for Disposition of Stranded Meters (2017) - effective until December 31, 2021</t>
  </si>
  <si>
    <t xml:space="preserve">Distribution Volumetric Rate  </t>
  </si>
  <si>
    <t>4_EMBEDDED DISTRIBUTOR SERVICE CLASSIFICATION</t>
  </si>
  <si>
    <t>This classification applies to an electricity distributor licensed by the Board, that is provided electricity by means of this distributor’s facilities.  Further servicing details are available in the distributor’s Conditions of Service.</t>
  </si>
  <si>
    <t>4_EMBEDDED DISTRIBUTOR SERVICE CLASSIFICATION_MSC</t>
  </si>
  <si>
    <t>4_EMBEDDED DISTRIBUTOR SERVICE CLASSIFICATION_DVC</t>
  </si>
  <si>
    <t>4_EMBEDDED DISTRIBUTOR SERVICE CLASSIFICATION_LV</t>
  </si>
  <si>
    <t>4_EMBEDDED DISTRIBUTOR SERVICE CLASSIFICATION_GA_kwh</t>
  </si>
  <si>
    <t>4_EMBEDDED DISTRIBUTOR SERVICE CLASSIFICATION_DEFVAR_ALL</t>
  </si>
  <si>
    <t>4_EMBEDDED DISTRIBUTOR SERVICE CLASSIFICATION_Retail Transmission Rate - Network Service Rate</t>
  </si>
  <si>
    <t>4_EMBEDDED DISTRIBUTOR SERVICE CLASSIFICATION_Retail Transmission Rate - Line and Transformation Connection Service Rate</t>
  </si>
  <si>
    <t>4_EMBEDDED DISTRIBUTOR SERVICE CLASSIFICATION_WMSR</t>
  </si>
  <si>
    <t>4_EMBEDDED DISTRIBUTOR SERVICE CLASSIFICATION_RRRP</t>
  </si>
  <si>
    <t>4_EMBEDDED DISTRIBUTOR SERVICE CLASSIFICATION_SSS</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</si>
  <si>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</si>
  <si>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5_UNMETERED SCATTERED LOAD SERVICE CLASSIFICATION_GA_kwh</t>
  </si>
  <si>
    <t>5_UNMETERED SCATTERED LOAD SERVICE CLASSIFICATION_DEFVAR_ALL</t>
  </si>
  <si>
    <t>6_STANDBY POWER SERVICE CLASSIFICATION</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</si>
  <si>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</si>
  <si>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</si>
  <si>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MONTHLY RATES AND CHARGES - APPROVED ON AN INTERIM BASIS</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</si>
  <si>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</si>
  <si>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</si>
  <si>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</si>
  <si>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</si>
  <si>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</si>
  <si>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</si>
  <si>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Specific charge for access to the power poles - per pole/year                                                                                                                                                                                                                                                                                                                                                             (with the exception of wireless attachments)</t>
  </si>
  <si>
    <t>Canadian Niagara Power Inc._RSC</t>
  </si>
  <si>
    <t>Canadian Niagara Power Inc._LFs</t>
  </si>
  <si>
    <t>Canadian Niagara Power Inc._End</t>
  </si>
  <si>
    <t>Northern Ontario Wires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</si>
  <si>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</si>
  <si>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</si>
  <si>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</si>
  <si>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</si>
  <si>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CLASSIFICATION_LV</t>
  </si>
  <si>
    <t>4_UNMETERED SCATTERED LOAD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</si>
  <si>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</si>
  <si>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</si>
  <si>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</si>
  <si>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Northern Ontario Wires Inc._ALLOWANCES</t>
  </si>
  <si>
    <t>Northern Ontario Wires Inc._SSC</t>
  </si>
  <si>
    <t>Northern Ontario Wires Inc._CA</t>
  </si>
  <si>
    <t>Northern Ontario Wires Inc._RSC</t>
  </si>
  <si>
    <t>Retail Service Charges refer to services provided by a distributor to retailers or customers related to the supply of competitive electricity</t>
  </si>
  <si>
    <t>Northern Ontario Wires Inc._LFs</t>
  </si>
  <si>
    <t>Northern Ontario Wires Inc._End</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</si>
  <si>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</si>
  <si>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</si>
  <si>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5_SENTINEL LIGHTING SERVICE CLASSIFICATION</t>
  </si>
  <si>
    <t>5_SENTINEL LIGHTING SERVICE CLASSIFICATION_MSC</t>
  </si>
  <si>
    <t>5_SENTINEL LIGHTING SERVICE CLASSIFICATION_DVC</t>
  </si>
  <si>
    <t>5_SENTINEL LIGHTING SERVICE CLASSIFICATION_LV</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</si>
  <si>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</si>
  <si>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</si>
  <si>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</si>
  <si>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</si>
  <si>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</si>
  <si>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 xml:space="preserve"> (with the exception of wireless attachments)</t>
  </si>
  <si>
    <t>5_LARGE USE SERVICE CLASSIFICATION_Retail Transmission Rate - Network Service Rate</t>
  </si>
  <si>
    <t>5_LARGE USE SERVICE CLASSIFICATION_Retail Transmission Rate - Line and Transformation Connection Service Rate</t>
  </si>
  <si>
    <t>8_EMBEDDED DISTRIBUTOR SERVICE CLASSIFICATION</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</si>
  <si>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</si>
  <si>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</si>
  <si>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</si>
  <si>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</si>
  <si>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</si>
  <si>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Service call - customer-owned equipment - after regular hours</t>
  </si>
  <si>
    <t xml:space="preserve">This schedule supersedes and replaces all previously </t>
  </si>
  <si>
    <t>GENERAL SERVICE 50 TO 499 KW SERVICE CLASSIFICATION</t>
  </si>
  <si>
    <t>Billing demands are established at the greater of 100% of the kW, or 90% of the kVA amounts.</t>
  </si>
  <si>
    <t>GENERAL SERVICE 500 TO 4,999 KW SERVICE CLASSIFICATION</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</si>
  <si>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</si>
  <si>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 xml:space="preserve">Retail Transmission Rate - Line and Transformation Connection Service Rate </t>
  </si>
  <si>
    <t>6_LARGE USE SERVICE CLASSIFICATION_LV</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</si>
  <si>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</si>
  <si>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</si>
  <si>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8_UNMETERED SCATTERED LOAD SERVICE CLASSIFICATION</t>
  </si>
  <si>
    <t>8_UNMETERED SCATTERED LOAD SERVICE CLASSIFICATION_MSC</t>
  </si>
  <si>
    <t>8_UNMETERED SCATTERED LOAD SERVICE CLASSIFICATION_DVC</t>
  </si>
  <si>
    <t>8_UNMETERED SCATTERED LOAD SERVICE CLASSIFICATION_GA_kwh</t>
  </si>
  <si>
    <t>8_UNMETERED SCATTERED LOAD SERVICE CLASSIFICATION_DEFVAR_ALL</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</si>
  <si>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</si>
  <si>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</si>
  <si>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</si>
  <si>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</si>
  <si>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</si>
  <si>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9_STREET LIGHTING SERVICE CLASSIFICATION</t>
  </si>
  <si>
    <t>Service Charge (per luminaire)</t>
  </si>
  <si>
    <t>9_STREET LIGHTING SERVICE CLASSIFICATION_MSC</t>
  </si>
  <si>
    <t>9_STREET LIGHTING SERVICE CLASSIFICATION_DVC</t>
  </si>
  <si>
    <t>9_STREET LIGHTING SERVICE CLASSIFICATION_LV</t>
  </si>
  <si>
    <t>9_STREET LIGHTING SERVICE CLASSIFICATION_GA_kwh</t>
  </si>
  <si>
    <t>9_STREET LIGHTING SERVICE CLASSIFICATION_DEFVAR_ALL</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</si>
  <si>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</si>
  <si>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</si>
  <si>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</si>
  <si>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</si>
  <si>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</si>
  <si>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</si>
  <si>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10_microFIT SERVICE CLASSIFICATION_MSC</t>
  </si>
  <si>
    <t>Temporary service install and remove - overhead - no transformer</t>
  </si>
  <si>
    <t>Retail Service Charges refer to services provided by a distributor to retailers or customers related to the supply of</t>
  </si>
  <si>
    <t>competitive electricity</t>
  </si>
  <si>
    <t xml:space="preserve">Request for customer information as outlined in Section 10.6.3 and Chapter 11 of the Retail </t>
  </si>
  <si>
    <t xml:space="preserve">Settlement Code directly to retailers and customers, if not delivered electronically through the </t>
  </si>
  <si>
    <t>6_UNMETERED SCATTERED LOAD SERVICE CLASSIFICATION_GA_kwh</t>
  </si>
  <si>
    <t>9_EMBEDDED DISTRIBUTOR SERVICE CLASSIFICATION</t>
  </si>
  <si>
    <t>9_EMBEDDED DISTRIBUTOR SERVICE CLASSIFICATION_MSC</t>
  </si>
  <si>
    <t>9_EMBEDDED DISTRIBUTOR SERVICE CLASSIFICATION_Retail Transmission Rate - Network Service Rate</t>
  </si>
  <si>
    <t>9_EMBEDDED DISTRIBUTOR SERVICE CLASSIFICATION_Retail Transmission Rate - Line and Transformation Connection Service Rate</t>
  </si>
  <si>
    <t>9_EMBEDDED DISTRIBUTOR SERVICE CLASSIFICATION_WMSR</t>
  </si>
  <si>
    <t>9_EMBEDDED DISTRIBUTOR SERVICE CLASSIFICATION_RRRP</t>
  </si>
  <si>
    <t>9_EMBEDDED DISTRIBUTOR SERVICE CLASSIFICATION_SSS</t>
  </si>
  <si>
    <t>Oshawa PUC Networks Inc._Start</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</si>
  <si>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</si>
  <si>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</si>
  <si>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</si>
  <si>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charges, assessments or credits that are required by law to be invoiced by a distributor and that are not subject to Ontario Energy Board approval, such as the Debt Retirement Charge, the Global Adjustment and the HST.  </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</si>
  <si>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</si>
  <si>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</si>
  <si>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</si>
  <si>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</si>
  <si>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</si>
  <si>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</si>
  <si>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</si>
  <si>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Transformer Allowance for Ownership</t>
  </si>
  <si>
    <t>Oshawa PUC Networks Inc._SSC</t>
  </si>
  <si>
    <t>Oshawa PUC Networks Inc._CA</t>
  </si>
  <si>
    <t>Oshawa PUC Networks Inc._NPoA</t>
  </si>
  <si>
    <t>Oshawa PUC Networks Inc._RSC</t>
  </si>
  <si>
    <t>Request for customer information as outlined in Section 10.6.3 and Chapter 11 of the Retail Settlement Code directly to retailers and customers, if not delivered electronically through the Electronic Business Transaction (EBT) system, applied to the requesting party</t>
  </si>
  <si>
    <t>No charge</t>
  </si>
  <si>
    <t>Oshawa PUC Networks Inc._LFs</t>
  </si>
  <si>
    <t>Oshawa PUC Networks Inc._End</t>
  </si>
  <si>
    <t>Greater Sudbury Hydro Inc._Start</t>
  </si>
  <si>
    <t>To qualify for General Service Less Than 50 kW Rates an electrical service shall meet all of the following conditions:
• The electrical service shall not qualify as a Residential Rate Class service.
• The electrical service shall have a peak demand less than 50 kilowatts for seven or more months in any twelve month period.
• New connections will be classified based on the rating, in amperes, of the main switch or sum of main switches.
The General Service Less Than 50 kW Rate Class includes those Residential Rate Class customers that are not in detached, semi-detached or duplex dwelling units. The General Service Rate Class also includes subdivision developments and all General Service Rate Class customers. Further servicing details are available in the distributor’s Conditions of Service.
Class B consumers are defined in accordance with O. Reg. 429/04. Further servicing details are available in the distributor’s Conditions of Service.</t>
  </si>
  <si>
    <t>To qualify for General Service 50 to 4,999 kW Rates, an electrical service shall meet all of the following conditions:
• The electrical service shall not qualify as a Residential Rate Class service.
• The electrical service shall not qualify as a General Service Less Than 50 kW Rate Class service.
• New customers will be classified based on the rating, in amperes, of the main switch or sum of main switches. 
Class A and Class B customers are defined in accordance with O.Reg.429/04.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</si>
  <si>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</si>
  <si>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light.Class B consumers are defined in accordance with O. Reg. 429/04. Further servicing details are available in the distributor’s Conditions of Service.</t>
  </si>
  <si>
    <t>5_SENTINEL LIGHTING SERVICE CLASSIFICATION_GA_kwh</t>
  </si>
  <si>
    <t>5_SENTINEL LIGHTING SERVICE CLASSIFICATION_DEFVAR_ALL</t>
  </si>
  <si>
    <t>Greater Sudbury Hydro Inc._ALLOWANCES</t>
  </si>
  <si>
    <t>Greater Sudbury Hydro Inc._SSC</t>
  </si>
  <si>
    <t>Greater Sudbury Hydro Inc._CA</t>
  </si>
  <si>
    <t>Greater Sudbury Hydro Inc._RSC</t>
  </si>
  <si>
    <t>Greater Sudbury Hydro Inc._End</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</si>
  <si>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</si>
  <si>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</si>
  <si>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</si>
  <si>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</si>
  <si>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</si>
  <si>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</si>
  <si>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</si>
  <si>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</si>
  <si>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</si>
  <si>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</si>
  <si>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</si>
  <si>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</si>
  <si>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</si>
  <si>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</si>
  <si>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</si>
  <si>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</si>
  <si>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</si>
  <si>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</si>
  <si>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</si>
  <si>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</si>
  <si>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</si>
  <si>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</si>
  <si>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</si>
  <si>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</si>
  <si>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</si>
  <si>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</si>
  <si>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</si>
  <si>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CLASSIFICATION_WMSR</t>
  </si>
  <si>
    <t>5_GENERAL SERVICE 3,000 TO 4,999 KW SERVICE CLASSIFICATION_RRRP</t>
  </si>
  <si>
    <t>5_GENERAL SERVICE 3,000 TO 4,999 KW SERVICE CLASSIFICATION_SSS</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</si>
  <si>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</si>
  <si>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7_UNMETERED SCATTERED LOAD SERVICE CLASSIFICATION_LV</t>
  </si>
  <si>
    <t>8_SENTINEL LIGHTING SERVICE CLASSIFICATION</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</si>
  <si>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</si>
  <si>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8_SENTINEL LIGHTING SERVICE CLASSIFICATION_MSC</t>
  </si>
  <si>
    <t>8_SENTINEL LIGHTING SERVICE CLASSIFICATION_DVC</t>
  </si>
  <si>
    <t>8_SENTINEL LIGHTING SERVICE CLASSIFICATION_LV</t>
  </si>
  <si>
    <t>8_SENTINEL LIGHTING SERVICE CLASSIFICATION_DEFVAR_ALL</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</si>
  <si>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</si>
  <si>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</si>
  <si>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</si>
  <si>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</si>
  <si>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</si>
  <si>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</si>
  <si>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9_STREET LIGHTING SERVICE CLASSIFICATION_LRAM</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</si>
  <si>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</si>
  <si>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Customer substation isolation - after hours</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</si>
  <si>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</si>
  <si>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</si>
  <si>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</si>
  <si>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</si>
  <si>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</si>
  <si>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</si>
  <si>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</si>
  <si>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</si>
  <si>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</si>
  <si>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</si>
  <si>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</si>
  <si>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</si>
  <si>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Fort Frances Power Corporation_RSC</t>
  </si>
  <si>
    <t>Fort Frances Power Corporation_LFs</t>
  </si>
  <si>
    <t>Fort Frances Power Corporation_End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</si>
  <si>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</si>
  <si>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</si>
  <si>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</si>
  <si>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</si>
  <si>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This classification applies to a non-residential customer that is identified by the billing system as registering under 50 kW on a demand meter in any one month of the year.  Class A and Class B consumers are defined in accordance with O. Reg. 429/04. Further servicing details are available in the distributor’s Conditions of Service.</t>
  </si>
  <si>
    <t>This classification applies to a non-residential customer that is identified by the billing system as registering equal to or over 50 kW on a demand meter in any one month of the year. Class A and Class B consumers are defined in accordance with O. Reg. 429/04. Further servicing details are available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</si>
  <si>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</si>
  <si>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</si>
  <si>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7_EMBEDDED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</si>
  <si>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</si>
  <si>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7_EMBEDDED DISTRIBUTOR SERVICE CLASSIFICATION_MSC</t>
  </si>
  <si>
    <t>7_EMBEDDED DISTRIBUTOR SERVICE CLASSIFICATION_DVC</t>
  </si>
  <si>
    <t>7_EMBEDDED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</si>
  <si>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</si>
  <si>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</si>
  <si>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Incorporated_ALLOWANCES</t>
  </si>
  <si>
    <t>Grimsby Power Incorporated_SSC</t>
  </si>
  <si>
    <t>Grimsby Power Incorporated_CA</t>
  </si>
  <si>
    <t xml:space="preserve">     Arrears certificate</t>
  </si>
  <si>
    <t xml:space="preserve">     Statement of account</t>
  </si>
  <si>
    <t xml:space="preserve">     Pulling post dated cheques</t>
  </si>
  <si>
    <t xml:space="preserve">     Duplicate invoices for previous billing</t>
  </si>
  <si>
    <t xml:space="preserve">     Easement letter</t>
  </si>
  <si>
    <t xml:space="preserve">     Account history</t>
  </si>
  <si>
    <t xml:space="preserve">     Credit reference/credit check (plus credit agency costs)</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</si>
  <si>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</si>
  <si>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</si>
  <si>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</si>
  <si>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</si>
  <si>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</si>
  <si>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</si>
  <si>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Interval meter interrogation</t>
  </si>
  <si>
    <t>Grimsby Power Incorporated_NPoA</t>
  </si>
  <si>
    <t xml:space="preserve">     Service call - customer-owned equipment</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</si>
  <si>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</si>
  <si>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</si>
  <si>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</si>
  <si>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</si>
  <si>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 per pole/year</t>
  </si>
  <si>
    <t xml:space="preserve">     (with the exception of wireless attachments)</t>
  </si>
  <si>
    <t>Grimsby Power Incorporated_RSC</t>
  </si>
  <si>
    <t>Grimsby Power Incorporated_LFs</t>
  </si>
  <si>
    <t>Grimsby Power Incorporated_End</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</si>
  <si>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</si>
  <si>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</si>
  <si>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</si>
  <si>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</si>
  <si>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</si>
  <si>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</si>
  <si>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</si>
  <si>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</si>
  <si>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6_SENTINEL LIGHTING SERVICE CLASSIFICATION_DEFVAR_ALL</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</si>
  <si>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</si>
  <si>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7_STREET LIGHTING SERVICE CLASSIFICATION_DEFVAR_ALL</t>
  </si>
  <si>
    <t>Halton Hills Hydro Inc._ALLOWANCES</t>
  </si>
  <si>
    <t>Halton Hills Hydro Inc._SSC</t>
  </si>
  <si>
    <t>Halton Hills Hydro Inc._CA</t>
  </si>
  <si>
    <t xml:space="preserve">Other </t>
  </si>
  <si>
    <t>Temporary service install &amp; remove - overhead - no transformer</t>
  </si>
  <si>
    <t>Interval meter charge</t>
  </si>
  <si>
    <t>Halton Hills Hydro Inc._RSC</t>
  </si>
  <si>
    <t>Halton Hills Hydro Inc._LFs</t>
  </si>
  <si>
    <t>Halton Hills Hydro Inc._End</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</si>
  <si>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</si>
  <si>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</si>
  <si>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</si>
  <si>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</si>
  <si>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</si>
  <si>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</si>
  <si>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</si>
  <si>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</si>
  <si>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</si>
  <si>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</si>
  <si>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</si>
  <si>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</si>
  <si>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</si>
  <si>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</si>
  <si>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</si>
  <si>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</si>
  <si>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time and materials</t>
  </si>
  <si>
    <t xml:space="preserve">Temporary service install and remove - overhead - no transformer </t>
  </si>
  <si>
    <t>Temporary service install and remove - underground - no transformer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</si>
  <si>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</si>
  <si>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</si>
  <si>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</si>
  <si>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Service Charge (per device)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</si>
  <si>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</si>
  <si>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that has Load Displacement Generation and requires the distributor to provide back-up service.  Further servicing details are available in the distributor’s Conditions of Service.</t>
  </si>
  <si>
    <t>MONTHLY RATES AND CHARGES - Delivery Component - APPROVED ON AN INTERIM BASIS</t>
  </si>
  <si>
    <t>Hydro One Networks Inc.-Former Haldimand County Hydro Inc. Service Area</t>
  </si>
  <si>
    <t>Hydro One Networks Inc.-Former Haldimand County Hydro Inc. Service Area_Start</t>
  </si>
  <si>
    <t>Rate Rider per Hydro One Networks’ Acquisition Agreement - effective until June 30, 2020</t>
  </si>
  <si>
    <t>1_RESIDENTIAL SERVICE CLASSIFICATION_FAREG</t>
  </si>
  <si>
    <t>Rate Rider per Hydro One Networks’ Acquisition Agreement (per connection) - effective until June 30, 2020</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</si>
  <si>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</si>
  <si>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EMBEDDED DISTRIBUTOR SERVICE CLASSIFICATION FOR HYDRO ONE NETWORKS INC.</t>
  </si>
  <si>
    <t>This classification applies to Hydro One Networks Inc., an electricity distributor licensed by the Ontario Energy Board, and provided electricity by means of Haldimand County Hydro Inc.’s distribution facilities. Class B consumers are defined in accordance with O. Reg. 429/04. Further servicing details are available in the distributor’s Conditions of Service.</t>
  </si>
  <si>
    <t>Total Loss Factor - Embedded Distributor - Hydro One Networks Inc.</t>
  </si>
  <si>
    <t>Hydro One Networks Inc.-Former Haldimand County Hydro Inc. Service Area_End</t>
  </si>
  <si>
    <t>Hydro One Networks Inc.-Former Norfolk Power Distribution Inc. Service Area</t>
  </si>
  <si>
    <t>Hydro One Networks Inc.-Former Norfolk Power Distribution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</si>
  <si>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</si>
  <si>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1_RESIDENTIAL SERVICE CLASSIFICATION_STS</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</si>
  <si>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</si>
  <si>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</si>
  <si>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6_UNMETERED SCATTERED LOAD SERVICE CLASSIFICATION_STS</t>
  </si>
  <si>
    <t>This classification refers to accounts that are unmetered lighting load supplied to a sentinel light. Class B consumers are defined in accordance with O. Reg. 429/04. Further servicing details are available in the distributor’s Conditions of Service.</t>
  </si>
  <si>
    <t>Pulling post-dated cheques</t>
  </si>
  <si>
    <t>Account set up charge / change of occupancy charge (plus credit agency costs if applicable)</t>
  </si>
  <si>
    <t>Hydro One Networks Inc.-Former Norfolk Power Distribution Inc. Service Area_End</t>
  </si>
  <si>
    <t>Hydro One Networks Inc.-Former Woodstock Hydro Services Inc. Service Area</t>
  </si>
  <si>
    <t>Hydro One Networks Inc.-Former Woodstock Hydro Services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</si>
  <si>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</si>
  <si>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per Hydro One Networks’ Acquisition Agreement - effective until October 30, 2020</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</si>
  <si>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</si>
  <si>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1,000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</si>
  <si>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</si>
  <si>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Hydro One Networks Inc._ALLOWANCES</t>
  </si>
  <si>
    <t>Hydro One Networks Inc._SSC</t>
  </si>
  <si>
    <t>Hydro One Networks Inc._CA</t>
  </si>
  <si>
    <t>Hydro One Networks Inc._RSC</t>
  </si>
  <si>
    <t>Hydro One Networks Inc._LFs</t>
  </si>
  <si>
    <t>Hydro One Networks Inc.-Former Woodstock Hydro Services Inc. Service Area_End</t>
  </si>
  <si>
    <t>Hydro Ottawa Limited_Start</t>
  </si>
  <si>
    <t>This classification includes accounts taking electricity at 120/240 volts single phase where the electricity is used exclusively in a separately metered living accommodation. Customers shall be residing in single-dwelling units that consist of a detached house or one unit of a semi-detached, duplex, triple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</si>
  <si>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non residential accounts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</si>
  <si>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</si>
  <si>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This classification refers to non residential accounts whose monthly average peak demand is equal to or greater than, or is forecast to be equal to or greater than, 50 kW but less than 1,500 kW. Class A and Class B consumers are defined in accordance with O. Reg. 429/04. Further servicing details are available in the distributor’s Conditions of Service.</t>
  </si>
  <si>
    <t>This classification refers to non residential accounts whose monthly average peak demand is equal to or greater than, or is forecast to be equal to or greater than, 1,500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</si>
  <si>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Ontario Energy Board, or as specified herein.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</si>
  <si>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</si>
  <si>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Board, or as specified herein.</t>
  </si>
  <si>
    <t>This classification includes accounts taking electricity at 120/240 volts single phase whose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Qualification for this classification is at the discretion of Hydro Ottawa as defined in its Conditions of Service.</t>
  </si>
  <si>
    <t>8_STANDBY POWER SERVICE CLASSIFICATION</t>
  </si>
  <si>
    <t>This classification refers to an account that has Load Displacement Generation equal to or greater than 500 kW and requires the distributor to provide back-up service.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</si>
  <si>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asthe Global Adjustment and the HST.</t>
  </si>
  <si>
    <t>8_STANDBY POWER SERVICE CLASSIFICATION_DVC</t>
  </si>
  <si>
    <t>General Service 1,500 TO 4,999 kW customer</t>
  </si>
  <si>
    <t>General Service Large User kW customer</t>
  </si>
  <si>
    <t>This classification refers to an account for roadway lighting with a Municipality, Regional Municipality, Ministry of Transportation and private roadway lighting controlled by photocells. The consumption for these customers is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</si>
  <si>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It should be noted that this schedule does not list any charges, assessements or credits that are required by law to be invoiced by a distributor and that are not subject to Ontario Energy Board approval, such as the Global Adjustment and the HST.</t>
  </si>
  <si>
    <t xml:space="preserve">Unless specifically noted, this schedule does not contain any charges for the electricity commodity, be it under the Regulated Price Plan, a contract with a retailer or the wholesale market price, as applicable. </t>
  </si>
  <si>
    <t>This classification applies to an electricity generation facility contracted under the Independent Electricity System Operator's FIT program and connected to the distributor's distribution system.  Further servicing details are available in the distributor's Conditions of Service.</t>
  </si>
  <si>
    <t>This classification applies to an electricity generation facility contracted under the Independent Electricity System Operator's HCI, RESOP and Other Energy Resource programs and connected to the distributor's distribution system.  Further servicing details are available in the distributor's Conditions of Service.</t>
  </si>
  <si>
    <t>Hydro Ottawa Limited_ALLOWANCES</t>
  </si>
  <si>
    <t>Hydro Ottawa Limited_SSC</t>
  </si>
  <si>
    <t>Hydro Ottawa Limited_CA</t>
  </si>
  <si>
    <t>Account certificate</t>
  </si>
  <si>
    <t>Special billing service per hour (min 1 hour, 15 min incremental billing thereafter)</t>
  </si>
  <si>
    <t>Unprocessed payment charge (plus bank charges)</t>
  </si>
  <si>
    <t>Disconnect/reconnect at meter - regular hours (under account administration - new account)</t>
  </si>
  <si>
    <t>Disconnect/reconnect at meter - after regular hours (under account administration - new account)</t>
  </si>
  <si>
    <t>Interval meter - field reading</t>
  </si>
  <si>
    <t>High bill investigation - if billing is correct</t>
  </si>
  <si>
    <t>Hydro Ottawa Limited_NPoA</t>
  </si>
  <si>
    <t>Dry core transformer distribution charge</t>
  </si>
  <si>
    <t>Per Attached Table</t>
  </si>
  <si>
    <t>Hydro Ottawa Limited_RSC</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</si>
  <si>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</si>
  <si>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Hydro Ottawa Limited_LFs</t>
  </si>
  <si>
    <t>Hydro Ottawa Limited_End</t>
  </si>
  <si>
    <t>All services supplied to single-family dwelling units for domestic or household purposes shall be classified as 
residential service. Subclasses would be:</t>
  </si>
  <si>
    <t xml:space="preserve">Overhead
      Transformers not on private property   
      Transformers on private property
 Underground
     Transformers not on private property
     Transformers on private property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</si>
  <si>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</si>
  <si>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t>
  </si>
  <si>
    <t xml:space="preserv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t>
  </si>
  <si>
    <t xml:space="preserve">For new installations, demand sizing is based on the main switch size in amps converted to kVA. Class A and Class B consumers are defined in accordance with O. Reg. 429/04. Further servicing details are available in the distributor’s Conditions of Service.       
</t>
  </si>
  <si>
    <t xml:space="preserve">This classification applies to an account whose average monthly maximum demand is less than, or is forecast to be less than, 50 kVA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</si>
  <si>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All service supplied to any electrical street lighting equipment owned by, or operated for, the City of Kenora that is 
used to illuminate roadways and sidewalks, etc. The street light equipment is not metered, and they turn on and off by photoelectric cells. The consumption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 
</t>
  </si>
  <si>
    <t xml:space="preserve">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</si>
  <si>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</si>
  <si>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</si>
  <si>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</si>
  <si>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</si>
  <si>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</si>
  <si>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</si>
  <si>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</si>
  <si>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</si>
  <si>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</si>
  <si>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</si>
  <si>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</si>
  <si>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</si>
  <si>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</si>
  <si>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Kingston Hydro Corporation_ALLOWANCES</t>
  </si>
  <si>
    <t>Kingston Hydro Corporation_SSC</t>
  </si>
  <si>
    <t>Kingston Hydro Corporation_CA</t>
  </si>
  <si>
    <t xml:space="preserve">     Request for other billing information</t>
  </si>
  <si>
    <t xml:space="preserve">     Returned cheque (plus bank charges)</t>
  </si>
  <si>
    <t xml:space="preserve">     Legal letter</t>
  </si>
  <si>
    <t>Kingston Hydro Corporation_NPoA</t>
  </si>
  <si>
    <t xml:space="preserve">     Layout fees</t>
  </si>
  <si>
    <t>Kingston Hydro Corporation_RSC</t>
  </si>
  <si>
    <t>Kingston Hydro Corporation_LFs</t>
  </si>
  <si>
    <t>Kingston Hydro Corporation_End</t>
  </si>
  <si>
    <t>Kitchener-Wilmot Hydro Inc._Start</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</si>
  <si>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</si>
  <si>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</si>
  <si>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</si>
  <si>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</si>
  <si>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</si>
  <si>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</si>
  <si>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Kitchener-Wilmot Hydro Inc._ALLOWANCES</t>
  </si>
  <si>
    <t>Kitchener-Wilmot Hydro Inc._SSC</t>
  </si>
  <si>
    <t>Kitchener-Wilmot Hydro Inc._CA</t>
  </si>
  <si>
    <t>Kitchener-Wilmot Hydro Inc._NPoA</t>
  </si>
  <si>
    <t>Meter removal without authorization</t>
  </si>
  <si>
    <t>Kitchener-Wilmot Hydro Inc._RSC</t>
  </si>
  <si>
    <t>Kitchener-Wilmot Hydro Inc._LFs</t>
  </si>
  <si>
    <t>Kitchener-Wilmot Hydro Inc._End</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</si>
  <si>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</si>
  <si>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</si>
  <si>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</si>
  <si>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</si>
  <si>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</si>
  <si>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</si>
  <si>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London Hydro Inc._Start</t>
  </si>
  <si>
    <t>This classification applies to an account taking electricity at 750 volts or less where the electricity is used exclusively in a separate metered living accommodation. Separately metered dwellings within a town house complex or apartment building also qualify as residential customers.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Non IESO generation accounts, primarily net-metered accounts taking electricity at 750 volts or less where the electricity is used exclusively in a separate metered living accommodation shall be classified as residential.  Class B consumers are defined in accordance with O. Reg. 429/04.  Further servicing details are available in London Hydro’s Conditions of Service.</t>
  </si>
  <si>
    <t>This classification applies to a non-residential account taking electricity at 750 volts or less whose average monthly maximum demand is less than, or is forecast to be less than, 50 kW. Multi-unit residential establishments such as apartment buildings supplied through one service (bulk meter) shall be classified as General Service. Where electricity service is provided to combined residential and business (including agricultural) usage and the wiring does not provide for separate metering, the classification shall be at the discretion of London Hydro and should be based on such considerations as the estimated predominant consumption. Class B consumers are defined in accordance with O. Reg. 429/04.  Further servicing details are available in London Hydro’s Conditions of Service.</t>
  </si>
  <si>
    <t>This classification applies to a non residential account whose average monthly maximum demand used for billing purposes is equal to or greater than, or is forecast to be equal to or greater than, 50 kW but less than 5,000 kW. Note that for the determination of the billing demand and the application of the Retail Transmission Rate - Network Service Rate and the Retail Transmission Rate - Line and Transformation Connection Service Rate the following sub-classifications apply:
     General Service 50 to 199 kW non-interval metered
     General Service 50 to 4,999 kW interval metered.
Class A and Class B consumers are defined in accordance with O. Reg. 429/04.  Further servicing details are available in London Hydro’s Conditions of Service.</t>
  </si>
  <si>
    <t>Embedded generation, co-generation or load displacement customers have the option to reserve demand capacity on the London Hydro distribution system for import load through mutual agreement/contract. For the embedded generation customers with a gross peak demand annual average of less than 1,000 kW and equal to or greater than 50 kW per month, the General Service 50 to 4,999 kW distribution rates will be applied, as long as there is no requirement for reserve capacity from the customer. For the embedded generation customers with a gross peak demand annual average of less than 50 kW per month, the General Service Less Than 50 kW distribution rates will be applied, as long as there is no requirement for reserve capacity from the customer. Class A and Class B consumers are defined in accordance with O. Reg. 429/04. Further servicing details are available in London Hydro’s Conditions of Service.</t>
  </si>
  <si>
    <t>7_STANDBY POWER SERVICE CLASSIFICATION</t>
  </si>
  <si>
    <t>This classification refers to an account that has Load Displacement Generation and requires London Hydro to provide backup service. The distribution Standby Power rate will be applied to all monthly kW’s reserved. Further servicing details are available in London Hydro’s Conditions of Service.</t>
  </si>
  <si>
    <t>Standby Charge is applied to the contracted amount (e.g. nameplate rating of the generation facility).</t>
  </si>
  <si>
    <t>7_STANDBY POWER SERVICE CLASSIFICATION_DVC</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</si>
  <si>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London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</si>
  <si>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Ontaro Energy Board street lighting load shape template. Further servicing details are available in London Hydro’s Conditions of Service.</t>
  </si>
  <si>
    <t>This classification refers to accounts that are an unmetered lighting load supplied to a sentinel light. Further servicing details are available in London Hydro’s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</si>
  <si>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London Hydro’s Conditions of Service.</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</si>
  <si>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</si>
  <si>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London Hydro’s Conditions of Service.</t>
  </si>
  <si>
    <t>The application of these rates and charges shall be in accordance with the Licence of the Distributor and any Code or Order of the Ontario Energy Board, and amendments thereto as approved by theOntario Energy Board, which may be applicable to the administration of this schedule.</t>
  </si>
  <si>
    <t>12_microFIT SERVICE CLASSIFICATION_MSC</t>
  </si>
  <si>
    <t>London Hydro Inc._ALLOWANCES</t>
  </si>
  <si>
    <t>London Hydro Inc._SSC</t>
  </si>
  <si>
    <t>CUSTOMER ADMINISTRATION</t>
  </si>
  <si>
    <t>London Hydro Inc._CA</t>
  </si>
  <si>
    <t>OTHER</t>
  </si>
  <si>
    <t>Meter interrogation charge</t>
  </si>
  <si>
    <t>London Hydro Inc._RSC</t>
  </si>
  <si>
    <t>London Hydro Inc._LFs</t>
  </si>
  <si>
    <t>London Hydro Inc._End</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</si>
  <si>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</si>
  <si>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</si>
  <si>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</si>
  <si>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</si>
  <si>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</si>
  <si>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Minimum Distribution Charge - per kW of maximum billing demand in the previous 11 months</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</si>
  <si>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</si>
  <si>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</si>
  <si>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</si>
  <si>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</si>
  <si>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</si>
  <si>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</si>
  <si>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</si>
  <si>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</si>
  <si>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</si>
  <si>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</si>
  <si>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</si>
  <si>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Optional interval/TOU meter charge $/month</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</si>
  <si>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</si>
  <si>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</si>
  <si>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</si>
  <si>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</si>
  <si>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Inc._LFs</t>
  </si>
  <si>
    <t>Milton Hydro Distribution Inc._End</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</si>
  <si>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</si>
  <si>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</si>
  <si>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</si>
  <si>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</si>
  <si>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Distribution Volumetric Rate - Thermal Demand Meter</t>
  </si>
  <si>
    <t>Distribution Volumetric Rate - Interval Meter</t>
  </si>
  <si>
    <t>4_UNMETERED SCATTERED LOAD SERVICE CLASSIFICATION_STS</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</si>
  <si>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</si>
  <si>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5_SENTINEL LIGHTING SERVICE CLASSIFICATION_STS</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</si>
  <si>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</si>
  <si>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</si>
  <si>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6_STREET LIGHTING SERVICE CLASSIFICATION_STS</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</si>
  <si>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</si>
  <si>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Account set up charge/change of occupancy charge (plus credit agency costs if applicable) - residential</t>
  </si>
  <si>
    <t>5_STREET LIGHTING SERVICE CLASSIFICATION_STS</t>
  </si>
  <si>
    <t>North Bay Hydro Distribution Limited_Start</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</si>
  <si>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</si>
  <si>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</si>
  <si>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</si>
  <si>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</si>
  <si>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6_SENTINEL LIGHTING SERVICE CLASSIFICATION_GA_kwh</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</si>
  <si>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</si>
  <si>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CLASSIFICATION_GA_kwh</t>
  </si>
  <si>
    <t>North Bay Hydro Distribution Limited_ALLOWANCES</t>
  </si>
  <si>
    <t>North Bay Hydro Distribution Limited_SSC</t>
  </si>
  <si>
    <t>North Bay Hydro Distribution Limited_CA</t>
  </si>
  <si>
    <t>North Bay Hydro Distribution Limited_RSC</t>
  </si>
  <si>
    <t>North Bay Hydro Distribution Limited_LFs</t>
  </si>
  <si>
    <t>North Bay Hydro Distribution Limited_End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</si>
  <si>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</si>
  <si>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</si>
  <si>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</si>
  <si>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</si>
  <si>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</si>
  <si>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</si>
  <si>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</si>
  <si>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</si>
  <si>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</si>
  <si>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</si>
  <si>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Niagara Peninsula Energy Inc._RSC</t>
  </si>
  <si>
    <t>Niagara Peninsula Energy Inc._LFs</t>
  </si>
  <si>
    <t>Niagara Peninsula Energy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</si>
  <si>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</si>
  <si>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</si>
  <si>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</si>
  <si>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</si>
  <si>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4_SENTINEL LIGHTING SERVICE CLASSIFICATION</t>
  </si>
  <si>
    <t>4_SENTINEL LIGHTING SERVICE CLASSIFICATION_MSC</t>
  </si>
  <si>
    <t>4_SENTINEL LIGHTING SERVICE CLASSIFICATION_DVC</t>
  </si>
  <si>
    <t>4_SENTINEL LIGHTING SERVICE CLASSIFICATION_LV</t>
  </si>
  <si>
    <t>4_SENTINEL LIGHTING SERVICE CLASSIFICATION_DEFVAR_ALL</t>
  </si>
  <si>
    <t>4_SENTINEL LIGHTING SERVICE CLASSIFICATION_STS</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</si>
  <si>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</si>
  <si>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</si>
  <si>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</si>
  <si>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</si>
  <si>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</si>
  <si>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</si>
  <si>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</si>
  <si>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</si>
  <si>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</si>
  <si>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</si>
  <si>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</si>
  <si>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Limited_RSC</t>
  </si>
  <si>
    <t>Orangeville Hydro Limited_LFs</t>
  </si>
  <si>
    <t>Orangeville Hydro Limited_End</t>
  </si>
  <si>
    <t>Orillia Power Distribution Corporation_Start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</si>
  <si>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</si>
  <si>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</si>
  <si>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</si>
  <si>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</si>
  <si>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</si>
  <si>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</si>
  <si>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Orillia Power Distribution Corporation_ALLOWANCES</t>
  </si>
  <si>
    <t>Orillia Power Distribution Corporation_SSC</t>
  </si>
  <si>
    <t>Orillia Power Distribution Corporation_CA</t>
  </si>
  <si>
    <t>Orillia Power Distribution Corporation_RSC</t>
  </si>
  <si>
    <t>Orillia Power Distribution Corporation_LFs</t>
  </si>
  <si>
    <t>Orillia Power Distribution Corporation_End</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</si>
  <si>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</si>
  <si>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</si>
  <si>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</si>
  <si>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Rate Rider for Disposition of Residual Historical Smart Meter Costs - effective until June 30, 2020</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</si>
  <si>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</si>
  <si>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</si>
  <si>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</si>
  <si>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Ottawa River Power Corporation_ALLOWANCES</t>
  </si>
  <si>
    <t>Ottawa River Power Corporation_SSC</t>
  </si>
  <si>
    <t>Ottawa River Power Corporation_CA</t>
  </si>
  <si>
    <t xml:space="preserve">      Late payment - per annum</t>
  </si>
  <si>
    <t xml:space="preserve">      Collection of account charge - no disconnection</t>
  </si>
  <si>
    <t>Ottawa River Power Corporation_RSC</t>
  </si>
  <si>
    <t>Ottawa River Power Corporation_LFs</t>
  </si>
  <si>
    <t>Ottawa River Power Corporation_End</t>
  </si>
  <si>
    <t>5_SENTINEL LIGHTING SERVICE CLASSIFICATION_LRAM</t>
  </si>
  <si>
    <t>6_STREET LIGHTING SERVICE CLASSIFICATION_LRAM</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</si>
  <si>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</si>
  <si>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</si>
  <si>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Stranded Meter Assets (2017) - effective until December 31, 2020</t>
  </si>
  <si>
    <t>Rate Rider for Disposition of Account 1576 (2017) - effective until December 31, 2020</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</si>
  <si>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</si>
  <si>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</si>
  <si>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</si>
  <si>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</si>
  <si>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</si>
  <si>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</si>
  <si>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</si>
  <si>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</si>
  <si>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</si>
  <si>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</si>
  <si>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</si>
  <si>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</si>
  <si>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</si>
  <si>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</si>
  <si>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 xml:space="preserve">Transformer Allowance for Ownership - per kW of billing demand/month  </t>
  </si>
  <si>
    <t>Disconnect/Reconnect at customer’s request - at meter during regular hours</t>
  </si>
  <si>
    <t>This classification refers to a non residential account whose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</si>
  <si>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</si>
  <si>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</si>
  <si>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</si>
  <si>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</si>
  <si>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Lakeland Power Distribution Ltd._RSC</t>
  </si>
  <si>
    <t>Lakeland Power Distribution Ltd._LFs</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</si>
  <si>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</si>
  <si>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Service Charge (Based on 30 Day Month)</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</si>
  <si>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</si>
  <si>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</si>
  <si>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</si>
  <si>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</si>
  <si>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</si>
  <si>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</si>
  <si>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</si>
  <si>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</si>
  <si>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</si>
  <si>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5_LARGE USE SERVICE CLASSIFICATION_GA_kwh</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</si>
  <si>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</si>
  <si>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</si>
  <si>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Festival Hydro Inc._ALLOWANCES</t>
  </si>
  <si>
    <t>Festival Hydro Inc._SSC</t>
  </si>
  <si>
    <t>Festival Hydro Inc._CA</t>
  </si>
  <si>
    <t>Festival Hydro Inc._NPoA</t>
  </si>
  <si>
    <t xml:space="preserve"> Time &amp; materials</t>
  </si>
  <si>
    <t>Festival Hydro Inc._RSC</t>
  </si>
  <si>
    <t>Festival Hydro Inc._LFs</t>
  </si>
  <si>
    <t>Festival Hydro Inc._End</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</si>
  <si>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</si>
  <si>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</si>
  <si>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</si>
  <si>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</si>
  <si>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</si>
  <si>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</si>
  <si>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Interval meter load management tool charge $/month</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</si>
  <si>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</si>
  <si>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</si>
  <si>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</si>
  <si>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</si>
  <si>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</si>
  <si>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Low Voltage Service Rate (see Note 1)</t>
  </si>
  <si>
    <t>Retail Transmission Rate - Line and Transformation Connection Service Rate (see Note 1)</t>
  </si>
  <si>
    <t>4_LARGE USE SERVICE CLASSIFICATION</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</si>
  <si>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</si>
  <si>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</si>
  <si>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</si>
  <si>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</si>
  <si>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</si>
  <si>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</si>
  <si>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</si>
  <si>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CLASSIFICATION_WMSR</t>
  </si>
  <si>
    <t>4_LARGE USE SERVICE CLASSIFICATION_RRRP</t>
  </si>
  <si>
    <t>4_LARGE USE SERVICE CLASSIFICATION_SSS</t>
  </si>
  <si>
    <t>8_EMBEDDED DISTRIBUTOR SERVICE CLASSIFICATION_MSC</t>
  </si>
  <si>
    <t>8_EMBEDDED DISTRIBUTOR SERVICE CLASSIFICATION_LV</t>
  </si>
  <si>
    <t>8_EMBEDDED DISTRIBUTOR SERVICE CLASSIFICATION_GA_kwh</t>
  </si>
  <si>
    <t>8_EMBEDDED DISTRIBUTOR SERVICE CLASSIFICATION_DEFVAR_ALL</t>
  </si>
  <si>
    <t>This classification refers to an account that has Load Displacement Generation and requires the distributor to provide backup service. Further servicing details are available in the distributor’s Conditions of Service.</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</si>
  <si>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</si>
  <si>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Entegrus Powerlines Inc._ALLOWANCES</t>
  </si>
  <si>
    <t>Entegrus Powerlines Inc._SSC</t>
  </si>
  <si>
    <t>Entegrus Powerlines Inc._CA</t>
  </si>
  <si>
    <t>Account setup charge/change of occupancy charge</t>
  </si>
  <si>
    <t>Entegrus Powerlines Inc._NPoA</t>
  </si>
  <si>
    <t>Temporary service install and remove - overhead - with transformer</t>
  </si>
  <si>
    <t>Switching for company maintenance - charge based on time and materials</t>
  </si>
  <si>
    <t>T&amp;M</t>
  </si>
  <si>
    <t>Entegrus Powerlines Inc._RSC</t>
  </si>
  <si>
    <t>Entegrus Powerlines Inc._LFs</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</si>
  <si>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</si>
  <si>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</si>
  <si>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</si>
  <si>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This classification applies to a customer whose monthly peak load, averaged over 12 consecutive months, is equal to or greater than 5,000 kW and the premise is serviced by a dedicated Transformer Station.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</si>
  <si>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</si>
  <si>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</si>
  <si>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</si>
  <si>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Dispute test - residential</t>
  </si>
  <si>
    <t>Dispute test - commercial self contained -- MC</t>
  </si>
  <si>
    <t>Dispute test - commercial TT -- MC</t>
  </si>
  <si>
    <t>Service layout - residential</t>
  </si>
  <si>
    <t>Service layout - commercial</t>
  </si>
  <si>
    <t>Overtime locate</t>
  </si>
  <si>
    <t>Disposal of concrete poles</t>
  </si>
  <si>
    <t>Missed service appointment</t>
  </si>
  <si>
    <t>Same day open trench</t>
  </si>
  <si>
    <t>Scheduled day open trench</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</si>
  <si>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</si>
  <si>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</si>
  <si>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</si>
  <si>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</si>
  <si>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</si>
  <si>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</si>
  <si>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</si>
  <si>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</si>
  <si>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</si>
  <si>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Transformer Allowance for Ownership by General Service 50 to 999 kW customers - per kW of billing demand/month</t>
  </si>
  <si>
    <t>Account setup charge/change of occupancy charge (plus credit agency costs if applicable)</t>
  </si>
  <si>
    <t>Credit service charge for paperless bill</t>
  </si>
  <si>
    <t>Overhead bond connection - per connection</t>
  </si>
  <si>
    <t>Underground bond connection - per connection</t>
  </si>
  <si>
    <t>4_STREET LIGHTING SERVICE CLASSIFICATION</t>
  </si>
  <si>
    <t>4_STREET LIGHTING SERVICE CLASSIFICATION_MSC</t>
  </si>
  <si>
    <t>4_STREET LIGHTING SERVICE CLASSIFICATION_DVC</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</si>
  <si>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</si>
  <si>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</si>
  <si>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</si>
  <si>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</si>
  <si>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</si>
  <si>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</si>
  <si>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Lakefront Utilities Inc._Start</t>
  </si>
  <si>
    <t>This classification refers to a non residential account whose monthly average peak demand is equal to or greater than, or is forecast to be equal to or greater than 3,000 kW, but less than 5,000 kW. Class A and Class B consumers are defined in accordance with O. Reg. 429/04. Further servicing details are available in the distributor’s Conditions of Service.</t>
  </si>
  <si>
    <t>Lakefront Utilities Inc._ALLOWANCES</t>
  </si>
  <si>
    <t>Lakefront Utilities Inc._SSC</t>
  </si>
  <si>
    <t>Lakefront Utilities Inc._CA</t>
  </si>
  <si>
    <t>Lakefront Utilities Inc._NPoA</t>
  </si>
  <si>
    <t>Service charge for onsite interrogation of interval meter due to customer phone line failure - required weekly until line repaired</t>
  </si>
  <si>
    <t>Lakefront Utilities Inc._RSC</t>
  </si>
  <si>
    <t>Lakefront Utilities Inc._LFs</t>
  </si>
  <si>
    <t>Lakefront Utilities Inc._End</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</si>
  <si>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</si>
  <si>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</si>
  <si>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</si>
  <si>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</si>
  <si>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</si>
  <si>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Energt Board, and amendments thereto as approved by the Ontario Energy Board, or as specified herein.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</si>
  <si>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</si>
  <si>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</si>
  <si>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</si>
  <si>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</si>
  <si>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This classification applies to an electricity distributor licenced by the Ontario Energy Board, which is provided electricity by means of this distributor's facilities. Further servicing details are available in the distributor's Conditions of Service.</t>
  </si>
  <si>
    <t>9_EMBEDDED DISTRIBUTOR SERVICE CLASSIFICATION_DEFVAR_ALL</t>
  </si>
  <si>
    <t>Oakville Hydro Electricity Distribution Inc._ALLOWANCES</t>
  </si>
  <si>
    <t>Transformer Allowance for General Service &gt; 50 to 999kW customers that own their transformers (per kW of billing demand/month)</t>
  </si>
  <si>
    <t>Oakville Hydro Electricity Distribution Inc._SSC</t>
  </si>
  <si>
    <t>Oakville Hydro Electricity Distribution Inc._CA</t>
  </si>
  <si>
    <t>Oakville Hydro Electricity Distribution Inc._NPoA</t>
  </si>
  <si>
    <t>Service call (after first service call in a 12-month period) - during regular hours</t>
  </si>
  <si>
    <t>Service call (after first service call in a 12-month period) - after regular hours</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</si>
  <si>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</si>
  <si>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</si>
  <si>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</si>
  <si>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</si>
  <si>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</si>
  <si>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</si>
  <si>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</si>
  <si>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</si>
  <si>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</si>
  <si>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</si>
  <si>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a wholesale market price, as applicable.   </t>
  </si>
  <si>
    <t>Wasaga Distribution Inc._ALLOWANCES</t>
  </si>
  <si>
    <t>Wasaga Distribution Inc._SSC</t>
  </si>
  <si>
    <t>Wasaga Distribution Inc._CA</t>
  </si>
  <si>
    <t>Wasaga Distribution Inc._RSC</t>
  </si>
  <si>
    <t>Wasaga Distribution Inc._LFs</t>
  </si>
  <si>
    <t>Wasaga Distribution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</si>
  <si>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</si>
  <si>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</si>
  <si>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</si>
  <si>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</si>
  <si>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4_GENERAL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</si>
  <si>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</si>
  <si>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4_GENERAL SERVICE 500 TO 1,499 KW SERVICE CLASSIFICATION_MSC</t>
  </si>
  <si>
    <t>4_GENERAL SERVICE 500 TO 1,499 KW SERVICE CLASSIFICATION_DVC</t>
  </si>
  <si>
    <t>4_GENERAL SERVICE 500 TO 1,499 KW SERVICE CLASSIFICATION_WMSR</t>
  </si>
  <si>
    <t>4_GENERAL SERVICE 500 TO 1,499 KW SERVICE CLASSIFICATION_RRRP</t>
  </si>
  <si>
    <t>4_GENERAL SERVICE 500 TO 1,499 KW SERVICE CLASSIFICATION_SSS</t>
  </si>
  <si>
    <t>5_GENERAL SERVICE EQUAL TO OR GREATER THAN 1,500 KW SERVICE CLASSIFICATION</t>
  </si>
  <si>
    <t>This classification applies to a non residential account whose average monthly maximum demand used for billing purposes is equal to or greater than, or is forecast to be equal to or greater than, 1,500 kW.  Class A and Class B consumers are defined in accordance with O. Reg. 429/04. Further servicing details are available in Tillsonburg Hydro's Conditions of Service.</t>
  </si>
  <si>
    <t>5_GENERAL SERVICE EQUAL TO OR GREATER THAN 1,500 KW SERVICE CLASSIFICATION_MSC</t>
  </si>
  <si>
    <t>5_GENERAL SERVICE EQUAL TO OR GREATER THAN 1,500 KW SERVICE CLASSIFICATION_DVC</t>
  </si>
  <si>
    <t>5_GENERAL SERVICE EQUAL TO OR GREATER THAN 1,500 KW SERVICE CLASSIFICATION_WMSR</t>
  </si>
  <si>
    <t>5_GENERAL SERVICE EQUAL TO OR GREATER THAN 1,500 KW SERVICE CLASSIFICATION_RRRP</t>
  </si>
  <si>
    <t>5_GENERAL SERVICE EQUAL TO OR GREATER THAN 1,500 KW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</si>
  <si>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</si>
  <si>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This classification refers to accounts that are an unmetered lighting load supplied to a sentinel light. Class B consumers are defined in accordance with O. Reg. 429/04. Further servicing details are available in Tillsonburg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</si>
  <si>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</si>
  <si>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</si>
  <si>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Tillsonburg Hydro Inc._ALLOWANCES</t>
  </si>
  <si>
    <t>Tillsonburg Hydro Inc._SSC</t>
  </si>
  <si>
    <t>Tillsonburg Hydro Inc._CA</t>
  </si>
  <si>
    <t>Tillsonburg Hydro Inc._RSC</t>
  </si>
  <si>
    <t>Tillsonburg Hydro Inc._LFs</t>
  </si>
  <si>
    <t>Tillsonburg Hydro Inc._End</t>
  </si>
  <si>
    <t>Toronto Hydro-Electric System Limited_Start</t>
  </si>
  <si>
    <t>2_COMPETITIVE SECTOR MULTI-UNIT RESIDENTIAL SERVICE CLASSIFICATION</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</si>
  <si>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</si>
  <si>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CLASSIFICATION_MSC</t>
  </si>
  <si>
    <t>2_COMPETITIVE SECTOR MULTI-UNIT RESIDENTIAL SERVICE CLASSIFICATION_SME</t>
  </si>
  <si>
    <t>2_COMPETITIVE SECTOR MULTI-UNIT RESIDENTIAL SERVICE CLASSIFICATION_DEFVAR_ALL</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</si>
  <si>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</si>
  <si>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</si>
  <si>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</si>
  <si>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</si>
  <si>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</si>
  <si>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</si>
  <si>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</si>
  <si>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and requires THESL to provide back- up service.  Further servicing details are available in the distributor’s Conditions of Service.</t>
  </si>
  <si>
    <t>Standby Charge - for a month where standby power is not provided. The charge is applied to the contracted amount (e.g. nameplate rating of generation facility).</t>
  </si>
  <si>
    <t>For General Service 50 - 999 kW Service Classification</t>
  </si>
  <si>
    <t>For General Service 1,000 - 4,999 kW Service Classification</t>
  </si>
  <si>
    <t>For Large Use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</si>
  <si>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</si>
  <si>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Connection Charge (per connection)</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</si>
  <si>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</si>
  <si>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</si>
  <si>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Toronto Hydro-Electric System Limited_SSC</t>
  </si>
  <si>
    <t>Toronto Hydro-Electric System Limited_CA</t>
  </si>
  <si>
    <t>Toronto Hydro-Electric System Limited_NPoA</t>
  </si>
  <si>
    <t>Toronto Hydro-Electric System Limited_RSC</t>
  </si>
  <si>
    <t>Retail Service Charges refer to services provided by THESL to retailers or customers related to the supply of competitive electricity and are defined in the 2006 Electricity Distribution Rate Handbook.</t>
  </si>
  <si>
    <t>Toronto Hydro-Electric System Limited_LFs</t>
  </si>
  <si>
    <t>Toronto Hydro-Electric System Limited_End</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</si>
  <si>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</si>
  <si>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</si>
  <si>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</si>
  <si>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</si>
  <si>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</si>
  <si>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relates to the supply of power for street lighting installations. Street lighting design and installations shall be in accordance with the requirements of Whitby Hydro, Town of Whitby specifications and ESA. The Town of Whitby retains ownership of the street lighting system on municipal roadways.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</si>
  <si>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</si>
  <si>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Waterloo North Hydro Inc._Start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</si>
  <si>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</si>
  <si>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</si>
  <si>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Retail Transmission Rate - Line and Trans. Connection Service Rate - Interval Metered (less than 1,000 kW)</t>
  </si>
  <si>
    <t>Retail Transmission Rate - Line and Trans. Connection Service Rate - Interval Metered (1,000 to 4,999 kW)</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</si>
  <si>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</si>
  <si>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</si>
  <si>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</si>
  <si>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Waterloo North Hydro Inc._ALLOWANCES</t>
  </si>
  <si>
    <t>Waterloo North Hydro Inc._SSC</t>
  </si>
  <si>
    <t>Waterloo North Hydro Inc._CA</t>
  </si>
  <si>
    <t>Waterloo North Hydro Inc._NPoA</t>
  </si>
  <si>
    <t>Waterloo North Hydro Inc._RSC</t>
  </si>
  <si>
    <t>Waterloo North Hydro Inc._LFs</t>
  </si>
  <si>
    <t>Waterloo North Hydro Inc._End</t>
  </si>
  <si>
    <t>Welland Hydro-Electric System Corp._End</t>
  </si>
  <si>
    <t>Wellington North Power Inc._Start</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</si>
  <si>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</si>
  <si>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</si>
  <si>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</si>
  <si>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</si>
  <si>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</si>
  <si>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for unmetered lighting loads supplied to sentinel lights. Class B consumers are defined in accordance with O. Reg. 429/04.  Further servicing details are available in the distributor’s Conditions of Service.</t>
  </si>
  <si>
    <t>Monthly Service Charge (per connection)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</si>
  <si>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</si>
  <si>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Wellington North Power Inc._ALLOWANCES</t>
  </si>
  <si>
    <t>Wellington North Power Inc._SSC</t>
  </si>
  <si>
    <t>Wellington North Power Inc._CA</t>
  </si>
  <si>
    <t>Wellington North Power Inc._RSC</t>
  </si>
  <si>
    <t>Wellington North Power Inc._LFs</t>
  </si>
  <si>
    <t>Wellington North Power Inc._End</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</si>
  <si>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</si>
  <si>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</si>
  <si>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</si>
  <si>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</si>
  <si>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</si>
  <si>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</si>
  <si>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</si>
  <si>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</si>
  <si>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Hydro Hawkesbury Inc._Start</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</si>
  <si>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</si>
  <si>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</si>
  <si>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</si>
  <si>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</si>
  <si>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Hydro Hawkesbury Inc._ALLOWANCES</t>
  </si>
  <si>
    <t>Hydro Hawkesbury Inc._SSC</t>
  </si>
  <si>
    <t>Hydro Hawkesbury Inc._CA</t>
  </si>
  <si>
    <t>Non-payment of account</t>
  </si>
  <si>
    <t>Hydro Hawkesbury Inc._NPoA</t>
  </si>
  <si>
    <t>Hydro Hawkesbury Inc._RSC</t>
  </si>
  <si>
    <t>Hydro Hawkesbury Inc._LFs</t>
  </si>
  <si>
    <t>Hydro Hawkesbury Inc._End</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</si>
  <si>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</si>
  <si>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accounts that are an unmetered lighting load supplied to a sentinel light. Further servicing details are available in the distributor's Conditions of Service.</t>
  </si>
  <si>
    <t>E.L.K. Energy Inc._Start</t>
  </si>
  <si>
    <t>This classification refers to a service which is less than 50 kW supplied to a single family dwelling unit that is for domestic or household purposes, including seasonal occupancy.  At E.L.K.’s discretion, residential rates may be applied to apartment buildings with 6 or less units by simple application of the residential rate or by blocking the residential rate by the number of units.  Further servicing details are available in the distributor’s Conditions of Service.</t>
  </si>
  <si>
    <t>This classification refers to premises other than those designated as residential and do not exceed 50 kW in any month of the year.  This includes multi-unit residential establishments such as apartment buildings supplied through one service (bulk-metered).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</si>
  <si>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Further servicing details are available in the distributor’s Conditions of Service.</t>
  </si>
  <si>
    <t>This classification applies to an account whose average monthly maximum demand is less than, or is forecast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E.L.K. is not in the practice of connecting new unmetered scattered load services.  Further servicing details are available in the distributor’s Conditions of Service.</t>
  </si>
  <si>
    <t>This classification refers to accounts that are an unmetered lighting load supplied to a sentinel light.  E.L.K. is not in the practice of connecting new unmetered scattered load services.  Further servicing details are available in the distributor’s Conditions of Service.</t>
  </si>
  <si>
    <t>This classification applies to an electricity distributor licensed by the Ontario Energy Board, and provided electricity by means of E.L.K. Energy Inc.’s distribution facilities. Further servicing details are available in the distributor’s Conditions of Service.</t>
  </si>
  <si>
    <t>E.L.K. Energy Inc._ALLOWANCES</t>
  </si>
  <si>
    <t>E.L.K. Energy Inc._SSC</t>
  </si>
  <si>
    <t>E.L.K. Energy Inc._CA</t>
  </si>
  <si>
    <t>E.L.K. Energy Inc._RSC</t>
  </si>
  <si>
    <t>E.L.K. Energy Inc._LFs</t>
  </si>
  <si>
    <t>E.L.K. Energy Inc._End</t>
  </si>
  <si>
    <t>InnPower Corporation_Start</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</si>
  <si>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</si>
  <si>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</si>
  <si>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</si>
  <si>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</si>
  <si>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</si>
  <si>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InnPower Corporation_RSC</t>
  </si>
  <si>
    <t>InnPower Corporation_LFs</t>
  </si>
  <si>
    <t>InnPower Corporation_End</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</si>
  <si>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</si>
  <si>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</si>
  <si>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</si>
  <si>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Easement letter</t>
  </si>
  <si>
    <t>Late payment - per annum</t>
  </si>
  <si>
    <t>Disconnect/reconnect at meter - during regular hours</t>
  </si>
  <si>
    <t>Disconnect/reconnect at meter - after regular hours</t>
  </si>
  <si>
    <t>Disconnect/reconnect at pole - during regular hours</t>
  </si>
  <si>
    <t>Disconnect/reconnect at pole - after regular hours</t>
  </si>
  <si>
    <t>Install/remove load control device - during regular hours</t>
  </si>
  <si>
    <t>Install/remove load control device - after regular hours</t>
  </si>
  <si>
    <t>Service call - customer-owned equipment</t>
  </si>
  <si>
    <t xml:space="preserve">7_STANDBY POWER SERVICE CLASSIFICATION </t>
  </si>
  <si>
    <t>Temporary Service install and remove - overhead - no transformer</t>
  </si>
  <si>
    <t>Atikokan Hydro Inc._Start</t>
  </si>
  <si>
    <t>1_RESIDENTIAL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</si>
  <si>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</si>
  <si>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</si>
  <si>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Atikokan Hydro Inc._ALLOWANCES</t>
  </si>
  <si>
    <t>Atikokan Hydro Inc._SSC</t>
  </si>
  <si>
    <t>Atikokan Hydro Inc._CA</t>
  </si>
  <si>
    <t>Atikokan Hydro Inc._RSC</t>
  </si>
  <si>
    <t>Atikokan Hydro Inc._LFs</t>
  </si>
  <si>
    <t>Atikokan Hydro Inc._End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</si>
  <si>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</si>
  <si>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</si>
  <si>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1_RESIDENTIAL SERVICE CLASSIFICATION_FX_RR_3</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</si>
  <si>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</si>
  <si>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</si>
  <si>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</si>
  <si>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</si>
  <si>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</si>
  <si>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Specific charge for access to the power poles - $/pole/year                                                                                                                                                                                                                                                                                                                                                                                                (with the exception of wireless attachments)</t>
  </si>
  <si>
    <t>Meter upgrade requested by customer plus installation-per month plus installation on a time and material basis</t>
  </si>
  <si>
    <t>Rideau St. Lawrence Distribution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</si>
  <si>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t>
  </si>
  <si>
    <t>Separately metered dwellings within a town house complex or apartment building also qualify as residential customers. Class B consumers are defined in accordance with O. Reg. 429/04. Further servicing details are available in the distributor’s Conditions of Service.</t>
  </si>
  <si>
    <t xml:space="preserve">Service Charge </t>
  </si>
  <si>
    <t xml:space="preserve">Low Voltage Service Rate </t>
  </si>
  <si>
    <t xml:space="preserve">Retail Transmission Rate - Network Service Rate </t>
  </si>
  <si>
    <t>2_GENERAL SERVICE LESS THAN 50 KW SERVICE CLASSIFICATION_GA_kwh</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</si>
  <si>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</si>
  <si>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 xml:space="preserve">Retail Transmission Rate - Network Service Rate - Interval Metered </t>
  </si>
  <si>
    <t xml:space="preserve">Retail Transmission Rate - Line and Transformation Connection Service Rate - Interval Metered </t>
  </si>
  <si>
    <t xml:space="preserve">Service Charge (per customer) </t>
  </si>
  <si>
    <t xml:space="preserve">Service Charge (per connection) </t>
  </si>
  <si>
    <t>Rideau St. Lawrence Distribution Inc._ALLOWANCES</t>
  </si>
  <si>
    <t xml:space="preserve">Transformer Allowance for Ownership - per kW of billing demand/month </t>
  </si>
  <si>
    <t>Rideau St. Lawrence Distribution Inc._SSC</t>
  </si>
  <si>
    <t>Rideau St. Lawrence Distribution Inc._CA</t>
  </si>
  <si>
    <t xml:space="preserve">Statement of account </t>
  </si>
  <si>
    <t xml:space="preserve">Pulling post-dated cheques </t>
  </si>
  <si>
    <t xml:space="preserve">Duplicate invoices for previous billing </t>
  </si>
  <si>
    <t xml:space="preserve">Request for other billing information </t>
  </si>
  <si>
    <t xml:space="preserve">Easement letter </t>
  </si>
  <si>
    <t xml:space="preserve">Income tax letter </t>
  </si>
  <si>
    <t xml:space="preserve">Notification charge </t>
  </si>
  <si>
    <t xml:space="preserve">Account history </t>
  </si>
  <si>
    <t xml:space="preserve">Credit reference/credit check (plus credit agency costs) </t>
  </si>
  <si>
    <t xml:space="preserve">Returned cheque charge (plus bank charges) </t>
  </si>
  <si>
    <t xml:space="preserve">Charge to certify cheque </t>
  </si>
  <si>
    <t xml:space="preserve">Account set up charge/change of occupancy charge (plus credit agency costs if applicable) </t>
  </si>
  <si>
    <t xml:space="preserve">Meter dispute charge plus Measurement Canada fees (if meter found correct) </t>
  </si>
  <si>
    <t xml:space="preserve">Special meter reads </t>
  </si>
  <si>
    <t xml:space="preserve">Service call - customer owned equipment </t>
  </si>
  <si>
    <t xml:space="preserve">Service call - after regular hours </t>
  </si>
  <si>
    <t xml:space="preserve">Temporary service install and remove - underground - no transformer </t>
  </si>
  <si>
    <t xml:space="preserve">Temporary service install and remove - overhead - with transformer </t>
  </si>
  <si>
    <t>Rideau St. Lawrence Distribution Inc._RSC</t>
  </si>
  <si>
    <t xml:space="preserve">One-time charge, per retailer, to establish the service agreement between the distributor and the retailer </t>
  </si>
  <si>
    <t xml:space="preserve">Distributor-consolidated billing monthly charge, per customer, per retailer </t>
  </si>
  <si>
    <t xml:space="preserve">Retailer-consolidated billing monthly credit, per customer, per retailer </t>
  </si>
  <si>
    <t xml:space="preserve">Request fee, per request, applied to the requesting party </t>
  </si>
  <si>
    <t xml:space="preserve">Processing fee, per request, applied to the requesting party </t>
  </si>
  <si>
    <t>Up to twice a year no charge</t>
  </si>
  <si>
    <t xml:space="preserve">More than twice a year, per request (plus incremental delivery costs) </t>
  </si>
  <si>
    <t>Rideau St. Lawrence Distribution Inc._LFs</t>
  </si>
  <si>
    <t>Rideau St. Lawrence Distribution Inc._End</t>
  </si>
  <si>
    <t>Smart Meter Entity Charge (SME)</t>
  </si>
  <si>
    <t>DVA Proposed Rate Rider Recovery Period (in months)</t>
  </si>
  <si>
    <t>LRAM Proposed Rate Rider Recovery Period (in months)</t>
  </si>
  <si>
    <t xml:space="preserve">Additional Volumetric Rate Riders </t>
  </si>
  <si>
    <t xml:space="preserve">Additional Fixed Rate Riders </t>
  </si>
  <si>
    <t>DRP Adjustment</t>
  </si>
  <si>
    <t>Alectra Utilities Corporation</t>
  </si>
  <si>
    <t>Alectra Utilities Corporation1550</t>
  </si>
  <si>
    <t>Alectra Utilities Corporation1551</t>
  </si>
  <si>
    <t>Alectra Utilities Corporation1568</t>
  </si>
  <si>
    <t>Alectra Utilities Corporation1580</t>
  </si>
  <si>
    <t>Alectra Utilities Corporation1584</t>
  </si>
  <si>
    <t>Alectra Utilities Corporation1586</t>
  </si>
  <si>
    <t>Alectra Utilities Corporation1588</t>
  </si>
  <si>
    <t>Alectra Utilities Corporation1589</t>
  </si>
  <si>
    <t>Alectra Utilities Corporation1595_(2008)</t>
  </si>
  <si>
    <t>Alectra Utilities Corporation1595_(2009)</t>
  </si>
  <si>
    <t>Alectra Utilities Corporation1595_(2010)</t>
  </si>
  <si>
    <t>Alectra Utilities Corporation1595_(2011)</t>
  </si>
  <si>
    <t>Alectra Utilities Corporation1595_(2012)</t>
  </si>
  <si>
    <t>Alectra Utilities Corporation1595_(2013)</t>
  </si>
  <si>
    <t>Alectra Utilities Corporation1595_(2014)</t>
  </si>
  <si>
    <t>Alectra Utilities Corporation1595_(2015)</t>
  </si>
  <si>
    <t>Alectra Utilities Corporation1595_(2016)</t>
  </si>
  <si>
    <t>Disposition and Recovery/Refund of Regulatory Balances (2017)</t>
  </si>
  <si>
    <t>Alectra Utilities Corporation1595_ControlAccount</t>
  </si>
  <si>
    <t>Newmarket-Tay Power Distribution Ltd.1550</t>
  </si>
  <si>
    <t>Newmarket-Tay Power Distribution Ltd.1551</t>
  </si>
  <si>
    <t>Newmarket-Tay Power Distribution Ltd.1568</t>
  </si>
  <si>
    <t>Newmarket-Tay Power Distribution Ltd.1580</t>
  </si>
  <si>
    <t>Newmarket-Tay Power Distribution Ltd.1584</t>
  </si>
  <si>
    <t>Newmarket-Tay Power Distribution Ltd.1586</t>
  </si>
  <si>
    <t>Newmarket-Tay Power Distribution Ltd.1588</t>
  </si>
  <si>
    <t>Newmarket-Tay Power Distribution Ltd.1589</t>
  </si>
  <si>
    <t>Newmarket-Tay Power Distribution Ltd.1595_(2008)</t>
  </si>
  <si>
    <t>Newmarket-Tay Power Distribution Ltd.1595_(2009)</t>
  </si>
  <si>
    <t>Newmarket-Tay Power Distribution Ltd.1595_(2010)</t>
  </si>
  <si>
    <t>Newmarket-Tay Power Distribution Ltd.1595_(2011)</t>
  </si>
  <si>
    <t>Newmarket-Tay Power Distribution Ltd.1595_(2012)</t>
  </si>
  <si>
    <t>Newmarket-Tay Power Distribution Ltd.1595_(2013)</t>
  </si>
  <si>
    <t>Newmarket-Tay Power Distribution Ltd.1595_(2014)</t>
  </si>
  <si>
    <t>Newmarket-Tay Power Distribution Ltd.1595_(2015)</t>
  </si>
  <si>
    <t>Newmarket-Tay Power Distribution Ltd.1595_(2016)</t>
  </si>
  <si>
    <t>Newmarket-Tay Power Distribution Ltd.1595_ControlAccount</t>
  </si>
  <si>
    <t>Peterborough Distribution Incorporated1595_(2015)</t>
  </si>
  <si>
    <t>Peterborough Distribution Incorporated1595_(2016)</t>
  </si>
  <si>
    <t>Class_A_Consumption_kWhs</t>
  </si>
  <si>
    <t>Class_A_Consumption_kWs</t>
  </si>
  <si>
    <t>ALECTRA UTILITIES CORPORATION</t>
  </si>
  <si>
    <t>HYDRO ONE BRAMPTON_EMBEDDED DISTRIBUTOR</t>
  </si>
  <si>
    <t>ENERSOURCE_GENERAL SERVICE 50 TO 499 KW</t>
  </si>
  <si>
    <t>ENERSOURCE_GENERAL SERVICE 500 TO 4,999 KW</t>
  </si>
  <si>
    <t>HORIZON_GENERAL SERVICE 50 TO 4,999 KW</t>
  </si>
  <si>
    <t>HYDRO ONE BRAMPTON_ENERGY FROM WASTE</t>
  </si>
  <si>
    <t>HYDRO ONE BRAMPTON_GENERAL SERVICE 50 TO 699 KW</t>
  </si>
  <si>
    <t>HYDRO ONE BRAMPTON_GENERAL SERVICE 700 TO 4,999 KW</t>
  </si>
  <si>
    <t>POWERSTREAM_GENERAL SERVICE 50 TO 4,999 KW</t>
  </si>
  <si>
    <t>ENERSOURCE_GENERAL SERVICE LESS THAN 50 KW</t>
  </si>
  <si>
    <t>HORIZON_GENERAL SERVICE LESS THAN 50 KW</t>
  </si>
  <si>
    <t>HYDRO ONE BRAMPTON_GENERAL SERVICE LESS THAN 50 KW</t>
  </si>
  <si>
    <t>POWERSTREAM_GENERAL SERVICE LESS THAN 50 KW</t>
  </si>
  <si>
    <t>ENERSOURCE_LARGE USE</t>
  </si>
  <si>
    <t>HORIZON_LARGE USE</t>
  </si>
  <si>
    <t>HORIZON_LARGE USE WITH DEDICATED ASSETS</t>
  </si>
  <si>
    <t>HYDRO ONE BRAMPTON_LARGE USE</t>
  </si>
  <si>
    <t>POWERSTREAM_LARGE USE</t>
  </si>
  <si>
    <t>NO RATE CLASS</t>
  </si>
  <si>
    <t>ALECTRA UTILITIES CORPORATION_NO RATE CLASS SERVICE CLASSIFICATION</t>
  </si>
  <si>
    <t>ENERSOURCE_RESIDENTIAL</t>
  </si>
  <si>
    <t>HORIZON_RESIDENTIAL</t>
  </si>
  <si>
    <t>HYDRO ONE BRAMPTON_RESIDENTIAL</t>
  </si>
  <si>
    <t>POWERSTREAM_RESIDENTIAL</t>
  </si>
  <si>
    <t>HORIZON_SENTINEL LIGHTING</t>
  </si>
  <si>
    <t>POWERSTREAM_SENTINEL LIGHTING</t>
  </si>
  <si>
    <t>ENERSOURCE_STREET LIGHTING</t>
  </si>
  <si>
    <t>HORIZON_STREET LIGHTING</t>
  </si>
  <si>
    <t>HYDRO ONE BRAMPTON_STREET LIGHTING</t>
  </si>
  <si>
    <t>POWERSTREAM_STREET LIGHTING</t>
  </si>
  <si>
    <t>ENERSOURCE_UNMETERED SCATTERED LOAD</t>
  </si>
  <si>
    <t>HORIZON_UNMETERED SCATTERED LOAD</t>
  </si>
  <si>
    <t>HYDRO ONE BRAMPTON_UNMETERED SCATTERED LOAD</t>
  </si>
  <si>
    <t>POWERSTREAM_UNMETERED SCATTERED LOAD</t>
  </si>
  <si>
    <t>ALGOMA POWER INC._NO RATE CLASS SERVICE CLASSIFICATION</t>
  </si>
  <si>
    <t>ATIKOKAN HYDRO INC._NO RATE CLASS SERVICE CLASSIFICATION</t>
  </si>
  <si>
    <t>BRANTFORD POWER INC._NO RATE CLASS SERVICE CLASSIFICATION</t>
  </si>
  <si>
    <t>BURLINGTON HYDRO INC._NO RATE CLASS SERVICE CLASSIFICATION</t>
  </si>
  <si>
    <t>CANADIAN NIAGARA POWER INC._EMBEDDED DISTRIBUTOR SERVICE CLASSIFICATION</t>
  </si>
  <si>
    <t>CANADIAN NIAGARA POWER INC._NO RATE CLASS SERVICE CLASSIFICATION</t>
  </si>
  <si>
    <t>CENTRE WELLINGTON HYDRO LTD._NO RATE CLASS SERVICE CLASSIFICATION</t>
  </si>
  <si>
    <t>CHAPLEAU PUBLIC UTILITIES CORPORATION_NO RATE CLASS SERVICE CLASSIFICATION</t>
  </si>
  <si>
    <t>COOPERATIVE HYDRO EMBRUN INC._NO RATE CLASS SERVICE CLASSIFICATION</t>
  </si>
  <si>
    <t>E.L.K. ENERGY INC._NO RATE CLASS SERVICE CLASSIFICATION</t>
  </si>
  <si>
    <t>ENERGY+ INC.</t>
  </si>
  <si>
    <t>ENWIN UTILITIES LTD._NO RATE CLASS SERVICE CLASSIFICATION</t>
  </si>
  <si>
    <t>ESPANOLA REGIONAL HYDRO DISTRIBUTION CORPORATION_NO RATE CLASS SERVICE CLASSIFICATION</t>
  </si>
  <si>
    <t>ESSEX POWERLINES CORPORATION_NO RATE CLASS SERVICE CLASSIFICATION</t>
  </si>
  <si>
    <t>FESTIVAL HYDRO INC._NO RATE CLASS SERVICE CLASSIFICATION</t>
  </si>
  <si>
    <t>FORT FRANCES POWER CORPORATION_NO RATE CLASS SERVICE CLASSIFICATION</t>
  </si>
  <si>
    <t>GREATER SUDBURY HYDRO INC._NO RATE CLASS SERVICE CLASSIFICATION</t>
  </si>
  <si>
    <t>GRIMSBY POWER INCORPORATED_NO RATE CLASS SERVICE CLASSIFICATION</t>
  </si>
  <si>
    <t>HALTON HILLS HYDRO INC._NO RATE CLASS SERVICE CLASSIFICATION</t>
  </si>
  <si>
    <t>HYDRO 2000 INC._NO RATE CLASS SERVICE CLASSIFICATION</t>
  </si>
  <si>
    <t>HYDRO HAWKESBURY INC._NO RATE CLASS SERVICE CLASSIFICATION</t>
  </si>
  <si>
    <t>HYDRO ONE NETWORKS INC._NO RATE CLASS SERVICE CLASSIFICATION</t>
  </si>
  <si>
    <t>HYDRO ONE REMOTE COMMUNITIES INC.</t>
  </si>
  <si>
    <t>HYDRO ONE REMOTE COMMUNITIES INC._NO RATE CLASS SERVICE CLASSIFICATION</t>
  </si>
  <si>
    <t>HYDRO OTTAWA LIMITED_NO RATE CLASS SERVICE CLASSIFICATION</t>
  </si>
  <si>
    <t>INNPOWER CORPORATION_NO RATE CLASS SERVICE CLASSIFICATION</t>
  </si>
  <si>
    <t>KINGSTON HYDRO CORPORATION_NO RATE CLASS SERVICE CLASSIFICATION</t>
  </si>
  <si>
    <t>KITCHENER-WILMOT HYDRO INC._NO RATE CLASS SERVICE CLASSIFICATION</t>
  </si>
  <si>
    <t>LAKEFRONT UTILITIES INC._NO RATE CLASS SERVICE CLASSIFICATION</t>
  </si>
  <si>
    <t>PARRY SOUND_GENERAL SERVICE 50 TO 4,999 KW</t>
  </si>
  <si>
    <t>PARRY SOUND_GENERAL SERVICE LESS THAN 50 KW</t>
  </si>
  <si>
    <t>LAKELAND POWER DISTRIBUTION LTD._NO RATE CLASS SERVICE CLASSIFICATION</t>
  </si>
  <si>
    <t>PARRY SOUND_RESIDENTIAL</t>
  </si>
  <si>
    <t>PARRY SOUND_SENTINEL LIGHTING</t>
  </si>
  <si>
    <t>PARRY SOUND_STREET LIGHTING</t>
  </si>
  <si>
    <t>PARRY SOUND_UNMETERED SCATTERED LOAD</t>
  </si>
  <si>
    <t>LONDON HYDRO INC._NO RATE CLASS SERVICE CLASSIFICATION</t>
  </si>
  <si>
    <t>MILTON HYDRO DISTRIBUTION INC._NO RATE CLASS SERVICE CLASSIFICATION</t>
  </si>
  <si>
    <t>NIAGARA PENINSULA ENERGY INC._NO RATE CLASS SERVICE CLASSIFICATION</t>
  </si>
  <si>
    <t>NIAGARA-ON-THE-LAKE HYDRO INC._NO RATE CLASS SERVICE CLASSIFICATION</t>
  </si>
  <si>
    <t>NORTH BAY HYDRO DISTRIBUTION LIMITED_NO RATE CLASS SERVICE CLASSIFICATION</t>
  </si>
  <si>
    <t>NORTHERN ONTARIO WIRES INC._NO RATE CLASS SERVICE CLASSIFICATION</t>
  </si>
  <si>
    <t>OAKVILLE HYDRO ELECTRICITY DISTRIBUTION INC._NO RATE CLASS SERVICE CLASSIFICATION</t>
  </si>
  <si>
    <t>ORANGEVILLE HYDRO LIMITED_NO RATE CLASS SERVICE CLASSIFICATION</t>
  </si>
  <si>
    <t>ORILLIA POWER DISTRIBUTION CORPORATION_NO RATE CLASS SERVICE CLASSIFICATION</t>
  </si>
  <si>
    <t>OSHAWA PUC NETWORKS INC._NO RATE CLASS SERVICE CLASSIFICATION</t>
  </si>
  <si>
    <t>OTTAWA RIVER POWER CORPORATION_NO RATE CLASS SERVICE CLASSIFICATION</t>
  </si>
  <si>
    <t>PETERBOROUGH DISTRIBUTION INCORPORATED_NO RATE CLASS SERVICE CLASSIFICATION</t>
  </si>
  <si>
    <t>PUC DISTRIBUTION INC._NO RATE CLASS SERVICE CLASSIFICATION</t>
  </si>
  <si>
    <t>RENFREW HYDRO INC._NO RATE CLASS SERVICE CLASSIFICATION</t>
  </si>
  <si>
    <t>RIDEAU ST. LAWRENCE DISTRIBUTION INC._NO RATE CLASS SERVICE CLASSIFICATION</t>
  </si>
  <si>
    <t>SIOUX LOOKOUT HYDRO INC._NO RATE CLASS SERVICE CLASSIFICATION</t>
  </si>
  <si>
    <t>TILLSONBURG HYDRO INC._NO RATE CLASS SERVICE CLASSIFICATION</t>
  </si>
  <si>
    <t>TORONTO HYDRO-ELECTRIC SYSTEM LIMITED_NO RATE CLASS SERVICE CLASSIFICATION</t>
  </si>
  <si>
    <t>WASAGA DISTRIBUTION INC._NO RATE CLASS SERVICE CLASSIFICATION</t>
  </si>
  <si>
    <t>WATERLOO NORTH HYDRO INC._NO RATE CLASS SERVICE CLASSIFICATION</t>
  </si>
  <si>
    <t>WELLAND HYDRO-ELECTRIC SYSTEM CORP._NO RATE CLASS SERVICE CLASSIFICATION</t>
  </si>
  <si>
    <t>WELLINGTON NORTH POWER INC._NO RATE CLASS SERVICE CLASSIFICATION</t>
  </si>
  <si>
    <t>WESTARIO POWER INC._NO RATE CLASS SERVICE CLASSIFICATION</t>
  </si>
  <si>
    <t xml:space="preserve">
EMBEDDED DISTRIBUTOR SERVICE CLASSIFICATION</t>
  </si>
  <si>
    <t xml:space="preserve">
EMBEDDED DISTRIBUTOR SERVICE CLASSIFICATION FOR HYDRO ONE NETWORKS INC.</t>
  </si>
  <si>
    <t xml:space="preserve">
GENERAL SERVICE 50 TO 4,999 KW SERVICE CLASSIFICATION</t>
  </si>
  <si>
    <t xml:space="preserve">
GENERAL SERVICE 50 TO 999 KW SERVICE CLASSIFICATION</t>
  </si>
  <si>
    <t xml:space="preserve">
GENERAL SERVICE GREATER THAN 1,000 KW SERVICE CLASSIFICATION</t>
  </si>
  <si>
    <t xml:space="preserve">
GENERAL SERVICE LESS THAN 50 KW SERVICE CLASSIFICATION</t>
  </si>
  <si>
    <t xml:space="preserve">
microFIT SERVICE CLASSIFICATION</t>
  </si>
  <si>
    <t xml:space="preserve">
RETAIL SERVICE CHARGES (if applicable)</t>
  </si>
  <si>
    <t xml:space="preserve">
SENTINEL LIGHTING SERVICE CLASSIFICATION</t>
  </si>
  <si>
    <t xml:space="preserve">
STREET LIGHTING SERVICE CLASSIFICATION</t>
  </si>
  <si>
    <t xml:space="preserve">
UNMETERED SCATTERED LOAD SERVICE CLASSIFICATION</t>
  </si>
  <si>
    <t>HCI, RESOP, OTHER ENERGY RESOURCE SERVICE CLASSIFICATION</t>
  </si>
  <si>
    <t>microFIT AND MICRO-NET-METERING SERVICE CLASSIFICATION</t>
  </si>
  <si>
    <t>GENERAL SERVICE 1,000 KW OR GREATER SERVICE CLASSIFICATION</t>
  </si>
  <si>
    <t>COMPETITIVE SECTOR MULTI-UNIT RESIDENTIAL SERVICE 
CLASSIFICATION</t>
  </si>
  <si>
    <t>Brampton Rate Zone</t>
  </si>
  <si>
    <t>Enersource Rate Zone</t>
  </si>
  <si>
    <t>PowerStream Rate Zone</t>
  </si>
  <si>
    <t>1_RESIDENTIAL SERVICE CLASSIFICATION_CBR</t>
  </si>
  <si>
    <t>4_UNMETERED SCATTERED LOAD SERVICE CLASSIFICATION_CBR</t>
  </si>
  <si>
    <t>5_STREET LIGHTING SERVICE CLASSIFICATION_CBR</t>
  </si>
  <si>
    <t>Smart Metering Entity Charge - effective until December 31, 2022</t>
  </si>
  <si>
    <t>2_GENERAL SERVICE LESS THAN 50 KW SERVICE CLASSIFICATION</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</si>
  <si>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</si>
  <si>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</si>
  <si>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</si>
  <si>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</si>
  <si>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</si>
  <si>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</si>
  <si>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</si>
  <si>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</si>
  <si>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</si>
  <si>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2_GENERAL SERVICE LESS THAN 50 KW SERVICE CLASSIFICATION_DEFVAR_ALL</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</si>
  <si>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</si>
  <si>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2_GENERAL SERVICE LESS THAN 50 KW SERVICE CLASSIFICATION_Retail Transmission Rate - Transformation Connection Service Rate</t>
  </si>
  <si>
    <t>4_STREET LIGHTING SERVICE CLASSIFICATION_GA_kwh</t>
  </si>
  <si>
    <t>4_STREET LIGHTING SERVICE CLASSIFICATION_DEFVAR_ALL</t>
  </si>
  <si>
    <t>5_microFIT SERVICE CLASSIFICATION</t>
  </si>
  <si>
    <t>5_microFIT SERVICE CLASSIFICATION_MSC</t>
  </si>
  <si>
    <t>Late payment - per month</t>
  </si>
  <si>
    <t>Monthly fixed charge, per retailer</t>
  </si>
  <si>
    <t>Monthly variable charge, per customer, per retailer</t>
  </si>
  <si>
    <t>1_RESIDENTIAL R1 SERVICE CLASSIFICATION_Retail Transmission Rate - Network Service Rate</t>
  </si>
  <si>
    <t>1_RESIDENTIAL R1 SERVICE CLASSIFICATION_Retail Transmission Rate - Line and Transformation Connection Service Rate</t>
  </si>
  <si>
    <t>2_RESIDENTIAL R2 SERVICE CLASSIFICATION_Retail Transmission Rate - Network Service Rate</t>
  </si>
  <si>
    <t>2_RESIDENTIAL R2 SERVICE CLASSIFICATION_Retail Transmission Rate - Line and Transformation Connection Service Rate</t>
  </si>
  <si>
    <t>3_SEASONAL CUSTOMERS SERVICE CLASSIFICATION</t>
  </si>
  <si>
    <t>3_SEASONAL CUSTOMERS SERVICE CLASSIFICATION_MSC</t>
  </si>
  <si>
    <t>3_SEASONAL CUSTOMERS SERVICE CLASSIFICATION_SME</t>
  </si>
  <si>
    <t>3_SEASONAL CUSTOMERS SERVICE CLASSIFICATION_DVC</t>
  </si>
  <si>
    <t>3_SEASONAL CUSTOMERS SERVICE CLASSIFICATION_GA_kwh</t>
  </si>
  <si>
    <t>3_SEASONAL CUSTOMERS SERVICE CLASSIFICATION_DEFVAR_ALL</t>
  </si>
  <si>
    <t>3_SEASONAL CUSTOMERS SERVICE CLASSIFICATION_1574</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</si>
  <si>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</si>
  <si>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</si>
  <si>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</si>
  <si>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</si>
  <si>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</si>
  <si>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3_GENERAL SERVICE 50 TO 999 KW SERVICE CLASSIFICATION</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</si>
  <si>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</si>
  <si>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</si>
  <si>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</si>
  <si>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</si>
  <si>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</si>
  <si>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</si>
  <si>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</si>
  <si>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</si>
  <si>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</si>
  <si>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</si>
  <si>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</si>
  <si>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</si>
  <si>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</si>
  <si>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</si>
  <si>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</si>
  <si>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</si>
  <si>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</si>
  <si>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Alectra Utilities Corporation-Brampton Rate Zone</t>
  </si>
  <si>
    <t>Alectra Utilities Corporation-Brampton Rate Zone_Start</t>
  </si>
  <si>
    <t>1_RESIDENTIAL SERVICE CLASSIFICATION_FX_RR_4</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</si>
  <si>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</si>
  <si>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</si>
  <si>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</si>
  <si>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CLASSIFICATION_DVC</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</si>
  <si>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</si>
  <si>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</si>
  <si>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</si>
  <si>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</si>
  <si>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</si>
  <si>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</si>
  <si>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</si>
  <si>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</si>
  <si>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CLASSIFICATION_DVC</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</si>
  <si>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</si>
  <si>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</si>
  <si>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</si>
  <si>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</si>
  <si>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</si>
  <si>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</si>
  <si>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</si>
  <si>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</si>
  <si>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</si>
  <si>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</si>
  <si>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</si>
  <si>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10_DISTRIBUTED GENERATION [DGEN] SERVICE CLASSIFICATION_MSC</t>
  </si>
  <si>
    <t>10_DISTRIBUTED GENERATION [DGEN] SERVICE CLASSIFICATION_Retail Transmission Rate - Network Service Rate</t>
  </si>
  <si>
    <t>10_DISTRIBUTED GENERATION [DGEN] SERVICE CLASSIFICATION_Retail Transmission Rate - Line and Transformation Connection Service Rate</t>
  </si>
  <si>
    <t>10_DISTRIBUTED GENERATION [DGEN] SERVICE CLASSIFICATION_WMSR</t>
  </si>
  <si>
    <t>10_DISTRIBUTED GENERATION [DGEN] SERVICE CLASSIFICATION_RRRP</t>
  </si>
  <si>
    <t>10_DISTRIBUTED GENERATION [DGEN] SERVICE CLASSIFICATION_SSS</t>
  </si>
  <si>
    <t>11_ENERGY FROM WASTE SERVICE CLASSIFICATION</t>
  </si>
  <si>
    <t>11_ENERGY FROM WASTE SERVICE CLASSIFICATION_MSC</t>
  </si>
  <si>
    <t>Alectra Utilities Corporation_ALLOWANCES</t>
  </si>
  <si>
    <t xml:space="preserve">   General Service 50 to 699 kW Classification</t>
  </si>
  <si>
    <t xml:space="preserve">   General Service 700 to 4,999 kW Classification</t>
  </si>
  <si>
    <t>Primary Metering Allowance for transformer losses - applied to measured demand and energy</t>
  </si>
  <si>
    <t>Alectra Utilities Corporation_SSC</t>
  </si>
  <si>
    <t>Alectra Utilities Corporation_CA</t>
  </si>
  <si>
    <t>Alectra Utilities Corporation_NPoA</t>
  </si>
  <si>
    <t>Alectra Utilities Corporation_RSC</t>
  </si>
  <si>
    <t>Alectra Utilities Corporation_LFs</t>
  </si>
  <si>
    <t>Alectra Utilities Corporation-Brampton Rate Zone_End</t>
  </si>
  <si>
    <t>2_GENERAL SERVICE LESS THAN 50 KW SERVICE CLASSIFICATION_LRAM</t>
  </si>
  <si>
    <t>2_GENERAL SERVICE LESS THAN 50 KW SERVICE CLASSIFICATION_CBR</t>
  </si>
  <si>
    <t>4_EMBEDDED DISTRIBUTOR SERVICE CLASSIFICATION_CBR</t>
  </si>
  <si>
    <t>5_UNMETERED SCATTERED LOAD SERVICE CLASSIFICATION_CBR</t>
  </si>
  <si>
    <t>Standby Charge - for a month where standby power is not provided.  The charge is applied to the 
contracted amount (e.g. nameplate rating of generation facility)</t>
  </si>
  <si>
    <t>7_SENTINEL LIGHTING SERVICE CLASSIFICATION_CBR</t>
  </si>
  <si>
    <t>8_STREET LIGHTING SERVICE CLASSIFICATION_CBR</t>
  </si>
  <si>
    <t>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</si>
  <si>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6_STREET LIGHTING SERVICE CLASSIFICATION_CBR</t>
  </si>
  <si>
    <t>7_EMBEDDED DISTRIBUTOR SERVICE CLASSIFICATION_DWSR</t>
  </si>
  <si>
    <t>7_EMBEDDED DISTRIBUTOR SERVICE CLASSIFICATION_DEFVAR_ALL</t>
  </si>
  <si>
    <t>7_EMBEDDED DISTRIBUTOR SERVICE CLASSIFICATION_Retail Transmission Rate - Network Service Rate</t>
  </si>
  <si>
    <t>Rate Rider for Smart Metering Entity Charge - effective until December 31, 2022</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</si>
  <si>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</si>
  <si>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</si>
  <si>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</si>
  <si>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Rate Rider for Recovery of Incremental Capital (2017) - in effect until the effective date of the next cost of service based rate order</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</si>
  <si>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</si>
  <si>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3_GENERAL SERVICE 50 TO 499 KW SERVICE CLASSIFICATION</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</si>
  <si>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</si>
  <si>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3_GENERAL SERVICE 50 TO 499 KW SERVICE CLASSIFICATION_MSC</t>
  </si>
  <si>
    <t>3_GENERAL SERVICE 50 TO 499 KW SERVICE CLASSIFICATION_DVC</t>
  </si>
  <si>
    <t>3_GENERAL SERVICE 50 TO 499 KW SERVICE CLASSIFICATION_LV</t>
  </si>
  <si>
    <t>3_GENERAL SERVICE 50 TO 499 KW SERVICE CLASSIFICATION_GA_kwh</t>
  </si>
  <si>
    <t>3_GENERAL SERVICE 50 TO 499 KW SERVICE CLASSIFICATION_DEFVAR_ALL</t>
  </si>
  <si>
    <t>3_GENERAL SERVICE 50 TO 499 KW SERVICE CLASSIFICATION_CBR</t>
  </si>
  <si>
    <t>3_GENERAL SERVICE 50 TO 499 KW SERVICE CLASSIFICATION_LRAM</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</si>
  <si>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</si>
  <si>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</si>
  <si>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</si>
  <si>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</si>
  <si>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</si>
  <si>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4_GENERAL SERVICE 500 TO 4,999 KW SERVICE CLASSIFICATION</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</si>
  <si>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</si>
  <si>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CLASSIFICATION_MSC</t>
  </si>
  <si>
    <t>4_GENERAL SERVICE 500 TO 4,999 KW SERVICE CLASSIFICATION_DVC</t>
  </si>
  <si>
    <t>4_GENERAL SERVICE 500 TO 4,999 KW SERVICE CLASSIFICATION_LV</t>
  </si>
  <si>
    <t>4_GENERAL SERVICE 500 TO 4,999 KW SERVICE CLASSIFICATION_GA_kwh</t>
  </si>
  <si>
    <t>4_GENERAL SERVICE 500 TO 4,999 KW SERVICE CLASSIFICATION_DEFVAR_ALL</t>
  </si>
  <si>
    <t>4_GENERAL SERVICE 500 TO 4,999 KW SERVICE CLASSIFICATION_CBR</t>
  </si>
  <si>
    <t>4_GENERAL SERVICE 500 TO 4,999 KW SERVICE CLASSIFICATION_LRAM</t>
  </si>
  <si>
    <t>4_GENERAL SERVICE 500 TO 4,999 KW SERVICE CLASSIFICATION_WMSR</t>
  </si>
  <si>
    <t>4_GENERAL SERVICE 500 TO 4,999 KW SERVICE CLASSIFICATION_RRRP</t>
  </si>
  <si>
    <t>4_GENERAL SERVICE 500 TO 4,999 KW SERVICE CLASSIFICATION_SSS</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</si>
  <si>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</si>
  <si>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</si>
  <si>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</si>
  <si>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</si>
  <si>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6_UNMETERED SCATTERED LOAD SERVICE CLASSIFICATION_CBR</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</si>
  <si>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</si>
  <si>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7_STREET LIGHTING SERVICE CLASSIFICATION_CBR</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</si>
  <si>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</si>
  <si>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</si>
  <si>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Credit reference/credit check (plus credit agency costs – General Service)</t>
  </si>
  <si>
    <t>Account set up charge/change of occupancy charge (plus credit agency costs if applicable – Residential)</t>
  </si>
  <si>
    <t>Temporary service install and remove – overhead – no transformer</t>
  </si>
  <si>
    <t>Alectra Utilities Corporation-Enersource Rate Zone_End</t>
  </si>
  <si>
    <t>4_LARGE USE SERVICE CLASSIFICATION_GA_kwh</t>
  </si>
  <si>
    <t>Rate Rider for Disposition of Lost Revenue Adjustment Mechanism Variance Account (LRAMVA) (2018) -
        effective until April 30, 2020</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</si>
  <si>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</si>
  <si>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2_GENERAL SERVICE LESS THAN 50 KW SERVICE CLASSIFICATION_SMA</t>
  </si>
  <si>
    <t>Rate Rider for Disposition of Lost Revenue Adjustment Mechanism Variance Account (LRAMVA) (2018) -
       effective until April 30, 2020</t>
  </si>
  <si>
    <t>2_GENERAL SERVICE LESS THAN 50 KW SERVICE CLASSIFICATION_STS</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</si>
  <si>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</si>
  <si>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8_UNMETERED SCATTERED LOAD SERVICE CLASSIFICATION_CBR</t>
  </si>
  <si>
    <t>Rate Rider for Disposition of Account 1595 (2017)
     Applicable only for Non-RPP Customers excluding Wholesale Market Participant customers, and 
    those customers who paid a Rate Rider for the Disposition of Global Adjustment for a minimum of 
    12 months - effective until April 30, 2022</t>
  </si>
  <si>
    <t>7_EMBEDDED DISTRIBUTOR SERVICE CLASSIFICATION_LV</t>
  </si>
  <si>
    <t>7_EMBEDDED DISTRIBUTOR SERVICE CLASSIFICATION_WMSR</t>
  </si>
  <si>
    <t>7_EMBEDDED DISTRIBUTOR SERVICE CLASSIFICATION_RRRP</t>
  </si>
  <si>
    <t>7_EMBEDDED DISTRIBUTOR SERVICE CLASSIFICATION_SSS</t>
  </si>
  <si>
    <t>3_GENERAL SERVICE LESS THAN 50 KW SERVICE CLASSIFICATION</t>
  </si>
  <si>
    <t>3_GENERAL SERVICE LESS THAN 50 KW SERVICE CLASSIFICATION_MSC</t>
  </si>
  <si>
    <t>3_GENERAL SERVICE LESS THAN 50 KW SERVICE CLASSIFICATION_SME</t>
  </si>
  <si>
    <t>3_GENERAL SERVICE LESS THAN 50 KW SERVICE CLASSIFICATION_DVC</t>
  </si>
  <si>
    <t>3_GENERAL SERVICE LESS THAN 50 KW SERVICE CLASSIFICATION_LV</t>
  </si>
  <si>
    <t>3_GENERAL SERVICE LESS THAN 50 KW SERVICE CLASSIFICATION_GA_kwh</t>
  </si>
  <si>
    <t>3_GENERAL SERVICE LESS THAN 50 KW SERVICE CLASSIFICATION_DEFVAR_ALL</t>
  </si>
  <si>
    <t>3_GENERAL SERVICE LESS THAN 50 KW SERVICE CLASSIFICATION_CBR</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</si>
  <si>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</si>
  <si>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</si>
  <si>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</si>
  <si>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</si>
  <si>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</si>
  <si>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8_SENTINEL LIGHTING SERVICE CLASSIFICATION_CBR</t>
  </si>
  <si>
    <t>9_STREET LIGHTING SERVICE CLASSIFICATION_CBR</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</si>
  <si>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</si>
  <si>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</si>
  <si>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</si>
  <si>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 xml:space="preserve">     Late payment - per month</t>
  </si>
  <si>
    <t>3_GENERAL SERVICE 50 TO 999 KW SERVICE CLASSIFICATION_GA_kwh</t>
  </si>
  <si>
    <t>3_GENERAL SERVICE 50 TO 999 KW SERVICE CLASSIFICATION_LRAM</t>
  </si>
  <si>
    <t>3_GENERAL SERVICE 50 TO 999 KW SERVICE CLASSIFICATION_DEFVAR_ALL</t>
  </si>
  <si>
    <t>3_GENERAL SERVICE 50 TO 999 KW SERVICE CLASSIFICATION_CBR</t>
  </si>
  <si>
    <t>4_GENERAL SERVICE 1,000 TO 4,999 KW SERVICE CLASSIFICATION_GA_kwh</t>
  </si>
  <si>
    <t>4_GENERAL SERVICE 1,000 TO 4,999 KW SERVICE CLASSIFICATION_LRAM</t>
  </si>
  <si>
    <t>4_GENERAL SERVICE 1,000 TO 4,999 KW SERVICE CLASSIFICATION_DEFVAR_ALL</t>
  </si>
  <si>
    <t>4_GENERAL SERVICE 1,000 TO 4,999 KW SERVICE CLASSIFICATION_CBR</t>
  </si>
  <si>
    <t>This classification applies to a customer’s main place of abode and may include additional buildings served through the same meter, provided they are not rental income units. Residential includes Urban, Suburban and Farm customer’s premises which can be occupied on a year-round and seasonal basis. Farm applies to properties actively engaged in agricultural production as defined by Statistics Canada. These premises must be supplied from a single phase primary line. The farm definition does not include tree, sod, or pet farms. Services to year-round pumping stations or other ancillary services remote from the main farm shall be classed as farm. Class B consumers are defined in accordance with O. Reg. 429/04. Further servicing details are available in the distributor’s Conditions of Service.</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</si>
  <si>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is less than, or is forecast to be less than, 50 kW. Class B consumers are defined in accordance with O. Reg. 429/04. Further servicing details are available in the distributor’s Conditions of Service.</t>
  </si>
  <si>
    <t>2_GENERAL SERVICE LESS THAN 50 KW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</si>
  <si>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</si>
  <si>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4_UNMETERED SCATTERED LOAD SERVICE CLASSIFICATION_FAREG</t>
  </si>
  <si>
    <t>This classification refers to an account that is an unmetered lighting load supplied to a sentinel light. (Metered sentinel lighting is captured under the consumption of the principal service.) The consumption for these customers is assumed to have the same hourly consumption load profile as for Street Lighting. Class B consumers are defined in accordance with O. Reg. 429/04. Further servicing details are available in the distributor’s Conditions of Service.</t>
  </si>
  <si>
    <t>5_SENTINEL LIGHTING SERVICE CLASSIFICATION_FAREG</t>
  </si>
  <si>
    <t>6_STREET LIGHTING SERVICE CLASSIFICATION_FAREG</t>
  </si>
  <si>
    <t>7_EMBEDDED DISTRIBUTOR SERVICE CLASSIFICATION FOR HYDRO ONE NETWORKS INC.</t>
  </si>
  <si>
    <t>7_EMBEDDED DISTRIBUTOR SERVICE CLASSIFICATION FOR HYDRO ONE NETWORKS INC._MSC</t>
  </si>
  <si>
    <t>7_EMBEDDED DISTRIBUTOR SERVICE CLASSIFICATION FOR HYDRO ONE NETWORKS INC._DWSR</t>
  </si>
  <si>
    <t>7_EMBEDDED DISTRIBUTOR SERVICE CLASSIFICATION FOR HYDRO ONE NETWORKS INC._Retail Transmission Rate - Network Service Rate</t>
  </si>
  <si>
    <t>7_EMBEDDED DISTRIBUTOR SERVICE CLASSIFICATION FOR HYDRO ONE NETWORKS INC._Retail Transmission Rate - Line and Transformation Connection Service Rate</t>
  </si>
  <si>
    <t>7_EMBEDDED DISTRIBUTOR SERVICE CLASSIFICATION FOR HYDRO ONE NETWORKS INC._WMSR</t>
  </si>
  <si>
    <t>7_EMBEDDED DISTRIBUTOR SERVICE CLASSIFICATION FOR HYDRO ONE NETWORKS INC._RRRP</t>
  </si>
  <si>
    <t>7_EMBEDDED DISTRIBUTOR SERVICE CLASSIFICATION FOR HYDRO ONE NETWORKS INC._SSS</t>
  </si>
  <si>
    <t>3_GENERAL SERVICE 50 TO 1,499 KW SERVICE CLASSIFICATION</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</si>
  <si>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</si>
  <si>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</si>
  <si>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</si>
  <si>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</si>
  <si>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</si>
  <si>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</si>
  <si>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CLASSIFICATION_WMSR</t>
  </si>
  <si>
    <t>3_GENERAL SERVICE 50 TO 1,499 KW SERVICE CLASSIFICATION_RRRP</t>
  </si>
  <si>
    <t>3_GENERAL SERVICE 50 TO 1,499 KW SERVICE CLASSIFICATION_SSS</t>
  </si>
  <si>
    <t>4_INTERMEDIATE USER SERVICE CLASSIFICATION_Retail Transmission Rate - Network Service Rate</t>
  </si>
  <si>
    <t>4_INTERMEDIATE USER SERVICE CLASSIFICATION_Retail Transmission Rate - Line and Transformation Connection Service Rate</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</si>
  <si>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</si>
  <si>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</si>
  <si>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</si>
  <si>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1_RESIDENTIAL SERVICE CLASSIFICATION_FX_RR_93</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</si>
  <si>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</si>
  <si>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</si>
  <si>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</si>
  <si>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4_LARGE USE SERVICE CLASSIFICATION_Retail Transmission Rate - Line and Transformation Connection Service Rate</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</si>
  <si>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</si>
  <si>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</si>
  <si>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</si>
  <si>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</si>
  <si>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</si>
  <si>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</si>
  <si>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</si>
  <si>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</si>
  <si>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</si>
  <si>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</si>
  <si>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</si>
  <si>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 xml:space="preserve">6_STANDBY POWER SERVICE CLASSIFICATION </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</si>
  <si>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</si>
  <si>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</si>
  <si>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</si>
  <si>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</si>
  <si>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</si>
  <si>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</si>
  <si>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</si>
  <si>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Service Charge (per  Connection)</t>
  </si>
  <si>
    <t>Transformer Allowance for Ownership - per kW of billing demand</t>
  </si>
  <si>
    <t xml:space="preserve">     Pulling of post dated cheques</t>
  </si>
  <si>
    <t xml:space="preserve">     Income tax letter</t>
  </si>
  <si>
    <t xml:space="preserve">     Notification charge</t>
  </si>
  <si>
    <t xml:space="preserve">     Credit card convenience charge</t>
  </si>
  <si>
    <t xml:space="preserve">     Credit check (plus credit agency costs)</t>
  </si>
  <si>
    <t>3_GENERAL SERVICE 50 TO 1,499 KW SERVICE CLASSIFICATION_Retail Transmission Rate - Line and Transformation Connection Service Rate</t>
  </si>
  <si>
    <t>4_GENERAL SERVICE 1,500 TO 4,999 KW SERVICE CLASSIFICATION</t>
  </si>
  <si>
    <t>4_GENERAL SERVICE 1,500 TO 4,999 KW SERVICE CLASSIFICATION_MSC</t>
  </si>
  <si>
    <t>4_GENERAL SERVICE 1,500 TO 4,999 KW SERVICE CLASSIFICATION_DVC</t>
  </si>
  <si>
    <t>4_GENERAL SERVICE 1,500 TO 4,999 KW SERVICE CLASSIFICATION_LV</t>
  </si>
  <si>
    <t>4_GENERAL SERVICE 1,500 TO 4,999 KW SERVICE CLASSIFICATION_GA_kwh</t>
  </si>
  <si>
    <t>4_GENERAL SERVICE 1,500 TO 4,999 KW SERVICE CLASSIFICATION_DEFVAR_ALL</t>
  </si>
  <si>
    <t>4_GENERAL SERVICE 1,500 TO 4,999 KW SERVICE CLASSIFICATION_Retail Transmission Rate - Network Service Rate</t>
  </si>
  <si>
    <t>4_GENERAL SERVICE 1,500 TO 4,999 KW SERVICE CLASSIFICATION_Retail Transmission Rate - Line and Transformation Connection Service Rate</t>
  </si>
  <si>
    <t>4_GENERAL SERVICE 1,500 TO 4,999 KW SERVICE CLASSIFICATION_WMSR</t>
  </si>
  <si>
    <t>4_GENERAL SERVICE 1,500 TO 4,999 KW SERVICE CLASSIFICATION_RRRP</t>
  </si>
  <si>
    <t>4_GENERAL SERVICE 1,500 TO 4,999 KW SERVICE CLASSIFICATION_SSS</t>
  </si>
  <si>
    <t>7_STANDBY POWER SERVICE CLASSIFICATION_MSC</t>
  </si>
  <si>
    <t>10_microFIT AND MICRO-NET-METERING SERVICE CLASSIFICATION</t>
  </si>
  <si>
    <t>10_microFIT AND MICRO-NET-METERING SERVICE CLASSIFICATION_MSC</t>
  </si>
  <si>
    <t>11_FIT SERVICE CLASSIFICATION</t>
  </si>
  <si>
    <t>11_FIT SERVICE CLASSIFICATION_MSC</t>
  </si>
  <si>
    <t>12_HCI, RESOP, OTHER ENERGY RESOURCE SERVICE CLASSIFICATION</t>
  </si>
  <si>
    <t>12_HCI, RESOP, OTHER ENERGY RESOURCE SERVICE CLASSIFICATION_MSC</t>
  </si>
  <si>
    <t>Energy resource facility administration charge - without account set up (one time)</t>
  </si>
  <si>
    <t>Energy resource facility administration charge - with account set up (one time)</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</si>
  <si>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</si>
  <si>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Rate Rider for Disposition of Group 2 Deferral/Variance Accounts (2017) - effective until April 30, 2020</t>
  </si>
  <si>
    <t>Rate Rider for Disposition of Deferral/Variance Accounts (2017) - effective until April 30, 2020</t>
  </si>
  <si>
    <t>This classification refers to a non-residential account taking electricity at 750 volts or less whose monthly peak demand is less than or expected to be less than 50 kW. Further servicing details are available in the distributor's Conditions of Service.</t>
  </si>
  <si>
    <t xml:space="preserve">Rate Rider for Disposition of Group 2 Deferral/Variance Accounts (2017) - effective until April 30, 2020 </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</si>
  <si>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</si>
  <si>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</si>
  <si>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</si>
  <si>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Specific charge for access to the power poles - per pole/year</t>
  </si>
  <si>
    <t>Credit check (plus credit agency costs)</t>
  </si>
  <si>
    <t>Rate Rider for Application of Tax Change - in effect until the effective date of the next Cost of 
     Service Based Rate Order</t>
  </si>
  <si>
    <t>Rate Rider for Application of Tax Change - in effect until the effective date of the next Cost of 
     Service based Rate Order</t>
  </si>
  <si>
    <t>Rate Rider for Application of Tax Change - in effect until the effective date of the next Cost of
     Service based Rate Order</t>
  </si>
  <si>
    <t>This classification applies to an electricity distributor licensed by the Ontario Energy Board, and provided electricity by means of Norfolk Power Distribution Inc.’s distribution facilities. Class B consumers are defined in accordance with O. Reg. 429/04.  Further servicing details are available in the distributor’s Conditions of Service.</t>
  </si>
  <si>
    <t>Credit reference letter</t>
  </si>
  <si>
    <t>4_GENERAL SERVICE 1,000 KW AND GREATER SERVICE CLASSIFICATION</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</si>
  <si>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</si>
  <si>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</si>
  <si>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</si>
  <si>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CLASSIFICATION_WMSR</t>
  </si>
  <si>
    <t>4_GENERAL SERVICE 1,000 KW AND GREATER SERVICE CLASSIFICATION_RRRP</t>
  </si>
  <si>
    <t>4_GENERAL SERVICE 1,000 KW AND GREATER SERVICE CLASSIFICATION_SSS</t>
  </si>
  <si>
    <t>8_EMBEDDED DISTRIBUTOR SERVICE CLASSIFICATION_DVC</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</si>
  <si>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</si>
  <si>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Returned cheque charge (plus bank charges)</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</si>
  <si>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</si>
  <si>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</si>
  <si>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</si>
  <si>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</si>
  <si>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Retail Transmission Rate - Line and Transformation Connection Service Rate – Interval Metered</t>
  </si>
  <si>
    <t xml:space="preserve">5_STANDBY POWER SERVICE CLASSIFICATION </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</si>
  <si>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</si>
  <si>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</si>
  <si>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</si>
  <si>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Alectra Utilities Corporation-PowerStream Rate Zone_End</t>
  </si>
  <si>
    <t xml:space="preserve">        Easement letter</t>
  </si>
  <si>
    <t xml:space="preserve">        Credit reference/credit check (plus credit agency costs)</t>
  </si>
  <si>
    <t xml:space="preserve">        Late payment - per annum</t>
  </si>
  <si>
    <t xml:space="preserve">        Temporary service - install &amp; remove - underground - no transformer</t>
  </si>
  <si>
    <t xml:space="preserve">        Specific charge for access to the power poles - per pole/year
        (with the exception of wireless attachments)</t>
  </si>
  <si>
    <t xml:space="preserve">       up to twice a year</t>
  </si>
  <si>
    <t xml:space="preserve">       more than twice a year, per request (plus incremental delivery costs)</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</si>
  <si>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</si>
  <si>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 xml:space="preserve">Legal letter charge </t>
  </si>
  <si>
    <t xml:space="preserve">Monthly fixed charge, per retailer </t>
  </si>
  <si>
    <t xml:space="preserve">Monthly variable charge, per customer, per retailer </t>
  </si>
  <si>
    <t>Rate Rider for Recovery of Advanced Capital Module (2018) - effective until the effective date of the next 
      cost of service-based rate order</t>
  </si>
  <si>
    <t>Cellular meter read charge</t>
  </si>
  <si>
    <t xml:space="preserve">Rural or Remote Electricity Rate Protection Charge (RRRP) </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</si>
  <si>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</si>
  <si>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</si>
  <si>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</si>
  <si>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</si>
  <si>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</si>
  <si>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to contribute towards Kingston Hydro’s 2020 Conservation Targets, but are not able to operate their generators “24-7-365”.
</t>
  </si>
  <si>
    <t xml:space="preserve">     Specific charge for access to the power poles (with the exception of wireless connections) - $/pole/year</t>
  </si>
  <si>
    <t>3_GENERAL SERVICE 50 TO 999 KW SERVICE CLASSIFICATION_MDC</t>
  </si>
  <si>
    <t>4_GENERAL SERVICE 1,000 TO 4,999 KW SERVICE CLASSIFICATION_MDC</t>
  </si>
  <si>
    <t>5_LARGE USE SERVICE CLASSIFICATION_MDC</t>
  </si>
  <si>
    <t>2_COMPETITIVE SECTOR MULTI-UNIT RESIDENTIAL SERVICE CLASSIFICATION_GA_kwh</t>
  </si>
  <si>
    <t>2_COMPETITIVE SECTOR MULTI-UNIT RESIDENTIAL SERVICE CLASSIFICATION_CBR</t>
  </si>
  <si>
    <t>2_COMPETITIVE SECTOR MULTI-UNIT RESIDENTIAL SERVICE CLASSIFICATION_RRRP</t>
  </si>
  <si>
    <t>2_COMPETITIVE SECTOR MULTI-UNIT RESIDENTIAL SERVICE CLASSIFICATION_SSS</t>
  </si>
  <si>
    <t>4_GENERAL SERVICE 50 TO 999 KW SERVICE CLASSIFICATION</t>
  </si>
  <si>
    <t>4_GENERAL SERVICE 50 TO 999 KW SERVICE CLASSIFICATION_MSC</t>
  </si>
  <si>
    <t>4_GENERAL SERVICE 50 TO 999 KW SERVICE CLASSIFICATION_DVC</t>
  </si>
  <si>
    <t>4_GENERAL SERVICE 50 TO 999 KW SERVICE CLASSIFICATION_CBR</t>
  </si>
  <si>
    <t>4_GENERAL SERVICE 50 TO 999 KW SERVICE CLASSIFICATION_GA_kwh</t>
  </si>
  <si>
    <t>4_GENERAL SERVICE 50 TO 999 KW SERVICE CLASSIFICATION_DEFVAR_ALL</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</si>
  <si>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</si>
  <si>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</si>
  <si>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</si>
  <si>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</si>
  <si>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</si>
  <si>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</si>
  <si>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5_GENERAL SERVICE 1,000 TO 4,999 KW SERVICE CLASSIFICATION_MSC</t>
  </si>
  <si>
    <t>5_GENERAL SERVICE 1,000 TO 4,999 KW SERVICE CLASSIFICATION_DVC</t>
  </si>
  <si>
    <t>5_GENERAL SERVICE 1,000 TO 4,999 KW SERVICE CLASSIFICATION_CBR</t>
  </si>
  <si>
    <t>5_GENERAL SERVICE 1,000 TO 4,999 KW SERVICE CLASSIFICATION_GA_kwh</t>
  </si>
  <si>
    <t>5_GENERAL SERVICE 1,000 TO 4,999 KW SERVICE CLASSIFICATION_DEFVAR_ALL</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</si>
  <si>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</si>
  <si>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</si>
  <si>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</si>
  <si>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</si>
  <si>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</si>
  <si>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CLASSIFICATION_CBR</t>
  </si>
  <si>
    <t>8_UNMETERED SCATTERED LOAD SERVICE CLASSIFICATION_CC</t>
  </si>
  <si>
    <t>Request for other billing or system information</t>
  </si>
  <si>
    <t>Specific charge for access to the power poles (wireline attachments) - per pole/year</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</si>
  <si>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</si>
  <si>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</si>
  <si>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</si>
  <si>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</si>
  <si>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</si>
  <si>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4_GENERAL SERVICE 1,000 KW OR GREATER SERVICE CLASSIFICATION</t>
  </si>
  <si>
    <t>4_GENERAL SERVICE 1,000 KW OR GREATER SERVICE CLASSIFICATION_MSC</t>
  </si>
  <si>
    <t>4_GENERAL SERVICE 1,000 KW OR GREATER SERVICE CLASSIFICATION_DVC</t>
  </si>
  <si>
    <t>4_GENERAL SERVICE 1,000 KW OR GREATER SERVICE CLASSIFICATION_GA_kwh</t>
  </si>
  <si>
    <t>4_GENERAL SERVICE 1,000 KW OR GREATER SERVICE CLASSIFICATION_DEFVAR_ALL</t>
  </si>
  <si>
    <t>4_GENERAL SERVICE 1,000 KW OR GREATER SERVICE CLASSIFICATION_Retail Transmission Rate - Network Service Rate</t>
  </si>
  <si>
    <t>4_GENERAL SERVICE 1,000 KW OR GREATER SERVICE CLASSIFICATION_WMSR</t>
  </si>
  <si>
    <t>4_GENERAL SERVICE 1,000 KW OR GREATER SERVICE CLASSIFICATION_RRRP</t>
  </si>
  <si>
    <t>4_GENERAL SERVICE 1,000 KW OR GREATER SERVICE CLASSIFICATION_SSS</t>
  </si>
  <si>
    <t>Total Loss Factor - Primary Metered Customer</t>
  </si>
  <si>
    <t>Welland Hydro-Electric System Corp._ALLOWANCES</t>
  </si>
  <si>
    <t>Welland Hydro-Electric System Corp._SSC</t>
  </si>
  <si>
    <t>Welland Hydro-Electric System Corp._CA</t>
  </si>
  <si>
    <t>Welland Hydro-Electric System Corp._RSC</t>
  </si>
  <si>
    <t>Welland Hydro-Electric System Corp._LFs</t>
  </si>
  <si>
    <t>Rate Rider for Recovery of Advanced Capital Module (2018) - effective until the effective date of the
       next cost of service-based rate order</t>
  </si>
  <si>
    <t>Rate Rider for Recovery of Advanced Capital Module (2018) - effective until the effective date of the
      next cost of service-based rate order</t>
  </si>
  <si>
    <t>4_GENERAL SERVICE 500 TO 4,999 KW SERVICE CLASSIFICATION_Retail Transmission Rate - Network Service Rate</t>
  </si>
  <si>
    <t>4_GENERAL SERVICE 500 TO 4,999 KW SERVICE CLASSIFICATION_Retail Transmission Rate - Line and Transformation Connection Service Rate</t>
  </si>
  <si>
    <t>Rate Rider for Recovery of Smart Meter Incremental Revenue Requirement - in effect until the 
     effective date of the next cost of service based rate order</t>
  </si>
  <si>
    <t>Rate Rider for Recovery of Incremental Capital - in effect until the effective date of the next cost of
     service based rate order</t>
  </si>
  <si>
    <t>Rate Rider for Recovery of Incremental Capital - in effect until the effective date of the next cost of 
     service based rate order</t>
  </si>
  <si>
    <t>4_GENERAL SERVICE GREATER THAN 1,000 KW SERVICE CLASSIFICATION</t>
  </si>
  <si>
    <t>4_GENERAL SERVICE GREATER THAN 1,000 KW SERVICE CLASSIFICATION_MSC</t>
  </si>
  <si>
    <t>4_GENERAL SERVICE GREATER THAN 1,000 KW SERVICE CLASSIFICATION_DVC</t>
  </si>
  <si>
    <t>Rate Rider for Recovery of Incremental Capital - in effect until the effective date of the next cost of
      service based rate order</t>
  </si>
  <si>
    <t>4_GENERAL SERVICE GREATER THAN 1,000 KW SERVICE CLASSIFICATION_Retail Transmission Rate - Network Service Rate</t>
  </si>
  <si>
    <t>4_GENERAL SERVICE GREATER THAN 1,000 KW SERVICE CLASSIFICATION_Retail Transmission Rate - Line and Transformation Connection Service Rate</t>
  </si>
  <si>
    <t>4_GENERAL SERVICE GREATER THAN 1,000 KW SERVICE CLASSIFICATION_WMSR</t>
  </si>
  <si>
    <t>4_GENERAL SERVICE GREATER THAN 1,000 KW SERVICE CLASSIFICATION_RRRP</t>
  </si>
  <si>
    <t>4_GENERAL SERVICE GREATER THAN 1,000 KW SERVICE CLASSIFICATION_SSS</t>
  </si>
  <si>
    <r>
      <t>Disposition and Recovery/Refund of Regulatory Balances (2016)</t>
    </r>
    <r>
      <rPr>
        <vertAlign val="superscript"/>
        <sz val="11"/>
        <rFont val="Arial"/>
        <family val="2"/>
      </rPr>
      <t>3</t>
    </r>
  </si>
  <si>
    <r>
      <t>Disposition and Recovery/Refund of Regulatory Balances (2017)</t>
    </r>
    <r>
      <rPr>
        <vertAlign val="superscript"/>
        <sz val="11"/>
        <rFont val="Arial"/>
        <family val="2"/>
      </rPr>
      <t>3</t>
    </r>
  </si>
  <si>
    <r>
      <t xml:space="preserve">1595 Recovery Proportion (2017) </t>
    </r>
    <r>
      <rPr>
        <b/>
        <vertAlign val="superscript"/>
        <sz val="10"/>
        <rFont val="Arial"/>
        <family val="2"/>
      </rPr>
      <t>1</t>
    </r>
  </si>
  <si>
    <r>
      <t xml:space="preserve">1595 Recovery Proportion (2018) </t>
    </r>
    <r>
      <rPr>
        <b/>
        <vertAlign val="superscript"/>
        <sz val="10"/>
        <rFont val="Arial"/>
        <family val="2"/>
      </rPr>
      <t>1</t>
    </r>
  </si>
  <si>
    <t>1595_(2017)</t>
  </si>
  <si>
    <t>1595_(2018)</t>
  </si>
  <si>
    <t>RRRP Credit</t>
  </si>
  <si>
    <t>Smart Meter Entity Charge (if applicable)</t>
  </si>
  <si>
    <t>Transactions Debit / (Credit) during 2014</t>
  </si>
  <si>
    <t>Transactions Debit / (Credit) during 2015</t>
  </si>
  <si>
    <t>Interest Jan 1 to Dec 31, 2015</t>
  </si>
  <si>
    <t>Transactions Debit / (Credit) during 2016</t>
  </si>
  <si>
    <t>Opening Principal Amounts as of Jan 1, 2017</t>
  </si>
  <si>
    <t>Transactions Debit / (Credit) during 2017</t>
  </si>
  <si>
    <t>OEB-Approved Disposition during 2017</t>
  </si>
  <si>
    <t>Closing Principal Balance as of Dec 31, 2017</t>
  </si>
  <si>
    <t>Opening Interest Amounts as of Jan 1, 2017</t>
  </si>
  <si>
    <t>Interest Jan 1 to Dec 31, 2017</t>
  </si>
  <si>
    <t>Closing Interest Amounts as of Dec 31, 2017</t>
  </si>
  <si>
    <t>Alectra Utilities Corporation1595_(2017)</t>
  </si>
  <si>
    <t>Algoma Power Inc.1595_(2017)</t>
  </si>
  <si>
    <t>Bluewater Power Distribution Corporation1595_(2017)</t>
  </si>
  <si>
    <t>Brantford Power Inc.1595_(2017)</t>
  </si>
  <si>
    <t>Burlington Hydro Inc.1595_(2017)</t>
  </si>
  <si>
    <t>Canadian Niagara Power Inc.1595_(2017)</t>
  </si>
  <si>
    <t>Centre Wellington Hydro Ltd.1595_(2017)</t>
  </si>
  <si>
    <t>Chapleau Public Utilities Corporation1595_(2017)</t>
  </si>
  <si>
    <t>Cooperative Hydro Embrun Inc.1595_(2017)</t>
  </si>
  <si>
    <t>E.L.K. Energy Inc.1595_(2017)</t>
  </si>
  <si>
    <t>Entegrus Powerlines Inc.1595_(2017)</t>
  </si>
  <si>
    <t>Espanola Regional Hydro Distribution Corporation1595_(2017)</t>
  </si>
  <si>
    <t>Essex Powerlines Corporation1595_(2017)</t>
  </si>
  <si>
    <t>Festival Hydro Inc.1595_(2017)</t>
  </si>
  <si>
    <t>Fort Frances Power Corporation1595_(2017)</t>
  </si>
  <si>
    <t>Greater Sudbury Hydro Inc.1595_(2017)</t>
  </si>
  <si>
    <t>Grimsby Power Incorporated1595_(2017)</t>
  </si>
  <si>
    <t>Halton Hills Hydro Inc.1595_(2017)</t>
  </si>
  <si>
    <t>Hydro 2000 Inc.1595_(2017)</t>
  </si>
  <si>
    <t>Hydro Hawkesbury Inc.1595_(2017)</t>
  </si>
  <si>
    <t>Hydro One Networks Inc.1595_(2017)</t>
  </si>
  <si>
    <t>Hydro One Remote Communities Inc.1595_(2017)</t>
  </si>
  <si>
    <t>Hydro Ottawa Limited1595_(2017)</t>
  </si>
  <si>
    <t>Innpower Corporation1595_(2017)</t>
  </si>
  <si>
    <t>Kingston Hydro Corporation1595_(2017)</t>
  </si>
  <si>
    <t>Kitchener-Wilmot Hydro Inc.1595_(2017)</t>
  </si>
  <si>
    <t>Lakefront Utilities Inc.1595_(2017)</t>
  </si>
  <si>
    <t>Lakeland Power Distribution Ltd.1595_(2017)</t>
  </si>
  <si>
    <t>London Hydro Inc.1595_(2017)</t>
  </si>
  <si>
    <t>Milton Hydro Distribution Inc.1595_(2017)</t>
  </si>
  <si>
    <t>Newmarket-Tay Power Distribution Ltd.1595_(2017)</t>
  </si>
  <si>
    <t>Niagara Peninsula Energy Inc.1595_(2017)</t>
  </si>
  <si>
    <t>Niagara-on-the-Lake Hydro Inc.1595_(2017)</t>
  </si>
  <si>
    <t>North Bay Hydro Distribution Limited1595_(2017)</t>
  </si>
  <si>
    <t>Northern Ontario Wires Inc.1595_(2017)</t>
  </si>
  <si>
    <t>Oakville Hydro Electricity Distribution Inc.1595_(2017)</t>
  </si>
  <si>
    <t>Orangeville Hydro Limited1595_(2017)</t>
  </si>
  <si>
    <t>Orillia Power Distribution Corporation1595_(2017)</t>
  </si>
  <si>
    <t>Oshawa PUC Networks Inc.1595_(2017)</t>
  </si>
  <si>
    <t>Ottawa River Power Corporation1595_(2017)</t>
  </si>
  <si>
    <t>PUC Distribution Inc.1595_(2017)</t>
  </si>
  <si>
    <t>Peterborough Distribution Incorporated1595_(2017)</t>
  </si>
  <si>
    <t>Renfrew Hydro Inc.1595_(2017)</t>
  </si>
  <si>
    <t>Rideau St. Lawrence Distribution Inc.1595_(2017)</t>
  </si>
  <si>
    <t>Sioux Lookout Hydro Inc.1595_(2017)</t>
  </si>
  <si>
    <t>Tillsonburg Hydro Inc.1595_(2017)</t>
  </si>
  <si>
    <t>Toronto Hydro-Electric System Limited1595_(2017)</t>
  </si>
  <si>
    <t>Wasaga Distribution Inc.1595_(2017)</t>
  </si>
  <si>
    <t>Waterloo North Hydro Inc.1595_(2017)</t>
  </si>
  <si>
    <t>Welland Hydro-Electric System Corp.1595_(2017)</t>
  </si>
  <si>
    <t>Wellington North Power Inc.1595_(2017)</t>
  </si>
  <si>
    <t>Westario Power Inc.1595_(2017)</t>
  </si>
  <si>
    <t>Current RTSR-Network</t>
  </si>
  <si>
    <t>Billed kW</t>
  </si>
  <si>
    <t>Total Bill</t>
  </si>
  <si>
    <t>Year the Account 1589 GA Balance Last Disposed</t>
  </si>
  <si>
    <t>Metered Consumption (kWh) for Transition Customers During the Period When They Were Class B Customers in 2017</t>
  </si>
  <si>
    <t>Total Metered Class B Consumption (kWh)  for Transition Customers During the Period When They were Class B Customers</t>
  </si>
  <si>
    <t>Metered Class B Consumption (kWh)  for Transition Customers During the Period When They were Class B Customers in 2017</t>
  </si>
  <si>
    <t>Metered Class B Consumption (kWh)  for Transition Customers During the Period When They were Class B Customers in 2016</t>
  </si>
  <si>
    <t>Metered Class B Consumption (kWh)  for Transition Customers During the Period When They were Class B Customers in 2015</t>
  </si>
  <si>
    <t>Metered Consumption (kWh) for Transition Customers During the Period When They Were Class B Customers in 2016</t>
  </si>
  <si>
    <t>Metered Consumption (kWh) for Transition Customers During the Period When They Were Class B Customers in 2015</t>
  </si>
  <si>
    <t>Columns E and F have been populated with data from the most recent RRR filing. Rate classes that have more than one Network or Connection charge will notice that the cells are highlighted in green and unlocked.  
If the data needs to be modified, please make the necessary adjustments and note the changes in your manager's summary. As well, the Loss Factor has been imported from Tab 2.</t>
  </si>
  <si>
    <t>3_GENERAL SERVICE 50 to 4,999 kW SERVICE CLASSIFICATION</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</si>
  <si>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</si>
  <si>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</si>
  <si>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</si>
  <si>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</si>
  <si>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</si>
  <si>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</si>
  <si>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</si>
  <si>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</si>
  <si>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3_GENERAL SERVICE 50 to 4,999 kW SERVICE CLASSIFICATION_GA_kwh</t>
  </si>
  <si>
    <t>3_GENERAL SERVICE 50 to 4,999 kW SERVICE CLASSIFICATION_DEFVAR_ALL</t>
  </si>
  <si>
    <t>3_GENERAL SERVICE 50 to 4,999 kW SERVICE CLASSIFICATION_SMA</t>
  </si>
  <si>
    <t>3_GENERAL SERVICE 50 to 4,999 kW SERVICE CLASSIFICATION_LRAM</t>
  </si>
  <si>
    <t>3_GENERAL SERVICE 50 to 4,999 kW SERVICE CLASSIFICATION_CBR</t>
  </si>
  <si>
    <t>6_STANDBY POWER SERVICE CLASSIFICATION_DVC</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</si>
  <si>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</si>
  <si>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</si>
  <si>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</si>
  <si>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forecasted to be equal to or greater than, 50 kW but less than 3,000 kW. Class A and Class B consumers are defined in accordance with O. Reg. 429/04. Further servicing details are available in the distributor's Conditions of Service.</t>
  </si>
  <si>
    <t>3_GENERAL SERVICE 50 TO 2,999 KW SERVICE CLASSIFICATION_LRAM</t>
  </si>
  <si>
    <t>This classification applies to a non-residential account whose average monthly maximum demand used for billing is equal to or greater than, or is forecasted to be equal to or greater than, 3,000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</si>
  <si>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</si>
  <si>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4_GENERAL SERVICE 3,000 TO 4,999 KW SERVICE CLASSIFICATION_LRAM</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</si>
  <si>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</si>
  <si>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that is an unmetered lighting load supplied to a sentinel light where consumption isbased on connected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</si>
  <si>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of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</si>
  <si>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</si>
  <si>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</si>
  <si>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</si>
  <si>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</si>
  <si>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</si>
  <si>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</si>
  <si>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</si>
  <si>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</si>
  <si>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9_STANDBY POWER SERVICE CLASSIFICATION_DVC</t>
  </si>
  <si>
    <t>1_RESIDENTIAL SERVICE CLASSIFICATION_FX_RR_38</t>
  </si>
  <si>
    <t>3_GENERAL SERVICE 50 to 4,999 kW SERVICE CLASSIFICATION_STS</t>
  </si>
  <si>
    <t>3_GENERAL SERVICE 50 to 4,999 kW SERVICE CLASSIFICATION_FAREG</t>
  </si>
  <si>
    <t>6_STANDBY POWER SERVICE CLASSIFICATION _DVC</t>
  </si>
  <si>
    <t>5_STANDBY POWER SERVICE CLASSIFICATION _DVC</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</si>
  <si>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</si>
  <si>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</si>
  <si>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Rate Rider for Disposition of Group 2 Deferral/Variance Accounts (2018) - effective until May 31, 2020</t>
  </si>
  <si>
    <t>Rate Rider for Disposition of Deferral/Variance Accounts (2018) - effective until May 31, 2020</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</si>
  <si>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</si>
  <si>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</si>
  <si>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</si>
  <si>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</si>
  <si>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</si>
  <si>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</si>
  <si>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</si>
  <si>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Westario Power Inc._NPoA</t>
  </si>
  <si>
    <t>Westario Power Inc._RSC</t>
  </si>
  <si>
    <t>Westario Power Inc._LFs</t>
  </si>
  <si>
    <t>Westario Power Inc._End</t>
  </si>
  <si>
    <t>The application of these rates and charges shall be in accordance with the Licence of the Distributor and any Code or Order of the Board, and amendments thereto as approved by the Board, which may be applicable to the administration of this schedule.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</si>
  <si>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</si>
  <si>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</si>
  <si>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</si>
  <si>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</si>
  <si>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</si>
  <si>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</si>
  <si>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</si>
  <si>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9_EMBEDDED DISTRIBUTOR SERVICE CLASSIFICATION_DVC</t>
  </si>
  <si>
    <t>1_RESIDENTIAL SERVICE CLASSIFICATION_FX_RR_1</t>
  </si>
  <si>
    <t>Essex Powerlines Corporation_Start</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</si>
  <si>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</si>
  <si>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Essex Powerlines Corporation_ALLOWANCES</t>
  </si>
  <si>
    <t>Essex Powerlines Corporation_SSC</t>
  </si>
  <si>
    <t>Essex Powerlines Corporation_CA</t>
  </si>
  <si>
    <t>Essex Powerlines Corporation_RSC</t>
  </si>
  <si>
    <t>Essex Powerlines Corporation_LFs</t>
  </si>
  <si>
    <t>Essex Powerlines Corporation_End</t>
  </si>
  <si>
    <t>4_STREET LIGHTING SERVICE CLASSIFICATION_LV</t>
  </si>
  <si>
    <t>Sioux Lookout Hydro Inc._Start</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</si>
  <si>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</si>
  <si>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General Service &gt;1,000 to 4,999 kW interval metered.
Class A and Class B consumers are defined in accordance with O. Reg. 429/04. Further servicing details are available in the distributor’s Conditions of Service.
</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</si>
  <si>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</si>
  <si>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Sioux Lookout Hydro Inc._ALLOWANCES</t>
  </si>
  <si>
    <t>Sioux Lookout Hydro Inc._SSC</t>
  </si>
  <si>
    <t>Sioux Lookout Hydro Inc._CA</t>
  </si>
  <si>
    <t>Sioux Lookout Hydro Inc._RSC</t>
  </si>
  <si>
    <t>Sioux Lookout Hydro Inc._LFs</t>
  </si>
  <si>
    <t>Sioux Lookout Hydro Inc._End</t>
  </si>
  <si>
    <t>BLUEWATER POWER DISTRIBUTION CORPORATION</t>
  </si>
  <si>
    <t>BLUEWATER POWER DISTRIBUTION CORPORATION_GENERAL SERVICE 1,000 TO 4,999 KW SERVICE CLASSIFICATION</t>
  </si>
  <si>
    <t>BLUEWATER POWER DISTRIBUTION CORPORATION_GENERAL SERVICE 50 TO 999 KW SERVICE CLASSIFICATION</t>
  </si>
  <si>
    <t>BLUEWATER POWER DISTRIBUTION CORPORATION_GENERAL SERVICE LESS THAN 50 KW SERVICE CLASSIFICATION</t>
  </si>
  <si>
    <t>BLUEWATER POWER DISTRIBUTION CORPORATION_LARGE USE SERVICE CLASSIFICATION</t>
  </si>
  <si>
    <t>BLUEWATER POWER DISTRIBUTION CORPORATION_NO RATE CLASS SERVICE CLASSIFICATION</t>
  </si>
  <si>
    <t>BLUEWATER POWER DISTRIBUTION CORPORATION_RESIDENTIAL SERVICE CLASSIFICATION</t>
  </si>
  <si>
    <t>BLUEWATER POWER DISTRIBUTION CORPORATION_SENTINEL LIGHTING SERVICE CLASSIFICATION</t>
  </si>
  <si>
    <t>BLUEWATER POWER DISTRIBUTION CORPORATION_STREET LIGHTING SERVICE CLASSIFICATION</t>
  </si>
  <si>
    <t>BLUEWATER POWER DISTRIBUTION CORPORATION_UNMETERED SCATTERED LOAD SERVICE CLASSIFICATION</t>
  </si>
  <si>
    <r>
      <rPr>
        <b/>
        <sz val="11"/>
        <color theme="1"/>
        <rFont val="Arial"/>
        <family val="2"/>
      </rPr>
      <t>Input required at cells C13 and C14.</t>
    </r>
    <r>
      <rPr>
        <sz val="11"/>
        <color theme="1"/>
        <rFont val="Arial"/>
        <family val="2"/>
      </rPr>
      <t xml:space="preserve">  This workshseet calculates rate riders related to the Deferral/Variance Account Disposition (if applicable) and rate riders for Account 1568.  Rate Riders will not be generated for the microFIT class.</t>
    </r>
  </si>
  <si>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</si>
  <si>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</si>
  <si>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Rate Rider for Disposition of Group 2 Deferral/Variance Accounts (2018) - effective until December 31, 2020</t>
  </si>
  <si>
    <t>Rate Rider for Disposition of Deferral/Variance Accounts (2018) - effective until December 31, 2020</t>
  </si>
  <si>
    <t>Rate Rider for Disposition of Global Adjustment Account (2018) - effective until December 31, 2020
     Applicable only for Non-RPP Customers</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</si>
  <si>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</si>
  <si>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</si>
  <si>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</si>
  <si>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</si>
  <si>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Cooperative Hydro Embrun Inc._ALLOWANCES</t>
  </si>
  <si>
    <t>Cooperative Hydro Embrun Inc._SSC</t>
  </si>
  <si>
    <t>Cooperative Hydro Embrun Inc._CA</t>
  </si>
  <si>
    <t>Cooperative Hydro Embrun Inc._NPoA</t>
  </si>
  <si>
    <t>Temporary service - installation and removal - overhead - no transformer</t>
  </si>
  <si>
    <t>Cooperative Hydro Embrun Inc._RSC</t>
  </si>
  <si>
    <t>Cooperative Hydro Embrun Inc._LFs</t>
  </si>
  <si>
    <t>Cooperative Hydro Embrun Inc._End</t>
  </si>
  <si>
    <t>It should be noted that this schedule does not list any charges, assessments, or credits that are required by law to be invoiced by a distributor and that are not subject to Ontario Energy Board approval, such as the Global Adjustment and the HST.</t>
  </si>
  <si>
    <t>Rate Rider for Recovery of Incremental Capital (2018) - in effect until the effective date of the next cost of service based rate order</t>
  </si>
  <si>
    <t>1_RESIDENTIAL SERVICE CLASSIFICATION_FX_RR_2</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</si>
  <si>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</si>
  <si>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</si>
  <si>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3_GENERAL SERVICE 50 TO 699 KW SERVICE CLASSIFICATION_LRAM</t>
  </si>
  <si>
    <t>4_GENERAL SERVICE 700 TO 4,999 KW SERVICE CLASSIFICATION_LRAM</t>
  </si>
  <si>
    <t>1_RESIDENTIAL SERVICE CLASSIFICATION_FX_RR_19</t>
  </si>
  <si>
    <t>Rate Rider for Recovery of Incremental Capital (2019) - in effect from March 1, 2019 until the effective date of the next cost of service based rate order</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</si>
  <si>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</si>
  <si>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</si>
  <si>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</si>
  <si>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Alectra Utilities Corporation-Horizon Utilities Rate Zone</t>
  </si>
  <si>
    <t>Alectra Utilities Corporation-Horizon Utilities Rate Zone_Start</t>
  </si>
  <si>
    <t>Horizon Utilities Rate Zone</t>
  </si>
  <si>
    <t>1_RESIDENTIAL SERVICE CLASSIFICATION_FX_RR_46</t>
  </si>
  <si>
    <t>2_GENERAL SERVICE LESS THAN 50 KW SERVICE CLASSIFICATION_FX_RR_48</t>
  </si>
  <si>
    <t>2_GENERAL SERVICE LESS THAN 50 KW SERVICE CLASSIFICATION_VR_RR_142</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</si>
  <si>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</si>
  <si>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</si>
  <si>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 xml:space="preserve">     Service call - customer owned equipment</t>
  </si>
  <si>
    <t xml:space="preserve">     Service call - after regular hours</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</si>
  <si>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</si>
  <si>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</si>
  <si>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</si>
  <si>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</si>
  <si>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</si>
  <si>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</si>
  <si>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</si>
  <si>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</si>
  <si>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Alectra Utilities Corporation-Horizon Utilities Rate Zone_End</t>
  </si>
  <si>
    <t>1_RESIDENTIAL SERVICE CLASSIFICATION_FX_RR_63</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</si>
  <si>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</si>
  <si>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</si>
  <si>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Standby Charge – for a month where standby power is not provided.  The charge is applied to the contracted amount (e.g. nameplate rating of generation facility).</t>
  </si>
  <si>
    <t>Rate Rider per 2018 Settlement Proposal (2018) - effective from January 1, 2020 until December 31, 2020</t>
  </si>
  <si>
    <t>Rate Rider per 2018 Settlement Proposal (2018) - effective from January 1, 2021 until December 31, 2021</t>
  </si>
  <si>
    <t>Rate Rider per 2018 Settlement Proposal (2018) - effective from January 1, 2022 until the effective date of 
      next Cost of Service or Custom IR Rate Order</t>
  </si>
  <si>
    <t>Rate Rider for Disposition of Lost Revenue Adjustment Mechanism Variance Account (LRAMVA) (2018) 
      - effective until December 31, 2021</t>
  </si>
  <si>
    <t>Rate Rider per 2018 Settlement Proposal (2018) - effective from January 1, 2022 until the effective date of
      next Cost of Service or Custom IR Rate Order</t>
  </si>
  <si>
    <t>For Entegrus-Main Rate Zone</t>
  </si>
  <si>
    <t>General Service &gt; 50 kW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</si>
  <si>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Entegrus Powerlines Inc.-For Former St. Thomas Energy Rate Zone</t>
  </si>
  <si>
    <t>Entegrus Powerlines Inc.-For Former St. Thomas Energy Rate Zone_Start</t>
  </si>
  <si>
    <t>For Former St. Thomas Energy Rate Zone</t>
  </si>
  <si>
    <t>Entegrus Powerlines Inc.-For Former St. Thomas Energy Rate Zone_End</t>
  </si>
  <si>
    <t>6_EMBEDDED DISTRIBUTOR SERVICE CLASSIFICATION</t>
  </si>
  <si>
    <t>6_EMBEDDED DISTRIBUTOR SERVICE CLASSIFICATION_MSC</t>
  </si>
  <si>
    <t>6_EMBEDDED DISTRIBUTOR SERVICE CLASSIFICATION_DVC</t>
  </si>
  <si>
    <t>6_EMBEDDED DISTRIBUTOR SERVICE CLASSIFICATION_DEFVAR_ALL</t>
  </si>
  <si>
    <t>6_EMBEDDED DISTRIBUTOR SERVICE CLASSIFICATION_Retail Transmission Rate - Network Service Rate</t>
  </si>
  <si>
    <t>6_EMBEDDED DISTRIBUTOR SERVICE CLASSIFICATION_Retail Transmission Rate - Line and Transformation Connection Service Rate</t>
  </si>
  <si>
    <t>1_RESIDENTIAL SERVICE CLASSIFICATION_FX_RR_9</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</si>
  <si>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</si>
  <si>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5_SENTINEL LIGHTING SERVICE CLASSIFICATION_CBR</t>
  </si>
  <si>
    <t>Specific charge for access to the power poles - $/pole/year 
(with the exception of wireless attachments)</t>
  </si>
  <si>
    <t>MICROFIT AND MICRO-NET-METERING SERVICE CLASSIFICATION</t>
  </si>
  <si>
    <t>Rate Rider for Disposition of Deferral/Variance Accounts (2017) - effective until April 30, 2020 -      
      Applicable only for Non-Wholesale Market Participants</t>
  </si>
  <si>
    <t>Rate Rider for Disposition of Deferral/Variance Accounts (2017) - effective until April 30, 2020 - 
      Applicable only for Non-Wholesale Market Participants</t>
  </si>
  <si>
    <t>Rate Rider for Disposition of Residual Historical Smart Meter Costs (2017) 
     - effective until December 31, 2020</t>
  </si>
  <si>
    <t>Rate Rider for Disposition of Lost Revenue Adjustment Mechanism Variance Account (LRAMVA) (2018) 
     - effective until December 31, 2020</t>
  </si>
  <si>
    <t>Rate Rider for Disposition of Lost Revenue Adjustment Mechanism Variance Account (LRAMVA) (2018)
     - effective until December 31, 2020</t>
  </si>
  <si>
    <t>Rate Rider for Disposition of Lost Revenue Adjustment Mechanism Variance Account (LRAMVA) (2018)
    - effective until December 31, 2020</t>
  </si>
  <si>
    <t>Rate Rider for Disposition of Lost Revenue Adjustment Mechanism Variance Account (LRAMVA) (2018) 
    - effective until December 31, 2020</t>
  </si>
  <si>
    <t>3_GENERAL SERVICE 50 to 4,999 kW SERVICE CLASSIFICATION_VR_RR_461</t>
  </si>
  <si>
    <t xml:space="preserve">        Duplicate invoices for previous billing</t>
  </si>
  <si>
    <t xml:space="preserve">        Income tax letter</t>
  </si>
  <si>
    <t xml:space="preserve">       Meter dispute charge plus Measurement Canada fees (if meter found correct)</t>
  </si>
  <si>
    <t>Rate Rider for Disposition of Lost Revenue Adjustment Mechanism Variance Account (LRAMVA) (2018) 
     - effective until May 31, 2020</t>
  </si>
  <si>
    <t xml:space="preserve">Rate Rider for Disposition of Deferral/Variance Accounts (2018) - effective until May 31, 2020 
     - Applicable only for Non-Wholesale Market Participants </t>
  </si>
  <si>
    <t xml:space="preserve">      Arrears certificate</t>
  </si>
  <si>
    <t xml:space="preserve">      Statement of account</t>
  </si>
  <si>
    <t xml:space="preserve">      Pulling post dated cheques</t>
  </si>
  <si>
    <t xml:space="preserve">      Duplicate invoices for previous billing</t>
  </si>
  <si>
    <t xml:space="preserve">      Request for other billing information</t>
  </si>
  <si>
    <t xml:space="preserve">      Easement letter</t>
  </si>
  <si>
    <t xml:space="preserve">      Income tax letter</t>
  </si>
  <si>
    <t xml:space="preserve">      Notification charge</t>
  </si>
  <si>
    <t xml:space="preserve">      Account history</t>
  </si>
  <si>
    <t xml:space="preserve">      Credit reference/credit check (plus credit agency costs)</t>
  </si>
  <si>
    <t xml:space="preserve">      Returned cheque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</si>
  <si>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</si>
  <si>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</si>
  <si>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</si>
  <si>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</si>
  <si>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</si>
  <si>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</si>
  <si>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</si>
  <si>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t>
  </si>
  <si>
    <t>1_RESIDENTIAL SERVICE CLASSIFICATION_VR_RR_3</t>
  </si>
  <si>
    <t>2_GENERAL SERVICE LESS THAN 50 KW SERVICE CLASSIFICATION_VR_RR_10</t>
  </si>
  <si>
    <t>3_GENERAL SERVICE 50 TO 999 KW SERVICE CLASSIFICATION_VR_RR_16</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</si>
  <si>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</si>
  <si>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4_GENERAL SERVICE 1,000 TO 4,999 KW SERVICE CLASSIFICATION_VR_RR_22</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</si>
  <si>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</si>
  <si>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6_UNMETERED SCATTERED LOAD SERVICE CLASSIFICATION_VR_RR_32</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</si>
  <si>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</si>
  <si>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CLASSIFICATION_LV</t>
  </si>
  <si>
    <t>9_EMBEDDED DISTRIBUTOR SERVICE CLASSIFICATION_LRAM</t>
  </si>
  <si>
    <t>Entegrus Powerlines Inc.-For Entegrus-Main Rate Zone</t>
  </si>
  <si>
    <t>Entegrus Powerlines Inc.-For Entegrus-Main Rate Zone_Start</t>
  </si>
  <si>
    <t>Entegrus Powerlines Inc.-For Entegrus-Main Rate Zone_End</t>
  </si>
  <si>
    <t>Lakeland Power Distribution Ltd.-Parry Sound Service Area</t>
  </si>
  <si>
    <t>Lakeland Power Distribution Ltd.-Parry Sound Service Area_Start</t>
  </si>
  <si>
    <t>Parry Sound Service Area</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</si>
  <si>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</si>
  <si>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Account history/Statement of Account</t>
  </si>
  <si>
    <t>Non-Payment of Account (see Note below)</t>
  </si>
  <si>
    <t>Notice of switch letter charge, per letter (unless the distributor has opted out of applying the charge as per the Ontario Energy Board's Decision and Order EB-2015-0304, issued on February 14, 2019)</t>
  </si>
  <si>
    <t>Lakeland Power Distribution Ltd.-Parry Sound Service Area_End</t>
  </si>
  <si>
    <t>Lakeland Power Distribution Ltd._Start</t>
  </si>
  <si>
    <t>Account history/Statement of account</t>
  </si>
  <si>
    <t>Lakeland Power Distribution Ltd._End</t>
  </si>
  <si>
    <t>Newmarket-Tay Power Distribution Ltd.-For Former Midland Power Utility Rate Zone</t>
  </si>
  <si>
    <t>Newmarket-Tay Power Distribution Ltd.-For Former Midland Power Utility Rate Zone_Start</t>
  </si>
  <si>
    <t>For Former Midland Power Utility Rate Zone</t>
  </si>
  <si>
    <t>Rate Rider for Disposition of Lost Revenue Adjustment Mechanism Variance Account (LRAMVA) (2019) 
     - effective until April 30, 2021</t>
  </si>
  <si>
    <t>Rate Rider for Disposition of Lost Revenue Adjustment Mechanism Variance Account (LRAMVA) (2019)
     - effective until April 30, 2021</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</si>
  <si>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</si>
  <si>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Newmarket-Tay Power Distribution Ltd._ALLOWANCES</t>
  </si>
  <si>
    <t>Newmarket-Tay Power Distribution Ltd._SSC</t>
  </si>
  <si>
    <t>Newmarket-Tay Power Distribution Ltd._CA</t>
  </si>
  <si>
    <t>Newmarket-Tay Power Distribution Ltd._RSC</t>
  </si>
  <si>
    <t>Notice of switch letter charge, per letter (unless the distributor has opted out of applying the charge as per the
Ontario Energy Board's Decision and Order EB-2015-0304, issued on February 14, 2019)</t>
  </si>
  <si>
    <t>Newmarket-Tay Power Distribution Ltd._LFs</t>
  </si>
  <si>
    <t>Newmarket-Tay Power Distribution Ltd.-For Former Midland Power Utility Rate Zone_End</t>
  </si>
  <si>
    <t>Newmarket-Tay Power Distribution Ltd.-For Newmarket-Tay Power Main Rate Zone</t>
  </si>
  <si>
    <t>Newmarket-Tay Power Distribution Ltd.-For Newmarket-Tay Power Main Rate Zone_Start</t>
  </si>
  <si>
    <t>For Newmarket-Tay Power Main Rate Zone</t>
  </si>
  <si>
    <t>1_RESIDENTIAL SERVICE CLASSIFICATION_FX_RR_6</t>
  </si>
  <si>
    <t>Newmarket-Tay Power Distribution Ltd.-For Newmarket-Tay Power Main Rate Zone_End</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</si>
  <si>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</si>
  <si>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</si>
  <si>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       Returned cheque (plus bank charges)</t>
  </si>
  <si>
    <t xml:space="preserve">       Account set up charge/change of occupancy charge (plus credit agency costs if applicable)</t>
  </si>
  <si>
    <t xml:space="preserve">       Special meter reads</t>
  </si>
  <si>
    <t xml:space="preserve">       Specific charge for access to the power poles - $/pole/year </t>
  </si>
  <si>
    <t xml:space="preserve">       (with the exception of wireless attachments) </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</si>
  <si>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</si>
  <si>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</si>
  <si>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</si>
  <si>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</si>
  <si>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Rate Rider for Recovery of Incremental Capital Project 2 (2019) - effective until the next cost of service
      based rate order - Implemented December 1, 2019</t>
  </si>
  <si>
    <t>Rate Rider for Recovery of Incremental Capital Project 2 (2019) - effective until the next cost of service 
      based rate order - Implemented December 1, 2019</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</si>
  <si>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</si>
  <si>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Rate Rider for Disposition of Account 1595 (2017)
     Applicable only for Non-RPP Customers - effective until April 30, 2022</t>
  </si>
  <si>
    <t>3_GENERAL SERVICE 50 to 4,999 kW SERVICE CLASSIFICATION_VR_RR_55</t>
  </si>
  <si>
    <t>3_GENERAL SERVICE 50 to 4,999 kW SERVICE CLASSIFICATION_VR_RR_56</t>
  </si>
  <si>
    <t>7_EMBEDDED DISTRIBUTOR SERVICE CLASSIFICATION_CBR</t>
  </si>
  <si>
    <t>EPCOR Electricity Distribution Ontario Inc.</t>
  </si>
  <si>
    <t>EPCOR Electricity Distribution Ontario Inc._Start</t>
  </si>
  <si>
    <t>Rate Rider per the Collus Powerstream and EPCOR Share Purchase Agreement 
      - effective until September 30, 2023</t>
  </si>
  <si>
    <t>It should be noted that this schedule does not list any charges, assessments, or credits that are required by law to be invoiced by a distributor and that are not subject to the Ontario Energy Board approval, such as the Global Adjustment and the HST.</t>
  </si>
  <si>
    <t>EPCOR Electricity Distribution Ontario Inc._ALLOWANCES</t>
  </si>
  <si>
    <t>EPCOR Electricity Distribution Ontario Inc._SSC</t>
  </si>
  <si>
    <t>EPCOR Electricity Distribution Ontario Inc._CA</t>
  </si>
  <si>
    <t>EPCOR Electricity Distribution Ontario Inc._RSC</t>
  </si>
  <si>
    <t>EPCOR Electricity Distribution Ontario Inc._LFs</t>
  </si>
  <si>
    <t>EPCOR Electricity Distribution Ontario Inc._End</t>
  </si>
  <si>
    <t>Rate Rider for the Disposition of Stranded Meter Assets (2018) - effective until April 30, 2021</t>
  </si>
  <si>
    <t>This classification applies to an electricity distributor licensed by the Ontario Energy Board that is provided with electricity by means of this distributor's facilities.  Further servicing details are available in the distributor's Conditions of Service.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</si>
  <si>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</si>
  <si>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 xml:space="preserve">        Arrears certificate</t>
  </si>
  <si>
    <t xml:space="preserve">        Statement of account</t>
  </si>
  <si>
    <t xml:space="preserve">        Request for other billing information</t>
  </si>
  <si>
    <t xml:space="preserve">        Account history</t>
  </si>
  <si>
    <t xml:space="preserve">        Legal letter charge</t>
  </si>
  <si>
    <t xml:space="preserve">        Special meter reads</t>
  </si>
  <si>
    <t xml:space="preserve">        Service call - customer owned equipment</t>
  </si>
  <si>
    <t xml:space="preserve">        Service call - after regular hours</t>
  </si>
  <si>
    <t xml:space="preserve">        Temporary service install &amp; remove - underground - no transformer</t>
  </si>
  <si>
    <t xml:space="preserve">        Temporary service install &amp; remove - overhead - with transformer</t>
  </si>
  <si>
    <t xml:space="preserve">        Specific charge for access to the power poles - $/pole/year</t>
  </si>
  <si>
    <t xml:space="preserve">        (with the exception of wireless attachments) - in effect from January 1, 2019</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</si>
  <si>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</si>
  <si>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</si>
  <si>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</si>
  <si>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</si>
  <si>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xml:space="preserve">      Meter dispute charge plus Measurement Canada fees (if meter found correct)</t>
  </si>
  <si>
    <t xml:space="preserve">      Service call - customer owned equipment</t>
  </si>
  <si>
    <t xml:space="preserve">      Service call - after regular hours</t>
  </si>
  <si>
    <t xml:space="preserve">To qualify for residential rates an electrical service shall meet all of the following conditions:
• The electricity shall be intended for and used primarily for a residence in which one or more person(s) reside.
• The electrical service shall be individually metered, no bulk metering allowed.
Residential customers are defined as customers connected as detached, semi-detached or duplex dwelling units. It does not include Residential Rate Class customers in apartments, condominiums, row housing or any other abode that is not a detached, semi-detached or duplex dwelling unit. The definition does not include the installation of primary, transformation and secondary to the hand holes in a new subdivision. All items excluded from the residential rate class definition, as above, shall be treated as general service rate class customers. 
Class B consumers are defined in accordance with O. Reg. 429/04. Further servicing details are available in the distributor’s Conditions of Service.  
</t>
  </si>
  <si>
    <t>Rate Rider for Recovery of Incremental Capital (2019) - in effect until the effective date of the next cost of 
      service based Rate Order</t>
  </si>
  <si>
    <t>Funding Adder for Renewable Energy Generation - in effect until the effective date of the next 
    cost of service based rate order</t>
  </si>
  <si>
    <t>2_GENERAL SERVICE LESS THAN 50 KW SERVICE CLASSIFICATION_FX_RR_29</t>
  </si>
  <si>
    <t>Funding Adder for Renewable Energy Generation - in effect until the effective date of the next
    cost of service based rate order</t>
  </si>
  <si>
    <t>Funding Adder for Renewable Energy Generation - in effect until the effective date of the next
   cost of service based rate order</t>
  </si>
  <si>
    <t>Bell Canada pole rentals</t>
  </si>
  <si>
    <t>Norfolk pole rentals - billed</t>
  </si>
  <si>
    <t>Rate Rider per Hydro One Networks' Acquisition Agreement - effective until October 30, 2020</t>
  </si>
  <si>
    <t>2_GENERAL SERVICE LESS THAN 50 KW SERVICE CLASSIFICATION_FX_RR_45</t>
  </si>
  <si>
    <t>6_STREET LIGHTING SERVICE CLASSIFICATION_FX_RR_49</t>
  </si>
  <si>
    <t>Synergy North Corporation</t>
  </si>
  <si>
    <t>Synergy North Corporation-Kenora Rate Zone</t>
  </si>
  <si>
    <t>Synergy North Corporation-Kenora Rate Zone_Start</t>
  </si>
  <si>
    <t>Kenora Rate Zone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</si>
  <si>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</si>
  <si>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Synergy North Corporation_ALLOWANCES</t>
  </si>
  <si>
    <t>Synergy North Corporation_SSC</t>
  </si>
  <si>
    <t>Synergy North Corporation_CA</t>
  </si>
  <si>
    <t>Synergy North Corporation_RSC</t>
  </si>
  <si>
    <t>Synergy North Corporation_LFs</t>
  </si>
  <si>
    <t>Synergy North Corporation-Kenora Rate Zone_End</t>
  </si>
  <si>
    <t>Rate Rider for Recovery of 2018 RTSR Revenue Shortfall - effective until October 31, 2020</t>
  </si>
  <si>
    <t>Distribution Volumetric Rate is applied to billed demand in excess of contracted amount 
     (e.g. nameplate rating of the generation facility)</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</si>
  <si>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</si>
  <si>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It should be noted that this schedule does not list any charges, assessments or credits that are required by law to be invoiced by a distributor and that are not subject to Ontario Energy Board approval, such the Global Adjustment and the HST.</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</si>
  <si>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</si>
  <si>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</si>
  <si>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 xml:space="preserve">                       Retailer-consolidated billing monthly credit, per customer, per retailer</t>
  </si>
  <si>
    <t xml:space="preserve">                       Service Transaction Requests (STR)</t>
  </si>
  <si>
    <t xml:space="preserve">                      Settlement Code directly to retailers and customers, if not delivered electronically through the</t>
  </si>
  <si>
    <t xml:space="preserve">                      Electronic Business Transaction (EBT) system, applied to the requesting party</t>
  </si>
  <si>
    <t xml:space="preserve">       Legal letter charge</t>
  </si>
  <si>
    <t xml:space="preserve">        Specific charge for access to the power poles</t>
  </si>
  <si>
    <t xml:space="preserve">        (with the exception of wireless attachments)</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</si>
  <si>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</si>
  <si>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</si>
  <si>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Rate Rider for Recovery of Incremental Capital Module - in effect until the effective date of the next cost of service-based rate order</t>
  </si>
  <si>
    <t>1_RESIDENTIAL SERVICE CLASSIFICATION_ICM_FX</t>
  </si>
  <si>
    <t>2_GENERAL SERVICE LESS THAN 50 KW SERVICE CLASSIFICATION_ICM_FX</t>
  </si>
  <si>
    <t>3_GENERAL SERVICE 50 to 4,999 kW SERVICE CLASSIFICATION_ICM_FX</t>
  </si>
  <si>
    <t>4_SENTINEL LIGHTING SERVICE CLASSIFICATION_ICM_FX</t>
  </si>
  <si>
    <t>4_SENTINEL LIGHTING SERVICE CLASSIFICATION_GA_kwh</t>
  </si>
  <si>
    <t>5_STREET LIGHTING SERVICE CLASSIFICATION_ICM_FX</t>
  </si>
  <si>
    <t>Rate Rider for Recovery of Incremental Capital Module - effective until the effective date of the next cost of service-based rate order</t>
  </si>
  <si>
    <t>6_UNMETERED SCATTERED LOAD SERVICE CLASSIFICATION_ICM_FX</t>
  </si>
  <si>
    <t>1_RESIDENTIAL SERVICE CLASSIFICATION_FX_RR_72</t>
  </si>
  <si>
    <t>It should be noted that this schedule does not list any charges, assessments or credits that are required by law to be invoiced by a distributor and that are not subject to Ontario Energy Board approval, such as the Global Adjustment, and the HST.</t>
  </si>
  <si>
    <t xml:space="preserve">Arrears certificate </t>
  </si>
  <si>
    <t>Specific charge for access to the power poles - per pole/year
(with the exception of wireless attachments)</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</si>
  <si>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</si>
  <si>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Rate Rider for Disposition of Account 1575 - effective until September 30, 2023</t>
  </si>
  <si>
    <t>4_STREET LIGHTING SERVICE CLASSIFICATION_LRAM</t>
  </si>
  <si>
    <t xml:space="preserve">Specific charge for access to the power poles - $/pole/year
(with the exception of wireless attachments) </t>
  </si>
  <si>
    <t xml:space="preserve">Unless specifically noted, this schedule does not contain any charges for the electricity commodity, be it under the 
Regulated Price Plan, a contract with a retailer or the wholesale market price, as applicable.  </t>
  </si>
  <si>
    <t xml:space="preserve">Non-Payment of Account (see Note below) </t>
  </si>
  <si>
    <t>ENWIN Utilities Ltd.</t>
  </si>
  <si>
    <t>ENWIN Utilities Ltd._Start</t>
  </si>
  <si>
    <t>ENWIN Utilities Ltd._ALLOWANCES</t>
  </si>
  <si>
    <t>ENWIN Utilities Ltd._SSC</t>
  </si>
  <si>
    <t>ENWIN Utilities Ltd._CA</t>
  </si>
  <si>
    <t>ENWIN Utilities Ltd._RSC</t>
  </si>
  <si>
    <t>ENWIN Utilities Ltd._LFs</t>
  </si>
  <si>
    <t>ENWIN Utilities Ltd._End</t>
  </si>
  <si>
    <t>Hearst Power Distribution Co. Ltd.</t>
  </si>
  <si>
    <t>Hearst Power Distribution Co. Ltd._Start</t>
  </si>
  <si>
    <t>Hearst Power Distribution Co. Ltd._ALLOWANCES</t>
  </si>
  <si>
    <t>Hearst Power Distribution Co. Ltd._SSC</t>
  </si>
  <si>
    <t>Hearst Power Distribution Co. Ltd._CA</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</si>
  <si>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</si>
  <si>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</si>
  <si>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</si>
  <si>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</si>
  <si>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4_GENERAL SERVICE 1,000 TO 4,999 KW SERVICE CLASSIFICATION_VR_RR_425</t>
  </si>
  <si>
    <t>It should be noted that this schedule does list any charges, assessments or credits that are required by law to be invoiced by a distributor and that are not subject to Ontario Energy Board approval, such as the Global Adjustment and HST.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</si>
  <si>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</si>
  <si>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 xml:space="preserve">                       Service Transaction Requests (STR) </t>
  </si>
  <si>
    <t xml:space="preserve">Specific charge for access to the power poles - $/pole/year
 (with the exception of wireless attachments) </t>
  </si>
  <si>
    <t>4_GENERAL SERVICE 1,000 KW AND GREATER SERVICE CLASSIFICATION_LRAM</t>
  </si>
  <si>
    <t>HYDRO ONE BRAMPTON_DISTRIBUTED GENERATION - DGEN</t>
  </si>
  <si>
    <t>ENERGY+ INC._NO RATE CLASS SERVICE CLASSIFICATION</t>
  </si>
  <si>
    <t>GENERAL SERVICE 50 TO 4,999 KW - ST. THOMAS ENERGY</t>
  </si>
  <si>
    <t>GENERAL SERVICE LESS THAN 50 KW - ST. THOMAS ENERGY</t>
  </si>
  <si>
    <t>RESIDENTIAL - ST. THOMAS ENERGY</t>
  </si>
  <si>
    <t>SENTINEL LIGHTING - ST. THOMAS ENERGY</t>
  </si>
  <si>
    <t>STREET LIGHTING - ST. THOMAS ENERGY</t>
  </si>
  <si>
    <t>EPCOR ELECTRICITY DISTRIBUTION ONTARIO INC.</t>
  </si>
  <si>
    <t>EPCOR ELECTRICITY DISTRIBUTION ONTARIO INC._GENERAL SERVICE 50 TO 4,999 KW SERVICE CLASSIFICATION</t>
  </si>
  <si>
    <t>EPCOR ELECTRICITY DISTRIBUTION ONTARIO INC._GENERAL SERVICE LESS THAN 50 KW SERVICE CLASSIFICATION</t>
  </si>
  <si>
    <t>EPCOR ELECTRICITY DISTRIBUTION ONTARIO INC._NO RATE CLASS SERVICE CLASSIFICATION</t>
  </si>
  <si>
    <t>EPCOR ELECTRICITY DISTRIBUTION ONTARIO INC._RESIDENTIAL SERVICE CLASSIFICATION</t>
  </si>
  <si>
    <t>EPCOR ELECTRICITY DISTRIBUTION ONTARIO INC._STREET LIGHTING SERVICE CLASSIFICATION</t>
  </si>
  <si>
    <t>EPCOR ELECTRICITY DISTRIBUTION ONTARIO INC._UNMETERED SCATTERED LOAD SERVICE CLASSIFICATION</t>
  </si>
  <si>
    <t>ESSEX POWERLINES CORPORATION_EMBEDDED DISTRIBUTOR SERVICE CLASSIFICATION</t>
  </si>
  <si>
    <t>EMBEDDED DISTRIBUTOR (HALDIMAND COUNTY) - HYDRO ONE</t>
  </si>
  <si>
    <t>EMBEDDED DISTRIBUTOR – NORFOLK POWER</t>
  </si>
  <si>
    <t>SUB TRANSMISSION – EMBEDDED DISTRIBUTOR - HYDRO ONE NETWORKS</t>
  </si>
  <si>
    <t>DISTRIBUTED GENERATION - DGEN - HYDRO ONE NETWORKS</t>
  </si>
  <si>
    <t>GENERAL SERVICE 50 TO 4,999 KW - HALDIMAND COUNTY</t>
  </si>
  <si>
    <t>GENERAL SERVICE 50 TO 4,999 KW - NORFOLK POWER</t>
  </si>
  <si>
    <t>GENERAL SERVICE 50 TO 999 KW - WOODSTOCK HYDRO</t>
  </si>
  <si>
    <t>GENERAL SERVICE DEMAND BILLED (50 KW AND ABOVE) - GSD - HYDRO ONE NETWORKS</t>
  </si>
  <si>
    <t>URBAN GENERAL SERVICE DEMAND BILLED (50 KW AND ABOVE) - UGD - HYDRO ONE NETWORKS</t>
  </si>
  <si>
    <t>GENERAL SERVICE ENERGY BILLED (LESS THAN 50 KW) - GSE METERED - HYDRO ONE NETWORKS</t>
  </si>
  <si>
    <t>GENERAL SERVICE LESS THAN 50 KW - HALDIMAND COUNTY</t>
  </si>
  <si>
    <t>GENERAL SERVICE LESS THAN 50 KW - NORFOLK POWER</t>
  </si>
  <si>
    <t>GENERAL SERVICE LESS THAN 50 KW - WOODSTOCK HYDRO</t>
  </si>
  <si>
    <t>URBAN GENERAL SERVICE ENERGY BILLED (LESS THAN 50 KW) - UGE - HYDRO ONE NETWORKS</t>
  </si>
  <si>
    <t>RESIDENTIAL - HALDIMAND COUNTY</t>
  </si>
  <si>
    <t>RESIDENTIAL - LOW DENSITY (R2) - HYDRO ONE NETWORKS</t>
  </si>
  <si>
    <t>RESIDENTIAL - MEDIUM DENSITY (R1) - HYDRO ONE NETWORKS</t>
  </si>
  <si>
    <t>RESIDENTIAL - NORFOLK POWER</t>
  </si>
  <si>
    <t>RESIDENTIAL - SEASONAL - HYDRO ONE NETWORKS</t>
  </si>
  <si>
    <t>RESIDENTIAL - URBAN (UR) - HYDRO ONE NETWORKS</t>
  </si>
  <si>
    <t>RESIDENTIAL - WOODSTOCK HYDRO</t>
  </si>
  <si>
    <t>SENTINEL LIGHTING - HALDIMAND COUNTY</t>
  </si>
  <si>
    <t>SENTINEL LIGHTING - HYDRO ONE NETWORKS</t>
  </si>
  <si>
    <t>SENTINEL LIGHTING - NORFOLK POWER</t>
  </si>
  <si>
    <t>STREET LIGHTING - HALDIMAND COUNTY</t>
  </si>
  <si>
    <t>STREET LIGHTING - HYDRO ONE NETWORKS</t>
  </si>
  <si>
    <t>STREET LIGHTING - NORFOLK POWER</t>
  </si>
  <si>
    <t>STREET LIGHTING - WOODSTOCK HYDRO</t>
  </si>
  <si>
    <t>SUB TRANSMISSION – END USE CUSTOMER - HYDRO ONE NETWORKS</t>
  </si>
  <si>
    <t>GENERAL SERVICE ENERGY BILLED (LESS THAN 50 KW) - GSE UNMETERED - HYDRO ONE NETWORKS</t>
  </si>
  <si>
    <t>UNMETERED SCATTERED LOAD - HALDIMAND COUNTY</t>
  </si>
  <si>
    <t>UNMETERED SCATTERED LOAD - NORFOLK POWER</t>
  </si>
  <si>
    <t>UNMETERED SCATTERED LOAD - WOODSTOCK HYDRO</t>
  </si>
  <si>
    <t>NON STANDARD A GENERAL SERVICE THREE PHASE - G3</t>
  </si>
  <si>
    <t>HYDRO ONE REMOTE COMMUNITIES INC._NON STANDARD A GENERAL SERVICE THREE PHASE - G3 SERVICE CLASSIFICATION</t>
  </si>
  <si>
    <t>NON STANDARD A GENERAL SERVICE SINGLE PHASE - G1</t>
  </si>
  <si>
    <t>HYDRO ONE REMOTE COMMUNITIES INC._NON STANDARD A GENERAL SERVICE SINGLE PHASE - G1 SERVICE CLASSIFICATION</t>
  </si>
  <si>
    <t>HYDRO ONE REMOTE COMMUNITIES INC._STANDARD A GENERAL SERVICE AIR ACCESS SERVICE CLASSIFICATION</t>
  </si>
  <si>
    <t>STANDARD A GENERAL SERVICE ROAD/RAIL ACCESS</t>
  </si>
  <si>
    <t>HYDRO ONE REMOTE COMMUNITIES INC._STANDARD A GENERAL SERVICE ROAD/RAIL ACCESS SERVICE CLASSIFICATION</t>
  </si>
  <si>
    <t>HYDRO ONE REMOTE COMMUNITIES INC._STANDARD A GRID CONNECTED SERVICE CLASSIFICATION</t>
  </si>
  <si>
    <t>NON STANDARD A SEASONAL RESIDENTIAL - R4</t>
  </si>
  <si>
    <t>HYDRO ONE REMOTE COMMUNITIES INC._NON STANDARD A SEASONAL RESIDENTIAL - R4 SERVICE CLASSIFICATION</t>
  </si>
  <si>
    <t>NON STANDARD A YEAR ROUND RESIDENTIAL - R2</t>
  </si>
  <si>
    <t>HYDRO ONE REMOTE COMMUNITIES INC._NON STANDARD A YEAR ROUND RESIDENTIAL - R2 SERVICE CLASSIFICATION</t>
  </si>
  <si>
    <t>HYDRO ONE REMOTE COMMUNITIES INC._STANDARD A RESIDENTIAL AIR ACCESS SERVICE CLASSIFICATION</t>
  </si>
  <si>
    <t>STANDARD A RESIDENTIAL ROAD/RAIL ACCESS</t>
  </si>
  <si>
    <t>HYDRO ONE REMOTE COMMUNITIES INC._STANDARD A RESIDENTIAL ROAD/RAIL ACCESS SERVICE CLASSIFICATION</t>
  </si>
  <si>
    <t>HYDRO ONE REMOTE COMMUNITIES INC._STREET LIGHTING SERVICE CLASSIFICATION</t>
  </si>
  <si>
    <t>LAKELAND POWER DISTRIBUTION LTD._GENERAL SERVICE 50 TO 4,999 KW SERVICE CLASSIFICATION</t>
  </si>
  <si>
    <t>LAKELAND POWER DISTRIBUTION LTD._GENERAL SERVICE LESS THAN 50 KW SERVICE CLASSIFICATION</t>
  </si>
  <si>
    <t>LAKELAND POWER DISTRIBUTION LTD._RESIDENTIAL SERVICE CLASSIFICATION</t>
  </si>
  <si>
    <t>LAKELAND POWER DISTRIBUTION LTD._SENTINEL LIGHTING SERVICE CLASSIFICATION</t>
  </si>
  <si>
    <t>LAKELAND POWER DISTRIBUTION LTD._STREET LIGHTING SERVICE CLASSIFICATION</t>
  </si>
  <si>
    <t>LAKELAND POWER DISTRIBUTION LTD._UNMETERED SCATTERED LOAD SERVICE CLASSIFICATION</t>
  </si>
  <si>
    <t>GENERAL SERVICE 50 TO 4,999 KW - INTERVAL METER - NEWMARKET-TAY POWER</t>
  </si>
  <si>
    <t>GENERAL SERVICE 50 TO 4,999 KW - MIDLAND POWER</t>
  </si>
  <si>
    <t>GENERAL SERVICE 50 TO 4,999 KW - THERMAL METER - NEWMARKET-TAY POWER</t>
  </si>
  <si>
    <t>GENERAL SERVICE LESS THAN 50 KW - MIDLAND POWER</t>
  </si>
  <si>
    <t>GENERAL SERVICE LESS THAN 50 KW - NEWMARKET-TAY POWER</t>
  </si>
  <si>
    <t>RESIDENTIAL - MIDLAND POWER</t>
  </si>
  <si>
    <t>RESIDENTIAL - NEWMARKET-TAY POWER</t>
  </si>
  <si>
    <t>SENTINEL LIGHTING - NEWMARKET-TAY POWER</t>
  </si>
  <si>
    <t>STREET LIGHTING - MIDLAND POWER</t>
  </si>
  <si>
    <t>STREET LIGHTING - NEWMARKET-TAY POWER</t>
  </si>
  <si>
    <t>UNMETERED SCATTERED LOAD - NEWMARKET-TAY POWER</t>
  </si>
  <si>
    <t>UNMETERED SCATTERED LOAD - MIDLAND POWER</t>
  </si>
  <si>
    <t>RESIDENTIAL - COMPETITIVE SECTOR MULTI-UNIT</t>
  </si>
  <si>
    <t>and</t>
  </si>
  <si>
    <t>Disposition and Recovery/Refund of Regulatory Balances (2018)</t>
  </si>
  <si>
    <t>EPCOR Electricity Distribution Ontario Inc.1550</t>
  </si>
  <si>
    <t>EPCOR Electricity Distribution Ontario Inc.1551</t>
  </si>
  <si>
    <t>EPCOR Electricity Distribution Ontario Inc.1568</t>
  </si>
  <si>
    <t>EPCOR Electricity Distribution Ontario Inc.1580</t>
  </si>
  <si>
    <t>EPCOR Electricity Distribution Ontario Inc.1584</t>
  </si>
  <si>
    <t>EPCOR Electricity Distribution Ontario Inc.1586</t>
  </si>
  <si>
    <t>EPCOR Electricity Distribution Ontario Inc.1588</t>
  </si>
  <si>
    <t>EPCOR Electricity Distribution Ontario Inc.1589</t>
  </si>
  <si>
    <t>EPCOR Electricity Distribution Ontario Inc.1595_(2008)</t>
  </si>
  <si>
    <t>EPCOR Electricity Distribution Ontario Inc.1595_(2009)</t>
  </si>
  <si>
    <t>EPCOR Electricity Distribution Ontario Inc.1595_(2010)</t>
  </si>
  <si>
    <t>EPCOR Electricity Distribution Ontario Inc.1595_(2011)</t>
  </si>
  <si>
    <t>EPCOR Electricity Distribution Ontario Inc.1595_(2012)</t>
  </si>
  <si>
    <t>EPCOR Electricity Distribution Ontario Inc.1595_(2013)</t>
  </si>
  <si>
    <t>EPCOR Electricity Distribution Ontario Inc.1595_(2014)</t>
  </si>
  <si>
    <t>EPCOR Electricity Distribution Ontario Inc.1595_(2015)</t>
  </si>
  <si>
    <t>EPCOR Electricity Distribution Ontario Inc.1595_(2016)</t>
  </si>
  <si>
    <t>EPCOR Electricity Distribution Ontario Inc.1595_(2017)</t>
  </si>
  <si>
    <t>EPCOR Electricity Distribution Ontario Inc.1595_ControlAccount</t>
  </si>
  <si>
    <r>
      <rPr>
        <sz val="8"/>
        <color theme="1"/>
        <rFont val="Calibri"/>
        <family val="2"/>
      </rPr>
      <t xml:space="preserve">Account_No is equal to </t>
    </r>
    <r>
      <rPr>
        <b/>
        <sz val="8"/>
        <color theme="1"/>
        <rFont val="Calibri"/>
        <family val="2"/>
      </rPr>
      <t>1550</t>
    </r>
    <r>
      <rPr>
        <sz val="8"/>
        <color theme="1"/>
        <rFont val="Calibri"/>
        <family val="2"/>
      </rPr>
      <t xml:space="preserve"> , </t>
    </r>
    <r>
      <rPr>
        <b/>
        <sz val="8"/>
        <color theme="1"/>
        <rFont val="Calibri"/>
        <family val="2"/>
      </rPr>
      <t>1551</t>
    </r>
    <r>
      <rPr>
        <sz val="8"/>
        <color theme="1"/>
        <rFont val="Calibri"/>
        <family val="2"/>
      </rPr>
      <t xml:space="preserve"> , </t>
    </r>
    <r>
      <rPr>
        <b/>
        <sz val="8"/>
        <color theme="1"/>
        <rFont val="Calibri"/>
        <family val="2"/>
      </rPr>
      <t>1580</t>
    </r>
    <r>
      <rPr>
        <sz val="8"/>
        <color theme="1"/>
        <rFont val="Calibri"/>
        <family val="2"/>
      </rPr>
      <t xml:space="preserve"> , </t>
    </r>
    <r>
      <rPr>
        <b/>
        <sz val="8"/>
        <color theme="1"/>
        <rFont val="Calibri"/>
        <family val="2"/>
      </rPr>
      <t>1584</t>
    </r>
    <r>
      <rPr>
        <sz val="8"/>
        <color theme="1"/>
        <rFont val="Calibri"/>
        <family val="2"/>
      </rPr>
      <t xml:space="preserve"> , </t>
    </r>
    <r>
      <rPr>
        <b/>
        <sz val="8"/>
        <color theme="1"/>
        <rFont val="Calibri"/>
        <family val="2"/>
      </rPr>
      <t>1588</t>
    </r>
    <r>
      <rPr>
        <sz val="8"/>
        <color theme="1"/>
        <rFont val="Calibri"/>
        <family val="2"/>
      </rPr>
      <t xml:space="preserve"> , </t>
    </r>
    <r>
      <rPr>
        <b/>
        <sz val="8"/>
        <color theme="1"/>
        <rFont val="Calibri"/>
        <family val="2"/>
      </rPr>
      <t>1589</t>
    </r>
    <r>
      <rPr>
        <sz val="8"/>
        <color theme="1"/>
        <rFont val="Calibri"/>
        <family val="2"/>
      </rPr>
      <t xml:space="preserve"> , </t>
    </r>
    <r>
      <rPr>
        <b/>
        <sz val="8"/>
        <color theme="1"/>
        <rFont val="Calibri"/>
        <family val="2"/>
      </rPr>
      <t>1590</t>
    </r>
    <r>
      <rPr>
        <sz val="8"/>
        <color theme="1"/>
        <rFont val="Calibri"/>
        <family val="2"/>
      </rPr>
      <t xml:space="preserve"> , </t>
    </r>
    <r>
      <rPr>
        <b/>
        <sz val="8"/>
        <color theme="1"/>
        <rFont val="Calibri"/>
        <family val="2"/>
      </rPr>
      <t>1595</t>
    </r>
    <r>
      <rPr>
        <sz val="8"/>
        <color theme="1"/>
        <rFont val="Calibri"/>
        <family val="2"/>
      </rPr>
      <t xml:space="preserve"> , </t>
    </r>
    <r>
      <rPr>
        <b/>
        <sz val="8"/>
        <color theme="1"/>
        <rFont val="Calibri"/>
        <family val="2"/>
      </rPr>
      <t>1586</t>
    </r>
    <r>
      <rPr>
        <sz val="8"/>
        <color theme="1"/>
        <rFont val="Calibri"/>
        <family val="2"/>
      </rPr>
      <t xml:space="preserve"> , </t>
    </r>
    <r>
      <rPr>
        <b/>
        <sz val="8"/>
        <color theme="1"/>
        <rFont val="Calibri"/>
        <family val="2"/>
      </rPr>
      <t>1568</t>
    </r>
  </si>
  <si>
    <t>Chapleau Public Utilities Corporation_Start</t>
  </si>
  <si>
    <t>Effective and Implementation Date May 1, 2018</t>
  </si>
  <si>
    <t>This classification refers to an account taking electricity at 750 volts or less where the electricity is used exclusively by a single family unit, non-commercial. This can be a separately metered living accommodation, town-house, apartment, semi-detached, duplex, triplex or quadruplex with residential zoning.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</si>
  <si>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</si>
  <si>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</si>
  <si>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This classification refers to a non residential account taking electricity at 750 volts or less whose average monthly average peak demand is less than, or is forecast to be less than, 50 kW.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</si>
  <si>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</si>
  <si>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</si>
  <si>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</si>
  <si>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Chapleau Public Utilities Corporation_ALLOWANCES</t>
  </si>
  <si>
    <t>Chapleau Public Utilities Corporation_SSC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</si>
  <si>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</si>
  <si>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t>
  </si>
  <si>
    <t>Chapleau Public Utilities Corporation_CA</t>
  </si>
  <si>
    <t>Chapleau Public Utilities Corporation_RSC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</si>
  <si>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</si>
  <si>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</si>
  <si>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 xml:space="preserve">It should be noted that this schedule does not list any charges, assessments, or credits that are required by law to be invoiced by a distributor and that are not subject to Board approval, such as the Debt Retirement Charge, the Global  Adjustment, the Ontario Clean Energy Benefit and the HST. </t>
  </si>
  <si>
    <t>Chapleau Public Utilities Corporation_LFs</t>
  </si>
  <si>
    <t>Chapleau Public Utilities Corporation_End</t>
  </si>
  <si>
    <t>Espanola Regional Hydro Distribution Corporation_Start</t>
  </si>
  <si>
    <t>EB-2014-0071</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</si>
  <si>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Serivce.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</si>
  <si>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</si>
  <si>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serivce done or furnished for the purpose of the distribution of electricity shall be made except as permitted by this schedule, unless required by the Distributor's Licence or a Code or Order of the Board, and amendments thereto as approved by the Board, or as specified herein.</t>
  </si>
  <si>
    <t>Rate Rider for Recovery of Incremental Capital (2013) - in effect until the effective date of the next cost of service-based rate order</t>
  </si>
  <si>
    <t>1_RESIDENTIAL SERVICE CLASSIFICATION_VR_RR_1</t>
  </si>
  <si>
    <t>2_ONTARIO ELECTRICITY SUPPORT PROGRAM RECIPIENTS</t>
  </si>
  <si>
    <t>In addition to the charges specified on page 1 of this tariff of rates and charges, the following credits are to be applied to eligible residential customers.</t>
  </si>
  <si>
    <t>The application of the charges are in accordance with the Distribution System Code (Section 9) and subsection 79.2(4) of the Ontario Energy Board Act, 1998.</t>
  </si>
  <si>
    <t>The application of these charges shall be in accordance with the Licence of the Distributor and any Code or Order of the Ontario Energy Board, and amendments thereto as approved by the Ontario Energy Board, which may be applicable to the administration of this schedule.</t>
  </si>
  <si>
    <t>In this class:
“Aboriginal person” includes a person who is a First Nations person, a Métis person or an Inuit person;
“account-holder” means a consumer who has an account with a distributor that falls within a residential-rate classification as specified in a rate order made by the Ontario Energy Board under section 78 of the Act, and who lives at the service address to which the account relates for at least six months in a year;
“electricity-intensive medical device” means an oxygen concentrator, a mechanical ventilator, or such other device as may be specified by the Ontario Energy Board;
“household” means the account-holder and any other people living at the accountholder’s service address for at least six months in a year, including people other than the account-holder’s spouse, children or other relatives;
“household income” means the combined annual after-tax income of all members of a household aged 16 or over;</t>
  </si>
  <si>
    <t>2_MRC</t>
  </si>
  <si>
    <t>Class A</t>
  </si>
  <si>
    <t>(a) account-holders with a household income of $28,000 or less living in a household of one or two persons;
(b) account-holders with a household income of between $28,001 and $39,000 living in a household of three persons;
(c) account-holders with a household income of between $39,001 and $48,000 living in a household of five persons; and
(d) account-holders with a household income of between $48,001 and $52,000 living in a household of seven or more persons;
but does not include account-holders in Class E.</t>
  </si>
  <si>
    <t>OESP Credit</t>
  </si>
  <si>
    <t>2_ONTARIO ELECTRICITY SUPPORT PROGRAM RECIPIENTS_OESP CREDIT_CLASS A</t>
  </si>
  <si>
    <t>Class B</t>
  </si>
  <si>
    <t>(a) account-holders with a household income of $28,000 or less living in a household of three persons;
(b) account-holders with a household income of between $28,001 and $39,000 living in a household of four persons;
(c) account-holders with a household income of between $39,001 and $48,000 living in a household of six persons;
but does not include account-holders in Class F.</t>
  </si>
  <si>
    <t>2_ONTARIO ELECTRICITY SUPPORT PROGRAM RECIPIENTS_OESP CREDIT_CLASS B</t>
  </si>
  <si>
    <t>Class C</t>
  </si>
  <si>
    <t>(a) account-holders with a household income of $28,000 or less living in a household of four persons;
(b) account-holders with a household income of between $28,001 and $39,000 living in a household of five persons;
(c) account-holders with a household income of between $39,001 and $48,000 living in a household of seven or more persons;
but does not include account-holders in Class G.</t>
  </si>
  <si>
    <t>2_ONTARIO ELECTRICITY SUPPORT PROGRAM RECIPIENTS_OESP CREDIT_CLASS C</t>
  </si>
  <si>
    <t>Class D</t>
  </si>
  <si>
    <t>(a) account-holders with a household income of $28,000 or less living in a household of five persons; and
(b) account-holders with a household income of between $28,001 and $39,000 living in a household of six persons;
but does not include account-holders in Class H.</t>
  </si>
  <si>
    <t>2_ONTARIO ELECTRICITY SUPPORT PROGRAM RECIPIENTS_OESP CREDIT_CLASS D</t>
  </si>
  <si>
    <t>Class E</t>
  </si>
  <si>
    <t>Class E comprises account-holders with a household income and household size described under Class A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</si>
  <si>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E</t>
  </si>
  <si>
    <t>Class F</t>
  </si>
  <si>
    <t>(a) account-holders with a household income of $28,000 or less living in a household of six or more persons;
(b) account-holders with a household income of between $28,001 and $39,000 living in a household of seven or more persons; or
(c) account-holders with a household income and household size described under Class B who also meet any of the following conditions:</t>
  </si>
  <si>
    <t>i. the dwelling to which the account relates is heated primarily by electricity;
ii. the account-holder or any member of the account-holder’s household is an Aboriginal person; or
iii. the account-holder or any member of the account-holder’s household regularly uses, for medical purposes, an electricity-intensive medical device at the dwelling to which the account relates</t>
  </si>
  <si>
    <t>2_ONTARIO ELECTRICITY SUPPORT PROGRAM RECIPIENTS_OESP CREDIT_CLASS F</t>
  </si>
  <si>
    <t>Class G</t>
  </si>
  <si>
    <t>Class G comprises account-holders with a household income and household size described under Class C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</si>
  <si>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G</t>
  </si>
  <si>
    <t>Class H</t>
  </si>
  <si>
    <t>Class H comprises account-holders with a household income and household size described under Class D who also meet any of the following conditions:
(a) the dwelling to which the account relates is heated primarily by electricity;
(b) the account-holder or any member of the account-holder’s household is an Aboriginal person ; or
(c) the account-holder or any member of the account-holder’s household regularly uses, for medical purposes, an electricity-intensive medical device at the dwelling to which the account relates.</t>
  </si>
  <si>
    <t>2_ONTARIO ELECTRICITY SUPPORT PROGRAM RECIPIENTS_OESP CREDIT_CLASS H</t>
  </si>
  <si>
    <t>Class I</t>
  </si>
  <si>
    <t>Class I comprises account-holders with a household income and household size described under paragraphs (a) or (b) of Class F who also meet any of the following conditions:
(a) the dwelling to which the account relates is heated primarily by electricity;
(b) the account-holder or any member of the account-holder’s household is an Aboriginal person; or
(c) the account-holder or any member of the account-holder’s household regularly uses, for medical purposes, an electricity-intensive medical device at the dwelling to which the account relates.</t>
  </si>
  <si>
    <t>2_ONTARIO ELECTRICITY SUPPORT PROGRAM RECIPIENTS_OESP CREDIT_CLASS I</t>
  </si>
  <si>
    <t>3_GENERAL SERVICE LESS THAN 50 kW SERVICE CLASSIFICATION</t>
  </si>
  <si>
    <t>This classification refers to a non residential account taking electricty at 750 volts or less whose monthly average peak demand is less than, or is forecast to be less than 50 kW.  Further servicing details are available in the distributor's Conditions of Service.</t>
  </si>
  <si>
    <t>3_GENERAL SERVICE LESS THAN 50 kW SERVICE CLASSIFICATION_MSC</t>
  </si>
  <si>
    <t>3_GENERAL SERVICE LESS THAN 50 kW SERVICE CLASSIFICATION_FX_RR_3</t>
  </si>
  <si>
    <t>3_GENERAL SERVICE LESS THAN 50 kW SERVICE CLASSIFICATION_SME</t>
  </si>
  <si>
    <t>3_GENERAL SERVICE LESS THAN 50 kW SERVICE CLASSIFICATION_DVC</t>
  </si>
  <si>
    <t>3_GENERAL SERVICE LESS THAN 50 kW SERVICE CLASSIFICATION_LV</t>
  </si>
  <si>
    <t>3_GENERAL SERVICE LESS THAN 50 kW SERVICE CLASSIFICATION_VR_RR_2</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</si>
  <si>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</si>
  <si>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</si>
  <si>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</si>
  <si>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</si>
  <si>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</si>
  <si>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4_GENERAL SERVICE 50 TO 4,999 KW SERVICE CLASSIFICATION</t>
  </si>
  <si>
    <t>This classification refers to a non residential account whose average peak demand is greater than, or is forecast to be greater than 50 kW but less than 5,000 kW.  Further servicing details are available in the distributor's Conditions of Service.</t>
  </si>
  <si>
    <t>4_GENERAL SERVICE 50 TO 4,999 KW SERVICE CLASSIFICATION_MSC</t>
  </si>
  <si>
    <t>4_GENERAL SERVICE 50 TO 4,999 KW SERVICE CLASSIFICATION_FX_RR_5</t>
  </si>
  <si>
    <t>4_GENERAL SERVICE 50 TO 4,999 KW SERVICE CLASSIFICATION_DVC</t>
  </si>
  <si>
    <t>4_GENERAL SERVICE 50 TO 4,999 KW SERVICE CLASSIFICATION_LV</t>
  </si>
  <si>
    <t>4_GENERAL SERVICE 50 TO 4,999 KW SERVICE CLASSIFICATION_VR_RR_3</t>
  </si>
  <si>
    <t>4_GENERAL SERVICE 50 TO 4,999 KW SERVICE CLASSIFICATION_Retail Transmission Rate - Network Service Rate</t>
  </si>
  <si>
    <t>4_GENERAL SERVICE 50 TO 4,999 KW SERVICE CLASSIFICATION_Retail Transmission Rate - Line and Transformation Connection Service Rate</t>
  </si>
  <si>
    <t>4_GENERAL SERVICE 50 TO 4,999 KW SERVICE CLASSIFICATION_Retail Transmission Rate - Network Service Rate - Interval Metered</t>
  </si>
  <si>
    <t>4_GENERAL SERVICE 50 TO 4,999 KW SERVICE CLASSIFICATION_Retail Transmission Rate - Line and Transformation Connection Service Rate - Interval Metered</t>
  </si>
  <si>
    <t>4_GENERAL SERVICE 50 TO 4,999 KW SERVICE CLASSIFICATION_WMSR</t>
  </si>
  <si>
    <t>4_GENERAL SERVICE 50 TO 4,999 KW SERVICE CLASSIFICATION_RRRP</t>
  </si>
  <si>
    <t>4_GENERAL SERVICE 50 TO 4,999 KW SERVICE CLASSIFICATION_SSS</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</si>
  <si>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</si>
  <si>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5_UNMETERED SCATTERED LOAD SERVICE CLASSIFICATION_FX_RR_6</t>
  </si>
  <si>
    <t>5_UNMETERED SCATTERED LOAD SERVICE CLASSIFICATION_VR_RR_4</t>
  </si>
  <si>
    <t>This classification applies to safety/security lighting with a Residential or General Serivce customer.  This is typically exterior lighting, and unmetered.  Consumption is estimated based on the equipment rating and estimated hours of use.  Further servicing details are available in the distributor's Conditions of Service.</t>
  </si>
  <si>
    <t>6_SENTINEL LIGHTING SERVICE CLASSIFICATION_FX_RR_7</t>
  </si>
  <si>
    <t>6_SENTINEL LIGHTING SERVICE CLASSIFICATION_VR_RR_5</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</si>
  <si>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</si>
  <si>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7_STREET LIGHTING SERVICE CLASSIFICATION_FX_RR_8</t>
  </si>
  <si>
    <t>7_STREET LIGHTING SERVICE CLASSIFICATION_VR_RR_6</t>
  </si>
  <si>
    <t>Espanola Regional Hydro Distribution Corporation_ALLOWANCES</t>
  </si>
  <si>
    <t>Espanola Regional Hydro Distribution Corporation_SSC</t>
  </si>
  <si>
    <t>Espanola Regional Hydro Distribution Corporation_CA</t>
  </si>
  <si>
    <t>Espanola Regional Hydro Distribution Corporation_NPoA</t>
  </si>
  <si>
    <t>Collection of account Charge - no disconnection</t>
  </si>
  <si>
    <t>Espanola Regional Hydro Distribution Corporation_RSC</t>
  </si>
  <si>
    <t>Espanola Regional Hydro Distribution Corporation_LFs</t>
  </si>
  <si>
    <t>Espanola Regional Hydro Distribution Corporation_End</t>
  </si>
  <si>
    <t>Unless specifically noted, this schedule does not contain any charges for the electricity commodity, be it under the Regulated Price Plan, a contract with a retailer or the wholesale market prices, as applicable.  In addition, the charges in the MONTHLY RATES AND CHARGES - Regulatory Component of this schedule do not apply to a customer that is an embedded wholesale market participant.</t>
  </si>
  <si>
    <t>This classification applies to safety/security lighting with a Residential, General Service or Large Use customer. This is typically exterior lighting, and unmetered. Consumption is estimated based on the equipment rating and estimated hours of use. Class B consumers are defined in accordance with O. Reg. 429/04. Further servicing details are available in the distributor's Conditions of Service.</t>
  </si>
  <si>
    <t>Energy+ Inc._ALLOWANCES</t>
  </si>
  <si>
    <t>Energy+ Inc._SSC</t>
  </si>
  <si>
    <t>Energy+ Inc._CA</t>
  </si>
  <si>
    <t>Energy+ Inc._NPoA</t>
  </si>
  <si>
    <t>Energy+ Inc._RSC</t>
  </si>
  <si>
    <t>Energy+ Inc._LFs</t>
  </si>
  <si>
    <t>Residential refers to the supply of electrical energy to detached, semi-detached and row-housing units (freehold or condominium).  This classification typically refers to an account taking electricity at 750 volts or less where electricity is used exclusively in a separate metered living accommodation.  Customers shall be residing in single-dwelling units that consist of a detached house or one unit of a semi-detached, duplex, triplex, or quadruplex house, with a residential zoning.  Separate metered dwellings within a town house complex, condominium, or apartment building also qualify as residential customers.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</si>
  <si>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taking electricity at 750 volts or less whose average monthly peak demand is less than, or is forecast to be less than, 50 kW. Class B consumers are defined in accordance with O. 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</si>
  <si>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50 kW but less than 1,000 kW.  Class B consumers are defined in accordance with O.Reg. 429/04. Further servicing details are available in the distributor's Conditions of Service.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</si>
  <si>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 non-residential account whose average monthly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</si>
  <si>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</si>
  <si>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</si>
  <si>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licenced by the Ontario Energy Board, that is provided electricity by means of this distributor's facilities.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</si>
  <si>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</si>
  <si>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</si>
  <si>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</si>
  <si>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</si>
  <si>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</si>
  <si>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</si>
  <si>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</si>
  <si>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</si>
  <si>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</si>
  <si>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</si>
  <si>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</si>
  <si>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Service call - customer-owned equipment - during regular hours</t>
  </si>
  <si>
    <t>Niagara-on-the-Lake Hydro Inc._RSC</t>
  </si>
  <si>
    <t>Niagara-on-the-Lake Hydro Inc._LFs</t>
  </si>
  <si>
    <t>Niagara-on-the-Lake Hydro Inc._End</t>
  </si>
  <si>
    <t>PUC Distribution Inc._Start</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</si>
  <si>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</si>
  <si>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Rate Rider for Embedded Generation Adjustment</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</si>
  <si>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</si>
  <si>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</si>
  <si>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 xml:space="preserve">Rate Rider for Embedded Generation Adjustment </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</si>
  <si>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</si>
  <si>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</si>
  <si>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</si>
  <si>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 xml:space="preserve">Rate Rider for Embedded Generation Adjustment - effective until </t>
  </si>
  <si>
    <t>PUC Distribution Inc._ALLOWANCES</t>
  </si>
  <si>
    <t>PUC Distribution Inc._SSC</t>
  </si>
  <si>
    <t>PUC Distribution Inc._CA</t>
  </si>
  <si>
    <t>PUC Distribution Inc._NPoA</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</si>
  <si>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</si>
  <si>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</si>
  <si>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</si>
  <si>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</si>
  <si>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</si>
  <si>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</si>
  <si>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</si>
  <si>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Assigned EB Number</t>
  </si>
  <si>
    <t>Name of Contact and Title</t>
  </si>
  <si>
    <t xml:space="preserve">Phone Number   </t>
  </si>
  <si>
    <t xml:space="preserve">Email Address   </t>
  </si>
  <si>
    <t xml:space="preserve">We are applying for rates effective   </t>
  </si>
  <si>
    <t>Rate-Setting Method</t>
  </si>
  <si>
    <t>Legend</t>
  </si>
  <si>
    <t>Pale green cells represent input cells.</t>
  </si>
  <si>
    <t>Pale blue cells represent drop-down lists.  The applicant should select the appropriate item from the drop-down list.</t>
  </si>
  <si>
    <t xml:space="preserve">White cells contain fixed values, automatically generated values or formulae. </t>
  </si>
  <si>
    <t>Macro has been activated</t>
  </si>
  <si>
    <t>Yes</t>
  </si>
  <si>
    <r>
      <t>Disposition and Recovery/Refund of Regulatory Balances (2018)</t>
    </r>
    <r>
      <rPr>
        <vertAlign val="superscript"/>
        <sz val="11"/>
        <rFont val="Arial"/>
        <family val="2"/>
      </rPr>
      <t>3</t>
    </r>
  </si>
  <si>
    <t>1595_(2019)</t>
  </si>
  <si>
    <r>
      <t xml:space="preserve">1595 Recovery Proportion (2019) </t>
    </r>
    <r>
      <rPr>
        <b/>
        <vertAlign val="superscript"/>
        <sz val="10"/>
        <rFont val="Arial"/>
        <family val="2"/>
      </rPr>
      <t>1</t>
    </r>
  </si>
  <si>
    <t>1a</t>
  </si>
  <si>
    <t>1b</t>
  </si>
  <si>
    <t>Year Account 1580 CBR Class B was Last Disposed</t>
  </si>
  <si>
    <t>Opening Principal Amounts as of Jan 1, 2018</t>
  </si>
  <si>
    <t>Transactions Debit / (Credit) during 2018</t>
  </si>
  <si>
    <t>OEB-Approved Disposition during 2018</t>
  </si>
  <si>
    <t>Closing Principal Balance as of Dec 31, 2018</t>
  </si>
  <si>
    <t>Opening Interest Amounts as of Jan 1, 2018</t>
  </si>
  <si>
    <t>Interest Jan 1 to Dec 31, 2018</t>
  </si>
  <si>
    <t>Closing Interest Amounts as of Dec 31, 2018</t>
  </si>
  <si>
    <t>OEB-Approved Rate Base</t>
  </si>
  <si>
    <t>OEB-Approved Regulatory Taxable Income</t>
  </si>
  <si>
    <t>Federal General Rate</t>
  </si>
  <si>
    <t>Federal Small Business Rate</t>
  </si>
  <si>
    <r>
      <t>Federal Small Business Rate (calculated effective rate)</t>
    </r>
    <r>
      <rPr>
        <vertAlign val="superscript"/>
        <sz val="11"/>
        <color theme="1"/>
        <rFont val="Arial"/>
        <family val="2"/>
      </rPr>
      <t>1,2</t>
    </r>
  </si>
  <si>
    <t>Ontario General Rate</t>
  </si>
  <si>
    <t>Ontario Small Business Rate</t>
  </si>
  <si>
    <r>
      <t>Ontario Small Business Rate (calculated effective rate)</t>
    </r>
    <r>
      <rPr>
        <vertAlign val="superscript"/>
        <sz val="11"/>
        <color theme="1"/>
        <rFont val="Arial"/>
        <family val="2"/>
      </rPr>
      <t>1,2</t>
    </r>
  </si>
  <si>
    <t>Federal Small Business Limit</t>
  </si>
  <si>
    <t>Ontario Small Business Limit</t>
  </si>
  <si>
    <t>Federal Taxes Payable</t>
  </si>
  <si>
    <t>Provincial Taxes Payable</t>
  </si>
  <si>
    <t>Federal Effective Tax Rate</t>
  </si>
  <si>
    <t>Provincial Effective Tax Rate</t>
  </si>
  <si>
    <t>Combined Effective Tax Rate</t>
  </si>
  <si>
    <t>Total Income Taxes Payable</t>
  </si>
  <si>
    <t>OEB-Approved Total Tax Credits (enter as positive number)</t>
  </si>
  <si>
    <t>Income Tax Provision</t>
  </si>
  <si>
    <t>Grossed-up Income Taxes</t>
  </si>
  <si>
    <t>Incremental Grossed-up Tax Amount</t>
  </si>
  <si>
    <t>Notes</t>
  </si>
  <si>
    <t xml:space="preserve">1. Regarding the small business deduction, if applicable, </t>
  </si>
  <si>
    <t xml:space="preserve">     a. If taxable capital exceeds $15 million, the small business rate will not be applicable.</t>
  </si>
  <si>
    <t xml:space="preserve">     b. If taxable capital is below $10 million, the small business rate would be applicable.</t>
  </si>
  <si>
    <t xml:space="preserve">     c. If taxable capital is between $10 million and $15 million, the appropriate small business rate will be calculated.</t>
  </si>
  <si>
    <t>2. The OEB's proxy for taxable capital is rate base.</t>
  </si>
  <si>
    <t>Metered Consumption (kWh) for Transition Customers During the Period When They Were Class B Customers in 2018</t>
  </si>
  <si>
    <t>Metered Class B Consumption (kWh)  for Transition Customers During the Period When They were Class B Customers in 2018</t>
  </si>
  <si>
    <t>Non-RPP Consumption Less WMP Consumption</t>
  </si>
  <si>
    <t xml:space="preserve">   Less Consumption for Full Year Class A Customers</t>
  </si>
  <si>
    <t xml:space="preserve">Total Class B Consumption for Years During Balance Accumulation </t>
  </si>
  <si>
    <t>All Class B Consumption for Transition Customers</t>
  </si>
  <si>
    <t>D = A-B-C</t>
  </si>
  <si>
    <t>F = E/D</t>
  </si>
  <si>
    <t>Effective Date of Regulatory Charges</t>
  </si>
  <si>
    <t>Miscellaneous Service Charges</t>
  </si>
  <si>
    <t>Wireline Pole Attachment Charge</t>
  </si>
  <si>
    <t>Current charge</t>
  </si>
  <si>
    <t>Inflation factor *</t>
  </si>
  <si>
    <r>
      <t xml:space="preserve">Proposed charge ** </t>
    </r>
    <r>
      <rPr>
        <b/>
        <vertAlign val="superscript"/>
        <sz val="11"/>
        <color theme="0"/>
        <rFont val="Arial"/>
        <family val="2"/>
      </rPr>
      <t>/</t>
    </r>
    <r>
      <rPr>
        <b/>
        <sz val="11"/>
        <color theme="0"/>
        <rFont val="Arial"/>
        <family val="2"/>
      </rPr>
      <t xml:space="preserve"> ***</t>
    </r>
  </si>
  <si>
    <t>Retail Service Charges</t>
  </si>
  <si>
    <t>Inflation factor*</t>
  </si>
  <si>
    <t>Proposed charge ***</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</si>
  <si>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</si>
  <si>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</si>
  <si>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</si>
  <si>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</si>
  <si>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inflation factor subject to change pending OEB approved inflation rate effective in 2020</t>
  </si>
  <si>
    <t>** applicable only to LDCs in which the province-wide pole attachment charge applies</t>
  </si>
  <si>
    <t>*** subject to change pending OEB order on miscellaneous service charges</t>
  </si>
  <si>
    <t>Sub Total</t>
  </si>
  <si>
    <t>Rate Rider Name</t>
  </si>
  <si>
    <t>Keywords</t>
  </si>
  <si>
    <t>Standard Name</t>
  </si>
  <si>
    <t>Short Name</t>
  </si>
  <si>
    <t>Incremental Capital</t>
  </si>
  <si>
    <t>Incremental Capital, Capital Funding</t>
  </si>
  <si>
    <t>RR_ICM_ALL</t>
  </si>
  <si>
    <t>Advanced Capital</t>
  </si>
  <si>
    <t>RR_ACM_ALL</t>
  </si>
  <si>
    <t>Stranded Meter</t>
  </si>
  <si>
    <t>RR_StrandedMeter_ALL</t>
  </si>
  <si>
    <t>IFRS</t>
  </si>
  <si>
    <t>Rate Rider for Application of IFRS</t>
  </si>
  <si>
    <t>IFRS_ALL</t>
  </si>
  <si>
    <t>Acquisition Agreement</t>
  </si>
  <si>
    <t>Rate Rider per Acquisition Agreement</t>
  </si>
  <si>
    <t>RR_Acquisition_ALL</t>
  </si>
  <si>
    <t>Acount 1576</t>
  </si>
  <si>
    <t>Rate Rider for Disposition of Account 1576</t>
  </si>
  <si>
    <t>RR_1576_ALL</t>
  </si>
  <si>
    <t>Acount 1575</t>
  </si>
  <si>
    <t>Rate Rider for Disposition of Account 1575</t>
  </si>
  <si>
    <t>RR_1575_ALL</t>
  </si>
  <si>
    <t>Acount 1574</t>
  </si>
  <si>
    <t>Rate Rider for Disposition of Account 1574</t>
  </si>
  <si>
    <t>RR_1574_ALL</t>
  </si>
  <si>
    <t>Smart Meter Cost</t>
  </si>
  <si>
    <t>Rate Rider for Disposition of Residual Historical Smart Meter Costs</t>
  </si>
  <si>
    <t>RR_SM_Cost_ALL</t>
  </si>
  <si>
    <t>Smart Meter Incremental Revenue</t>
  </si>
  <si>
    <t>Rate Rider for Recovery of Smart Meter Incremental Revenue Requirement</t>
  </si>
  <si>
    <t>RR_SMIRR_ALL</t>
  </si>
  <si>
    <t>Foregone Revenue</t>
  </si>
  <si>
    <t>Foregone Revenue, Forgone Revenue, Foregone Distribution Revenue</t>
  </si>
  <si>
    <t>Rate Rider for Recovery of (year) Foregone Revenue</t>
  </si>
  <si>
    <t>RR_ForgoneRevenue_ALL</t>
  </si>
  <si>
    <t>MSLBK499</t>
  </si>
  <si>
    <t>ECPNP312</t>
  </si>
  <si>
    <t>BUOOK413</t>
  </si>
  <si>
    <t>XIPNP764</t>
  </si>
  <si>
    <t>TGBET947</t>
  </si>
  <si>
    <t>FMUAU699</t>
  </si>
  <si>
    <t>AZRAQ913</t>
  </si>
  <si>
    <t>KBILT676</t>
  </si>
  <si>
    <t>SUKUQ772</t>
  </si>
  <si>
    <t>VYGBU223</t>
  </si>
  <si>
    <t>RSGGY773</t>
  </si>
  <si>
    <t>JFXSV542</t>
  </si>
  <si>
    <t>QBDQP864</t>
  </si>
  <si>
    <t>JUZME557</t>
  </si>
  <si>
    <t>DIXQA474</t>
  </si>
  <si>
    <t>NSLTK231</t>
  </si>
  <si>
    <t>WHQHZ382</t>
  </si>
  <si>
    <t>VZQTI562</t>
  </si>
  <si>
    <t>HONOG449</t>
  </si>
  <si>
    <t>JAMPN262</t>
  </si>
  <si>
    <t>SQCJF444</t>
  </si>
  <si>
    <t>BXBFS577</t>
  </si>
  <si>
    <t>VWMFV454</t>
  </si>
  <si>
    <t>QNOUG173</t>
  </si>
  <si>
    <t>QIYHB443</t>
  </si>
  <si>
    <t>GQLFF766</t>
  </si>
  <si>
    <t>KGDBC638</t>
  </si>
  <si>
    <t>GAKNX269</t>
  </si>
  <si>
    <t>ODWGI667</t>
  </si>
  <si>
    <t>GVKCW748</t>
  </si>
  <si>
    <t>XTFVL299</t>
  </si>
  <si>
    <t>ELQNW668</t>
  </si>
  <si>
    <t>JBNBJ539</t>
  </si>
  <si>
    <t>ANPQA739</t>
  </si>
  <si>
    <t>GJIJH673</t>
  </si>
  <si>
    <t>GYZOO874</t>
  </si>
  <si>
    <t>ZDMMQ267</t>
  </si>
  <si>
    <t>LUTQC156</t>
  </si>
  <si>
    <t>IDDKB963</t>
  </si>
  <si>
    <t>LLBMK932</t>
  </si>
  <si>
    <t>GKNIN164</t>
  </si>
  <si>
    <t>JPKWO112</t>
  </si>
  <si>
    <t>BDGTD785</t>
  </si>
  <si>
    <t>QBNZU337</t>
  </si>
  <si>
    <t>DWFJK465</t>
  </si>
  <si>
    <t>SUAXD395</t>
  </si>
  <si>
    <t>OBCEB934</t>
  </si>
  <si>
    <t>BWGMX298</t>
  </si>
  <si>
    <t>QRGZV941</t>
  </si>
  <si>
    <t>JPGEW595</t>
  </si>
  <si>
    <t>OTKTY511</t>
  </si>
  <si>
    <t>EQJKJ429</t>
  </si>
  <si>
    <t>GSUBH889</t>
  </si>
  <si>
    <t>NXXMH864</t>
  </si>
  <si>
    <t>UDXSV698</t>
  </si>
  <si>
    <t>OTMUU235</t>
  </si>
  <si>
    <t>NZJWX958</t>
  </si>
  <si>
    <t>No</t>
  </si>
  <si>
    <t>ALECTRA UTILITIES CORPORATION_BRAMPTON RATE ZONE_EMBEDDED DISTRIBUTOR SERVICE CLASSIFICATION</t>
  </si>
  <si>
    <t>ALECTRA UTILITIES CORPORATION_ENERSOURCE RATE ZONE_GENERAL SERVICE 50 TO 499 KW SERVICE CLASSIFICATION</t>
  </si>
  <si>
    <t>ALECTRA UTILITIES CORPORATION_ENERSOURCE RATE ZONE_GENERAL SERVICE 500 TO 4,999 KW SERVICE CLASSIFICATION</t>
  </si>
  <si>
    <t>ALECTRA UTILITIES CORPORATION_BRAMPTON RATE ZONE_ENERGY FROM WASTE SERVICE CLASSIFICATION</t>
  </si>
  <si>
    <t>ALECTRA UTILITIES CORPORATION_BRAMPTON RATE ZONE_GENERAL SERVICE 50 TO 699 KW SERVICE CLASSIFICATION</t>
  </si>
  <si>
    <t>ALECTRA UTILITIES CORPORATION_BRAMPTON RATE ZONE_GENERAL SERVICE 700 TO 4,999 KW SERVICE CLASSIFICATION</t>
  </si>
  <si>
    <t>ALECTRA UTILITIES CORPORATION_POWERSTREAM RATE ZONE_GENERAL SERVICE 50 TO 4,999 KW SERVICE CLASSIFICATION</t>
  </si>
  <si>
    <t>ALECTRA UTILITIES CORPORATION_ENERSOURCE RATE ZONE_GENERAL SERVICE LESS THAN 50 KW SERVICE CLASSIFICATION</t>
  </si>
  <si>
    <t>ALECTRA UTILITIES CORPORATION_BRAMPTON RATE ZONE_DISTRIBUTED GENERATION [DGEN] SERVICE CLASSIFICATION</t>
  </si>
  <si>
    <t>ALECTRA UTILITIES CORPORATION_BRAMPTON RATE ZONE_GENERAL SERVICE LESS THAN 50 KW SERVICE CLASSIFICATION</t>
  </si>
  <si>
    <t>ALECTRA UTILITIES CORPORATION_POWERSTREAM RATE ZONE_GENERAL SERVICE LESS THAN 50 KW SERVICE CLASSIFICATION</t>
  </si>
  <si>
    <t>ALECTRA UTILITIES CORPORATION_ENERSOURCE RATE ZONE_LARGE USE SERVICE CLASSIFICATION</t>
  </si>
  <si>
    <t>ALECTRA UTILITIES CORPORATION_BRAMPTON RATE ZONE_LARGE USE SERVICE CLASSIFICATION</t>
  </si>
  <si>
    <t>ALECTRA UTILITIES CORPORATION_POWERSTREAM RATE ZONE_LARGE USE SERVICE CLASSIFICATION</t>
  </si>
  <si>
    <t>ALECTRA UTILITIES CORPORATION_ENERSOURCE RATE ZONE_RESIDENTIAL SERVICE CLASSIFICATION</t>
  </si>
  <si>
    <t>ALECTRA UTILITIES CORPORATION_BRAMPTON RATE ZONE_RESIDENTIAL SERVICE CLASSIFICATION</t>
  </si>
  <si>
    <t>ALECTRA UTILITIES CORPORATION_POWERSTREAM RATE ZONE_RESIDENTIAL SERVICE CLASSIFICATION</t>
  </si>
  <si>
    <t>ALECTRA UTILITIES CORPORATION_POWERSTREAM RATE ZONE_SENTINEL LIGHTING SERVICE CLASSIFICATION</t>
  </si>
  <si>
    <t>ALECTRA UTILITIES CORPORATION_ENERSOURCE RATE ZONE_STREET LIGHTING SERVICE CLASSIFICATION</t>
  </si>
  <si>
    <t>ALECTRA UTILITIES CORPORATION_BRAMPTON RATE ZONE_STREET LIGHTING SERVICE CLASSIFICATION</t>
  </si>
  <si>
    <t>ALECTRA UTILITIES CORPORATION_POWERSTREAM RATE ZONE_STREET LIGHTING SERVICE CLASSIFICATION</t>
  </si>
  <si>
    <t>ALECTRA UTILITIES CORPORATION_ENERSOURCE RATE ZONE_UNMETERED SCATTERED LOAD SERVICE CLASSIFICATION</t>
  </si>
  <si>
    <t>ALECTRA UTILITIES CORPORATION_BRAMPTON RATE ZONE_UNMETERED SCATTERED LOAD SERVICE CLASSIFICATION</t>
  </si>
  <si>
    <t>ALECTRA UTILITIES CORPORATION_POWERSTREAM RATE ZONE_UNMETERED SCATTERED LOAD SERVICE CLASSIFICATION</t>
  </si>
  <si>
    <t>ALGOMA POWER INC._RESIDENTIAL R2 SERVICE CLASSIFICATION</t>
  </si>
  <si>
    <t>ALGOMA POWER INC._RESIDENTIAL R1 SERVICE CLASSIFICATION</t>
  </si>
  <si>
    <t>ALGOMA POWER INC._SEASONAL CUSTOMERS SERVICE CLASSIFICATION</t>
  </si>
  <si>
    <t>ENTEGRUS POWERLINES INC._FOR FORMER ST. THOMAS ENERGY RATE ZONE_GENERAL SERVICE 50 TO 4,999 KW SERVICE CLASSIFICATION</t>
  </si>
  <si>
    <t>ENTEGRUS POWERLINES INC._FOR FORMER ST. THOMAS ENERGY RATE ZONE_GENERAL SERVICE LESS THAN 50 KW SERVICE CLASSIFICATION</t>
  </si>
  <si>
    <t>ENTEGRUS POWERLINES INC._FOR FORMER ST. THOMAS ENERGY RATE ZONE_RESIDENTIAL SERVICE CLASSIFICATION</t>
  </si>
  <si>
    <t>ENTEGRUS POWERLINES INC._FOR FORMER ST. THOMAS ENERGY RATE ZONE_SENTINEL LIGHTING SERVICE CLASSIFICATION</t>
  </si>
  <si>
    <t>ENTEGRUS POWERLINES INC._FOR FORMER ST. THOMAS ENERGY RATE ZONE_STREET LIGHTING SERVICE CLASSIFICATION</t>
  </si>
  <si>
    <t>HEARST POWER DISTRIBUTION CO. LTD._GENERAL SERVICE 50 TO 1,499 KW SERVICE CLASSIFICATION</t>
  </si>
  <si>
    <t>HEARST POWER DISTRIBUTION CO. LTD._GENERAL SERVICE LESS THAN 50 KW SERVICE CLASSIFICATION</t>
  </si>
  <si>
    <t>HEARST POWER DISTRIBUTION CO. LTD._RESIDENTIAL SERVICE CLASSIFICATION</t>
  </si>
  <si>
    <t>HEARST POWER DISTRIBUTION CO. LTD._SENTINEL LIGHTING SERVICE CLASSIFICATION</t>
  </si>
  <si>
    <t>HEARST POWER DISTRIBUTION CO. LTD._STREET LIGHTING SERVICE CLASSIFICATION</t>
  </si>
  <si>
    <t>HYDRO ONE NETWORKS INC._FORMER HALDIMAND COUNTY HYDRO INC. SERVICE AREA_EMBEDDED DISTRIBUTOR SERVICE CLASSIFICATION FOR HYDRO ONE NETWORKS INC.</t>
  </si>
  <si>
    <t>HYDRO ONE NETWORKS INC._FORMER NORFOLK POWER DISTRIBUTION INC. SERVICE AREA_EMBEDDED DISTRIBUTOR SERVICE CLASSIFICATION</t>
  </si>
  <si>
    <t>HYDRO ONE NETWORKS INC._DISTRIBUTED GENERATION - DGEN SERVICE CLASSIFICATION</t>
  </si>
  <si>
    <t>HYDRO ONE NETWORKS INC._FORMER HALDIMAND COUNTY HYDRO INC. SERVICE AREA_GENERAL SERVICE 50 TO 4,999 KW SERVICE CLASSIFICATION</t>
  </si>
  <si>
    <t>HYDRO ONE NETWORKS INC._FORMER NORFOLK POWER DISTRIBUTION INC. SERVICE AREA_GENERAL SERVICE 50 TO 4,999 KW SERVICE CLASSIFICATION</t>
  </si>
  <si>
    <t>HYDRO ONE NETWORKS INC._FORMER HALDIMAND COUNTY HYDRO INC. SERVICE AREA_GENERAL SERVICE LESS THAN 50 KW SERVICE CLASSIFICATION</t>
  </si>
  <si>
    <t>HYDRO ONE NETWORKS INC._FORMER NORFOLK POWER DISTRIBUTION INC. SERVICE AREA_GENERAL SERVICE LESS THAN 50 KW SERVICE CLASSIFICATION</t>
  </si>
  <si>
    <t>HYDRO ONE NETWORKS INC._FORMER HALDIMAND COUNTY HYDRO INC. SERVICE AREA_RESIDENTIAL SERVICE CLASSIFICATION</t>
  </si>
  <si>
    <t>HYDRO ONE NETWORKS INC._FORMER NORFOLK POWER DISTRIBUTION INC. SERVICE AREA_RESIDENTIAL SERVICE CLASSIFICATION</t>
  </si>
  <si>
    <t>HYDRO ONE NETWORKS INC._FORMER HALDIMAND COUNTY HYDRO INC. SERVICE AREA_SENTINEL LIGHTING SERVICE CLASSIFICATION</t>
  </si>
  <si>
    <t>HYDRO ONE NETWORKS INC._SENTINEL LIGHTING SERVICE CLASSIFICATION</t>
  </si>
  <si>
    <t>HYDRO ONE NETWORKS INC._FORMER NORFOLK POWER DISTRIBUTION INC. SERVICE AREA_SENTINEL LIGHTING SERVICE CLASSIFICATION</t>
  </si>
  <si>
    <t>HYDRO ONE NETWORKS INC._FORMER HALDIMAND COUNTY HYDRO INC. SERVICE AREA_STREET LIGHTING SERVICE CLASSIFICATION</t>
  </si>
  <si>
    <t>HYDRO ONE NETWORKS INC._STREET LIGHTING SERVICE CLASSIFICATION</t>
  </si>
  <si>
    <t>HYDRO ONE NETWORKS INC._FORMER NORFOLK POWER DISTRIBUTION INC. SERVICE AREA_STREET LIGHTING SERVICE CLASSIFICATION</t>
  </si>
  <si>
    <t>HYDRO ONE NETWORKS INC._FORMER HALDIMAND COUNTY HYDRO INC. SERVICE AREA_UNMETERED SCATTERED LOAD SERVICE CLASSIFICATION</t>
  </si>
  <si>
    <t>HYDRO ONE NETWORKS INC._FORMER NORFOLK POWER DISTRIBUTION INC. SERVICE AREA_UNMETERED SCATTERED LOAD SERVICE CLASSIFICATION</t>
  </si>
  <si>
    <t>LAKELAND POWER DISTRIBUTION LTD._PARRY SOUND SERVICE AREA_GENERAL SERVICE 50 TO 4,999 KW SERVICE CLASSIFICATION</t>
  </si>
  <si>
    <t>LAKELAND POWER DISTRIBUTION LTD._PARRY SOUND SERVICE AREA_GENERAL SERVICE LESS THAN 50 KW SERVICE CLASSIFICATION</t>
  </si>
  <si>
    <t>LAKELAND POWER DISTRIBUTION LTD._PARRY SOUND SERVICE AREA_RESIDENTIAL SERVICE CLASSIFICATION</t>
  </si>
  <si>
    <t>LAKELAND POWER DISTRIBUTION LTD._PARRY SOUND SERVICE AREA_SENTINEL LIGHTING SERVICE CLASSIFICATION</t>
  </si>
  <si>
    <t>LAKELAND POWER DISTRIBUTION LTD._PARRY SOUND SERVICE AREA_STREET LIGHTING SERVICE CLASSIFICATION</t>
  </si>
  <si>
    <t>LAKELAND POWER DISTRIBUTION LTD._PARRY SOUND SERVICE AREA_UNMETERED SCATTERED LOAD SERVICE CLASSIFICATION</t>
  </si>
  <si>
    <t>NEWMARKET-TAY POWER DISTRIBUTION LTD._FOR NEWMARKET-TAY POWER MAIN RATE ZONE_GENERAL SERVICE 50 TO 4,999 KW - INTERVAL METER SERVICE CLASSIFICATION</t>
  </si>
  <si>
    <t>NEWMARKET-TAY POWER DISTRIBUTION LTD._FOR FORMER MIDLAND POWER UTILITY RATE ZONE_GENERAL SERVICE 50 TO 4,999 KW SERVICE CLASSIFICATION</t>
  </si>
  <si>
    <t>NEWMARKET-TAY POWER DISTRIBUTION LTD._FOR NEWMARKET-TAY POWER MAIN RATE ZONE_GENERAL SERVICE 50 TO 4,999 KW - THERMAL METER SERVICE CLASSIFICATION</t>
  </si>
  <si>
    <t>GENERAL SERVICE 50 TO 4,999 KW - NEWMARKET-TAY POWER</t>
  </si>
  <si>
    <t>NEWMARKET-TAY POWER DISTRIBUTION LTD._FOR NEWMARKET-TAY POWER MAIN RATE ZONE_GENERAL SERVICE 50 TO 4,999 KW SERVICE CLASSIFICATION</t>
  </si>
  <si>
    <t>NEWMARKET-TAY POWER DISTRIBUTION LTD._FOR FORMER MIDLAND POWER UTILITY RATE ZONE_GENERAL SERVICE LESS THAN 50 KW SERVICE CLASSIFICATION</t>
  </si>
  <si>
    <t>NEWMARKET-TAY POWER DISTRIBUTION LTD._FOR NEWMARKET-TAY POWER MAIN RATE ZONE_GENERAL SERVICE LESS THAN 50 KW SERVICE CLASSIFICATION</t>
  </si>
  <si>
    <t>NEWMARKET-TAY POWER DISTRIBUTION LTD._FOR FORMER MIDLAND POWER UTILITY RATE ZONE_RESIDENTIAL SERVICE CLASSIFICATION</t>
  </si>
  <si>
    <t>NEWMARKET-TAY POWER DISTRIBUTION LTD._FOR NEWMARKET-TAY POWER MAIN RATE ZONE_RESIDENTIAL SERVICE CLASSIFICATION</t>
  </si>
  <si>
    <t>NEWMARKET-TAY POWER DISTRIBUTION LTD._FOR NEWMARKET-TAY POWER MAIN RATE ZONE_SENTINEL LIGHTING SERVICE CLASSIFICATION</t>
  </si>
  <si>
    <t>NEWMARKET-TAY POWER DISTRIBUTION LTD._FOR FORMER MIDLAND POWER UTILITY RATE ZONE_STREET LIGHTING SERVICE CLASSIFICATION</t>
  </si>
  <si>
    <t>NEWMARKET-TAY POWER DISTRIBUTION LTD._FOR NEWMARKET-TAY POWER MAIN RATE ZONE_STREET LIGHTING SERVICE CLASSIFICATION</t>
  </si>
  <si>
    <t>NEWMARKET-TAY POWER DISTRIBUTION LTD._FOR NEWMARKET-TAY POWER MAIN RATE ZONE_UNMETERED SCATTERED LOAD SERVICE CLASSIFICATION</t>
  </si>
  <si>
    <t>NEWMARKET-TAY POWER DISTRIBUTION LTD._FOR FORMER MIDLAND POWER UTILITY RATE ZONE_UNMETERED SCATTERED LOAD SERVICE CLASSIFICATION</t>
  </si>
  <si>
    <t>SYNERGY NORTH CORPORATION_KENORA RATE ZONE_GENERAL SERVICE LESS THAN 50 KW SERVICE CLASSIFICATION</t>
  </si>
  <si>
    <t>SYNERGY NORTH CORPORATION_KENORA RATE ZONE_RESIDENTIAL SERVICE CLASSIFICATION</t>
  </si>
  <si>
    <t>SYNERGY NORTH CORPORATION_THUNDER BAY RATE ZONE_GENERAL SERVICE 50 TO 999 KW SERVICE CLASSIFICATION</t>
  </si>
  <si>
    <t>SYNERGY NORTH CORPORATION_THUNDER BAY RATE ZONE_GENERAL SERVICE LESS THAN 50 KW SERVICE CLASSIFICATION</t>
  </si>
  <si>
    <t>SYNERGY NORTH CORPORATION_THUNDER BAY RATE ZONE_RESIDENTIAL SERVICE CLASSIFICATION</t>
  </si>
  <si>
    <t>SYNERGY NORTH CORPORATION_THUNDER BAY RATE ZONE_SENTINEL LIGHTING SERVICE CLASSIFICATION</t>
  </si>
  <si>
    <t>SYNERGY NORTH CORPORATION_THUNDER BAY RATE ZONE_UNMETERED SCATTERED LOAD SERVICE CLASSIFICATION</t>
  </si>
  <si>
    <t>TORONTO HYDRO-ELECTRIC SYSTEM LIMITED_RESIDENTIAL SERVICE CLASSIFICATION</t>
  </si>
  <si>
    <t>Hearst Power Distribution Co. Ltd.1550</t>
  </si>
  <si>
    <t>Hearst Power Distribution Co. Ltd.1551</t>
  </si>
  <si>
    <t>Hearst Power Distribution Co. Ltd.1568</t>
  </si>
  <si>
    <t>Hearst Power Distribution Co. Ltd.1580</t>
  </si>
  <si>
    <t>Hearst Power Distribution Co. Ltd.1584</t>
  </si>
  <si>
    <t>Hearst Power Distribution Co. Ltd.1586</t>
  </si>
  <si>
    <t>Hearst Power Distribution Co. Ltd.1588</t>
  </si>
  <si>
    <t>Hearst Power Distribution Co. Ltd.1589</t>
  </si>
  <si>
    <t>Hearst Power Distribution Co. Ltd.1595_(2008)</t>
  </si>
  <si>
    <t>Hearst Power Distribution Co. Ltd.1595_(2009)</t>
  </si>
  <si>
    <t>Hearst Power Distribution Co. Ltd.1595_(2010)</t>
  </si>
  <si>
    <t>Hearst Power Distribution Co. Ltd.1595_(2011)</t>
  </si>
  <si>
    <t>Hearst Power Distribution Co. Ltd.1595_(2012)</t>
  </si>
  <si>
    <t>Hearst Power Distribution Co. Ltd.1595_(2013)</t>
  </si>
  <si>
    <t>Hearst Power Distribution Co. Ltd.1595_(2014)</t>
  </si>
  <si>
    <t>Hearst Power Distribution Co. Ltd.1595_(2015)</t>
  </si>
  <si>
    <t>Hearst Power Distribution Co. Ltd.1595_(2016)</t>
  </si>
  <si>
    <t>Hearst Power Distribution Co. Ltd.1595_(2017)</t>
  </si>
  <si>
    <t>Hearst Power Distribution Co. Ltd.1595_ControlAccount</t>
  </si>
  <si>
    <t>ESSEX POWERLINES CORPORATION_GENERAL SERVICE 50 TO 4,999 KW SERVICE CLASSIFICATION</t>
  </si>
  <si>
    <t>Thunder Bay Rate Zone</t>
  </si>
  <si>
    <t>Account Disposition: Yes/No?</t>
  </si>
  <si>
    <t>If you have identified any discrepancies between this sheet and your approved tariff of rates and charges, please contact the OEB.</t>
  </si>
  <si>
    <t>Have you confirmed the accuracy of the tariff sheet below?</t>
  </si>
  <si>
    <t xml:space="preserve">Data on this worksheet has been populated using your most recent RRR filing.
</t>
  </si>
  <si>
    <t>If you have identified any issues, please contact the OEB.</t>
  </si>
  <si>
    <t>Have you confirmed the accuracy of the data below?</t>
  </si>
  <si>
    <t xml:space="preserve">If a distributor uses the actual GA price to bill non-RPP Class B customers for an entire rate class, it must exclude these customers from the allocation of the GA balance and the calculation of the resulting rate riders. These rate classes are not to be charged/refunded the general GA rate rider as they did not contribute to the GA balance. 
</t>
  </si>
  <si>
    <t xml:space="preserve">Please contact the OEB to make adjustments to the IRM rate generator for this situation.  
</t>
  </si>
  <si>
    <t>Rate Class 1</t>
  </si>
  <si>
    <t>Rate Class 2</t>
  </si>
  <si>
    <t>Rate Class 3</t>
  </si>
  <si>
    <t>Rate Class 4</t>
  </si>
  <si>
    <t>Rate Class 5</t>
  </si>
  <si>
    <t>Rate Class 6</t>
  </si>
  <si>
    <t>Rate Class 7</t>
  </si>
  <si>
    <t>Rate Class 8</t>
  </si>
  <si>
    <t>Rate Class 9</t>
  </si>
  <si>
    <t>Rate Class 10</t>
  </si>
  <si>
    <t>Rate Class 11</t>
  </si>
  <si>
    <t>Rate Class 12</t>
  </si>
  <si>
    <t>Rate Class 13</t>
  </si>
  <si>
    <t>Rate Class 14</t>
  </si>
  <si>
    <t>Rate Class 15</t>
  </si>
  <si>
    <t>Rate Class 16</t>
  </si>
  <si>
    <t>Rate Class 17</t>
  </si>
  <si>
    <t>Rate Class 18</t>
  </si>
  <si>
    <t>Rate Class 19</t>
  </si>
  <si>
    <t>Rate Class 20</t>
  </si>
  <si>
    <t>Rate Class 21</t>
  </si>
  <si>
    <t>Rate Class 22</t>
  </si>
  <si>
    <t>Rate Class 23</t>
  </si>
  <si>
    <t>Rate Class 24</t>
  </si>
  <si>
    <t>Rate Class 25</t>
  </si>
  <si>
    <t>Rate Class 26</t>
  </si>
  <si>
    <t>Rate Class 27</t>
  </si>
  <si>
    <t>Rate Class 28</t>
  </si>
  <si>
    <t>Rate Class 29</t>
  </si>
  <si>
    <t>Rate Class 30</t>
  </si>
  <si>
    <t>Rate Class 31</t>
  </si>
  <si>
    <t>Rate Class 32</t>
  </si>
  <si>
    <t>Rate Class 33</t>
  </si>
  <si>
    <t>Rate Class 34</t>
  </si>
  <si>
    <t>Rate Class 35</t>
  </si>
  <si>
    <t>Rate Class 36</t>
  </si>
  <si>
    <t>Rate Class 37</t>
  </si>
  <si>
    <t>Rate Class 38</t>
  </si>
  <si>
    <t>Rate Class 39</t>
  </si>
  <si>
    <t>Rate Class 40</t>
  </si>
  <si>
    <t>Rate Class 41</t>
  </si>
  <si>
    <t>Rate Class 42</t>
  </si>
  <si>
    <t>Rate Class 43</t>
  </si>
  <si>
    <t>Rate Class 44</t>
  </si>
  <si>
    <t>Rate Class 45</t>
  </si>
  <si>
    <t>Rate Class 46</t>
  </si>
  <si>
    <t>Rate Class 47</t>
  </si>
  <si>
    <t>Rate Class 48</t>
  </si>
  <si>
    <t>Rate Class 49</t>
  </si>
  <si>
    <t>Rate Class 50</t>
  </si>
  <si>
    <t>Rate Class 51</t>
  </si>
  <si>
    <t>Rate Class 52</t>
  </si>
  <si>
    <t>Rate Class 53</t>
  </si>
  <si>
    <t>Rate Class 54</t>
  </si>
  <si>
    <t>Rate Class 55</t>
  </si>
  <si>
    <t>Rate Class 56</t>
  </si>
  <si>
    <t>Rate Class 57</t>
  </si>
  <si>
    <t>Rate Class 58</t>
  </si>
  <si>
    <t>Rate Class 59</t>
  </si>
  <si>
    <t>Rate Class 60</t>
  </si>
  <si>
    <t>Rate Class 61</t>
  </si>
  <si>
    <t>Rate Class 62</t>
  </si>
  <si>
    <t>Rate Class 63</t>
  </si>
  <si>
    <t>Rate Class 64</t>
  </si>
  <si>
    <t>Rate Class 65</t>
  </si>
  <si>
    <t>Rate Class 66</t>
  </si>
  <si>
    <t>Rate Class 67</t>
  </si>
  <si>
    <t>Rate Class 68</t>
  </si>
  <si>
    <t>Rate Class 69</t>
  </si>
  <si>
    <t>Rate Class 70</t>
  </si>
  <si>
    <t>Rate Class 71</t>
  </si>
  <si>
    <t>Rate Class 72</t>
  </si>
  <si>
    <t>Rate Class 73</t>
  </si>
  <si>
    <t>Rate Class 74</t>
  </si>
  <si>
    <t>Rate Class 75</t>
  </si>
  <si>
    <t>Rate Class 76</t>
  </si>
  <si>
    <t>Rate Class 77</t>
  </si>
  <si>
    <t>Rate Class 78</t>
  </si>
  <si>
    <t>Rate Class 79</t>
  </si>
  <si>
    <t>Rate Class 80</t>
  </si>
  <si>
    <t>Rate Class 81</t>
  </si>
  <si>
    <t>Rate Class 82</t>
  </si>
  <si>
    <t>Rate Class 83</t>
  </si>
  <si>
    <t>Rate Class 84</t>
  </si>
  <si>
    <t>Rate Class 85</t>
  </si>
  <si>
    <t>Rate Class 86</t>
  </si>
  <si>
    <t>Rate Class 87</t>
  </si>
  <si>
    <t>Rate Class 88</t>
  </si>
  <si>
    <t>Rate Class 89</t>
  </si>
  <si>
    <t>Rate Class 90</t>
  </si>
  <si>
    <t>Rate Class 91</t>
  </si>
  <si>
    <t>Rate Class 92</t>
  </si>
  <si>
    <t>Rate Class 93</t>
  </si>
  <si>
    <t>Rate Class 94</t>
  </si>
  <si>
    <t>Rate Class 95</t>
  </si>
  <si>
    <t>Rate Class 96</t>
  </si>
  <si>
    <t>Rate Class 97</t>
  </si>
  <si>
    <t>Rate Class 98</t>
  </si>
  <si>
    <t>Rate Class 99</t>
  </si>
  <si>
    <t>Rate Class 100</t>
  </si>
  <si>
    <t>Rate Class 101</t>
  </si>
  <si>
    <t>Rate Class 102</t>
  </si>
  <si>
    <t>Rate Class 103</t>
  </si>
  <si>
    <t>Rate Class 104</t>
  </si>
  <si>
    <t>Rate Class 105</t>
  </si>
  <si>
    <t>Rate Class 106</t>
  </si>
  <si>
    <t>Rate Class 107</t>
  </si>
  <si>
    <t>Rate Class 108</t>
  </si>
  <si>
    <t>Rate Class 109</t>
  </si>
  <si>
    <t>Rate Class 110</t>
  </si>
  <si>
    <t>Rate Class 111</t>
  </si>
  <si>
    <t>Rate Class 112</t>
  </si>
  <si>
    <t>Rate Class 113</t>
  </si>
  <si>
    <t>Rate Class 114</t>
  </si>
  <si>
    <t>Rate Class 115</t>
  </si>
  <si>
    <t>Rate Class 116</t>
  </si>
  <si>
    <t>Rate Class 117</t>
  </si>
  <si>
    <t>Rate Class 118</t>
  </si>
  <si>
    <t>Rate Class 119</t>
  </si>
  <si>
    <t>Rate Class 120</t>
  </si>
  <si>
    <t>Rate Class 121</t>
  </si>
  <si>
    <t>Rate Class 122</t>
  </si>
  <si>
    <t>Rate Class 123</t>
  </si>
  <si>
    <t>Rate Class 124</t>
  </si>
  <si>
    <t>Rate Class 125</t>
  </si>
  <si>
    <t>Rate Class 126</t>
  </si>
  <si>
    <t>Rate Class 127</t>
  </si>
  <si>
    <t>Rate Class 128</t>
  </si>
  <si>
    <t>Rate Class 129</t>
  </si>
  <si>
    <t>Rate Class 130</t>
  </si>
  <si>
    <t>Rate Class 131</t>
  </si>
  <si>
    <t>Rate Class 132</t>
  </si>
  <si>
    <t>Rate Class 133</t>
  </si>
  <si>
    <t>Rate Class 134</t>
  </si>
  <si>
    <t>Rate Class 135</t>
  </si>
  <si>
    <t>Rate Class 136</t>
  </si>
  <si>
    <t>Rate Class 137</t>
  </si>
  <si>
    <t>Rate Class 138</t>
  </si>
  <si>
    <t>Rate Class 139</t>
  </si>
  <si>
    <t>Rate Class 140</t>
  </si>
  <si>
    <t>Rate Class 141</t>
  </si>
  <si>
    <t>Rate Class 142</t>
  </si>
  <si>
    <t>Rate Class 143</t>
  </si>
  <si>
    <t>Rate Class 144</t>
  </si>
  <si>
    <t>Rate Class 145</t>
  </si>
  <si>
    <t>Rate Class 146</t>
  </si>
  <si>
    <t>Rate Class 147</t>
  </si>
  <si>
    <t>Rate Class 148</t>
  </si>
  <si>
    <t>Rate Class 149</t>
  </si>
  <si>
    <t>Rate Class 150</t>
  </si>
  <si>
    <t>Synergy North Corporation-Thunder Bay Rate Zone</t>
  </si>
  <si>
    <t>Synergy North Corporation-Thunder Bay Rate Zone_Start</t>
  </si>
  <si>
    <t>Synergy North Corporation-Thunder Bay Rate Zone_End</t>
  </si>
  <si>
    <r>
      <t>Principal Adjustments</t>
    </r>
    <r>
      <rPr>
        <b/>
        <vertAlign val="superscript"/>
        <sz val="10"/>
        <rFont val="Book Antiqua"/>
        <family val="1"/>
      </rPr>
      <t>1</t>
    </r>
    <r>
      <rPr>
        <b/>
        <sz val="10"/>
        <rFont val="Book Antiqua"/>
        <family val="1"/>
      </rPr>
      <t xml:space="preserve"> during 2015</t>
    </r>
  </si>
  <si>
    <r>
      <t>Principal Adjustments</t>
    </r>
    <r>
      <rPr>
        <b/>
        <vertAlign val="superscript"/>
        <sz val="10"/>
        <rFont val="Book Antiqua"/>
        <family val="1"/>
      </rPr>
      <t>1</t>
    </r>
    <r>
      <rPr>
        <b/>
        <sz val="10"/>
        <rFont val="Book Antiqua"/>
        <family val="1"/>
      </rPr>
      <t xml:space="preserve"> during 2014</t>
    </r>
  </si>
  <si>
    <r>
      <t>Interest Adjustments</t>
    </r>
    <r>
      <rPr>
        <b/>
        <vertAlign val="superscript"/>
        <sz val="10"/>
        <rFont val="Book Antiqua"/>
        <family val="1"/>
      </rPr>
      <t>1</t>
    </r>
    <r>
      <rPr>
        <b/>
        <sz val="10"/>
        <rFont val="Book Antiqua"/>
        <family val="1"/>
      </rPr>
      <t xml:space="preserve"> during 2014</t>
    </r>
  </si>
  <si>
    <r>
      <t>Interest Adjustments</t>
    </r>
    <r>
      <rPr>
        <b/>
        <vertAlign val="superscript"/>
        <sz val="10"/>
        <rFont val="Book Antiqua"/>
        <family val="1"/>
      </rPr>
      <t>1</t>
    </r>
    <r>
      <rPr>
        <b/>
        <sz val="10"/>
        <rFont val="Book Antiqua"/>
        <family val="1"/>
      </rPr>
      <t xml:space="preserve"> during 2015</t>
    </r>
  </si>
  <si>
    <r>
      <t>Principal Adjustments</t>
    </r>
    <r>
      <rPr>
        <b/>
        <vertAlign val="superscript"/>
        <sz val="10"/>
        <rFont val="Book Antiqua"/>
        <family val="1"/>
      </rPr>
      <t>1</t>
    </r>
    <r>
      <rPr>
        <b/>
        <sz val="10"/>
        <rFont val="Book Antiqua"/>
        <family val="1"/>
      </rPr>
      <t xml:space="preserve"> during 2016</t>
    </r>
  </si>
  <si>
    <r>
      <t>Interest Adjustments</t>
    </r>
    <r>
      <rPr>
        <b/>
        <vertAlign val="superscript"/>
        <sz val="10"/>
        <rFont val="Book Antiqua"/>
        <family val="1"/>
      </rPr>
      <t>1</t>
    </r>
    <r>
      <rPr>
        <b/>
        <sz val="10"/>
        <rFont val="Book Antiqua"/>
        <family val="1"/>
      </rPr>
      <t xml:space="preserve"> during 2016</t>
    </r>
  </si>
  <si>
    <r>
      <t>Principal Adjustments</t>
    </r>
    <r>
      <rPr>
        <b/>
        <vertAlign val="superscript"/>
        <sz val="10"/>
        <rFont val="Book Antiqua"/>
        <family val="1"/>
      </rPr>
      <t>1</t>
    </r>
    <r>
      <rPr>
        <b/>
        <sz val="10"/>
        <rFont val="Book Antiqua"/>
        <family val="1"/>
      </rPr>
      <t xml:space="preserve"> during 2017</t>
    </r>
  </si>
  <si>
    <r>
      <t>Interest Adjustments</t>
    </r>
    <r>
      <rPr>
        <b/>
        <vertAlign val="superscript"/>
        <sz val="10"/>
        <rFont val="Book Antiqua"/>
        <family val="1"/>
      </rPr>
      <t>1</t>
    </r>
    <r>
      <rPr>
        <b/>
        <sz val="10"/>
        <rFont val="Book Antiqua"/>
        <family val="1"/>
      </rPr>
      <t xml:space="preserve"> during 2017</t>
    </r>
  </si>
  <si>
    <r>
      <t>Principal Adjustments</t>
    </r>
    <r>
      <rPr>
        <b/>
        <vertAlign val="superscript"/>
        <sz val="10"/>
        <rFont val="Book Antiqua"/>
        <family val="1"/>
      </rPr>
      <t>1</t>
    </r>
    <r>
      <rPr>
        <b/>
        <sz val="10"/>
        <rFont val="Book Antiqua"/>
        <family val="1"/>
      </rPr>
      <t xml:space="preserve"> during 2018</t>
    </r>
  </si>
  <si>
    <r>
      <t>Interest Adjustments</t>
    </r>
    <r>
      <rPr>
        <b/>
        <vertAlign val="superscript"/>
        <sz val="10"/>
        <rFont val="Book Antiqua"/>
        <family val="1"/>
      </rPr>
      <t>1</t>
    </r>
    <r>
      <rPr>
        <b/>
        <sz val="10"/>
        <rFont val="Book Antiqua"/>
        <family val="1"/>
      </rPr>
      <t xml:space="preserve"> during 2018</t>
    </r>
  </si>
  <si>
    <t xml:space="preserve">   Less Class A Consumption for Partial Year Class A Customers</t>
  </si>
  <si>
    <t>Total Consumption Less WMP Consumption</t>
  </si>
  <si>
    <t>The year Account 1589 GA was last disposed</t>
  </si>
  <si>
    <t>The year Account 1580 CBR Class B was last disposed</t>
  </si>
  <si>
    <t>Note that the sub-account was established in 2015.</t>
  </si>
  <si>
    <t>Total Metered Consumption (kWh) for Transition Customers During the Period When They Were Class B Customers</t>
  </si>
  <si>
    <t>Rate Classes with Class A Customers - Billing Determinants by Rate Class</t>
  </si>
  <si>
    <t xml:space="preserve">No input required. The purpose of this tab is to calculate the CBR rate riders for all current Class B customers who did not transition between Class A and B in the period since the Account 1580, sub-account CBR Class B balance accumulated.
</t>
  </si>
  <si>
    <t>Allocation of Total Consumption (kWh) between Current Class B and Class A/B Transition Customers</t>
  </si>
  <si>
    <t>Distribution Rate Protection (DRP) Amount (Applicable to LDCs under the Distribution Rate Protection program):</t>
  </si>
  <si>
    <t>8. Have you transitioned to fully fixed rates?</t>
  </si>
  <si>
    <t>Please complete the following continuity schedule for the following Deferral/Variance Accounts.  Enter information into green cells only. Please see instructions tab for detailed instructions on how to complete tabs 3 to 7. Column BV has been prepopulated from the latest 2.1.7 RRR filing.
Please refer to the footnotes for further instructions.</t>
  </si>
  <si>
    <t>Instructions for Tabs 1, 3 to 7</t>
  </si>
  <si>
    <t>Summary of Changes from the Prior Year</t>
  </si>
  <si>
    <t>Detailed Instructions for Each Tab</t>
  </si>
  <si>
    <t>1 - Information Sheet</t>
  </si>
  <si>
    <t xml:space="preserve">This tab shows some information pertaining to the utility and the application. </t>
  </si>
  <si>
    <t>Complete the information sheet.</t>
  </si>
  <si>
    <r>
      <rPr>
        <sz val="11"/>
        <color theme="1"/>
        <rFont val="Calibri"/>
        <family val="2"/>
        <scheme val="minor"/>
      </rPr>
      <t xml:space="preserve">a) </t>
    </r>
    <r>
      <rPr>
        <u/>
        <sz val="11"/>
        <color theme="1"/>
        <rFont val="Calibri"/>
        <family val="2"/>
        <scheme val="minor"/>
      </rPr>
      <t>Questions 2 to 4</t>
    </r>
  </si>
  <si>
    <t>Responses to questions 2 to 4 will open the DVA continuity schedule in tab 3 to the appropriate year that DVA balances should first be inputted.</t>
  </si>
  <si>
    <r>
      <t xml:space="preserve">b) </t>
    </r>
    <r>
      <rPr>
        <u/>
        <sz val="11"/>
        <color theme="1"/>
        <rFont val="Calibri"/>
        <family val="2"/>
        <scheme val="minor"/>
      </rPr>
      <t>Questions 5 and 6</t>
    </r>
  </si>
  <si>
    <t>If the response to question 6 is yes, then  tab 6.2  will also be generated. This tab will allocate and dispose the balance in Account 1580, sub-account CBR Class B  through a separate rate rider using information inputted in tab 6, unless a rate rider is not produced.</t>
  </si>
  <si>
    <t>If the response to question 6 is no, then the balance in the Account 1580, sub-account CBR Class B will be allocated and disposed with Account 1580 WMS, as part of the general DVA rate rider</t>
  </si>
  <si>
    <t>Review the disposition threshold calculation. Select whether disposition is being requested or not in the drop down box.</t>
  </si>
  <si>
    <t xml:space="preserve">This tab allocates the GA balance to each transition customer for the period in which these customers were Class B customers and contributed to the GA balance (i.e. former Class B customers but are now Class A customers and former Class A customers who are now Class B customers). </t>
  </si>
  <si>
    <r>
      <t>In row 20, enter the Non-RPP consumption</t>
    </r>
    <r>
      <rPr>
        <sz val="11"/>
        <rFont val="Calibri"/>
        <family val="2"/>
        <scheme val="minor"/>
      </rPr>
      <t xml:space="preserve"> less </t>
    </r>
    <r>
      <rPr>
        <sz val="11"/>
        <color theme="1"/>
        <rFont val="Calibri"/>
        <family val="2"/>
        <scheme val="minor"/>
      </rPr>
      <t>WMP consumption.</t>
    </r>
  </si>
  <si>
    <t xml:space="preserve">This tab allocates the CBR Class B balance to each transition customer for the period in which these customers were Class B customers and contributed to the CBR Class B balance (i.e. former Class B customers but are now Class A customers and former Class A customers who are now Class B). </t>
  </si>
  <si>
    <t>This tab calculates the CBR Class B rate rider if there were Class A customers  at any point during the period that the CBR Class B balance accumulated.</t>
  </si>
  <si>
    <t>Rate Rider for Disposition of CGAAP to IFRS Transition Variance Account (2019) - effective until May 31, 2021</t>
  </si>
  <si>
    <t>Rate Rider for Disposition of Group 2 Deferral/Variance Accounts (2019) - effective until May 31, 2021</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</si>
  <si>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</si>
  <si>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Specific charge for access to the power poles - $/pole/year (with the exception of wireless attachments)</t>
  </si>
  <si>
    <t>Hydro One Networks Inc._Start</t>
  </si>
  <si>
    <t>RESIDENTIAL SERVICE CLASSIFICATIONS</t>
  </si>
  <si>
    <t>A year-round residential customer classification applies to a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</si>
  <si>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</si>
  <si>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Seasonal Residential customer classification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</si>
  <si>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</si>
  <si>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Hydro One Networks' residential service area is sub-divided into three density zones according to the following:</t>
  </si>
  <si>
    <t>YEAR-ROUND URBAN DENSITY - UR</t>
  </si>
  <si>
    <t>Rate Rider for Disposition of Global Adjustment Account (2019) - effective until December 31, 2020 - Approved
     on an Interim Basis (see Note 13)</t>
  </si>
  <si>
    <t>Retail Transmission Rate - Network Service Rate (see Note 4)</t>
  </si>
  <si>
    <t>Retail Transmission Rate - Line and Transformation Connection Service Rate (see Note 5)</t>
  </si>
  <si>
    <t>Wholesale Market Service Rate (WMS) - not including CBR (see Note 12)</t>
  </si>
  <si>
    <t>Capacity Based Recovery (CBR) - Applicable for Class B Customers (see Note 12)</t>
  </si>
  <si>
    <t>Rural or Remote Electricity Rate Protection Charge (RRRP) (see Note 12)</t>
  </si>
  <si>
    <t>YEAR-ROUND MEDIUM DENSITY - R1**</t>
  </si>
  <si>
    <t>YEAR-ROUND LOW DENSITY - R2**</t>
  </si>
  <si>
    <t>3_YEAR-ROUND LOW DENSITY - R2**</t>
  </si>
  <si>
    <t>Service Charge*</t>
  </si>
  <si>
    <t>3_YEAR-ROUND LOW DENSITY - R2**_MSC</t>
  </si>
  <si>
    <t>3_YEAR-ROUND LOW DENSITY - R2**_SME</t>
  </si>
  <si>
    <t>3_YEAR-ROUND LOW DENSITY - R2**_DEFVAR_ALL</t>
  </si>
  <si>
    <t>3_YEAR-ROUND LOW DENSITY - R2**_DVC</t>
  </si>
  <si>
    <t>3_YEAR-ROUND LOW DENSITY - R2**_GA_kwh</t>
  </si>
  <si>
    <t>*Under the Ontario Energy Board Act, 1998 and associated Regulations, every qualifying year-round customer with a principal residence is eligible to receive Rural of Remote Rate Protection (RRRP). The service charge shown for eligible R2 customers will be reduced by the applicable RRRP credit, currently at $60.50.</t>
  </si>
  <si>
    <t>3_YEAR-ROUND LOW DENSITY - R2**_WMSR</t>
  </si>
  <si>
    <t>3_YEAR-ROUND LOW DENSITY - R2**_RRRP</t>
  </si>
  <si>
    <t>3_YEAR-ROUND LOW DENSITY - R2**_SSS</t>
  </si>
  <si>
    <t>SEASONAL</t>
  </si>
  <si>
    <t>GENERAL SERVICE CLASSIFICATIONS</t>
  </si>
  <si>
    <t>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</si>
  <si>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</si>
  <si>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</si>
  <si>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URBAN GENERAL SERVICE ENERGY BILLED - UGe</t>
  </si>
  <si>
    <t>5_URBAN GENERAL SERVICE ENERGY BILLED - Uge</t>
  </si>
  <si>
    <t>This classification applies to a non-residential account located in an Urban Density Zone whose average monthly maximum demand is less than, or is forecast to be less than, 50 kW.</t>
  </si>
  <si>
    <t>5_URBAN GENERAL SERVICE ENERGY BILLED - Uge_MSC</t>
  </si>
  <si>
    <t>5_URBAN GENERAL SERVICE ENERGY BILLED - Uge_SME</t>
  </si>
  <si>
    <t>5_URBAN GENERAL SERVICE ENERGY BILLED - Uge_DEFVAR_ALL</t>
  </si>
  <si>
    <t>5_URBAN GENERAL SERVICE ENERGY BILLED - Uge_DVC</t>
  </si>
  <si>
    <t>5_URBAN GENERAL SERVICE ENERGY BILLED - Uge_GA_kwh</t>
  </si>
  <si>
    <t>5_URBAN GENERAL SERVICE ENERGY BILLED - Uge_WMSR</t>
  </si>
  <si>
    <t>5_URBAN GENERAL SERVICE ENERGY BILLED - Uge_RRRP</t>
  </si>
  <si>
    <t>5_URBAN GENERAL SERVICE ENERGY BILLED - Uge_SSS</t>
  </si>
  <si>
    <t>GENERAL SERVICE ENERGY BILLED - GSe</t>
  </si>
  <si>
    <t>6_GENERAL SERVICE ENERGY BILLED - Gse</t>
  </si>
  <si>
    <t>This classification applies to a non-residential account not located in an Urban Density Zone whose average monthly maximum demand is less than, or is forecast to be less than, 50 kW.</t>
  </si>
  <si>
    <t>6_GENERAL SERVICE ENERGY BILLED - Gse_MSC</t>
  </si>
  <si>
    <t>6_GENERAL SERVICE ENERGY BILLED - Gse_SME</t>
  </si>
  <si>
    <t>6_GENERAL SERVICE ENERGY BILLED - Gse_DEFVAR_ALL</t>
  </si>
  <si>
    <t>6_GENERAL SERVICE ENERGY BILLED - Gse_DVC</t>
  </si>
  <si>
    <t>6_GENERAL SERVICE ENERGY BILLED - Gse_GA_kwh</t>
  </si>
  <si>
    <t>6_GENERAL SERVICE ENERGY BILLED - Gse_WMSR</t>
  </si>
  <si>
    <t>6_GENERAL SERVICE ENERGY BILLED - Gse_RRRP</t>
  </si>
  <si>
    <t>6_GENERAL SERVICE ENERGY BILLED - Gse_SSS</t>
  </si>
  <si>
    <t>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</si>
  <si>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</si>
  <si>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</si>
  <si>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</si>
  <si>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</si>
  <si>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</si>
  <si>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</si>
  <si>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</si>
  <si>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</si>
  <si>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directly connected to and supplied from Hydro One Distribution assets between 44 kV and 13.8 kV
       inclusive; the meaning of "directly includes Hydro One not owning the local transformation;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</si>
  <si>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</si>
  <si>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</si>
  <si>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Meter Charge (for Hydro One ownership) (see Note 11)</t>
  </si>
  <si>
    <t>Facility Charge for connection to Common ST Lines (44 kV to 13.8 kV) (see Notes 1, 8 and 14)</t>
  </si>
  <si>
    <t>Facility Charge for connection to Specific ST Lines (44 kV to 13.8 kV) (see Note 2)</t>
  </si>
  <si>
    <t>$/km</t>
  </si>
  <si>
    <t>Facility Charge for connection to high-voltage (&gt; 13.8 kV secondary) delivery High Voltage Distribution Station
     (see Notes 1 and 14)</t>
  </si>
  <si>
    <t>Facility Charge for connection to low-voltage (&lt; 13.8 kV secondary) delivery High Voltage Distribution Station
     (see Notes 1 and 14)</t>
  </si>
  <si>
    <t>Facility Charge for connection to low-voltage (&lt; 13.8 kV secondary) Low Voltage Distribution Station (see
     Notes 3 and 14)</t>
  </si>
  <si>
    <t>Rate Rider for Disposition of Deferral/Variance Account (Non WMP) (2019) - effective until December 31, 2020 -
     Approved on an Interim Basis (see Note 10)</t>
  </si>
  <si>
    <t>Retail Transmission Service Rates (see Notes 6 and 7)</t>
  </si>
  <si>
    <t>Retail Transmission Rate - Line Connection Service Rate (see Note 5)</t>
  </si>
  <si>
    <t>Retail Transmission Rate - Transformation Connection Service Rate (see Note 5)</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</si>
  <si>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traffic signals, railway crossings and other small fixed loads. Class B consumers are defined in accordance with O. Reg. 429/04. Further servicing details are available in the distributor's Conditions of Service.</t>
  </si>
  <si>
    <t>This classification is applicable to all Hydro One Networks' customers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</si>
  <si>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</si>
  <si>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11_MRC_Reg</t>
  </si>
  <si>
    <t>This classification is applicable to all Hydro One Networks' customers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</si>
  <si>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</si>
  <si>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12_MRC_Reg</t>
  </si>
  <si>
    <t>13_MRC_Del</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</si>
  <si>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</si>
  <si>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</si>
  <si>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</si>
  <si>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</si>
  <si>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</si>
  <si>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</si>
  <si>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</si>
  <si>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</si>
  <si>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</si>
  <si>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</si>
  <si>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</si>
  <si>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Residential - UR</t>
  </si>
  <si>
    <t>Residential - R1</t>
  </si>
  <si>
    <t>Residential - R2</t>
  </si>
  <si>
    <t>Residential - Seasonal</t>
  </si>
  <si>
    <t>General Service - UGe</t>
  </si>
  <si>
    <t>General Service - GSe</t>
  </si>
  <si>
    <t>General Service - UGd</t>
  </si>
  <si>
    <t>General Service - GSd</t>
  </si>
  <si>
    <t>Distributed Generation - Dgen</t>
  </si>
  <si>
    <t>Unmetered Scattered Load</t>
  </si>
  <si>
    <t>Sentinel Lights</t>
  </si>
  <si>
    <t>Street Lights</t>
  </si>
  <si>
    <t>Sub Transmission - ST</t>
  </si>
  <si>
    <t>Distribution Loss Factors</t>
  </si>
  <si>
    <t>Embedded Delivery Points (metering at station)</t>
  </si>
  <si>
    <t>Embedded Delivery Points (metering away from station)</t>
  </si>
  <si>
    <t>Total Loss Factors</t>
  </si>
  <si>
    <t>Easement letter - letter request</t>
  </si>
  <si>
    <t>Easement letter - web request</t>
  </si>
  <si>
    <t>Returned cheque charge</t>
  </si>
  <si>
    <t>Account set up charge/change of occupancy charge (plus credit agency costs, if applicable)</t>
  </si>
  <si>
    <t>Special meter reads (retailer requested off-cycle read)</t>
  </si>
  <si>
    <t>Non-Payment of Account (see Note 15)</t>
  </si>
  <si>
    <t>Late payment - per month (effective annual rate 19.56% per annum or 0.04896% compounded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</si>
  <si>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</si>
  <si>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</si>
  <si>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</si>
  <si>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</si>
  <si>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</si>
  <si>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</si>
  <si>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</si>
  <si>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</si>
  <si>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</si>
  <si>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</si>
  <si>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</si>
  <si>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</si>
  <si>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</si>
  <si>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Pipeline crossings</t>
  </si>
  <si>
    <t>Water crossings</t>
  </si>
  <si>
    <t>Railway crossings</t>
  </si>
  <si>
    <t>Overhead line staking per meter</t>
  </si>
  <si>
    <t>Underground line staking per meter</t>
  </si>
  <si>
    <t>Subcable line staking per meter</t>
  </si>
  <si>
    <t>Central metering - new service &lt;45 kw</t>
  </si>
  <si>
    <t xml:space="preserve">Conversion to central metering &lt;45 kw </t>
  </si>
  <si>
    <t>Conversion to central metering &gt;=45 kw</t>
  </si>
  <si>
    <t>Connection impact assessments - net metering</t>
  </si>
  <si>
    <t>Connection impact assessments - embedded LDC generators</t>
  </si>
  <si>
    <t>Connection impact assessments - small projects &lt;= 500 kw</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</si>
  <si>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</si>
  <si>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</si>
  <si>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</si>
  <si>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</si>
  <si>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</si>
  <si>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</si>
  <si>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</si>
  <si>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Sentinel light rental charge</t>
  </si>
  <si>
    <t>Sentinel light pole rental charge</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</si>
  <si>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</si>
  <si>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</si>
  <si>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</si>
  <si>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</si>
  <si>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</si>
  <si>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</si>
  <si>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</si>
  <si>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</si>
  <si>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</si>
  <si>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</si>
  <si>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</si>
  <si>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</si>
  <si>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</si>
  <si>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</si>
  <si>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</si>
  <si>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</si>
  <si>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</si>
  <si>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</si>
  <si>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</si>
  <si>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</si>
  <si>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</si>
  <si>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</si>
  <si>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</si>
  <si>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</si>
  <si>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</si>
  <si>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Hydro One Networks Inc._End</t>
  </si>
  <si>
    <t>Alectra Utilities Corporation-Guelph Rate Zone</t>
  </si>
  <si>
    <t>Guelph Rate Zone</t>
  </si>
  <si>
    <t>Alectra Utilities Corporation-Guelph Rate Zone_Start</t>
  </si>
  <si>
    <t>Alectra Utilities Corporation-Guelph Rate Zone_End</t>
  </si>
  <si>
    <t>GVKCW750</t>
  </si>
  <si>
    <t>Veridian Rate Zone</t>
  </si>
  <si>
    <t>Elexicon Energy Inc.</t>
  </si>
  <si>
    <t>Elexicon Energy Inc._ALLOWANCES</t>
  </si>
  <si>
    <t>Elexicon Energy Inc._SSC</t>
  </si>
  <si>
    <t>Elexicon Energy Inc._CA</t>
  </si>
  <si>
    <t>Elexicon Energy Inc._NPoA</t>
  </si>
  <si>
    <t>Elexicon Energy Inc._RSC</t>
  </si>
  <si>
    <t>Elexicon Energy Inc._LFs</t>
  </si>
  <si>
    <t>Elexicon Energy Inc.-Veridian Rate Zone</t>
  </si>
  <si>
    <t>Elexicon Energy Inc.-Veridian Rate Zone_Start</t>
  </si>
  <si>
    <t>Elexicon Energy Inc.-Veridian Rate Zone_End</t>
  </si>
  <si>
    <t>Rate Rider for Recovery of Incremental Capital</t>
  </si>
  <si>
    <t>Rate Rider for Recovery of Advanced Capital Module</t>
  </si>
  <si>
    <t>Rate Rider for Recovery of Stranded Meter Assets</t>
  </si>
  <si>
    <t>Acount 1575 and 1576</t>
  </si>
  <si>
    <t>1575 and 1576</t>
  </si>
  <si>
    <t>Rate Rider for Disposition of Accounts 1575 and 1576</t>
  </si>
  <si>
    <t>RR_1575_1576_ALL</t>
  </si>
  <si>
    <t>Residual Historical Smart Meter</t>
  </si>
  <si>
    <t>RR_Hist_SM_ALL</t>
  </si>
  <si>
    <t>Storm Damage</t>
  </si>
  <si>
    <t>Rate Rider for Recovery of Wind Storm Damage Costs</t>
  </si>
  <si>
    <t>RR_Storm_ALL</t>
  </si>
  <si>
    <t>Low Voltage</t>
  </si>
  <si>
    <t>RR_LV_ALL</t>
  </si>
  <si>
    <t>Funding Adder</t>
  </si>
  <si>
    <t>Funding Adder, Renewable Energy</t>
  </si>
  <si>
    <t>Funding Adder for Renewable Energy Generation</t>
  </si>
  <si>
    <t>RR_FA_ALL</t>
  </si>
  <si>
    <t>Wheeling Rate - ALL</t>
  </si>
  <si>
    <t>Wheeling</t>
  </si>
  <si>
    <t>DWSR_ALL</t>
  </si>
  <si>
    <t>Account 1595</t>
  </si>
  <si>
    <t>Rate Rider for Disposition of Account 1595</t>
  </si>
  <si>
    <t>RR_1595_ALL</t>
  </si>
  <si>
    <t>Disposition of 2016 Earning Sharing</t>
  </si>
  <si>
    <t>Earning Sharing</t>
  </si>
  <si>
    <t>Rate Rider for Disposition of Earnings Sharing</t>
  </si>
  <si>
    <t>RR_EarningSharing_ALL</t>
  </si>
  <si>
    <t>Disposition of Tax Loss Carry-forward</t>
  </si>
  <si>
    <t>Rate Rider for Disposition of Tax Loss Carry-forward</t>
  </si>
  <si>
    <t>RR_Tax_Loss_ALL</t>
  </si>
  <si>
    <t>Deferral/Variance</t>
  </si>
  <si>
    <t>Deferral and Variance</t>
  </si>
  <si>
    <t>Rate Rider for Disposition of Deferral/Variance Accounts</t>
  </si>
  <si>
    <t>RR_DVA_ALL</t>
  </si>
  <si>
    <t>Deferral/Variance_Non_WMP</t>
  </si>
  <si>
    <t>Deferral and Variance and Non WMP</t>
  </si>
  <si>
    <t>Rate Rider for Disposition of Deferral/Variance Accounts Applicable only for Non-Wholesale Market Participants</t>
  </si>
  <si>
    <t>RR_DVA_Non_WMP</t>
  </si>
  <si>
    <t>Capacity Based Recovery</t>
  </si>
  <si>
    <t>Rate Rider for Disposition of Capacity Based Recovery Account Applicable only for Class B Customers</t>
  </si>
  <si>
    <t>RR_CBR_ClASS_B</t>
  </si>
  <si>
    <t>Tax Change</t>
  </si>
  <si>
    <t>Rate Rider for Application of Tax Change</t>
  </si>
  <si>
    <t>RR_TaxChange_ALL</t>
  </si>
  <si>
    <t>If the response to question 5 (GA) or 6 (CBR Class B) is yes, tab 6 relating to Class A customers' consumption will be generated.</t>
  </si>
  <si>
    <t>Review any balance variance between the DVA continuity schedule and the RRR in column BW.  Provide an explanation, if necessary.</t>
  </si>
  <si>
    <t>This tab is to be completed if there were any Class A customers at any point during the period the GA balance or CBR Class B accumulated. The data on this tab is used for the purposes of determining the GA rate rider, CBR Class B rate rider (if applicable), as well as customer specific GA and CBR charges for transition customers (if applicable).</t>
  </si>
  <si>
    <t xml:space="preserve">This tab is generated when the utility selects yes to questions 5 or 6 in tab 1, indicating  they had Class A customers during the period that the GA or CBR balance accumulated. </t>
  </si>
  <si>
    <t>Under #2a, indicate whether the utility had any customers that transitioned between Class A and B  during the period the Account 1589 GA balance accumulated. If yes, tab 6.1a will be generated.</t>
  </si>
  <si>
    <t xml:space="preserve">Under #2b, indicate whether the utility had any customers that transitioned between Class A and B during the period the Account 1580, sub-account CBR Class B balance accumulated. If yes, tab 6.2a will be generated. </t>
  </si>
  <si>
    <t xml:space="preserve">Under #3a, enter the number of transition customers the utility had during the period the Account 1589 GA or Account 1580 CBR B balances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This data will also be used in the calculation of billing determinants for GA and CBR Class B balances, as applicable.
Note that each transition customer identified in tab 6, table 3a will be assigned a customer number and the number will correspond to the same transition customer populated in tabs 6.1a and 6.2a.  
Also note that the transition customers identified for the GA may be different than those for CBR Class B. This would depend on the period in which the GA and CBR Class B balances accumulated. </t>
  </si>
  <si>
    <t>Under #3b, enter the number of rate classes in which there were full year Class A customers during the period the Account 1589 GA balance  or Account 1580 CBR Class B balance accumulated. A table will be generated based on the number of rate classes. 
Complete the table accordingly for each rate class identified (i.e. total Class A consumption in the rate class identified for each year). This data will be used in the calculation of billing determinants for GA and CBR Class B, as applicable.</t>
  </si>
  <si>
    <t>This tab is generated when the utility indicates that they had transition customers in tab 6, #2a during the period the Account 1589 GA balance accumulated.</t>
  </si>
  <si>
    <t>This tab is generated when the utility indicates that they had transition customers in tab 6, #2b during the period where the CBR Class B balance accumulated.</t>
  </si>
  <si>
    <t>The rest of the information in this tab will be auto-populated and will calculate the customer specific allocation of the CBR Class B balance to transition customers in the bottom table. All transition customers who are allocated a specific CBR Class B amount are not to be charged the general CBR Class B rate rider.</t>
  </si>
  <si>
    <t>This tab is generated when the response to question 6 in tab 1 is "yes", indicating that they had Class A customers during the period that Account 1580, sub-account CBR Class B balance accumulated.</t>
  </si>
  <si>
    <t>No input is required in this tab. The information in the tab is auto-populated and the CBR Class B rate riders are calculated accordingly. 
If a rate rider is not produced, the entire Account 1580 CBR Class B balance, including the amount allocated to transition customers will be transferred to Account 1580 WMS, to be disposed through the general Group 1 DVA rate rider.</t>
  </si>
  <si>
    <t>This tab allocates the Group 1 balances, except GA and CBR Class B (if Class A customers exist).</t>
  </si>
  <si>
    <t>Revised Monthly Payment</t>
  </si>
  <si>
    <t>If the CBR Class B rate rider calculated in tab 6.2 rounds to zero at the fourth decimal place for one or more rate classes, the entire balance in Account 1580 CBR Class B, including the amount allocated to transition customers will be transferred to Account 1580 WMS and disposed through the general purpose Group 1 rate riders</t>
  </si>
  <si>
    <t>G</t>
  </si>
  <si>
    <t>H=F*G</t>
  </si>
  <si>
    <t>I=G-H</t>
  </si>
  <si>
    <t>In row 19, enter the total Class B consumption less WMP consumption.</t>
  </si>
  <si>
    <t>ALECTRA UTILITIES CORPORATION_GUELPH RATE ZONE_GENERAL SERVICE 1,000 TO 4,999 KW SERVICE CLASSIFICATION</t>
  </si>
  <si>
    <t>ALECTRA UTILITIES CORPORATION_GUELPH RATE ZONE_GENERAL SERVICE 50 TO 999 KW SERVICE CLASSIFICATION</t>
  </si>
  <si>
    <t>ALECTRA UTILITIES CORPORATION_GUELPH RATE ZONE_GENERAL SERVICE LESS THAN 50 KW SERVICE CLASSIFICATION</t>
  </si>
  <si>
    <t>ALECTRA UTILITIES CORPORATION_GUELPH RATE ZONE_LARGE USE SERVICE CLASSIFICATION</t>
  </si>
  <si>
    <t>ALECTRA UTILITIES CORPORATION_GUELPH RATE ZONE_RESIDENTIAL SERVICE CLASSIFICATION</t>
  </si>
  <si>
    <t>ALECTRA UTILITIES CORPORATION_GUELPH RATE ZONE_SENTINEL LIGHTING SERVICE CLASSIFICATION</t>
  </si>
  <si>
    <t>ALECTRA UTILITIES CORPORATION_GUELPH RATE ZONE_STREET LIGHTING SERVICE CLASSIFICATION</t>
  </si>
  <si>
    <t>ALECTRA UTILITIES CORPORATION_GUELPH RATE ZONE_UNMETERED SCATTERED LOAD SERVICE CLASSIFICATION</t>
  </si>
  <si>
    <t>ELEXICON ENERGY INC.</t>
  </si>
  <si>
    <t>ELEXICON ENERGY INC._VERIDIAN RATE ZONE_GENERAL SERVICE 3,000 TO 4,999 KW SERVICE CLASSIFICATION</t>
  </si>
  <si>
    <t>ELEXICON ENERGY INC._VERIDIAN RATE ZONE_GENERAL SERVICE 50 TO 2,999 KW SERVICE CLASSIFICATION</t>
  </si>
  <si>
    <t>ELEXICON ENERGY INC._VERIDIAN RATE ZONE_LARGE USE SERVICE CLASSIFICATION</t>
  </si>
  <si>
    <t>ELEXICON ENERGY INC._VERIDIAN RATE ZONE_RESIDENTIAL SERVICE CLASSIFICATION</t>
  </si>
  <si>
    <t>ELEXICON ENERGY INC._VERIDIAN RATE ZONE_SEASONAL RESIDENTIAL SERVICE CLASSIFICATION</t>
  </si>
  <si>
    <t>ELEXICON ENERGY INC._VERIDIAN RATE ZONE_SENTINEL LIGHTING SERVICE CLASSIFICATION</t>
  </si>
  <si>
    <t>ELEXICON ENERGY INC._VERIDIAN RATE ZONE_STREET LIGHTING SERVICE CLASSIFICATION</t>
  </si>
  <si>
    <t>ELEXICON ENERGY INC._VERIDIAN RATE ZONE_UNMETERED SCATTERED LOAD SERVICE CLASSIFICATION</t>
  </si>
  <si>
    <t xml:space="preserve">In the green shaded cells, enter billing detail for wholesale transmission for the same reporting period as the billing determinants on Tab 10. For Hydro One Sub-transmission Rates, if you are charged a combined Line and Transformer connection rate, please ensure that both the Line Connection and Transformation Connection columns are completed. 
If any of the Hydro One Sub-transmission rates (column E, I and M) are highlighted in red, please double check the billing data entered in "Units Billed" and "Amount" columns. The highlighted rates do not match the Hydro One Sub-transmission rates approved for that time period. If data has been entered correctly, please provide explanation for the discrepancy in rates.
</t>
  </si>
  <si>
    <t>Alectra Utilities Corporation1595_(2018)</t>
  </si>
  <si>
    <t>Algoma Power Inc.1595_(2018)</t>
  </si>
  <si>
    <t>Bluewater Power Distribution Corporation1595_(2018)</t>
  </si>
  <si>
    <t>Brantford Power Inc.1595_(2018)</t>
  </si>
  <si>
    <t>Burlington Hydro Inc.1595_(2018)</t>
  </si>
  <si>
    <t>Canadian Niagara Power Inc.1595_(2018)</t>
  </si>
  <si>
    <t>Centre Wellington Hydro Ltd.1595_(2018)</t>
  </si>
  <si>
    <t>Chapleau Public Utilities Corporation1595_(2018)</t>
  </si>
  <si>
    <t>Cooperative Hydro Embrun Inc.1595_(2018)</t>
  </si>
  <si>
    <t>E.L.K. Energy Inc.1595_(2018)</t>
  </si>
  <si>
    <t>Entegrus Powerlines Inc.1595_(2018)</t>
  </si>
  <si>
    <t>EPCOR Electricity Distribution Ontario Inc.1595_(2018)</t>
  </si>
  <si>
    <t>Espanola Regional Hydro Distribution Corporation1595_(2018)</t>
  </si>
  <si>
    <t>Essex Powerlines Corporation1595_(2018)</t>
  </si>
  <si>
    <t>Festival Hydro Inc.1595_(2018)</t>
  </si>
  <si>
    <t>Fort Frances Power Corporation1595_(2018)</t>
  </si>
  <si>
    <t>Greater Sudbury Hydro Inc.1595_(2018)</t>
  </si>
  <si>
    <t>Grimsby Power Incorporated1595_(2018)</t>
  </si>
  <si>
    <t>Halton Hills Hydro Inc.1595_(2018)</t>
  </si>
  <si>
    <t>Hearst Power Distribution Co. Ltd.1595_(2018)</t>
  </si>
  <si>
    <t>Hydro 2000 Inc.1595_(2018)</t>
  </si>
  <si>
    <t>Hydro Hawkesbury Inc.1595_(2018)</t>
  </si>
  <si>
    <t>Hydro One Networks Inc.1595_(2018)</t>
  </si>
  <si>
    <t>Hydro One Remote Communities Inc.1595_(2018)</t>
  </si>
  <si>
    <t>Hydro Ottawa Limited1595_(2018)</t>
  </si>
  <si>
    <t>Innpower Corporation1595_(2018)</t>
  </si>
  <si>
    <t>Kingston Hydro Corporation1595_(2018)</t>
  </si>
  <si>
    <t>Kitchener-Wilmot Hydro Inc.1595_(2018)</t>
  </si>
  <si>
    <t>Lakefront Utilities Inc.1595_(2018)</t>
  </si>
  <si>
    <t>Lakeland Power Distribution Ltd.1595_(2018)</t>
  </si>
  <si>
    <t>London Hydro Inc.1595_(2018)</t>
  </si>
  <si>
    <t>Milton Hydro Distribution Inc.1595_(2018)</t>
  </si>
  <si>
    <t>Newmarket-Tay Power Distribution Ltd.1595_(2018)</t>
  </si>
  <si>
    <t>Niagara Peninsula Energy Inc.1595_(2018)</t>
  </si>
  <si>
    <t>Niagara-on-the-Lake Hydro Inc.1595_(2018)</t>
  </si>
  <si>
    <t>North Bay Hydro Distribution Limited1595_(2018)</t>
  </si>
  <si>
    <t>Northern Ontario Wires Inc.1595_(2018)</t>
  </si>
  <si>
    <t>Oakville Hydro Electricity Distribution Inc.1595_(2018)</t>
  </si>
  <si>
    <t>Orangeville Hydro Limited1595_(2018)</t>
  </si>
  <si>
    <t>Orillia Power Distribution Corporation1595_(2018)</t>
  </si>
  <si>
    <t>Oshawa PUC Networks Inc.1595_(2018)</t>
  </si>
  <si>
    <t>Ottawa River Power Corporation1595_(2018)</t>
  </si>
  <si>
    <t>Peterborough Distribution Incorporated1595_(2018)</t>
  </si>
  <si>
    <t>PUC Distribution Inc.1595_(2018)</t>
  </si>
  <si>
    <t>Renfrew Hydro Inc.1595_(2018)</t>
  </si>
  <si>
    <t>Rideau St. Lawrence Distribution Inc.1595_(2018)</t>
  </si>
  <si>
    <t>Sioux Lookout Hydro Inc.1595_(2018)</t>
  </si>
  <si>
    <t>Tillsonburg Hydro Inc.1595_(2018)</t>
  </si>
  <si>
    <t>Toronto Hydro-Electric System Limited1595_(2018)</t>
  </si>
  <si>
    <t>Wasaga Distribution Inc.1595_(2018)</t>
  </si>
  <si>
    <t>Waterloo North Hydro Inc.1595_(2018)</t>
  </si>
  <si>
    <t>Welland Hydro-Electric System Corp.1595_(2018)</t>
  </si>
  <si>
    <t>Wellington North Power Inc.1595_(2018)</t>
  </si>
  <si>
    <t>Westario Power Inc.1595_(2018)</t>
  </si>
  <si>
    <t>Energy+ Inc._Start</t>
  </si>
  <si>
    <t>Rate Rider for Application of Forgone Revenue Adjustment - effective until December 31, 2020</t>
  </si>
  <si>
    <t>Retail Transmission Rate - Line and Transformation Connection Service Rate (see Gross Load Billing Note)</t>
  </si>
  <si>
    <t>Retail Transmission Rate - Network Service Rate - Interval Metered &lt;1000 kW</t>
  </si>
  <si>
    <t>Retail Transmission Rate - Line and Transformation Connection Service Rate  - Interval Metered &lt;1000 kW (see Gross Load Billing Note)</t>
  </si>
  <si>
    <t>General Service refers to the supply of electrical energy to business customers, to bulk-metered residential buildings and to combined residential and business or residential and agricultural buildings.  Apartment buildings that are bulk metered will be billed at the appropriate General Service rate.  This classification refers to an account whose average monthly peak demand is equal to or greater than, or is forecast to be equal to or greater than, 5,000 kW.  Class A and Class B consumers are defined in accordance with O. Reg. 429/04.  Further servicing details are available in the distributor's Conditions of Service.</t>
  </si>
  <si>
    <t>EMBEDDED DISTRIBUTOR SERVICE CLASSIFICATION - HYDRO ONE CND</t>
  </si>
  <si>
    <t>9_EMBEDDED DISTRIBUTOR SERVICE CLASSIFICATION - HYDRO ONE CND</t>
  </si>
  <si>
    <t>9_EMBEDDED DISTRIBUTOR SERVICE CLASSIFICATION - HYDRO ONE CND_DVC</t>
  </si>
  <si>
    <t>9_EMBEDDED DISTRIBUTOR SERVICE CLASSIFICATION - HYDRO ONE CND_GA_kwh</t>
  </si>
  <si>
    <t>9_EMBEDDED DISTRIBUTOR SERVICE CLASSIFICATION - HYDRO ONE CND_DEFVAR_ALL</t>
  </si>
  <si>
    <t>9_EMBEDDED DISTRIBUTOR SERVICE CLASSIFICATION - HYDRO ONE CND_Retail Transmission Rate - Network Service Rate</t>
  </si>
  <si>
    <t>9_EMBEDDED DISTRIBUTOR SERVICE CLASSIFICATION - HYDRO ONE CND_Retail Transmission Rate - Line and Transformation Connection Service Rate</t>
  </si>
  <si>
    <t>9_EMBEDDED DISTRIBUTOR SERVICE CLASSIFICATION - HYDRO ONE CND_WMSR</t>
  </si>
  <si>
    <t>9_EMBEDDED DISTRIBUTOR SERVICE CLASSIFICATION - HYDRO ONE CND_RRRP</t>
  </si>
  <si>
    <t>9_EMBEDDED DISTRIBUTOR SERVICE CLASSIFICATION - HYDRO ONE CND_SSS</t>
  </si>
  <si>
    <t>EMBEDDED DISTRIBUTOR SERVICE CLASSIFICATION - WATERLOO NORTH HYDRO</t>
  </si>
  <si>
    <t>10_EMBEDDED DISTRIBUTOR SERVICE CLASSIFICATION - WATERLOO NORTH HYDRO</t>
  </si>
  <si>
    <t>10_EMBEDDED DISTRIBUTOR SERVICE CLASSIFICATION - WATERLOO NORTH HYDRO_DVC</t>
  </si>
  <si>
    <t>10_EMBEDDED DISTRIBUTOR SERVICE CLASSIFICATION - WATERLOO NORTH HYDRO_LV</t>
  </si>
  <si>
    <t>10_EMBEDDED DISTRIBUTOR SERVICE CLASSIFICATION - WATERLOO NORTH HYDRO_DEFVAR_ALL</t>
  </si>
  <si>
    <t>10_EMBEDDED DISTRIBUTOR SERVICE CLASSIFICATION - WATERLOO NORTH HYDRO_Retail Transmission Rate - Network Service Rate</t>
  </si>
  <si>
    <t>10_EMBEDDED DISTRIBUTOR SERVICE CLASSIFICATION - WATERLOO NORTH HYDRO_Retail Transmission Rate - Line and Transformation Connection Service Rate</t>
  </si>
  <si>
    <t>10_EMBEDDED DISTRIBUTOR SERVICE CLASSIFICATION - WATERLOO NORTH HYDRO_WMSR</t>
  </si>
  <si>
    <t>10_EMBEDDED DISTRIBUTOR SERVICE CLASSIFICATION - WATERLOO NORTH HYDRO_RRRP</t>
  </si>
  <si>
    <t>10_EMBEDDED DISTRIBUTOR SERVICE CLASSIFICATION - WATERLOO NORTH HYDRO_SSS</t>
  </si>
  <si>
    <t>EMBEDDED DISTRIBUTOR SERVICE CLASSIFICATION - BRANTFORD</t>
  </si>
  <si>
    <t>11_EMBEDDED DISTRIBUTOR SERVICE CLASSIFICATION - BRANTFORD</t>
  </si>
  <si>
    <t>11_EMBEDDED DISTRIBUTOR SERVICE CLASSIFICATION - BRANTFORD_DVC</t>
  </si>
  <si>
    <t>11_EMBEDDED DISTRIBUTOR SERVICE CLASSIFICATION - BRANTFORD_LV</t>
  </si>
  <si>
    <t>11_EMBEDDED DISTRIBUTOR SERVICE CLASSIFICATION - BRANTFORD_GA_kwh</t>
  </si>
  <si>
    <t>11_EMBEDDED DISTRIBUTOR SERVICE CLASSIFICATION - BRANTFORD_DEFVAR_ALL</t>
  </si>
  <si>
    <t>11_EMBEDDED DISTRIBUTOR SERVICE CLASSIFICATION - BRANTFORD_Retail Transmission Rate - Network Service Rate</t>
  </si>
  <si>
    <t>11_EMBEDDED DISTRIBUTOR SERVICE CLASSIFICATION - BRANTFORD_Retail Transmission Rate - Line and Transformation Connection Service Rate</t>
  </si>
  <si>
    <t>11_EMBEDDED DISTRIBUTOR SERVICE CLASSIFICATION - BRANTFORD_WMSR</t>
  </si>
  <si>
    <t>11_EMBEDDED DISTRIBUTOR SERVICE CLASSIFICATION - BRANTFORD_RRRP</t>
  </si>
  <si>
    <t>11_EMBEDDED DISTRIBUTOR SERVICE CLASSIFICATION - BRANTFORD_SSS</t>
  </si>
  <si>
    <t>EMBEDDED DISTRIBUTOR SERVICE CLASSIFICATION - HYDRO ONE #1</t>
  </si>
  <si>
    <t>12_EMBEDDED DISTRIBUTOR SERVICE CLASSIFICATION - HYDRO ONE #1</t>
  </si>
  <si>
    <t>12_EMBEDDED DISTRIBUTOR SERVICE CLASSIFICATION - HYDRO ONE #1_MSC</t>
  </si>
  <si>
    <t>12_EMBEDDED DISTRIBUTOR SERVICE CLASSIFICATION - HYDRO ONE #1_DVC</t>
  </si>
  <si>
    <t>12_EMBEDDED DISTRIBUTOR SERVICE CLASSIFICATION - HYDRO ONE #1_GA_kwh</t>
  </si>
  <si>
    <t>12_EMBEDDED DISTRIBUTOR SERVICE CLASSIFICATION - HYDRO ONE #1_DEFVAR_ALL</t>
  </si>
  <si>
    <t>12_EMBEDDED DISTRIBUTOR SERVICE CLASSIFICATION - HYDRO ONE #1_Retail Transmission Rate - Network Service Rate</t>
  </si>
  <si>
    <t>12_EMBEDDED DISTRIBUTOR SERVICE CLASSIFICATION - HYDRO ONE #1_Retail Transmission Rate - Line and Transformation Connection Service Rate</t>
  </si>
  <si>
    <t>12_EMBEDDED DISTRIBUTOR SERVICE CLASSIFICATION - HYDRO ONE #1_WMSR</t>
  </si>
  <si>
    <t>12_EMBEDDED DISTRIBUTOR SERVICE CLASSIFICATION - HYDRO ONE #1_RRRP</t>
  </si>
  <si>
    <t>12_EMBEDDED DISTRIBUTOR SERVICE CLASSIFICATION - HYDRO ONE #1_SSS</t>
  </si>
  <si>
    <t>EMBEDDED DISTRIBUTOR SERVICE CLASSIFICATION - HYDRO ONE #2</t>
  </si>
  <si>
    <t>13_EMBEDDED DISTRIBUTOR SERVICE CLASSIFICATION - HYDRO ONE #2</t>
  </si>
  <si>
    <t>13_APPLICATION</t>
  </si>
  <si>
    <t>13_EMBEDDED DISTRIBUTOR SERVICE CLASSIFICATION - HYDRO ONE #2_MSC</t>
  </si>
  <si>
    <t>13_EMBEDDED DISTRIBUTOR SERVICE CLASSIFICATION - HYDRO ONE #2_GA_kwh</t>
  </si>
  <si>
    <t>13_EMBEDDED DISTRIBUTOR SERVICE CLASSIFICATION - HYDRO ONE #2_DEFVAR_ALL</t>
  </si>
  <si>
    <t>13_MRC_Reg</t>
  </si>
  <si>
    <t>13_EMBEDDED DISTRIBUTOR SERVICE CLASSIFICATION - HYDRO ONE #2_WMSR</t>
  </si>
  <si>
    <t>13_EMBEDDED DISTRIBUTOR SERVICE CLASSIFICATION - HYDRO ONE #2_RRRP</t>
  </si>
  <si>
    <t>13_EMBEDDED DISTRIBUTOR SERVICE CLASSIFICATION - HYDRO ONE #2_SSS</t>
  </si>
  <si>
    <t>14_microFIT SERVICE CLASSIFICATION</t>
  </si>
  <si>
    <t>14_APPLICATION</t>
  </si>
  <si>
    <t>14_MRC_Del</t>
  </si>
  <si>
    <t>14_microFIT SERVICE CLASSIFICATION_MSC</t>
  </si>
  <si>
    <t>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</si>
  <si>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</si>
  <si>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</si>
  <si>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</si>
  <si>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regular hours</t>
  </si>
  <si>
    <t>Specific charge for access to the power poles - $/pole/year                                                                                                                                                                                                                                                                                                                                               (with the exception of wireless attachments)</t>
  </si>
  <si>
    <t>Energy+ Inc._End</t>
  </si>
  <si>
    <t>ENERGY+ INC._GENERAL SERVICE 1,000 TO 4,999 KW SERVICE CLASSIFICATION</t>
  </si>
  <si>
    <t>ENERGY+ INC._GENERAL SERVICE 50 TO 999 KW SERVICE CLASSIFICATION</t>
  </si>
  <si>
    <t>ENERGY+ INC._GENERAL SERVICE LESS THAN 50 KW SERVICE CLASSIFICATION</t>
  </si>
  <si>
    <t>ENERGY+ INC._RESIDENTIAL SERVICE CLASSIFICATION</t>
  </si>
  <si>
    <t>ENERGY+ INC._STREET LIGHTING SERVICE CLASSIFICATION</t>
  </si>
  <si>
    <t>ENERGY+ INC._UNMETERED SCATTERED LOAD SERVICE CLASSIFICATION</t>
  </si>
  <si>
    <t>ENERGY+ INC._SENTINEL LIGHTING SERVICE CLASSIFICATION</t>
  </si>
  <si>
    <t>Ontario Electricity Rebate</t>
  </si>
  <si>
    <t>In the Green Cells below, enter all proposed rate riders/rates.
In column A, select the rate rider descriptions from the drop-down list in the blue cells. If the rate description cannot be found, enter the rate rider descriptions in the green cells. The rate rider description must begin with "Rate Rider for". 
In column B, choose the associated unit from the drop-down menu.
In column C, enter the rate. All rate riders with a "$" unit should be rounded to 2 decimal places and all others rounded to 4 decimal places.
In column E, enter the expiry date (e.g. April 30, 2020) or description of the expiry date in text (e.g. the effective date of the next cost of service-based rate order).
In column G, a sub-total (A or B) should already be assigned to the rate rider unless the rate description was entered into a green cell in column A.  In these particular cases, from the dropdown list in column G, choose the appropriate sub-total (A or B). Sub-total A refers to rates/rate riders that Not considered as pass through costs (eg: LRAMVA and ICM/ACM rate riders). Sub-total B refers to rates/rate riders that are considered pass through costs.</t>
  </si>
  <si>
    <t>If applicable, please enter any adjustments related to the revenue to cost ratio model into columns C and E.  The Price Escalator has been set at the 2020 value and will be updated by OEB staff at a later date.</t>
  </si>
  <si>
    <t>Red cells represent flags to identify either non-matching values or incorrect user selections.</t>
  </si>
  <si>
    <t>Pale grey cells represent auto-populated RRR data.</t>
  </si>
  <si>
    <r>
      <t>Disposition and Recovery/Refund of Regulatory Balances (2020)</t>
    </r>
    <r>
      <rPr>
        <vertAlign val="superscript"/>
        <sz val="11"/>
        <rFont val="Arial"/>
        <family val="2"/>
      </rPr>
      <t xml:space="preserve">3
</t>
    </r>
    <r>
      <rPr>
        <i/>
        <sz val="11"/>
        <color rgb="FFFF0000"/>
        <rFont val="Arial"/>
        <family val="2"/>
      </rPr>
      <t>Not to be disposed of until a year after rate rider has expired and that balance has been audited</t>
    </r>
  </si>
  <si>
    <t>1595_(2020)</t>
  </si>
  <si>
    <t>Opening Principal Amounts as of Jan 1, 2019</t>
  </si>
  <si>
    <t>Transactions Debit / (Credit) during 2019</t>
  </si>
  <si>
    <t>OEB-Approved Disposition during 2019</t>
  </si>
  <si>
    <r>
      <t>Principal Adjustments</t>
    </r>
    <r>
      <rPr>
        <b/>
        <vertAlign val="superscript"/>
        <sz val="10"/>
        <rFont val="Book Antiqua"/>
        <family val="1"/>
      </rPr>
      <t>1</t>
    </r>
    <r>
      <rPr>
        <b/>
        <sz val="10"/>
        <rFont val="Book Antiqua"/>
        <family val="1"/>
      </rPr>
      <t xml:space="preserve"> during 2019</t>
    </r>
  </si>
  <si>
    <t>Closing Principal Balance as of Dec 31, 2019</t>
  </si>
  <si>
    <t>Opening Interest Amounts as of Jan 1, 2019</t>
  </si>
  <si>
    <t>Interest Jan 1 to Dec 31, 2019</t>
  </si>
  <si>
    <r>
      <t>Interest Adjustments</t>
    </r>
    <r>
      <rPr>
        <b/>
        <vertAlign val="superscript"/>
        <sz val="10"/>
        <rFont val="Book Antiqua"/>
        <family val="1"/>
      </rPr>
      <t>1</t>
    </r>
    <r>
      <rPr>
        <b/>
        <sz val="10"/>
        <rFont val="Book Antiqua"/>
        <family val="1"/>
      </rPr>
      <t xml:space="preserve"> during 2019</t>
    </r>
  </si>
  <si>
    <t>Closing Interest Amounts as of Dec 31, 2019</t>
  </si>
  <si>
    <t>Principal Disposition during 2020 - instructed by OEB</t>
  </si>
  <si>
    <t>Interest Disposition during 2020 - instructed by OEB</t>
  </si>
  <si>
    <t>Closing Principal Balances as of Dec 31, 2019 Adjusted for Disposition during 2020</t>
  </si>
  <si>
    <t>Closing Interest Balances as of Dec 31, 2019 Adjusted for Disposition during 2020</t>
  </si>
  <si>
    <t>(If you received approval to dispose of the CBR Class B account balance as at December 31, 2016, the period the GA variance accumulated would be 2017 to 2019.)</t>
  </si>
  <si>
    <t>Calculation of Rebased Revenue Requirement and Allocation of Tax Sharing Amount.  Enter data from the last OEB-approved Cost of Service application in columns C through H.</t>
  </si>
  <si>
    <t>Historical 2019</t>
  </si>
  <si>
    <t>Forecast 2021</t>
  </si>
  <si>
    <t>2019
Jan to Jun</t>
  </si>
  <si>
    <t>2019
Jul to Dec</t>
  </si>
  <si>
    <t>The purpose of this sheet is to calculate the expected billing when current 2020 Uniform Transmission Rates are applied against historical 2019 transmission units.</t>
  </si>
  <si>
    <t>Elexicon Energy Inc.-For The Whitby Rate Zone</t>
  </si>
  <si>
    <t>Elexicon Energy Inc.-For The Whitby Rate Zone_Start</t>
  </si>
  <si>
    <t>For The Whitby Rate Zone</t>
  </si>
  <si>
    <t>Effective and Implementation Date January 1, 2020</t>
  </si>
  <si>
    <t>EB-2019-0130</t>
  </si>
  <si>
    <t>Rate Rider for Disposition of Lost Revenue Adjustment Mechanism Variance Account (LRAMVA) (2020) 
     - effective until December 31, 2020</t>
  </si>
  <si>
    <t>Late payment - per month
(effective annual rate 19.56% per annum or 0.04896% compounded daily rate)</t>
  </si>
  <si>
    <t>Reconnection charge - at meter - during regular hours</t>
  </si>
  <si>
    <t>Reconnection charge - at meter - after regular hours</t>
  </si>
  <si>
    <t>Reconnection charge - at pole - during regular hours</t>
  </si>
  <si>
    <t>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</si>
  <si>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</si>
  <si>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Notice of switch letter charge, per letter (unless the distributor has opted out of applying for the charge as per the Ontario Energy Board's Decision and Order EB-2015-0304, issued on February 14, 2019)</t>
  </si>
  <si>
    <t>Elexicon Energy Inc.-For The Whitby Rate Zone_End</t>
  </si>
  <si>
    <t>EB-2019-0043</t>
  </si>
  <si>
    <t>0_APPLICATION</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</si>
  <si>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</si>
  <si>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1_YEAR-ROUND URBAN DENSITY - UR</t>
  </si>
  <si>
    <t>1_YEAR-ROUND URBAN DENSITY - UR_MSC</t>
  </si>
  <si>
    <t>1_YEAR-ROUND URBAN DENSITY - UR_SME</t>
  </si>
  <si>
    <t>Rate Rider for Disposition of Group 1 Deferral/Variance Accounts (2019) - effective until December 31, 2020                - Approved on an Interim Basis</t>
  </si>
  <si>
    <t>1_YEAR-ROUND URBAN DENSITY - UR_DEFVAR_ALL</t>
  </si>
  <si>
    <t>1_YEAR-ROUND URBAN DENSITY - UR_DVC</t>
  </si>
  <si>
    <t>Rate Rider for Disposition of Global Adjustment Account (2019) - effective until December 31, 2020 - Approved on an Interim Basis (see Note 13)</t>
  </si>
  <si>
    <t>1_YEAR-ROUND URBAN DENSITY - UR_GA_kwh</t>
  </si>
  <si>
    <t>1_YEAR-ROUND URBAN DENSITY - UR_Retail Transmission Rate - Network Service Rate</t>
  </si>
  <si>
    <t>1_YEAR-ROUND URBAN DENSITY - UR_Retail Transmission Rate - Line and Transformation Connection Service Rate</t>
  </si>
  <si>
    <t>1_YEAR-ROUND URBAN DENSITY - UR_WMSR</t>
  </si>
  <si>
    <t>1_YEAR-ROUND URBAN DENSITY - UR_RRRP</t>
  </si>
  <si>
    <t>1_YEAR-ROUND URBAN DENSITY - UR_SSS</t>
  </si>
  <si>
    <t>2_YEAR-ROUND MEDIUM DENSITY - R1**</t>
  </si>
  <si>
    <t>2_YEAR-ROUND MEDIUM DENSITY - R1**_MSC</t>
  </si>
  <si>
    <t>2_YEAR-ROUND MEDIUM DENSITY - R1**_SME</t>
  </si>
  <si>
    <t>2_YEAR-ROUND MEDIUM DENSITY - R1**_DEFVAR_ALL</t>
  </si>
  <si>
    <t>2_YEAR-ROUND MEDIUM DENSITY - R1**_DVC</t>
  </si>
  <si>
    <t>2_YEAR-ROUND MEDIUM DENSITY - R1**_GA_kwh</t>
  </si>
  <si>
    <t>2_YEAR-ROUND MEDIUM DENSITY - R1**_Retail Transmission Rate - Network Service Rate</t>
  </si>
  <si>
    <t>2_YEAR-ROUND MEDIUM DENSITY - R1**_Retail Transmission Rate - Line and Transformation Connection Service Rate</t>
  </si>
  <si>
    <t>**The rates set out do not reflect the impact of the Distribution Rate Protection program on R1 customers (per EB-2018-0192, Decision and Order, June 21, 2018)</t>
  </si>
  <si>
    <t>2_YEAR-ROUND MEDIUM DENSITY - R1**_WMSR</t>
  </si>
  <si>
    <t>2_YEAR-ROUND MEDIUM DENSITY - R1**_RRRP</t>
  </si>
  <si>
    <t>2_YEAR-ROUND MEDIUM DENSITY - R1**_SSS</t>
  </si>
  <si>
    <t>3_YEAR-ROUND LOW DENSITY - R2**_Retail Transmission Rate - Network Service Rate</t>
  </si>
  <si>
    <t>3_YEAR-ROUND LOW DENSITY - R2**_Retail Transmission Rate - Line and Transformation Connection Service Rate</t>
  </si>
  <si>
    <t>**The rates set out do not reflect the impact of the Distribution Rate Protection program on R2 customers (per EB-2018-0192, Decision and Order, June 21, 2018)</t>
  </si>
  <si>
    <t>4_SEASONAL</t>
  </si>
  <si>
    <t>4_SEASONAL_MSC</t>
  </si>
  <si>
    <t>4_SEASONAL_SME</t>
  </si>
  <si>
    <t>4_SEASONAL_DEFVAR_ALL</t>
  </si>
  <si>
    <t>4_SEASONAL_DVC</t>
  </si>
  <si>
    <t>4_SEASONAL_GA_kwh</t>
  </si>
  <si>
    <t>4_SEASONAL_Retail Transmission Rate - Network Service Rate</t>
  </si>
  <si>
    <t>4_SEASONAL_Retail Transmission Rate - Line and Transformation Connection Service Rate</t>
  </si>
  <si>
    <t>4_SEASONAL_WMSR</t>
  </si>
  <si>
    <t>4_SEASONAL_RRRP</t>
  </si>
  <si>
    <t>4_SEASONAL_SSS</t>
  </si>
  <si>
    <t>5_URBAN GENERAL SERVICE ENERGY BILLED - Uge_Retail Transmission Rate - Network Service Rate</t>
  </si>
  <si>
    <t>5_URBAN GENERAL SERVICE ENERGY BILLED - Uge_Retail Transmission Rate - Line and Transformation Connection Service Rate</t>
  </si>
  <si>
    <t>6_GENERAL SERVICE ENERGY BILLED - Gse_Retail Transmission Rate - Network Service Rate</t>
  </si>
  <si>
    <t>6_GENERAL SERVICE ENERGY BILLED - Gse_Retail Transmission Rate - Line and Transformation Connection Service Rate</t>
  </si>
  <si>
    <t>7_URBAN GENERAL SERVICE DEMAND BILLED - Ugd</t>
  </si>
  <si>
    <t>7_URBAN GENERAL SERVICE DEMAND BILLED - Ugd_MSC</t>
  </si>
  <si>
    <t>7_URBAN GENERAL SERVICE DEMAND BILLED - Ugd_DEFVAR_ALL</t>
  </si>
  <si>
    <t>7_URBAN GENERAL SERVICE DEMAND BILLED - Ugd_DVC</t>
  </si>
  <si>
    <t>7_URBAN GENERAL SERVICE DEMAND BILLED - Ugd_GA_kwh</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</si>
  <si>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</si>
  <si>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</si>
  <si>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</si>
  <si>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</si>
  <si>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</si>
  <si>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8_GENERAL SERVICE DEMAND BILLED - GSd</t>
  </si>
  <si>
    <t>8_GENERAL SERVICE DEMAND BILLED - GSd_MSC</t>
  </si>
  <si>
    <t>8_GENERAL SERVICE DEMAND BILLED - GSd_DEFVAR_ALL</t>
  </si>
  <si>
    <t>8_GENERAL SERVICE DEMAND BILLED - GSd_DVC</t>
  </si>
  <si>
    <t>8_GENERAL SERVICE DEMAND BILLED - GSd_GA_kwh</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</si>
  <si>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</si>
  <si>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</si>
  <si>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</si>
  <si>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</si>
  <si>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</si>
  <si>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9_DISTRIBUTED GENERATION - Dgen</t>
  </si>
  <si>
    <t>9_DISTRIBUTED GENERATION - Dgen_MSC</t>
  </si>
  <si>
    <t>9_DISTRIBUTED GENERATION - Dgen_DEFVAR_ALL</t>
  </si>
  <si>
    <t>9_DISTRIBUTED GENERATION - Dgen_DVC</t>
  </si>
  <si>
    <t>9_DISTRIBUTED GENERATION - Dgen_GA_kwh</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</si>
  <si>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</si>
  <si>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</si>
  <si>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</si>
  <si>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</si>
  <si>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</si>
  <si>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10_SUB TRANSMISSION - ST</t>
  </si>
  <si>
    <t>10_SUB TRANSMISSION - ST_MSC</t>
  </si>
  <si>
    <t>10_SUB TRANSMISSION - ST_DEFVAR_ALL</t>
  </si>
  <si>
    <t>10_SUB TRANSMISSION - ST_LV</t>
  </si>
  <si>
    <t>10_SUB TRANSMISSION - ST_GA_kwh</t>
  </si>
  <si>
    <t>10_SUB TRANSMISSION - ST_Retail Transmission Rate - Network Service Rate</t>
  </si>
  <si>
    <t>10_SUB TRANSMISSION - ST_WMSR</t>
  </si>
  <si>
    <t>10_SUB TRANSMISSION - ST_RRRP</t>
  </si>
  <si>
    <t>10_SUB TRANSMISSION - ST_SSS</t>
  </si>
  <si>
    <t>11_UNMETERED SCATTERED LOAD SERVICE CLASSIFICATION</t>
  </si>
  <si>
    <t>11_UNMETERED SCATTERED LOAD SERVICE CLASSIFICATION_MSC</t>
  </si>
  <si>
    <t>11_UNMETERED SCATTERED LOAD SERVICE CLASSIFICATION_DEFVAR_ALL</t>
  </si>
  <si>
    <t>11_UNMETERED SCATTERED LOAD SERVICE CLASSIFICATION_DVC</t>
  </si>
  <si>
    <t>11_UNMETERED SCATTERED LOAD SERVICE CLASSIFICATION_GA_kwh</t>
  </si>
  <si>
    <t>11_UNMETERED SCATTERED LOAD SERVICE CLASSIFICATION_Retail Transmission Rate - Network Service Rate</t>
  </si>
  <si>
    <t>11_UNMETERED SCATTERED LOAD SERVICE CLASSIFICATION_Retail Transmission Rate - Line and Transformation Connection Service Rate</t>
  </si>
  <si>
    <t>11_UNMETERED SCATTERED LOAD SERVICE CLASSIFICATION_WMSR</t>
  </si>
  <si>
    <t>11_UNMETERED SCATTERED LOAD SERVICE CLASSIFICATION_RRRP</t>
  </si>
  <si>
    <t>11_UNMETERED SCATTERED LOAD SERVICE CLASSIFICATION_SSS</t>
  </si>
  <si>
    <t>12_SENTINEL LIGHTING SERVICE CLASSIFICATION</t>
  </si>
  <si>
    <t>12_SENTINEL LIGHTING SERVICE CLASSIFICATION_MSC</t>
  </si>
  <si>
    <t>12_SENTINEL LIGHTING SERVICE CLASSIFICATION_DEFVAR_ALL</t>
  </si>
  <si>
    <t>12_SENTINEL LIGHTING SERVICE CLASSIFICATION_DVC</t>
  </si>
  <si>
    <t>12_SENTINEL LIGHTING SERVICE CLASSIFICATION_GA_kwh</t>
  </si>
  <si>
    <t>12_SENTINEL LIGHTING SERVICE CLASSIFICATION_Retail Transmission Rate - Network Service Rate</t>
  </si>
  <si>
    <t>12_SENTINEL LIGHTING SERVICE CLASSIFICATION_Retail Transmission Rate - Line and Transformation Connection Service Rate</t>
  </si>
  <si>
    <t>12_SENTINEL LIGHTING SERVICE CLASSIFICATION_WMSR</t>
  </si>
  <si>
    <t>12_SENTINEL LIGHTING SERVICE CLASSIFICATION_RRRP</t>
  </si>
  <si>
    <t>12_SENTINEL LIGHTING SERVICE CLASSIFICATION_SSS</t>
  </si>
  <si>
    <t>13_STREET LIGHTING SERVICE CLASSIFICATION</t>
  </si>
  <si>
    <t>13_STREET LIGHTING SERVICE CLASSIFICATION_MSC</t>
  </si>
  <si>
    <t>13_STREET LIGHTING SERVICE CLASSIFICATION_DEFVAR_ALL</t>
  </si>
  <si>
    <t>13_STREET LIGHTING SERVICE CLASSIFICATION_DVC</t>
  </si>
  <si>
    <t>13_STREET LIGHTING SERVICE CLASSIFICATION_GA_kwh</t>
  </si>
  <si>
    <t>13_STREET LIGHTING SERVICE CLASSIFICATION_Retail Transmission Rate - Network Service Rate</t>
  </si>
  <si>
    <t>13_STREET LIGHTING SERVICE CLASSIFICATION_Retail Transmission Rate - Line and Transformation Connection Service Rate</t>
  </si>
  <si>
    <t>13_STREET LIGHTING SERVICE CLASSIFICATION_WMSR</t>
  </si>
  <si>
    <t>13_STREET LIGHTING SERVICE CLASSIFICATION_RRRP</t>
  </si>
  <si>
    <t>13_STREET LIGHTING SERVICE CLASSIFICATION_SSS</t>
  </si>
  <si>
    <t>15_DISTRIBUTED GENERATION - Dgen</t>
  </si>
  <si>
    <t>16_SUB TRANSMISSION - ST</t>
  </si>
  <si>
    <t>4,830.33 plus Railway Feedthrough Costs</t>
  </si>
  <si>
    <t>16_APPLICATION</t>
  </si>
  <si>
    <t>EB-2019-0074</t>
  </si>
  <si>
    <t>Rate Rider for Disposition of Global Adjustment Account (2020) - effective until December 31, 2020
      Applicable only for Non-RPP Customers - Approved on an Interim Basis</t>
  </si>
  <si>
    <t>Rate Rider for Disposition of Deferral/Variance Accounts (2020) - effective until December 31, 2020
     - Approved on an Interim Basis</t>
  </si>
  <si>
    <t>Rate Rider for Disposition of Capacity Based Recovery Account (2020) - effective until December 31, 2020 
     Applicable only for Class B Customers - Approved on an Interim Basis</t>
  </si>
  <si>
    <t>Rate Rider for Disposition of Global Adjustment Account (2020) - effective until December 31, 2020
      Applicable only for Non-RPP Customers - Approved on an Interim basis</t>
  </si>
  <si>
    <t>Rate Rider for Disposition of Deferral/Variance Accounts (2020) - effective until December 31, 2020
      Applicable only for Non-Wholesale Market Participants - Approved on an Interim basis</t>
  </si>
  <si>
    <t>Rate Rider for Disposition of Deferral/Variance Accounts (2020) - effective until December 31, 2020
      - Approved on an Interim basis</t>
  </si>
  <si>
    <t>Rate Rider for Disposition of Capacity Based Recovery Account (2020) - effective until December 31, 2020
     Applicable only for Class B Customers - Approved on an Interim basis</t>
  </si>
  <si>
    <t>Rate Rider for Disposition of Deferral/Variance Accounts (2020) - effective until December 31, 2020
      - Approved on an Interim Basis</t>
  </si>
  <si>
    <t>Rate Rider for Disposition of Capacity Based Recovery Account (2020) - effective until December 31, 2020
     Applicable only for Class B Customers - Approved on an Interim Basis</t>
  </si>
  <si>
    <t xml:space="preserve">             Late payment - per month (effective annual rate 19.56% per annum or 0.04896% compounded 
             daily rate)</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</si>
  <si>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</si>
  <si>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</si>
  <si>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</si>
  <si>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</si>
  <si>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</si>
  <si>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EB-2019-0019</t>
  </si>
  <si>
    <t>Rate Rider for Disposition of Group 2 Deferral/Variance Accounts (2020) - effective until December 31, 2020</t>
  </si>
  <si>
    <t>Rate Rider for Partial Disposition of Interim Licence Deferral Account - effective until December 31, 2024
       Applicable only for customers in the Township of Dubreuilville</t>
  </si>
  <si>
    <t>1_RESIDENTIAL R1 SERVICE CLASSIFICATION_FX_RR_17</t>
  </si>
  <si>
    <t>Rate Rider for Disposition of Deferral/Variance Accounts (2020) - effective until December 31, 2020</t>
  </si>
  <si>
    <t>Rate Rider for Disposition of Lost Revenue Adjustment Mechanism Variance Account (LRAMVA) (2020)
       - effective until December 31, 2023</t>
  </si>
  <si>
    <t>1_RESIDENTIAL R1 SERVICE CLASSIFICATION_LRAM</t>
  </si>
  <si>
    <t>Rate Rider for Disposition of Global Adjustment Account (2020) - effective until December 31, 2020
      Applicable only for Non-RPP Customers</t>
  </si>
  <si>
    <t>2_RESIDENTIAL R2 SERVICE CLASSIFICATION_FX_RR_18</t>
  </si>
  <si>
    <t>2_RESIDENTIAL R2 SERVICE CLASSIFICATION_LRAM</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</si>
  <si>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</si>
  <si>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CLASSIFICATION_LRAM</t>
  </si>
  <si>
    <t>Rate Rider for Disposition of Account 1574 - effective until December 31, 2023</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</si>
  <si>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</si>
  <si>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</si>
  <si>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</si>
  <si>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</si>
  <si>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</si>
  <si>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It should be noted that this schedule does not list any charges, assessments or credits that are required by law to be invoiced by a distributor and that are not subject to Ontario Energy Board approval, such as the Global Adjustment and the HST.
</t>
  </si>
  <si>
    <t>EB-2019-0028</t>
  </si>
  <si>
    <t>Rate Rider for Disposition of Lost Revenue Adjustment Mechanism Variance Account (LRAMVA) (2020)
     - effective until December 31, 2020</t>
  </si>
  <si>
    <t>Rate Rider for Disposition of Lost Revenue Adjustment Mechanism Variance Account (LRAMVA) (2020) 
    - effective until December 31, 2020</t>
  </si>
  <si>
    <t xml:space="preserve"> Late payment - per month
 (effective annual rate 19.56% per annum or 0.04896% compounded daily rate)</t>
  </si>
  <si>
    <t>Reconnection at meter - during regular hours</t>
  </si>
  <si>
    <t>Reconnection at meter - after regular hours</t>
  </si>
  <si>
    <t>Reconnection at pole - during regular hours</t>
  </si>
  <si>
    <t>Reconnection at pole - after hours</t>
  </si>
  <si>
    <t>EB-2019-0024</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</si>
  <si>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</si>
  <si>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Rate Rider for Disposition of Capacity Based Recovery Account (2020) - effective until December 31, 2020
      Applicable only for Class B Customers</t>
  </si>
  <si>
    <t>Rate Rider for Disposition of Capacity Based Recovery Account (2020) - effective until December 31, 2020
     Applicable only for Class B Customers</t>
  </si>
  <si>
    <t>3_GENERAL SERVICE 50 to 4,999 kW SERVICE CLASSIFICATION_FX_RR_22</t>
  </si>
  <si>
    <t>Reconnection at pole - after regular hours</t>
  </si>
  <si>
    <t>EB-2019-0025</t>
  </si>
  <si>
    <t>It should be noted that this schedule does not list any charges, assessments, or credits that are required by law to be invoiced by a distributor and that are not subject to Ontario Energy Board approval, such as Global Adjustment and the HST.</t>
  </si>
  <si>
    <t>1_RESIDENTIAL SERVICE CLASSIFICATION_FX_RR_24</t>
  </si>
  <si>
    <t>1_RESIDENTIAL SERVICE CLASSIFICATION_FX_RR_25</t>
  </si>
  <si>
    <t>Rate Rider per 2018 Settlement Proposal (2018) - effective from January 1, 2022 until the effective date
      of next Cost of Service or Custom IR Rate Order</t>
  </si>
  <si>
    <t>1_RESIDENTIAL SERVICE CLASSIFICATION_FX_RR_26</t>
  </si>
  <si>
    <t>Rate Rider for Disposition of Lost Revenue Adjustment Mechanism Variance Account (LRAMVA) (2020) 
      - effective until December 31, 2020</t>
  </si>
  <si>
    <t>Rate Rider for Disposition of Lost Revenue Adjustment Mechanism Variance Account (LRAMVA) (2020) - effective until December 31, 2020</t>
  </si>
  <si>
    <t>2_GENERAL SERVICE LESS THAN 50 KW SERVICE CLASSIFICATION_VR_RR_131</t>
  </si>
  <si>
    <t>2_GENERAL SERVICE LESS THAN 50 KW SERVICE CLASSIFICATION_VR_RR_132</t>
  </si>
  <si>
    <t>2_GENERAL SERVICE LESS THAN 50 KW SERVICE CLASSIFICATION_VR_RR_133</t>
  </si>
  <si>
    <t>Rate Rider for Disposition of Lost Revenue Adjustment Mechanism Variance Account (LRAMVA) (2018) 
       - effective until December 31, 2021</t>
  </si>
  <si>
    <t>3_GENERAL SERVICE 50 TO 2,999 KW SERVICE CLASSIFICATION_VR_RR_136</t>
  </si>
  <si>
    <t>3_GENERAL SERVICE 50 TO 2,999 KW SERVICE CLASSIFICATION_VR_RR_137</t>
  </si>
  <si>
    <t>3_GENERAL SERVICE 50 TO 2,999 KW SERVICE CLASSIFICATION_VR_RR_138</t>
  </si>
  <si>
    <t>4_GENERAL SERVICE 3,000 TO 4,999 KW SERVICE CLASSIFICATION_VR_RR_141</t>
  </si>
  <si>
    <t>4_GENERAL SERVICE 3,000 TO 4,999 KW SERVICE CLASSIFICATION_VR_RR_142</t>
  </si>
  <si>
    <t>4_GENERAL SERVICE 3,000 TO 4,999 KW SERVICE CLASSIFICATION_VR_RR_143</t>
  </si>
  <si>
    <t>5_UNMETERED SCATTERED LOAD SERVICE CLASSIFICATION_VR_RR_145</t>
  </si>
  <si>
    <t>5_UNMETERED SCATTERED LOAD SERVICE CLASSIFICATION_VR_RR_146</t>
  </si>
  <si>
    <t>5_UNMETERED SCATTERED LOAD SERVICE CLASSIFICATION_VR_RR_147</t>
  </si>
  <si>
    <t>6_SENTINEL LIGHTING SERVICE CLASSIFICATION_VR_RR_149</t>
  </si>
  <si>
    <t>6_SENTINEL LIGHTING SERVICE CLASSIFICATION_VR_RR_150</t>
  </si>
  <si>
    <t>6_SENTINEL LIGHTING SERVICE CLASSIFICATION_VR_RR_151</t>
  </si>
  <si>
    <t>7_STREET LIGHTING SERVICE CLASSIFICATION_VR_RR_154</t>
  </si>
  <si>
    <t>7_STREET LIGHTING SERVICE CLASSIFICATION_VR_RR_155</t>
  </si>
  <si>
    <t>7_STREET LIGHTING SERVICE CLASSIFICATION_VR_RR_156</t>
  </si>
  <si>
    <t>EB-2019-0030</t>
  </si>
  <si>
    <t>Rate Rider for Disposition of Lost Revenue Adjustment Mechanism Variance Account (LRAMVA) (2020) -
      effective until December 31, 2020</t>
  </si>
  <si>
    <t>Rate Rider for Disposition of Lost Revenue Adjustment Mechanism Variance Account (LRAMVA) (2020) - 
      effective until December 31, 2020</t>
  </si>
  <si>
    <t>Rate Rider for Disposition of Deferral/Variance Accounts (2020) - effective until December 31, 2020
      Applicable only for Non-Wholesale Market Participants</t>
  </si>
  <si>
    <t>4_SENTINEL LIGHTING SERVICE CLASSIFICATION_CBR</t>
  </si>
  <si>
    <t>EB-2019-0032</t>
  </si>
  <si>
    <t>Rate Rider for Disposition of Account 1575 (2020) - effective until December 31, 2024</t>
  </si>
  <si>
    <t>1_RESIDENTIAL SERVICE CLASSIFICATION_FX_RR_27</t>
  </si>
  <si>
    <t>Rate Rider for Disposition of Group 2 Deferral/Variance Accounts (2020)  - effective until December 31, 2020</t>
  </si>
  <si>
    <t>Rate Rider for Disposition of Group 1 Deferral/Variance Accounts (2020)  - effective until December 31, 2020</t>
  </si>
  <si>
    <t>Rate Rider for Disposition of Global Adjustment Account (2020) Applicable only for Non-RPP Customers - effective until December 31, 2020</t>
  </si>
  <si>
    <t>2_GENERAL SERVICE LESS THAN 50 KW SERVICE CLASSIFICATION_VR_RR_184</t>
  </si>
  <si>
    <t>Rate Rider for Disposition of Group 1 Deferral/Variance Accounts (2020)  Applicable only for Non-Wholesale Market Participants - effective until December 31, 2020</t>
  </si>
  <si>
    <t>Rate Rider for Disposition of Group 1 Deferral/Variance Accounts (2020)  including Wholesale Market Participants - effective until December 31, 2020</t>
  </si>
  <si>
    <t>3_GENERAL SERVICE 50 to 4,999 kW SERVICE CLASSIFICATION_VR_RR_191</t>
  </si>
  <si>
    <t>4_LARGE USE - REGULAR SERVICE CLASSIFICATION</t>
  </si>
  <si>
    <t>4_LARGE USE - REGULAR SERVICE CLASSIFICATION_MSC</t>
  </si>
  <si>
    <t>4_LARGE USE - REGULAR SERVICE CLASSIFICATION_DVC</t>
  </si>
  <si>
    <t>4_LARGE USE - REGULAR SERVICE CLASSIFICATION_LRAM</t>
  </si>
  <si>
    <t>4_LARGE USE - REGULAR SERVICE CLASSIFICATION_DEFVAR_ALL</t>
  </si>
  <si>
    <t>4_LARGE USE - REGULAR SERVICE CLASSIFICATION_VR_RR_198</t>
  </si>
  <si>
    <t>4_LARGE USE - REGULAR SERVICE CLASSIFICATION_GA_kwh</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</si>
  <si>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</si>
  <si>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</si>
  <si>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</si>
  <si>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</si>
  <si>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</si>
  <si>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</si>
  <si>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</si>
  <si>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</si>
  <si>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5_LARGE USE - 3TS SERVICE CLASSIFICATION</t>
  </si>
  <si>
    <t>5_LARGE USE - 3TS SERVICE CLASSIFICATION_MSC</t>
  </si>
  <si>
    <t>5_LARGE USE - 3TS SERVICE CLASSIFICATION_DVC</t>
  </si>
  <si>
    <t>5_LARGE USE - 3TS SERVICE CLASSIFICATION_LRAM</t>
  </si>
  <si>
    <t>5_LARGE USE - 3TS SERVICE CLASSIFICATION_DEFVAR_ALL</t>
  </si>
  <si>
    <t>5_LARGE USE - 3TS SERVICE CLASSIFICATION_VR_RR_205</t>
  </si>
  <si>
    <t>5_LARGE USE - 3TS SERVICE CLASSIFICATION_Retail Transmission Rate - Network Service Rate</t>
  </si>
  <si>
    <t>5_LARGE USE - 3TS SERVICE CLASSIFICATION_Retail Transmission Rate - Line Connection Service Rate</t>
  </si>
  <si>
    <t>5_LARGE USE - 3TS SERVICE CLASSIFICATION_WMSR</t>
  </si>
  <si>
    <t>5_LARGE USE - 3TS SERVICE CLASSIFICATION_RRRP</t>
  </si>
  <si>
    <t>5_LARGE USE - 3TS SERVICE CLASSIFICATION_SSS</t>
  </si>
  <si>
    <t>Rate Rider for Disposition of Account 1575 (2020) (per connection) - effective until December 31, 2024</t>
  </si>
  <si>
    <t>6_UNMETERED SCATTERED LOAD SERVICE CLASSIFICATION_FX_RR_29</t>
  </si>
  <si>
    <t>Rate Rider for Disposition of Group 2 Deferral/Variance Accounts (2020) (per connection) - effective until December 31, 2020</t>
  </si>
  <si>
    <t>Rate Rider for Disposition of Group 1 Deferral/Variance Accounts (2020) (per connection) - effective until December 31, 2020</t>
  </si>
  <si>
    <t>7_SENTINEL LIGHTING SERVICE CLASSIFICATION_FX_RR_32</t>
  </si>
  <si>
    <t>8_STREET LIGHTING SERVICE CLASSIFICATION_FX_RR_35</t>
  </si>
  <si>
    <t>Cellular Meter Reading Charge</t>
  </si>
  <si>
    <t xml:space="preserve">Non-Payment of Account </t>
  </si>
  <si>
    <t>Reconnect at meter - during regular hours</t>
  </si>
  <si>
    <t>Reconnect at meter - after regular hours</t>
  </si>
  <si>
    <t>EB-2019-0035</t>
  </si>
  <si>
    <t>(effective annual rate 19.56% per annum or 0.04896% compounded daily rate)</t>
  </si>
  <si>
    <t>EB-2019-0038</t>
  </si>
  <si>
    <t>Rate Rider for Disposition of Deferral/Variance Accounts (2020) - effective until December 31, 2020  
      - Approved on an Interim Basis</t>
  </si>
  <si>
    <t>Rate Rider for Disposition of Deferral/Variance Accounts (2020) - effective until December 31, 2020
      Applicable only for Non-Wholesale Market Participants - Approved on an Interim Basis</t>
  </si>
  <si>
    <t xml:space="preserve">Rate Rider for Disposition of Deferral/Variance Accounts (2020) - effective until December 31, 2020
      - Approved on an Interim Basis
      </t>
  </si>
  <si>
    <t xml:space="preserve">     Late payment - per month
     (effective annual rate 19.56% per annum or 0.04896% compounded daily rate)</t>
  </si>
  <si>
    <t xml:space="preserve">     Reconnection charge - at meter - after regular hours</t>
  </si>
  <si>
    <t>EB-2019-0042</t>
  </si>
  <si>
    <t>Rate Rider for Disposition of Deferral/Variance Accounts (2020) - effective until December 31, 2020 
   - Approved on an Interim Basis</t>
  </si>
  <si>
    <t>Rate Rider for Disposition of Deferral/Variance Accounts (2020) - effective until December 31, 2020
   - Approved on an Interim Basis</t>
  </si>
  <si>
    <t>Late payment - per month 
(effective annual rate 19.56% per annum or 0.04896% compounded daily rate)</t>
  </si>
  <si>
    <t>EB-2019-0044</t>
  </si>
  <si>
    <t>Rate Rider for Hydro One Network's Acquisition Agreement - effective until June 30, 2020</t>
  </si>
  <si>
    <t>2_GENERAL SERVICE LESS THAN 50 KW SERVICE CLASSIFICATION_FX_RR_39</t>
  </si>
  <si>
    <t>2_GENERAL SERVICE LESS THAN 50 KW SERVICE CLASSIFICATION_VR_RR_250</t>
  </si>
  <si>
    <t>3_GENERAL SERVICE 50 to 4,999 kW SERVICE CLASSIFICATION_FX_RR_40</t>
  </si>
  <si>
    <t>3_GENERAL SERVICE 50 to 4,999 kW SERVICE CLASSIFICATION_VR_RR_251</t>
  </si>
  <si>
    <t>4_UNMETERED SCATTERED LOAD SERVICE CLASSIFICATION_FX_RR_41</t>
  </si>
  <si>
    <t>4_UNMETERED SCATTERED LOAD SERVICE CLASSIFICATION_VR_RR_252</t>
  </si>
  <si>
    <t>5_SENTINEL LIGHTING SERVICE CLASSIFICATION_FX_RR_42</t>
  </si>
  <si>
    <t>5_SENTINEL LIGHTING SERVICE CLASSIFICATION_VR_RR_253</t>
  </si>
  <si>
    <t>6_STREET LIGHTING SERVICE CLASSIFICATION_FX_RR_43</t>
  </si>
  <si>
    <t>6_STREET LIGHTING SERVICE CLASSIFICATION_VR_RR_254</t>
  </si>
  <si>
    <t>7_EMBEDDED DISTRIBUTOR SERVICE CLASSIFICATION FOR HYDRO ONE NETWORKS INC._FX_RR_44</t>
  </si>
  <si>
    <t>7_EMBEDDED DISTRIBUTOR SERVICE CLASSIFICATION FOR HYDRO ONE NETWORKS INC._VR_RR_255</t>
  </si>
  <si>
    <t>Late payment - per month
(effective annual rate of 19.56% per annum or 0.04896% compounded daily rate)</t>
  </si>
  <si>
    <t>Reconnection charge - at meter during regular hours</t>
  </si>
  <si>
    <t>Reconnection charge - at meter after regular hours</t>
  </si>
  <si>
    <t>Hydro One Networks Inc._NPoA</t>
  </si>
  <si>
    <t>1_RESIDENTIAL SERVICE CLASSIFICATION_FX_RR_45</t>
  </si>
  <si>
    <t>1_RESIDENTIAL SERVICE CLASSIFICATION_VR_RR_262</t>
  </si>
  <si>
    <t>2_GENERAL SERVICE LESS THAN 50 KW SERVICE CLASSIFICATION_FX_RR_47</t>
  </si>
  <si>
    <t>2_GENERAL SERVICE LESS THAN 50 KW SERVICE CLASSIFICATION_VR_RR_263</t>
  </si>
  <si>
    <t>2_GENERAL SERVICE LESS THAN 50 KW SERVICE CLASSIFICATION_VR_RR_264</t>
  </si>
  <si>
    <t>3_GENERAL SERVICE 50 TO 999 KW SERVICE CLASSIFICATION_FX_RR_49</t>
  </si>
  <si>
    <t>3_GENERAL SERVICE 50 TO 999 KW SERVICE CLASSIFICATION_VR_RR_265</t>
  </si>
  <si>
    <t>3_GENERAL SERVICE 50 TO 999 KW SERVICE CLASSIFICATION_VR_RR_266</t>
  </si>
  <si>
    <t>4_GENERAL SERVICE GREATER THAN 1,000 KW SERVICE CLASSIFICATION_FX_RR_50</t>
  </si>
  <si>
    <t>4_GENERAL SERVICE GREATER THAN 1,000 KW SERVICE CLASSIFICATION_VR_RR_267</t>
  </si>
  <si>
    <t>4_GENERAL SERVICE GREATER THAN 1,000 KW SERVICE CLASSIFICATION_VR_RR_268</t>
  </si>
  <si>
    <t>5_UNMETERED SCATTERED LOAD SERVICE CLASSIFICATION_FX_RR_51</t>
  </si>
  <si>
    <t>5_UNMETERED SCATTERED LOAD SERVICE CLASSIFICATION_VR_RR_269</t>
  </si>
  <si>
    <t>5_UNMETERED SCATTERED LOAD SERVICE CLASSIFICATION_VR_RR_270</t>
  </si>
  <si>
    <t>6_STREET LIGHTING SERVICE CLASSIFICATION_FX_RR_52</t>
  </si>
  <si>
    <t>6_STREET LIGHTING SERVICE CLASSIFICATION_VR_RR_271</t>
  </si>
  <si>
    <t>6_STREET LIGHTING SERVICE CLASSIFICATION_VR_RR_272</t>
  </si>
  <si>
    <t>EB-2019-0046</t>
  </si>
  <si>
    <t>Rate Rider for Disposition of Group 2 Deferral/Variance Accounts (2020) - effective until December 31, 2020
     Approved on an Interim Basis</t>
  </si>
  <si>
    <t>Rate Rider for Disposition of Group 1 Deferral/Variance Accounts (2020) - effective until December 31, 2020</t>
  </si>
  <si>
    <t>Rate Rider for Disposition of - Global Adjustment Account (2020) - effective until December 31, 2020
     Applicable only for Non-RPP Accounts</t>
  </si>
  <si>
    <t xml:space="preserve">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</si>
  <si>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Note: A Customer shall be billed for Demand based on the greater of the measured kilowatts or ninety percent (90%) of the measured kilovolt-amperes.</t>
  </si>
  <si>
    <t>Rate Rider for Disposition of Group 1 Deferral/Variance Accounts (2020) - effective until December 31, 2020 
     Applicable only for Non-Wholesale Market Participants</t>
  </si>
  <si>
    <t>General Service 50 TO 1,499 kW customer</t>
  </si>
  <si>
    <t>Late payment - per month
(effective annual rate 19.56% per annum or 0.04896% compounded daily rate</t>
  </si>
  <si>
    <t>Notice of switch letter charge, per letter (unless the distributor has opted out of applying the charge as per the</t>
  </si>
  <si>
    <t>Ontario Energy Board's Decision and Order EB-2015-0304, issued on February 14, 2019)</t>
  </si>
  <si>
    <t>EB-2019-0047</t>
  </si>
  <si>
    <t>Rate Rider for Disposition of Deferral/Variance Accounts (2020) - effective until December 31, 2021
      - Approved on an Interim Basis</t>
  </si>
  <si>
    <t>EB-2019-0048</t>
  </si>
  <si>
    <t xml:space="preserve">It should be noted that this schedule does not list any changes, assessments or credits that are required by law to be invoiced by a distributor and that are not subject to Ontario Energy Board approval, such as the Global Adjustment and the HST.
</t>
  </si>
  <si>
    <t>Rate Rider for Disposition of Global Adjustment Account (2020) - effective until December 31, 2020
     - Applicable only for Non-RPP Customers - Approved on an Interim Basis</t>
  </si>
  <si>
    <t>It should be noted that this schedule does not list any changes, assessments or credits that are required by law to be invoiced by a distributor and that are not subject to Ontario Energy Board approval, such as the Global Adjustment and the HST.</t>
  </si>
  <si>
    <t>Rate Rider for Disposition of Global Adjustment Account (2020) - effective until December 31, 2020
      - Applicable only for Non-RPP Customers - Approved on an Interim Basis</t>
  </si>
  <si>
    <t>Rate Rider for Disposition of Deferral/Variance Accounts (2020) - effective until December 31, 2020
     Applicable only for Non-Wholesale Market Participants - Approved on an Interim Basis</t>
  </si>
  <si>
    <t xml:space="preserve">Rate Rider for Disposition of Global Adjustment Account (2020) - effective until December 31, 2020
     Applicable to Non-RPP Class B Customers - Approved on an Interim Basis </t>
  </si>
  <si>
    <t>It should be noted that this schedule does not list any changes, assessments or credits that are required by law to be invoiced by a distributor and that are not subject to Ontario Energy Board approval, such as the Global Adjustment, and the HST.</t>
  </si>
  <si>
    <t xml:space="preserve">     (effective annual rate 19.56% per annum or 0.04896% compounded daily rate)</t>
  </si>
  <si>
    <t>EB-2019-0049</t>
  </si>
  <si>
    <t>Rate Rider for Disposition of Group 2 Deferral/Variance Accounts (2019) - effective until December 31, 2020</t>
  </si>
  <si>
    <t>Rate Rider for Disposition of Deferral/Variance Accounts (2019) - effective until December 31, 2020</t>
  </si>
  <si>
    <t>Rate Rider for Disposition of Global Adjustment Account (2019) - effective until December 31, 2020
     Applicable only for Non-RPP Accounts</t>
  </si>
  <si>
    <t>Rate Rider for Disposition of Account (2019) 1568 - effective until December 31, 2020</t>
  </si>
  <si>
    <t>1_RESIDENTIAL SERVICE CLASSIFICATION_VR_RR_332</t>
  </si>
  <si>
    <t>Rate Rider for Disposition of Account 1568 (2019) - effective until December 31, 2020</t>
  </si>
  <si>
    <t>2_GENERAL SERVICE LESS THAN 50 KW SERVICE CLASSIFICATION_VR_RR_335</t>
  </si>
  <si>
    <t>Rate Rider for Disposition of Deferral/Variance Accounts (2019) - effective until December 31, 2020
     Applicable only for Non-Wholesale Market Participants</t>
  </si>
  <si>
    <t>3_GENERAL SERVICE 50 to 4,999 kW SERVICE CLASSIFICATION_VR_RR_340</t>
  </si>
  <si>
    <t xml:space="preserve">Rate Rider for Disposition of Global Adjustment Accounts (2019) - effective until December 31, 2020
     Applicable only for Non-RPP Accounts </t>
  </si>
  <si>
    <t xml:space="preserve">                   Processing fee, per request, applied to the requesting party</t>
  </si>
  <si>
    <t>Notice of Switch letter charge, per letter</t>
  </si>
  <si>
    <t>EB-2019-0050</t>
  </si>
  <si>
    <t>_MSC</t>
  </si>
  <si>
    <t>EB-2019-0059</t>
  </si>
  <si>
    <t>4_GENERAL SERVICE 1,000 KW AND GREATER SERVICE CLASSIFICATION_Retail Transmission Rate - Network Service Rate</t>
  </si>
  <si>
    <t>4_GENERAL SERVICE 1,000 KW AND GREATER SERVICE CLASSIFICATION_Retail Transmission Rate - Line and Transformation Connection Service Rate</t>
  </si>
  <si>
    <t>EB-2019-0062</t>
  </si>
  <si>
    <t>EB-2019-0065</t>
  </si>
  <si>
    <t>1_RESIDENTIAL SERVICE CLASSIFICATION_FX_RR_57</t>
  </si>
  <si>
    <t>1_RESIDENTIAL SERVICE CLASSIFICATION_FX_RR_58</t>
  </si>
  <si>
    <t>Rate Rider for Disposition of Deferral/Variance Accounts (2020) - effective until December 31, 2020 -       
      Approved on an Interim Basis</t>
  </si>
  <si>
    <t>2_GENERAL SERVICE LESS THAN 50 KW SERVICE CLASSIFICATION_FX_RR_60</t>
  </si>
  <si>
    <t>Rate Rider for Disposition of Deferral/Variance Accounts (2020) - effective until December 31, 2020
       - Approved on an Interim Basis</t>
  </si>
  <si>
    <t>2_GENERAL SERVICE LESS THAN 50 KW SERVICE CLASSIFICATION_VR_RR_370</t>
  </si>
  <si>
    <t>3_GENERAL SERVICE 50 to 4,999 kW SERVICE CLASSIFICATION_FX_RR_62</t>
  </si>
  <si>
    <t>Rate Rider for Disposition of Deferral/Variance Accounts (2020) - effective until December 31, 2020 
      - Approved on an Interim Basis</t>
  </si>
  <si>
    <t>Rate Rider for Disposition of Capacity Based Recovery Account (2020) - effective until December 31, 2020 
      Applicable only for Class B Customers - Approved on an Interim Basis</t>
  </si>
  <si>
    <t>3_GENERAL SERVICE 50 to 4,999 kW SERVICE CLASSIFICATION_VR_RR_375</t>
  </si>
  <si>
    <t>4_UNMETERED SCATTERED LOAD SERVICE CLASSIFICATION_VR_RR_380</t>
  </si>
  <si>
    <t>Rate Rider for Disposition of Capacity Based Recovery Account (2020) - effective until December 31, 2020
      Applicable only for Class B Customers - Approved on an Interim Basis</t>
  </si>
  <si>
    <t>5_STREET LIGHTING SERVICE CLASSIFICATION_VR_RR_385</t>
  </si>
  <si>
    <t>EB-2019-0018</t>
  </si>
  <si>
    <t>2_GENERAL SERVICE LESS THAN 50 KW SERVICE CLASSIFICATION_FX_RR_64</t>
  </si>
  <si>
    <t>2_GENERAL SERVICE LESS THAN 50 KW SERVICE CLASSIFICATION_VR_RR_388</t>
  </si>
  <si>
    <t>3_GENERAL SERVICE 50 TO 699 KW SERVICE CLASSIFICATION_FX_RR_65</t>
  </si>
  <si>
    <t>3_GENERAL SERVICE 50 TO 699 KW SERVICE CLASSIFICATION_VR_RR_390</t>
  </si>
  <si>
    <t>4_GENERAL SERVICE 700 TO 4,999 KW SERVICE CLASSIFICATION_FX_RR_66</t>
  </si>
  <si>
    <t>4_GENERAL SERVICE 700 TO 4,999 KW SERVICE CLASSIFICATION_VR_RR_392</t>
  </si>
  <si>
    <t>5_LARGE USE SERVICE CLASSIFICATION_FX_RR_67</t>
  </si>
  <si>
    <t>5_LARGE USE SERVICE CLASSIFICATION_VR_RR_394</t>
  </si>
  <si>
    <t>6_UNMETERED SCATTERED LOAD SERVICE CLASSIFICATION_FX_RR_68</t>
  </si>
  <si>
    <t>6_UNMETERED SCATTERED LOAD SERVICE CLASSIFICATION_VR_RR_395</t>
  </si>
  <si>
    <t>7_STREET LIGHTING SERVICE CLASSIFICATION_FX_RR_69</t>
  </si>
  <si>
    <t>7_STREET LIGHTING SERVICE CLASSIFICATION_VR_RR_396</t>
  </si>
  <si>
    <t>9_EMBEDDED DISTRIBUTOR SERVICE CLASSIFICATION_FX_RR_70</t>
  </si>
  <si>
    <t>10_DISTRIBUTED GENERATION [DGEN] SERVICE CLASSIFICATION_FX_RR_71</t>
  </si>
  <si>
    <t>Reconnection for &gt;300 volts - during regular hours</t>
  </si>
  <si>
    <t>Reconnection for &gt;300 volts - after regular hours</t>
  </si>
  <si>
    <t>Specific Charge for Access to the Power Poles - $/pole/year
(with the exception of wireless attachments)</t>
  </si>
  <si>
    <t>1_RESIDENTIAL SERVICE CLASSIFICATION_FX_RR_73</t>
  </si>
  <si>
    <t>1_RESIDENTIAL SERVICE CLASSIFICATION_FX_RR_74</t>
  </si>
  <si>
    <t>Rate Rider for Disposition of Capacity Based Recovery Account (2020) - effective until December 31, 2020 Applicable only for Class B Customers</t>
  </si>
  <si>
    <t>2_GENERAL SERVICE LESS THAN 50 KW SERVICE CLASSIFICATION_FX_RR_75</t>
  </si>
  <si>
    <t>2_GENERAL SERVICE LESS THAN 50 KW SERVICE CLASSIFICATION_FX_RR_76</t>
  </si>
  <si>
    <t>2_GENERAL SERVICE LESS THAN 50 KW SERVICE CLASSIFICATION_FX_RR_77</t>
  </si>
  <si>
    <t>2_GENERAL SERVICE LESS THAN 50 KW SERVICE CLASSIFICATION_VR_RR_405</t>
  </si>
  <si>
    <t>2_GENERAL SERVICE LESS THAN 50 KW SERVICE CLASSIFICATION_VR_RR_406</t>
  </si>
  <si>
    <t>2_GENERAL SERVICE LESS THAN 50 KW SERVICE CLASSIFICATION_VR_RR_407</t>
  </si>
  <si>
    <t>3_GENERAL SERVICE 50 TO 499 KW SERVICE CLASSIFICATION_FX_RR_78</t>
  </si>
  <si>
    <t>3_GENERAL SERVICE 50 TO 499 KW SERVICE CLASSIFICATION_FX_RR_79</t>
  </si>
  <si>
    <t>3_GENERAL SERVICE 50 TO 499 KW SERVICE CLASSIFICATION_FX_RR_80</t>
  </si>
  <si>
    <t>3_GENERAL SERVICE 50 TO 499 KW SERVICE CLASSIFICATION_VR_RR_413</t>
  </si>
  <si>
    <t>3_GENERAL SERVICE 50 TO 499 KW SERVICE CLASSIFICATION_VR_RR_414</t>
  </si>
  <si>
    <t>3_GENERAL SERVICE 50 TO 499 KW SERVICE CLASSIFICATION_VR_RR_415</t>
  </si>
  <si>
    <t>4_GENERAL SERVICE 500 TO 4,999 KW SERVICE CLASSIFICATION_FX_RR_81</t>
  </si>
  <si>
    <t>4_GENERAL SERVICE 500 TO 4,999 KW SERVICE CLASSIFICATION_FX_RR_82</t>
  </si>
  <si>
    <t>4_GENERAL SERVICE 500 TO 4,999 KW SERVICE CLASSIFICATION_FX_RR_83</t>
  </si>
  <si>
    <t>4_GENERAL SERVICE 500 TO 4,999 KW SERVICE CLASSIFICATION_VR_RR_421</t>
  </si>
  <si>
    <t>4_GENERAL SERVICE 500 TO 4,999 KW SERVICE CLASSIFICATION_VR_RR_422</t>
  </si>
  <si>
    <t>4_GENERAL SERVICE 500 TO 4,999 KW SERVICE CLASSIFICATION_VR_RR_423</t>
  </si>
  <si>
    <t>5_LARGE USE SERVICE CLASSIFICATION_FX_RR_84</t>
  </si>
  <si>
    <t>5_LARGE USE SERVICE CLASSIFICATION_FX_RR_85</t>
  </si>
  <si>
    <t>5_LARGE USE SERVICE CLASSIFICATION_FX_RR_86</t>
  </si>
  <si>
    <t>5_LARGE USE SERVICE CLASSIFICATION_VR_RR_426</t>
  </si>
  <si>
    <t>5_LARGE USE SERVICE CLASSIFICATION_VR_RR_427</t>
  </si>
  <si>
    <t>5_LARGE USE SERVICE CLASSIFICATION_VR_RR_428</t>
  </si>
  <si>
    <t>6_UNMETERED SCATTERED LOAD SERVICE CLASSIFICATION_FX_RR_87</t>
  </si>
  <si>
    <t>6_UNMETERED SCATTERED LOAD SERVICE CLASSIFICATION_FX_RR_88</t>
  </si>
  <si>
    <t>6_UNMETERED SCATTERED LOAD SERVICE CLASSIFICATION_FX_RR_89</t>
  </si>
  <si>
    <t>6_UNMETERED SCATTERED LOAD SERVICE CLASSIFICATION_VR_RR_432</t>
  </si>
  <si>
    <t>6_UNMETERED SCATTERED LOAD SERVICE CLASSIFICATION_VR_RR_433</t>
  </si>
  <si>
    <t>6_UNMETERED SCATTERED LOAD SERVICE CLASSIFICATION_VR_RR_434</t>
  </si>
  <si>
    <t>7_STREET LIGHTING SERVICE CLASSIFICATION_FX_RR_90</t>
  </si>
  <si>
    <t>7_STREET LIGHTING SERVICE CLASSIFICATION_FX_RR_91</t>
  </si>
  <si>
    <t>7_STREET LIGHTING SERVICE CLASSIFICATION_FX_RR_92</t>
  </si>
  <si>
    <t>7_STREET LIGHTING SERVICE CLASSIFICATION_VR_RR_439</t>
  </si>
  <si>
    <t>7_STREET LIGHTING SERVICE CLASSIFICATION_VR_RR_440</t>
  </si>
  <si>
    <t>7_STREET LIGHTING SERVICE CLASSIFICATION_VR_RR_441</t>
  </si>
  <si>
    <t>8_STANDBY POWER SERVICE CLASSIFICATION_MSC</t>
  </si>
  <si>
    <t>Specific Charge for Access to the Power Poles - $/pole/year 
(with the exception of wireless attachments)</t>
  </si>
  <si>
    <t>2_GENERAL SERVICE LESS THAN 50 KW SERVICE CLASSIFICATION_FX_RR_94</t>
  </si>
  <si>
    <t>3_GENERAL SERVICE 50 TO 999 KW SERVICE CLASSIFICATION_FX_RR_95</t>
  </si>
  <si>
    <t>4_GENERAL SERVICE 1,000 TO 4,999 KW SERVICE CLASSIFICATION_FX_RR_96</t>
  </si>
  <si>
    <t>5_LARGE USE SERVICE CLASSIFICATION_FX_RR_97</t>
  </si>
  <si>
    <t>6_UNMETERED SCATTERED LOAD SERVICE CLASSIFICATION_FX_RR_98</t>
  </si>
  <si>
    <t>8_SENTINEL LIGHTING SERVICE CLASSIFICATION_FX_RR_99</t>
  </si>
  <si>
    <t>9_STREET LIGHTING SERVICE CLASSIFICATION_FX_RR_100</t>
  </si>
  <si>
    <t>Monthly fixed Charge, per retailer</t>
  </si>
  <si>
    <t>Monthly variable Charge, per customer, per retailer</t>
  </si>
  <si>
    <t>Rate Rider for Recovery of Green Energy Act Related Costs - effective until December 31, 2020</t>
  </si>
  <si>
    <t>1_RESIDENTIAL SERVICE CLASSIFICATION_FX_RR_101</t>
  </si>
  <si>
    <t>2_GENERAL SERVICE LESS THAN 50 KW SERVICE CLASSIFICATION_FX_RR_102</t>
  </si>
  <si>
    <t>3_GENERAL SERVICE 50 to 4,999 kW SERVICE CLASSIFICATION_FX_RR_103</t>
  </si>
  <si>
    <t>4_LARGE USE SERVICE CLASSIFICATION_FX_RR_104</t>
  </si>
  <si>
    <t>5_LARGE USE WITH DEDICATED ASSETS SERVICE CLASSIFICATION_FX_RR_105</t>
  </si>
  <si>
    <t>7_UNMETERED SCATTERED LOAD SERVICE CLASSIFICATION_FX_RR_106</t>
  </si>
  <si>
    <t>7_UNMETERED SCATTERED LOAD SERVICE CLASSIFICATION_LRAM</t>
  </si>
  <si>
    <t>8_SENTINEL LIGHTING SERVICE CLASSIFICATION_FX_RR_107</t>
  </si>
  <si>
    <t>9_STREET LIGHTING SERVICE CLASSIFICATION_FX_RR_108</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</si>
  <si>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</si>
  <si>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</si>
  <si>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</si>
  <si>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</si>
  <si>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</si>
  <si>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Specific Charge for Access to the Power Poles - $/pole/year
     (with the exception of wireless attachments)</t>
  </si>
  <si>
    <t>1_RESIDENTIAL SERVICE CLASSIFICATION_FX_RR_109</t>
  </si>
  <si>
    <t>1_RESIDENTIAL SERVICE CLASSIFICATION_FX_RR_110</t>
  </si>
  <si>
    <t>2_GENERAL SERVICE LESS THAN 50 KW SERVICE CLASSIFICATION_FX_RR_111</t>
  </si>
  <si>
    <t>2_GENERAL SERVICE LESS THAN 50 KW SERVICE CLASSIFICATION_FX_RR_112</t>
  </si>
  <si>
    <t>2_GENERAL SERVICE LESS THAN 50 KW SERVICE CLASSIFICATION_VR_RR_455</t>
  </si>
  <si>
    <t>2_GENERAL SERVICE LESS THAN 50 KW SERVICE CLASSIFICATION_VR_RR_456</t>
  </si>
  <si>
    <t>3_GENERAL SERVICE 50 to 4,999 kW SERVICE CLASSIFICATION_FX_RR_113</t>
  </si>
  <si>
    <t>3_GENERAL SERVICE 50 to 4,999 kW SERVICE CLASSIFICATION_FX_RR_114</t>
  </si>
  <si>
    <t>3_GENERAL SERVICE 50 to 4,999 kW SERVICE CLASSIFICATION_VR_RR_462</t>
  </si>
  <si>
    <t>4_LARGE USE SERVICE CLASSIFICATION_FX_RR_115</t>
  </si>
  <si>
    <t>4_LARGE USE SERVICE CLASSIFICATION_FX_RR_116</t>
  </si>
  <si>
    <t>4_LARGE USE SERVICE CLASSIFICATION_VR_RR_465</t>
  </si>
  <si>
    <t>4_LARGE USE SERVICE CLASSIFICATION_VR_RR_466</t>
  </si>
  <si>
    <t>6_UNMETERED SCATTERED LOAD SERVICE CLASSIFICATION_FX_RR_117</t>
  </si>
  <si>
    <t>6_UNMETERED SCATTERED LOAD SERVICE CLASSIFICATION_FX_RR_118</t>
  </si>
  <si>
    <t>6_UNMETERED SCATTERED LOAD SERVICE CLASSIFICATION_VR_RR_469</t>
  </si>
  <si>
    <t>6_UNMETERED SCATTERED LOAD SERVICE CLASSIFICATION_VR_RR_470</t>
  </si>
  <si>
    <t>7_SENTINEL LIGHTING SERVICE CLASSIFICATION_FX_RR_119</t>
  </si>
  <si>
    <t>7_SENTINEL LIGHTING SERVICE CLASSIFICATION_FX_RR_120</t>
  </si>
  <si>
    <t>7_SENTINEL LIGHTING SERVICE CLASSIFICATION_VR_RR_473</t>
  </si>
  <si>
    <t>7_SENTINEL LIGHTING SERVICE CLASSIFICATION_VR_RR_474</t>
  </si>
  <si>
    <t>8_STREET LIGHTING SERVICE CLASSIFICATION_FX_RR_121</t>
  </si>
  <si>
    <t>8_STREET LIGHTING SERVICE CLASSIFICATION_VR_RR_478</t>
  </si>
  <si>
    <t>8_STREET LIGHTING SERVICE CLASSIFICATION_VR_RR_479</t>
  </si>
  <si>
    <t>Settlement Code directly to retailers and customers, if not delivered electronically through the Electronic Business Transaction (EBT) system, applied to the requesting party</t>
  </si>
  <si>
    <t>Notice of switch letter charge, per letter (unless the distributor has opted out of applying the charge as per the Ontario Energy
Board's Decision and Order EB-2015-0304, issued on February 14, 2019)</t>
  </si>
  <si>
    <t>EB-2019-0071</t>
  </si>
  <si>
    <t xml:space="preserve">  Easement letter</t>
  </si>
  <si>
    <t xml:space="preserve">  Notification charge</t>
  </si>
  <si>
    <t xml:space="preserve">  Credit reference/credit check (plus credit agency costs)</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</si>
  <si>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</si>
  <si>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</si>
  <si>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</si>
  <si>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</si>
  <si>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</si>
  <si>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Effective and Implementation Date March 1, 2020</t>
  </si>
  <si>
    <t>EB-2019-0022</t>
  </si>
  <si>
    <t>It should be noted that this schedule does not list any charges, assessments, or credits that are required by law to be invoiced by a distributor and that are not subject to Ontario Energy Board approval, such as the the Global Adjustment and the HST.</t>
  </si>
  <si>
    <t>Rate Rider for Recovery of Incremental Capital - effective until the effective date of the next cost of service 
      based rate order</t>
  </si>
  <si>
    <t>2_GENERAL SERVICE LESS THAN 50 KW SERVICE CLASSIFICATION_FX_RR_2</t>
  </si>
  <si>
    <t>3_GENERAL SERVICE 50 to 4,999 kW SERVICE CLASSIFICATION_FX_RR_3</t>
  </si>
  <si>
    <t>4_EMBEDDED DISTRIBUTOR SERVICE CLASSIFICATION_FX_RR_4</t>
  </si>
  <si>
    <t>6_SENTINEL LIGHTING SERVICE CLASSIFICATION_FX_RR_5</t>
  </si>
  <si>
    <t>7_STREET LIGHTING SERVICE CLASSIFICATION_FX_RR_6</t>
  </si>
  <si>
    <t>8_UNMETERED SCATTERED LOAD SERVICE CLASSIFICATION_FX_RR_7</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</si>
  <si>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</si>
  <si>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</si>
  <si>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</si>
  <si>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</si>
  <si>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</si>
  <si>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EB-2019-0031</t>
  </si>
  <si>
    <t>Rate Rider for Disposition of Gain on Sale - effective until December 31, 2021</t>
  </si>
  <si>
    <t>1_RESIDENTIAL SERVICE CLASSIFICATION_FX_RR_8</t>
  </si>
  <si>
    <t>1_RESIDENTIAL SERVICE CLASSIFICATION_FX_RR_10</t>
  </si>
  <si>
    <t>Rate Rider for Disposition of Capacity Based Recovery Account (2020) - effective until December 31, 2020 
      Applicable only for Class B Customers</t>
  </si>
  <si>
    <t>1_RESIDENTIAL SERVICE CLASSIFICATION_VR_RR_5</t>
  </si>
  <si>
    <t>2_GENERAL SERVICE LESS THAN 50 KW SERVICE CLASSIFICATION_FX_RR_11</t>
  </si>
  <si>
    <t>2_GENERAL SERVICE LESS THAN 50 KW SERVICE CLASSIFICATION_FX_RR_12</t>
  </si>
  <si>
    <t>2_GENERAL SERVICE LESS THAN 50 KW SERVICE CLASSIFICATION_FX_RR_13</t>
  </si>
  <si>
    <t>3_GENERAL SERVICE 50 TO 999 KW SERVICE CLASSIFICATION_FX_RR_14</t>
  </si>
  <si>
    <t>Rate Rider for Recovery of Incremental Capital - effective until the effective date of the next cost of service based rate order</t>
  </si>
  <si>
    <t>3_GENERAL SERVICE 50 TO 999 KW SERVICE CLASSIFICATION_FX_RR_15</t>
  </si>
  <si>
    <t>3_GENERAL SERVICE 50 TO 999 KW SERVICE CLASSIFICATION_FX_RR_16</t>
  </si>
  <si>
    <t>4_GENERAL SERVICE 1,000 TO 4,999 KW SERVICE CLASSIFICATION_FX_RR_17</t>
  </si>
  <si>
    <t>Rate Rider for Recovery of Incremental Capital - effective until the effective date of the next cost of service 
       based rate order</t>
  </si>
  <si>
    <t>4_GENERAL SERVICE 1,000 TO 4,999 KW SERVICE CLASSIFICATION_FX_RR_18</t>
  </si>
  <si>
    <t>5_LARGE USE SERVICE CLASSIFICATION_FX_RR_19</t>
  </si>
  <si>
    <t>5_LARGE USE SERVICE CLASSIFICATION_FX_RR_20</t>
  </si>
  <si>
    <t>5_LARGE USE SERVICE CLASSIFICATION_CBR</t>
  </si>
  <si>
    <t>5_LARGE USE SERVICE CLASSIFICATION_VR_RR_27</t>
  </si>
  <si>
    <t>6_UNMETERED SCATTERED LOAD SERVICE CLASSIFICATION_FX_RR_21</t>
  </si>
  <si>
    <t>6_UNMETERED SCATTERED LOAD SERVICE CLASSIFICATION_FX_RR_22</t>
  </si>
  <si>
    <t>6_UNMETERED SCATTERED LOAD SERVICE CLASSIFICATION_FX_RR_23</t>
  </si>
  <si>
    <t>7_STREET LIGHTING SERVICE CLASSIFICATION_FX_RR_24</t>
  </si>
  <si>
    <t>7_STREET LIGHTING SERVICE CLASSIFICATION_FX_RR_25</t>
  </si>
  <si>
    <t>7_STREET LIGHTING SERVICE CLASSIFICATION_FX_RR_26</t>
  </si>
  <si>
    <t>7_STREET LIGHTING SERVICE CLASSIFICATION_VR_RR_37</t>
  </si>
  <si>
    <t>8_SENTINEL LIGHTING SERVICE CLASSIFICATION_FX_RR_27</t>
  </si>
  <si>
    <t>8_SENTINEL LIGHTING SERVICE CLASSIFICATION_FX_RR_28</t>
  </si>
  <si>
    <t>8_SENTINEL LIGHTING SERVICE CLASSIFICATION_FX_RR_29</t>
  </si>
  <si>
    <t>8_SENTINEL LIGHTING SERVICE CLASSIFICATION_VR_RR_40</t>
  </si>
  <si>
    <t>9_EMBEDDED DISTRIBUTOR SERVICE CLASSIFICATION - HYDRO ONE CND_FX_RR_30</t>
  </si>
  <si>
    <t>9_EMBEDDED DISTRIBUTOR SERVICE CLASSIFICATION - HYDRO ONE CND_FX_RR_31</t>
  </si>
  <si>
    <t>9_EMBEDDED DISTRIBUTOR SERVICE CLASSIFICATION - HYDRO ONE CND_CBR</t>
  </si>
  <si>
    <t>9_EMBEDDED DISTRIBUTOR SERVICE CLASSIFICATION - HYDRO ONE CND_VR_RR_44</t>
  </si>
  <si>
    <t>10_EMBEDDED DISTRIBUTOR SERVICE CLASSIFICATION - WATERLOO NORTH HYDRO_FX_RR_32</t>
  </si>
  <si>
    <t>10_EMBEDDED DISTRIBUTOR SERVICE CLASSIFICATION - WATERLOO NORTH HYDRO_FX_RR_33</t>
  </si>
  <si>
    <t>10_EMBEDDED DISTRIBUTOR SERVICE CLASSIFICATION - WATERLOO NORTH HYDRO_VR_RR_46</t>
  </si>
  <si>
    <t>11_EMBEDDED DISTRIBUTOR SERVICE CLASSIFICATION - BRANTFORD_FX_RR_34</t>
  </si>
  <si>
    <t>11_EMBEDDED DISTRIBUTOR SERVICE CLASSIFICATION - BRANTFORD_FX_RR_35</t>
  </si>
  <si>
    <t>11_EMBEDDED DISTRIBUTOR SERVICE CLASSIFICATION - BRANTFORD_FX_RR_36</t>
  </si>
  <si>
    <t>11_EMBEDDED DISTRIBUTOR SERVICE CLASSIFICATION - BRANTFORD_CBR</t>
  </si>
  <si>
    <t>11_EMBEDDED DISTRIBUTOR SERVICE CLASSIFICATION - BRANTFORD_VR_RR_50</t>
  </si>
  <si>
    <t>12_EMBEDDED DISTRIBUTOR SERVICE CLASSIFICATION - HYDRO ONE #1_FX_RR_37</t>
  </si>
  <si>
    <t>12_EMBEDDED DISTRIBUTOR SERVICE CLASSIFICATION - HYDRO ONE #1_FX_RR_38</t>
  </si>
  <si>
    <t>12_EMBEDDED DISTRIBUTOR SERVICE CLASSIFICATION - HYDRO ONE #1_FX_RR_39</t>
  </si>
  <si>
    <t>12_EMBEDDED DISTRIBUTOR SERVICE CLASSIFICATION - HYDRO ONE #1_CBR</t>
  </si>
  <si>
    <t>12_EMBEDDED DISTRIBUTOR SERVICE CLASSIFICATION - HYDRO ONE #1_VR_RR_54</t>
  </si>
  <si>
    <t>13_EMBEDDED DISTRIBUTOR SERVICE CLASSIFICATION - HYDRO ONE #2_FX_RR_40</t>
  </si>
  <si>
    <t>13_EMBEDDED DISTRIBUTOR SERVICE CLASSIFICATION - HYDRO ONE #2_FX_RR_41</t>
  </si>
  <si>
    <t>13_EMBEDDED DISTRIBUTOR SERVICE CLASSIFICATION - HYDRO ONE #2_FX_RR_42</t>
  </si>
  <si>
    <t>13_EMBEDDED DISTRIBUTOR SERVICE CLASSIFICATION - HYDRO ONE #2_CBR</t>
  </si>
  <si>
    <t>Effective and Implementation Date May 1, 2020</t>
  </si>
  <si>
    <t>EB-2019-0020</t>
  </si>
  <si>
    <t>Rate Rider for Disposition of Global Adjustment Account (2020) - effective until April 30, 2021
      Applicable only for Non-RPP Customers - Approved on an Interim Basis</t>
  </si>
  <si>
    <t>Rate Rider for Disposition of Deferral/Variance Accounts (2020) - effective until April 30, 2021 
       - Approved on an Interim Basis</t>
  </si>
  <si>
    <t>Rate Rider for Disposition of Deferral/Variance Accounts (2020) - effective until April 30, 2021
      - Approved on an Interim Basis</t>
  </si>
  <si>
    <t>Rate Rider for Disposition of Deferral/Variance Accounts (2020) - effective until April 30, 2021
     - Approved on an Interim Basis</t>
  </si>
  <si>
    <t>Atikokan Hydro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</si>
  <si>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</si>
  <si>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</si>
  <si>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</si>
  <si>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</si>
  <si>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</si>
  <si>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EB-2019-0023</t>
  </si>
  <si>
    <t>Rate Rider for Disposition of Lost Revenue Adjustment Mechanism Variance Account (LRAMVA) (2020) 
      - effective until April 30, 2021</t>
  </si>
  <si>
    <t>Rate Rider for Disposition of Capacity Based Recovery Account (2020) - effective until April 30, 2021 
      Applicable only for Class B Customers - Approved on an Interim Basis</t>
  </si>
  <si>
    <t>2_GENERAL SERVICE LESS THAN 50 KW SERVICE CLASSIFICATION_VR_RR_17</t>
  </si>
  <si>
    <t>3_GENERAL SERVICE 50 to 4,999 kW SERVICE CLASSIFICATION_VR_RR_22</t>
  </si>
  <si>
    <t>4_UNMETERED SCATTERED LOAD SERVICE CLASSIFICATION_FX_RR_4</t>
  </si>
  <si>
    <t>4_UNMETERED SCATTERED LOAD SERVICE CLASSIFICATION_VR_RR_26</t>
  </si>
  <si>
    <t>5_STREET LIGHTING SERVICE CLASSIFICATION_VR_RR_31</t>
  </si>
  <si>
    <t>Burlington Hydro Inc._NPoA</t>
  </si>
  <si>
    <t xml:space="preserve">Late Payment – per month (effective annual rate 19.56% per annum or 0.04896% compounded daily rate) </t>
  </si>
  <si>
    <t>EB-2019-0027</t>
  </si>
  <si>
    <t>Rate Rider for Application of Tax Change (2020) - effective until April 30, 2021</t>
  </si>
  <si>
    <t>Rate Rider for Disposition of Global Adjustment Account (2020) - effective until April 30, 2021
      Applicable only for Non-RPP Customers</t>
  </si>
  <si>
    <t>Rate Rider for Disposition of Lost Revenue Adjustment Mechanism Variance Account (LRAMVA) (2020) 
      - effective until April 30, 2022</t>
  </si>
  <si>
    <t>Rate Rider for Disposition of Deferral/Variance Accounts (2020) - effective until April 30, 2021</t>
  </si>
  <si>
    <t>Rate Rider for Disposition of Deferral/Variance Accounts (2020) - effective until April 30, 2021
      Applicable only for Non-Wholesale Market Participants</t>
  </si>
  <si>
    <t>EPCOR Electricity Distribution Ontario Inc._NPoA</t>
  </si>
  <si>
    <t>(effective annual rate 19.56% per annum or 0.04896% compounded daily)</t>
  </si>
  <si>
    <t>EB-2019-0052</t>
  </si>
  <si>
    <t>1_RESIDENTIAL SERVICE CLASSIFICATION_FX_RR_7</t>
  </si>
  <si>
    <t>1_RESIDENTIAL SERVICE CLASSIFICATION_VR_RR_52</t>
  </si>
  <si>
    <t>2_GENERAL SERVICE LESS THAN 50 KW SERVICE CLASSIFICATION_FX_RR_9</t>
  </si>
  <si>
    <t>2_GENERAL SERVICE LESS THAN 50 KW SERVICE CLASSIFICATION_VR_RR_53</t>
  </si>
  <si>
    <t>2_GENERAL SERVICE LESS THAN 50 KW SERVICE CLASSIFICATION_VR_RR_54</t>
  </si>
  <si>
    <t>3_GENERAL SERVICE 50 to 4,999 kW SERVICE CLASSIFICATION_FX_RR_11</t>
  </si>
  <si>
    <t>NON-PAYMENT OF ACCOUNT</t>
  </si>
  <si>
    <t>London Hydro Inc._NPoA</t>
  </si>
  <si>
    <t>EB-2019-0252</t>
  </si>
  <si>
    <t>5_GENERAL SERVICE 3,000 TO 4,999 KW SERVICE CLASSIFICATION_Retail Transmission Rate - Line and Transformation Connection Service Rate</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</si>
  <si>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</si>
  <si>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EB-2019-0072</t>
  </si>
  <si>
    <t>Rate Rider for Disposition of Deferral/Variance Accounts (2020) - effective until April 30, 2021 -  
     Approved on an Interim Basis</t>
  </si>
  <si>
    <t>Rate Rider for Disposition of Deferral/Variance Accounts (2020) - effective until April 30, 2021 - 
     Approved on an Interim Basis</t>
  </si>
  <si>
    <t>Rate Rider for Disposition of Deferral/Variance Accounts (2020) - effective until April 30, 2021
      Applicable only for Non-Wholesale Market Participants - Approved on an Interim Basis</t>
  </si>
  <si>
    <t>Welland Hydro-Electric System Corp._NPoA</t>
  </si>
  <si>
    <t>EB-2019-0057</t>
  </si>
  <si>
    <t>Rate Rider for Disposition of Lost Revenue Adjustment Mechanism Variance Account (LRAMVA) (2020) -  
     effective until April 30, 2021</t>
  </si>
  <si>
    <t>Rate Rider for Disposition of Lost Revenue Adjustment Mechanism Variance Account (LRAMVA) (2020) - 
     effective until April 30, 2021</t>
  </si>
  <si>
    <t>Rate Rider for Disposition of Lost Revenue Adjustment Mechanism Variance Account (LRAMVA) (2020) -
     effective until April 30, 2021</t>
  </si>
  <si>
    <t>EB-2019-0029</t>
  </si>
  <si>
    <t>Rate Rider for Disposition of Capacity Based Recovery Account (2020) - effective until April 30, 2021
     Applicable only for Class B Customers - approved on an interim basis</t>
  </si>
  <si>
    <t>Rate Rider for Disposition of Deferral/Variance Accounts (2020) - effective until April 30, 2021
     - approved on an interim basis</t>
  </si>
  <si>
    <t>1_RESIDENTIAL SERVICE CLASSIFICATION_VR_RR_88</t>
  </si>
  <si>
    <t>2_GENERAL SERVICE LESS THAN 50 KW SERVICE CLASSIFICATION_VR_RR_91</t>
  </si>
  <si>
    <t>3_GENERAL SERVICE 50 to 4,999 kW SERVICE CLASSIFICATION_VR_RR_94</t>
  </si>
  <si>
    <t>4_UNMETERED SCATTERED LOAD SERVICE CLASSIFICATION_VR_RR_98</t>
  </si>
  <si>
    <t>5_SENTINEL LIGHTING SERVICE CLASSIFICATION_VR_RR_101</t>
  </si>
  <si>
    <t>6_STREET LIGHTING SERVICE CLASSIFICATION_VR_RR_104</t>
  </si>
  <si>
    <t>E.L.K. Energy Inc._NPoA</t>
  </si>
  <si>
    <t xml:space="preserve">Late Payment – per month 
(effective annual rate 19.56% per annum or 0.04896% compounded daily rate) </t>
  </si>
  <si>
    <t>3)     If a service supplies a combination of residential and commercial load and wiring does not permit separate metering,
        the classification of this customer will be determined individually by the distributor.</t>
  </si>
  <si>
    <t>Rate Rider for Disposition of Lost Revenue Adjustment Mechanism Variance Account (LRAMVA) (2020) - 
      effective until April 30, 2021</t>
  </si>
  <si>
    <t>Rate Rider for Disposition of Lost Revenue Adjustment Mechanism Variance Account (LRAMVA) (2020) -
      effective until April 30, 2021</t>
  </si>
  <si>
    <t>EB-2019-0034</t>
  </si>
  <si>
    <t>Rate Rider for Disposition of Lost Revenue Adjustment Mechanism Variance Account (LRAMVA) (2020)
     - effective until April 30, 2021</t>
  </si>
  <si>
    <t>Rate Rider for the Disposition of Accounts 1584 &amp; 1586 - effective until April 30, 2022</t>
  </si>
  <si>
    <t>1_RESIDENTIAL SERVICE CLASSIFICATION_VR_RR_130</t>
  </si>
  <si>
    <t>3_GENERAL SERVICE 50 to 4,999 kW SERVICE CLASSIFICATION_VR_RR_134</t>
  </si>
  <si>
    <t>Rate Rider for the Disposition of Accounts 1584 &amp; 1586 - Interval Metered - effective until April 30, 2022</t>
  </si>
  <si>
    <t>3_GENERAL SERVICE 50 to 4,999 kW SERVICE CLASSIFICATION_VR_RR_135</t>
  </si>
  <si>
    <t>5_UNMETERED SCATTERED LOAD SERVICE CLASSIFICATION_VR_RR_136</t>
  </si>
  <si>
    <t>6_SENTINEL LIGHTING SERVICE CLASSIFICATION_VR_RR_137</t>
  </si>
  <si>
    <t>Rate Rider for Disposition of Lost Revenue Adjustment Mechanism Variance Account (LRAMVA) (2020) - effective until April 30, 2021</t>
  </si>
  <si>
    <t>7_STREET LIGHTING SERVICE CLASSIFICATION_VR_RR_139</t>
  </si>
  <si>
    <t>Essex Powerlines Corporation_NPoA</t>
  </si>
  <si>
    <t>EB-2019-0036</t>
  </si>
  <si>
    <t>Rate Rider for Disposition of Account 1595 - Global Adjustment Account (2017) 
      - Applicable only for Non-RPP Customers - effective until April 30, 2021</t>
  </si>
  <si>
    <t>Fort Frances Power Corporation_NPoA</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</si>
  <si>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</si>
  <si>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</si>
  <si>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</si>
  <si>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</si>
  <si>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Specific charge for access to the power poles - $/pole/year
      (with the exception of wireless attachments)</t>
  </si>
  <si>
    <t>EB-2019-0039</t>
  </si>
  <si>
    <t>2_GENERAL SERVICE LESS THAN 50 KW SERVICE CLASSIFICATION_FX_RR_20</t>
  </si>
  <si>
    <t>3_GENERAL SERVICE 50 TO 999 KW SERVICE CLASSIFICATION_FX_RR_21</t>
  </si>
  <si>
    <t>3_GENERAL SERVICE 50 TO 999 KW SERVICE CLASSIFICATION_VR_RR_143</t>
  </si>
  <si>
    <t>4_GENERAL SERVICE 1,000 TO 4,999 KW SERVICE CLASSIFICATION_FX_RR_22</t>
  </si>
  <si>
    <t>4_GENERAL SERVICE 1,000 TO 4,999 KW SERVICE CLASSIFICATION_VR_RR_144</t>
  </si>
  <si>
    <t>5_UNMETERED SCATTERED LOAD SERVICE CLASSIFICATION_FX_RR_23</t>
  </si>
  <si>
    <t>6_SENTINEL LIGHTING SERVICE CLASSIFICATION_FX_RR_24</t>
  </si>
  <si>
    <t>6_SENTINEL LIGHTING SERVICE CLASSIFICATION_VR_RR_146</t>
  </si>
  <si>
    <t>7_STREET LIGHTING SERVICE CLASSIFICATION_VR_RR_147</t>
  </si>
  <si>
    <t xml:space="preserve">(effective annual rate 19.56% per annum or 0.04896% compounded daily rate) </t>
  </si>
  <si>
    <t>EB-2019-0040</t>
  </si>
  <si>
    <t>Hearst Power Distribution Co. Ltd._NPoA</t>
  </si>
  <si>
    <t>Late Payment - per month
(effective annual rate 19.56% per annum or 0.04896% compounded daily rate)</t>
  </si>
  <si>
    <t xml:space="preserve">Reconnection at pole - during regular hours </t>
  </si>
  <si>
    <t>EB-2019-0068</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</si>
  <si>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 
For new installations, demand sizing is based on the main switch size in amps converted to kVA. Class B consumers are defined in accordance with O. Reg. 429/04. Further servicing details are available in the distributor’s Conditions of Service.      </t>
  </si>
  <si>
    <t>Synergy North Corporation_NPoA</t>
  </si>
  <si>
    <t>Disconnect/Reconnect at meter - during regular hours</t>
  </si>
  <si>
    <t>EB-2019-0051</t>
  </si>
  <si>
    <t>Rate Rider for Disposition of Global Adjustment Account (2020) - effective until April 30, 2021
      Applicable only for Non-RPP Customers - approved on an interim basis</t>
  </si>
  <si>
    <t>Rate Rider for Disposition of Lost Revenue Adjustment Mechanism Variance Account (LRAMVA) (2020) 
     - effective until April 30, 2021</t>
  </si>
  <si>
    <t>Lakeland Power Distribution Ltd._NPoA</t>
  </si>
  <si>
    <t>EB-2019-0053</t>
  </si>
  <si>
    <t>Reconnection for non payment of account - at meter during regular hours</t>
  </si>
  <si>
    <t>Reconnection for non payment of account - at meter after regular hours</t>
  </si>
  <si>
    <t>EB-2019-0058</t>
  </si>
  <si>
    <t>Northern Ontario Wires Inc._NPoA</t>
  </si>
  <si>
    <t>EB-2019-0054</t>
  </si>
  <si>
    <t>Rate Rider for Disposition of Global Adjustment Account (2020) - effective until June 30, 2020
      Applicable only for Non-RPP Customers</t>
  </si>
  <si>
    <t>EB-2019-0060</t>
  </si>
  <si>
    <t>4_SENTINEL LIGHTING SERVICE CLASSIFICATION_LRAM</t>
  </si>
  <si>
    <t>Orangeville Hydro Limited_NPoA</t>
  </si>
  <si>
    <t>EB-2019-0061</t>
  </si>
  <si>
    <t>Rate Rider for Smart Meter Incremental Revenue Requirement - in effect until the effective date of the 
       next cost of service-based rate order</t>
  </si>
  <si>
    <t>Orillia Power Distribution Corporation_NPoA</t>
  </si>
  <si>
    <t>Reconnection charges for non payment of account - at meter after regular hours</t>
  </si>
  <si>
    <t>Reconnection charges for non payment of account - at pole during regular hours</t>
  </si>
  <si>
    <t>Reconnection charges for non payment of account - at pole after regular hours</t>
  </si>
  <si>
    <t>EB-2019-0063</t>
  </si>
  <si>
    <t>1_RESIDENTIAL SERVICE CLASSIFICATION_FX_RR_31</t>
  </si>
  <si>
    <t>2_GENERAL SERVICE LESS THAN 50 KW SERVICE CLASSIFICATION_FX_RR_33</t>
  </si>
  <si>
    <t xml:space="preserve">      Reconnection charge at meter - after hours</t>
  </si>
  <si>
    <t>EB-2019-0170</t>
  </si>
  <si>
    <t>Rate Rider for Recovery of Incremental Capital (2020) - effective until the effective date of the next cost of 
     service based rate order</t>
  </si>
  <si>
    <t>1_RESIDENTIAL SERVICE CLASSIFICATION_VR_RR_244</t>
  </si>
  <si>
    <t>2_GENERAL SERVICE LESS THAN 50 KW SERVICE CLASSIFICATION_VR_RR_245</t>
  </si>
  <si>
    <t>2_GENERAL SERVICE LESS THAN 50 KW SERVICE CLASSIFICATION_VR_RR_246</t>
  </si>
  <si>
    <t>3_GENERAL SERVICE 50 to 4,999 kW SERVICE CLASSIFICATION_VR_RR_247</t>
  </si>
  <si>
    <t>3_GENERAL SERVICE 50 to 4,999 kW SERVICE CLASSIFICATION_VR_RR_248</t>
  </si>
  <si>
    <t>4_UNMETERED SCATTERED LOAD SERVICE CLASSIFICATION_VR_RR_249</t>
  </si>
  <si>
    <t>4_UNMETERED SCATTERED LOAD SERVICE CLASSIFICATION_VR_RR_250</t>
  </si>
  <si>
    <t>5_SENTINEL LIGHTING SERVICE CLASSIFICATION_VR_RR_251</t>
  </si>
  <si>
    <t>5_SENTINEL LIGHTING SERVICE CLASSIFICATION_VR_RR_252</t>
  </si>
  <si>
    <t>Rate Rider for Disposition of Lost Revenue Adjustment Mechanism Variance Account (LRAMVA) (2019) 
     - effective until April 30, 2022</t>
  </si>
  <si>
    <t>6_STREET LIGHTING SERVICE CLASSIFICATION_VR_RR_255</t>
  </si>
  <si>
    <t>Reconnection charge - at meter - after hours</t>
  </si>
  <si>
    <t>Reconnection charge - at pole - after hours</t>
  </si>
  <si>
    <t xml:space="preserve">(with the exception of wireless attachments) </t>
  </si>
  <si>
    <t>EB-2019-0066</t>
  </si>
  <si>
    <t>Rate Rider for the 2018 Capital Funding
       - effective until the effective date of the next cost of service-based rate order</t>
  </si>
  <si>
    <t>1_RESIDENTIAL SERVICE CLASSIFICATION_FX_RR_44</t>
  </si>
  <si>
    <t>3_GENERAL SERVICE 50 to 4,999 kW SERVICE CLASSIFICATION_FX_RR_46</t>
  </si>
  <si>
    <t>4_UNMETERED SCATTERED LOAD SERVICE CLASSIFICATION_FX_RR_47</t>
  </si>
  <si>
    <t>5_SENTINEL LIGHTING SERVICE CLASSIFICATION_FX_RR_48</t>
  </si>
  <si>
    <t>Rideau St. Lawrence Distribution Inc._NPoA</t>
  </si>
  <si>
    <t xml:space="preserve">Reconnection at meter - during regular hours </t>
  </si>
  <si>
    <t xml:space="preserve">Reconnection at meter - after regular hours </t>
  </si>
  <si>
    <t xml:space="preserve">Reconnection at pole - after regular hours </t>
  </si>
  <si>
    <t>EB-2019-0021</t>
  </si>
  <si>
    <t>Rate Rider for Disposition of Capacity Based Recovery Account (2020) - effective until April 30, 2021
     Applicable only for Class B Customers</t>
  </si>
  <si>
    <t>Rate Rider for Disposition of Capacity Based Recovery Account (2020) - effective until April 30, 2021 
     Applicable only for Class B Customers</t>
  </si>
  <si>
    <t>Bluewater Power Distribution Corporation_NPoA</t>
  </si>
  <si>
    <t>approved schedules of Rates, Charges and Loss Factors.</t>
  </si>
  <si>
    <t>EB-2019-0026</t>
  </si>
  <si>
    <t>Rate Rider for Disposition of Lost Revenue Adjustment Mechanism Variance Account (LRAMVA) (2019) 
     - effective until May 31, 2021</t>
  </si>
  <si>
    <t>1_RESIDENTIAL SERVICE CLASSIFICATION_FX_RR_51</t>
  </si>
  <si>
    <t>Rate Rider for Disposition of Deferral/Variance Accounts (2020) - effective until April 30, 2021 - Approved on an Interim Basis</t>
  </si>
  <si>
    <t>Rate Rider for Disposition of Group 1 Deferral/Variance Accounts (2019) excluding Global Adjustment - effective until May 31, 2021
     - Approved on an Interim Basis</t>
  </si>
  <si>
    <t>2_GENERAL SERVICE LESS THAN 50 KW SERVICE CLASSIFICATION_VR_RR_310</t>
  </si>
  <si>
    <t>3_GENERAL SERVICE 50 to 4,999 kW SERVICE CLASSIFICATION_GA_kw</t>
  </si>
  <si>
    <t>3_GENERAL SERVICE 50 to 4,999 kW SERVICE CLASSIFICATION_VR_RR_315</t>
  </si>
  <si>
    <t>4_UNMETERED SCATTERED LOAD SERVICE CLASSIFICATION_VR_RR_320</t>
  </si>
  <si>
    <t>5_SENTINEL LIGHTING SERVICE CLASSIFICATION_GA_kw</t>
  </si>
  <si>
    <t>5_SENTINEL LIGHTING SERVICE CLASSIFICATION_VR_RR_324</t>
  </si>
  <si>
    <t>6_STREET LIGHTING SERVICE CLASSIFICATION_GA_kw</t>
  </si>
  <si>
    <t>6_STREET LIGHTING SERVICE CLASSIFICATION_VR_RR_328</t>
  </si>
  <si>
    <t>Chapleau Public Utilities Corporation_NPoA</t>
  </si>
  <si>
    <t>EB-2019-0067</t>
  </si>
  <si>
    <t>1_RESIDENTIAL SERVICE CLASSIFICATION_FX_RR_53</t>
  </si>
  <si>
    <t>2_GENERAL SERVICE LESS THAN 50 KW SERVICE CLASSIFICATION_FX_RR_54</t>
  </si>
  <si>
    <t>3_GENERAL SERVICE 50 to 4,999 kW SERVICE CLASSIFICATION_FX_RR_55</t>
  </si>
  <si>
    <t>Returned items (plus bank charges)</t>
  </si>
  <si>
    <t>Sioux Lookout Hydro Inc._NPoA</t>
  </si>
  <si>
    <t>ERTH Power Corporation - Goderich Rate Zone</t>
  </si>
  <si>
    <t>EB-2019-0033</t>
  </si>
  <si>
    <t>Rate Rider for Disposition of Lost Revenue Adjustment Mechanism Variance Account (LRAMVA) (2020) 
     - effective until April 30, 2023</t>
  </si>
  <si>
    <t>ERTH Power Corporation - Main Rate Zone</t>
  </si>
  <si>
    <t>This classification refers to the supply of electrical energy to customers residing in residential dwelling units. Class B consumers are defined in in accordance with O. Reg. 429/04. Further servicing details are available in the distributor's Conditions of Service.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</si>
  <si>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</si>
  <si>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</si>
  <si>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</si>
  <si>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</si>
  <si>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EB-2019-0056</t>
  </si>
  <si>
    <t>Rate Rider for Disposition of Group 2 Deferral/Variance Accounts (2019) - effective until April 30, 2021</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</si>
  <si>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</si>
  <si>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Line and Transformation Connection Service Rate - Interval Metered (see Note 1)</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</si>
  <si>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</si>
  <si>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</si>
  <si>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</si>
  <si>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</si>
  <si>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</si>
  <si>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</si>
  <si>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Late payment - per month (effective annual rate 19.56% per annum or 0.04896% compounded daily)</t>
  </si>
  <si>
    <t xml:space="preserve">Variable </t>
  </si>
  <si>
    <t>4_GENERAL SERVICE 1,000 KW OR GREATER SERVICE CLASSIFICATION_Retail Transmission Rate - Line and Transformation Connection Service Rate</t>
  </si>
  <si>
    <t>EB-2019-0069</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</si>
  <si>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</si>
  <si>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500 TO 1,499 KW SERVICE CLASSIFICATION_Retail Transmission Rate - Network Service Rate</t>
  </si>
  <si>
    <t>4_GENERAL SERVICE 500 TO 1,499 KW SERVICE CLASSIFICATION_Retail Transmission Rate - Line and Transformation Connection Service Rate</t>
  </si>
  <si>
    <t>5_GENERAL SERVICE EQUAL TO OR GREATER THAN 1,500 KW SERVICE CLASSIFICATION_Retail Transmission Rate - Network Service Rate</t>
  </si>
  <si>
    <t>5_GENERAL SERVICE EQUAL TO OR GREATER THAN 1,500 KW SERVICE CLASSIFICATION_Retail Transmission Rate - Line and Transformation Connection Service Rate</t>
  </si>
  <si>
    <t xml:space="preserve">Late payment - per month (effective annual rate 19.56% per annum or 0.04896% compounded daily rate) </t>
  </si>
  <si>
    <t>Reconnect at pole - during regular hours</t>
  </si>
  <si>
    <t>EB-2019-0070</t>
  </si>
  <si>
    <t xml:space="preserve">Rate Rider for Disposition of Account 1595 - Deferral/Variance Accounts (2019) - effective until April 30, 2021
       </t>
  </si>
  <si>
    <t>Rate Rider for Disposition of Account 1595 - Global Adjustment Account (2019) 
     - Applicable only for Non-RPP Customers - effective until April 30, 2021</t>
  </si>
  <si>
    <t>Rate Rider for Disposition of Lost Revenue Adjustment Mechanism Variance Account (LRAMVA) (2020)      
     - effective until April 30, 2021</t>
  </si>
  <si>
    <t xml:space="preserve">Rate Rider for Disposition of Account 1595 - Deferral/Variance Accounts (2019) - effective until April 30, 2021
</t>
  </si>
  <si>
    <t xml:space="preserve">Rate Rider for Disposition of Account 1595 - Global Adjustment Account (2019) 
     - Applicable only for Non-RPP Customers - effective until April 30, 2021 </t>
  </si>
  <si>
    <t xml:space="preserve">Rate Rider for Disposition of Account 1595 - Deferral/Variance Accounts (2019) 
     - Applicable for Wholesale Market Participants only - effective until April 30, 2021 </t>
  </si>
  <si>
    <t>Wasaga Distribution Inc._NPoA</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</si>
  <si>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</si>
  <si>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</si>
  <si>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</si>
  <si>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EB-2019-0073</t>
  </si>
  <si>
    <t>2_GENERAL SERVICE LESS THAN 50 KW SERVICE CLASSIFICATION_FX_RR_59</t>
  </si>
  <si>
    <t>2_GENERAL SERVICE LESS THAN 50 KW SERVICE CLASSIFICATION_VR_RR_423</t>
  </si>
  <si>
    <t>3_GENERAL SERVICE 50 TO 999 KW SERVICE CLASSIFICATION_FX_RR_60</t>
  </si>
  <si>
    <t>3_GENERAL SERVICE 50 TO 999 KW SERVICE CLASSIFICATION_VR_RR_424</t>
  </si>
  <si>
    <t>4_GENERAL SERVICE 1,000 TO 4,999 KW SERVICE CLASSIFICATION_FX_RR_61</t>
  </si>
  <si>
    <t>5_UNMETERED SCATTERED LOAD SERVICE CLASSIFICATION_FX_RR_62</t>
  </si>
  <si>
    <t>5_UNMETERED SCATTERED LOAD SERVICE CLASSIFICATION_VR_RR_426</t>
  </si>
  <si>
    <t>6_SENTINEL LIGHTING SERVICE CLASSIFICATION_FX_RR_63</t>
  </si>
  <si>
    <t>6_SENTINEL LIGHTING SERVICE CLASSIFICATION_VR_RR_427</t>
  </si>
  <si>
    <t>7_STREET LIGHTING SERVICE CLASSIFICATION_FX_RR_64</t>
  </si>
  <si>
    <t>7_STREET LIGHTING SERVICE CLASSIFICATION_VR_RR_428</t>
  </si>
  <si>
    <t>Effective Date January 1, 2020</t>
  </si>
  <si>
    <t>Implementation Date March 1, 2020</t>
  </si>
  <si>
    <t>EB-2018-0165</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</si>
  <si>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</si>
  <si>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Rate Rider for Disposition of Other Post Employment Benefit Variance - effective until December 31, 2020</t>
  </si>
  <si>
    <t>Rate Rider for Disposition of the Impact for USGAAP - effective until December 31, 2020</t>
  </si>
  <si>
    <t>Rate Rider for Recovery of Monthly Billing Transition Costs - effective until December 31, 2022</t>
  </si>
  <si>
    <t>Rate Rider for Application of Operations Center Consolidation Plan - effective until December 31, 2021</t>
  </si>
  <si>
    <t>1_RESIDENTIAL SERVICE CLASSIFICATION_FX_RR_5</t>
  </si>
  <si>
    <t>Rate Rider for Disposition of the Gain on Property Sale - effective until December 31, 2021</t>
  </si>
  <si>
    <t>Rate Rider for Disposition of IFRS - CGAPP Property Plant and Equipment - effective until December 31, 2020</t>
  </si>
  <si>
    <t>Rate Rider for Disposition of External Driven Capital Variance Account - effective until December 31, 2020</t>
  </si>
  <si>
    <t>Rate Rider for Recovery of 2020 Foregone Revenue - effective until December 31, 2021</t>
  </si>
  <si>
    <t>Rate Rider for Disposition of Deferral/Variance Accounts - effective until December 31, 2021
- Approved on an Interim Basis</t>
  </si>
  <si>
    <t>Rate Rider for Disposition of Capacity Based Recovery Account - effective until December 31, 2021 
(Applicable only for Class B Customers) - Approved on an Interim Basis</t>
  </si>
  <si>
    <t>Rate Rider for Disposition of Global Adjustment Account - effective until December 31, 2021
(Applicable only for Non-RPP Customers) - Approved on an Interim Basis</t>
  </si>
  <si>
    <t>2_COMPETITIVE SECTOR MULTI-UNIT RESIDENTIAL SERVICE CLASSIFICATION_FX_RR_11</t>
  </si>
  <si>
    <t>2_COMPETITIVE SECTOR MULTI-UNIT RESIDENTIAL SERVICE CLASSIFICATION_FX_RR_12</t>
  </si>
  <si>
    <t>2_COMPETITIVE SECTOR MULTI-UNIT RESIDENTIAL SERVICE CLASSIFICATION_FX_RR_13</t>
  </si>
  <si>
    <t>2_COMPETITIVE SECTOR MULTI-UNIT RESIDENTIAL SERVICE CLASSIFICATION_FX_RR_14</t>
  </si>
  <si>
    <t>2_COMPETITIVE SECTOR MULTI-UNIT RESIDENTIAL SERVICE CLASSIFICATION_FX_RR_15</t>
  </si>
  <si>
    <t>2_COMPETITIVE SECTOR MULTI-UNIT RESIDENTIAL SERVICE CLASSIFICATION_FX_RR_16</t>
  </si>
  <si>
    <t>2_COMPETITIVE SECTOR MULTI-UNIT RESIDENTIAL SERVICE CLASSIFICATION_FX_RR_17</t>
  </si>
  <si>
    <t>Rate Rider for Disposition of Deferral/Variance Accounts - effective until December 31, 2021  
- Approved on an Interim Basis</t>
  </si>
  <si>
    <t>3_GENERAL SERVICE LESS THAN 50 KW SERVICE CLASSIFICATION_FX_RR_19</t>
  </si>
  <si>
    <t>3_GENERAL SERVICE LESS THAN 50 KW SERVICE CLASSIFICATION_VR_RR_12</t>
  </si>
  <si>
    <t>3_GENERAL SERVICE LESS THAN 50 KW SERVICE CLASSIFICATION_VR_RR_13</t>
  </si>
  <si>
    <t>3_GENERAL SERVICE LESS THAN 50 KW SERVICE CLASSIFICATION_VR_RR_14</t>
  </si>
  <si>
    <t>3_GENERAL SERVICE LESS THAN 50 KW SERVICE CLASSIFICATION_VR_RR_15</t>
  </si>
  <si>
    <t>3_GENERAL SERVICE LESS THAN 50 KW SERVICE CLASSIFICATION_VR_RR_16</t>
  </si>
  <si>
    <t>3_GENERAL SERVICE LESS THAN 50 KW SERVICE CLASSIFICATION_VR_RR_17</t>
  </si>
  <si>
    <t>3_GENERAL SERVICE LESS THAN 50 KW SERVICE CLASSIFICATION_VR_RR_18</t>
  </si>
  <si>
    <t>3_GENERAL SERVICE LESS THAN 50 KW SERVICE CLASSIFICATION_VR_RR_19</t>
  </si>
  <si>
    <t>Rate Rider for Disposition of Deferral/Variance Accounts - effective until December 31, 2021 
 - Approved on an Interim Basis</t>
  </si>
  <si>
    <t>4_GENERAL SERVICE 50 TO 999 KW SERVICE CLASSIFICATION_FX_RR_20</t>
  </si>
  <si>
    <t>4_GENERAL SERVICE 50 TO 999 KW SERVICE CLASSIFICATION_VR_RR_23</t>
  </si>
  <si>
    <t>4_GENERAL SERVICE 50 TO 999 KW SERVICE CLASSIFICATION_VR_RR_24</t>
  </si>
  <si>
    <t>4_GENERAL SERVICE 50 TO 999 KW SERVICE CLASSIFICATION_VR_RR_25</t>
  </si>
  <si>
    <t>4_GENERAL SERVICE 50 TO 999 KW SERVICE CLASSIFICATION_VR_RR_26</t>
  </si>
  <si>
    <t>4_GENERAL SERVICE 50 TO 999 KW SERVICE CLASSIFICATION_VR_RR_27</t>
  </si>
  <si>
    <t>4_GENERAL SERVICE 50 TO 999 KW SERVICE CLASSIFICATION_VR_RR_28</t>
  </si>
  <si>
    <t>4_GENERAL SERVICE 50 TO 999 KW SERVICE CLASSIFICATION_VR_RR_29</t>
  </si>
  <si>
    <t>Rate Rider for Disposition of Deferral/Variance Accounts - effective until December 31, 2021
(Applicable only for Non-Wholesale Market Participants) - Approved on an Interim Basis</t>
  </si>
  <si>
    <t>Rate Rider for Disposition of Deferral/Variance Accounts - effective until December 31, 2021
 - Approved on an Interim Basis</t>
  </si>
  <si>
    <t>Rate Rider for Disposition of Capacity Based Recovery Account - effective until December 31, 2021
(Applicable only for Class B Customers) - Approved on an Interim Basis</t>
  </si>
  <si>
    <t>5_GENERAL SERVICE 1,000 TO 4,999 KW SERVICE CLASSIFICATION_FX_RR_21</t>
  </si>
  <si>
    <t>5_GENERAL SERVICE 1,000 TO 4,999 KW SERVICE CLASSIFICATION_VR_RR_34</t>
  </si>
  <si>
    <t>5_GENERAL SERVICE 1,000 TO 4,999 KW SERVICE CLASSIFICATION_VR_RR_35</t>
  </si>
  <si>
    <t>5_GENERAL SERVICE 1,000 TO 4,999 KW SERVICE CLASSIFICATION_VR_RR_36</t>
  </si>
  <si>
    <t>5_GENERAL SERVICE 1,000 TO 4,999 KW SERVICE CLASSIFICATION_VR_RR_37</t>
  </si>
  <si>
    <t>5_GENERAL SERVICE 1,000 TO 4,999 KW SERVICE CLASSIFICATION_VR_RR_38</t>
  </si>
  <si>
    <t>5_GENERAL SERVICE 1,000 TO 4,999 KW SERVICE CLASSIFICATION_VR_RR_39</t>
  </si>
  <si>
    <t>5_GENERAL SERVICE 1,000 TO 4,999 KW SERVICE CLASSIFICATION_VR_RR_40</t>
  </si>
  <si>
    <t>Rate Rider for Disposition of Deferral/Variance Accounts - effective until December 31, 2021 
- Approved on an Interim Basis</t>
  </si>
  <si>
    <t>6_LARGE USE SERVICE CLASSIFICATION_FX_RR_22</t>
  </si>
  <si>
    <t>6_LARGE USE SERVICE CLASSIFICATION_VR_RR_45</t>
  </si>
  <si>
    <t>6_LARGE USE SERVICE CLASSIFICATION_VR_RR_46</t>
  </si>
  <si>
    <t>6_LARGE USE SERVICE CLASSIFICATION_VR_RR_47</t>
  </si>
  <si>
    <t>6_LARGE USE SERVICE CLASSIFICATION_VR_RR_48</t>
  </si>
  <si>
    <t>6_LARGE USE SERVICE CLASSIFICATION_VR_RR_49</t>
  </si>
  <si>
    <t>6_LARGE USE SERVICE CLASSIFICATION_VR_RR_50</t>
  </si>
  <si>
    <t>6_LARGE USE SERVICE CLASSIFICATION_VR_RR_51</t>
  </si>
  <si>
    <t>8_UNMETERED SCATTERED LOAD SERVICE CLASSIFICATION_FX_RR_23</t>
  </si>
  <si>
    <t>Rate Rider for Recovery of 2020 Foregone Revenue (per connection) - effective until December 31, 2021</t>
  </si>
  <si>
    <t>8_UNMETERED SCATTERED LOAD SERVICE CLASSIFICATION_FX_RR_24</t>
  </si>
  <si>
    <t>8_UNMETERED SCATTERED LOAD SERVICE CLASSIFICATION_VR_RR_56</t>
  </si>
  <si>
    <t>8_UNMETERED SCATTERED LOAD SERVICE CLASSIFICATION_VR_RR_57</t>
  </si>
  <si>
    <t>8_UNMETERED SCATTERED LOAD SERVICE CLASSIFICATION_VR_RR_58</t>
  </si>
  <si>
    <t>8_UNMETERED SCATTERED LOAD SERVICE CLASSIFICATION_VR_RR_59</t>
  </si>
  <si>
    <t>8_UNMETERED SCATTERED LOAD SERVICE CLASSIFICATION_VR_RR_60</t>
  </si>
  <si>
    <t>8_UNMETERED SCATTERED LOAD SERVICE CLASSIFICATION_VR_RR_61</t>
  </si>
  <si>
    <t>8_UNMETERED SCATTERED LOAD SERVICE CLASSIFICATION_VR_RR_62</t>
  </si>
  <si>
    <t>9_STREET LIGHTING SERVICE CLASSIFICATION_VR_RR_66</t>
  </si>
  <si>
    <t>9_STREET LIGHTING SERVICE CLASSIFICATION_VR_RR_67</t>
  </si>
  <si>
    <t>9_STREET LIGHTING SERVICE CLASSIFICATION_VR_RR_68</t>
  </si>
  <si>
    <t>9_STREET LIGHTING SERVICE CLASSIFICATION_VR_RR_69</t>
  </si>
  <si>
    <t>9_STREET LIGHTING SERVICE CLASSIFICATION_VR_RR_70</t>
  </si>
  <si>
    <t>9_STREET LIGHTING SERVICE CLASSIFICATION_VR_RR_71</t>
  </si>
  <si>
    <t>9_STREET LIGHTING SERVICE CLASSIFICATION_VR_RR_72</t>
  </si>
  <si>
    <t>Effective May 1, 2020</t>
  </si>
  <si>
    <t>Implementation Date November 1, 2020 unless indicated otherwise</t>
  </si>
  <si>
    <t>EB-2019-0037</t>
  </si>
  <si>
    <t>Rate Rider for Dispostion of Group 2 Deferral/Variance Accounts (2020) - implementation May 1, 2020 
     and in effect until April 30, 2021</t>
  </si>
  <si>
    <t>Rate Rider for Disposition of Account 1575 (2020) - implementation May 1, 2020 and in effect 
     until April 30, 2025</t>
  </si>
  <si>
    <t>Rate Rider for Disposition of Deferral/Variance Accounts (2020) - implementation May 1, 2020 and
     in effect until April 30, 2021</t>
  </si>
  <si>
    <t>Rate Rider for Disposition of Global Adjustment Account (2020) - implementation May 1, 2020 and
     in effect until  April 30, 2021 - Applicable only for Non-RPP Customers</t>
  </si>
  <si>
    <t>Rate Rider for Disposition of Account 1568 (2020) - implementation May 1, 2020 and in effect 
     until April 30, 2021</t>
  </si>
  <si>
    <t>2_GENERAL SERVICE LESS THAN 50 KW SERVICE CLASSIFICATION_VR_RR_4</t>
  </si>
  <si>
    <t>Rate Rider for Disposition of Deferral/Variance Accounts (2020) - implementation May 1, 2020 and 
     in effect until April 30, 2021</t>
  </si>
  <si>
    <t>Rate Rider for Disposition of Global Adjustment Account (2020) - implementation May 1, 2020 and 
     in effect until April 30, 2021 - Applicable only for Non-RPP Customers</t>
  </si>
  <si>
    <t>2_GENERAL SERVICE LESS THAN 50 KW SERVICE CLASSIFICATION_VR_RR_7</t>
  </si>
  <si>
    <t>Rate Rider for Disposition of Group 2 Deferral/Variance Accounts (2020) - implementation May 1, 2020 
     and in effect until April 30, 2021</t>
  </si>
  <si>
    <t>3_GENERAL SERVICE 50 to 4,999 kW SERVICE CLASSIFICATION_VR_RR_9</t>
  </si>
  <si>
    <t xml:space="preserve">Rate Rider for Disposition of Deferral/Variance Accounts (2020) - implementation May 1, 2020 and 
     in effect until April 30, 2021 - Applicable only for Non-Wholesale Market Participants </t>
  </si>
  <si>
    <t>3_GENERAL SERVICE 50 to 4,999 kW SERVICE CLASSIFICATION_VR_RR_13</t>
  </si>
  <si>
    <t>4_UNMETERED SCATTERED LOAD SERVICE CLASSIFICATION_VR_RR_15</t>
  </si>
  <si>
    <t>5_SENTINEL LIGHTING SERVICE CLASSIFICATION_VR_RR_19</t>
  </si>
  <si>
    <t>5_SENTINEL LIGHTING SERVICE CLASSIFICATION_VR_RR_22</t>
  </si>
  <si>
    <t>6_STREET LIGHTING SERVICE CLASSIFICATION_VR_RR_23</t>
  </si>
  <si>
    <t>Rate Rider for Disposition of Global Adjustment (2020) - implementation May 1, 2020 and 
     in effect until April 30, 2021 - Applicable only for Non-RPP Customers</t>
  </si>
  <si>
    <t>6_STREET LIGHTING SERVICE CLASSIFICATION_VR_RR_26</t>
  </si>
  <si>
    <t>Greater Sudbury Hydro Inc._NPoA</t>
  </si>
  <si>
    <t>LOSS FACTORS (implementation May 1, 2020)</t>
  </si>
  <si>
    <t>EB-2019-0055</t>
  </si>
  <si>
    <t>Rate Rider for Disposition of Lost Revenue Adjustment Mechanism Variance Account (LRAMVA) (2020)
     -  effective until April 30, 2021</t>
  </si>
  <si>
    <t>Newmarket-Tay Power Distribution Ltd._NPoA</t>
  </si>
  <si>
    <t xml:space="preserve">Late payment - per month
(effective annual rate 19.56% per annum or 0.04896% compounded daily rate) </t>
  </si>
  <si>
    <t>Billed Amount</t>
  </si>
  <si>
    <t>Billed Amount %</t>
  </si>
  <si>
    <t>Current Wholesale Billing</t>
  </si>
  <si>
    <t>Adjusted RTSR Network</t>
  </si>
  <si>
    <t>Total Metered Non-RPP 2019 Consumption excluding WMP</t>
  </si>
  <si>
    <t>Total Metered 2019 Consumption for Class A Customers that were Class A for the entire period GA balance accumulated</t>
  </si>
  <si>
    <t xml:space="preserve">Total Metered 2019 Consumption for Customers that Transitioned Between Class A and B during the period GA balance accumulated </t>
  </si>
  <si>
    <t>Total Metered 2019 Consumption Minus WMP</t>
  </si>
  <si>
    <t>Total Metered 2019 Consumption for Full Year Class A Customers</t>
  </si>
  <si>
    <t>Total Metered 2019 Consumption for Transition Customers</t>
  </si>
  <si>
    <t>Customer Specific GA Allocation for the Period When They Were Class B customers</t>
  </si>
  <si>
    <t>Customer Specific CBR Class B Allocation for the Period When They Were Class B Customers</t>
  </si>
  <si>
    <r>
      <t>Disposition and Recovery/Refund of Regulatory Balances (2014 and pre-2014)</t>
    </r>
    <r>
      <rPr>
        <vertAlign val="superscript"/>
        <sz val="11"/>
        <rFont val="Arial"/>
        <family val="2"/>
      </rPr>
      <t>3</t>
    </r>
  </si>
  <si>
    <t xml:space="preserve">1) If the LDC’s rate year begins on January 1, 2021, the projected interest is recorded from January 1, 2020 to December 31, 2020 on the December 31, 2019 balances adjusted to remove balances approved for disposition in the 2020 rate decision. 
 2) If the LDC’s rate year begins on May 1, 2021, the projected interest is recorded from January 1, 2020 to April 30, 2021 on the December 31, 2019 balances adjusted to remove balances approved for disposition in the 2020 rate decision. </t>
  </si>
  <si>
    <t>New accounting guidance effective January 1, 2019 for Accounts 1588 and 1589 was issued Feb. 21, 2019 titled Accounting Procedures Handbook Update - Accounting Guidance Related to Commodity Pass-Through Accounts 1588 &amp; 1589. The amount in the "Transactions" column in this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</si>
  <si>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The individual sub-accounts as well as the total for all Account 1595 sub-accounts is to agree to the RRR data.  Differences need to be explained. For each Account 1595 sub-account, the transfer of the balance approved for disposition into Account 1595 is to be recorded in "OEB Approved Disposition" column. The recovery/refund is to be recorded in the "Transaction" column. Any vintage year of Account 1595 is only to be disposed once on a final basis. No further dispositions of these accounts are generally expected thereafter, unless justified by the distributor.
Refer to Filing Requirements for disposition eligibility of the sub-accounts. Select "yes" column BU if the sub-account is requested for disposition. Note that Accounts 1595 (2018) and (2019) will not be eligilble for disposition in the 2021 rate application.</t>
  </si>
  <si>
    <t>RRR balance for Account 1580 RSVA - Wholesale Market Service Charge should equal to the control account as reported in the RRR. This would include the balance for Account 1580,Variance WMS – Sub-account CBR Class B.</t>
  </si>
  <si>
    <t>Did you have any customers who transitioned between Class A and Class B (transition customers)  during the period the Account 1589 GA balance accumulated (i.e. from the year after the balance was last disposed per #1a above to the current year requested for disposition)?</t>
  </si>
  <si>
    <t xml:space="preserve">Did you have any customers who transitioned between Class A and Class B (transition customers) during the period the Account 1580, sub-account CBR Class B balance accumulated (i.e. from the year after the balance was last disposed per #1b above to the current year requested for disposition)?
</t>
  </si>
  <si>
    <t>Enter the number of rate classes in which there were customers who were Class A for the full year during the  period the Account 1589 GA or Account 1580 CBR B balance accumulated (i.e. from the year after the balance was last disposed per #1a/1b above to the current year requested for disposition).</t>
  </si>
  <si>
    <t>Hydro 2000 Inc._Start</t>
  </si>
  <si>
    <t>Effective and Implementation Date May 1, 2019</t>
  </si>
  <si>
    <t>EB-2018-0039</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</si>
  <si>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</si>
  <si>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Rate Rider for Disposition of Deferral/Variance Accounts (2019) - effective until April 30, 2023 
     - Approved on an Interim Basis</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</si>
  <si>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</si>
  <si>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Rate Rider for Disposition of Deferral/Variance Accounts (2019) - effective until April 30, 2023
     - Approved on an Interim Basis</t>
  </si>
  <si>
    <t>Hydro 2000 Inc._ALLOWANCES</t>
  </si>
  <si>
    <t>Hydro 2000 Inc._SSC</t>
  </si>
  <si>
    <t>Hydro 2000 Inc._CA</t>
  </si>
  <si>
    <t>Collection of account charge - no disconnection - during regular business hours</t>
  </si>
  <si>
    <t>Collection of account charge - no disconnection - after regular hours</t>
  </si>
  <si>
    <t>Install/Remove load control device - during regular hours</t>
  </si>
  <si>
    <t>Install/Remove load control device - after regular hours</t>
  </si>
  <si>
    <t xml:space="preserve">NOTE:  Ontario Energy Board Rate Order EB-2017-0183, issued on March 14, 2019, identifies changes to the Non-Payment of Account Service Charges effective July 1, 2019. </t>
  </si>
  <si>
    <t>Hydro 2000 Inc._RSC</t>
  </si>
  <si>
    <t>Hydro 2000 Inc._LFs</t>
  </si>
  <si>
    <t>Hydro 2000 Inc._End</t>
  </si>
  <si>
    <t>Peterborough Distribution Incorporated_Start</t>
  </si>
  <si>
    <t>EB-2018-0067</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</si>
  <si>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</si>
  <si>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</si>
  <si>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Peterborough Distribution Inc. (see Section 3.3 of Conditions of Service). The maximum allowable service connection on the 27.6 kV system is 5,000 kVA. Customers have the option of ownership of transformation at all sizes and are required to own the transformation above the maximum levels supplied by Peterborough Distribution Inc. If a customer decides or is required to own their transformation, the transformer specifications and its loss evaluation require approval from Peterborough Distribution Inc. The customer is required to compensate Peterborough Distribution Inc. for transformer losses that exceed the maximum acceptable losses. The customer will receive a transformer allowance as specified in the current rate schedule for privately owned transformation.</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</si>
  <si>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</si>
  <si>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</si>
  <si>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Peterborough Distribution Inc. Peterborough Distribution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</si>
  <si>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Peterborough Distribution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Peterborough Distribution Inc. and operated by qualified personnel. Peterborough Distribution Inc. retains operational control of the connections to the distribution system. Further servicing details are available in the distributor’s Conditions of Service.</t>
  </si>
  <si>
    <t>Peterborough Distribution Incorporated_ALLOWANCES</t>
  </si>
  <si>
    <t>Peterborough Distribution Incorporated_SSC</t>
  </si>
  <si>
    <t>Peterborough Distribution Incorporated_CA</t>
  </si>
  <si>
    <t>NOTE:  Ontario Energy Board Rate Order EB-2017-0183, issued on March 14, 2019, identifies changes to the Non-Payment of Account Service Charges effective July 1, 2019</t>
  </si>
  <si>
    <t>Peterborough Distribution Incorporated_RSC</t>
  </si>
  <si>
    <t>Peterborough Distribution Incorporated_LFs</t>
  </si>
  <si>
    <t>Peterborough Distribution Incorporated_End</t>
  </si>
  <si>
    <t>OCCEB934</t>
  </si>
  <si>
    <t>Projected Interest on Dec-31-2019 Balances</t>
  </si>
  <si>
    <t>As of Dec 31, 2019</t>
  </si>
  <si>
    <r>
      <t xml:space="preserve">Variance                           RRR vs. 2019 Balance                        </t>
    </r>
    <r>
      <rPr>
        <b/>
        <i/>
        <sz val="10"/>
        <rFont val="Book Antiqua"/>
        <family val="1"/>
      </rPr>
      <t>(Principal + Interest)</t>
    </r>
  </si>
  <si>
    <t>No input required.  This workshseet allocates the deferral/variance account balances (Group 1 and Account 1568) to the appropriate classes as per EDDVAR dated July 31, 2009.</t>
  </si>
  <si>
    <t>The purpose of this sheet is to calculate the expected billing when forecasted 2021 Uniform Transmission Rates are applied against historical 2019 transmission units.</t>
  </si>
  <si>
    <t>Current 2020</t>
  </si>
  <si>
    <t xml:space="preserve">a) If the accounts were last approved on a final basis, select the year that the balance was last approved on a final basis. </t>
  </si>
  <si>
    <t xml:space="preserve">b) If the accounts were last approved on an interim basis, and </t>
  </si>
  <si>
    <t>i) there are no changes to the previously approved interim balances, select the year that the balances were last approved for diposition on an interim basis.</t>
  </si>
  <si>
    <t>i) there are no changes to the previously approved interim balances, select the year that the balances were last approved for diposition on an interim basis.
ii) there are changes to the previously approved interim balances, select the year that the balances were last approved for disposition on a final basis.</t>
  </si>
  <si>
    <t>ii) If there are changes to the previously approved interim balances, select the year that the balances were last approved for disposition on a final basis.</t>
  </si>
  <si>
    <t>Metered Consumption (kWh) for Transition Customers During the Period When They Were Class B Customers in 2019</t>
  </si>
  <si>
    <t>Metered Class B Consumption (kWh)  for Transition Customers During the Period When They were Class B Customers in 2019</t>
  </si>
  <si>
    <t>1. Select the last Cost of Service rebasing year.</t>
  </si>
  <si>
    <t>2. For Accounts 1588 and 1589, please indicate the year the accounts were last disposed on a final basis.</t>
  </si>
  <si>
    <t>4. Select the earliest vintage year in which there is a balance in Account 1595.</t>
  </si>
  <si>
    <t>(e.g. If 2017 balances reviewed in the 2019 rate application were to be selected, select 2017.)</t>
  </si>
  <si>
    <t>(e.g. If 2016 is the earliest vintage year in which there is a balance in a 1595 sub-account, select 2016.)</t>
  </si>
  <si>
    <t>3. For the remaining Group 1 DVAs, please indicate the year the accounts were last disposed on a final basis.</t>
  </si>
  <si>
    <r>
      <t xml:space="preserve">Projected Interest from Jan 1, 2020 to Dec 31, 2020 on Dec 31, 2019 balance adjusted for disposition during 2020 </t>
    </r>
    <r>
      <rPr>
        <b/>
        <vertAlign val="superscript"/>
        <sz val="10"/>
        <rFont val="Book Antiqua"/>
        <family val="1"/>
      </rPr>
      <t>2</t>
    </r>
  </si>
  <si>
    <r>
      <t xml:space="preserve">Projected Interest from Jan 1, 2021 to Apr 30, 2021 on Dec 31, 2019 balance adjusted for disposition during 2020 </t>
    </r>
    <r>
      <rPr>
        <b/>
        <vertAlign val="superscript"/>
        <sz val="11"/>
        <rFont val="Book Antiqua"/>
        <family val="1"/>
      </rPr>
      <t>2</t>
    </r>
  </si>
  <si>
    <t>Goderich Rate Zone</t>
  </si>
  <si>
    <t>ERTH Power Corporation</t>
  </si>
  <si>
    <t>ERTH Power Corporation-Goderich Rate Zone</t>
  </si>
  <si>
    <t>ERTH Power Corporation-Goderich Rate Zone_Start</t>
  </si>
  <si>
    <t>ERTH Power Corporation-Goderich Rate Zone_ALLOWANCES</t>
  </si>
  <si>
    <t>ERTH Power Corporation-Goderich Rate Zone_SSC</t>
  </si>
  <si>
    <t>ERTH Power Corporation-Goderich Rate Zone_CA</t>
  </si>
  <si>
    <t>ERTH Power Corporation-Goderich Rate Zone_NPoA</t>
  </si>
  <si>
    <t>ERTH Power Corporation-Goderich Rate Zone_RSC</t>
  </si>
  <si>
    <t>ERTH Power Corporation-Goderich Rate Zone_LFs</t>
  </si>
  <si>
    <t>ERTH Power Corporation-Goderich Rate Zone_End</t>
  </si>
  <si>
    <t>ERTH Power Corporation-Main Rate Zone</t>
  </si>
  <si>
    <t>Main Rate Zone</t>
  </si>
  <si>
    <t>ERTH Power Corporation-Main Rate Zone_Start</t>
  </si>
  <si>
    <t>ERTH Power Corporation-Main Rate Zone_ALLOWANCES</t>
  </si>
  <si>
    <t>ERTH Power Corporation-Main Rate Zone_SSC</t>
  </si>
  <si>
    <t>ERTH Power Corporation-Main Rate Zone_CA</t>
  </si>
  <si>
    <t>ERTH Power Corporation-Main Rate Zone_NPoA</t>
  </si>
  <si>
    <t>ERTH Power Corporation-Main Rate Zone_RSC</t>
  </si>
  <si>
    <t>ERTH Power Corporation-Main Rate Zone_LFs</t>
  </si>
  <si>
    <t>ERTH Power Corporation-Main Rate Zone_End</t>
  </si>
  <si>
    <r>
      <t xml:space="preserve">1595 Recovery Proportion (2014 and pre-2014) </t>
    </r>
    <r>
      <rPr>
        <b/>
        <vertAlign val="superscript"/>
        <sz val="10"/>
        <rFont val="Arial"/>
        <family val="2"/>
      </rPr>
      <t>1</t>
    </r>
  </si>
  <si>
    <t>1595_(2014 and pre-2014)</t>
  </si>
  <si>
    <t xml:space="preserve">Below is your 2020 OEB-approved Tariff of Rates and Charges. Please review to ensure accuracy. OEB Staff may have made changes to the rate class description and/or rate description to ensure consistency across all LDCs. 
</t>
  </si>
  <si>
    <t>Current RTSR-Connection</t>
  </si>
  <si>
    <t>Adjusted RTSR-Connection</t>
  </si>
  <si>
    <t>The purpose of this table is to re-align the current RTS Connection Rates to recover current wholesale connection costs.</t>
  </si>
  <si>
    <t>Forecast Wholesale Billing</t>
  </si>
  <si>
    <t>Adjusted RTSR-Network</t>
  </si>
  <si>
    <t>Proposed RTSR-Network</t>
  </si>
  <si>
    <t>The purpose of this table is to update the re-aligned RTS Network Rates to recover future wholesale network costs.</t>
  </si>
  <si>
    <t>Proposed RTSR-Connection</t>
  </si>
  <si>
    <t>The purpose of this table is to update the re-aligned RTS Connection Rates to recover future wholesale connection costs.</t>
  </si>
  <si>
    <r>
      <t>Disposition and Recovery/Refund of Regulatory Balances (2019)</t>
    </r>
    <r>
      <rPr>
        <vertAlign val="superscript"/>
        <sz val="11"/>
        <rFont val="Arial"/>
        <family val="2"/>
      </rPr>
      <t xml:space="preserve">3
</t>
    </r>
    <r>
      <rPr>
        <vertAlign val="superscript"/>
        <sz val="11"/>
        <color rgb="FFFF0000"/>
        <rFont val="Arial"/>
        <family val="2"/>
      </rPr>
      <t>Refer to the Filing Requirements for disposition eligibility.</t>
    </r>
  </si>
  <si>
    <t>5. Did you have any Class A customers at any point during the period that the Account 1589 balance accumulated (i.e. from the year the balance selected in #2 above to the year requested for disposition)?</t>
  </si>
  <si>
    <t>6. Did you have any Class A customers at any point during the period where the balance in Account 1580, Sub-account CBR Class B accumulated (i.e. from the year selected in #3 above to the year requested for disposition)?</t>
  </si>
  <si>
    <t>4_GENERAL SERVICE 1,000 TO 4,999 KW (CO-GENERATION) SERVICE CLASSIFICATION</t>
  </si>
  <si>
    <t>4_GENERAL SERVICE 1,000 TO 4,999 KW (CO-GENERATION) SERVICE CLASSIFICATION_MSC</t>
  </si>
  <si>
    <t>4_GENERAL SERVICE 1,000 TO 4,999 KW (CO-GENERATION) SERVICE CLASSIFICATION_FX_RR_12</t>
  </si>
  <si>
    <t>4_GENERAL SERVICE 1,000 TO 4,999 KW (CO-GENERATION) SERVICE CLASSIFICATION_DVC</t>
  </si>
  <si>
    <t>4_GENERAL SERVICE 1,000 TO 4,999 KW (CO-GENERATION) SERVICE CLASSIFICATION_VR_RR_57</t>
  </si>
  <si>
    <t>4_GENERAL SERVICE 1,000 TO 4,999 KW (CO-GENERATION) SERVICE CLASSIFICATION_VR_RR_58</t>
  </si>
  <si>
    <t>4_GENERAL SERVICE 1,000 TO 4,999 KW (CO-GENERATION) SERVICE CLASSIFICATION_Retail Transmission Rate - Network Service Rate</t>
  </si>
  <si>
    <t>4_GENERAL SERVICE 1,000 TO 4,999 KW (CO-GENERATION) SERVICE CLASSIFICATION_Retail Transmission Rate - Line and Transformation Connection Service Rate</t>
  </si>
  <si>
    <t>4_GENERAL SERVICE 1,000 TO 4,999 KW (CO-GENERATION) SERVICE CLASSIFICATION_WMSR</t>
  </si>
  <si>
    <t>4_GENERAL SERVICE 1,000 TO 4,999 KW (CO-GENERATION) SERVICE CLASSIFICATION_RRRP</t>
  </si>
  <si>
    <t>4_GENERAL SERVICE 1,000 TO 4,999 KW (CO-GENERATION) SERVICE CLASSIFICATION_SSS</t>
  </si>
  <si>
    <t>5_STANDBY POWER SERVICE CLASSIFICATION</t>
  </si>
  <si>
    <t>5_STANDBY POWER SERVICE CLASSIFICATION_DVC</t>
  </si>
  <si>
    <t>5_STANDBY POWER SERVICE CLASSIFICATION_VR_RR_59</t>
  </si>
  <si>
    <t>5_STANDBY POWER SERVICE CLASSIFICATION_VR_RR_60</t>
  </si>
  <si>
    <t>6_LARGE USE SERVICE CLASSIFICATION_FX_RR_13</t>
  </si>
  <si>
    <t>6_LARGE USE SERVICE CLASSIFICATION_VR_RR_61</t>
  </si>
  <si>
    <t>6_LARGE USE SERVICE CLASSIFICATION_VR_RR_62</t>
  </si>
  <si>
    <t>7_STREET LIGHTING SERVICE CLASSIFICATION_FX_RR_14</t>
  </si>
  <si>
    <t>7_STREET LIGHTING SERVICE CLASSIFICATION_VR_RR_63</t>
  </si>
  <si>
    <t>7_STREET LIGHTING SERVICE CLASSIFICATION_VR_RR_64</t>
  </si>
  <si>
    <t>8_SENTINEL LIGHTING SERVICE CLASSIFICATION_FX_RR_15</t>
  </si>
  <si>
    <t>8_SENTINEL LIGHTING SERVICE CLASSIFICATION_VR_RR_65</t>
  </si>
  <si>
    <t>8_SENTINEL LIGHTING SERVICE CLASSIFICATION_VR_RR_66</t>
  </si>
  <si>
    <t>9_UNMETERED SCATTERED LOAD SERVICE CLASSIFICATION</t>
  </si>
  <si>
    <t>9_UNMETERED SCATTERED LOAD SERVICE CLASSIFICATION_MSC</t>
  </si>
  <si>
    <t>9_UNMETERED SCATTERED LOAD SERVICE CLASSIFICATION_FX_RR_16</t>
  </si>
  <si>
    <t>9_UNMETERED SCATTERED LOAD SERVICE CLASSIFICATION_DVC</t>
  </si>
  <si>
    <t>9_UNMETERED SCATTERED LOAD SERVICE CLASSIFICATION_VR_RR_67</t>
  </si>
  <si>
    <t>9_UNMETERED SCATTERED LOAD SERVICE CLASSIFICATION_VR_RR_68</t>
  </si>
  <si>
    <t>9_UNMETERED SCATTERED LOAD SERVICE CLASSIFICATION_Retail Transmission Rate - Network Service Rate</t>
  </si>
  <si>
    <t>9_UNMETERED SCATTERED LOAD SERVICE CLASSIFICATION_Retail Transmission Rate - Line and Transformation Connection Service Rate</t>
  </si>
  <si>
    <t>9_UNMETERED SCATTERED LOAD SERVICE CLASSIFICATION_WMSR</t>
  </si>
  <si>
    <t>9_UNMETERED SCATTERED LOAD SERVICE CLASSIFICATION_RRRP</t>
  </si>
  <si>
    <t>9_UNMETERED SCATTERED LOAD SERVICE CLASSIFICATION_SSS</t>
  </si>
  <si>
    <t>In the table, enter the total Class A consumption for full year Class A customers in each rate class for each year (including transition customers identified in table 3a above if they were a full year Class A customer for a particular year).</t>
  </si>
  <si>
    <t>2.1.5 TotalConsumptionData_Dist_Ret_Total_Combined_2020_v2</t>
  </si>
  <si>
    <t>Company_DetailClass</t>
  </si>
  <si>
    <t>2020</t>
  </si>
  <si>
    <t>GENERAL SERVICE 1,000 TO 4,999 KW - GUELPH HYDRO</t>
  </si>
  <si>
    <t>GENERAL SERVICE 50 TO 999 KW - GUELPH HYDRO</t>
  </si>
  <si>
    <t>GENERAL SERVICE LESS THAN 50 KW - GUELPH HYDRO</t>
  </si>
  <si>
    <t>LARGE USE - GUELPH HYDRO</t>
  </si>
  <si>
    <t>RESIDENTIAL - GUELPH HYDRO</t>
  </si>
  <si>
    <t>SENTINEL LIGHTING - GUELPH HYDRO</t>
  </si>
  <si>
    <t>STREET LIGHTING - GUELPH HYDRO</t>
  </si>
  <si>
    <t>UNMETERED SCATTERED LOAD - GUELPH HYDRO</t>
  </si>
  <si>
    <t>GENERAL SERVICE 3,000 TO 4,999 KW - VERIDIAN</t>
  </si>
  <si>
    <t>GENERAL SERVICE 50 TO 2,999 KW - VERIDIAN</t>
  </si>
  <si>
    <t>GENERAL SERVICE 50 TO 4,999 KW - WHITBY</t>
  </si>
  <si>
    <t>ELEXICON ENERGY INC._FOR THE WHITBY RATE ZONE_GENERAL SERVICE 50 TO 4,999 KW SERVICE CLASSIFICATION</t>
  </si>
  <si>
    <t>GENERAL SERVICE &lt; 50 KW - VERIDIAN</t>
  </si>
  <si>
    <t>GENERAL SERVICE &lt; 50 KW - WHITBY</t>
  </si>
  <si>
    <t>ELEXICON ENERGY INC._FOR THE WHITBY RATE ZONE_GENERAL SERVICE LESS THAN 50 KW SERVICE CLASSIFICATION</t>
  </si>
  <si>
    <t>LARGE USE - VERIDIAN</t>
  </si>
  <si>
    <t>ELEXICON ENERGY INC._NO RATE CLASS SERVICE CLASSIFICATION</t>
  </si>
  <si>
    <t>RESIDENTIAL - VERIDIAN</t>
  </si>
  <si>
    <t>RESIDENTIAL - WHITBY</t>
  </si>
  <si>
    <t>ELEXICON ENERGY INC._FOR THE WHITBY RATE ZONE_RESIDENTIAL SERVICE CLASSIFICATION</t>
  </si>
  <si>
    <t>RESIDENTIAL SEASONAL - VERIDIAN</t>
  </si>
  <si>
    <t>SENTINEL LIGHTING - VERIDIAN</t>
  </si>
  <si>
    <t>SENTINEL LIGHTING - WHITBY</t>
  </si>
  <si>
    <t>ELEXICON ENERGY INC._FOR THE WHITBY RATE ZONE_SENTINEL LIGHTING SERVICE CLASSIFICATION</t>
  </si>
  <si>
    <t>STREET LIGHTING - VERIDIAN</t>
  </si>
  <si>
    <t>STREET LIGHTING - WHITBY</t>
  </si>
  <si>
    <t>ELEXICON ENERGY INC._FOR THE WHITBY RATE ZONE_STREET LIGHTING SERVICE CLASSIFICATION</t>
  </si>
  <si>
    <t>UNMETERED SCATTERED LOAD - VERIDIAN</t>
  </si>
  <si>
    <t>UNMETERED SCATTERED LOAD - WHITBY</t>
  </si>
  <si>
    <t>ELEXICON ENERGY INC._FOR THE WHITBY RATE ZONE_UNMETERED SCATTERED LOAD SERVICE CLASSIFICATION</t>
  </si>
  <si>
    <t>EMBEDDED DISTRIBUTOR - HYDRO ONE #1</t>
  </si>
  <si>
    <t>ENERGY+ INC._EMBEDDED DISTRIBUTOR SERVICE CLASSIFICATION - HYDRO ONE #1</t>
  </si>
  <si>
    <t>EMBEDDED DISTRIBUTOR - HYDRO ONE #2</t>
  </si>
  <si>
    <t>ENERGY+ INC._EMBEDDED DISTRIBUTOR SERVICE CLASSIFICATION - HYDRO ONE #2</t>
  </si>
  <si>
    <t>EMBEDDED DISTRIBUTOR - BRANTFORD</t>
  </si>
  <si>
    <t>ENERGY+ INC._EMBEDDED DISTRIBUTOR SERVICE CLASSIFICATION - BRANTFORD</t>
  </si>
  <si>
    <t>EMBEDDED DISTRIBUTOR - HYDRO ONE CND</t>
  </si>
  <si>
    <t>ENERGY+ INC._EMBEDDED DISTRIBUTOR SERVICE CLASSIFICATION - HYDRO ONE CND</t>
  </si>
  <si>
    <t>EMBEDDED DISTRIBUTOR - WATERLOO NORTH HYDRO</t>
  </si>
  <si>
    <t>ENERGY+ INC._EMBEDDED DISTRIBUTOR SERVICE CLASSIFICATION - WATERLOO NORTH HYDRO</t>
  </si>
  <si>
    <t>EMBEDDED DISTRIBUTOR - MAIN</t>
  </si>
  <si>
    <t>ENTEGRUS POWERLINES INC._FOR ENTEGRUS-MAIN RATE ZONE_EMBEDDED DISTRIBUTOR SERVICE CLASSIFICATION</t>
  </si>
  <si>
    <t>GENERAL SERVICE 50 TO 4,999 KW - MAIN</t>
  </si>
  <si>
    <t>ENTEGRUS POWERLINES INC._FOR ENTEGRUS-MAIN RATE ZONE_GENERAL SERVICE 50 TO 4,999 KW SERVICE CLASSIFICATION</t>
  </si>
  <si>
    <t>GENERAL SERVICE LESS THAN 50 KW - MAIN</t>
  </si>
  <si>
    <t>ENTEGRUS POWERLINES INC._FOR ENTEGRUS-MAIN RATE ZONE_GENERAL SERVICE LESS THAN 50 KW SERVICE CLASSIFICATION</t>
  </si>
  <si>
    <t>LARGE USE - MAIN</t>
  </si>
  <si>
    <t>ENTEGRUS POWERLINES INC._FOR ENTEGRUS-MAIN RATE ZONE_LARGE USE SERVICE CLASSIFICATION</t>
  </si>
  <si>
    <t>ENTEGRUS POWERLINES INC._NO RATE CLASS SERVICE CLASSIFICATION</t>
  </si>
  <si>
    <t>RESIDENTIAL - MAIN</t>
  </si>
  <si>
    <t>ENTEGRUS POWERLINES INC._FOR ENTEGRUS-MAIN RATE ZONE_RESIDENTIAL SERVICE CLASSIFICATION</t>
  </si>
  <si>
    <t>SENTINEL LIGHTING - MAIN</t>
  </si>
  <si>
    <t>ENTEGRUS POWERLINES INC._FOR ENTEGRUS-MAIN RATE ZONE_SENTINEL LIGHTING SERVICE CLASSIFICATION</t>
  </si>
  <si>
    <t>STREET LIGHTING - MAIN</t>
  </si>
  <si>
    <t>ENTEGRUS POWERLINES INC._FOR ENTEGRUS-MAIN RATE ZONE_STREET LIGHTING SERVICE CLASSIFICATION</t>
  </si>
  <si>
    <t>UNMETERED SCATTERED LOAD - MAIN</t>
  </si>
  <si>
    <t>ENTEGRUS POWERLINES INC._FOR ENTEGRUS-MAIN RATE ZONE_UNMETERED SCATTERED LOAD SERVICE CLASSIFICATION</t>
  </si>
  <si>
    <t>ERTH POWER CORPORATION</t>
  </si>
  <si>
    <t>ERTH POWER CORPORATION_MAIN RATE ZONE_EMBEDDED DISTRIBUTOR SERVICE CLASSIFICATION</t>
  </si>
  <si>
    <t>GENERAL SERVICE 1,000 TO 4,999 KW - MAIN</t>
  </si>
  <si>
    <t>ERTH POWER CORPORATION_MAIN RATE ZONE_GENERAL SERVICE 1,000 TO 4,999 KW SERVICE CLASSIFICATION</t>
  </si>
  <si>
    <t>GENERAL SERVICE 50 TO 499 KW - GODERICH</t>
  </si>
  <si>
    <t>ERTH POWER CORPORATION_GODERICH RATE ZONE_GENERAL SERVICE 50 TO 499 KW SERVICE CLASSIFICATION</t>
  </si>
  <si>
    <t>GENERAL SERVICE 50 TO 999 KW - MAIN</t>
  </si>
  <si>
    <t>ERTH POWER CORPORATION_MAIN RATE ZONE_GENERAL SERVICE 50 TO 999 KW SERVICE CLASSIFICATION</t>
  </si>
  <si>
    <t>GENERAL SERVICE 500 TO 4,999 KW - GODERICH</t>
  </si>
  <si>
    <t>ERTH POWER CORPORATION_GODERICH RATE ZONE_GENERAL SERVICE 500 TO 4,999 KW SERVICE CLASSIFICATION</t>
  </si>
  <si>
    <t>GENERAL SERVICE LESS THAN 50 KW - GODERICH</t>
  </si>
  <si>
    <t>ERTH POWER CORPORATION_GODERICH RATE ZONE_GENERAL SERVICE LESS THAN 50 KW SERVICE CLASSIFICATION</t>
  </si>
  <si>
    <t>ERTH POWER CORPORATION_MAIN RATE ZONE_GENERAL SERVICE LESS THAN 50 KW SERVICE CLASSIFICATION</t>
  </si>
  <si>
    <t>LARGE USE - GODERICH</t>
  </si>
  <si>
    <t>ERTH POWER CORPORATION_GODERICH RATE ZONE_LARGE USE SERVICE CLASSIFICATION</t>
  </si>
  <si>
    <t>LARGE USE- MAIN</t>
  </si>
  <si>
    <t>ERTH POWER CORPORATION_MAIN RATE ZONE_LARGE USE SERVICE CLASSIFICATION</t>
  </si>
  <si>
    <t>ERTH POWER CORPORATION_NO RATE CLASS SERVICE CLASSIFICATION</t>
  </si>
  <si>
    <t>RESIDENTIAL - GODERICH</t>
  </si>
  <si>
    <t>ERTH POWER CORPORATION_GODERICH RATE ZONE_RESIDENTIAL SERVICE CLASSIFICATION</t>
  </si>
  <si>
    <t>ERTH POWER CORPORATION_MAIN RATE ZONE_RESIDENTIAL SERVICE CLASSIFICATION</t>
  </si>
  <si>
    <t>SENTINEL LIGHTING - GODERICH</t>
  </si>
  <si>
    <t>ERTH POWER CORPORATION_GODERICH RATE ZONE_SENTINEL LIGHTING SERVICE CLASSIFICATION</t>
  </si>
  <si>
    <t>ERTH POWER CORPORATION_MAIN RATE ZONE_SENTINEL LIGHTING ERVICE CLASSIFICATION</t>
  </si>
  <si>
    <t>STREET LIGHTING - GODERICH</t>
  </si>
  <si>
    <t>ERTH POWER CORPORATION_GODERICH RATE ZONE_STREET LIGHTING SERVICE CLASSIFICATION</t>
  </si>
  <si>
    <t>ERTH POWER CORPORATION_MAIN RATE ZONE_STREET LIGHTING SERVICE CLASSIFICATION</t>
  </si>
  <si>
    <t>UNMETERED SCATTERED LOAD - GODERICH</t>
  </si>
  <si>
    <t>ERTH POWER CORPORATION_GODERICH RATE ZONE_UNMETERED SCATTERED LOAD SERVICE CLASSIFICATION</t>
  </si>
  <si>
    <t>ERTH POWER CORPORATION_MAIN RATE ZONE_UNMETERED SCATTERED LOAD SERVICE CLASSIFICATION</t>
  </si>
  <si>
    <t>INTERMEDIATE USER</t>
  </si>
  <si>
    <t>HEARST POWER DISTRIBUTION CO. LTD._INTERMEDIATE USER SERVICE CLASSIFICATION</t>
  </si>
  <si>
    <t>HYDRO ONE NETWORKS INC._SUB TRANSMISSION – EMBEDDED DISTRIBUTOR - HYDRO ONE NETWORKS SERVICE CLASSIFICATION</t>
  </si>
  <si>
    <t>HYDRO ONE NETWORKS INC._GENERAL SERVICE DEMAND BILLED - GSD SERVICE CLASSIFICATION</t>
  </si>
  <si>
    <t>GENERAL SERVICE GREATER THAN 1,000 KW - WOODSTOCK HYDRO</t>
  </si>
  <si>
    <t>HYDRO ONE NETWORKS INC._URBAN GENERAL SERVICE DEMAND BILLED - UGD SERVICE CLASSIFICATION</t>
  </si>
  <si>
    <t>HYDRO ONE NETWORKS INC._GENERAL SERVICE ENERGY BILLED - GSE SERVICE CLASSIFICATION</t>
  </si>
  <si>
    <t>HYDRO ONE NETWORKS INC._URBAN GENERAL SERVICE ENERGY BILLED - UGE SERVICE CLASSIFICATION</t>
  </si>
  <si>
    <t>HYDRO ONE NETWORKS INC._YEAR-ROUND LOW DENSITY - R2** SERVICE CLASSIFICATION</t>
  </si>
  <si>
    <t>HYDRO ONE NETWORKS INC._YEAR-ROUND MEDIUM DENSITY - R1** SERVICE CLASSIFICATION</t>
  </si>
  <si>
    <t>HYDRO ONE NETWORKS INC._SEASONAL SERVICE CLASSIFICATION</t>
  </si>
  <si>
    <t>HYDRO ONE NETWORKS INC._YEAR-ROUND URBAN DENSITY - UR SERVICE CLASSIFICATION</t>
  </si>
  <si>
    <t>HYDRO ONE NETWORKS INC._SUB TRANSMISSION – END USE CUSTOMER - HYDRO ONE NETWORKS SERVICE CLASSIFICATION</t>
  </si>
  <si>
    <t>NEWMARKET-TAY POWER DISTRIBUTION LTD._NO RATE CLASS SERVICE CLASSIFICATION</t>
  </si>
  <si>
    <t>NIAGARA-ON-THE-LAKE HYDRO INC._LARGE USE SERVICE CLASSIFICATION</t>
  </si>
  <si>
    <t>LARGER USER</t>
  </si>
  <si>
    <t>SYNERGY NORTH CORPORATION</t>
  </si>
  <si>
    <t>GENERAL SERVICE 1,000 OR GREATER - THUNDER BAY</t>
  </si>
  <si>
    <t>SYNERGY NORTH CORPORATION_THUNDER BAY RATE ZONE_GENERAL SERVICE 1,000 OR GREATER SERVICE CLASSIFICATION</t>
  </si>
  <si>
    <t>GENERAL SERVICE 50 TO 999 KW - THUNDER BAY</t>
  </si>
  <si>
    <t>GENERAL SERVICE EQUAL TO OR GREATER THAN 50 KW - KENORA</t>
  </si>
  <si>
    <t>SYNERGY NORTH CORPORATION_KENORA RATE ZONE_GENERAL SERVICE EQUAL TO OR GREATER THAN 50 KW SERVICE CLASSIFICATION</t>
  </si>
  <si>
    <t>GENERAL SERVICE &lt; 50 KW - KENORA</t>
  </si>
  <si>
    <t>GENERAL SERVICE LESS THAN 50 KW - THUNDER BAY</t>
  </si>
  <si>
    <t>SYNERGY NORTH CORPORATION_NO RATE CLASS SERVICE CLASSIFICATION</t>
  </si>
  <si>
    <t>RESIDENTIAL - KENORA</t>
  </si>
  <si>
    <t>RESIDENTIAL - THUNDER BAY</t>
  </si>
  <si>
    <t>SENTINEL LIGHTING - THUNDER BAY</t>
  </si>
  <si>
    <t>STREET LIGHTING - THUNDER BAY</t>
  </si>
  <si>
    <t>SYNERGY NORTH CORPORATION_THUNDER BAY RATE ZONE_STREET LIGHTING ERVICE CLASSIFICATION</t>
  </si>
  <si>
    <t>STREET LIGHTING CONNECTIONS - KENORA</t>
  </si>
  <si>
    <t>SYNERGY NORTH CORPORATION_KENORA RATE ZONE_STREET LIGHTING CONNECTIONS SERVICE CLASSIFICATION</t>
  </si>
  <si>
    <t>UNMETERED SCATTERED LOAD - THUNDER BAY</t>
  </si>
  <si>
    <t>UNMETERED SCATTERED LOAD CONNECTIONS - KENORA</t>
  </si>
  <si>
    <t>SYNERGY NORTH CORPORATION_KENORA RATE ZONE_UNMETERED SCATTERED LOAD CONNECTIONS SERVICE CLASSIFICATION</t>
  </si>
  <si>
    <t>TORONTO HYDRO-ELECTRIC SYSTEM LIMITED_COMPETITIVE SECTOR MULTI-UNIT SERVICE CLASSIFICATION</t>
  </si>
  <si>
    <r>
      <rPr>
        <sz val="8"/>
        <color theme="1"/>
        <rFont val="Calibri"/>
        <family val="2"/>
      </rPr>
      <t xml:space="preserve">Filing_Year is equal to / is in </t>
    </r>
    <r>
      <rPr>
        <b/>
        <sz val="8"/>
        <color theme="1"/>
        <rFont val="Calibri"/>
        <family val="2"/>
      </rPr>
      <t>2020</t>
    </r>
  </si>
  <si>
    <t>212_Total_Connection_RollUp_filedMarch2020</t>
  </si>
  <si>
    <r>
      <rPr>
        <sz val="8"/>
        <color theme="1"/>
        <rFont val="Calibri"/>
        <family val="2"/>
      </rPr>
      <t xml:space="preserve">CAST (Filing_Year_txt AS INTEGER ) - 1 is equal to / is in </t>
    </r>
    <r>
      <rPr>
        <b/>
        <sz val="8"/>
        <color theme="1"/>
        <rFont val="Calibri"/>
        <family val="2"/>
      </rPr>
      <t>2019</t>
    </r>
  </si>
  <si>
    <r>
      <rPr>
        <sz val="8"/>
        <color theme="1"/>
        <rFont val="Calibri"/>
        <family val="2"/>
      </rPr>
      <t xml:space="preserve">Rate_Class is not equal to / is not in </t>
    </r>
    <r>
      <rPr>
        <b/>
        <sz val="8"/>
        <color theme="1"/>
        <rFont val="Calibri"/>
        <family val="2"/>
      </rPr>
      <t>Total (Auto-Calculated)</t>
    </r>
  </si>
  <si>
    <r>
      <rPr>
        <sz val="8"/>
        <color theme="1"/>
        <rFont val="Calibri"/>
        <family val="2"/>
      </rPr>
      <t xml:space="preserve">Due is equal to / is in </t>
    </r>
    <r>
      <rPr>
        <b/>
        <sz val="8"/>
        <color theme="1"/>
        <rFont val="Calibri"/>
        <family val="2"/>
      </rPr>
      <t>03/02/2020</t>
    </r>
  </si>
  <si>
    <t>2.1.7 for 2020</t>
  </si>
  <si>
    <t>Disposition and Recovery/Refund of Regulatory Balances (2019)</t>
  </si>
  <si>
    <t>Alectra Utilities Corporation1595_(2019)</t>
  </si>
  <si>
    <t>Algoma Power Inc.1595_(2019)</t>
  </si>
  <si>
    <t>Bluewater Power Distribution Corporation1595_(2019)</t>
  </si>
  <si>
    <t>Brantford Power Inc.1595_(2019)</t>
  </si>
  <si>
    <t>Burlington Hydro Inc.1595_(2019)</t>
  </si>
  <si>
    <t>Canadian Niagara Power Inc.1595_(2019)</t>
  </si>
  <si>
    <t>Centre Wellington Hydro Ltd.1595_(2019)</t>
  </si>
  <si>
    <t>Chapleau Public Utilities Corporation1595_(2019)</t>
  </si>
  <si>
    <t>Cooperative Hydro Embrun Inc.1595_(2019)</t>
  </si>
  <si>
    <t>E.L.K. Energy Inc.1595_(2019)</t>
  </si>
  <si>
    <t>Entegrus Powerlines Inc.1595_(2019)</t>
  </si>
  <si>
    <t>ENWIN Utilities Ltd.1550</t>
  </si>
  <si>
    <t>ENWIN Utilities Ltd.1551</t>
  </si>
  <si>
    <t>ENWIN Utilities Ltd.1568</t>
  </si>
  <si>
    <t>ENWIN Utilities Ltd.1580</t>
  </si>
  <si>
    <t>ENWIN Utilities Ltd.1584</t>
  </si>
  <si>
    <t>ENWIN Utilities Ltd.1586</t>
  </si>
  <si>
    <t>ENWIN Utilities Ltd.1588</t>
  </si>
  <si>
    <t>ENWIN Utilities Ltd.1589</t>
  </si>
  <si>
    <t>ENWIN Utilities Ltd.1595_(2008)</t>
  </si>
  <si>
    <t>ENWIN Utilities Ltd.1595_(2009)</t>
  </si>
  <si>
    <t>ENWIN Utilities Ltd.1595_(2010)</t>
  </si>
  <si>
    <t>ENWIN Utilities Ltd.1595_(2011)</t>
  </si>
  <si>
    <t>ENWIN Utilities Ltd.1595_(2012)</t>
  </si>
  <si>
    <t>ENWIN Utilities Ltd.1595_(2013)</t>
  </si>
  <si>
    <t>ENWIN Utilities Ltd.1595_(2014)</t>
  </si>
  <si>
    <t>ENWIN Utilities Ltd.1595_(2015)</t>
  </si>
  <si>
    <t>ENWIN Utilities Ltd.1595_(2016)</t>
  </si>
  <si>
    <t>ENWIN Utilities Ltd.1595_(2017)</t>
  </si>
  <si>
    <t>ENWIN Utilities Ltd.1595_(2018)</t>
  </si>
  <si>
    <t>ENWIN Utilities Ltd.1595_(2019)</t>
  </si>
  <si>
    <t>ENWIN Utilities Ltd.1595_ControlAccount</t>
  </si>
  <si>
    <t>EPCOR Electricity Distribution Ontario Inc.1595_(2019)</t>
  </si>
  <si>
    <t>ERTH Power Corporation1550</t>
  </si>
  <si>
    <t>ERTH Power Corporation1551</t>
  </si>
  <si>
    <t>ERTH Power Corporation1568</t>
  </si>
  <si>
    <t>ERTH Power Corporation1580</t>
  </si>
  <si>
    <t>ERTH Power Corporation1584</t>
  </si>
  <si>
    <t>ERTH Power Corporation1586</t>
  </si>
  <si>
    <t>ERTH Power Corporation1588</t>
  </si>
  <si>
    <t>ERTH Power Corporation1589</t>
  </si>
  <si>
    <t>ERTH Power Corporation1595_(2008)</t>
  </si>
  <si>
    <t>ERTH Power Corporation1595_(2009)</t>
  </si>
  <si>
    <t>ERTH Power Corporation1595_(2010)</t>
  </si>
  <si>
    <t>ERTH Power Corporation1595_(2011)</t>
  </si>
  <si>
    <t>ERTH Power Corporation1595_(2012)</t>
  </si>
  <si>
    <t>ERTH Power Corporation1595_(2013)</t>
  </si>
  <si>
    <t>ERTH Power Corporation1595_(2014)</t>
  </si>
  <si>
    <t>ERTH Power Corporation1595_(2015)</t>
  </si>
  <si>
    <t>ERTH Power Corporation1595_(2016)</t>
  </si>
  <si>
    <t>ERTH Power Corporation1595_(2017)</t>
  </si>
  <si>
    <t>ERTH Power Corporation1595_(2018)</t>
  </si>
  <si>
    <t>ERTH Power Corporation1595_(2019)</t>
  </si>
  <si>
    <t>ERTH Power Corporation1595_ControlAccount</t>
  </si>
  <si>
    <t>Espanola Regional Hydro Distribution Corporation1595_(2019)</t>
  </si>
  <si>
    <t>Essex Powerlines Corporation1595_(2019)</t>
  </si>
  <si>
    <t>Festival Hydro Inc.1595_(2019)</t>
  </si>
  <si>
    <t>Fort Frances Power Corporation1595_(2019)</t>
  </si>
  <si>
    <t>Greater Sudbury Hydro Inc.1595_(2019)</t>
  </si>
  <si>
    <t>Grimsby Power Incorporated1595_(2019)</t>
  </si>
  <si>
    <t>Halton Hills Hydro Inc.1595_(2019)</t>
  </si>
  <si>
    <t>Hearst Power Distribution Co. Ltd.1595_(2019)</t>
  </si>
  <si>
    <t>Hydro 2000 Inc.1595_(2019)</t>
  </si>
  <si>
    <t>Hydro Hawkesbury Inc.1595_(2019)</t>
  </si>
  <si>
    <t>Hydro One Networks Inc.1595_(2019)</t>
  </si>
  <si>
    <t>Hydro One Remote Communities Inc.1595_(2019)</t>
  </si>
  <si>
    <t>Hydro Ottawa Limited1595_(2019)</t>
  </si>
  <si>
    <t>Innpower Corporation1595_(2019)</t>
  </si>
  <si>
    <t>Kingston Hydro Corporation1595_(2019)</t>
  </si>
  <si>
    <t>Kitchener-Wilmot Hydro Inc.1595_(2019)</t>
  </si>
  <si>
    <t>Lakefront Utilities Inc.1595_(2019)</t>
  </si>
  <si>
    <t>Lakeland Power Distribution Ltd.1595_(2019)</t>
  </si>
  <si>
    <t>London Hydro Inc.1595_(2019)</t>
  </si>
  <si>
    <t>Milton Hydro Distribution Inc.1595_(2019)</t>
  </si>
  <si>
    <t>Newmarket-Tay Power Distribution Ltd.1595_(2019)</t>
  </si>
  <si>
    <t>Niagara Peninsula Energy Inc.1595_(2019)</t>
  </si>
  <si>
    <t>Niagara-on-the-Lake Hydro Inc.1595_(2019)</t>
  </si>
  <si>
    <t>North Bay Hydro Distribution Limited1595_(2019)</t>
  </si>
  <si>
    <t>Northern Ontario Wires Inc.1595_(2019)</t>
  </si>
  <si>
    <t>Oakville Hydro Electricity Distribution Inc.1595_(2019)</t>
  </si>
  <si>
    <t>Orangeville Hydro Limited1595_(2019)</t>
  </si>
  <si>
    <t>Orillia Power Distribution Corporation1595_(2019)</t>
  </si>
  <si>
    <t>Oshawa PUC Networks Inc.1595_(2019)</t>
  </si>
  <si>
    <t>Ottawa River Power Corporation1595_(2019)</t>
  </si>
  <si>
    <t>Peterborough Distribution Incorporated1595_(2019)</t>
  </si>
  <si>
    <t>PUC Distribution Inc.1595_(2019)</t>
  </si>
  <si>
    <t>Renfrew Hydro Inc.1595_(2019)</t>
  </si>
  <si>
    <t>Rideau St. Lawrence Distribution Inc.1595_(2019)</t>
  </si>
  <si>
    <t>Sioux Lookout Hydro Inc.1595_(2019)</t>
  </si>
  <si>
    <t>Synergy North Corporation1550</t>
  </si>
  <si>
    <t>Synergy North Corporation1551</t>
  </si>
  <si>
    <t>Synergy North Corporation1568</t>
  </si>
  <si>
    <t>Synergy North Corporation1580</t>
  </si>
  <si>
    <t>Synergy North Corporation1584</t>
  </si>
  <si>
    <t>Synergy North Corporation1586</t>
  </si>
  <si>
    <t>Synergy North Corporation1588</t>
  </si>
  <si>
    <t>Synergy North Corporation1589</t>
  </si>
  <si>
    <t>Synergy North Corporation1595_(2008)</t>
  </si>
  <si>
    <t>Synergy North Corporation1595_(2009)</t>
  </si>
  <si>
    <t>Synergy North Corporation1595_(2010)</t>
  </si>
  <si>
    <t>Synergy North Corporation1595_(2011)</t>
  </si>
  <si>
    <t>Synergy North Corporation1595_(2012)</t>
  </si>
  <si>
    <t>Synergy North Corporation1595_(2013)</t>
  </si>
  <si>
    <t>Synergy North Corporation1595_(2014)</t>
  </si>
  <si>
    <t>Synergy North Corporation1595_(2015)</t>
  </si>
  <si>
    <t>Synergy North Corporation1595_(2016)</t>
  </si>
  <si>
    <t>Synergy North Corporation1595_(2017)</t>
  </si>
  <si>
    <t>Synergy North Corporation1595_(2018)</t>
  </si>
  <si>
    <t>Synergy North Corporation1595_(2019)</t>
  </si>
  <si>
    <t>Synergy North Corporation1595_ControlAccount</t>
  </si>
  <si>
    <t>Tillsonburg Hydro Inc.1595_(2019)</t>
  </si>
  <si>
    <t>Toronto Hydro-Electric System Limited1595_(2019)</t>
  </si>
  <si>
    <t>Wasaga Distribution Inc.1595_(2019)</t>
  </si>
  <si>
    <t>Waterloo North Hydro Inc.1595_(2019)</t>
  </si>
  <si>
    <t>Welland Hydro-Electric System Corp.1595_(2019)</t>
  </si>
  <si>
    <t>Wellington North Power Inc.1595_(2019)</t>
  </si>
  <si>
    <t>Westario Power Inc.1595_(2019)</t>
  </si>
  <si>
    <r>
      <rPr>
        <sz val="8"/>
        <color theme="1"/>
        <rFont val="Calibri"/>
        <family val="2"/>
      </rPr>
      <t xml:space="preserve">Due Year is equal to / is in </t>
    </r>
    <r>
      <rPr>
        <b/>
        <sz val="8"/>
        <color theme="1"/>
        <rFont val="Calibri"/>
        <family val="2"/>
      </rPr>
      <t>2020</t>
    </r>
  </si>
  <si>
    <t>ENERGY+ INC._LARGE USE SERVICE CLASSIFICATION</t>
  </si>
  <si>
    <t>Energy+ Inc.1550</t>
  </si>
  <si>
    <t>Energy+ Inc.1551</t>
  </si>
  <si>
    <t>Energy+ Inc.1568</t>
  </si>
  <si>
    <t>Energy+ Inc.1580</t>
  </si>
  <si>
    <t>Energy+ Inc.1584</t>
  </si>
  <si>
    <t>Energy+ Inc.1586</t>
  </si>
  <si>
    <t>Energy+ Inc.1588</t>
  </si>
  <si>
    <t>Energy+ Inc.1589</t>
  </si>
  <si>
    <t>Energy+ Inc.1595_(2008)</t>
  </si>
  <si>
    <t>Energy+ Inc.1595_(2009)</t>
  </si>
  <si>
    <t>Energy+ Inc.1595_(2010)</t>
  </si>
  <si>
    <t>Energy+ Inc.1595_(2011)</t>
  </si>
  <si>
    <t>Energy+ Inc.1595_(2012)</t>
  </si>
  <si>
    <t>Energy+ Inc.1595_(2013)</t>
  </si>
  <si>
    <t>Energy+ Inc.1595_(2014)</t>
  </si>
  <si>
    <t>Energy+ Inc.1595_(2015)</t>
  </si>
  <si>
    <t>Energy+ Inc.1595_(2016)</t>
  </si>
  <si>
    <t>Energy+ Inc.1595_(2017)</t>
  </si>
  <si>
    <t>Energy+ Inc.1595_(2018)</t>
  </si>
  <si>
    <t>Energy+ Inc.1595_(2019)</t>
  </si>
  <si>
    <t>Energy+ Inc.1595_ControlAccount</t>
  </si>
  <si>
    <t>Questions are revised on tab 1. The continuity schedule in tab 3 will open starting from the year balances were last approved for disposition, unless the last approved dipsosition was on an interim basis and there are changes to those balances. If that is the case, tab 3 will open from the year of last approved disposition on a final basis. A distributor must also provide an explanation for the change in the previously approved balance.</t>
  </si>
  <si>
    <t xml:space="preserve">In the continuity schedule on tab 3, the option on whether Accounts 1588 and 1589 is requested for disposition has been removed. It is expected that Accounts 1588 and 1589 are to be disposed unless there is a reason it should not be. If that is the case, contact the Case Manager. </t>
  </si>
  <si>
    <t>Footnote #4 in tab 3 has been revised to clarify that the amount in the "Transactions" column in the DVA Continuity Schedule are to equal the transactions in the General Ledger (excluding any amounts approved for disposition, which is shown separately in the "OEB Approved Disposition" columns). Any true-ups/adjustments/reversals needed to derive the claim amount must be shown separately in the "Principal Adjustments" columns of this DVA Continuity Schedule.</t>
  </si>
  <si>
    <t>The continuity schedule will open starting from the year balances were last approved for disposition, unless the last approved dipsosition was on an interim basis and there are changes to those balances. If that is the case, the continuity schedule will open from the year of last approved disposition on a final basis. A distributor must also provide an explanation for the change in the previously approved balance.</t>
  </si>
  <si>
    <r>
      <t xml:space="preserve">a) </t>
    </r>
    <r>
      <rPr>
        <u/>
        <sz val="11"/>
        <color theme="1"/>
        <rFont val="Calibri"/>
        <family val="2"/>
        <scheme val="minor"/>
      </rPr>
      <t>For all Group 1 accounts, except Account 1595:</t>
    </r>
    <r>
      <rPr>
        <sz val="11"/>
        <color theme="1"/>
        <rFont val="Calibri"/>
        <family val="2"/>
        <scheme val="minor"/>
      </rPr>
      <t xml:space="preserve">
The continuity schedule will open from the year the GL balance was last disposed.  Start inputting the approved ending balances in the Adjustments column of that year.
</t>
    </r>
    <r>
      <rPr>
        <i/>
        <sz val="11"/>
        <color theme="1"/>
        <rFont val="Calibri"/>
        <family val="2"/>
        <scheme val="minor"/>
      </rPr>
      <t>For example, if in the 2020 rate application, DVA balances as at December 13, 2018 were approved for disposition, the continuity schedule will commence from 2018.  Start by inputting the approved closing 2018 balances in the Adjustments column under 2018.</t>
    </r>
  </si>
  <si>
    <r>
      <t>b)</t>
    </r>
    <r>
      <rPr>
        <u/>
        <sz val="11"/>
        <color theme="1"/>
        <rFont val="Calibri"/>
        <family val="2"/>
        <scheme val="minor"/>
      </rPr>
      <t xml:space="preserve"> For all Account 1595 sub-accounts: </t>
    </r>
    <r>
      <rPr>
        <sz val="11"/>
        <color theme="1"/>
        <rFont val="Calibri"/>
        <family val="2"/>
        <scheme val="minor"/>
      </rPr>
      <t xml:space="preserve">
Complete the DVA continuity schedule for each Account 1595 vintage year that has a GL balance as at December 31, 2019, regardless of whether the account is being requested for disposition in the current application. 
The continuity schedule will open in the year of the earliest Account 1595 vintage year that has a balance. For each Account 1595 sub-account, start inputting data from the year the sub-account started to accumulate a balance (i.e. the vintage year). 
</t>
    </r>
    <r>
      <rPr>
        <i/>
        <sz val="11"/>
        <color theme="1"/>
        <rFont val="Calibri"/>
        <family val="2"/>
        <scheme val="minor"/>
      </rPr>
      <t>For example, Account 1595 (2015) would accumulate a balance starting in 2015, when the relevant balances approved for disposition were first transferred into Account 1595 (2015). Input the amount approved for disposition in the OEB Approved Disposition column.
Note that the DVA continuity schedule can currently start from 2014. If a utility has residual balance in an Account 1595 with a vintage year prior to 2014, include residual balances for years up to 2014 in the row for Account 1595 (2014 and pre-2014) and provide a separate schedule with amounts broken down by vintage year.</t>
    </r>
  </si>
  <si>
    <t>ELEXICON ENERGY INC._VERIDIAN RATE ZONE_GENERAL SERVICE LESS THAN 50 KW SERVICE CLASSIFICATION</t>
  </si>
  <si>
    <r>
      <t>2.1.7 RRR</t>
    </r>
    <r>
      <rPr>
        <vertAlign val="superscript"/>
        <sz val="22"/>
        <rFont val="Book Antiqua"/>
        <family val="1"/>
      </rPr>
      <t>5</t>
    </r>
  </si>
  <si>
    <t>a) If the accounts were last approved on a final basis, select the year that the balance was last approved on a final basis.</t>
  </si>
  <si>
    <t>Enter the number of transition customer you had during the period the Account 1589 GA or Account 1580 CBR B balance accumulated (i.e. from the year after the balance was last disposed per #1a/1b above to the current year requested for disposition).</t>
  </si>
  <si>
    <r>
      <t xml:space="preserve">The bill comparisons below must be provided for typical customers and consumption levels. Bill impacts must be provided for residential customers consuming 750 kWh per month and general service customers consuming 2,000 kWh per month and having a monthly demand of less than 50 kW. Include bill comparisons for Non-RPP (retailer) as well. </t>
    </r>
    <r>
      <rPr>
        <b/>
        <sz val="9.3000000000000007"/>
        <rFont val="Arial"/>
        <family val="2"/>
      </rPr>
      <t>To assess the combined effects of the shift to fixed rates and other bill impacts associated with changes in the cost of distribution service, applicants are to include a total bill impact for a residential customer at the distributor’s 10th consumption percentile (In other words, 10% of a distributor’s residential customers consume at or less than this level of consumption on a monthly basis). Refer to section 3.2.3 of the Chapter 3 Filing Requirements For Electricity Distribution Rate Applications.</t>
    </r>
    <r>
      <rPr>
        <sz val="9.3000000000000007"/>
        <rFont val="Arial"/>
        <family val="2"/>
      </rPr>
      <t xml:space="preserve">
For certain classes where one or more customers have unique consumption and demand patterns and which may be significantly impacted by the proposed rate changes, the distributor must show a typical comparison, and provide an explanation.
Note:  
1. For those classes that are not eligible for the RPP price, the weighted average price including Class B GA through end of May 2020 of $0.1368/kWh (IESO's Monthly Market Report for May 2020) has been used to represent the cost of power. For those classes on a retailer contract, applicants should enter the contract price (plus GA) for a more accurate estimate. Changes to the cost of power can be made directly on the bill impact table for the specific class.
2. Please enter the applicable billing determinant (e.g. number of connections or devices) to be applied to the monthly service charge for unmetered rate classes in column N. If the monthly service charge is applied on a per customer basis, enter the number “1”. Distributors should provide the number of connections or devices reflective of a typical customer in each class.</t>
    </r>
  </si>
  <si>
    <t>Time run: 7/2/2020 10:00:42 AM</t>
  </si>
  <si>
    <t>RESIDENTIAL - SEASONAL CUSTOMERS SERVICE CLASSIFICATION</t>
  </si>
  <si>
    <t>ALGOMA POWER INC._RESIDENTIAL - SEASONAL CUSTOMERS SERVICE CLASSIFICATION SERVICE CLASSIFICATION</t>
  </si>
  <si>
    <t>HEARST POWER DISTRIBUTION CO. LTD.</t>
  </si>
  <si>
    <t>HEARST POWER DISTRIBUTION CO. LTD._NO RATE CLASS SERVICE CLASSIFICATION</t>
  </si>
  <si>
    <t>NEWMARKET-TAY POWER DISTRIBUTION LTD.</t>
  </si>
  <si>
    <t>Time run: 7/2/2020 10:01:54 AM</t>
  </si>
  <si>
    <t>Atikokan Hydro Inc.1550</t>
  </si>
  <si>
    <t>Atikokan Hydro Inc.1551</t>
  </si>
  <si>
    <t>Atikokan Hydro Inc.1568</t>
  </si>
  <si>
    <t>Atikokan Hydro Inc.1580</t>
  </si>
  <si>
    <t>Atikokan Hydro Inc.1584</t>
  </si>
  <si>
    <t>Atikokan Hydro Inc.1586</t>
  </si>
  <si>
    <t>Atikokan Hydro Inc.1588</t>
  </si>
  <si>
    <t>Atikokan Hydro Inc.1589</t>
  </si>
  <si>
    <t>Atikokan Hydro Inc.1595_(2008)</t>
  </si>
  <si>
    <t>Atikokan Hydro Inc.1595_(2009)</t>
  </si>
  <si>
    <t>Atikokan Hydro Inc.1595_(2010)</t>
  </si>
  <si>
    <t>Atikokan Hydro Inc.1595_(2011)</t>
  </si>
  <si>
    <t>Atikokan Hydro Inc.1595_(2012)</t>
  </si>
  <si>
    <t>Atikokan Hydro Inc.1595_(2013)</t>
  </si>
  <si>
    <t>Atikokan Hydro Inc.1595_(2014)</t>
  </si>
  <si>
    <t>Atikokan Hydro Inc.1595_(2015)</t>
  </si>
  <si>
    <t>Atikokan Hydro Inc.1595_(2016)</t>
  </si>
  <si>
    <t>Atikokan Hydro Inc.1595_(2017)</t>
  </si>
  <si>
    <t>Atikokan Hydro Inc.1595_(2018)</t>
  </si>
  <si>
    <t>Atikokan Hydro Inc.1595_(2019)</t>
  </si>
  <si>
    <t>Atikokan Hydro Inc.1595_ControlAccount</t>
  </si>
  <si>
    <t>Elexicon Energy Inc.1550</t>
  </si>
  <si>
    <t>Elexicon Energy Inc.1551</t>
  </si>
  <si>
    <t>Elexicon Energy Inc.1568</t>
  </si>
  <si>
    <t>Elexicon Energy Inc.1580</t>
  </si>
  <si>
    <t>Elexicon Energy Inc.1584</t>
  </si>
  <si>
    <t>Elexicon Energy Inc.1586</t>
  </si>
  <si>
    <t>Elexicon Energy Inc.1588</t>
  </si>
  <si>
    <t>Elexicon Energy Inc.1589</t>
  </si>
  <si>
    <t>Elexicon Energy Inc.1595_(2008)</t>
  </si>
  <si>
    <t>Elexicon Energy Inc.1595_(2009)</t>
  </si>
  <si>
    <t>Elexicon Energy Inc.1595_(2010)</t>
  </si>
  <si>
    <t>Elexicon Energy Inc.1595_(2011)</t>
  </si>
  <si>
    <t>Elexicon Energy Inc.1595_(2012)</t>
  </si>
  <si>
    <t>Elexicon Energy Inc.1595_(2013)</t>
  </si>
  <si>
    <t>Elexicon Energy Inc.1595_(2014)</t>
  </si>
  <si>
    <t>Elexicon Energy Inc.1595_(2015)</t>
  </si>
  <si>
    <t>Elexicon Energy Inc.1595_(2016)</t>
  </si>
  <si>
    <t>Elexicon Energy Inc.1595_(2017)</t>
  </si>
  <si>
    <t>Elexicon Energy Inc.1595_(2018)</t>
  </si>
  <si>
    <t>Elexicon Energy Inc.1595_(2019)</t>
  </si>
  <si>
    <t>Elexicon Energy Inc.1595_ControlAccount</t>
  </si>
  <si>
    <t>Time run: 7/2/2020 9:58:20 AM</t>
  </si>
  <si>
    <t>ALECTRA UTILITIES CORPORATION_HORIZON UTILITIES RATE ZONE_GENERAL SERVICE 50 TO 4,999 KW SERVICE CLASSIFICATION</t>
  </si>
  <si>
    <t>ALECTRA UTILITIES CORPORATION_HORIZON UTILITIES RATE ZONE_GENERAL SERVICE LESS THAN 50 KW SERVICE CLASSIFICATION</t>
  </si>
  <si>
    <t>ALECTRA UTILITIES CORPORATION_HORIZON UTILITIES RATE ZONE_LARGE USE SERVICE CLASSIFICATION</t>
  </si>
  <si>
    <t>ALECTRA UTILITIES CORPORATION_HORIZON UTILITIES RATE ZONE_LARGE USE WITH DEDICATED ASSETS SERVICE CLASSIFICATION</t>
  </si>
  <si>
    <t>ALECTRA UTILITIES CORPORATION_HORIZON UTILITIES RATE ZONE_RESIDENTIAL SERVICE CLASSIFICATION</t>
  </si>
  <si>
    <t>ALECTRA UTILITIES CORPORATION_HORIZON UTILITIES RATE ZONE_SENTINEL LIGHTING SERVICE CLASSIFICATION</t>
  </si>
  <si>
    <t>ALECTRA UTILITIES CORPORATION_HORIZON UTILITIES RATE ZONE_STREET LIGHTING SERVICE CLASSIFICATION</t>
  </si>
  <si>
    <t>ALECTRA UTILITIES CORPORATION_HORIZON UTILITIES RATE ZONE_UNMETERED SCATTERED LOAD SERVICE CLASSIFICATION</t>
  </si>
  <si>
    <t>HYDRO ONE NETWORKS INC._FORMER WOODSTOCK HYDRO SERVICES INC. SERVICE AREA_GENERAL SERVICE 50 TO 999 KW SERVICE CLASSIFICATION</t>
  </si>
  <si>
    <t>HYDRO ONE NETWORKS INC._FORMER WOODSTOCK HYDRO SERVICES INC. SERVICE AREA_GENERAL SERVICE GREATER THAN 1,000 KW SERVICE CLASSIFICATION</t>
  </si>
  <si>
    <t>HYDRO ONE NETWORKS INC._FORMER WOODSTOCK HYDRO SERVICES INC. SERVICE AREA_GENERAL SERVICE LESS THAN 50 KW SERVICE CLASSIFICATION</t>
  </si>
  <si>
    <t>HYDRO ONE NETWORKS INC._FORMER WOODSTOCK HYDRO SERVICES INC. SERVICE AREA_RESIDENTIAL SERVICE CLASSIFICATION</t>
  </si>
  <si>
    <t>HYDRO ONE NETWORKS INC._FORMER WOODSTOCK HYDRO SERVICES INC. SERVICE AREA_STREET LIGHTING SERVICE CLASSIFICATION</t>
  </si>
  <si>
    <t>HYDRO ONE NETWORKS INC._FORMER WOODSTOCK HYDRO SERVICES INC. SERVICE AREA_UNMETERED SCATTERED LOAD SERVICE CLASSIFICATION</t>
  </si>
  <si>
    <t>Price Cap IR</t>
  </si>
  <si>
    <t>EB-2020-0009</t>
  </si>
  <si>
    <t>Heather Dowling, Vice President/Treasurer</t>
  </si>
  <si>
    <t>519-843-2900 ext 229</t>
  </si>
  <si>
    <t>Fully Embedded</t>
  </si>
  <si>
    <t>Threshold Test</t>
  </si>
  <si>
    <t>Total Claim (including Account 1568)</t>
  </si>
  <si>
    <t>Total Claim for Threshold Test (All Group 1 Accounts)</t>
  </si>
  <si>
    <r>
      <t xml:space="preserve">Threshold Test (Total claim per kWh) </t>
    </r>
    <r>
      <rPr>
        <b/>
        <vertAlign val="superscript"/>
        <sz val="10"/>
        <color theme="1"/>
        <rFont val="Arial"/>
        <family val="2"/>
      </rPr>
      <t>2</t>
    </r>
  </si>
  <si>
    <r>
      <t>1</t>
    </r>
    <r>
      <rPr>
        <sz val="11"/>
        <color theme="1"/>
        <rFont val="Calibri"/>
        <family val="2"/>
        <scheme val="minor"/>
      </rPr>
      <t xml:space="preserve"> Residual Account balance to be allocated to rate classes in proportion to the recovery share as established when rate riders were implemented.</t>
    </r>
  </si>
  <si>
    <r>
      <t>2</t>
    </r>
    <r>
      <rPr>
        <sz val="11"/>
        <color theme="1"/>
        <rFont val="Calibri"/>
        <family val="2"/>
        <scheme val="minor"/>
      </rPr>
      <t xml:space="preserve"> The Threshold Test does not include the amount in 1568.</t>
    </r>
  </si>
  <si>
    <r>
      <t>3</t>
    </r>
    <r>
      <rPr>
        <sz val="11"/>
        <color theme="1"/>
        <rFont val="Calibri"/>
        <family val="2"/>
        <scheme val="minor"/>
      </rPr>
      <t xml:space="preserve"> The proportion of customers for the Residential and GS&lt;50 Classes will be used to allocate Account 1551.</t>
    </r>
  </si>
  <si>
    <t>Residential Service Classification</t>
  </si>
  <si>
    <t>Unmetered Scattered Load Service Classification</t>
  </si>
  <si>
    <t>Sentinel Lighting Service Classification</t>
  </si>
  <si>
    <t>Street Lighting Service Classification</t>
  </si>
  <si>
    <t>General Service Less Than 50 kW Service Classification</t>
  </si>
  <si>
    <t>General Service 50 To 2,999 kW Service Classification</t>
  </si>
  <si>
    <t>General Service 3,000 To 4,999 kW Service Classification</t>
  </si>
  <si>
    <t>hdowling@cwhydro.ca</t>
  </si>
  <si>
    <t>** Used to allocate Account 1551 as this account records the variances arising from the Smart Metering Entity Charges to Residential and GS&lt;50 customers.</t>
  </si>
  <si>
    <t>Effective and Implementation Date January 1, 2021</t>
  </si>
  <si>
    <t>RESIDENTIAL SERVICE CLASSIFICATION_Retail Transmission Rate - Network Service Rate</t>
  </si>
  <si>
    <t>RESIDENTIAL SERVICE CLASSIFICATION_Retail Transmission Rate - Line and Transformation Connection Service Rate</t>
  </si>
  <si>
    <t>GENERAL SERVICE LESS THAN 50 KW SERVICE CLASSIFICATION_Retail Transmission Rate - Network Service Rate</t>
  </si>
  <si>
    <t>GENERAL SERVICE LESS THAN 50 KW SERVICE CLASSIFICATION_Retail Transmission Rate - Line and Transformation Connection Service Rate</t>
  </si>
  <si>
    <t>GENERAL SERVICE 50 TO 2,999 KW SERVICE CLASSIFICATION_Retail Transmission Rate - Network Service Rate</t>
  </si>
  <si>
    <t>GENERAL SERVICE 50 TO 2,999 KW SERVICE CLASSIFICATION_Retail Transmission Rate - Line and Transformation Connection Service Rate</t>
  </si>
  <si>
    <t>GENERAL SERVICE 3,000 TO 4,999 KW SERVICE CLASSIFICATION_Retail Transmission Rate - Network Service Rate</t>
  </si>
  <si>
    <t>GENERAL SERVICE 3,000 TO 4,999 KW SERVICE CLASSIFICATION_Retail Transmission Rate - Line and Transformation Connection Service Rate</t>
  </si>
  <si>
    <t>UNMETERED SCATTERED LOAD SERVICE CLASSIFICATION_Retail Transmission Rate - Network Service Rate</t>
  </si>
  <si>
    <t>UNMETERED SCATTERED LOAD SERVICE CLASSIFICATION_Retail Transmission Rate - Line and Transformation Connection Service Rate</t>
  </si>
  <si>
    <t>SENTINEL LIGHTING SERVICE CLASSIFICATION_Retail Transmission Rate - Network Service Rate</t>
  </si>
  <si>
    <t>SENTINEL LIGHTING SERVICE CLASSIFICATION_Retail Transmission Rate - Line and Transformation Connection Service Rate</t>
  </si>
  <si>
    <t>STREET LIGHTING SERVICE CLASSIFICATION_Retail Transmission Rate - Network Service Rate</t>
  </si>
  <si>
    <t>STREET LIGHTING SERVICE CLASSIFICATION_Retail Transmission Rate - Line and Transformation Connection Service Rate</t>
  </si>
  <si>
    <t>III</t>
  </si>
  <si>
    <t>Rate Design Transition</t>
  </si>
  <si>
    <t>Revenue from Rates</t>
  </si>
  <si>
    <t>Current F/V Split</t>
  </si>
  <si>
    <t>Decoupling MFC Split</t>
  </si>
  <si>
    <t>Incremental Fixed Charge ($/month/year)</t>
  </si>
  <si>
    <t>New F/V Split</t>
  </si>
  <si>
    <r>
      <t>Adjusted Rates</t>
    </r>
    <r>
      <rPr>
        <b/>
        <vertAlign val="superscript"/>
        <sz val="10"/>
        <color theme="1"/>
        <rFont val="Arial"/>
        <family val="2"/>
      </rPr>
      <t>1</t>
    </r>
  </si>
  <si>
    <t xml:space="preserve"> If applicable, Wheeling Service Rate will be adjusted for PCI on Sheet 19.</t>
  </si>
  <si>
    <t xml:space="preserve">Revenue at New F/V Split </t>
  </si>
  <si>
    <t>Current Residential Fixed Rate (inclusive of R/C adj.)</t>
  </si>
  <si>
    <t>Current Residential Variable Rate (inclusive of R/C adj.)</t>
  </si>
  <si>
    <t>If the allocated Account 1580 sub-account CBR Class B amount does not produce a rate rider in one or more rate class (except for the Standby rate class), the model will transfer the entire CBR Class B amount into Account 1580 WMS control account to be disposed through the general purpose Group 1 DVA rate riders.</t>
  </si>
  <si>
    <r>
      <t>1</t>
    </r>
    <r>
      <rPr>
        <sz val="11"/>
        <color theme="1"/>
        <rFont val="Calibri"/>
        <family val="2"/>
        <scheme val="minor"/>
      </rPr>
      <t xml:space="preserve"> When calculating the revenue reconciliation for distributors with Class A customers, the balances of sub-account 1580-CBR Class B will not be taken into consideration if there are Class A customers since the rate riders, if any, are calculated separately.</t>
    </r>
  </si>
  <si>
    <r>
      <t>2</t>
    </r>
    <r>
      <rPr>
        <sz val="11"/>
        <color theme="1"/>
        <rFont val="Calibri"/>
        <family val="2"/>
        <scheme val="minor"/>
      </rPr>
      <t xml:space="preserve"> Only for rate classes with WMP customers are the Deferral/Variance Account Rate Riders for Non-WMP (column H and J) calculated separately. For all rate classes without WMP customers, balances in account 1580 and 1588 are included in column G and disposed through a combined Deferral/Variance Account and Rate Rider.</t>
    </r>
  </si>
  <si>
    <t>Total kWh
(most recent RRR filing)</t>
  </si>
  <si>
    <t>Total kW
(most recent RRR filing)</t>
  </si>
  <si>
    <t>Allocation of Tax Savings by Rate Class</t>
  </si>
  <si>
    <t>Distribution Rate Rider</t>
  </si>
  <si>
    <t>$/customer</t>
  </si>
  <si>
    <t>UNIT</t>
  </si>
  <si>
    <t>RATE</t>
  </si>
  <si>
    <t>DATE (e.g. April 30, 2022)</t>
  </si>
  <si>
    <t>SUB-TOTAL</t>
  </si>
  <si>
    <t xml:space="preserve"> - effective until </t>
  </si>
  <si>
    <t>CONSUMPTION</t>
  </si>
  <si>
    <t>DEMAND</t>
  </si>
  <si>
    <t>Claim does not meet the threshold test.</t>
  </si>
  <si>
    <t>As per Section 3.2.5 of the 2019 Filing Requirements for Electricity Distribution Rate Applications, an applicant may elect to dispose of the Group 1 account balances below the threshold. If doing so, please select YES from the adjacent drop-down cell and also indicate so in the Manager's Summary.  If not, please select NO.</t>
  </si>
  <si>
    <t>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</si>
</sst>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quot;$&quot;#,##0;[Red]\-&quot;$&quot;#,##0"/>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00_);_(&quot;$&quot;* \(#,##0.00\);_(&quot;$&quot;* &quot;-&quot;??_);_(@_)"/>
    <numFmt numFmtId="169" formatCode="_(* #,##0.00_);_(* \(#,##0.00\);_(* &quot;-&quot;??_);_(@_)"/>
    <numFmt numFmtId="170" formatCode="0.0"/>
    <numFmt numFmtId="171" formatCode="[$-F800]dddd\,\ mmmm\ dd\,\ yyyy"/>
    <numFmt numFmtId="172" formatCode="_(* #,##0.0_);_(* \(#,##0.0\);_(* &quot;-&quot;??_);_(@_)"/>
    <numFmt numFmtId="173" formatCode="#,##0.0"/>
    <numFmt numFmtId="174" formatCode="mm/dd/yyyy"/>
    <numFmt numFmtId="175" formatCode="0\-0"/>
    <numFmt numFmtId="176" formatCode="##\-#"/>
    <numFmt numFmtId="177" formatCode="_(* #,##0_);_(* \(#,##0\);_(* &quot;-&quot;??_);_(@_)"/>
    <numFmt numFmtId="178" formatCode="&quot;£ &quot;#,##0.00;[Red]\-&quot;£ &quot;#,##0.00"/>
    <numFmt numFmtId="179" formatCode="#,##0.0000;[Red]\(#,##0.0000\)"/>
    <numFmt numFmtId="180" formatCode="#,##0.00;[Red]\(#,##0.00\)"/>
    <numFmt numFmtId="181" formatCode="0.0%"/>
    <numFmt numFmtId="182" formatCode="#,##0;[Red]\(#,##0\)"/>
    <numFmt numFmtId="183" formatCode="0.0000"/>
    <numFmt numFmtId="184" formatCode="#,##0.0000"/>
    <numFmt numFmtId="185" formatCode="#,##0.00_ ;\-#,##0.00\ "/>
    <numFmt numFmtId="186" formatCode="0.00%;\(0.00\)%"/>
    <numFmt numFmtId="187" formatCode="#,##0.00_ ;\(#,##0.00\)"/>
    <numFmt numFmtId="188" formatCode="#,##0.00000"/>
    <numFmt numFmtId="189" formatCode="0%;\(0%\)"/>
    <numFmt numFmtId="190" formatCode="_-* #,##0_-;\-* #,##0_-;_-* &quot;-&quot;??_-;_-@_-"/>
    <numFmt numFmtId="191" formatCode="_ #,##0;[Red]\(#,##0\)"/>
    <numFmt numFmtId="192" formatCode="_-&quot;$&quot;* #,##0.0000_-;\-&quot;$&quot;* #,##0.0000_-;_-&quot;$&quot;* &quot;-&quot;??_-;_-@_-"/>
    <numFmt numFmtId="193" formatCode="#,##0.0000_ ;\-#,##0.0000\ "/>
    <numFmt numFmtId="194" formatCode="_-&quot;$&quot;* #,##0_-;\-&quot;$&quot;* #,##0_-;_-&quot;$&quot;* &quot;-&quot;??_-;_-@_-"/>
    <numFmt numFmtId="195" formatCode="_-&quot;$&quot;* #,##0_-;\-&quot;$&quot;* #,##0_-;_-&quot;$&quot;* &quot;-&quot;?_-;_-@_-"/>
    <numFmt numFmtId="196" formatCode="&quot;$&quot;#,##0;[Red]\(&quot;$&quot;#,##0\)"/>
    <numFmt numFmtId="197" formatCode="#,##0_ ;\-#,##0\ "/>
    <numFmt numFmtId="198" formatCode="[$-409]mmmm\ d\,\ yyyy;@"/>
    <numFmt numFmtId="199" formatCode="_-* #,##0.0000_-;\-* #,##0.0000_-;_-* &quot;-&quot;??_-;_-@_-"/>
    <numFmt numFmtId="200" formatCode="[$-1009]mmmm\ d\,\ yyyy;@"/>
    <numFmt numFmtId="201" formatCode="&quot;$&quot;#,##0.0000_);\(&quot;$&quot;#,##0.0000\)"/>
    <numFmt numFmtId="202" formatCode="_(&quot;$&quot;* #,##0.0000_);_(&quot;$&quot;* \(#,##0.0000\);_(&quot;$&quot;* &quot;-&quot;??_);_(@_)"/>
    <numFmt numFmtId="203" formatCode="0.00;\ \(0.00\)"/>
    <numFmt numFmtId="204" formatCode="#,##0.00000;[Red]\(#,##0.00000\)"/>
    <numFmt numFmtId="205" formatCode="&quot;$&quot;#,##0.0000;[Red]\(&quot;$&quot;#,##0.0000\)"/>
    <numFmt numFmtId="206" formatCode="_ &quot;$&quot;#,##0.0000;[Red]\(&quot;$&quot;#,##0.0000\)"/>
    <numFmt numFmtId="207" formatCode="#,###"/>
    <numFmt numFmtId="208" formatCode="_ #,##0.0000;[Red]\(#,##0.0000\)"/>
    <numFmt numFmtId="209" formatCode="_ #,##0.00;[Red]\(#,##0.00\)"/>
    <numFmt numFmtId="210" formatCode="0.00;[Red]\-0.00"/>
    <numFmt numFmtId="211" formatCode="0.0000;[Red]\-0.0000"/>
  </numFmts>
  <fonts count="151"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sz val="10"/>
      <color theme="1"/>
      <name val="Calibri"/>
      <family val="2"/>
      <scheme val="minor"/>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1"/>
      <name val="Arial"/>
      <family val="2"/>
    </font>
    <font>
      <sz val="11"/>
      <name val="Arial"/>
      <family val="2"/>
    </font>
    <font>
      <b/>
      <sz val="11"/>
      <color indexed="12"/>
      <name val="Arial"/>
      <family val="2"/>
    </font>
    <font>
      <b/>
      <sz val="10"/>
      <name val="Arial"/>
      <family val="2"/>
    </font>
    <font>
      <b/>
      <vertAlign val="superscript"/>
      <sz val="10"/>
      <name val="Arial"/>
      <family val="2"/>
    </font>
    <font>
      <b/>
      <i/>
      <sz val="10"/>
      <name val="Arial"/>
      <family val="2"/>
    </font>
    <font>
      <b/>
      <sz val="14"/>
      <color indexed="10"/>
      <name val="Arial"/>
      <family val="2"/>
    </font>
    <font>
      <b/>
      <sz val="11"/>
      <color rgb="FFFF0000"/>
      <name val="Calibri"/>
      <family val="2"/>
      <scheme val="minor"/>
    </font>
    <font>
      <sz val="12"/>
      <name val="Arial"/>
      <family val="2"/>
    </font>
    <font>
      <sz val="12"/>
      <color theme="1"/>
      <name val="Calibri"/>
      <family val="2"/>
      <scheme val="minor"/>
    </font>
    <font>
      <b/>
      <sz val="10"/>
      <color theme="3"/>
      <name val="Arial"/>
      <family val="2"/>
    </font>
    <font>
      <sz val="10"/>
      <name val="Book Antiqua"/>
      <family val="1"/>
    </font>
    <font>
      <sz val="10"/>
      <name val="Arial"/>
      <family val="2"/>
    </font>
    <font>
      <b/>
      <sz val="11"/>
      <name val="Calibri"/>
      <family val="2"/>
      <scheme val="minor"/>
    </font>
    <font>
      <sz val="11"/>
      <name val="Calibri"/>
      <family val="2"/>
      <scheme val="minor"/>
    </font>
    <font>
      <sz val="12"/>
      <color theme="1"/>
      <name val="Arial"/>
      <family val="2"/>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theme="0"/>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sz val="8"/>
      <color theme="1"/>
      <name val="Arial"/>
      <family val="2"/>
    </font>
    <font>
      <sz val="9.9"/>
      <color rgb="FF000000"/>
      <name val="Arial"/>
      <family val="2"/>
    </font>
    <font>
      <b/>
      <sz val="12"/>
      <color theme="0"/>
      <name val="Arial"/>
      <family val="2"/>
    </font>
    <font>
      <sz val="8"/>
      <color rgb="FF000000"/>
      <name val="Arial"/>
      <family val="2"/>
    </font>
    <font>
      <sz val="14"/>
      <color theme="1"/>
      <name val="Calibri"/>
      <family val="2"/>
      <scheme val="minor"/>
    </font>
    <font>
      <sz val="9"/>
      <color theme="1"/>
      <name val="Calibri"/>
      <family val="2"/>
      <scheme val="minor"/>
    </font>
    <font>
      <b/>
      <sz val="11"/>
      <color rgb="FFFF0000"/>
      <name val="Arial"/>
      <family val="2"/>
    </font>
    <font>
      <b/>
      <sz val="9"/>
      <color theme="1"/>
      <name val="Arial"/>
      <family val="2"/>
    </font>
    <font>
      <sz val="13"/>
      <name val="Arial"/>
      <family val="2"/>
    </font>
    <font>
      <sz val="13"/>
      <color indexed="8"/>
      <name val="Arial"/>
      <family val="2"/>
    </font>
    <font>
      <sz val="12"/>
      <color indexed="8"/>
      <name val="Arial"/>
      <family val="2"/>
    </font>
    <font>
      <b/>
      <sz val="10"/>
      <name val="Book Antiqua"/>
      <family val="1"/>
    </font>
    <font>
      <b/>
      <i/>
      <sz val="10"/>
      <color theme="1"/>
      <name val="Arial"/>
      <family val="2"/>
    </font>
    <font>
      <b/>
      <i/>
      <sz val="9"/>
      <name val="Arial"/>
      <family val="2"/>
    </font>
    <font>
      <b/>
      <sz val="8"/>
      <name val="Arial"/>
      <family val="2"/>
    </font>
    <font>
      <b/>
      <sz val="9"/>
      <name val="Arial"/>
      <family val="2"/>
    </font>
    <font>
      <b/>
      <i/>
      <sz val="11"/>
      <color theme="1"/>
      <name val="Arial"/>
      <family val="2"/>
    </font>
    <font>
      <i/>
      <sz val="10"/>
      <name val="Arial"/>
      <family val="2"/>
    </font>
    <font>
      <sz val="10"/>
      <color theme="0"/>
      <name val="Arial"/>
      <family val="2"/>
    </font>
    <font>
      <b/>
      <sz val="10"/>
      <name val="Arial Black"/>
      <family val="2"/>
    </font>
    <font>
      <sz val="9.3000000000000007"/>
      <name val="Arial"/>
      <family val="2"/>
    </font>
    <font>
      <b/>
      <sz val="9.3000000000000007"/>
      <name val="Arial"/>
      <family val="2"/>
    </font>
    <font>
      <b/>
      <sz val="22"/>
      <name val="Book Antiqua"/>
      <family val="1"/>
    </font>
    <font>
      <sz val="22"/>
      <name val="Book Antiqua"/>
      <family val="1"/>
    </font>
    <font>
      <b/>
      <sz val="12"/>
      <color rgb="FF000000"/>
      <name val="Arial"/>
      <family val="2"/>
    </font>
    <font>
      <b/>
      <sz val="10"/>
      <color rgb="FF000000"/>
      <name val="Arial"/>
      <family val="2"/>
    </font>
    <font>
      <b/>
      <sz val="12"/>
      <color indexed="8"/>
      <name val="Arial"/>
      <family val="2"/>
    </font>
    <font>
      <b/>
      <sz val="16"/>
      <name val="Book Antiqua"/>
      <family val="1"/>
    </font>
    <font>
      <b/>
      <vertAlign val="superscript"/>
      <sz val="10"/>
      <name val="Book Antiqua"/>
      <family val="1"/>
    </font>
    <font>
      <b/>
      <vertAlign val="superscript"/>
      <sz val="11"/>
      <name val="Book Antiqua"/>
      <family val="1"/>
    </font>
    <font>
      <b/>
      <i/>
      <sz val="10"/>
      <name val="Book Antiqua"/>
      <family val="1"/>
    </font>
    <font>
      <b/>
      <sz val="18"/>
      <name val="Arial"/>
      <family val="2"/>
    </font>
    <font>
      <vertAlign val="superscript"/>
      <sz val="11"/>
      <name val="Arial"/>
      <family val="2"/>
    </font>
    <font>
      <i/>
      <sz val="11"/>
      <color rgb="FFFF0000"/>
      <name val="Arial"/>
      <family val="2"/>
    </font>
    <font>
      <strike/>
      <sz val="10"/>
      <name val="Arial"/>
      <family val="2"/>
    </font>
    <font>
      <sz val="9"/>
      <name val="Arial"/>
      <family val="2"/>
    </font>
    <font>
      <u/>
      <sz val="8"/>
      <color rgb="FF0000FF"/>
      <name val="Calibri"/>
      <family val="2"/>
      <scheme val="minor"/>
    </font>
    <font>
      <u/>
      <sz val="8"/>
      <color rgb="FF800080"/>
      <name val="Calibri"/>
      <family val="2"/>
      <scheme val="minor"/>
    </font>
    <font>
      <b/>
      <vertAlign val="superscript"/>
      <sz val="11"/>
      <color theme="1"/>
      <name val="Calibri"/>
      <family val="2"/>
      <scheme val="minor"/>
    </font>
    <font>
      <sz val="8"/>
      <color rgb="FFFF0000"/>
      <name val="Arial"/>
      <family val="2"/>
    </font>
    <font>
      <b/>
      <sz val="14"/>
      <color rgb="FF000000"/>
      <name val="Arial"/>
      <family val="2"/>
    </font>
    <font>
      <sz val="8"/>
      <color rgb="FF000000"/>
      <name val="Arial"/>
      <family val="2"/>
      <charset val="204"/>
    </font>
    <font>
      <sz val="8"/>
      <color theme="1"/>
      <name val="Arial"/>
      <family val="2"/>
      <charset val="204"/>
    </font>
    <font>
      <b/>
      <sz val="16"/>
      <name val="Arial"/>
      <family val="2"/>
    </font>
    <font>
      <sz val="11"/>
      <color rgb="FF000000"/>
      <name val="Calibri"/>
      <family val="2"/>
      <scheme val="minor"/>
    </font>
    <font>
      <sz val="9"/>
      <color rgb="FF000000"/>
      <name val="Arial"/>
      <family val="2"/>
    </font>
    <font>
      <sz val="14"/>
      <color theme="1"/>
      <name val="Arial"/>
      <family val="2"/>
    </font>
    <font>
      <sz val="8"/>
      <name val="Arial"/>
      <family val="2"/>
      <charset val="204"/>
    </font>
    <font>
      <b/>
      <sz val="9"/>
      <color rgb="FF000000"/>
      <name val="Arial"/>
      <family val="2"/>
    </font>
    <font>
      <b/>
      <sz val="16"/>
      <color theme="1"/>
      <name val="Arial"/>
      <family val="2"/>
    </font>
    <font>
      <sz val="16"/>
      <color theme="0"/>
      <name val="Algerian"/>
      <family val="5"/>
    </font>
    <font>
      <sz val="14"/>
      <color theme="0"/>
      <name val="Arial"/>
      <family val="2"/>
    </font>
    <font>
      <b/>
      <vertAlign val="superscript"/>
      <sz val="11"/>
      <name val="Arial"/>
      <family val="2"/>
    </font>
    <font>
      <sz val="8"/>
      <color rgb="FF333399"/>
      <name val="Calibri"/>
      <family val="2"/>
    </font>
    <font>
      <sz val="8"/>
      <color theme="1"/>
      <name val="Calibri"/>
      <family val="2"/>
    </font>
    <font>
      <sz val="14"/>
      <name val="Calibri"/>
      <family val="2"/>
      <scheme val="minor"/>
    </font>
    <font>
      <sz val="10"/>
      <name val="Calibri"/>
      <family val="2"/>
      <scheme val="minor"/>
    </font>
    <font>
      <b/>
      <sz val="8"/>
      <color theme="1"/>
      <name val="Calibri"/>
      <family val="2"/>
    </font>
    <font>
      <b/>
      <sz val="10"/>
      <color rgb="FF002060"/>
      <name val="Arial"/>
      <family val="2"/>
    </font>
    <font>
      <b/>
      <sz val="11"/>
      <color indexed="10"/>
      <name val="Arial"/>
      <family val="2"/>
    </font>
    <font>
      <vertAlign val="superscript"/>
      <sz val="11"/>
      <color theme="1"/>
      <name val="Arial"/>
      <family val="2"/>
    </font>
    <font>
      <b/>
      <i/>
      <sz val="11"/>
      <color theme="0"/>
      <name val="Arial"/>
      <family val="2"/>
    </font>
    <font>
      <b/>
      <sz val="11"/>
      <color theme="0"/>
      <name val="Arial"/>
      <family val="2"/>
    </font>
    <font>
      <b/>
      <vertAlign val="superscript"/>
      <sz val="11"/>
      <color theme="0"/>
      <name val="Arial"/>
      <family val="2"/>
    </font>
    <font>
      <i/>
      <sz val="11"/>
      <color theme="1"/>
      <name val="Arial"/>
      <family val="2"/>
    </font>
    <font>
      <b/>
      <sz val="11"/>
      <color rgb="FFFFFFFF"/>
      <name val="Calibri"/>
      <family val="2"/>
    </font>
    <font>
      <sz val="9"/>
      <color theme="1"/>
      <name val="Calibri"/>
      <family val="2"/>
    </font>
    <font>
      <sz val="4"/>
      <color theme="1"/>
      <name val="Calibri"/>
      <family val="2"/>
      <scheme val="minor"/>
    </font>
    <font>
      <i/>
      <sz val="10"/>
      <color rgb="FFFF0000"/>
      <name val="Arial"/>
      <family val="2"/>
    </font>
    <font>
      <i/>
      <sz val="11"/>
      <color theme="1"/>
      <name val="Calibri"/>
      <family val="2"/>
      <scheme val="minor"/>
    </font>
    <font>
      <b/>
      <u/>
      <sz val="14"/>
      <color theme="1"/>
      <name val="Calibri"/>
      <family val="2"/>
      <scheme val="minor"/>
    </font>
    <font>
      <b/>
      <sz val="14"/>
      <color theme="1"/>
      <name val="Calibri"/>
      <family val="2"/>
      <scheme val="minor"/>
    </font>
    <font>
      <b/>
      <u/>
      <sz val="12"/>
      <color theme="1"/>
      <name val="Calibri"/>
      <family val="2"/>
      <scheme val="minor"/>
    </font>
    <font>
      <u/>
      <sz val="11"/>
      <color theme="1"/>
      <name val="Calibri"/>
      <family val="2"/>
      <scheme val="minor"/>
    </font>
    <font>
      <b/>
      <sz val="10"/>
      <color theme="1"/>
      <name val="Calibri"/>
      <family val="2"/>
      <scheme val="minor"/>
    </font>
    <font>
      <b/>
      <sz val="12"/>
      <color theme="1"/>
      <name val="Calibri"/>
      <family val="2"/>
      <scheme val="minor"/>
    </font>
    <font>
      <b/>
      <sz val="12"/>
      <name val="Calibri"/>
      <family val="2"/>
      <scheme val="minor"/>
    </font>
    <font>
      <i/>
      <sz val="8"/>
      <name val="Arial"/>
      <family val="2"/>
    </font>
    <font>
      <sz val="8"/>
      <color theme="1"/>
      <name val="Calibri"/>
      <family val="2"/>
      <scheme val="minor"/>
    </font>
    <font>
      <vertAlign val="superscript"/>
      <sz val="11"/>
      <color rgb="FFFF0000"/>
      <name val="Arial"/>
      <family val="2"/>
    </font>
    <font>
      <b/>
      <sz val="10"/>
      <color theme="1"/>
      <name val="Calibri"/>
      <family val="2"/>
    </font>
    <font>
      <vertAlign val="superscript"/>
      <sz val="22"/>
      <name val="Book Antiqua"/>
      <family val="1"/>
    </font>
    <font>
      <sz val="18"/>
      <color theme="1"/>
      <name val="Arial"/>
      <family val="2"/>
    </font>
    <font>
      <b/>
      <u/>
      <sz val="10"/>
      <color theme="1"/>
      <name val="Arial"/>
      <family val="2"/>
    </font>
    <font>
      <b/>
      <vertAlign val="superscript"/>
      <sz val="10"/>
      <color theme="1"/>
      <name val="Arial"/>
      <family val="2"/>
    </font>
    <font>
      <vertAlign val="superscript"/>
      <sz val="11"/>
      <color theme="1"/>
      <name val="Calibri"/>
      <family val="2"/>
      <scheme val="minor"/>
    </font>
    <font>
      <b/>
      <u/>
      <sz val="12"/>
      <color theme="1"/>
      <name val="Arial"/>
      <family val="2"/>
    </font>
    <font>
      <b/>
      <sz val="11"/>
      <color rgb="FFFFFFFF"/>
      <name val="Calibri"/>
      <family val="2"/>
      <scheme val="minor"/>
    </font>
    <font>
      <sz val="11"/>
      <color rgb="FFFFFFFF"/>
      <name val="Calibri"/>
      <family val="2"/>
      <scheme val="minor"/>
    </font>
    <font>
      <sz val="4"/>
      <color theme="1"/>
      <name val="Arial"/>
      <family val="2"/>
    </font>
    <font>
      <sz val="11"/>
      <color rgb="FF000000"/>
      <name val="Calibri"/>
      <family val="2"/>
    </font>
  </fonts>
  <fills count="73">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indexed="13"/>
        <bgColor indexed="64"/>
      </patternFill>
    </fill>
    <fill>
      <patternFill patternType="solid">
        <fgColor rgb="FFDDDDDD"/>
        <bgColor indexed="64"/>
      </patternFill>
    </fill>
    <fill>
      <patternFill patternType="solid">
        <fgColor rgb="FFF0F4FA"/>
      </patternFill>
    </fill>
    <fill>
      <patternFill patternType="solid">
        <fgColor rgb="FFFFFFFF"/>
      </patternFill>
    </fill>
    <fill>
      <patternFill patternType="solid">
        <fgColor rgb="FFFFFF99"/>
      </patternFill>
    </fill>
    <fill>
      <patternFill patternType="solid">
        <fgColor rgb="FFFFFFFF"/>
        <bgColor indexed="64"/>
      </patternFill>
    </fill>
    <fill>
      <patternFill patternType="solid">
        <fgColor indexed="9"/>
        <bgColor indexed="24"/>
      </patternFill>
    </fill>
    <fill>
      <patternFill patternType="solid">
        <fgColor theme="4" tint="-0.499984740745262"/>
        <bgColor indexed="64"/>
      </patternFill>
    </fill>
    <fill>
      <patternFill patternType="solid">
        <fgColor rgb="FF002060"/>
        <bgColor indexed="64"/>
      </patternFill>
    </fill>
    <fill>
      <patternFill patternType="solid">
        <fgColor rgb="FFEBF1DE"/>
        <bgColor indexed="64"/>
      </patternFill>
    </fill>
    <fill>
      <patternFill patternType="solid">
        <fgColor rgb="FF92D050"/>
        <bgColor indexed="64"/>
      </patternFill>
    </fill>
    <fill>
      <patternFill patternType="solid">
        <fgColor rgb="FFFF0000"/>
        <bgColor indexed="64"/>
      </patternFill>
    </fill>
    <fill>
      <patternFill patternType="solid">
        <fgColor rgb="FFA6A6A6"/>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2F2F2"/>
        <bgColor indexed="64"/>
      </patternFill>
    </fill>
    <fill>
      <patternFill patternType="solid">
        <fgColor theme="9" tint="0.79995117038483843"/>
        <bgColor indexed="64"/>
      </patternFill>
    </fill>
    <fill>
      <patternFill patternType="solid">
        <fgColor theme="0" tint="-0.14996795556505021"/>
        <bgColor indexed="64"/>
      </patternFill>
    </fill>
  </fills>
  <borders count="150">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theme="0"/>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thin">
        <color theme="0"/>
      </top>
      <bottom/>
      <diagonal/>
    </border>
    <border>
      <left/>
      <right/>
      <top/>
      <bottom style="medium">
        <color indexed="64"/>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auto="1"/>
      </right>
      <top/>
      <bottom/>
      <diagonal/>
    </border>
    <border>
      <left style="medium">
        <color indexed="64"/>
      </left>
      <right/>
      <top/>
      <bottom style="medium">
        <color indexed="12"/>
      </bottom>
      <diagonal/>
    </border>
    <border>
      <left/>
      <right style="medium">
        <color indexed="64"/>
      </right>
      <top/>
      <bottom style="medium">
        <color indexed="12"/>
      </bottom>
      <diagonal/>
    </border>
    <border>
      <left/>
      <right/>
      <top/>
      <bottom style="medium">
        <color indexed="12"/>
      </bottom>
      <diagonal/>
    </border>
    <border>
      <left style="medium">
        <color indexed="64"/>
      </left>
      <right/>
      <top style="medium">
        <color indexed="12"/>
      </top>
      <bottom/>
      <diagonal/>
    </border>
    <border>
      <left/>
      <right/>
      <top style="medium">
        <color indexed="12"/>
      </top>
      <bottom/>
      <diagonal/>
    </border>
    <border>
      <left/>
      <right style="medium">
        <color indexed="64"/>
      </right>
      <top style="medium">
        <color indexed="12"/>
      </top>
      <bottom/>
      <diagonal/>
    </border>
    <border>
      <left style="medium">
        <color indexed="9"/>
      </left>
      <right style="medium">
        <color indexed="9"/>
      </right>
      <top style="medium">
        <color indexed="9"/>
      </top>
      <bottom style="medium">
        <color indexed="9"/>
      </bottom>
      <diagonal/>
    </border>
    <border>
      <left style="medium">
        <color indexed="64"/>
      </left>
      <right style="medium">
        <color indexed="9"/>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style="medium">
        <color indexed="64"/>
      </left>
      <right/>
      <top style="medium">
        <color indexed="9"/>
      </top>
      <bottom style="medium">
        <color indexed="9"/>
      </bottom>
      <diagonal/>
    </border>
    <border>
      <left style="medium">
        <color indexed="64"/>
      </left>
      <right style="medium">
        <color indexed="9"/>
      </right>
      <top/>
      <bottom/>
      <diagonal/>
    </border>
    <border>
      <left style="medium">
        <color indexed="9"/>
      </left>
      <right style="medium">
        <color indexed="9"/>
      </right>
      <top/>
      <bottom/>
      <diagonal/>
    </border>
    <border>
      <left/>
      <right style="medium">
        <color indexed="64"/>
      </right>
      <top/>
      <bottom/>
      <diagonal/>
    </border>
    <border>
      <left/>
      <right/>
      <top/>
      <bottom style="medium">
        <color auto="1"/>
      </bottom>
      <diagonal/>
    </border>
    <border>
      <left style="medium">
        <color auto="1"/>
      </left>
      <right/>
      <top/>
      <bottom style="medium">
        <color auto="1"/>
      </bottom>
      <diagonal/>
    </border>
    <border>
      <left/>
      <right/>
      <top style="medium">
        <color indexed="64"/>
      </top>
      <bottom/>
      <diagonal/>
    </border>
    <border>
      <left/>
      <right style="medium">
        <color auto="1"/>
      </right>
      <top/>
      <bottom style="medium">
        <color indexed="64"/>
      </bottom>
      <diagonal/>
    </border>
    <border>
      <left style="medium">
        <color indexed="64"/>
      </left>
      <right/>
      <top/>
      <bottom style="medium">
        <color indexed="12"/>
      </bottom>
      <diagonal/>
    </border>
    <border>
      <left/>
      <right/>
      <top/>
      <bottom style="medium">
        <color indexed="1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indexed="64"/>
      </right>
      <top/>
      <bottom style="medium">
        <color indexed="64"/>
      </bottom>
      <diagonal/>
    </border>
    <border>
      <left style="medium">
        <color indexed="9"/>
      </left>
      <right/>
      <top style="medium">
        <color indexed="9"/>
      </top>
      <bottom style="medium">
        <color indexed="9"/>
      </bottom>
      <diagonal/>
    </border>
    <border>
      <left/>
      <right/>
      <top/>
      <bottom style="medium">
        <color indexed="64"/>
      </bottom>
      <diagonal/>
    </border>
    <border>
      <left/>
      <right style="medium">
        <color indexed="64"/>
      </right>
      <top/>
      <bottom style="medium">
        <color indexed="39"/>
      </bottom>
      <diagonal/>
    </border>
    <border>
      <left style="medium">
        <color auto="1"/>
      </left>
      <right style="medium">
        <color indexed="9"/>
      </right>
      <top style="medium">
        <color indexed="9"/>
      </top>
      <bottom style="medium">
        <color indexed="9"/>
      </bottom>
      <diagonal/>
    </border>
    <border>
      <left style="medium">
        <color indexed="9"/>
      </left>
      <right/>
      <top style="medium">
        <color indexed="9"/>
      </top>
      <bottom/>
      <diagonal/>
    </border>
    <border>
      <left/>
      <right/>
      <top style="medium">
        <color theme="0"/>
      </top>
      <bottom style="medium">
        <color theme="0"/>
      </bottom>
      <diagonal/>
    </border>
    <border>
      <left style="medium">
        <color indexed="9"/>
      </left>
      <right/>
      <top/>
      <bottom style="medium">
        <color indexed="9"/>
      </bottom>
      <diagonal/>
    </border>
    <border>
      <left style="medium">
        <color indexed="9"/>
      </left>
      <right/>
      <top/>
      <bottom/>
      <diagonal/>
    </border>
    <border>
      <left style="thin">
        <color auto="1"/>
      </left>
      <right/>
      <top/>
      <bottom/>
      <diagonal/>
    </border>
    <border>
      <left style="medium">
        <color rgb="FFFFFFFF"/>
      </left>
      <right/>
      <top/>
      <bottom/>
      <diagonal/>
    </border>
    <border>
      <left/>
      <right style="medium">
        <color rgb="FFFFFFFF"/>
      </right>
      <top/>
      <bottom style="medium">
        <color rgb="FFFFFFFF"/>
      </bottom>
      <diagonal/>
    </border>
    <border>
      <left/>
      <right/>
      <top/>
      <bottom style="thin">
        <color theme="0"/>
      </bottom>
      <diagonal/>
    </border>
    <border>
      <left/>
      <right/>
      <top style="thick">
        <color theme="0"/>
      </top>
      <bottom style="thick">
        <color theme="0"/>
      </bottom>
      <diagonal/>
    </border>
    <border>
      <left/>
      <right/>
      <top/>
      <bottom style="thick">
        <color theme="0"/>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right/>
      <top style="medium">
        <color theme="0"/>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bottom/>
      <diagonal/>
    </border>
    <border>
      <left/>
      <right/>
      <top style="thick">
        <color theme="0"/>
      </top>
      <bottom/>
      <diagonal/>
    </border>
    <border>
      <left style="medium">
        <color auto="1"/>
      </left>
      <right style="medium">
        <color indexed="64"/>
      </right>
      <top/>
      <bottom style="medium">
        <color indexed="64"/>
      </bottom>
      <diagonal/>
    </border>
    <border>
      <left/>
      <right style="medium">
        <color auto="1"/>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theme="0"/>
      </top>
      <bottom/>
      <diagonal/>
    </border>
    <border>
      <left style="medium">
        <color indexed="64"/>
      </left>
      <right/>
      <top style="medium">
        <color theme="0"/>
      </top>
      <bottom/>
      <diagonal/>
    </border>
    <border>
      <left/>
      <right/>
      <top/>
      <bottom style="thin">
        <color rgb="FFC00000"/>
      </bottom>
      <diagonal/>
    </border>
    <border>
      <left style="thin">
        <color theme="0"/>
      </left>
      <right style="thin">
        <color theme="0"/>
      </right>
      <top style="thin">
        <color theme="0"/>
      </top>
      <bottom style="thin">
        <color theme="0"/>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ck">
        <color theme="0"/>
      </right>
      <top/>
      <bottom/>
      <diagonal/>
    </border>
    <border>
      <left style="thick">
        <color theme="0" tint="-0.34998626667073579"/>
      </left>
      <right style="thick">
        <color theme="0" tint="-0.34998626667073579"/>
      </right>
      <top style="thick">
        <color theme="0" tint="-0.34998626667073579"/>
      </top>
      <bottom style="thick">
        <color theme="0" tint="-0.34998626667073579"/>
      </bottom>
      <diagonal/>
    </border>
    <border>
      <left style="thick">
        <color theme="0" tint="-0.34998626667073579"/>
      </left>
      <right style="thick">
        <color theme="0" tint="-0.34998626667073579"/>
      </right>
      <top style="thick">
        <color theme="0" tint="-0.34998626667073579"/>
      </top>
      <bottom/>
      <diagonal/>
    </border>
    <border>
      <left style="thick">
        <color theme="0" tint="-0.34998626667073579"/>
      </left>
      <right style="thick">
        <color theme="0" tint="-0.34998626667073579"/>
      </right>
      <top/>
      <bottom/>
      <diagonal/>
    </border>
    <border>
      <left style="thick">
        <color theme="0" tint="-0.34998626667073579"/>
      </left>
      <right style="thick">
        <color theme="0" tint="-0.34998626667073579"/>
      </right>
      <top/>
      <bottom style="thick">
        <color theme="0" tint="-0.34998626667073579"/>
      </bottom>
      <diagonal/>
    </border>
    <border>
      <left style="thick">
        <color theme="0" tint="-0.34998626667073579"/>
      </left>
      <right style="medium">
        <color indexed="64"/>
      </right>
      <top style="thick">
        <color theme="0" tint="-0.34998626667073579"/>
      </top>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
      <left style="medium">
        <color theme="0" tint="-4.9989318521683403E-2"/>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indexed="64"/>
      </bottom>
      <diagonal/>
    </border>
    <border>
      <left style="medium">
        <color theme="0" tint="-4.9989318521683403E-2"/>
      </left>
      <right style="medium">
        <color theme="0" tint="-4.9989318521683403E-2"/>
      </right>
      <top style="medium">
        <color theme="0" tint="-4.9989318521683403E-2"/>
      </top>
      <bottom style="medium">
        <color indexed="64"/>
      </bottom>
      <diagonal/>
    </border>
    <border>
      <left style="medium">
        <color theme="0" tint="-4.9989318521683403E-2"/>
      </left>
      <right/>
      <top style="medium">
        <color theme="0" tint="-4.9989318521683403E-2"/>
      </top>
      <bottom style="medium">
        <color indexed="64"/>
      </bottom>
      <diagonal/>
    </border>
    <border>
      <left style="medium">
        <color indexed="9"/>
      </left>
      <right/>
      <top/>
      <bottom style="medium">
        <color indexed="9"/>
      </bottom>
      <diagonal/>
    </border>
  </borders>
  <cellStyleXfs count="318">
    <xf numFmtId="0" fontId="0" fillId="0" borderId="0"/>
    <xf numFmtId="172" fontId="4" fillId="0" borderId="0"/>
    <xf numFmtId="173" fontId="4" fillId="0" borderId="0"/>
    <xf numFmtId="174" fontId="4" fillId="0" borderId="0"/>
    <xf numFmtId="175" fontId="4" fillId="0" borderId="0"/>
    <xf numFmtId="3" fontId="4" fillId="0" borderId="0" applyFont="0" applyFill="0" applyBorder="0" applyAlignment="0" applyProtection="0"/>
    <xf numFmtId="164"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38" fontId="5" fillId="5" borderId="0" applyNumberFormat="0" applyBorder="0" applyAlignment="0" applyProtection="0"/>
    <xf numFmtId="10" fontId="5" fillId="6" borderId="4" applyNumberFormat="0" applyBorder="0" applyAlignment="0" applyProtection="0"/>
    <xf numFmtId="176" fontId="4" fillId="0" borderId="0"/>
    <xf numFmtId="177" fontId="4" fillId="0" borderId="0"/>
    <xf numFmtId="0" fontId="4" fillId="0" borderId="0"/>
    <xf numFmtId="178" fontId="4" fillId="0" borderId="0"/>
    <xf numFmtId="10" fontId="4" fillId="0" borderId="0" applyFont="0" applyFill="0" applyBorder="0" applyAlignment="0" applyProtection="0"/>
    <xf numFmtId="0" fontId="4" fillId="0" borderId="0"/>
    <xf numFmtId="172" fontId="14" fillId="0" borderId="0"/>
    <xf numFmtId="176" fontId="14" fillId="0" borderId="0"/>
    <xf numFmtId="0" fontId="16" fillId="0" borderId="0"/>
    <xf numFmtId="169" fontId="17" fillId="0" borderId="0" applyFont="0" applyFill="0" applyBorder="0" applyAlignment="0" applyProtection="0"/>
    <xf numFmtId="9" fontId="17" fillId="0" borderId="0" applyFont="0" applyFill="0" applyBorder="0" applyAlignment="0" applyProtection="0"/>
    <xf numFmtId="172" fontId="4" fillId="0" borderId="0"/>
    <xf numFmtId="176" fontId="4" fillId="0" borderId="0"/>
    <xf numFmtId="0" fontId="4" fillId="0" borderId="0"/>
    <xf numFmtId="0" fontId="4" fillId="0" borderId="0"/>
    <xf numFmtId="0" fontId="4" fillId="0" borderId="0"/>
    <xf numFmtId="0" fontId="4" fillId="0" borderId="0"/>
    <xf numFmtId="172" fontId="31" fillId="0" borderId="0"/>
    <xf numFmtId="174" fontId="31" fillId="0" borderId="0"/>
    <xf numFmtId="176" fontId="31" fillId="0" borderId="0"/>
    <xf numFmtId="0" fontId="31" fillId="0" borderId="0"/>
    <xf numFmtId="172" fontId="31" fillId="0" borderId="0"/>
    <xf numFmtId="176" fontId="31" fillId="0" borderId="0"/>
    <xf numFmtId="0" fontId="31" fillId="0" borderId="0"/>
    <xf numFmtId="168" fontId="17" fillId="0" borderId="0" applyFont="0" applyFill="0" applyBorder="0" applyAlignment="0" applyProtection="0"/>
    <xf numFmtId="168" fontId="4" fillId="0" borderId="0" applyFont="0" applyFill="0" applyBorder="0" applyAlignment="0" applyProtection="0"/>
    <xf numFmtId="0" fontId="4" fillId="0" borderId="0"/>
    <xf numFmtId="0" fontId="16" fillId="0" borderId="0"/>
    <xf numFmtId="168" fontId="4" fillId="0" borderId="0" applyFont="0" applyFill="0" applyBorder="0" applyAlignment="0" applyProtection="0"/>
    <xf numFmtId="9" fontId="4" fillId="0" borderId="0" applyFont="0" applyFill="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5" fillId="11" borderId="0" applyNumberFormat="0" applyBorder="0" applyAlignment="0" applyProtection="0"/>
    <xf numFmtId="0" fontId="35" fillId="27" borderId="0" applyNumberFormat="0" applyBorder="0" applyAlignment="0" applyProtection="0"/>
    <xf numFmtId="0" fontId="35" fillId="31" borderId="0" applyNumberFormat="0" applyBorder="0" applyAlignment="0" applyProtection="0"/>
    <xf numFmtId="0" fontId="35" fillId="35" borderId="0" applyNumberFormat="0" applyBorder="0" applyAlignment="0" applyProtection="0"/>
    <xf numFmtId="0" fontId="35" fillId="39" borderId="0" applyNumberFormat="0" applyBorder="0" applyAlignment="0" applyProtection="0"/>
    <xf numFmtId="0" fontId="35" fillId="43" borderId="0" applyNumberFormat="0" applyBorder="0" applyAlignment="0" applyProtection="0"/>
    <xf numFmtId="0" fontId="35" fillId="21"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5" fillId="36" borderId="0" applyNumberFormat="0" applyBorder="0" applyAlignment="0" applyProtection="0"/>
    <xf numFmtId="0" fontId="35" fillId="40" borderId="0" applyNumberFormat="0" applyBorder="0" applyAlignment="0" applyProtection="0"/>
    <xf numFmtId="0" fontId="49" fillId="15" borderId="0" applyNumberFormat="0" applyBorder="0" applyAlignment="0" applyProtection="0"/>
    <xf numFmtId="0" fontId="53" fillId="18" borderId="42" applyNumberFormat="0" applyAlignment="0" applyProtection="0"/>
    <xf numFmtId="0" fontId="55" fillId="19" borderId="45" applyNumberFormat="0" applyAlignment="0" applyProtection="0"/>
    <xf numFmtId="169" fontId="17" fillId="0" borderId="0" applyFont="0" applyFill="0" applyBorder="0" applyAlignment="0" applyProtection="0"/>
    <xf numFmtId="169" fontId="17" fillId="0" borderId="0" applyFont="0" applyFill="0" applyBorder="0" applyAlignment="0" applyProtection="0"/>
    <xf numFmtId="0" fontId="57" fillId="0" borderId="0" applyNumberFormat="0" applyFill="0" applyBorder="0" applyAlignment="0" applyProtection="0"/>
    <xf numFmtId="0" fontId="48" fillId="14" borderId="0" applyNumberFormat="0" applyBorder="0" applyAlignment="0" applyProtection="0"/>
    <xf numFmtId="0" fontId="46" fillId="0" borderId="39" applyNumberFormat="0" applyFill="0" applyAlignment="0" applyProtection="0"/>
    <xf numFmtId="0" fontId="47"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51" fillId="17" borderId="42" applyNumberFormat="0" applyAlignment="0" applyProtection="0"/>
    <xf numFmtId="0" fontId="54" fillId="0" borderId="44" applyNumberFormat="0" applyFill="0" applyAlignment="0" applyProtection="0"/>
    <xf numFmtId="0" fontId="50" fillId="16" borderId="0" applyNumberFormat="0" applyBorder="0" applyAlignment="0" applyProtection="0"/>
    <xf numFmtId="0" fontId="17" fillId="0" borderId="0"/>
    <xf numFmtId="0" fontId="17" fillId="0" borderId="0"/>
    <xf numFmtId="0" fontId="17" fillId="0" borderId="0"/>
    <xf numFmtId="0" fontId="17" fillId="20" borderId="46" applyNumberFormat="0" applyFont="0" applyAlignment="0" applyProtection="0"/>
    <xf numFmtId="0" fontId="52" fillId="18" borderId="43" applyNumberFormat="0" applyAlignment="0" applyProtection="0"/>
    <xf numFmtId="9" fontId="17" fillId="0" borderId="0" applyFont="0" applyFill="0" applyBorder="0" applyAlignment="0" applyProtection="0"/>
    <xf numFmtId="0" fontId="45" fillId="0" borderId="0" applyNumberFormat="0" applyFill="0" applyBorder="0" applyAlignment="0" applyProtection="0"/>
    <xf numFmtId="0" fontId="2" fillId="0" borderId="47" applyNumberFormat="0" applyFill="0" applyAlignment="0" applyProtection="0"/>
    <xf numFmtId="0" fontId="56" fillId="0" borderId="0" applyNumberFormat="0" applyFill="0" applyBorder="0" applyAlignment="0" applyProtection="0"/>
    <xf numFmtId="169" fontId="4" fillId="0" borderId="0" applyFont="0" applyFill="0" applyBorder="0" applyAlignment="0" applyProtection="0"/>
    <xf numFmtId="172" fontId="4" fillId="0" borderId="0"/>
    <xf numFmtId="176" fontId="4" fillId="0" borderId="0"/>
    <xf numFmtId="172" fontId="4" fillId="0" borderId="0"/>
    <xf numFmtId="176" fontId="4" fillId="0" borderId="0"/>
    <xf numFmtId="172" fontId="4" fillId="0" borderId="0"/>
    <xf numFmtId="176" fontId="4" fillId="0" borderId="0"/>
    <xf numFmtId="0" fontId="17" fillId="0" borderId="0"/>
    <xf numFmtId="0" fontId="4" fillId="0" borderId="0"/>
    <xf numFmtId="169" fontId="17" fillId="0" borderId="0" applyFont="0" applyFill="0" applyBorder="0" applyAlignment="0" applyProtection="0"/>
    <xf numFmtId="168" fontId="4" fillId="0" borderId="0" applyFont="0" applyFill="0" applyBorder="0" applyAlignment="0" applyProtection="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applyNumberFormat="0" applyFill="0" applyBorder="0" applyAlignment="0" applyProtection="0"/>
    <xf numFmtId="0" fontId="46" fillId="0" borderId="39" applyNumberFormat="0" applyFill="0" applyAlignment="0" applyProtection="0"/>
    <xf numFmtId="0" fontId="47" fillId="0" borderId="40" applyNumberFormat="0" applyFill="0" applyAlignment="0" applyProtection="0"/>
    <xf numFmtId="0" fontId="3" fillId="0" borderId="41" applyNumberFormat="0" applyFill="0" applyAlignment="0" applyProtection="0"/>
    <xf numFmtId="0" fontId="3" fillId="0" borderId="0" applyNumberFormat="0" applyFill="0" applyBorder="0" applyAlignment="0" applyProtection="0"/>
    <xf numFmtId="0" fontId="48" fillId="14" borderId="0" applyNumberFormat="0" applyBorder="0" applyAlignment="0" applyProtection="0"/>
    <xf numFmtId="0" fontId="49" fillId="15" borderId="0" applyNumberFormat="0" applyBorder="0" applyAlignment="0" applyProtection="0"/>
    <xf numFmtId="0" fontId="50" fillId="16" borderId="0" applyNumberFormat="0" applyBorder="0" applyAlignment="0" applyProtection="0"/>
    <xf numFmtId="0" fontId="51" fillId="17" borderId="42" applyNumberFormat="0" applyAlignment="0" applyProtection="0"/>
    <xf numFmtId="0" fontId="52" fillId="18" borderId="43" applyNumberFormat="0" applyAlignment="0" applyProtection="0"/>
    <xf numFmtId="0" fontId="53" fillId="18" borderId="42" applyNumberFormat="0" applyAlignment="0" applyProtection="0"/>
    <xf numFmtId="0" fontId="54" fillId="0" borderId="44" applyNumberFormat="0" applyFill="0" applyAlignment="0" applyProtection="0"/>
    <xf numFmtId="0" fontId="55" fillId="19" borderId="45" applyNumberFormat="0" applyAlignment="0" applyProtection="0"/>
    <xf numFmtId="0" fontId="56" fillId="0" borderId="0" applyNumberFormat="0" applyFill="0" applyBorder="0" applyAlignment="0" applyProtection="0"/>
    <xf numFmtId="0" fontId="17" fillId="20" borderId="46" applyNumberFormat="0" applyFont="0" applyAlignment="0" applyProtection="0"/>
    <xf numFmtId="0" fontId="57" fillId="0" borderId="0" applyNumberFormat="0" applyFill="0" applyBorder="0" applyAlignment="0" applyProtection="0"/>
    <xf numFmtId="0" fontId="2" fillId="0" borderId="47" applyNumberFormat="0" applyFill="0" applyAlignment="0" applyProtection="0"/>
    <xf numFmtId="0" fontId="35"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5" fillId="11" borderId="0" applyNumberFormat="0" applyBorder="0" applyAlignment="0" applyProtection="0"/>
    <xf numFmtId="0" fontId="35"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35" fillId="43" borderId="0" applyNumberFormat="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4" fillId="0" borderId="0"/>
    <xf numFmtId="0" fontId="4" fillId="0" borderId="0"/>
    <xf numFmtId="169" fontId="17" fillId="0" borderId="0" applyFont="0" applyFill="0" applyBorder="0" applyAlignment="0" applyProtection="0"/>
    <xf numFmtId="168" fontId="17" fillId="0" borderId="0" applyFont="0" applyFill="0" applyBorder="0" applyAlignment="0" applyProtection="0"/>
    <xf numFmtId="0" fontId="4" fillId="0" borderId="0"/>
    <xf numFmtId="0" fontId="4" fillId="0" borderId="0"/>
    <xf numFmtId="168"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20" borderId="46" applyNumberFormat="0" applyFont="0" applyAlignment="0" applyProtection="0"/>
    <xf numFmtId="9" fontId="1" fillId="0" borderId="0" applyFont="0" applyFill="0" applyBorder="0" applyAlignment="0" applyProtection="0"/>
    <xf numFmtId="0" fontId="1" fillId="0" borderId="0"/>
    <xf numFmtId="16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46"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4" fillId="0" borderId="0"/>
    <xf numFmtId="172" fontId="4" fillId="0" borderId="0"/>
    <xf numFmtId="172" fontId="4" fillId="0" borderId="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76" fontId="4" fillId="0" borderId="0"/>
    <xf numFmtId="176" fontId="4" fillId="0" borderId="0"/>
    <xf numFmtId="17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172" fontId="4" fillId="0" borderId="0"/>
    <xf numFmtId="172" fontId="4" fillId="0" borderId="0"/>
    <xf numFmtId="176" fontId="4" fillId="0" borderId="0"/>
    <xf numFmtId="176" fontId="4" fillId="0" borderId="0"/>
    <xf numFmtId="176" fontId="4" fillId="0" borderId="0"/>
    <xf numFmtId="198" fontId="4"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8" fillId="0" borderId="0"/>
    <xf numFmtId="0" fontId="1" fillId="0" borderId="0"/>
    <xf numFmtId="0" fontId="4" fillId="0" borderId="0"/>
    <xf numFmtId="43" fontId="1" fillId="0" borderId="0" applyFont="0" applyFill="0" applyBorder="0" applyAlignment="0" applyProtection="0"/>
    <xf numFmtId="9" fontId="1" fillId="0" borderId="0" applyFont="0" applyFill="0" applyBorder="0" applyAlignment="0" applyProtection="0"/>
    <xf numFmtId="168" fontId="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2291">
    <xf numFmtId="0" fontId="0" fillId="0" borderId="0" xfId="0"/>
    <xf numFmtId="0" fontId="0" fillId="0" borderId="0" xfId="0" applyFill="1"/>
    <xf numFmtId="0" fontId="0" fillId="0" borderId="0" xfId="0" applyFill="1" applyBorder="1"/>
    <xf numFmtId="0" fontId="0" fillId="2" borderId="0" xfId="0" applyFill="1"/>
    <xf numFmtId="0" fontId="19" fillId="0" borderId="0" xfId="24" applyFont="1" applyProtection="1"/>
    <xf numFmtId="0" fontId="22" fillId="0" borderId="0" xfId="24" applyFont="1" applyProtection="1"/>
    <xf numFmtId="0" fontId="4" fillId="0" borderId="0" xfId="24" applyFont="1" applyProtection="1"/>
    <xf numFmtId="0" fontId="4" fillId="0" borderId="0" xfId="24" applyFont="1" applyFill="1" applyProtection="1"/>
    <xf numFmtId="0" fontId="32" fillId="0" borderId="0" xfId="27" applyFont="1" applyAlignment="1" applyProtection="1"/>
    <xf numFmtId="4" fontId="4" fillId="0" borderId="4" xfId="37" applyNumberFormat="1" applyFont="1" applyFill="1" applyBorder="1" applyAlignment="1" applyProtection="1">
      <alignment horizontal="center" vertical="center"/>
    </xf>
    <xf numFmtId="186" fontId="4" fillId="0" borderId="4" xfId="21" applyNumberFormat="1" applyFont="1" applyFill="1" applyBorder="1" applyAlignment="1" applyProtection="1">
      <alignment horizontal="center" vertical="center"/>
    </xf>
    <xf numFmtId="3" fontId="4" fillId="0" borderId="4" xfId="37" applyNumberFormat="1" applyFont="1" applyFill="1" applyBorder="1" applyAlignment="1" applyProtection="1">
      <alignment horizontal="center" vertical="center"/>
    </xf>
    <xf numFmtId="184" fontId="4" fillId="0" borderId="4" xfId="35" applyNumberFormat="1" applyFont="1" applyFill="1" applyBorder="1" applyAlignment="1" applyProtection="1">
      <alignment horizontal="center" vertical="center"/>
    </xf>
    <xf numFmtId="184" fontId="4" fillId="0" borderId="4" xfId="37" applyNumberFormat="1" applyFont="1" applyFill="1" applyBorder="1" applyAlignment="1" applyProtection="1">
      <alignment horizontal="center" vertical="center"/>
    </xf>
    <xf numFmtId="4" fontId="4" fillId="0" borderId="4" xfId="20" applyNumberFormat="1" applyFont="1" applyFill="1" applyBorder="1" applyAlignment="1" applyProtection="1">
      <alignment horizontal="center" vertical="center"/>
    </xf>
    <xf numFmtId="188" fontId="4" fillId="0" borderId="4" xfId="35" applyNumberFormat="1" applyFont="1" applyFill="1" applyBorder="1" applyAlignment="1" applyProtection="1">
      <alignment horizontal="center" vertical="center"/>
    </xf>
    <xf numFmtId="185" fontId="4" fillId="0" borderId="4" xfId="35" applyNumberFormat="1" applyFont="1" applyFill="1" applyBorder="1" applyAlignment="1" applyProtection="1">
      <alignment horizontal="center" vertical="center"/>
    </xf>
    <xf numFmtId="9" fontId="4" fillId="0" borderId="4" xfId="21" applyFont="1" applyFill="1" applyBorder="1" applyAlignment="1" applyProtection="1">
      <alignment horizontal="center" vertical="center"/>
    </xf>
    <xf numFmtId="184" fontId="22" fillId="0" borderId="4" xfId="37" applyNumberFormat="1" applyFont="1" applyFill="1" applyBorder="1" applyAlignment="1" applyProtection="1">
      <alignment horizontal="left" vertical="center"/>
    </xf>
    <xf numFmtId="0" fontId="4" fillId="0" borderId="22" xfId="37" applyFont="1" applyFill="1" applyBorder="1" applyAlignment="1" applyProtection="1">
      <alignment horizontal="left" vertical="top" wrapText="1"/>
    </xf>
    <xf numFmtId="184" fontId="22" fillId="0" borderId="22" xfId="37" applyNumberFormat="1" applyFont="1" applyFill="1" applyBorder="1" applyAlignment="1" applyProtection="1">
      <alignment horizontal="left" vertical="top" wrapText="1"/>
    </xf>
    <xf numFmtId="189" fontId="41" fillId="0" borderId="4" xfId="21"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2" fillId="0" borderId="0" xfId="0" applyFont="1" applyProtection="1"/>
    <xf numFmtId="0" fontId="0" fillId="0" borderId="0" xfId="0" applyProtection="1">
      <protection locked="0"/>
    </xf>
    <xf numFmtId="0" fontId="0" fillId="0" borderId="0" xfId="0" applyAlignment="1" applyProtection="1">
      <alignment vertical="top" wrapText="1"/>
    </xf>
    <xf numFmtId="0" fontId="0" fillId="0" borderId="0" xfId="0" applyFont="1" applyProtection="1"/>
    <xf numFmtId="0" fontId="28" fillId="0" borderId="0" xfId="0" applyFont="1" applyProtection="1"/>
    <xf numFmtId="0" fontId="10" fillId="0" borderId="0" xfId="0" applyFont="1" applyProtection="1"/>
    <xf numFmtId="0" fontId="32" fillId="0" borderId="0" xfId="27" applyFont="1" applyFill="1" applyBorder="1" applyAlignment="1" applyProtection="1">
      <alignment horizontal="center"/>
    </xf>
    <xf numFmtId="0" fontId="8" fillId="0" borderId="0" xfId="0" applyFont="1" applyProtection="1"/>
    <xf numFmtId="184" fontId="22" fillId="0" borderId="22" xfId="37" applyNumberFormat="1" applyFont="1" applyFill="1" applyBorder="1" applyAlignment="1" applyProtection="1">
      <alignment horizontal="left" vertical="top" wrapText="1" indent="1"/>
    </xf>
    <xf numFmtId="184" fontId="22" fillId="12" borderId="28" xfId="37" applyNumberFormat="1" applyFont="1" applyFill="1" applyBorder="1" applyAlignment="1" applyProtection="1">
      <alignment horizontal="left" vertical="top" wrapText="1"/>
    </xf>
    <xf numFmtId="0" fontId="4" fillId="12" borderId="27" xfId="37" applyFont="1" applyFill="1" applyBorder="1" applyProtection="1"/>
    <xf numFmtId="185" fontId="22" fillId="12" borderId="27" xfId="36" applyNumberFormat="1" applyFont="1" applyFill="1" applyBorder="1" applyAlignment="1" applyProtection="1">
      <alignment horizontal="center" vertical="center"/>
    </xf>
    <xf numFmtId="187" fontId="22" fillId="12" borderId="27" xfId="36" applyNumberFormat="1" applyFont="1" applyFill="1" applyBorder="1" applyAlignment="1" applyProtection="1">
      <alignment horizontal="center" vertical="center"/>
    </xf>
    <xf numFmtId="186" fontId="4" fillId="12" borderId="27" xfId="21" applyNumberFormat="1" applyFont="1" applyFill="1" applyBorder="1" applyAlignment="1" applyProtection="1">
      <alignment horizontal="center" vertical="center"/>
    </xf>
    <xf numFmtId="186" fontId="22" fillId="0" borderId="4" xfId="21" applyNumberFormat="1" applyFont="1" applyFill="1" applyBorder="1" applyAlignment="1" applyProtection="1">
      <alignment horizontal="center" vertical="center"/>
    </xf>
    <xf numFmtId="0" fontId="4" fillId="0" borderId="4" xfId="37" applyFont="1" applyFill="1" applyBorder="1" applyProtection="1"/>
    <xf numFmtId="184" fontId="22" fillId="13" borderId="23" xfId="37" applyNumberFormat="1" applyFont="1" applyFill="1" applyBorder="1" applyAlignment="1" applyProtection="1">
      <alignment horizontal="left" vertical="top" wrapText="1"/>
    </xf>
    <xf numFmtId="0" fontId="4" fillId="13" borderId="24" xfId="37" applyFont="1" applyFill="1" applyBorder="1" applyProtection="1"/>
    <xf numFmtId="187" fontId="22" fillId="13" borderId="24" xfId="36" applyNumberFormat="1" applyFont="1" applyFill="1" applyBorder="1" applyAlignment="1" applyProtection="1">
      <alignment horizontal="center" vertical="center"/>
    </xf>
    <xf numFmtId="186" fontId="4" fillId="13" borderId="24" xfId="21" applyNumberFormat="1" applyFont="1" applyFill="1" applyBorder="1" applyAlignment="1" applyProtection="1">
      <alignment horizontal="center" vertical="center"/>
    </xf>
    <xf numFmtId="186" fontId="22" fillId="13" borderId="4" xfId="21" applyNumberFormat="1" applyFont="1" applyFill="1" applyBorder="1" applyAlignment="1" applyProtection="1">
      <alignment horizontal="center" vertical="center"/>
    </xf>
    <xf numFmtId="184" fontId="22" fillId="13" borderId="22" xfId="37" applyNumberFormat="1" applyFont="1" applyFill="1" applyBorder="1" applyAlignment="1" applyProtection="1">
      <alignment horizontal="left" vertical="top" wrapText="1"/>
    </xf>
    <xf numFmtId="186" fontId="4" fillId="13" borderId="4" xfId="21" applyNumberFormat="1" applyFont="1" applyFill="1" applyBorder="1" applyAlignment="1" applyProtection="1">
      <alignment horizontal="center" vertical="center"/>
    </xf>
    <xf numFmtId="184" fontId="22" fillId="13" borderId="4" xfId="37" applyNumberFormat="1" applyFont="1" applyFill="1" applyBorder="1" applyAlignment="1" applyProtection="1">
      <alignment horizontal="left" vertical="center"/>
    </xf>
    <xf numFmtId="186" fontId="22" fillId="13" borderId="34" xfId="21" applyNumberFormat="1" applyFont="1" applyFill="1" applyBorder="1" applyAlignment="1" applyProtection="1">
      <alignment horizontal="center" vertical="center"/>
    </xf>
    <xf numFmtId="186" fontId="4" fillId="0" borderId="34" xfId="21" applyNumberFormat="1" applyFont="1" applyFill="1" applyBorder="1" applyAlignment="1" applyProtection="1">
      <alignment horizontal="center" vertical="center"/>
    </xf>
    <xf numFmtId="186" fontId="22" fillId="0" borderId="34" xfId="21" applyNumberFormat="1" applyFont="1" applyFill="1" applyBorder="1" applyAlignment="1" applyProtection="1">
      <alignment horizontal="center" vertical="center"/>
    </xf>
    <xf numFmtId="186" fontId="22" fillId="12" borderId="35" xfId="21" applyNumberFormat="1" applyFont="1" applyFill="1" applyBorder="1" applyAlignment="1" applyProtection="1">
      <alignment horizontal="center" vertical="center"/>
    </xf>
    <xf numFmtId="186" fontId="22" fillId="13" borderId="36" xfId="21" applyNumberFormat="1" applyFont="1" applyFill="1" applyBorder="1" applyAlignment="1" applyProtection="1">
      <alignment horizontal="center" vertical="center"/>
    </xf>
    <xf numFmtId="186" fontId="22" fillId="12" borderId="27" xfId="21" applyNumberFormat="1" applyFont="1" applyFill="1" applyBorder="1" applyAlignment="1" applyProtection="1">
      <alignment horizontal="center" vertical="center"/>
    </xf>
    <xf numFmtId="186" fontId="22" fillId="13" borderId="24" xfId="21" applyNumberFormat="1" applyFont="1" applyFill="1" applyBorder="1" applyAlignment="1" applyProtection="1">
      <alignment horizontal="center" vertical="center"/>
    </xf>
    <xf numFmtId="184" fontId="4" fillId="0" borderId="4" xfId="37" applyNumberFormat="1" applyFont="1" applyFill="1" applyBorder="1" applyAlignment="1" applyProtection="1">
      <alignment horizontal="left" vertical="center"/>
    </xf>
    <xf numFmtId="185" fontId="43" fillId="0" borderId="4" xfId="36" applyNumberFormat="1" applyFont="1" applyFill="1" applyBorder="1" applyAlignment="1" applyProtection="1">
      <alignment horizontal="center" vertical="center"/>
    </xf>
    <xf numFmtId="189" fontId="43" fillId="0" borderId="4" xfId="21" applyNumberFormat="1" applyFont="1" applyFill="1" applyBorder="1" applyAlignment="1" applyProtection="1">
      <alignment horizontal="center" vertical="center"/>
    </xf>
    <xf numFmtId="0" fontId="4" fillId="0" borderId="0" xfId="24" applyProtection="1">
      <protection locked="0"/>
    </xf>
    <xf numFmtId="0" fontId="4" fillId="0" borderId="0" xfId="24" applyProtection="1"/>
    <xf numFmtId="0" fontId="18" fillId="0" borderId="0" xfId="24" applyFont="1" applyAlignment="1" applyProtection="1">
      <alignment horizontal="center"/>
    </xf>
    <xf numFmtId="0" fontId="22" fillId="0" borderId="0" xfId="24" applyFont="1" applyAlignment="1" applyProtection="1">
      <alignment horizontal="right"/>
    </xf>
    <xf numFmtId="0" fontId="22" fillId="0" borderId="0" xfId="24" applyFont="1" applyAlignment="1" applyProtection="1">
      <alignment horizontal="center"/>
    </xf>
    <xf numFmtId="0" fontId="22" fillId="0" borderId="27" xfId="24" applyFont="1" applyBorder="1" applyAlignment="1" applyProtection="1">
      <alignment horizontal="center"/>
    </xf>
    <xf numFmtId="0" fontId="22" fillId="0" borderId="10" xfId="24" applyFont="1" applyBorder="1" applyAlignment="1" applyProtection="1">
      <alignment horizontal="center"/>
    </xf>
    <xf numFmtId="0" fontId="22" fillId="0" borderId="8" xfId="24" applyFont="1" applyBorder="1" applyAlignment="1" applyProtection="1">
      <alignment horizontal="center"/>
    </xf>
    <xf numFmtId="0" fontId="22" fillId="0" borderId="29" xfId="24" quotePrefix="1" applyFont="1" applyBorder="1" applyAlignment="1" applyProtection="1">
      <alignment horizontal="center"/>
    </xf>
    <xf numFmtId="0" fontId="22" fillId="0" borderId="13" xfId="24" quotePrefix="1" applyFont="1" applyBorder="1" applyAlignment="1" applyProtection="1">
      <alignment horizontal="center"/>
    </xf>
    <xf numFmtId="0" fontId="4" fillId="0" borderId="0" xfId="24" applyBorder="1" applyAlignment="1" applyProtection="1">
      <alignment vertical="top"/>
    </xf>
    <xf numFmtId="0" fontId="4" fillId="0" borderId="0" xfId="24" applyFill="1" applyBorder="1" applyAlignment="1" applyProtection="1">
      <alignment vertical="top"/>
    </xf>
    <xf numFmtId="0" fontId="4" fillId="0" borderId="12" xfId="24" applyBorder="1" applyAlignment="1" applyProtection="1">
      <alignment vertical="top"/>
    </xf>
    <xf numFmtId="0" fontId="22" fillId="13" borderId="11" xfId="24" applyFont="1" applyFill="1" applyBorder="1" applyAlignment="1" applyProtection="1">
      <alignment vertical="top"/>
    </xf>
    <xf numFmtId="0" fontId="4" fillId="0" borderId="0" xfId="24" applyFont="1" applyFill="1" applyAlignment="1" applyProtection="1">
      <alignment vertical="top" wrapText="1"/>
    </xf>
    <xf numFmtId="0" fontId="4" fillId="0" borderId="0" xfId="24" applyAlignment="1" applyProtection="1">
      <alignment vertical="top"/>
    </xf>
    <xf numFmtId="0" fontId="4" fillId="0" borderId="0" xfId="24" applyFont="1" applyAlignment="1" applyProtection="1">
      <alignment vertical="top"/>
    </xf>
    <xf numFmtId="0" fontId="22" fillId="13" borderId="25" xfId="24" applyFont="1" applyFill="1" applyBorder="1" applyAlignment="1" applyProtection="1">
      <alignment vertical="top" wrapText="1"/>
    </xf>
    <xf numFmtId="0" fontId="4" fillId="0" borderId="0" xfId="24" applyAlignment="1" applyProtection="1">
      <alignment vertical="center"/>
    </xf>
    <xf numFmtId="0" fontId="4" fillId="0" borderId="0" xfId="24" applyAlignment="1" applyProtection="1">
      <alignment vertical="top" wrapText="1"/>
    </xf>
    <xf numFmtId="0" fontId="4" fillId="44" borderId="14" xfId="24" applyFont="1" applyFill="1" applyBorder="1" applyProtection="1"/>
    <xf numFmtId="0" fontId="22" fillId="0" borderId="0" xfId="24" applyFont="1" applyFill="1" applyAlignment="1" applyProtection="1">
      <alignment vertical="top"/>
    </xf>
    <xf numFmtId="0" fontId="4" fillId="0" borderId="0" xfId="24" applyFont="1" applyFill="1" applyAlignment="1" applyProtection="1">
      <alignment horizontal="left" vertical="top" indent="1"/>
    </xf>
    <xf numFmtId="0" fontId="22" fillId="0" borderId="0" xfId="24" applyFont="1" applyAlignment="1" applyProtection="1">
      <alignment horizontal="left" vertical="top" wrapText="1" indent="1"/>
    </xf>
    <xf numFmtId="0" fontId="4" fillId="9" borderId="0" xfId="24" applyFill="1" applyBorder="1" applyProtection="1"/>
    <xf numFmtId="0" fontId="4" fillId="0" borderId="0" xfId="24" applyFill="1" applyProtection="1"/>
    <xf numFmtId="0" fontId="4" fillId="9" borderId="0" xfId="24" applyFill="1" applyProtection="1"/>
    <xf numFmtId="0" fontId="4" fillId="9" borderId="0" xfId="24" applyFill="1" applyAlignment="1" applyProtection="1">
      <alignment horizontal="center"/>
    </xf>
    <xf numFmtId="0" fontId="18" fillId="9" borderId="0" xfId="24" applyFont="1" applyFill="1" applyAlignment="1" applyProtection="1">
      <alignment horizontal="center" wrapText="1"/>
    </xf>
    <xf numFmtId="168" fontId="18" fillId="9" borderId="0" xfId="39" applyFont="1" applyFill="1" applyProtection="1"/>
    <xf numFmtId="192" fontId="18" fillId="9" borderId="0" xfId="39" applyNumberFormat="1" applyFont="1" applyFill="1" applyProtection="1"/>
    <xf numFmtId="0" fontId="18" fillId="9" borderId="0" xfId="24" applyFont="1" applyFill="1" applyBorder="1" applyAlignment="1" applyProtection="1">
      <alignment wrapText="1"/>
    </xf>
    <xf numFmtId="0" fontId="30" fillId="9" borderId="0" xfId="24" applyFont="1" applyFill="1" applyProtection="1"/>
    <xf numFmtId="190" fontId="4" fillId="3" borderId="52" xfId="88" applyNumberFormat="1" applyFont="1" applyFill="1" applyBorder="1" applyProtection="1">
      <protection locked="0"/>
    </xf>
    <xf numFmtId="194" fontId="4" fillId="3" borderId="52" xfId="39" applyNumberFormat="1" applyFont="1" applyFill="1" applyBorder="1" applyProtection="1">
      <protection locked="0"/>
    </xf>
    <xf numFmtId="194" fontId="4" fillId="9" borderId="0" xfId="39" applyNumberFormat="1" applyFont="1" applyFill="1" applyProtection="1"/>
    <xf numFmtId="190" fontId="4" fillId="9" borderId="51" xfId="88" applyNumberFormat="1" applyFont="1" applyFill="1" applyBorder="1" applyProtection="1"/>
    <xf numFmtId="168" fontId="4" fillId="9" borderId="51" xfId="39" applyFont="1" applyFill="1" applyBorder="1" applyProtection="1"/>
    <xf numFmtId="194" fontId="4" fillId="9" borderId="51" xfId="39" applyNumberFormat="1" applyFont="1" applyFill="1" applyBorder="1" applyProtection="1"/>
    <xf numFmtId="190" fontId="4" fillId="9" borderId="0" xfId="88" applyNumberFormat="1" applyFont="1" applyFill="1" applyProtection="1"/>
    <xf numFmtId="0" fontId="22" fillId="0" borderId="0" xfId="24" applyFont="1" applyAlignment="1" applyProtection="1">
      <alignment horizontal="right" vertical="top"/>
    </xf>
    <xf numFmtId="194" fontId="4" fillId="2" borderId="0" xfId="39" applyNumberFormat="1" applyFont="1" applyFill="1" applyProtection="1"/>
    <xf numFmtId="190" fontId="4" fillId="9" borderId="52" xfId="88" applyNumberFormat="1" applyFont="1" applyFill="1" applyBorder="1" applyProtection="1"/>
    <xf numFmtId="192" fontId="4" fillId="9" borderId="52" xfId="39" applyNumberFormat="1" applyFont="1" applyFill="1" applyBorder="1" applyProtection="1"/>
    <xf numFmtId="194" fontId="4" fillId="9" borderId="52" xfId="39" applyNumberFormat="1" applyFont="1" applyFill="1" applyBorder="1" applyProtection="1"/>
    <xf numFmtId="168" fontId="4" fillId="9" borderId="0" xfId="39" applyFont="1" applyFill="1" applyProtection="1"/>
    <xf numFmtId="0" fontId="18" fillId="0" borderId="0" xfId="0" applyFont="1" applyAlignment="1" applyProtection="1">
      <alignment horizontal="center"/>
    </xf>
    <xf numFmtId="0" fontId="18" fillId="9" borderId="0" xfId="0" applyFont="1" applyFill="1" applyProtection="1"/>
    <xf numFmtId="0" fontId="0" fillId="9" borderId="0" xfId="0" applyFill="1" applyAlignment="1" applyProtection="1">
      <alignment horizontal="center"/>
    </xf>
    <xf numFmtId="0" fontId="0" fillId="9" borderId="0" xfId="0" applyFill="1" applyProtection="1"/>
    <xf numFmtId="0" fontId="18" fillId="9" borderId="0" xfId="0" applyFont="1" applyFill="1" applyAlignment="1" applyProtection="1">
      <alignment horizontal="center" wrapText="1"/>
    </xf>
    <xf numFmtId="0" fontId="11" fillId="0" borderId="0" xfId="0" applyFont="1" applyProtection="1"/>
    <xf numFmtId="0" fontId="0" fillId="0" borderId="0" xfId="0" applyBorder="1" applyProtection="1"/>
    <xf numFmtId="0" fontId="0" fillId="0" borderId="0" xfId="0" applyAlignment="1" applyProtection="1">
      <alignment horizontal="left" vertical="top"/>
    </xf>
    <xf numFmtId="0" fontId="4" fillId="9" borderId="0" xfId="96" applyFill="1" applyProtection="1"/>
    <xf numFmtId="10" fontId="4" fillId="9" borderId="0" xfId="96" applyNumberFormat="1" applyFill="1" applyAlignment="1" applyProtection="1">
      <alignment horizontal="center"/>
    </xf>
    <xf numFmtId="0" fontId="8" fillId="9" borderId="0" xfId="0" applyFont="1" applyFill="1" applyProtection="1"/>
    <xf numFmtId="0" fontId="27" fillId="0" borderId="0" xfId="0" applyFont="1" applyProtection="1"/>
    <xf numFmtId="0" fontId="34" fillId="0" borderId="0" xfId="0" applyFont="1" applyProtection="1"/>
    <xf numFmtId="168" fontId="18" fillId="3" borderId="0" xfId="39" applyFont="1" applyFill="1" applyProtection="1">
      <protection locked="0"/>
    </xf>
    <xf numFmtId="0" fontId="27" fillId="9" borderId="0" xfId="0" applyFont="1" applyFill="1" applyProtection="1"/>
    <xf numFmtId="0" fontId="34" fillId="9" borderId="0" xfId="0" applyFont="1" applyFill="1" applyProtection="1"/>
    <xf numFmtId="192" fontId="18" fillId="3" borderId="0" xfId="39" applyNumberFormat="1" applyFont="1" applyFill="1" applyProtection="1">
      <protection locked="0"/>
    </xf>
    <xf numFmtId="0" fontId="18" fillId="0" borderId="0" xfId="0" applyFont="1" applyProtection="1"/>
    <xf numFmtId="0" fontId="69" fillId="9" borderId="0" xfId="0" applyFont="1" applyFill="1" applyAlignment="1" applyProtection="1">
      <alignment horizontal="left"/>
    </xf>
    <xf numFmtId="0" fontId="68" fillId="9" borderId="0" xfId="0" applyFont="1" applyFill="1" applyAlignment="1" applyProtection="1">
      <alignment horizontal="center"/>
    </xf>
    <xf numFmtId="0" fontId="70" fillId="9" borderId="0" xfId="0" applyFont="1" applyFill="1" applyAlignment="1" applyProtection="1">
      <alignment horizontal="left"/>
    </xf>
    <xf numFmtId="0" fontId="27" fillId="9" borderId="0" xfId="0" applyFont="1" applyFill="1" applyAlignment="1" applyProtection="1">
      <alignment horizontal="center"/>
    </xf>
    <xf numFmtId="0" fontId="34" fillId="9" borderId="0" xfId="0" applyFont="1" applyFill="1" applyAlignment="1" applyProtection="1">
      <alignment horizontal="center"/>
    </xf>
    <xf numFmtId="0" fontId="22" fillId="0" borderId="0" xfId="24" applyFont="1" applyAlignment="1" applyProtection="1">
      <alignment horizontal="center" vertical="center"/>
    </xf>
    <xf numFmtId="0" fontId="71" fillId="9" borderId="0" xfId="24" applyFont="1" applyFill="1" applyAlignment="1" applyProtection="1">
      <alignment horizontal="center" wrapText="1"/>
    </xf>
    <xf numFmtId="0" fontId="4" fillId="9" borderId="0" xfId="24" applyFont="1" applyFill="1" applyProtection="1"/>
    <xf numFmtId="194" fontId="6" fillId="3" borderId="52" xfId="39" applyNumberFormat="1" applyFont="1" applyFill="1" applyBorder="1" applyProtection="1">
      <protection locked="0"/>
    </xf>
    <xf numFmtId="0" fontId="4" fillId="9" borderId="0" xfId="24" applyFont="1" applyFill="1" applyBorder="1" applyProtection="1"/>
    <xf numFmtId="0" fontId="4" fillId="9" borderId="0" xfId="24" applyFont="1" applyFill="1" applyAlignment="1" applyProtection="1">
      <alignment horizontal="center"/>
    </xf>
    <xf numFmtId="0" fontId="41" fillId="0" borderId="0" xfId="24" applyFont="1" applyAlignment="1" applyProtection="1">
      <alignment horizontal="center" wrapText="1"/>
    </xf>
    <xf numFmtId="0" fontId="22" fillId="9" borderId="0" xfId="24" applyFont="1" applyFill="1" applyAlignment="1" applyProtection="1">
      <alignment horizontal="center" wrapText="1"/>
    </xf>
    <xf numFmtId="0" fontId="32" fillId="0" borderId="0" xfId="31" applyFont="1" applyBorder="1" applyAlignment="1" applyProtection="1">
      <alignment horizontal="right" vertical="center" wrapText="1"/>
    </xf>
    <xf numFmtId="0" fontId="32" fillId="0" borderId="0" xfId="31" applyFont="1" applyBorder="1" applyAlignment="1" applyProtection="1">
      <alignment horizontal="center" vertical="center" wrapText="1"/>
    </xf>
    <xf numFmtId="10" fontId="32" fillId="0" borderId="0" xfId="31" applyNumberFormat="1" applyFont="1" applyFill="1" applyBorder="1" applyAlignment="1" applyProtection="1">
      <alignment horizontal="center" vertical="center" wrapText="1"/>
    </xf>
    <xf numFmtId="0" fontId="26" fillId="0" borderId="0" xfId="31" applyFont="1" applyBorder="1" applyAlignment="1" applyProtection="1">
      <alignment horizontal="right" vertical="center" wrapText="1"/>
    </xf>
    <xf numFmtId="0" fontId="33" fillId="4" borderId="0" xfId="31" applyFont="1" applyFill="1" applyBorder="1" applyAlignment="1" applyProtection="1">
      <alignment horizontal="center" vertical="center"/>
      <protection locked="0"/>
    </xf>
    <xf numFmtId="10" fontId="32" fillId="0" borderId="0" xfId="21" applyNumberFormat="1" applyFont="1" applyFill="1" applyBorder="1" applyAlignment="1" applyProtection="1">
      <alignment horizontal="center" vertical="center"/>
    </xf>
    <xf numFmtId="0" fontId="0" fillId="0" borderId="0" xfId="0" applyFont="1" applyBorder="1" applyProtection="1"/>
    <xf numFmtId="0" fontId="22" fillId="0" borderId="0" xfId="31" applyFont="1" applyAlignment="1" applyProtection="1">
      <alignment horizontal="center" wrapText="1"/>
    </xf>
    <xf numFmtId="0" fontId="0" fillId="0" borderId="30" xfId="0" applyBorder="1" applyAlignment="1" applyProtection="1">
      <alignment wrapText="1"/>
    </xf>
    <xf numFmtId="0" fontId="0" fillId="0" borderId="31" xfId="0" applyBorder="1" applyProtection="1"/>
    <xf numFmtId="0" fontId="58" fillId="9" borderId="0" xfId="24" applyFont="1" applyFill="1" applyAlignment="1" applyProtection="1">
      <alignment vertical="top" wrapText="1"/>
    </xf>
    <xf numFmtId="0" fontId="5" fillId="0" borderId="0" xfId="24" applyFont="1" applyAlignment="1" applyProtection="1">
      <alignment horizontal="right" vertical="top"/>
    </xf>
    <xf numFmtId="0" fontId="59" fillId="9" borderId="0" xfId="24" applyFont="1" applyFill="1" applyBorder="1" applyAlignment="1" applyProtection="1"/>
    <xf numFmtId="0" fontId="4" fillId="9" borderId="0" xfId="24" applyFill="1" applyBorder="1" applyAlignment="1" applyProtection="1">
      <alignment horizontal="left" indent="1"/>
    </xf>
    <xf numFmtId="0" fontId="18" fillId="9" borderId="0" xfId="24" applyFont="1" applyFill="1" applyBorder="1" applyAlignment="1" applyProtection="1"/>
    <xf numFmtId="0" fontId="39" fillId="0" borderId="0" xfId="24" applyFont="1" applyAlignment="1" applyProtection="1"/>
    <xf numFmtId="0" fontId="18" fillId="0" borderId="0" xfId="24" applyFont="1" applyProtection="1"/>
    <xf numFmtId="0" fontId="22" fillId="0" borderId="4" xfId="24" applyFont="1" applyBorder="1" applyAlignment="1" applyProtection="1">
      <alignment horizontal="center" vertical="center" wrapText="1"/>
    </xf>
    <xf numFmtId="0" fontId="4" fillId="4" borderId="4" xfId="24" applyFill="1" applyBorder="1" applyAlignment="1" applyProtection="1">
      <alignment horizontal="center" vertical="center"/>
      <protection locked="0"/>
    </xf>
    <xf numFmtId="190" fontId="0" fillId="0" borderId="4" xfId="88" applyNumberFormat="1" applyFont="1" applyBorder="1" applyAlignment="1" applyProtection="1">
      <alignment horizontal="center" vertical="center"/>
      <protection locked="0"/>
    </xf>
    <xf numFmtId="0" fontId="22" fillId="10" borderId="4" xfId="24" applyFont="1" applyFill="1" applyBorder="1" applyAlignment="1" applyProtection="1">
      <alignment horizontal="center" vertical="center"/>
    </xf>
    <xf numFmtId="0" fontId="4" fillId="0" borderId="4" xfId="24" applyBorder="1" applyAlignment="1" applyProtection="1">
      <alignment horizontal="center" vertical="center"/>
    </xf>
    <xf numFmtId="168" fontId="0" fillId="0" borderId="4" xfId="39" applyFont="1" applyBorder="1" applyAlignment="1" applyProtection="1">
      <alignment horizontal="center" vertical="center"/>
    </xf>
    <xf numFmtId="181" fontId="0" fillId="0" borderId="4" xfId="40" applyNumberFormat="1" applyFont="1" applyBorder="1" applyAlignment="1" applyProtection="1">
      <alignment horizontal="center" vertical="center"/>
    </xf>
    <xf numFmtId="0" fontId="4" fillId="50" borderId="0" xfId="24" applyFill="1" applyProtection="1">
      <protection locked="0"/>
    </xf>
    <xf numFmtId="0" fontId="22" fillId="0" borderId="0" xfId="24" applyFont="1" applyAlignment="1" applyProtection="1">
      <alignment horizontal="right" vertical="center"/>
    </xf>
    <xf numFmtId="0" fontId="75" fillId="2" borderId="0" xfId="24" applyFont="1" applyFill="1" applyBorder="1" applyAlignment="1" applyProtection="1">
      <alignment vertical="top"/>
    </xf>
    <xf numFmtId="0" fontId="22" fillId="2" borderId="4" xfId="88" applyNumberFormat="1" applyFont="1" applyFill="1" applyBorder="1" applyAlignment="1" applyProtection="1">
      <alignment horizontal="center" vertical="center"/>
    </xf>
    <xf numFmtId="0" fontId="18" fillId="2" borderId="0" xfId="24" applyFont="1" applyFill="1" applyAlignment="1" applyProtection="1">
      <alignment vertical="center"/>
    </xf>
    <xf numFmtId="0" fontId="22" fillId="0" borderId="0" xfId="24" applyFont="1" applyAlignment="1" applyProtection="1">
      <alignment horizontal="left"/>
    </xf>
    <xf numFmtId="183" fontId="22" fillId="2" borderId="4" xfId="40" applyNumberFormat="1" applyFont="1" applyFill="1" applyBorder="1" applyProtection="1"/>
    <xf numFmtId="192" fontId="4" fillId="3" borderId="49" xfId="39" applyNumberFormat="1" applyFill="1" applyBorder="1" applyAlignment="1" applyProtection="1">
      <alignment vertical="top"/>
    </xf>
    <xf numFmtId="192" fontId="4" fillId="0" borderId="49" xfId="39" applyNumberFormat="1" applyFill="1" applyBorder="1" applyAlignment="1" applyProtection="1">
      <alignment vertical="top"/>
    </xf>
    <xf numFmtId="1" fontId="4" fillId="2" borderId="49" xfId="24" applyNumberFormat="1" applyFont="1" applyFill="1" applyBorder="1" applyAlignment="1" applyProtection="1">
      <alignment vertical="center"/>
    </xf>
    <xf numFmtId="0" fontId="4" fillId="0" borderId="12" xfId="24" applyBorder="1" applyAlignment="1" applyProtection="1">
      <alignment vertical="center" wrapText="1"/>
    </xf>
    <xf numFmtId="0" fontId="22" fillId="13" borderId="18" xfId="24" applyFont="1" applyFill="1" applyBorder="1" applyAlignment="1" applyProtection="1">
      <alignment vertical="top" wrapText="1"/>
    </xf>
    <xf numFmtId="1" fontId="4" fillId="2" borderId="49" xfId="0" applyNumberFormat="1" applyFont="1" applyFill="1" applyBorder="1" applyAlignment="1" applyProtection="1">
      <alignment vertical="center"/>
    </xf>
    <xf numFmtId="168" fontId="10" fillId="2" borderId="49" xfId="35" applyFont="1" applyFill="1" applyBorder="1" applyAlignment="1" applyProtection="1">
      <alignment horizontal="right" vertical="center"/>
      <protection locked="0"/>
    </xf>
    <xf numFmtId="0" fontId="4" fillId="0" borderId="49" xfId="24" applyFont="1" applyFill="1" applyBorder="1" applyAlignment="1" applyProtection="1">
      <alignment horizontal="right" vertical="center"/>
      <protection locked="0"/>
    </xf>
    <xf numFmtId="168" fontId="10" fillId="0" borderId="10" xfId="39" applyFont="1" applyBorder="1" applyAlignment="1" applyProtection="1">
      <alignment horizontal="right" vertical="center"/>
    </xf>
    <xf numFmtId="0" fontId="4" fillId="0" borderId="10" xfId="24" applyFont="1" applyFill="1" applyBorder="1" applyAlignment="1" applyProtection="1">
      <alignment horizontal="right" vertical="center"/>
      <protection locked="0"/>
    </xf>
    <xf numFmtId="168" fontId="4" fillId="0" borderId="49" xfId="24" applyNumberFormat="1" applyFont="1" applyBorder="1" applyAlignment="1" applyProtection="1">
      <alignment horizontal="right" vertical="center"/>
    </xf>
    <xf numFmtId="10" fontId="10" fillId="0" borderId="10" xfId="40" applyNumberFormat="1" applyFont="1" applyBorder="1" applyAlignment="1" applyProtection="1">
      <alignment horizontal="right" vertical="center"/>
    </xf>
    <xf numFmtId="192" fontId="10" fillId="2" borderId="49" xfId="39" applyNumberFormat="1" applyFont="1" applyFill="1" applyBorder="1" applyAlignment="1" applyProtection="1">
      <alignment horizontal="right" vertical="center"/>
      <protection locked="0"/>
    </xf>
    <xf numFmtId="190" fontId="4" fillId="0" borderId="49" xfId="24" applyNumberFormat="1" applyFont="1" applyFill="1" applyBorder="1" applyAlignment="1" applyProtection="1">
      <alignment horizontal="right" vertical="center"/>
      <protection locked="0"/>
    </xf>
    <xf numFmtId="168" fontId="10" fillId="2" borderId="49" xfId="39" applyNumberFormat="1" applyFont="1" applyFill="1" applyBorder="1" applyAlignment="1" applyProtection="1">
      <alignment horizontal="right" vertical="center"/>
      <protection locked="0"/>
    </xf>
    <xf numFmtId="193" fontId="10" fillId="2" borderId="29" xfId="39" applyNumberFormat="1" applyFont="1" applyFill="1" applyBorder="1" applyAlignment="1" applyProtection="1">
      <alignment horizontal="right" vertical="center"/>
      <protection locked="0"/>
    </xf>
    <xf numFmtId="190" fontId="4" fillId="0" borderId="29" xfId="24" applyNumberFormat="1" applyFont="1" applyFill="1" applyBorder="1" applyAlignment="1" applyProtection="1">
      <alignment horizontal="right" vertical="center"/>
      <protection locked="0"/>
    </xf>
    <xf numFmtId="192" fontId="10" fillId="13" borderId="29" xfId="39" applyNumberFormat="1" applyFont="1" applyFill="1" applyBorder="1" applyAlignment="1" applyProtection="1">
      <alignment horizontal="right" vertical="center"/>
      <protection locked="0"/>
    </xf>
    <xf numFmtId="0" fontId="4" fillId="13" borderId="29" xfId="24" applyFont="1" applyFill="1" applyBorder="1" applyAlignment="1" applyProtection="1">
      <alignment horizontal="right" vertical="center"/>
      <protection locked="0"/>
    </xf>
    <xf numFmtId="168" fontId="10" fillId="13" borderId="4" xfId="39" applyFont="1" applyFill="1" applyBorder="1" applyAlignment="1" applyProtection="1">
      <alignment horizontal="right" vertical="center"/>
    </xf>
    <xf numFmtId="0" fontId="4" fillId="13" borderId="13" xfId="24" applyFont="1" applyFill="1" applyBorder="1" applyAlignment="1" applyProtection="1">
      <alignment horizontal="right" vertical="center"/>
      <protection locked="0"/>
    </xf>
    <xf numFmtId="190" fontId="4" fillId="0" borderId="49" xfId="20" applyNumberFormat="1" applyFont="1" applyFill="1" applyBorder="1" applyAlignment="1" applyProtection="1">
      <alignment horizontal="right" vertical="center"/>
      <protection locked="0"/>
    </xf>
    <xf numFmtId="193" fontId="10" fillId="2" borderId="49" xfId="39" applyNumberFormat="1" applyFont="1" applyFill="1" applyBorder="1" applyAlignment="1" applyProtection="1">
      <alignment horizontal="right" vertical="center"/>
      <protection locked="0"/>
    </xf>
    <xf numFmtId="0" fontId="4" fillId="13" borderId="4" xfId="24" applyFont="1" applyFill="1" applyBorder="1" applyAlignment="1" applyProtection="1">
      <alignment horizontal="right" vertical="center"/>
      <protection locked="0"/>
    </xf>
    <xf numFmtId="168" fontId="22" fillId="13" borderId="26" xfId="24" applyNumberFormat="1" applyFont="1" applyFill="1" applyBorder="1" applyAlignment="1" applyProtection="1">
      <alignment horizontal="right" vertical="center"/>
    </xf>
    <xf numFmtId="0" fontId="4" fillId="13" borderId="26" xfId="24" applyFont="1" applyFill="1" applyBorder="1" applyAlignment="1" applyProtection="1">
      <alignment horizontal="right" vertical="center"/>
      <protection locked="0"/>
    </xf>
    <xf numFmtId="10" fontId="22" fillId="13" borderId="26" xfId="40" applyNumberFormat="1" applyFont="1" applyFill="1" applyBorder="1" applyAlignment="1" applyProtection="1">
      <alignment horizontal="right" vertical="center"/>
    </xf>
    <xf numFmtId="0" fontId="22" fillId="13" borderId="4" xfId="24" applyFont="1" applyFill="1" applyBorder="1" applyAlignment="1" applyProtection="1">
      <alignment horizontal="right" vertical="center"/>
      <protection locked="0"/>
    </xf>
    <xf numFmtId="0" fontId="22" fillId="13" borderId="26" xfId="24" applyFont="1" applyFill="1" applyBorder="1" applyAlignment="1" applyProtection="1">
      <alignment horizontal="right" vertical="center"/>
      <protection locked="0"/>
    </xf>
    <xf numFmtId="192" fontId="4" fillId="2" borderId="49" xfId="39" applyNumberFormat="1" applyFont="1" applyFill="1" applyBorder="1" applyAlignment="1" applyProtection="1">
      <alignment horizontal="right" vertical="center"/>
      <protection locked="0"/>
    </xf>
    <xf numFmtId="168" fontId="4" fillId="0" borderId="10" xfId="39" applyFont="1" applyBorder="1" applyAlignment="1" applyProtection="1">
      <alignment horizontal="right" vertical="center"/>
    </xf>
    <xf numFmtId="192" fontId="4" fillId="44" borderId="50" xfId="39" applyNumberFormat="1" applyFont="1" applyFill="1" applyBorder="1" applyAlignment="1" applyProtection="1">
      <alignment horizontal="right" vertical="center"/>
      <protection locked="0"/>
    </xf>
    <xf numFmtId="0" fontId="4" fillId="44" borderId="31" xfId="24" applyFont="1" applyFill="1" applyBorder="1" applyAlignment="1" applyProtection="1">
      <alignment horizontal="right" vertical="center"/>
      <protection locked="0"/>
    </xf>
    <xf numFmtId="168" fontId="4" fillId="44" borderId="15" xfId="39" applyFont="1" applyFill="1" applyBorder="1" applyAlignment="1" applyProtection="1">
      <alignment horizontal="right" vertical="center"/>
    </xf>
    <xf numFmtId="0" fontId="4" fillId="44" borderId="50" xfId="24" applyFont="1" applyFill="1" applyBorder="1" applyAlignment="1" applyProtection="1">
      <alignment horizontal="right" vertical="center"/>
      <protection locked="0"/>
    </xf>
    <xf numFmtId="10" fontId="4" fillId="44" borderId="16" xfId="40" applyNumberFormat="1" applyFont="1" applyFill="1" applyBorder="1" applyAlignment="1" applyProtection="1">
      <alignment horizontal="right" vertical="center"/>
    </xf>
    <xf numFmtId="9" fontId="4" fillId="0" borderId="49" xfId="24" applyNumberFormat="1" applyFont="1" applyFill="1" applyBorder="1" applyAlignment="1" applyProtection="1">
      <alignment horizontal="right" vertical="center"/>
    </xf>
    <xf numFmtId="9" fontId="4" fillId="0" borderId="0" xfId="24" applyNumberFormat="1" applyFont="1" applyFill="1" applyBorder="1" applyAlignment="1" applyProtection="1">
      <alignment horizontal="right" vertical="center"/>
    </xf>
    <xf numFmtId="168" fontId="22" fillId="0" borderId="9" xfId="24" applyNumberFormat="1" applyFont="1" applyFill="1" applyBorder="1" applyAlignment="1" applyProtection="1">
      <alignment horizontal="right" vertical="center"/>
    </xf>
    <xf numFmtId="9" fontId="22" fillId="0" borderId="49" xfId="24" applyNumberFormat="1" applyFont="1" applyFill="1" applyBorder="1" applyAlignment="1" applyProtection="1">
      <alignment horizontal="right" vertical="center"/>
    </xf>
    <xf numFmtId="0" fontId="4" fillId="0" borderId="0" xfId="24" applyFont="1" applyFill="1" applyBorder="1" applyAlignment="1" applyProtection="1">
      <alignment horizontal="right" vertical="center"/>
    </xf>
    <xf numFmtId="168" fontId="4" fillId="0" borderId="9" xfId="24" applyNumberFormat="1" applyFont="1" applyFill="1" applyBorder="1" applyAlignment="1" applyProtection="1">
      <alignment horizontal="right" vertical="center"/>
    </xf>
    <xf numFmtId="0" fontId="4" fillId="0" borderId="49" xfId="24" applyFont="1" applyFill="1" applyBorder="1" applyAlignment="1" applyProtection="1">
      <alignment horizontal="right" vertical="center"/>
    </xf>
    <xf numFmtId="0" fontId="4" fillId="13" borderId="29" xfId="24" applyFont="1" applyFill="1" applyBorder="1" applyAlignment="1" applyProtection="1">
      <alignment horizontal="right" vertical="center"/>
    </xf>
    <xf numFmtId="0" fontId="4" fillId="13" borderId="12" xfId="24" applyFont="1" applyFill="1" applyBorder="1" applyAlignment="1" applyProtection="1">
      <alignment horizontal="right" vertical="center"/>
    </xf>
    <xf numFmtId="168" fontId="22" fillId="13" borderId="11" xfId="24" applyNumberFormat="1" applyFont="1" applyFill="1" applyBorder="1" applyAlignment="1" applyProtection="1">
      <alignment horizontal="right" vertical="center"/>
    </xf>
    <xf numFmtId="0" fontId="22" fillId="13" borderId="29" xfId="24" applyFont="1" applyFill="1" applyBorder="1" applyAlignment="1" applyProtection="1">
      <alignment horizontal="right" vertical="center"/>
    </xf>
    <xf numFmtId="192" fontId="4" fillId="44" borderId="31" xfId="39" applyNumberFormat="1" applyFont="1" applyFill="1" applyBorder="1" applyAlignment="1" applyProtection="1">
      <alignment vertical="top"/>
      <protection locked="0"/>
    </xf>
    <xf numFmtId="0" fontId="4" fillId="44" borderId="15" xfId="24" applyFont="1" applyFill="1" applyBorder="1" applyAlignment="1" applyProtection="1">
      <alignment vertical="center"/>
      <protection locked="0"/>
    </xf>
    <xf numFmtId="168" fontId="4" fillId="44" borderId="33" xfId="39" applyFont="1" applyFill="1" applyBorder="1" applyAlignment="1" applyProtection="1">
      <alignment vertical="center"/>
      <protection locked="0"/>
    </xf>
    <xf numFmtId="0" fontId="4" fillId="44" borderId="31" xfId="24" applyFont="1" applyFill="1" applyBorder="1" applyAlignment="1" applyProtection="1">
      <alignment vertical="center"/>
      <protection locked="0"/>
    </xf>
    <xf numFmtId="168" fontId="4" fillId="44" borderId="50" xfId="39" applyFont="1" applyFill="1" applyBorder="1" applyAlignment="1" applyProtection="1">
      <alignment vertical="center"/>
      <protection locked="0"/>
    </xf>
    <xf numFmtId="168" fontId="4" fillId="44" borderId="31" xfId="24" applyNumberFormat="1" applyFont="1" applyFill="1" applyBorder="1" applyAlignment="1" applyProtection="1">
      <alignment vertical="center"/>
      <protection locked="0"/>
    </xf>
    <xf numFmtId="10" fontId="4" fillId="44" borderId="16" xfId="40" applyNumberFormat="1" applyFont="1" applyFill="1" applyBorder="1" applyAlignment="1" applyProtection="1">
      <alignment vertical="center"/>
      <protection locked="0"/>
    </xf>
    <xf numFmtId="0" fontId="10" fillId="0" borderId="49" xfId="0" applyFont="1" applyFill="1" applyBorder="1" applyAlignment="1" applyProtection="1">
      <alignment vertical="center"/>
    </xf>
    <xf numFmtId="1" fontId="10" fillId="0" borderId="49" xfId="0" applyNumberFormat="1" applyFont="1" applyFill="1" applyBorder="1" applyAlignment="1" applyProtection="1">
      <alignment vertical="center"/>
    </xf>
    <xf numFmtId="9" fontId="10" fillId="0" borderId="49" xfId="0" applyNumberFormat="1" applyFont="1" applyFill="1" applyBorder="1" applyAlignment="1" applyProtection="1">
      <alignment vertical="top"/>
    </xf>
    <xf numFmtId="192" fontId="10" fillId="47" borderId="49" xfId="39" applyNumberFormat="1" applyFont="1" applyFill="1" applyBorder="1" applyAlignment="1" applyProtection="1">
      <alignment horizontal="right" vertical="center"/>
      <protection locked="0"/>
    </xf>
    <xf numFmtId="168" fontId="22" fillId="13" borderId="49" xfId="24" applyNumberFormat="1" applyFont="1" applyFill="1" applyBorder="1" applyAlignment="1" applyProtection="1">
      <alignment horizontal="right" vertical="center"/>
    </xf>
    <xf numFmtId="10" fontId="13" fillId="13" borderId="10" xfId="40" applyNumberFormat="1" applyFont="1" applyFill="1" applyBorder="1" applyAlignment="1" applyProtection="1">
      <alignment horizontal="right" vertical="center"/>
    </xf>
    <xf numFmtId="0" fontId="22" fillId="0" borderId="0" xfId="24" applyFont="1" applyFill="1" applyAlignment="1" applyProtection="1">
      <alignment vertical="top" wrapText="1"/>
    </xf>
    <xf numFmtId="190" fontId="4" fillId="51" borderId="49" xfId="20" applyNumberFormat="1" applyFont="1" applyFill="1" applyBorder="1" applyAlignment="1" applyProtection="1">
      <alignment horizontal="right" vertical="center"/>
      <protection locked="0"/>
    </xf>
    <xf numFmtId="190" fontId="4" fillId="51" borderId="10" xfId="20" applyNumberFormat="1" applyFont="1" applyFill="1" applyBorder="1" applyAlignment="1" applyProtection="1">
      <alignment horizontal="right" vertical="center"/>
      <protection locked="0"/>
    </xf>
    <xf numFmtId="0" fontId="10" fillId="51" borderId="49" xfId="0" applyFont="1" applyFill="1" applyBorder="1" applyAlignment="1" applyProtection="1">
      <alignment vertical="center"/>
    </xf>
    <xf numFmtId="0" fontId="40" fillId="45" borderId="0" xfId="24" applyFont="1" applyFill="1" applyAlignment="1" applyProtection="1">
      <alignment horizontal="center" vertical="center"/>
    </xf>
    <xf numFmtId="0" fontId="22" fillId="9" borderId="0" xfId="24" applyFont="1" applyFill="1" applyBorder="1" applyAlignment="1" applyProtection="1">
      <alignment horizontal="center" wrapText="1"/>
    </xf>
    <xf numFmtId="0" fontId="22" fillId="0" borderId="0" xfId="24" applyFont="1" applyAlignment="1" applyProtection="1">
      <alignment horizontal="center" wrapText="1"/>
    </xf>
    <xf numFmtId="0" fontId="22" fillId="0" borderId="0" xfId="24" applyFont="1" applyAlignment="1" applyProtection="1">
      <alignment vertical="center" wrapText="1"/>
    </xf>
    <xf numFmtId="0" fontId="19" fillId="0" borderId="0" xfId="24" applyFont="1" applyAlignment="1" applyProtection="1">
      <alignment horizontal="center" vertical="center"/>
    </xf>
    <xf numFmtId="183" fontId="19" fillId="0" borderId="0" xfId="24" applyNumberFormat="1" applyFont="1" applyAlignment="1" applyProtection="1">
      <alignment horizontal="center" vertical="center"/>
    </xf>
    <xf numFmtId="3" fontId="19" fillId="0" borderId="0" xfId="24" applyNumberFormat="1" applyFont="1" applyAlignment="1" applyProtection="1">
      <alignment horizontal="center" vertical="center" wrapText="1"/>
    </xf>
    <xf numFmtId="183" fontId="19" fillId="0" borderId="0" xfId="24" applyNumberFormat="1" applyFont="1" applyAlignment="1" applyProtection="1">
      <alignment horizontal="center" vertical="center" wrapText="1"/>
    </xf>
    <xf numFmtId="0" fontId="19" fillId="0" borderId="0" xfId="24" applyFont="1" applyAlignment="1" applyProtection="1">
      <alignment horizontal="center" vertical="center" wrapText="1"/>
    </xf>
    <xf numFmtId="3" fontId="4" fillId="0" borderId="0" xfId="24" applyNumberFormat="1" applyProtection="1"/>
    <xf numFmtId="183" fontId="4" fillId="0" borderId="0" xfId="24" applyNumberFormat="1" applyProtection="1"/>
    <xf numFmtId="0" fontId="4" fillId="0" borderId="0" xfId="24" applyAlignment="1" applyProtection="1">
      <alignment horizontal="center"/>
    </xf>
    <xf numFmtId="0" fontId="40" fillId="0" borderId="0" xfId="24" applyFont="1" applyFill="1" applyAlignment="1" applyProtection="1">
      <alignment horizontal="left" vertical="center"/>
    </xf>
    <xf numFmtId="0" fontId="40" fillId="0" borderId="0" xfId="24" applyFont="1" applyFill="1" applyAlignment="1" applyProtection="1">
      <alignment horizontal="center" vertical="center" wrapText="1"/>
    </xf>
    <xf numFmtId="0" fontId="62" fillId="45" borderId="0" xfId="0" applyFont="1" applyFill="1" applyAlignment="1" applyProtection="1">
      <alignment horizontal="left" vertical="center"/>
    </xf>
    <xf numFmtId="0" fontId="62" fillId="45" borderId="0" xfId="0" applyFont="1" applyFill="1" applyAlignment="1" applyProtection="1">
      <alignment horizontal="center" vertical="center" wrapText="1"/>
    </xf>
    <xf numFmtId="0" fontId="62" fillId="46" borderId="0" xfId="0" applyFont="1" applyFill="1" applyAlignment="1" applyProtection="1">
      <alignment horizontal="left" vertical="center"/>
    </xf>
    <xf numFmtId="0" fontId="40" fillId="46" borderId="0" xfId="0" applyFont="1" applyFill="1" applyAlignment="1" applyProtection="1">
      <alignment horizontal="center" vertical="center" wrapText="1"/>
    </xf>
    <xf numFmtId="0" fontId="4" fillId="0" borderId="0" xfId="0" applyFont="1" applyProtection="1"/>
    <xf numFmtId="0" fontId="68" fillId="9" borderId="0" xfId="0" applyFont="1" applyFill="1" applyProtection="1"/>
    <xf numFmtId="183" fontId="4" fillId="0" borderId="0" xfId="24" applyNumberFormat="1" applyAlignment="1" applyProtection="1">
      <alignment horizontal="center" vertical="center"/>
    </xf>
    <xf numFmtId="190" fontId="4" fillId="0" borderId="0" xfId="24" applyNumberFormat="1" applyAlignment="1" applyProtection="1">
      <alignment horizontal="center" vertical="center"/>
    </xf>
    <xf numFmtId="181" fontId="4" fillId="0" borderId="0" xfId="24" applyNumberFormat="1" applyAlignment="1" applyProtection="1">
      <alignment horizontal="center" vertical="center"/>
    </xf>
    <xf numFmtId="0" fontId="55" fillId="2" borderId="0" xfId="31" applyFont="1" applyFill="1" applyAlignment="1" applyProtection="1">
      <alignment horizontal="center" vertical="center"/>
    </xf>
    <xf numFmtId="10" fontId="22" fillId="13" borderId="4" xfId="40" applyNumberFormat="1" applyFont="1" applyFill="1" applyBorder="1" applyAlignment="1" applyProtection="1">
      <alignment horizontal="right" vertical="center"/>
    </xf>
    <xf numFmtId="0" fontId="4" fillId="13" borderId="55" xfId="24" applyFont="1" applyFill="1" applyBorder="1" applyAlignment="1" applyProtection="1">
      <alignment horizontal="right" vertical="center"/>
    </xf>
    <xf numFmtId="0" fontId="4" fillId="13" borderId="18" xfId="24" applyFont="1" applyFill="1" applyBorder="1" applyAlignment="1" applyProtection="1">
      <alignment horizontal="right" vertical="center"/>
    </xf>
    <xf numFmtId="168" fontId="22" fillId="13" borderId="56" xfId="24" applyNumberFormat="1" applyFont="1" applyFill="1" applyBorder="1" applyAlignment="1" applyProtection="1">
      <alignment horizontal="right" vertical="center"/>
    </xf>
    <xf numFmtId="0" fontId="22" fillId="13" borderId="55" xfId="24" applyFont="1" applyFill="1" applyBorder="1" applyAlignment="1" applyProtection="1">
      <alignment horizontal="right" vertical="center"/>
    </xf>
    <xf numFmtId="168" fontId="22" fillId="13" borderId="55" xfId="24" applyNumberFormat="1" applyFont="1" applyFill="1" applyBorder="1" applyAlignment="1" applyProtection="1">
      <alignment horizontal="right" vertical="center"/>
    </xf>
    <xf numFmtId="10" fontId="13" fillId="13" borderId="54" xfId="40" applyNumberFormat="1" applyFont="1" applyFill="1" applyBorder="1" applyAlignment="1" applyProtection="1">
      <alignment horizontal="right" vertical="center"/>
    </xf>
    <xf numFmtId="10" fontId="32" fillId="47" borderId="0" xfId="31" applyNumberFormat="1" applyFont="1" applyFill="1" applyBorder="1" applyAlignment="1" applyProtection="1">
      <alignment horizontal="center" vertical="center"/>
    </xf>
    <xf numFmtId="0" fontId="22" fillId="0" borderId="4" xfId="24" applyFont="1" applyBorder="1" applyAlignment="1" applyProtection="1">
      <alignment horizontal="center" vertical="center"/>
    </xf>
    <xf numFmtId="0" fontId="4" fillId="0" borderId="0" xfId="24" applyFont="1" applyProtection="1">
      <protection locked="0"/>
    </xf>
    <xf numFmtId="0" fontId="22" fillId="0" borderId="0" xfId="24" applyFont="1" applyAlignment="1" applyProtection="1">
      <alignment horizontal="right" vertical="center"/>
      <protection locked="0"/>
    </xf>
    <xf numFmtId="0" fontId="75" fillId="2" borderId="0" xfId="24" applyFont="1" applyFill="1" applyBorder="1" applyAlignment="1" applyProtection="1">
      <alignment vertical="top"/>
      <protection locked="0"/>
    </xf>
    <xf numFmtId="0" fontId="22" fillId="2" borderId="4" xfId="88" applyNumberFormat="1" applyFont="1" applyFill="1" applyBorder="1" applyAlignment="1" applyProtection="1">
      <alignment horizontal="center" vertical="center"/>
      <protection locked="0"/>
    </xf>
    <xf numFmtId="0" fontId="22" fillId="0" borderId="0" xfId="24" applyFont="1" applyProtection="1">
      <protection locked="0"/>
    </xf>
    <xf numFmtId="0" fontId="18" fillId="2" borderId="0" xfId="24" applyFont="1" applyFill="1" applyAlignment="1" applyProtection="1">
      <alignment vertical="center"/>
      <protection locked="0"/>
    </xf>
    <xf numFmtId="0" fontId="22" fillId="0" borderId="0" xfId="24" applyFont="1" applyAlignment="1" applyProtection="1">
      <alignment horizontal="left"/>
      <protection locked="0"/>
    </xf>
    <xf numFmtId="0" fontId="22" fillId="0" borderId="0" xfId="24" applyFont="1" applyAlignment="1" applyProtection="1">
      <alignment horizontal="center"/>
      <protection locked="0"/>
    </xf>
    <xf numFmtId="0" fontId="18" fillId="0" borderId="0" xfId="24" applyFont="1" applyAlignment="1" applyProtection="1">
      <alignment horizontal="center"/>
      <protection locked="0"/>
    </xf>
    <xf numFmtId="183" fontId="22" fillId="2" borderId="4" xfId="40" applyNumberFormat="1" applyFont="1" applyFill="1" applyBorder="1" applyProtection="1">
      <protection locked="0"/>
    </xf>
    <xf numFmtId="0" fontId="22" fillId="0" borderId="0" xfId="24" applyFont="1" applyAlignment="1" applyProtection="1">
      <protection locked="0"/>
    </xf>
    <xf numFmtId="0" fontId="22" fillId="0" borderId="27" xfId="24" applyFont="1" applyBorder="1" applyAlignment="1" applyProtection="1">
      <alignment horizontal="center"/>
      <protection locked="0"/>
    </xf>
    <xf numFmtId="0" fontId="22" fillId="0" borderId="10" xfId="24" applyFont="1" applyBorder="1" applyAlignment="1" applyProtection="1">
      <alignment horizontal="center"/>
      <protection locked="0"/>
    </xf>
    <xf numFmtId="0" fontId="22" fillId="0" borderId="8" xfId="24" applyFont="1" applyBorder="1" applyAlignment="1" applyProtection="1">
      <alignment horizontal="center"/>
      <protection locked="0"/>
    </xf>
    <xf numFmtId="0" fontId="22" fillId="0" borderId="29" xfId="24" quotePrefix="1" applyFont="1" applyBorder="1" applyAlignment="1" applyProtection="1">
      <alignment horizontal="center"/>
      <protection locked="0"/>
    </xf>
    <xf numFmtId="0" fontId="22" fillId="0" borderId="13" xfId="24" quotePrefix="1" applyFont="1" applyBorder="1" applyAlignment="1" applyProtection="1">
      <alignment horizontal="center"/>
      <protection locked="0"/>
    </xf>
    <xf numFmtId="0" fontId="4" fillId="0" borderId="0" xfId="24" applyAlignment="1" applyProtection="1">
      <alignment vertical="top"/>
      <protection locked="0"/>
    </xf>
    <xf numFmtId="0" fontId="4" fillId="0" borderId="0" xfId="24" applyFont="1" applyFill="1" applyProtection="1">
      <protection locked="0"/>
    </xf>
    <xf numFmtId="0" fontId="22" fillId="10" borderId="25" xfId="24" applyFont="1" applyFill="1" applyBorder="1" applyAlignment="1" applyProtection="1">
      <alignment vertical="top"/>
      <protection locked="0"/>
    </xf>
    <xf numFmtId="0" fontId="4" fillId="10" borderId="48" xfId="24" applyFill="1" applyBorder="1" applyAlignment="1" applyProtection="1">
      <alignment vertical="top"/>
      <protection locked="0"/>
    </xf>
    <xf numFmtId="168" fontId="22" fillId="10" borderId="4" xfId="24" applyNumberFormat="1" applyFont="1" applyFill="1" applyBorder="1" applyAlignment="1" applyProtection="1">
      <alignment vertical="center"/>
      <protection locked="0"/>
    </xf>
    <xf numFmtId="10" fontId="22" fillId="10" borderId="26" xfId="40" applyNumberFormat="1" applyFont="1" applyFill="1" applyBorder="1" applyAlignment="1" applyProtection="1">
      <alignment vertical="center"/>
      <protection locked="0"/>
    </xf>
    <xf numFmtId="0" fontId="4" fillId="0" borderId="0" xfId="24" applyFont="1" applyAlignment="1" applyProtection="1">
      <alignment vertical="top"/>
      <protection locked="0"/>
    </xf>
    <xf numFmtId="0" fontId="22" fillId="10" borderId="25" xfId="24" applyFont="1" applyFill="1" applyBorder="1" applyAlignment="1" applyProtection="1">
      <alignment vertical="top" wrapText="1"/>
      <protection locked="0"/>
    </xf>
    <xf numFmtId="0" fontId="4" fillId="10" borderId="48" xfId="24" applyFill="1" applyBorder="1" applyProtection="1">
      <protection locked="0"/>
    </xf>
    <xf numFmtId="168" fontId="22" fillId="10" borderId="26" xfId="24" applyNumberFormat="1" applyFont="1" applyFill="1" applyBorder="1" applyAlignment="1" applyProtection="1">
      <alignment vertical="center"/>
      <protection locked="0"/>
    </xf>
    <xf numFmtId="0" fontId="22" fillId="10" borderId="26" xfId="24" applyFont="1" applyFill="1" applyBorder="1" applyAlignment="1" applyProtection="1">
      <alignment vertical="center"/>
      <protection locked="0"/>
    </xf>
    <xf numFmtId="0" fontId="4" fillId="0" borderId="0" xfId="24" applyAlignment="1" applyProtection="1">
      <alignment vertical="top" wrapText="1"/>
      <protection locked="0"/>
    </xf>
    <xf numFmtId="190" fontId="4" fillId="2" borderId="49" xfId="88" applyNumberFormat="1" applyFont="1" applyFill="1" applyBorder="1" applyAlignment="1" applyProtection="1">
      <alignment vertical="center"/>
      <protection locked="0"/>
    </xf>
    <xf numFmtId="0" fontId="4" fillId="44" borderId="14" xfId="24" applyFont="1" applyFill="1" applyBorder="1" applyProtection="1">
      <protection locked="0"/>
    </xf>
    <xf numFmtId="0" fontId="4" fillId="44" borderId="15" xfId="24" applyFill="1" applyBorder="1" applyAlignment="1" applyProtection="1">
      <alignment vertical="top"/>
      <protection locked="0"/>
    </xf>
    <xf numFmtId="0" fontId="4" fillId="44" borderId="31" xfId="24" applyFill="1" applyBorder="1" applyAlignment="1" applyProtection="1">
      <alignment vertical="center"/>
      <protection locked="0"/>
    </xf>
    <xf numFmtId="10" fontId="4" fillId="44" borderId="16" xfId="40" applyNumberFormat="1" applyFill="1" applyBorder="1" applyAlignment="1" applyProtection="1">
      <alignment vertical="center"/>
      <protection locked="0"/>
    </xf>
    <xf numFmtId="0" fontId="22" fillId="0" borderId="0" xfId="24" applyFont="1" applyFill="1" applyAlignment="1" applyProtection="1">
      <alignment vertical="top"/>
      <protection locked="0"/>
    </xf>
    <xf numFmtId="168" fontId="22" fillId="0" borderId="9" xfId="24" applyNumberFormat="1" applyFont="1" applyFill="1" applyBorder="1" applyAlignment="1" applyProtection="1">
      <alignment vertical="center"/>
      <protection locked="0"/>
    </xf>
    <xf numFmtId="9" fontId="22" fillId="0" borderId="49" xfId="24" applyNumberFormat="1" applyFont="1" applyFill="1" applyBorder="1" applyAlignment="1" applyProtection="1">
      <alignment vertical="center"/>
      <protection locked="0"/>
    </xf>
    <xf numFmtId="168" fontId="22" fillId="0" borderId="49" xfId="24" applyNumberFormat="1" applyFont="1" applyFill="1" applyBorder="1" applyAlignment="1" applyProtection="1">
      <alignment vertical="center"/>
      <protection locked="0"/>
    </xf>
    <xf numFmtId="10" fontId="22" fillId="0" borderId="10" xfId="40" applyNumberFormat="1" applyFont="1" applyFill="1" applyBorder="1" applyAlignment="1" applyProtection="1">
      <alignment vertical="center"/>
      <protection locked="0"/>
    </xf>
    <xf numFmtId="0" fontId="4" fillId="0" borderId="0" xfId="24" applyFont="1" applyFill="1" applyAlignment="1" applyProtection="1">
      <alignment horizontal="left" vertical="top" indent="1"/>
      <protection locked="0"/>
    </xf>
    <xf numFmtId="168" fontId="4" fillId="0" borderId="9" xfId="24"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center"/>
      <protection locked="0"/>
    </xf>
    <xf numFmtId="0" fontId="4" fillId="0" borderId="49" xfId="24" applyFont="1" applyFill="1" applyBorder="1" applyAlignment="1" applyProtection="1">
      <alignment vertical="center"/>
      <protection locked="0"/>
    </xf>
    <xf numFmtId="168" fontId="4" fillId="0" borderId="49" xfId="24" applyNumberFormat="1" applyFont="1" applyFill="1" applyBorder="1" applyAlignment="1" applyProtection="1">
      <alignment vertical="center"/>
      <protection locked="0"/>
    </xf>
    <xf numFmtId="10" fontId="4" fillId="0" borderId="10" xfId="40" applyNumberFormat="1" applyFont="1" applyFill="1" applyBorder="1" applyAlignment="1" applyProtection="1">
      <alignment vertical="center"/>
      <protection locked="0"/>
    </xf>
    <xf numFmtId="168" fontId="22" fillId="13" borderId="11" xfId="24" applyNumberFormat="1" applyFont="1" applyFill="1" applyBorder="1" applyAlignment="1" applyProtection="1">
      <alignment vertical="center"/>
      <protection locked="0"/>
    </xf>
    <xf numFmtId="0" fontId="22" fillId="13" borderId="29" xfId="24" applyFont="1" applyFill="1" applyBorder="1" applyAlignment="1" applyProtection="1">
      <alignment vertical="center"/>
      <protection locked="0"/>
    </xf>
    <xf numFmtId="168" fontId="22" fillId="13" borderId="29" xfId="24" applyNumberFormat="1" applyFont="1" applyFill="1" applyBorder="1" applyAlignment="1" applyProtection="1">
      <alignment vertical="center"/>
      <protection locked="0"/>
    </xf>
    <xf numFmtId="10" fontId="22" fillId="13" borderId="13" xfId="40" applyNumberFormat="1" applyFont="1" applyFill="1" applyBorder="1" applyAlignment="1" applyProtection="1">
      <alignment vertical="center"/>
      <protection locked="0"/>
    </xf>
    <xf numFmtId="9" fontId="4" fillId="0" borderId="49" xfId="24" applyNumberFormat="1" applyFont="1" applyFill="1" applyBorder="1" applyAlignment="1" applyProtection="1">
      <alignment vertical="top"/>
      <protection locked="0"/>
    </xf>
    <xf numFmtId="168" fontId="22" fillId="13" borderId="9" xfId="24" applyNumberFormat="1" applyFont="1" applyFill="1" applyBorder="1" applyAlignment="1" applyProtection="1">
      <alignment vertical="center"/>
      <protection locked="0"/>
    </xf>
    <xf numFmtId="0" fontId="22" fillId="13" borderId="49" xfId="24" applyFont="1" applyFill="1" applyBorder="1" applyAlignment="1" applyProtection="1">
      <alignment vertical="center"/>
      <protection locked="0"/>
    </xf>
    <xf numFmtId="168" fontId="22" fillId="13" borderId="49" xfId="24" applyNumberFormat="1" applyFont="1" applyFill="1" applyBorder="1" applyAlignment="1" applyProtection="1">
      <alignment vertical="center"/>
      <protection locked="0"/>
    </xf>
    <xf numFmtId="10" fontId="22" fillId="13" borderId="10" xfId="40" applyNumberFormat="1" applyFont="1" applyFill="1" applyBorder="1" applyAlignment="1" applyProtection="1">
      <alignment vertical="center"/>
      <protection locked="0"/>
    </xf>
    <xf numFmtId="192" fontId="4" fillId="44" borderId="31" xfId="39" applyNumberFormat="1" applyFill="1" applyBorder="1" applyAlignment="1" applyProtection="1">
      <alignment vertical="top"/>
      <protection locked="0"/>
    </xf>
    <xf numFmtId="0" fontId="4" fillId="44" borderId="15" xfId="24" applyFill="1" applyBorder="1" applyAlignment="1" applyProtection="1">
      <alignment vertical="center"/>
      <protection locked="0"/>
    </xf>
    <xf numFmtId="168" fontId="4" fillId="44" borderId="33" xfId="39" applyFill="1" applyBorder="1" applyAlignment="1" applyProtection="1">
      <alignment vertical="center"/>
      <protection locked="0"/>
    </xf>
    <xf numFmtId="168" fontId="4" fillId="44" borderId="31" xfId="24" applyNumberFormat="1" applyFill="1" applyBorder="1" applyAlignment="1" applyProtection="1">
      <alignment vertical="center"/>
      <protection locked="0"/>
    </xf>
    <xf numFmtId="168" fontId="4" fillId="0" borderId="0" xfId="24" applyNumberFormat="1" applyProtection="1">
      <protection locked="0"/>
    </xf>
    <xf numFmtId="0" fontId="22" fillId="2" borderId="4" xfId="24" applyFont="1" applyFill="1" applyBorder="1" applyAlignment="1" applyProtection="1">
      <alignment horizontal="center" vertical="center"/>
      <protection locked="0"/>
    </xf>
    <xf numFmtId="0" fontId="4" fillId="2" borderId="0" xfId="24" applyFill="1" applyAlignment="1" applyProtection="1">
      <alignment vertical="top"/>
      <protection locked="0"/>
    </xf>
    <xf numFmtId="0" fontId="22" fillId="10" borderId="4" xfId="24" applyFont="1" applyFill="1" applyBorder="1" applyAlignment="1" applyProtection="1">
      <alignment horizontal="left" vertical="center"/>
      <protection locked="0"/>
    </xf>
    <xf numFmtId="0" fontId="29" fillId="10" borderId="4" xfId="24" applyFont="1" applyFill="1" applyBorder="1" applyAlignment="1" applyProtection="1">
      <alignment horizontal="left" vertical="center"/>
      <protection locked="0"/>
    </xf>
    <xf numFmtId="192" fontId="29" fillId="2" borderId="49" xfId="39" applyNumberFormat="1" applyFont="1" applyFill="1" applyBorder="1" applyAlignment="1" applyProtection="1">
      <alignment horizontal="left" vertical="center"/>
      <protection locked="0"/>
    </xf>
    <xf numFmtId="192" fontId="22" fillId="2" borderId="49" xfId="39" applyNumberFormat="1" applyFont="1" applyFill="1" applyBorder="1" applyAlignment="1" applyProtection="1">
      <alignment horizontal="left" vertical="center"/>
      <protection locked="0"/>
    </xf>
    <xf numFmtId="192" fontId="22" fillId="0" borderId="49" xfId="39" applyNumberFormat="1" applyFont="1" applyFill="1" applyBorder="1" applyAlignment="1" applyProtection="1">
      <alignment horizontal="left" vertical="center"/>
      <protection locked="0"/>
    </xf>
    <xf numFmtId="192" fontId="22" fillId="3" borderId="49" xfId="39" applyNumberFormat="1" applyFont="1" applyFill="1" applyBorder="1" applyAlignment="1" applyProtection="1">
      <alignment horizontal="left" vertical="center"/>
      <protection locked="0"/>
    </xf>
    <xf numFmtId="168" fontId="4" fillId="0" borderId="49" xfId="24" applyNumberFormat="1" applyFont="1" applyBorder="1" applyAlignment="1" applyProtection="1">
      <alignment vertical="center"/>
      <protection locked="0"/>
    </xf>
    <xf numFmtId="0" fontId="4" fillId="10" borderId="4" xfId="24" applyFont="1" applyFill="1" applyBorder="1" applyAlignment="1" applyProtection="1">
      <alignment vertical="center"/>
      <protection locked="0"/>
    </xf>
    <xf numFmtId="0" fontId="4" fillId="10" borderId="26" xfId="24" applyFont="1" applyFill="1" applyBorder="1" applyAlignment="1" applyProtection="1">
      <alignment vertical="center"/>
      <protection locked="0"/>
    </xf>
    <xf numFmtId="190" fontId="4" fillId="52" borderId="49" xfId="88" applyNumberFormat="1" applyFont="1" applyFill="1" applyBorder="1" applyAlignment="1" applyProtection="1">
      <alignment vertical="center"/>
      <protection locked="0"/>
    </xf>
    <xf numFmtId="190" fontId="4" fillId="0" borderId="49" xfId="88" applyNumberFormat="1" applyFont="1" applyFill="1" applyBorder="1" applyAlignment="1" applyProtection="1">
      <alignment vertical="center"/>
      <protection locked="0"/>
    </xf>
    <xf numFmtId="168" fontId="4" fillId="0" borderId="10" xfId="39" applyFont="1" applyBorder="1" applyAlignment="1" applyProtection="1">
      <alignment vertical="center"/>
      <protection locked="0"/>
    </xf>
    <xf numFmtId="192" fontId="4" fillId="44" borderId="50" xfId="39" applyNumberFormat="1" applyFont="1" applyFill="1" applyBorder="1" applyAlignment="1" applyProtection="1">
      <alignment vertical="top"/>
      <protection locked="0"/>
    </xf>
    <xf numFmtId="168" fontId="4" fillId="44" borderId="15" xfId="39" applyFont="1" applyFill="1" applyBorder="1" applyAlignment="1" applyProtection="1">
      <alignment vertical="center"/>
      <protection locked="0"/>
    </xf>
    <xf numFmtId="0" fontId="4" fillId="44" borderId="50" xfId="24" applyFont="1" applyFill="1" applyBorder="1" applyAlignment="1" applyProtection="1">
      <alignment vertical="center"/>
      <protection locked="0"/>
    </xf>
    <xf numFmtId="168" fontId="4" fillId="44" borderId="50" xfId="24" applyNumberFormat="1" applyFont="1" applyFill="1" applyBorder="1" applyAlignment="1" applyProtection="1">
      <alignment vertical="center"/>
      <protection locked="0"/>
    </xf>
    <xf numFmtId="9" fontId="4" fillId="0" borderId="0" xfId="24" applyNumberFormat="1" applyFont="1" applyFill="1" applyBorder="1" applyAlignment="1" applyProtection="1">
      <alignment vertical="center"/>
      <protection locked="0"/>
    </xf>
    <xf numFmtId="0" fontId="4" fillId="0" borderId="0" xfId="24" applyFont="1" applyFill="1" applyBorder="1" applyAlignment="1" applyProtection="1">
      <alignment vertical="center"/>
      <protection locked="0"/>
    </xf>
    <xf numFmtId="0" fontId="4" fillId="13" borderId="29" xfId="24" applyFont="1" applyFill="1" applyBorder="1" applyAlignment="1" applyProtection="1">
      <alignment vertical="top"/>
      <protection locked="0"/>
    </xf>
    <xf numFmtId="0" fontId="4" fillId="13" borderId="12" xfId="24" applyFont="1" applyFill="1" applyBorder="1" applyAlignment="1" applyProtection="1">
      <alignment vertical="center"/>
      <protection locked="0"/>
    </xf>
    <xf numFmtId="0" fontId="4" fillId="13" borderId="49" xfId="24" applyFont="1" applyFill="1" applyBorder="1" applyAlignment="1" applyProtection="1">
      <alignment vertical="top"/>
      <protection locked="0"/>
    </xf>
    <xf numFmtId="0" fontId="4" fillId="13" borderId="0" xfId="24" applyFont="1" applyFill="1" applyBorder="1" applyAlignment="1" applyProtection="1">
      <alignment vertical="center"/>
      <protection locked="0"/>
    </xf>
    <xf numFmtId="168" fontId="22" fillId="2" borderId="49" xfId="39" applyNumberFormat="1" applyFont="1" applyFill="1" applyBorder="1" applyAlignment="1" applyProtection="1">
      <alignment horizontal="left" vertical="center"/>
      <protection locked="0"/>
    </xf>
    <xf numFmtId="168" fontId="10" fillId="0" borderId="10" xfId="39" applyFont="1" applyBorder="1" applyAlignment="1" applyProtection="1">
      <alignment vertical="center"/>
      <protection locked="0"/>
    </xf>
    <xf numFmtId="10" fontId="10" fillId="0" borderId="10" xfId="40" applyNumberFormat="1" applyFont="1" applyBorder="1" applyAlignment="1" applyProtection="1">
      <alignment vertical="center"/>
      <protection locked="0"/>
    </xf>
    <xf numFmtId="192" fontId="22" fillId="10" borderId="4" xfId="39" applyNumberFormat="1" applyFont="1" applyFill="1" applyBorder="1" applyAlignment="1" applyProtection="1">
      <alignment horizontal="left" vertical="center"/>
      <protection locked="0"/>
    </xf>
    <xf numFmtId="192" fontId="29" fillId="10" borderId="4" xfId="39" applyNumberFormat="1" applyFont="1" applyFill="1" applyBorder="1" applyAlignment="1" applyProtection="1">
      <alignment horizontal="left" vertical="center"/>
      <protection locked="0"/>
    </xf>
    <xf numFmtId="0" fontId="77" fillId="7" borderId="25" xfId="24" applyFont="1" applyFill="1" applyBorder="1" applyAlignment="1" applyProtection="1">
      <alignment vertical="top"/>
      <protection locked="0"/>
    </xf>
    <xf numFmtId="0" fontId="4" fillId="7" borderId="48" xfId="24" applyFont="1" applyFill="1" applyBorder="1" applyAlignment="1" applyProtection="1">
      <alignment vertical="top"/>
      <protection locked="0"/>
    </xf>
    <xf numFmtId="0" fontId="4" fillId="7" borderId="26" xfId="24" applyFont="1" applyFill="1" applyBorder="1" applyAlignment="1" applyProtection="1">
      <alignment vertical="top"/>
      <protection locked="0"/>
    </xf>
    <xf numFmtId="0" fontId="78" fillId="2" borderId="0" xfId="24" applyFont="1" applyFill="1" applyProtection="1"/>
    <xf numFmtId="0" fontId="41" fillId="0" borderId="0" xfId="24" applyFont="1" applyProtection="1"/>
    <xf numFmtId="0" fontId="22" fillId="47" borderId="4" xfId="24" applyFont="1" applyFill="1" applyBorder="1" applyAlignment="1" applyProtection="1">
      <alignment horizontal="center" vertical="center" wrapText="1"/>
    </xf>
    <xf numFmtId="0" fontId="4" fillId="2" borderId="4" xfId="24" applyFill="1" applyBorder="1" applyAlignment="1" applyProtection="1">
      <alignment horizontal="center" vertical="center"/>
    </xf>
    <xf numFmtId="0" fontId="78" fillId="2" borderId="0" xfId="24" applyFont="1" applyFill="1" applyProtection="1">
      <protection locked="0"/>
    </xf>
    <xf numFmtId="180" fontId="9" fillId="2" borderId="0" xfId="0" applyNumberFormat="1" applyFont="1" applyFill="1" applyAlignment="1">
      <alignment horizontal="right" vertical="top"/>
    </xf>
    <xf numFmtId="0" fontId="0" fillId="2" borderId="0" xfId="0" applyFill="1" applyAlignment="1"/>
    <xf numFmtId="0" fontId="9" fillId="2" borderId="0" xfId="0" applyFont="1" applyFill="1"/>
    <xf numFmtId="167" fontId="0" fillId="0" borderId="0" xfId="0" applyNumberFormat="1" applyProtection="1"/>
    <xf numFmtId="0" fontId="19" fillId="0" borderId="0" xfId="0" applyNumberFormat="1" applyFont="1" applyAlignment="1" applyProtection="1">
      <alignment wrapText="1"/>
    </xf>
    <xf numFmtId="0" fontId="83" fillId="0" borderId="16" xfId="0" applyNumberFormat="1" applyFont="1" applyBorder="1" applyAlignment="1" applyProtection="1"/>
    <xf numFmtId="0" fontId="2" fillId="0" borderId="0" xfId="0" applyFont="1"/>
    <xf numFmtId="0" fontId="34" fillId="0" borderId="0" xfId="0" applyFont="1" applyFill="1" applyProtection="1"/>
    <xf numFmtId="0" fontId="86" fillId="0" borderId="0" xfId="0" applyFont="1" applyFill="1" applyAlignment="1" applyProtection="1">
      <alignment horizontal="center" vertical="center"/>
    </xf>
    <xf numFmtId="0" fontId="86" fillId="0" borderId="0" xfId="0" applyFont="1" applyFill="1" applyAlignment="1" applyProtection="1">
      <alignment horizontal="left" wrapText="1"/>
    </xf>
    <xf numFmtId="0" fontId="27" fillId="0" borderId="0" xfId="0" applyFont="1" applyFill="1" applyAlignment="1" applyProtection="1">
      <alignment horizontal="center"/>
    </xf>
    <xf numFmtId="192" fontId="18" fillId="0" borderId="0" xfId="39" applyNumberFormat="1" applyFont="1" applyFill="1" applyProtection="1"/>
    <xf numFmtId="194" fontId="18" fillId="3" borderId="0" xfId="39" applyNumberFormat="1" applyFont="1" applyFill="1" applyProtection="1">
      <protection locked="0"/>
    </xf>
    <xf numFmtId="0" fontId="0" fillId="2" borderId="0" xfId="0" applyFill="1" applyProtection="1">
      <protection locked="0"/>
    </xf>
    <xf numFmtId="165" fontId="20" fillId="0" borderId="0" xfId="0" applyNumberFormat="1" applyFont="1" applyBorder="1" applyProtection="1"/>
    <xf numFmtId="165" fontId="0" fillId="0" borderId="0" xfId="0" applyNumberFormat="1" applyBorder="1" applyAlignment="1" applyProtection="1">
      <alignment wrapText="1"/>
    </xf>
    <xf numFmtId="165" fontId="19" fillId="0" borderId="62" xfId="0" applyNumberFormat="1" applyFont="1" applyBorder="1" applyAlignment="1" applyProtection="1">
      <alignment horizontal="center" vertical="center" wrapText="1"/>
    </xf>
    <xf numFmtId="165" fontId="20" fillId="0" borderId="38" xfId="0" applyNumberFormat="1" applyFont="1" applyBorder="1" applyProtection="1"/>
    <xf numFmtId="165" fontId="20" fillId="0" borderId="0" xfId="0" applyNumberFormat="1" applyFont="1" applyFill="1" applyBorder="1" applyProtection="1"/>
    <xf numFmtId="165" fontId="0" fillId="0" borderId="66" xfId="0" applyNumberFormat="1" applyBorder="1" applyAlignment="1" applyProtection="1">
      <alignment wrapText="1"/>
    </xf>
    <xf numFmtId="165" fontId="0" fillId="0" borderId="67" xfId="0" applyNumberFormat="1" applyBorder="1" applyAlignment="1" applyProtection="1">
      <alignment wrapText="1"/>
    </xf>
    <xf numFmtId="165" fontId="0" fillId="0" borderId="0" xfId="0" applyNumberFormat="1" applyBorder="1" applyProtection="1"/>
    <xf numFmtId="165" fontId="0" fillId="0" borderId="68" xfId="0" applyNumberFormat="1" applyBorder="1" applyProtection="1"/>
    <xf numFmtId="165" fontId="0" fillId="0" borderId="0" xfId="0" applyNumberFormat="1" applyProtection="1"/>
    <xf numFmtId="0" fontId="20" fillId="0" borderId="0" xfId="0" applyFont="1" applyFill="1" applyBorder="1" applyProtection="1"/>
    <xf numFmtId="0" fontId="0" fillId="0" borderId="78" xfId="0" applyBorder="1" applyProtection="1"/>
    <xf numFmtId="165" fontId="0" fillId="0" borderId="78" xfId="0" applyNumberFormat="1" applyBorder="1" applyProtection="1"/>
    <xf numFmtId="0" fontId="19" fillId="0" borderId="0" xfId="0" applyFont="1" applyFill="1" applyBorder="1" applyProtection="1"/>
    <xf numFmtId="0" fontId="92" fillId="0" borderId="0" xfId="24" applyFont="1" applyProtection="1"/>
    <xf numFmtId="0" fontId="92" fillId="0" borderId="0" xfId="24" applyFont="1" applyAlignment="1" applyProtection="1">
      <alignment horizontal="right"/>
    </xf>
    <xf numFmtId="0" fontId="94" fillId="0" borderId="0" xfId="24" applyFont="1" applyProtection="1"/>
    <xf numFmtId="0" fontId="92" fillId="0" borderId="0" xfId="24" applyFont="1" applyAlignment="1" applyProtection="1">
      <alignment vertical="top"/>
    </xf>
    <xf numFmtId="0" fontId="95" fillId="0" borderId="0" xfId="24" applyFont="1" applyAlignment="1" applyProtection="1">
      <alignment horizontal="left" vertical="top" wrapText="1"/>
    </xf>
    <xf numFmtId="0" fontId="4" fillId="0" borderId="0" xfId="24" applyFont="1" applyAlignment="1" applyProtection="1">
      <alignment vertical="top" wrapText="1"/>
    </xf>
    <xf numFmtId="0" fontId="0" fillId="0" borderId="0" xfId="0"/>
    <xf numFmtId="0" fontId="9" fillId="0" borderId="0" xfId="0" applyFont="1"/>
    <xf numFmtId="0" fontId="10" fillId="9" borderId="0" xfId="0" applyFont="1" applyFill="1" applyProtection="1"/>
    <xf numFmtId="168" fontId="18" fillId="9" borderId="0" xfId="39" applyNumberFormat="1" applyFont="1" applyFill="1" applyProtection="1"/>
    <xf numFmtId="191" fontId="0" fillId="0" borderId="0" xfId="0" applyNumberFormat="1" applyBorder="1" applyAlignment="1" applyProtection="1">
      <alignment wrapText="1"/>
    </xf>
    <xf numFmtId="191" fontId="19" fillId="0" borderId="62" xfId="0" applyNumberFormat="1" applyFont="1" applyBorder="1" applyAlignment="1" applyProtection="1">
      <alignment horizontal="center" vertical="center" wrapText="1"/>
    </xf>
    <xf numFmtId="191" fontId="20" fillId="0" borderId="38" xfId="0" applyNumberFormat="1" applyFont="1" applyBorder="1" applyProtection="1"/>
    <xf numFmtId="191" fontId="20" fillId="0" borderId="0" xfId="0" applyNumberFormat="1" applyFont="1" applyBorder="1" applyProtection="1"/>
    <xf numFmtId="165" fontId="8" fillId="0" borderId="77" xfId="0" applyNumberFormat="1" applyFont="1" applyBorder="1" applyProtection="1"/>
    <xf numFmtId="191" fontId="20" fillId="0" borderId="0" xfId="0" applyNumberFormat="1" applyFont="1" applyFill="1" applyBorder="1" applyProtection="1"/>
    <xf numFmtId="191" fontId="20" fillId="0" borderId="78" xfId="0" applyNumberFormat="1" applyFont="1" applyFill="1" applyBorder="1" applyProtection="1"/>
    <xf numFmtId="191" fontId="20" fillId="0" borderId="81" xfId="0" applyNumberFormat="1" applyFont="1" applyFill="1" applyBorder="1" applyProtection="1"/>
    <xf numFmtId="191" fontId="20" fillId="0" borderId="62" xfId="0" applyNumberFormat="1" applyFont="1" applyFill="1" applyBorder="1" applyProtection="1"/>
    <xf numFmtId="191" fontId="20" fillId="0" borderId="38" xfId="0" applyNumberFormat="1" applyFont="1" applyFill="1" applyBorder="1" applyProtection="1"/>
    <xf numFmtId="191" fontId="20" fillId="0" borderId="79" xfId="0" applyNumberFormat="1" applyFont="1" applyFill="1" applyBorder="1" applyProtection="1"/>
    <xf numFmtId="191" fontId="8" fillId="0" borderId="77" xfId="0" applyNumberFormat="1" applyFont="1" applyBorder="1" applyProtection="1"/>
    <xf numFmtId="191" fontId="20" fillId="9" borderId="70" xfId="0" applyNumberFormat="1" applyFont="1" applyFill="1" applyBorder="1" applyProtection="1"/>
    <xf numFmtId="191" fontId="20" fillId="9" borderId="69" xfId="0" applyNumberFormat="1" applyFont="1" applyFill="1" applyBorder="1" applyProtection="1"/>
    <xf numFmtId="165" fontId="20" fillId="0" borderId="67" xfId="0" applyNumberFormat="1" applyFont="1" applyBorder="1" applyProtection="1"/>
    <xf numFmtId="0" fontId="91" fillId="0" borderId="60" xfId="0" applyFont="1" applyBorder="1" applyAlignment="1" applyProtection="1">
      <alignment vertical="center"/>
    </xf>
    <xf numFmtId="0" fontId="20" fillId="0" borderId="61" xfId="0" applyFont="1" applyBorder="1" applyProtection="1"/>
    <xf numFmtId="0" fontId="20" fillId="0" borderId="38" xfId="0" applyFont="1" applyBorder="1" applyProtection="1"/>
    <xf numFmtId="0" fontId="20" fillId="0" borderId="77" xfId="0" applyFont="1" applyBorder="1" applyAlignment="1" applyProtection="1">
      <alignment horizontal="center"/>
    </xf>
    <xf numFmtId="0" fontId="20" fillId="0" borderId="38" xfId="0" applyFont="1" applyBorder="1" applyAlignment="1" applyProtection="1"/>
    <xf numFmtId="196" fontId="20" fillId="0" borderId="38" xfId="0" applyNumberFormat="1" applyFont="1" applyBorder="1" applyAlignment="1" applyProtection="1"/>
    <xf numFmtId="0" fontId="20" fillId="0" borderId="38" xfId="0" applyFont="1" applyBorder="1" applyAlignment="1" applyProtection="1">
      <alignment horizontal="left"/>
    </xf>
    <xf numFmtId="0" fontId="20" fillId="0" borderId="38" xfId="24" applyFont="1" applyBorder="1" applyAlignment="1" applyProtection="1">
      <alignment horizontal="left" wrapText="1"/>
    </xf>
    <xf numFmtId="0" fontId="19" fillId="0" borderId="38" xfId="0" applyFont="1" applyBorder="1" applyAlignment="1" applyProtection="1">
      <alignment horizontal="left"/>
    </xf>
    <xf numFmtId="0" fontId="19" fillId="0" borderId="77" xfId="0" applyFont="1" applyBorder="1" applyAlignment="1" applyProtection="1">
      <alignment horizontal="center"/>
    </xf>
    <xf numFmtId="0" fontId="19" fillId="0" borderId="38" xfId="0" applyFont="1" applyBorder="1" applyAlignment="1" applyProtection="1"/>
    <xf numFmtId="165" fontId="0" fillId="0" borderId="77" xfId="0" applyNumberFormat="1" applyBorder="1" applyProtection="1"/>
    <xf numFmtId="0" fontId="20" fillId="0" borderId="38" xfId="0" applyFont="1" applyFill="1" applyBorder="1" applyProtection="1"/>
    <xf numFmtId="0" fontId="20" fillId="0" borderId="77" xfId="0" applyFont="1" applyFill="1" applyBorder="1" applyProtection="1"/>
    <xf numFmtId="0" fontId="21" fillId="0" borderId="38" xfId="24" applyFont="1" applyBorder="1" applyProtection="1"/>
    <xf numFmtId="0" fontId="21" fillId="0" borderId="77" xfId="24" applyFont="1" applyBorder="1" applyAlignment="1" applyProtection="1">
      <alignment horizontal="center"/>
    </xf>
    <xf numFmtId="0" fontId="19" fillId="0" borderId="84" xfId="0" applyFont="1" applyFill="1" applyBorder="1" applyProtection="1"/>
    <xf numFmtId="0" fontId="20" fillId="0" borderId="85" xfId="0" applyFont="1" applyFill="1" applyBorder="1" applyProtection="1"/>
    <xf numFmtId="165" fontId="19" fillId="0" borderId="0" xfId="0" applyNumberFormat="1" applyFont="1" applyBorder="1" applyAlignment="1" applyProtection="1">
      <alignment horizontal="center" vertical="center" wrapText="1"/>
    </xf>
    <xf numFmtId="165" fontId="19" fillId="0" borderId="77" xfId="0" applyNumberFormat="1" applyFont="1" applyBorder="1" applyAlignment="1" applyProtection="1">
      <alignment horizontal="center" vertical="center" wrapText="1"/>
    </xf>
    <xf numFmtId="191" fontId="20" fillId="0" borderId="77" xfId="0" applyNumberFormat="1" applyFont="1" applyFill="1" applyBorder="1" applyProtection="1"/>
    <xf numFmtId="191" fontId="20" fillId="0" borderId="84" xfId="0" applyNumberFormat="1" applyFont="1" applyFill="1" applyBorder="1" applyProtection="1"/>
    <xf numFmtId="191" fontId="20" fillId="0" borderId="58" xfId="0" applyNumberFormat="1" applyFont="1" applyFill="1" applyBorder="1" applyProtection="1"/>
    <xf numFmtId="191" fontId="20" fillId="0" borderId="85" xfId="0" applyNumberFormat="1" applyFont="1" applyFill="1" applyBorder="1" applyProtection="1"/>
    <xf numFmtId="165" fontId="8" fillId="0" borderId="0" xfId="0" applyNumberFormat="1" applyFont="1" applyBorder="1" applyProtection="1"/>
    <xf numFmtId="191" fontId="20" fillId="0" borderId="86" xfId="0" applyNumberFormat="1" applyFont="1" applyFill="1" applyBorder="1" applyProtection="1"/>
    <xf numFmtId="191" fontId="20" fillId="9" borderId="87" xfId="0" applyNumberFormat="1" applyFont="1" applyFill="1" applyBorder="1" applyProtection="1"/>
    <xf numFmtId="0" fontId="83" fillId="0" borderId="16" xfId="0" applyNumberFormat="1" applyFont="1" applyBorder="1" applyAlignment="1" applyProtection="1">
      <alignment horizontal="center"/>
    </xf>
    <xf numFmtId="165" fontId="0" fillId="0" borderId="38" xfId="0" applyNumberFormat="1" applyBorder="1" applyProtection="1"/>
    <xf numFmtId="191" fontId="20" fillId="9" borderId="74" xfId="0" applyNumberFormat="1" applyFont="1" applyFill="1" applyBorder="1" applyProtection="1"/>
    <xf numFmtId="192" fontId="4" fillId="3" borderId="52" xfId="39" applyNumberFormat="1" applyFont="1" applyFill="1" applyBorder="1" applyAlignment="1" applyProtection="1">
      <alignment horizontal="center"/>
      <protection locked="0"/>
    </xf>
    <xf numFmtId="191" fontId="20" fillId="0" borderId="88" xfId="0" applyNumberFormat="1" applyFont="1" applyFill="1" applyBorder="1" applyProtection="1"/>
    <xf numFmtId="165" fontId="0" fillId="10" borderId="77" xfId="0" applyNumberFormat="1" applyFill="1" applyBorder="1" applyProtection="1"/>
    <xf numFmtId="191" fontId="8" fillId="10" borderId="77" xfId="0" applyNumberFormat="1" applyFont="1" applyFill="1" applyBorder="1" applyProtection="1"/>
    <xf numFmtId="165" fontId="8" fillId="10" borderId="77" xfId="0" applyNumberFormat="1" applyFont="1" applyFill="1" applyBorder="1" applyProtection="1"/>
    <xf numFmtId="191" fontId="20" fillId="10" borderId="77" xfId="0" applyNumberFormat="1" applyFont="1" applyFill="1" applyBorder="1" applyProtection="1"/>
    <xf numFmtId="191" fontId="20" fillId="10" borderId="88" xfId="0" applyNumberFormat="1" applyFont="1" applyFill="1" applyBorder="1" applyProtection="1"/>
    <xf numFmtId="0" fontId="0" fillId="0" borderId="0" xfId="0" applyAlignment="1">
      <alignment horizontal="center"/>
    </xf>
    <xf numFmtId="4" fontId="10" fillId="0" borderId="0" xfId="0" applyNumberFormat="1" applyFont="1" applyAlignment="1" applyProtection="1">
      <alignment vertical="top" wrapText="1"/>
    </xf>
    <xf numFmtId="0" fontId="0" fillId="2" borderId="0" xfId="0" applyFill="1" applyAlignment="1">
      <alignment vertical="top"/>
    </xf>
    <xf numFmtId="0" fontId="9" fillId="2" borderId="0" xfId="0" applyFont="1" applyFill="1" applyAlignment="1">
      <alignment vertical="top"/>
    </xf>
    <xf numFmtId="0" fontId="9" fillId="2" borderId="0" xfId="0" applyFont="1" applyFill="1" applyAlignment="1"/>
    <xf numFmtId="0" fontId="9" fillId="2" borderId="0" xfId="0" applyFont="1" applyFill="1" applyAlignment="1">
      <alignment horizontal="left" indent="2"/>
    </xf>
    <xf numFmtId="0" fontId="6" fillId="2" borderId="0" xfId="0" applyFont="1" applyFill="1" applyAlignment="1">
      <alignment vertical="top"/>
    </xf>
    <xf numFmtId="0" fontId="10" fillId="0" borderId="0" xfId="0" applyNumberFormat="1" applyFont="1" applyAlignment="1" applyProtection="1">
      <alignment horizontal="left" vertical="top" wrapText="1"/>
    </xf>
    <xf numFmtId="190" fontId="0" fillId="0" borderId="0" xfId="0" applyNumberFormat="1"/>
    <xf numFmtId="191" fontId="20" fillId="0" borderId="87" xfId="0" applyNumberFormat="1" applyFont="1" applyFill="1" applyBorder="1" applyProtection="1"/>
    <xf numFmtId="165" fontId="0" fillId="0" borderId="0" xfId="0" applyNumberFormat="1" applyBorder="1" applyProtection="1">
      <protection locked="0"/>
    </xf>
    <xf numFmtId="191" fontId="20" fillId="3" borderId="71" xfId="0" applyNumberFormat="1" applyFont="1" applyFill="1" applyBorder="1" applyProtection="1">
      <protection locked="0"/>
    </xf>
    <xf numFmtId="191" fontId="20" fillId="3" borderId="69" xfId="0" applyNumberFormat="1" applyFont="1" applyFill="1" applyBorder="1" applyProtection="1">
      <protection locked="0"/>
    </xf>
    <xf numFmtId="191" fontId="20" fillId="3" borderId="69" xfId="24" applyNumberFormat="1" applyFont="1" applyFill="1" applyBorder="1" applyProtection="1">
      <protection locked="0"/>
    </xf>
    <xf numFmtId="191" fontId="20" fillId="3" borderId="70" xfId="0" applyNumberFormat="1" applyFont="1" applyFill="1" applyBorder="1" applyProtection="1">
      <protection locked="0"/>
    </xf>
    <xf numFmtId="191" fontId="20" fillId="3" borderId="90" xfId="24" applyNumberFormat="1" applyFont="1" applyFill="1" applyBorder="1" applyProtection="1">
      <protection locked="0"/>
    </xf>
    <xf numFmtId="191" fontId="20" fillId="3" borderId="72" xfId="0" applyNumberFormat="1" applyFont="1" applyFill="1" applyBorder="1" applyProtection="1">
      <protection locked="0"/>
    </xf>
    <xf numFmtId="165" fontId="0" fillId="0" borderId="0" xfId="0" applyNumberFormat="1" applyProtection="1">
      <protection locked="0"/>
    </xf>
    <xf numFmtId="191" fontId="20" fillId="3" borderId="75" xfId="0" applyNumberFormat="1" applyFont="1" applyFill="1" applyBorder="1" applyProtection="1">
      <protection locked="0"/>
    </xf>
    <xf numFmtId="191" fontId="20" fillId="3" borderId="76" xfId="0" applyNumberFormat="1" applyFont="1" applyFill="1" applyBorder="1" applyProtection="1">
      <protection locked="0"/>
    </xf>
    <xf numFmtId="0" fontId="2" fillId="0" borderId="0" xfId="0" applyFont="1" applyAlignment="1" applyProtection="1">
      <alignment horizontal="left" wrapText="1"/>
    </xf>
    <xf numFmtId="0" fontId="10" fillId="0" borderId="4" xfId="0" applyFont="1" applyBorder="1" applyAlignment="1" applyProtection="1">
      <alignment wrapText="1"/>
    </xf>
    <xf numFmtId="0" fontId="10" fillId="0" borderId="12" xfId="0" applyFont="1" applyBorder="1" applyProtection="1"/>
    <xf numFmtId="0" fontId="13" fillId="0" borderId="27" xfId="0" applyFont="1" applyBorder="1" applyAlignment="1" applyProtection="1">
      <alignment wrapText="1"/>
    </xf>
    <xf numFmtId="167" fontId="0" fillId="0" borderId="0" xfId="0" applyNumberFormat="1" applyProtection="1">
      <protection locked="0"/>
    </xf>
    <xf numFmtId="167" fontId="0" fillId="0" borderId="0" xfId="0" applyNumberFormat="1" applyBorder="1" applyProtection="1">
      <protection locked="0"/>
    </xf>
    <xf numFmtId="167" fontId="0" fillId="0" borderId="58" xfId="0" applyNumberFormat="1" applyBorder="1" applyProtection="1">
      <protection locked="0"/>
    </xf>
    <xf numFmtId="0" fontId="19" fillId="0" borderId="58" xfId="24" applyFont="1" applyFill="1" applyBorder="1" applyAlignment="1" applyProtection="1">
      <alignment horizontal="center" vertical="center" wrapText="1"/>
      <protection locked="0"/>
    </xf>
    <xf numFmtId="165" fontId="20" fillId="0" borderId="0" xfId="0" applyNumberFormat="1" applyFont="1" applyFill="1" applyBorder="1" applyProtection="1">
      <protection locked="0"/>
    </xf>
    <xf numFmtId="165" fontId="0" fillId="0" borderId="38" xfId="0" applyNumberFormat="1" applyBorder="1" applyProtection="1">
      <protection locked="0"/>
    </xf>
    <xf numFmtId="191" fontId="20" fillId="0" borderId="0" xfId="0" applyNumberFormat="1" applyFont="1" applyFill="1" applyBorder="1" applyProtection="1">
      <protection locked="0"/>
    </xf>
    <xf numFmtId="191" fontId="20" fillId="0" borderId="62" xfId="0" applyNumberFormat="1" applyFont="1" applyFill="1" applyBorder="1" applyProtection="1">
      <protection locked="0"/>
    </xf>
    <xf numFmtId="191" fontId="20" fillId="9" borderId="70" xfId="0" applyNumberFormat="1" applyFont="1" applyFill="1" applyBorder="1" applyProtection="1">
      <protection locked="0"/>
    </xf>
    <xf numFmtId="191" fontId="20" fillId="0" borderId="77" xfId="0" applyNumberFormat="1" applyFont="1" applyFill="1" applyBorder="1" applyProtection="1">
      <protection locked="0"/>
    </xf>
    <xf numFmtId="191" fontId="8" fillId="0" borderId="0" xfId="0" applyNumberFormat="1" applyFont="1" applyBorder="1" applyProtection="1">
      <protection locked="0"/>
    </xf>
    <xf numFmtId="191" fontId="8" fillId="0" borderId="77" xfId="0" applyNumberFormat="1" applyFont="1" applyBorder="1" applyProtection="1">
      <protection locked="0"/>
    </xf>
    <xf numFmtId="165" fontId="20" fillId="0" borderId="62" xfId="0" applyNumberFormat="1" applyFont="1" applyFill="1" applyBorder="1" applyProtection="1">
      <protection locked="0"/>
    </xf>
    <xf numFmtId="165" fontId="20" fillId="0" borderId="38" xfId="0" applyNumberFormat="1" applyFont="1" applyFill="1" applyBorder="1" applyProtection="1">
      <protection locked="0"/>
    </xf>
    <xf numFmtId="191" fontId="20" fillId="0" borderId="38" xfId="0" applyNumberFormat="1" applyFont="1" applyFill="1" applyBorder="1" applyProtection="1">
      <protection locked="0"/>
    </xf>
    <xf numFmtId="165" fontId="0" fillId="0" borderId="0" xfId="0" applyNumberFormat="1" applyFont="1" applyProtection="1">
      <protection locked="0"/>
    </xf>
    <xf numFmtId="165" fontId="0" fillId="0" borderId="62" xfId="0" applyNumberFormat="1" applyFont="1" applyBorder="1" applyProtection="1">
      <protection locked="0"/>
    </xf>
    <xf numFmtId="191" fontId="0" fillId="0" borderId="0" xfId="0" applyNumberFormat="1" applyFont="1" applyProtection="1">
      <protection locked="0"/>
    </xf>
    <xf numFmtId="191" fontId="8" fillId="0" borderId="0" xfId="0" applyNumberFormat="1" applyFont="1" applyProtection="1">
      <protection locked="0"/>
    </xf>
    <xf numFmtId="191" fontId="8" fillId="0" borderId="62" xfId="0" applyNumberFormat="1" applyFont="1" applyBorder="1" applyProtection="1">
      <protection locked="0"/>
    </xf>
    <xf numFmtId="191" fontId="8" fillId="0" borderId="10" xfId="0" applyNumberFormat="1" applyFont="1" applyBorder="1" applyProtection="1">
      <protection locked="0"/>
    </xf>
    <xf numFmtId="191" fontId="8" fillId="0" borderId="38" xfId="0" applyNumberFormat="1" applyFont="1" applyBorder="1" applyProtection="1">
      <protection locked="0"/>
    </xf>
    <xf numFmtId="165" fontId="8" fillId="0" borderId="38" xfId="0" applyNumberFormat="1" applyFont="1" applyBorder="1" applyProtection="1">
      <protection locked="0"/>
    </xf>
    <xf numFmtId="165" fontId="8" fillId="0" borderId="0" xfId="0" applyNumberFormat="1" applyFont="1" applyBorder="1" applyProtection="1">
      <protection locked="0"/>
    </xf>
    <xf numFmtId="165" fontId="33" fillId="5" borderId="0" xfId="0" applyNumberFormat="1" applyFont="1" applyFill="1" applyBorder="1" applyProtection="1">
      <protection locked="0"/>
    </xf>
    <xf numFmtId="165" fontId="33" fillId="5" borderId="62" xfId="0" applyNumberFormat="1" applyFont="1" applyFill="1" applyBorder="1" applyProtection="1">
      <protection locked="0"/>
    </xf>
    <xf numFmtId="191" fontId="20" fillId="9" borderId="71" xfId="0" applyNumberFormat="1" applyFont="1" applyFill="1" applyBorder="1" applyProtection="1">
      <protection locked="0"/>
    </xf>
    <xf numFmtId="165" fontId="0" fillId="0" borderId="77" xfId="0" applyNumberFormat="1" applyFont="1" applyBorder="1" applyProtection="1">
      <protection locked="0"/>
    </xf>
    <xf numFmtId="167" fontId="0" fillId="0" borderId="0" xfId="0" applyNumberFormat="1" applyAlignment="1" applyProtection="1">
      <alignment vertical="top"/>
      <protection locked="0"/>
    </xf>
    <xf numFmtId="0" fontId="4" fillId="0" borderId="0" xfId="0" applyFont="1" applyAlignment="1" applyProtection="1">
      <alignment horizontal="left" vertical="top" wrapText="1"/>
      <protection locked="0"/>
    </xf>
    <xf numFmtId="167" fontId="0" fillId="0" borderId="0" xfId="0" applyNumberFormat="1" applyAlignment="1" applyProtection="1">
      <protection locked="0"/>
    </xf>
    <xf numFmtId="191" fontId="20" fillId="3" borderId="87" xfId="24" applyNumberFormat="1" applyFont="1" applyFill="1" applyBorder="1" applyProtection="1">
      <protection locked="0"/>
    </xf>
    <xf numFmtId="191" fontId="20" fillId="3" borderId="94" xfId="24" applyNumberFormat="1" applyFont="1" applyFill="1" applyBorder="1" applyProtection="1">
      <protection locked="0"/>
    </xf>
    <xf numFmtId="166" fontId="4" fillId="3" borderId="52" xfId="39" applyNumberFormat="1" applyFont="1" applyFill="1" applyBorder="1" applyAlignment="1" applyProtection="1">
      <alignment horizontal="center"/>
      <protection locked="0"/>
    </xf>
    <xf numFmtId="0" fontId="104" fillId="0" borderId="0" xfId="0" applyFont="1" applyFill="1" applyAlignment="1">
      <alignment vertical="center"/>
    </xf>
    <xf numFmtId="0" fontId="22" fillId="0" borderId="4" xfId="24" applyFont="1" applyBorder="1" applyAlignment="1" applyProtection="1">
      <alignment horizontal="center" wrapText="1"/>
    </xf>
    <xf numFmtId="3" fontId="0" fillId="0" borderId="4" xfId="0" applyNumberFormat="1" applyFill="1" applyBorder="1" applyProtection="1">
      <protection locked="0"/>
    </xf>
    <xf numFmtId="180" fontId="9" fillId="2" borderId="0" xfId="0" applyNumberFormat="1" applyFont="1" applyFill="1" applyAlignment="1">
      <alignment horizontal="right" vertical="center"/>
    </xf>
    <xf numFmtId="0" fontId="0" fillId="0" borderId="0" xfId="0" applyFill="1" applyBorder="1" applyProtection="1"/>
    <xf numFmtId="180" fontId="99" fillId="2" borderId="0" xfId="0" applyNumberFormat="1" applyFont="1" applyFill="1" applyAlignment="1">
      <alignment horizontal="right"/>
    </xf>
    <xf numFmtId="180" fontId="99" fillId="2" borderId="0" xfId="0" applyNumberFormat="1" applyFont="1" applyFill="1" applyAlignment="1">
      <alignment horizontal="right" vertical="top"/>
    </xf>
    <xf numFmtId="179" fontId="99" fillId="2" borderId="0" xfId="0" applyNumberFormat="1" applyFont="1" applyFill="1" applyAlignment="1">
      <alignment horizontal="right"/>
    </xf>
    <xf numFmtId="179" fontId="9" fillId="2" borderId="0" xfId="0" applyNumberFormat="1" applyFont="1" applyFill="1" applyAlignment="1">
      <alignment horizontal="right" vertical="center"/>
    </xf>
    <xf numFmtId="190" fontId="0" fillId="0" borderId="0" xfId="0" applyNumberFormat="1" applyProtection="1"/>
    <xf numFmtId="0" fontId="0" fillId="0" borderId="0" xfId="0" applyBorder="1" applyAlignment="1" applyProtection="1">
      <alignment horizontal="left"/>
    </xf>
    <xf numFmtId="0" fontId="10" fillId="0" borderId="25" xfId="0" applyFont="1" applyBorder="1" applyAlignment="1" applyProtection="1">
      <alignment wrapText="1"/>
    </xf>
    <xf numFmtId="0" fontId="2" fillId="0" borderId="27" xfId="0" applyFont="1" applyBorder="1" applyAlignment="1" applyProtection="1">
      <alignment horizontal="center" wrapText="1"/>
    </xf>
    <xf numFmtId="0" fontId="2" fillId="0" borderId="4" xfId="0" applyFont="1" applyBorder="1" applyAlignment="1" applyProtection="1">
      <alignment horizontal="center"/>
    </xf>
    <xf numFmtId="0" fontId="2" fillId="0" borderId="26" xfId="0" applyFont="1" applyBorder="1" applyAlignment="1">
      <alignment horizontal="center"/>
    </xf>
    <xf numFmtId="0" fontId="2" fillId="0" borderId="4" xfId="0" applyFont="1" applyBorder="1" applyAlignment="1">
      <alignment horizontal="center"/>
    </xf>
    <xf numFmtId="0" fontId="37" fillId="0" borderId="0" xfId="0" applyFont="1" applyAlignment="1" applyProtection="1">
      <alignment horizontal="left" vertical="center" wrapText="1"/>
    </xf>
    <xf numFmtId="0" fontId="6" fillId="2" borderId="0" xfId="0" applyFont="1" applyFill="1" applyAlignment="1">
      <alignment horizontal="left" vertical="top"/>
    </xf>
    <xf numFmtId="0" fontId="9" fillId="2" borderId="0" xfId="0" applyFont="1" applyFill="1" applyAlignment="1" applyProtection="1">
      <alignment horizontal="left"/>
      <protection locked="0"/>
    </xf>
    <xf numFmtId="191" fontId="8" fillId="0" borderId="0" xfId="0" applyNumberFormat="1" applyFont="1" applyBorder="1" applyProtection="1"/>
    <xf numFmtId="191" fontId="0" fillId="0" borderId="0" xfId="0" applyNumberFormat="1" applyBorder="1" applyProtection="1"/>
    <xf numFmtId="0" fontId="0" fillId="0" borderId="0" xfId="0" applyAlignment="1" applyProtection="1">
      <alignment wrapText="1"/>
    </xf>
    <xf numFmtId="185" fontId="4" fillId="0" borderId="4" xfId="37" applyNumberFormat="1" applyFont="1" applyFill="1" applyBorder="1" applyAlignment="1" applyProtection="1">
      <alignment horizontal="center" vertical="center"/>
    </xf>
    <xf numFmtId="185" fontId="22" fillId="13" borderId="4" xfId="36" applyNumberFormat="1" applyFont="1" applyFill="1" applyBorder="1" applyAlignment="1" applyProtection="1">
      <alignment horizontal="center" vertical="center"/>
    </xf>
    <xf numFmtId="185" fontId="22" fillId="13" borderId="24" xfId="36" applyNumberFormat="1" applyFont="1" applyFill="1" applyBorder="1" applyAlignment="1" applyProtection="1">
      <alignment horizontal="center" vertical="center"/>
    </xf>
    <xf numFmtId="185" fontId="4" fillId="0" borderId="4" xfId="36" applyNumberFormat="1" applyFont="1" applyFill="1" applyBorder="1" applyAlignment="1" applyProtection="1">
      <alignment horizontal="center" vertical="center"/>
    </xf>
    <xf numFmtId="0" fontId="7" fillId="0" borderId="0" xfId="0" applyFont="1" applyProtection="1"/>
    <xf numFmtId="0" fontId="31" fillId="0" borderId="0" xfId="34" applyProtection="1"/>
    <xf numFmtId="0" fontId="31" fillId="0" borderId="0" xfId="34" applyFill="1" applyBorder="1" applyProtection="1"/>
    <xf numFmtId="0" fontId="33" fillId="0" borderId="0" xfId="0" applyFont="1" applyAlignment="1" applyProtection="1">
      <alignment horizontal="left" vertical="top"/>
    </xf>
    <xf numFmtId="0" fontId="4" fillId="0" borderId="0" xfId="19" applyFont="1" applyFill="1" applyBorder="1" applyAlignment="1" applyProtection="1">
      <alignment horizontal="right" vertical="center" wrapText="1"/>
    </xf>
    <xf numFmtId="0" fontId="4" fillId="0" borderId="0" xfId="13" applyProtection="1"/>
    <xf numFmtId="0" fontId="15" fillId="0" borderId="0" xfId="19" applyFont="1" applyFill="1" applyBorder="1" applyAlignment="1" applyProtection="1">
      <alignment horizontal="center" vertical="center" wrapText="1"/>
    </xf>
    <xf numFmtId="0" fontId="4" fillId="0" borderId="0" xfId="19" applyFont="1" applyFill="1" applyBorder="1" applyAlignment="1" applyProtection="1">
      <alignment horizontal="left" vertical="top"/>
    </xf>
    <xf numFmtId="0" fontId="4" fillId="0" borderId="0" xfId="16" applyProtection="1"/>
    <xf numFmtId="0" fontId="4" fillId="0" borderId="0" xfId="13" applyFill="1" applyProtection="1"/>
    <xf numFmtId="0" fontId="0" fillId="0" borderId="4" xfId="0" applyFill="1" applyBorder="1" applyProtection="1"/>
    <xf numFmtId="0" fontId="61" fillId="0" borderId="0" xfId="0" applyFont="1" applyFill="1" applyBorder="1" applyAlignment="1" applyProtection="1">
      <alignment vertical="top" wrapText="1"/>
    </xf>
    <xf numFmtId="0" fontId="0" fillId="0" borderId="4" xfId="0" applyBorder="1" applyProtection="1"/>
    <xf numFmtId="0" fontId="16" fillId="0" borderId="4" xfId="38" applyFont="1" applyFill="1" applyBorder="1" applyProtection="1"/>
    <xf numFmtId="0" fontId="4" fillId="0" borderId="0" xfId="16" applyFont="1" applyFill="1" applyProtection="1"/>
    <xf numFmtId="0" fontId="4" fillId="0" borderId="0" xfId="16" applyFont="1" applyProtection="1"/>
    <xf numFmtId="0" fontId="63" fillId="0" borderId="0" xfId="0" applyFont="1" applyAlignment="1" applyProtection="1">
      <alignment vertical="center"/>
    </xf>
    <xf numFmtId="0" fontId="63" fillId="0" borderId="0" xfId="0" applyFont="1" applyProtection="1"/>
    <xf numFmtId="0" fontId="64" fillId="2" borderId="0" xfId="0" applyFont="1" applyFill="1"/>
    <xf numFmtId="0" fontId="64" fillId="2" borderId="0" xfId="0" applyFont="1" applyFill="1" applyAlignment="1">
      <alignment horizontal="right"/>
    </xf>
    <xf numFmtId="0" fontId="40" fillId="0" borderId="0" xfId="0" applyFont="1" applyFill="1" applyBorder="1" applyAlignment="1" applyProtection="1">
      <alignment horizontal="center"/>
    </xf>
    <xf numFmtId="0" fontId="8" fillId="2" borderId="0" xfId="0" applyFont="1" applyFill="1"/>
    <xf numFmtId="0" fontId="64" fillId="2" borderId="0" xfId="0" applyFont="1" applyFill="1" applyAlignment="1">
      <alignment vertical="top"/>
    </xf>
    <xf numFmtId="0" fontId="64" fillId="2" borderId="0" xfId="0" applyFont="1" applyFill="1" applyAlignment="1">
      <alignment horizontal="left" vertical="top"/>
    </xf>
    <xf numFmtId="0" fontId="101" fillId="2" borderId="0" xfId="0" applyFont="1" applyFill="1" applyAlignment="1">
      <alignment horizontal="left"/>
    </xf>
    <xf numFmtId="0" fontId="101" fillId="2" borderId="0" xfId="0" applyFont="1" applyFill="1" applyAlignment="1">
      <alignment horizontal="left" vertical="center"/>
    </xf>
    <xf numFmtId="0" fontId="102" fillId="2" borderId="0" xfId="0" applyFont="1" applyFill="1" applyAlignment="1">
      <alignment horizontal="left"/>
    </xf>
    <xf numFmtId="0" fontId="102" fillId="2" borderId="0" xfId="0" applyFont="1" applyFill="1" applyAlignment="1">
      <alignment horizontal="left" vertical="center"/>
    </xf>
    <xf numFmtId="180" fontId="102" fillId="2" borderId="0" xfId="0" applyNumberFormat="1" applyFont="1" applyFill="1" applyAlignment="1">
      <alignment horizontal="right"/>
    </xf>
    <xf numFmtId="0" fontId="102" fillId="2" borderId="0" xfId="0" applyFont="1" applyFill="1" applyAlignment="1">
      <alignment vertical="center"/>
    </xf>
    <xf numFmtId="179" fontId="9" fillId="2" borderId="0" xfId="0" applyNumberFormat="1" applyFont="1" applyFill="1" applyBorder="1" applyAlignment="1" applyProtection="1">
      <alignment horizontal="right"/>
      <protection locked="0"/>
    </xf>
    <xf numFmtId="0" fontId="9" fillId="2" borderId="0" xfId="0" applyFont="1" applyFill="1" applyBorder="1" applyAlignment="1" applyProtection="1">
      <alignment horizontal="left" vertical="top"/>
      <protection locked="0"/>
    </xf>
    <xf numFmtId="179" fontId="5" fillId="2" borderId="0" xfId="0" applyNumberFormat="1" applyFont="1" applyFill="1" applyBorder="1" applyAlignment="1" applyProtection="1">
      <alignment horizontal="right"/>
      <protection locked="0"/>
    </xf>
    <xf numFmtId="180" fontId="9" fillId="2" borderId="0" xfId="0" applyNumberFormat="1" applyFont="1" applyFill="1" applyBorder="1" applyAlignment="1">
      <alignment horizontal="right"/>
    </xf>
    <xf numFmtId="0" fontId="4" fillId="2" borderId="0" xfId="161" applyFill="1" applyBorder="1" applyAlignment="1" applyProtection="1">
      <alignment vertical="center"/>
    </xf>
    <xf numFmtId="0" fontId="4" fillId="2" borderId="0" xfId="161" applyFill="1" applyBorder="1" applyProtection="1"/>
    <xf numFmtId="15" fontId="22" fillId="2" borderId="0" xfId="161" applyNumberFormat="1" applyFont="1" applyFill="1" applyBorder="1" applyProtection="1"/>
    <xf numFmtId="0" fontId="5" fillId="2" borderId="0" xfId="161" applyFont="1" applyFill="1" applyBorder="1" applyAlignment="1" applyProtection="1">
      <alignment horizontal="left" vertical="top"/>
      <protection locked="0"/>
    </xf>
    <xf numFmtId="180" fontId="5" fillId="2" borderId="0" xfId="161" applyNumberFormat="1" applyFont="1" applyFill="1" applyBorder="1" applyAlignment="1" applyProtection="1">
      <alignment horizontal="right" vertical="top"/>
      <protection locked="0"/>
    </xf>
    <xf numFmtId="0" fontId="5" fillId="2" borderId="0" xfId="0" applyFont="1" applyFill="1" applyBorder="1" applyProtection="1"/>
    <xf numFmtId="0" fontId="5" fillId="2" borderId="0" xfId="0" applyFont="1" applyFill="1" applyBorder="1" applyAlignment="1" applyProtection="1">
      <alignment horizontal="left"/>
    </xf>
    <xf numFmtId="0" fontId="106" fillId="2" borderId="0" xfId="0" applyFont="1" applyFill="1" applyAlignment="1">
      <alignment horizontal="left"/>
    </xf>
    <xf numFmtId="0" fontId="63" fillId="2" borderId="0" xfId="0" applyFont="1" applyFill="1" applyAlignment="1">
      <alignment horizontal="left"/>
    </xf>
    <xf numFmtId="180" fontId="63" fillId="2" borderId="0" xfId="0" applyNumberFormat="1" applyFont="1" applyFill="1" applyAlignment="1">
      <alignment horizontal="right"/>
    </xf>
    <xf numFmtId="179" fontId="63" fillId="2" borderId="0" xfId="0" applyNumberFormat="1" applyFont="1" applyFill="1" applyAlignment="1">
      <alignment horizontal="right"/>
    </xf>
    <xf numFmtId="180" fontId="9" fillId="2" borderId="0" xfId="0" applyNumberFormat="1" applyFont="1" applyFill="1" applyBorder="1" applyAlignment="1" applyProtection="1">
      <alignment horizontal="right"/>
      <protection locked="0"/>
    </xf>
    <xf numFmtId="0" fontId="5" fillId="2" borderId="0" xfId="0" applyFont="1" applyFill="1" applyBorder="1" applyAlignment="1" applyProtection="1">
      <alignment horizontal="left"/>
      <protection locked="0"/>
    </xf>
    <xf numFmtId="180" fontId="5" fillId="2" borderId="0" xfId="0" applyNumberFormat="1" applyFont="1" applyFill="1" applyBorder="1" applyAlignment="1" applyProtection="1">
      <alignment horizontal="right"/>
      <protection locked="0"/>
    </xf>
    <xf numFmtId="15" fontId="39" fillId="2" borderId="0" xfId="161" applyNumberFormat="1" applyFont="1" applyFill="1" applyBorder="1" applyAlignment="1" applyProtection="1">
      <alignment horizontal="left"/>
      <protection locked="0"/>
    </xf>
    <xf numFmtId="0" fontId="59" fillId="2" borderId="0" xfId="161" applyFont="1" applyFill="1" applyBorder="1" applyProtection="1">
      <protection locked="0"/>
    </xf>
    <xf numFmtId="198" fontId="5" fillId="2" borderId="0" xfId="161" applyNumberFormat="1" applyFont="1" applyFill="1" applyBorder="1" applyAlignment="1" applyProtection="1">
      <alignment horizontal="left"/>
      <protection locked="0"/>
    </xf>
    <xf numFmtId="180" fontId="5" fillId="2" borderId="0" xfId="161" applyNumberFormat="1" applyFont="1" applyFill="1" applyBorder="1" applyAlignment="1" applyProtection="1">
      <alignment horizontal="right"/>
      <protection locked="0"/>
    </xf>
    <xf numFmtId="0" fontId="59" fillId="2" borderId="0" xfId="161" applyFont="1" applyFill="1" applyBorder="1" applyAlignment="1" applyProtection="1">
      <alignment vertical="center"/>
      <protection locked="0"/>
    </xf>
    <xf numFmtId="15" fontId="22" fillId="2" borderId="0" xfId="161" applyNumberFormat="1" applyFont="1" applyFill="1" applyBorder="1" applyAlignment="1" applyProtection="1">
      <alignment horizontal="left"/>
      <protection locked="0"/>
    </xf>
    <xf numFmtId="0" fontId="4" fillId="2" borderId="0" xfId="161" applyFill="1" applyBorder="1" applyAlignment="1" applyProtection="1">
      <alignment vertical="center"/>
      <protection locked="0"/>
    </xf>
    <xf numFmtId="0" fontId="4" fillId="2" borderId="0" xfId="161" applyFill="1" applyBorder="1" applyProtection="1">
      <protection locked="0"/>
    </xf>
    <xf numFmtId="0" fontId="5" fillId="2" borderId="0" xfId="161" applyFont="1" applyFill="1" applyBorder="1" applyAlignment="1" applyProtection="1">
      <alignment horizontal="left" vertical="center"/>
      <protection locked="0"/>
    </xf>
    <xf numFmtId="180" fontId="5" fillId="2" borderId="0" xfId="161" applyNumberFormat="1" applyFont="1" applyFill="1" applyBorder="1" applyAlignment="1" applyProtection="1">
      <alignment horizontal="right" vertical="center"/>
      <protection locked="0"/>
    </xf>
    <xf numFmtId="0" fontId="5" fillId="2" borderId="0" xfId="0" applyFont="1" applyFill="1" applyBorder="1" applyAlignment="1" applyProtection="1">
      <alignment vertical="center"/>
      <protection locked="0"/>
    </xf>
    <xf numFmtId="0" fontId="8" fillId="2" borderId="0" xfId="0" applyFont="1" applyFill="1" applyAlignment="1"/>
    <xf numFmtId="0" fontId="106" fillId="2" borderId="0" xfId="0" applyFont="1" applyFill="1"/>
    <xf numFmtId="0" fontId="5" fillId="2" borderId="0" xfId="0" applyFont="1" applyFill="1" applyBorder="1" applyProtection="1">
      <protection locked="0"/>
    </xf>
    <xf numFmtId="179" fontId="9" fillId="2" borderId="0" xfId="0" applyNumberFormat="1" applyFont="1" applyFill="1" applyAlignment="1">
      <alignment horizontal="right" wrapText="1"/>
    </xf>
    <xf numFmtId="180" fontId="9" fillId="2" borderId="0" xfId="0" applyNumberFormat="1" applyFont="1" applyFill="1" applyAlignment="1">
      <alignment horizontal="right" wrapText="1"/>
    </xf>
    <xf numFmtId="180" fontId="9" fillId="2" borderId="0" xfId="0" applyNumberFormat="1" applyFont="1" applyFill="1" applyAlignment="1">
      <alignment horizontal="right" vertical="center" wrapText="1"/>
    </xf>
    <xf numFmtId="0" fontId="0" fillId="2" borderId="0" xfId="0" applyFill="1" applyAlignment="1">
      <alignment horizontal="left" vertical="top"/>
    </xf>
    <xf numFmtId="0" fontId="64" fillId="2" borderId="0" xfId="0" applyFont="1" applyFill="1" applyAlignment="1"/>
    <xf numFmtId="180" fontId="101" fillId="2" borderId="0" xfId="0" applyNumberFormat="1" applyFont="1" applyFill="1" applyAlignment="1">
      <alignment horizontal="right"/>
    </xf>
    <xf numFmtId="179" fontId="101" fillId="2" borderId="0" xfId="0" applyNumberFormat="1" applyFont="1" applyFill="1" applyAlignment="1">
      <alignment horizontal="right"/>
    </xf>
    <xf numFmtId="0" fontId="0" fillId="2" borderId="0" xfId="0" applyFill="1" applyBorder="1" applyAlignment="1" applyProtection="1">
      <alignment horizontal="left" vertical="center"/>
      <protection locked="0"/>
    </xf>
    <xf numFmtId="0" fontId="0" fillId="0" borderId="0" xfId="0"/>
    <xf numFmtId="0" fontId="0" fillId="0" borderId="0" xfId="0" applyAlignment="1">
      <alignment vertical="top"/>
    </xf>
    <xf numFmtId="0" fontId="0" fillId="0" borderId="0" xfId="0" applyBorder="1"/>
    <xf numFmtId="0" fontId="2" fillId="0" borderId="0" xfId="0" applyFont="1" applyAlignment="1">
      <alignment horizontal="left"/>
    </xf>
    <xf numFmtId="0" fontId="56" fillId="0" borderId="0" xfId="0" applyFont="1"/>
    <xf numFmtId="0" fontId="32" fillId="0" borderId="0" xfId="0" applyFont="1"/>
    <xf numFmtId="0" fontId="2" fillId="0" borderId="27" xfId="0" applyFont="1" applyBorder="1" applyAlignment="1">
      <alignment horizontal="center"/>
    </xf>
    <xf numFmtId="0" fontId="2" fillId="0" borderId="29" xfId="0" applyFont="1" applyBorder="1" applyAlignment="1">
      <alignment horizontal="center"/>
    </xf>
    <xf numFmtId="0" fontId="0" fillId="0" borderId="27" xfId="0" applyBorder="1" applyAlignment="1">
      <alignment horizontal="left" vertical="top"/>
    </xf>
    <xf numFmtId="0" fontId="0" fillId="0" borderId="49" xfId="0" applyBorder="1" applyAlignment="1">
      <alignment horizontal="left" vertical="top"/>
    </xf>
    <xf numFmtId="0" fontId="0" fillId="0" borderId="49" xfId="0" applyBorder="1" applyAlignment="1">
      <alignment vertical="top"/>
    </xf>
    <xf numFmtId="0" fontId="0" fillId="0" borderId="27" xfId="0" applyBorder="1" applyAlignment="1">
      <alignment vertical="top"/>
    </xf>
    <xf numFmtId="0" fontId="0" fillId="0" borderId="29" xfId="0" applyBorder="1" applyAlignment="1">
      <alignment vertical="top"/>
    </xf>
    <xf numFmtId="0" fontId="0" fillId="0" borderId="0" xfId="0" applyFill="1" applyBorder="1" applyAlignment="1">
      <alignment horizontal="right"/>
    </xf>
    <xf numFmtId="0" fontId="56" fillId="0" borderId="0" xfId="0" applyFont="1" applyFill="1"/>
    <xf numFmtId="190" fontId="0" fillId="0" borderId="0" xfId="163" applyNumberFormat="1" applyFont="1" applyFill="1"/>
    <xf numFmtId="0" fontId="0" fillId="0" borderId="4" xfId="0" applyBorder="1" applyAlignment="1">
      <alignment horizontal="left" vertical="top"/>
    </xf>
    <xf numFmtId="0" fontId="0" fillId="0" borderId="4" xfId="0" applyBorder="1" applyAlignment="1">
      <alignment horizontal="right"/>
    </xf>
    <xf numFmtId="0" fontId="0" fillId="0" borderId="4" xfId="0" applyFill="1" applyBorder="1"/>
    <xf numFmtId="0" fontId="0" fillId="0" borderId="4" xfId="0" applyBorder="1" applyAlignment="1">
      <alignment vertical="top"/>
    </xf>
    <xf numFmtId="0" fontId="92" fillId="0" borderId="0" xfId="24" applyFont="1" applyAlignment="1" applyProtection="1">
      <alignment vertical="top"/>
    </xf>
    <xf numFmtId="0" fontId="95" fillId="0" borderId="0" xfId="24" applyFont="1" applyAlignment="1" applyProtection="1">
      <alignment horizontal="left" vertical="top" wrapText="1"/>
    </xf>
    <xf numFmtId="0" fontId="4" fillId="0" borderId="0" xfId="24" applyFont="1" applyProtection="1"/>
    <xf numFmtId="0" fontId="4" fillId="0" borderId="0" xfId="24" applyFont="1" applyProtection="1">
      <protection locked="0"/>
    </xf>
    <xf numFmtId="191" fontId="20" fillId="3" borderId="69" xfId="0" applyNumberFormat="1" applyFont="1" applyFill="1" applyBorder="1" applyProtection="1">
      <protection locked="0"/>
    </xf>
    <xf numFmtId="191" fontId="20" fillId="0" borderId="0" xfId="0" applyNumberFormat="1" applyFont="1" applyFill="1" applyBorder="1" applyProtection="1"/>
    <xf numFmtId="191" fontId="20" fillId="9" borderId="69" xfId="0" applyNumberFormat="1" applyFont="1" applyFill="1" applyBorder="1" applyProtection="1"/>
    <xf numFmtId="191" fontId="20" fillId="9" borderId="70" xfId="0" applyNumberFormat="1" applyFont="1" applyFill="1" applyBorder="1" applyProtection="1"/>
    <xf numFmtId="191" fontId="20" fillId="3" borderId="69" xfId="24" applyNumberFormat="1" applyFont="1" applyFill="1" applyBorder="1" applyProtection="1">
      <protection locked="0"/>
    </xf>
    <xf numFmtId="191" fontId="20" fillId="9" borderId="87" xfId="0" applyNumberFormat="1" applyFont="1" applyFill="1" applyBorder="1" applyProtection="1"/>
    <xf numFmtId="191" fontId="20" fillId="3" borderId="90" xfId="24" applyNumberFormat="1" applyFont="1" applyFill="1" applyBorder="1" applyProtection="1">
      <protection locked="0"/>
    </xf>
    <xf numFmtId="191" fontId="20" fillId="0" borderId="87" xfId="0" applyNumberFormat="1" applyFont="1" applyFill="1" applyBorder="1" applyProtection="1"/>
    <xf numFmtId="191" fontId="8" fillId="10" borderId="103" xfId="0" applyNumberFormat="1" applyFont="1" applyFill="1" applyBorder="1" applyProtection="1"/>
    <xf numFmtId="0" fontId="20" fillId="0" borderId="38" xfId="0" applyFont="1" applyBorder="1" applyAlignment="1" applyProtection="1">
      <alignment horizontal="left"/>
    </xf>
    <xf numFmtId="0" fontId="0" fillId="0" borderId="0" xfId="0"/>
    <xf numFmtId="191" fontId="8" fillId="0" borderId="0" xfId="0" applyNumberFormat="1" applyFont="1" applyBorder="1" applyProtection="1"/>
    <xf numFmtId="0" fontId="8" fillId="0" borderId="0" xfId="0" applyFont="1" applyAlignment="1" applyProtection="1">
      <alignment vertical="top" wrapText="1"/>
    </xf>
    <xf numFmtId="0" fontId="26" fillId="0" borderId="0" xfId="0" applyFont="1" applyProtection="1"/>
    <xf numFmtId="0" fontId="6" fillId="0" borderId="0" xfId="0" applyFont="1" applyAlignment="1" applyProtection="1"/>
    <xf numFmtId="0" fontId="22" fillId="0" borderId="0" xfId="27" applyFont="1" applyAlignment="1" applyProtection="1"/>
    <xf numFmtId="0" fontId="13" fillId="0" borderId="4" xfId="0" applyFont="1" applyFill="1" applyBorder="1" applyAlignment="1" applyProtection="1">
      <alignment vertical="center" wrapText="1"/>
    </xf>
    <xf numFmtId="0" fontId="13" fillId="0" borderId="6" xfId="0" applyFont="1" applyFill="1" applyBorder="1" applyProtection="1"/>
    <xf numFmtId="0" fontId="10" fillId="0" borderId="4" xfId="0" applyFont="1" applyFill="1" applyBorder="1" applyAlignment="1" applyProtection="1">
      <alignment wrapText="1"/>
    </xf>
    <xf numFmtId="0" fontId="10" fillId="0" borderId="4" xfId="0" applyFont="1" applyFill="1" applyBorder="1" applyProtection="1"/>
    <xf numFmtId="0" fontId="35" fillId="0" borderId="27" xfId="0" applyFont="1" applyFill="1" applyBorder="1"/>
    <xf numFmtId="0" fontId="35" fillId="0" borderId="4" xfId="0" applyFont="1"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0" fillId="0" borderId="0" xfId="0"/>
    <xf numFmtId="0" fontId="4" fillId="0" borderId="0" xfId="24" applyFont="1" applyProtection="1">
      <protection locked="0"/>
    </xf>
    <xf numFmtId="0" fontId="0" fillId="0" borderId="0" xfId="0" applyProtection="1"/>
    <xf numFmtId="0" fontId="0" fillId="0" borderId="0" xfId="0" applyAlignment="1" applyProtection="1">
      <alignment horizontal="left" vertical="top"/>
    </xf>
    <xf numFmtId="0" fontId="25" fillId="0" borderId="0" xfId="26" applyFont="1" applyAlignment="1" applyProtection="1">
      <alignment horizontal="left" vertical="top"/>
    </xf>
    <xf numFmtId="0" fontId="27" fillId="0" borderId="0" xfId="26" applyFont="1" applyBorder="1" applyAlignment="1" applyProtection="1">
      <alignment horizontal="left" vertical="top"/>
    </xf>
    <xf numFmtId="0" fontId="27" fillId="0" borderId="0" xfId="26" applyFont="1" applyBorder="1" applyProtection="1"/>
    <xf numFmtId="0" fontId="4" fillId="0" borderId="0" xfId="26" applyFont="1" applyBorder="1" applyAlignment="1" applyProtection="1">
      <alignment horizontal="right"/>
    </xf>
    <xf numFmtId="0" fontId="5" fillId="0" borderId="0" xfId="26" applyFont="1" applyBorder="1" applyAlignment="1" applyProtection="1">
      <alignment horizontal="right" wrapText="1"/>
    </xf>
    <xf numFmtId="0" fontId="28" fillId="0" borderId="0" xfId="0" applyFont="1" applyProtection="1"/>
    <xf numFmtId="0" fontId="18" fillId="0" borderId="12" xfId="26" applyFont="1" applyBorder="1" applyAlignment="1" applyProtection="1">
      <alignment horizontal="left" vertical="top"/>
    </xf>
    <xf numFmtId="0" fontId="27" fillId="0" borderId="12" xfId="26" applyFont="1" applyBorder="1" applyProtection="1"/>
    <xf numFmtId="0" fontId="22" fillId="0" borderId="12" xfId="26" applyFont="1" applyBorder="1" applyAlignment="1" applyProtection="1">
      <alignment horizontal="right"/>
    </xf>
    <xf numFmtId="0" fontId="22" fillId="47" borderId="12" xfId="26" applyFont="1" applyFill="1" applyBorder="1" applyAlignment="1" applyProtection="1">
      <alignment horizontal="right"/>
    </xf>
    <xf numFmtId="0" fontId="2" fillId="0" borderId="0" xfId="0" applyFont="1" applyProtection="1"/>
    <xf numFmtId="0" fontId="2" fillId="0" borderId="12" xfId="0" applyFont="1" applyBorder="1" applyProtection="1"/>
    <xf numFmtId="0" fontId="0" fillId="0" borderId="12" xfId="0" applyBorder="1" applyAlignment="1" applyProtection="1">
      <alignment horizontal="center" wrapText="1"/>
    </xf>
    <xf numFmtId="0" fontId="13" fillId="0" borderId="12" xfId="0" applyFont="1" applyBorder="1" applyAlignment="1" applyProtection="1">
      <alignment horizontal="center"/>
    </xf>
    <xf numFmtId="0" fontId="26" fillId="0" borderId="0" xfId="0" applyFont="1" applyAlignment="1" applyProtection="1">
      <alignment horizontal="center"/>
    </xf>
    <xf numFmtId="0" fontId="0" fillId="0" borderId="0" xfId="0" applyAlignment="1" applyProtection="1">
      <alignment horizontal="center" vertical="center"/>
    </xf>
    <xf numFmtId="0" fontId="22" fillId="2" borderId="4" xfId="27" applyFont="1" applyFill="1" applyBorder="1" applyAlignment="1" applyProtection="1">
      <alignment horizontal="center"/>
    </xf>
    <xf numFmtId="0" fontId="22" fillId="0" borderId="0" xfId="27" applyFont="1" applyFill="1" applyAlignment="1" applyProtection="1">
      <alignment horizontal="center"/>
    </xf>
    <xf numFmtId="0" fontId="0" fillId="0" borderId="4" xfId="0" applyFill="1" applyBorder="1"/>
    <xf numFmtId="0" fontId="0" fillId="0" borderId="29" xfId="0" applyBorder="1" applyAlignment="1">
      <alignment horizontal="right"/>
    </xf>
    <xf numFmtId="0" fontId="0" fillId="0" borderId="49" xfId="0" applyBorder="1" applyAlignment="1">
      <alignment horizontal="right"/>
    </xf>
    <xf numFmtId="0" fontId="0" fillId="0" borderId="27" xfId="0" applyBorder="1" applyAlignment="1">
      <alignment horizontal="right"/>
    </xf>
    <xf numFmtId="0" fontId="37" fillId="0" borderId="0" xfId="0" applyFont="1" applyAlignment="1">
      <alignment horizontal="left"/>
    </xf>
    <xf numFmtId="0" fontId="8" fillId="0" borderId="0" xfId="0" applyFont="1" applyAlignment="1" applyProtection="1"/>
    <xf numFmtId="0" fontId="35" fillId="0" borderId="0" xfId="0" applyFont="1"/>
    <xf numFmtId="168" fontId="4" fillId="0" borderId="102" xfId="24" applyNumberFormat="1" applyFont="1" applyFill="1" applyBorder="1" applyAlignment="1" applyProtection="1">
      <alignment vertical="center"/>
      <protection locked="0"/>
    </xf>
    <xf numFmtId="0" fontId="110" fillId="9" borderId="0" xfId="24" applyFont="1" applyFill="1" applyAlignment="1" applyProtection="1">
      <alignment vertical="top" wrapText="1"/>
    </xf>
    <xf numFmtId="0" fontId="111" fillId="9" borderId="0" xfId="24" applyFont="1" applyFill="1" applyBorder="1" applyAlignment="1" applyProtection="1"/>
    <xf numFmtId="0" fontId="78" fillId="9" borderId="0" xfId="24" applyFont="1" applyFill="1" applyBorder="1" applyProtection="1"/>
    <xf numFmtId="0" fontId="78" fillId="0" borderId="0" xfId="24" applyFont="1" applyProtection="1"/>
    <xf numFmtId="0" fontId="78" fillId="52" borderId="4" xfId="24" applyFont="1" applyFill="1" applyBorder="1" applyProtection="1"/>
    <xf numFmtId="0" fontId="78" fillId="50" borderId="0" xfId="24" applyFont="1" applyFill="1" applyProtection="1">
      <protection locked="0"/>
    </xf>
    <xf numFmtId="0" fontId="78" fillId="0" borderId="0" xfId="24" applyFont="1" applyProtection="1">
      <protection locked="0"/>
    </xf>
    <xf numFmtId="0" fontId="112" fillId="0" borderId="0" xfId="0" applyNumberFormat="1" applyFont="1" applyFill="1" applyProtection="1"/>
    <xf numFmtId="0" fontId="35" fillId="0" borderId="0" xfId="0" applyFont="1" applyProtection="1"/>
    <xf numFmtId="0" fontId="22" fillId="10" borderId="4" xfId="24" applyFont="1" applyFill="1" applyBorder="1" applyAlignment="1" applyProtection="1">
      <alignment vertical="center"/>
      <protection locked="0"/>
    </xf>
    <xf numFmtId="168" fontId="13" fillId="10" borderId="26" xfId="39" applyFont="1" applyFill="1" applyBorder="1" applyAlignment="1" applyProtection="1">
      <alignment vertical="center"/>
      <protection locked="0"/>
    </xf>
    <xf numFmtId="0" fontId="2" fillId="0" borderId="0" xfId="0" applyFont="1" applyBorder="1" applyAlignment="1" applyProtection="1">
      <alignment wrapText="1"/>
    </xf>
    <xf numFmtId="0" fontId="10" fillId="0" borderId="4" xfId="0" applyFont="1" applyBorder="1" applyProtection="1"/>
    <xf numFmtId="179" fontId="9" fillId="0" borderId="0" xfId="0" applyNumberFormat="1" applyFont="1" applyAlignment="1">
      <alignment horizontal="right"/>
    </xf>
    <xf numFmtId="0" fontId="13" fillId="0" borderId="0" xfId="0" applyFont="1"/>
    <xf numFmtId="194" fontId="10" fillId="3" borderId="52" xfId="39" applyNumberFormat="1" applyFont="1" applyFill="1" applyBorder="1" applyProtection="1">
      <protection locked="0"/>
    </xf>
    <xf numFmtId="0" fontId="0" fillId="2" borderId="0" xfId="0" applyFill="1" applyAlignment="1">
      <alignment horizontal="right" vertical="center"/>
    </xf>
    <xf numFmtId="0" fontId="37" fillId="0" borderId="0" xfId="0" applyFont="1" applyAlignment="1" applyProtection="1">
      <alignment horizontal="left" vertical="center" wrapText="1"/>
    </xf>
    <xf numFmtId="0" fontId="0" fillId="0" borderId="0" xfId="0" applyAlignment="1" applyProtection="1">
      <alignment wrapText="1"/>
    </xf>
    <xf numFmtId="0" fontId="37" fillId="0" borderId="0" xfId="0" applyFont="1" applyAlignment="1" applyProtection="1">
      <alignment horizontal="left" wrapText="1"/>
    </xf>
    <xf numFmtId="0" fontId="37" fillId="0" borderId="0" xfId="0" applyFont="1" applyAlignment="1" applyProtection="1">
      <alignment horizontal="left"/>
    </xf>
    <xf numFmtId="194" fontId="0" fillId="0" borderId="0" xfId="169" applyNumberFormat="1" applyFont="1" applyBorder="1" applyProtection="1"/>
    <xf numFmtId="194" fontId="0" fillId="0" borderId="17" xfId="169" applyNumberFormat="1" applyFont="1" applyBorder="1" applyProtection="1"/>
    <xf numFmtId="199" fontId="0" fillId="0" borderId="0" xfId="170" applyNumberFormat="1" applyFont="1" applyProtection="1"/>
    <xf numFmtId="194" fontId="0" fillId="0" borderId="0" xfId="169" applyNumberFormat="1" applyFont="1" applyFill="1" applyBorder="1" applyAlignment="1" applyProtection="1">
      <alignment vertical="center"/>
    </xf>
    <xf numFmtId="194" fontId="0" fillId="0" borderId="17" xfId="169" applyNumberFormat="1" applyFont="1" applyFill="1" applyBorder="1" applyAlignment="1" applyProtection="1">
      <alignment vertical="center"/>
    </xf>
    <xf numFmtId="194" fontId="0" fillId="0" borderId="16" xfId="169" applyNumberFormat="1" applyFont="1" applyBorder="1" applyProtection="1"/>
    <xf numFmtId="10" fontId="2" fillId="0" borderId="4" xfId="179" applyNumberFormat="1" applyFont="1" applyBorder="1" applyProtection="1"/>
    <xf numFmtId="0" fontId="0" fillId="0" borderId="11" xfId="0" applyBorder="1"/>
    <xf numFmtId="182" fontId="0" fillId="0" borderId="11" xfId="0" applyNumberFormat="1" applyBorder="1"/>
    <xf numFmtId="10" fontId="0" fillId="0" borderId="11" xfId="0" applyNumberFormat="1" applyBorder="1"/>
    <xf numFmtId="194" fontId="0" fillId="0" borderId="11" xfId="0" applyNumberFormat="1" applyBorder="1"/>
    <xf numFmtId="194" fontId="0" fillId="0" borderId="4" xfId="0" applyNumberFormat="1" applyBorder="1"/>
    <xf numFmtId="0" fontId="0" fillId="0" borderId="6" xfId="0" applyBorder="1"/>
    <xf numFmtId="182" fontId="0" fillId="0" borderId="6" xfId="0" applyNumberFormat="1" applyBorder="1"/>
    <xf numFmtId="10" fontId="0" fillId="0" borderId="25" xfId="0" applyNumberFormat="1" applyBorder="1"/>
    <xf numFmtId="194" fontId="0" fillId="0" borderId="6" xfId="0" applyNumberFormat="1" applyBorder="1"/>
    <xf numFmtId="10" fontId="0" fillId="0" borderId="6" xfId="0" applyNumberFormat="1" applyBorder="1"/>
    <xf numFmtId="194" fontId="0" fillId="0" borderId="29" xfId="0" applyNumberFormat="1" applyBorder="1"/>
    <xf numFmtId="0" fontId="0" fillId="0" borderId="25" xfId="0" applyBorder="1"/>
    <xf numFmtId="182" fontId="0" fillId="0" borderId="25" xfId="0" applyNumberFormat="1" applyBorder="1"/>
    <xf numFmtId="194" fontId="0" fillId="0" borderId="13" xfId="0" applyNumberFormat="1" applyBorder="1"/>
    <xf numFmtId="194" fontId="0" fillId="0" borderId="25" xfId="0" applyNumberFormat="1" applyBorder="1"/>
    <xf numFmtId="194" fontId="0" fillId="0" borderId="26" xfId="0" applyNumberFormat="1" applyBorder="1"/>
    <xf numFmtId="0" fontId="0" fillId="4" borderId="4" xfId="0" applyFill="1" applyBorder="1" applyAlignment="1" applyProtection="1">
      <alignment horizontal="center"/>
      <protection locked="0"/>
    </xf>
    <xf numFmtId="190" fontId="0" fillId="3" borderId="4" xfId="163" applyNumberFormat="1" applyFont="1" applyFill="1" applyBorder="1" applyProtection="1">
      <protection locked="0"/>
    </xf>
    <xf numFmtId="0" fontId="0" fillId="4" borderId="4" xfId="0" applyFill="1" applyBorder="1" applyProtection="1">
      <protection locked="0"/>
    </xf>
    <xf numFmtId="0" fontId="0" fillId="0" borderId="4" xfId="0" applyFill="1" applyBorder="1" applyProtection="1">
      <protection locked="0"/>
    </xf>
    <xf numFmtId="0" fontId="35" fillId="0" borderId="4" xfId="0" applyFont="1" applyFill="1" applyBorder="1" applyProtection="1">
      <protection locked="0"/>
    </xf>
    <xf numFmtId="202" fontId="4" fillId="9" borderId="51" xfId="39" applyNumberFormat="1" applyFont="1" applyFill="1" applyBorder="1" applyProtection="1"/>
    <xf numFmtId="0" fontId="0" fillId="0" borderId="0" xfId="0" applyAlignment="1">
      <alignment horizontal="center" vertical="top" wrapText="1"/>
    </xf>
    <xf numFmtId="0" fontId="114" fillId="55" borderId="105" xfId="0" applyFont="1" applyFill="1" applyBorder="1" applyAlignment="1">
      <alignment horizontal="left" vertical="top" wrapText="1"/>
    </xf>
    <xf numFmtId="0" fontId="114" fillId="55" borderId="106" xfId="0" applyFont="1" applyFill="1" applyBorder="1" applyAlignment="1">
      <alignment horizontal="left" vertical="top" wrapText="1"/>
    </xf>
    <xf numFmtId="0" fontId="114" fillId="56" borderId="107" xfId="0" applyFont="1" applyFill="1" applyBorder="1" applyAlignment="1">
      <alignment horizontal="left" vertical="top" wrapText="1"/>
    </xf>
    <xf numFmtId="2" fontId="114" fillId="56" borderId="107" xfId="0" applyNumberFormat="1" applyFont="1" applyFill="1" applyBorder="1" applyAlignment="1">
      <alignment horizontal="right" vertical="top" wrapText="1"/>
    </xf>
    <xf numFmtId="2" fontId="114" fillId="57" borderId="107" xfId="0" applyNumberFormat="1" applyFont="1" applyFill="1" applyBorder="1" applyAlignment="1">
      <alignment horizontal="right" vertical="top" wrapText="1"/>
    </xf>
    <xf numFmtId="2" fontId="114" fillId="57" borderId="108" xfId="0" applyNumberFormat="1" applyFont="1" applyFill="1" applyBorder="1" applyAlignment="1">
      <alignment horizontal="right" vertical="top" wrapText="1"/>
    </xf>
    <xf numFmtId="1" fontId="114" fillId="56" borderId="107" xfId="0" applyNumberFormat="1" applyFont="1" applyFill="1" applyBorder="1" applyAlignment="1">
      <alignment horizontal="right" vertical="top" wrapText="1"/>
    </xf>
    <xf numFmtId="0" fontId="0" fillId="56" borderId="107" xfId="0" applyFill="1" applyBorder="1" applyAlignment="1">
      <alignment horizontal="left" vertical="top" wrapText="1"/>
    </xf>
    <xf numFmtId="0" fontId="0" fillId="56" borderId="107" xfId="0" applyFill="1" applyBorder="1" applyAlignment="1">
      <alignment horizontal="right" vertical="top" wrapText="1"/>
    </xf>
    <xf numFmtId="44" fontId="22" fillId="2" borderId="49" xfId="39" applyNumberFormat="1" applyFont="1" applyFill="1" applyBorder="1" applyAlignment="1" applyProtection="1">
      <alignment horizontal="left" vertical="center"/>
      <protection locked="0"/>
    </xf>
    <xf numFmtId="180" fontId="5" fillId="2" borderId="0" xfId="161" applyNumberFormat="1" applyFont="1" applyFill="1" applyBorder="1" applyAlignment="1" applyProtection="1">
      <alignment vertical="center"/>
      <protection locked="0"/>
    </xf>
    <xf numFmtId="0" fontId="9" fillId="2" borderId="0" xfId="0" applyFont="1" applyFill="1" applyAlignment="1" applyProtection="1">
      <alignment horizontal="left" vertical="center"/>
      <protection locked="0"/>
    </xf>
    <xf numFmtId="3" fontId="0" fillId="8" borderId="4" xfId="0" applyNumberFormat="1" applyFill="1" applyBorder="1" applyProtection="1">
      <protection locked="0"/>
    </xf>
    <xf numFmtId="0" fontId="13" fillId="0" borderId="10" xfId="0" applyFont="1" applyBorder="1" applyAlignment="1" applyProtection="1">
      <alignment wrapText="1"/>
    </xf>
    <xf numFmtId="0" fontId="0" fillId="0" borderId="12" xfId="0" applyBorder="1" applyProtection="1"/>
    <xf numFmtId="0" fontId="40" fillId="45" borderId="0" xfId="24" applyFont="1" applyFill="1" applyAlignment="1" applyProtection="1">
      <alignment horizontal="center" vertical="center"/>
    </xf>
    <xf numFmtId="0" fontId="0" fillId="2" borderId="104" xfId="0" applyFill="1" applyBorder="1" applyProtection="1"/>
    <xf numFmtId="0" fontId="0" fillId="2" borderId="111" xfId="0" applyFill="1" applyBorder="1" applyProtection="1"/>
    <xf numFmtId="0" fontId="37" fillId="0" borderId="4" xfId="0" applyFont="1" applyFill="1" applyBorder="1" applyAlignment="1" applyProtection="1">
      <alignment horizontal="center" vertical="center" wrapText="1"/>
    </xf>
    <xf numFmtId="168" fontId="18" fillId="0" borderId="0" xfId="39" applyFont="1" applyFill="1" applyProtection="1"/>
    <xf numFmtId="0" fontId="0" fillId="0" borderId="0" xfId="0" applyProtection="1"/>
    <xf numFmtId="0" fontId="28" fillId="0" borderId="0" xfId="0" applyFont="1" applyProtection="1"/>
    <xf numFmtId="0" fontId="34" fillId="0" borderId="0" xfId="0" applyFont="1" applyProtection="1"/>
    <xf numFmtId="0" fontId="18" fillId="0" borderId="0" xfId="0" applyFont="1" applyProtection="1"/>
    <xf numFmtId="0" fontId="4" fillId="0" borderId="0" xfId="24" applyFont="1" applyProtection="1">
      <protection locked="0"/>
    </xf>
    <xf numFmtId="0" fontId="39" fillId="0" borderId="0" xfId="0" applyFont="1" applyAlignment="1" applyProtection="1">
      <alignment horizontal="left"/>
    </xf>
    <xf numFmtId="0" fontId="0" fillId="2" borderId="0" xfId="0" applyFill="1" applyBorder="1" applyProtection="1"/>
    <xf numFmtId="0" fontId="64" fillId="0" borderId="0" xfId="0" applyFont="1" applyProtection="1"/>
    <xf numFmtId="0" fontId="0" fillId="2" borderId="0" xfId="0" applyFill="1" applyBorder="1" applyProtection="1">
      <protection locked="0"/>
    </xf>
    <xf numFmtId="0" fontId="22" fillId="9" borderId="0" xfId="0" applyFont="1" applyFill="1" applyAlignment="1" applyProtection="1">
      <alignment horizontal="left" wrapText="1"/>
    </xf>
    <xf numFmtId="0" fontId="22" fillId="0" borderId="0" xfId="0" applyFont="1" applyAlignment="1" applyProtection="1">
      <alignment horizontal="center" wrapText="1"/>
    </xf>
    <xf numFmtId="0" fontId="10" fillId="0" borderId="0" xfId="0" applyFont="1" applyAlignment="1" applyProtection="1">
      <alignment horizontal="center"/>
    </xf>
    <xf numFmtId="0" fontId="0" fillId="54" borderId="0" xfId="0" applyFill="1" applyProtection="1"/>
    <xf numFmtId="183" fontId="18" fillId="0" borderId="0" xfId="24" applyNumberFormat="1" applyFont="1" applyAlignment="1" applyProtection="1">
      <alignment horizontal="center" vertical="center" wrapText="1"/>
    </xf>
    <xf numFmtId="0" fontId="9" fillId="2" borderId="0" xfId="0" applyFont="1" applyFill="1" applyBorder="1" applyAlignment="1">
      <alignment horizontal="left" vertical="center"/>
    </xf>
    <xf numFmtId="180" fontId="9" fillId="2" borderId="0" xfId="232" applyNumberFormat="1" applyFont="1" applyFill="1" applyAlignment="1">
      <alignment horizontal="right"/>
    </xf>
    <xf numFmtId="179" fontId="9" fillId="2" borderId="0" xfId="232" applyNumberFormat="1" applyFont="1" applyFill="1" applyAlignment="1">
      <alignment horizontal="right"/>
    </xf>
    <xf numFmtId="0" fontId="0" fillId="0" borderId="27" xfId="0" applyFill="1" applyBorder="1" applyAlignment="1">
      <alignment horizontal="center"/>
    </xf>
    <xf numFmtId="0" fontId="0" fillId="0" borderId="0" xfId="0" applyFill="1" applyBorder="1" applyAlignment="1">
      <alignment horizontal="center"/>
    </xf>
    <xf numFmtId="0" fontId="20" fillId="0" borderId="0" xfId="0" applyFont="1" applyAlignment="1" applyProtection="1">
      <alignment vertical="top"/>
    </xf>
    <xf numFmtId="0" fontId="63" fillId="2" borderId="0" xfId="0" applyFont="1" applyFill="1" applyBorder="1" applyAlignment="1">
      <alignment horizontal="left"/>
    </xf>
    <xf numFmtId="0" fontId="64" fillId="2" borderId="0" xfId="0" applyFont="1" applyFill="1" applyBorder="1" applyAlignment="1" applyProtection="1">
      <alignment horizontal="left" vertical="center"/>
      <protection locked="0"/>
    </xf>
    <xf numFmtId="0" fontId="59" fillId="2" borderId="0" xfId="161" applyFont="1" applyFill="1" applyBorder="1" applyAlignment="1" applyProtection="1">
      <alignment vertical="center"/>
    </xf>
    <xf numFmtId="15" fontId="22" fillId="2" borderId="0" xfId="161" applyNumberFormat="1" applyFont="1" applyFill="1" applyBorder="1" applyAlignment="1" applyProtection="1">
      <alignment horizontal="left"/>
    </xf>
    <xf numFmtId="15" fontId="22" fillId="2" borderId="0" xfId="161" applyNumberFormat="1" applyFont="1" applyFill="1" applyBorder="1" applyAlignment="1" applyProtection="1">
      <alignment vertical="center"/>
    </xf>
    <xf numFmtId="0" fontId="9" fillId="2" borderId="0" xfId="0" applyFont="1" applyFill="1" applyBorder="1" applyAlignment="1">
      <alignment vertical="center"/>
    </xf>
    <xf numFmtId="15" fontId="39" fillId="2" borderId="0" xfId="161" applyNumberFormat="1" applyFont="1" applyFill="1" applyBorder="1" applyAlignment="1" applyProtection="1">
      <alignment horizontal="left"/>
    </xf>
    <xf numFmtId="0" fontId="59" fillId="2" borderId="0" xfId="161" applyFont="1" applyFill="1" applyBorder="1" applyProtection="1"/>
    <xf numFmtId="0" fontId="11" fillId="2" borderId="0" xfId="0" applyFont="1" applyFill="1" applyBorder="1" applyAlignment="1">
      <alignment horizontal="left"/>
    </xf>
    <xf numFmtId="0" fontId="11" fillId="2" borderId="0" xfId="0" applyFont="1" applyFill="1" applyBorder="1" applyAlignment="1">
      <alignment horizontal="center"/>
    </xf>
    <xf numFmtId="0" fontId="11" fillId="2" borderId="0" xfId="0" applyFont="1" applyFill="1" applyBorder="1" applyAlignment="1">
      <alignment horizontal="center" vertical="center"/>
    </xf>
    <xf numFmtId="0" fontId="5" fillId="2" borderId="0" xfId="0" applyFont="1" applyFill="1" applyBorder="1" applyAlignment="1" applyProtection="1">
      <alignment vertical="center"/>
    </xf>
    <xf numFmtId="0" fontId="64" fillId="2" borderId="0" xfId="0" applyFont="1" applyFill="1" applyAlignment="1">
      <alignment wrapText="1"/>
    </xf>
    <xf numFmtId="179" fontId="5" fillId="2" borderId="0" xfId="161" applyNumberFormat="1" applyFont="1" applyFill="1" applyBorder="1" applyAlignment="1" applyProtection="1">
      <alignment horizontal="right"/>
      <protection locked="0"/>
    </xf>
    <xf numFmtId="0" fontId="107" fillId="2" borderId="0" xfId="0" applyFont="1" applyFill="1" applyAlignment="1">
      <alignment horizontal="left"/>
    </xf>
    <xf numFmtId="179" fontId="9" fillId="0" borderId="0" xfId="0" applyNumberFormat="1" applyFont="1" applyFill="1" applyAlignment="1">
      <alignment horizontal="right"/>
    </xf>
    <xf numFmtId="180" fontId="9" fillId="2" borderId="0" xfId="166" applyNumberFormat="1" applyFont="1" applyFill="1" applyBorder="1" applyAlignment="1" applyProtection="1">
      <alignment horizontal="right"/>
      <protection locked="0"/>
    </xf>
    <xf numFmtId="179" fontId="9" fillId="2" borderId="0" xfId="166" applyNumberFormat="1" applyFont="1" applyFill="1" applyBorder="1" applyAlignment="1" applyProtection="1">
      <alignment horizontal="right"/>
      <protection locked="0"/>
    </xf>
    <xf numFmtId="0" fontId="5" fillId="2" borderId="0" xfId="166" applyFont="1" applyFill="1" applyBorder="1" applyAlignment="1" applyProtection="1">
      <alignment horizontal="left"/>
      <protection locked="0"/>
    </xf>
    <xf numFmtId="179" fontId="5" fillId="2" borderId="0" xfId="166" applyNumberFormat="1" applyFont="1" applyFill="1" applyBorder="1" applyAlignment="1" applyProtection="1">
      <alignment horizontal="right"/>
      <protection locked="0"/>
    </xf>
    <xf numFmtId="180" fontId="5" fillId="2" borderId="0" xfId="166" applyNumberFormat="1" applyFont="1" applyFill="1" applyBorder="1" applyAlignment="1" applyProtection="1">
      <alignment horizontal="right"/>
      <protection locked="0"/>
    </xf>
    <xf numFmtId="0" fontId="4" fillId="2" borderId="0" xfId="161" applyFill="1" applyBorder="1" applyAlignment="1" applyProtection="1">
      <alignment horizontal="center"/>
      <protection locked="0"/>
    </xf>
    <xf numFmtId="180" fontId="102" fillId="2" borderId="0" xfId="0" applyNumberFormat="1" applyFont="1" applyFill="1" applyAlignment="1">
      <alignment horizontal="right" vertical="center"/>
    </xf>
    <xf numFmtId="0" fontId="64" fillId="2" borderId="0" xfId="0" applyFont="1" applyFill="1" applyAlignment="1">
      <alignment horizontal="right" vertical="center"/>
    </xf>
    <xf numFmtId="0" fontId="64" fillId="2" borderId="0" xfId="0" applyFont="1" applyFill="1" applyAlignment="1">
      <alignment vertical="center"/>
    </xf>
    <xf numFmtId="0" fontId="115" fillId="2" borderId="0" xfId="0" applyFont="1" applyFill="1" applyAlignment="1"/>
    <xf numFmtId="0" fontId="116" fillId="2" borderId="0" xfId="0" applyFont="1" applyFill="1" applyAlignment="1"/>
    <xf numFmtId="0" fontId="4" fillId="2" borderId="0" xfId="0" applyFont="1" applyFill="1" applyAlignment="1"/>
    <xf numFmtId="0" fontId="5" fillId="2" borderId="0" xfId="0" applyFont="1" applyFill="1" applyAlignment="1"/>
    <xf numFmtId="0" fontId="13" fillId="2" borderId="0" xfId="0" applyFont="1" applyFill="1" applyAlignment="1">
      <alignment vertical="center" wrapText="1"/>
    </xf>
    <xf numFmtId="1" fontId="22" fillId="3" borderId="4" xfId="27" applyNumberFormat="1" applyFont="1" applyFill="1" applyBorder="1" applyAlignment="1" applyProtection="1">
      <alignment horizontal="center"/>
      <protection locked="0"/>
    </xf>
    <xf numFmtId="0" fontId="18" fillId="0" borderId="0" xfId="24" applyFont="1" applyAlignment="1" applyProtection="1">
      <alignment horizontal="left" vertical="center" wrapText="1"/>
    </xf>
    <xf numFmtId="0" fontId="18" fillId="0" borderId="0" xfId="24" applyFont="1" applyAlignment="1" applyProtection="1">
      <alignment horizontal="center" vertical="center" wrapText="1"/>
    </xf>
    <xf numFmtId="190" fontId="18" fillId="0" borderId="0" xfId="24" applyNumberFormat="1" applyFont="1" applyAlignment="1" applyProtection="1">
      <alignment horizontal="center" vertical="center" wrapText="1"/>
    </xf>
    <xf numFmtId="0" fontId="33" fillId="0" borderId="0" xfId="0" applyFont="1"/>
    <xf numFmtId="0" fontId="9" fillId="2" borderId="0" xfId="0" applyFont="1" applyFill="1" applyAlignment="1">
      <alignment horizontal="center" vertical="center"/>
    </xf>
    <xf numFmtId="14" fontId="0" fillId="0" borderId="0" xfId="0" applyNumberFormat="1" applyAlignment="1">
      <alignment vertical="top"/>
    </xf>
    <xf numFmtId="0" fontId="9" fillId="2" borderId="0" xfId="0" applyNumberFormat="1" applyFont="1" applyFill="1" applyBorder="1" applyAlignment="1">
      <alignment horizontal="right"/>
    </xf>
    <xf numFmtId="0" fontId="9" fillId="2" borderId="0" xfId="0" applyNumberFormat="1" applyFont="1" applyFill="1" applyAlignment="1">
      <alignment horizontal="right"/>
    </xf>
    <xf numFmtId="0" fontId="9" fillId="2" borderId="0" xfId="0" applyNumberFormat="1" applyFont="1" applyFill="1" applyAlignment="1">
      <alignment horizontal="right" vertical="top" wrapText="1"/>
    </xf>
    <xf numFmtId="0" fontId="9" fillId="2" borderId="0" xfId="0" applyNumberFormat="1" applyFont="1" applyFill="1" applyAlignment="1">
      <alignment horizontal="right" wrapText="1"/>
    </xf>
    <xf numFmtId="0" fontId="9" fillId="2" borderId="0" xfId="0" applyNumberFormat="1" applyFont="1" applyFill="1" applyAlignment="1">
      <alignment horizontal="right" vertical="center"/>
    </xf>
    <xf numFmtId="0" fontId="102" fillId="2" borderId="0" xfId="0" applyNumberFormat="1" applyFont="1" applyFill="1" applyAlignment="1">
      <alignment horizontal="right" vertical="center"/>
    </xf>
    <xf numFmtId="0" fontId="10" fillId="2" borderId="0" xfId="0" applyFont="1" applyFill="1" applyAlignment="1">
      <alignment horizontal="left" vertical="top"/>
    </xf>
    <xf numFmtId="0" fontId="9" fillId="2" borderId="0" xfId="0" applyFont="1" applyFill="1" applyAlignment="1">
      <alignment horizontal="left" vertical="center"/>
    </xf>
    <xf numFmtId="0" fontId="9" fillId="2" borderId="0" xfId="0" applyNumberFormat="1" applyFont="1" applyFill="1"/>
    <xf numFmtId="0" fontId="13" fillId="2" borderId="0" xfId="0" applyFont="1" applyFill="1" applyBorder="1" applyAlignment="1">
      <alignment horizontal="left" vertical="top" wrapText="1"/>
    </xf>
    <xf numFmtId="0" fontId="9" fillId="2" borderId="0" xfId="0" applyNumberFormat="1" applyFont="1" applyFill="1" applyAlignment="1">
      <alignment vertical="center"/>
    </xf>
    <xf numFmtId="15" fontId="39" fillId="2" borderId="0" xfId="161" applyNumberFormat="1" applyFont="1" applyFill="1" applyBorder="1" applyAlignment="1" applyProtection="1">
      <alignment horizontal="left" vertical="center" wrapText="1"/>
    </xf>
    <xf numFmtId="15" fontId="22" fillId="2" borderId="0" xfId="161" applyNumberFormat="1" applyFont="1" applyFill="1" applyBorder="1" applyAlignment="1" applyProtection="1">
      <alignment horizontal="left" wrapText="1"/>
    </xf>
    <xf numFmtId="15" fontId="91" fillId="2" borderId="0" xfId="161" applyNumberFormat="1" applyFont="1" applyFill="1" applyBorder="1" applyAlignment="1" applyProtection="1">
      <alignment horizontal="left" vertical="center" wrapText="1"/>
    </xf>
    <xf numFmtId="0" fontId="64" fillId="2" borderId="0" xfId="0" applyFont="1" applyFill="1" applyBorder="1" applyAlignment="1">
      <alignment horizontal="center" vertical="center"/>
    </xf>
    <xf numFmtId="0" fontId="64" fillId="2" borderId="0" xfId="0" applyNumberFormat="1" applyFont="1" applyFill="1" applyBorder="1" applyAlignment="1">
      <alignment horizontal="right" vertical="center"/>
    </xf>
    <xf numFmtId="0" fontId="6" fillId="2" borderId="0" xfId="0" applyFont="1" applyFill="1" applyBorder="1" applyAlignment="1">
      <alignment horizontal="center" vertical="center"/>
    </xf>
    <xf numFmtId="0" fontId="6" fillId="2" borderId="0" xfId="0" applyNumberFormat="1" applyFont="1" applyFill="1" applyBorder="1" applyAlignment="1">
      <alignment horizontal="right" vertical="top"/>
    </xf>
    <xf numFmtId="0" fontId="9" fillId="2" borderId="0" xfId="0" applyNumberFormat="1" applyFont="1" applyFill="1" applyBorder="1" applyAlignment="1">
      <alignment horizontal="right" vertical="center"/>
    </xf>
    <xf numFmtId="0" fontId="60" fillId="2" borderId="0" xfId="0" applyFont="1" applyFill="1" applyBorder="1" applyAlignment="1">
      <alignment horizontal="left"/>
    </xf>
    <xf numFmtId="0" fontId="63" fillId="2" borderId="0" xfId="0" applyNumberFormat="1" applyFont="1" applyFill="1" applyBorder="1" applyAlignment="1">
      <alignment horizontal="left"/>
    </xf>
    <xf numFmtId="0" fontId="64" fillId="2" borderId="0" xfId="0" applyFont="1" applyFill="1" applyBorder="1" applyAlignment="1">
      <alignment horizontal="center"/>
    </xf>
    <xf numFmtId="0" fontId="64" fillId="2" borderId="0" xfId="0" applyNumberFormat="1" applyFont="1" applyFill="1" applyBorder="1"/>
    <xf numFmtId="0" fontId="63" fillId="2" borderId="0" xfId="0" applyNumberFormat="1" applyFont="1" applyFill="1" applyBorder="1" applyAlignment="1">
      <alignment horizontal="right"/>
    </xf>
    <xf numFmtId="0" fontId="100" fillId="2" borderId="0" xfId="0" applyFont="1" applyFill="1" applyBorder="1" applyAlignment="1">
      <alignment horizontal="left" vertical="top" wrapText="1"/>
    </xf>
    <xf numFmtId="0" fontId="100" fillId="2" borderId="0" xfId="0" applyFont="1" applyFill="1" applyBorder="1" applyAlignment="1">
      <alignment horizontal="left" vertical="center"/>
    </xf>
    <xf numFmtId="0" fontId="0" fillId="2" borderId="0" xfId="0" applyNumberFormat="1" applyFill="1" applyBorder="1"/>
    <xf numFmtId="0" fontId="13" fillId="2" borderId="0" xfId="0" applyFont="1" applyFill="1" applyBorder="1" applyAlignment="1"/>
    <xf numFmtId="0" fontId="0" fillId="2" borderId="0" xfId="0" applyFill="1" applyBorder="1" applyAlignment="1">
      <alignment horizontal="center"/>
    </xf>
    <xf numFmtId="0" fontId="11" fillId="2" borderId="0" xfId="0" applyFont="1" applyFill="1" applyBorder="1" applyAlignment="1">
      <alignment horizontal="left" vertical="center"/>
    </xf>
    <xf numFmtId="0" fontId="64" fillId="2" borderId="0" xfId="0" applyNumberFormat="1" applyFont="1" applyFill="1" applyBorder="1" applyAlignment="1">
      <alignment vertical="center"/>
    </xf>
    <xf numFmtId="0" fontId="9" fillId="2" borderId="0" xfId="0" applyNumberFormat="1" applyFont="1" applyFill="1" applyBorder="1" applyAlignment="1" applyProtection="1">
      <alignment horizontal="left"/>
      <protection locked="0"/>
    </xf>
    <xf numFmtId="0" fontId="11" fillId="2" borderId="0" xfId="0" applyFont="1" applyFill="1" applyBorder="1" applyAlignment="1" applyProtection="1">
      <alignment horizontal="left"/>
      <protection locked="0"/>
    </xf>
    <xf numFmtId="0" fontId="64" fillId="2" borderId="0" xfId="0" applyNumberFormat="1" applyFont="1" applyFill="1" applyBorder="1" applyAlignment="1" applyProtection="1">
      <alignment horizontal="left" vertical="center"/>
      <protection locked="0"/>
    </xf>
    <xf numFmtId="0" fontId="59" fillId="2" borderId="0" xfId="161" applyNumberFormat="1" applyFont="1" applyFill="1" applyBorder="1" applyAlignment="1" applyProtection="1">
      <alignment horizontal="left" vertical="center"/>
    </xf>
    <xf numFmtId="0" fontId="4" fillId="2" borderId="0" xfId="161" applyNumberFormat="1" applyFill="1" applyBorder="1" applyAlignment="1" applyProtection="1">
      <alignment horizontal="left" vertical="center"/>
    </xf>
    <xf numFmtId="0" fontId="4" fillId="2" borderId="0" xfId="161" applyNumberFormat="1" applyFill="1" applyBorder="1" applyAlignment="1" applyProtection="1">
      <alignment horizontal="left" indent="2"/>
    </xf>
    <xf numFmtId="0" fontId="9" fillId="2" borderId="0" xfId="0" applyNumberFormat="1" applyFont="1" applyFill="1" applyBorder="1" applyAlignment="1">
      <alignment vertical="center"/>
    </xf>
    <xf numFmtId="0" fontId="59" fillId="2" borderId="0" xfId="161" applyNumberFormat="1" applyFont="1" applyFill="1" applyBorder="1" applyAlignment="1" applyProtection="1">
      <alignment horizontal="left" indent="2"/>
    </xf>
    <xf numFmtId="0" fontId="5" fillId="2" borderId="0" xfId="0" applyNumberFormat="1" applyFont="1" applyFill="1" applyBorder="1" applyProtection="1">
      <protection locked="0"/>
    </xf>
    <xf numFmtId="0" fontId="5" fillId="2" borderId="0" xfId="161" applyNumberFormat="1" applyFont="1" applyFill="1" applyBorder="1" applyAlignment="1" applyProtection="1">
      <alignment horizontal="right" vertical="top"/>
      <protection locked="0"/>
    </xf>
    <xf numFmtId="0" fontId="9" fillId="2" borderId="0" xfId="0" applyNumberFormat="1" applyFont="1" applyFill="1" applyAlignment="1">
      <alignment horizontal="left" vertical="center"/>
    </xf>
    <xf numFmtId="0" fontId="64" fillId="2" borderId="0" xfId="0" applyNumberFormat="1" applyFont="1" applyFill="1" applyAlignment="1">
      <alignment horizontal="right" vertical="center"/>
    </xf>
    <xf numFmtId="0" fontId="0" fillId="2" borderId="0" xfId="0" applyNumberFormat="1" applyFill="1" applyAlignment="1">
      <alignment horizontal="right" vertical="center"/>
    </xf>
    <xf numFmtId="0" fontId="0" fillId="2" borderId="0" xfId="0" applyNumberFormat="1" applyFill="1" applyAlignment="1">
      <alignment vertical="center"/>
    </xf>
    <xf numFmtId="0" fontId="64" fillId="2" borderId="0" xfId="0" applyNumberFormat="1" applyFont="1" applyFill="1" applyAlignment="1">
      <alignment horizontal="right"/>
    </xf>
    <xf numFmtId="0" fontId="63" fillId="2" borderId="0" xfId="0" applyFont="1" applyFill="1" applyBorder="1" applyAlignment="1" applyProtection="1">
      <alignment horizontal="left"/>
      <protection locked="0"/>
    </xf>
    <xf numFmtId="0" fontId="5" fillId="2" borderId="0" xfId="107" applyFont="1" applyFill="1" applyBorder="1" applyAlignment="1" applyProtection="1">
      <alignment horizontal="left"/>
      <protection locked="0"/>
    </xf>
    <xf numFmtId="0" fontId="5" fillId="2" borderId="0" xfId="107" applyNumberFormat="1" applyFont="1" applyFill="1" applyBorder="1" applyAlignment="1" applyProtection="1">
      <alignment horizontal="left"/>
      <protection locked="0"/>
    </xf>
    <xf numFmtId="179" fontId="9" fillId="2" borderId="0" xfId="0" applyNumberFormat="1" applyFont="1" applyFill="1" applyBorder="1" applyAlignment="1">
      <alignment horizontal="right"/>
    </xf>
    <xf numFmtId="0" fontId="11" fillId="2" borderId="0" xfId="0" applyNumberFormat="1" applyFont="1" applyFill="1" applyBorder="1" applyAlignment="1">
      <alignment horizontal="center" vertical="center"/>
    </xf>
    <xf numFmtId="9" fontId="9" fillId="2" borderId="0" xfId="179" applyFont="1" applyFill="1" applyBorder="1" applyAlignment="1">
      <alignment horizontal="left"/>
    </xf>
    <xf numFmtId="0" fontId="5" fillId="2" borderId="0" xfId="0" applyNumberFormat="1" applyFont="1" applyFill="1" applyBorder="1" applyAlignment="1" applyProtection="1">
      <alignment vertical="center"/>
      <protection locked="0"/>
    </xf>
    <xf numFmtId="0" fontId="5" fillId="2" borderId="0" xfId="161" applyNumberFormat="1" applyFont="1" applyFill="1" applyBorder="1" applyAlignment="1" applyProtection="1">
      <alignment horizontal="right" vertical="center"/>
      <protection locked="0"/>
    </xf>
    <xf numFmtId="0" fontId="9" fillId="2" borderId="98" xfId="0" applyNumberFormat="1" applyFont="1" applyFill="1" applyBorder="1" applyAlignment="1" applyProtection="1">
      <alignment horizontal="right"/>
      <protection locked="0"/>
    </xf>
    <xf numFmtId="0" fontId="9" fillId="2" borderId="5" xfId="0" applyNumberFormat="1" applyFont="1" applyFill="1" applyBorder="1" applyAlignment="1" applyProtection="1">
      <alignment horizontal="right"/>
      <protection locked="0"/>
    </xf>
    <xf numFmtId="0" fontId="9" fillId="2" borderId="97" xfId="0" applyFont="1" applyFill="1" applyBorder="1" applyAlignment="1">
      <alignment horizontal="left" wrapText="1"/>
    </xf>
    <xf numFmtId="179" fontId="9" fillId="2" borderId="97" xfId="0" applyNumberFormat="1" applyFont="1" applyFill="1" applyBorder="1" applyAlignment="1">
      <alignment horizontal="right" wrapText="1"/>
    </xf>
    <xf numFmtId="180" fontId="9" fillId="2" borderId="97" xfId="0" applyNumberFormat="1" applyFont="1" applyFill="1" applyBorder="1" applyAlignment="1">
      <alignment horizontal="right" wrapText="1"/>
    </xf>
    <xf numFmtId="0" fontId="0" fillId="2" borderId="0" xfId="0" applyNumberFormat="1" applyFill="1" applyAlignment="1">
      <alignment wrapText="1"/>
    </xf>
    <xf numFmtId="0" fontId="9" fillId="2" borderId="0" xfId="0" applyNumberFormat="1" applyFont="1" applyFill="1" applyAlignment="1">
      <alignment horizontal="left"/>
    </xf>
    <xf numFmtId="0" fontId="0" fillId="2" borderId="0" xfId="0" applyNumberFormat="1" applyFill="1" applyAlignment="1">
      <alignment horizontal="right"/>
    </xf>
    <xf numFmtId="0" fontId="64" fillId="2" borderId="0" xfId="0" applyNumberFormat="1" applyFont="1" applyFill="1" applyAlignment="1">
      <alignment vertical="top"/>
    </xf>
    <xf numFmtId="0" fontId="9" fillId="2" borderId="0" xfId="0" applyNumberFormat="1" applyFont="1" applyFill="1" applyAlignment="1">
      <alignment horizontal="right" vertical="top"/>
    </xf>
    <xf numFmtId="0" fontId="59" fillId="2" borderId="0" xfId="161" applyNumberFormat="1" applyFont="1" applyFill="1" applyBorder="1" applyProtection="1">
      <protection locked="0"/>
    </xf>
    <xf numFmtId="0" fontId="59" fillId="2" borderId="0" xfId="161" applyNumberFormat="1" applyFont="1" applyFill="1" applyBorder="1" applyAlignment="1" applyProtection="1">
      <alignment horizontal="left" vertical="center"/>
      <protection locked="0"/>
    </xf>
    <xf numFmtId="0" fontId="4" fillId="2" borderId="0" xfId="161" applyNumberFormat="1" applyFill="1" applyBorder="1" applyAlignment="1" applyProtection="1">
      <alignment horizontal="left" vertical="center"/>
      <protection locked="0"/>
    </xf>
    <xf numFmtId="0" fontId="5" fillId="2" borderId="0" xfId="161" applyNumberFormat="1" applyFont="1" applyFill="1" applyBorder="1" applyAlignment="1" applyProtection="1">
      <alignment horizontal="right" vertical="center" indent="2"/>
      <protection locked="0"/>
    </xf>
    <xf numFmtId="180" fontId="5" fillId="2" borderId="0" xfId="232" applyNumberFormat="1" applyFont="1" applyFill="1" applyBorder="1" applyAlignment="1" applyProtection="1">
      <alignment horizontal="right"/>
      <protection locked="0"/>
    </xf>
    <xf numFmtId="0" fontId="5" fillId="2" borderId="0" xfId="161" applyNumberFormat="1" applyFont="1" applyFill="1" applyBorder="1" applyAlignment="1" applyProtection="1">
      <alignment horizontal="right"/>
      <protection locked="0"/>
    </xf>
    <xf numFmtId="0" fontId="9" fillId="2" borderId="0" xfId="0" applyNumberFormat="1" applyFont="1" applyFill="1" applyBorder="1" applyAlignment="1" applyProtection="1">
      <alignment horizontal="right"/>
      <protection locked="0"/>
    </xf>
    <xf numFmtId="0" fontId="9" fillId="2" borderId="0" xfId="0" applyNumberFormat="1" applyFont="1" applyFill="1" applyBorder="1" applyAlignment="1" applyProtection="1">
      <alignment horizontal="right" vertical="center"/>
      <protection locked="0"/>
    </xf>
    <xf numFmtId="0" fontId="4" fillId="2" borderId="0" xfId="161" applyNumberFormat="1" applyFill="1" applyBorder="1" applyProtection="1">
      <protection locked="0"/>
    </xf>
    <xf numFmtId="0" fontId="4" fillId="2" borderId="0" xfId="161" applyNumberFormat="1" applyFill="1" applyBorder="1" applyAlignment="1" applyProtection="1">
      <alignment horizontal="left" indent="2"/>
      <protection locked="0"/>
    </xf>
    <xf numFmtId="0" fontId="9" fillId="2" borderId="0" xfId="0" applyNumberFormat="1" applyFont="1" applyFill="1" applyBorder="1" applyAlignment="1" applyProtection="1">
      <alignment horizontal="right" vertical="top"/>
      <protection locked="0"/>
    </xf>
    <xf numFmtId="0" fontId="6" fillId="2" borderId="0" xfId="0" applyNumberFormat="1" applyFont="1" applyFill="1" applyAlignment="1">
      <alignment horizontal="right" vertical="top"/>
    </xf>
    <xf numFmtId="0" fontId="10" fillId="2" borderId="0" xfId="0" applyNumberFormat="1" applyFont="1" applyFill="1" applyAlignment="1">
      <alignment horizontal="right" vertical="top"/>
    </xf>
    <xf numFmtId="0" fontId="9" fillId="2" borderId="0" xfId="166" applyFont="1" applyFill="1" applyBorder="1" applyAlignment="1" applyProtection="1">
      <alignment horizontal="left"/>
      <protection locked="0"/>
    </xf>
    <xf numFmtId="0" fontId="5" fillId="2" borderId="0" xfId="166" applyNumberFormat="1" applyFont="1" applyFill="1" applyBorder="1" applyAlignment="1" applyProtection="1">
      <alignment horizontal="left"/>
      <protection locked="0"/>
    </xf>
    <xf numFmtId="0" fontId="5" fillId="2" borderId="0" xfId="161" applyNumberFormat="1" applyFont="1" applyFill="1" applyBorder="1" applyAlignment="1" applyProtection="1">
      <alignment horizontal="left" indent="2"/>
      <protection locked="0"/>
    </xf>
    <xf numFmtId="0" fontId="9" fillId="2" borderId="0" xfId="166" applyNumberFormat="1" applyFont="1" applyFill="1" applyBorder="1" applyAlignment="1" applyProtection="1">
      <alignment horizontal="right"/>
      <protection locked="0"/>
    </xf>
    <xf numFmtId="0" fontId="64" fillId="2" borderId="0" xfId="0" applyNumberFormat="1" applyFont="1" applyFill="1" applyAlignment="1">
      <alignment horizontal="right" vertical="top"/>
    </xf>
    <xf numFmtId="0" fontId="64" fillId="2" borderId="0" xfId="0" applyNumberFormat="1" applyFont="1" applyFill="1"/>
    <xf numFmtId="0" fontId="0" fillId="2" borderId="0" xfId="0" applyNumberFormat="1" applyFill="1"/>
    <xf numFmtId="0" fontId="9" fillId="2" borderId="0" xfId="0" applyNumberFormat="1" applyFont="1" applyFill="1" applyBorder="1" applyAlignment="1">
      <alignment horizontal="right" vertical="center" wrapText="1"/>
    </xf>
    <xf numFmtId="0" fontId="5" fillId="2" borderId="0" xfId="0" applyNumberFormat="1" applyFont="1" applyFill="1" applyAlignment="1">
      <alignment horizontal="left"/>
    </xf>
    <xf numFmtId="0" fontId="115" fillId="2" borderId="0" xfId="0" applyNumberFormat="1" applyFont="1" applyFill="1" applyAlignment="1"/>
    <xf numFmtId="0" fontId="116" fillId="2" borderId="0" xfId="0" applyNumberFormat="1" applyFont="1" applyFill="1" applyAlignment="1"/>
    <xf numFmtId="0" fontId="4" fillId="2" borderId="0" xfId="0" applyNumberFormat="1" applyFont="1" applyFill="1" applyAlignment="1"/>
    <xf numFmtId="0" fontId="5" fillId="2" borderId="0" xfId="0" applyNumberFormat="1" applyFont="1" applyFill="1" applyAlignment="1">
      <alignment horizontal="right"/>
    </xf>
    <xf numFmtId="0" fontId="0" fillId="2" borderId="0" xfId="0" applyNumberFormat="1" applyFill="1" applyAlignment="1">
      <alignment horizontal="right" vertical="top"/>
    </xf>
    <xf numFmtId="0" fontId="9" fillId="2" borderId="0" xfId="24" applyFont="1" applyFill="1" applyBorder="1" applyAlignment="1" applyProtection="1">
      <alignment horizontal="left" vertical="top"/>
      <protection locked="0"/>
    </xf>
    <xf numFmtId="0" fontId="63" fillId="2" borderId="0" xfId="107" applyFont="1" applyFill="1" applyBorder="1" applyAlignment="1" applyProtection="1">
      <alignment horizontal="left"/>
      <protection locked="0"/>
    </xf>
    <xf numFmtId="179" fontId="5" fillId="2" borderId="0" xfId="232" applyNumberFormat="1" applyFont="1" applyFill="1" applyBorder="1" applyAlignment="1">
      <alignment horizontal="right"/>
    </xf>
    <xf numFmtId="0" fontId="106" fillId="2" borderId="0" xfId="0" applyNumberFormat="1" applyFont="1" applyFill="1" applyAlignment="1">
      <alignment horizontal="right"/>
    </xf>
    <xf numFmtId="0" fontId="9" fillId="2" borderId="0" xfId="0" applyNumberFormat="1" applyFont="1" applyFill="1" applyAlignment="1">
      <alignment horizontal="left" wrapText="1"/>
    </xf>
    <xf numFmtId="0" fontId="63" fillId="2" borderId="0" xfId="0" applyNumberFormat="1" applyFont="1" applyFill="1" applyAlignment="1">
      <alignment horizontal="right" wrapText="1"/>
    </xf>
    <xf numFmtId="0" fontId="63" fillId="2" borderId="0" xfId="0" applyNumberFormat="1" applyFont="1" applyFill="1" applyAlignment="1">
      <alignment horizontal="left" wrapText="1"/>
    </xf>
    <xf numFmtId="0" fontId="11" fillId="2" borderId="0" xfId="0" applyNumberFormat="1" applyFont="1" applyFill="1" applyAlignment="1">
      <alignment horizontal="left" wrapText="1"/>
    </xf>
    <xf numFmtId="0" fontId="9" fillId="2" borderId="0" xfId="0" applyNumberFormat="1" applyFont="1" applyFill="1" applyAlignment="1">
      <alignment vertical="center" wrapText="1"/>
    </xf>
    <xf numFmtId="0" fontId="0" fillId="2" borderId="0" xfId="0" applyNumberFormat="1" applyFill="1" applyAlignment="1" applyProtection="1">
      <alignment wrapText="1"/>
      <protection locked="0"/>
    </xf>
    <xf numFmtId="0" fontId="9" fillId="2" borderId="0" xfId="0" applyNumberFormat="1" applyFont="1" applyFill="1" applyAlignment="1">
      <alignment horizontal="right" vertical="center" wrapText="1"/>
    </xf>
    <xf numFmtId="0" fontId="64" fillId="2" borderId="0" xfId="0" applyNumberFormat="1" applyFont="1" applyFill="1" applyAlignment="1">
      <alignment wrapText="1"/>
    </xf>
    <xf numFmtId="0" fontId="106" fillId="2" borderId="0" xfId="0" applyNumberFormat="1" applyFont="1" applyFill="1"/>
    <xf numFmtId="0" fontId="8" fillId="2" borderId="0" xfId="0" applyNumberFormat="1" applyFont="1" applyFill="1"/>
    <xf numFmtId="0" fontId="9" fillId="2" borderId="0" xfId="24" applyFont="1" applyFill="1" applyBorder="1" applyAlignment="1" applyProtection="1">
      <alignment horizontal="left"/>
      <protection locked="0"/>
    </xf>
    <xf numFmtId="180" fontId="9" fillId="2" borderId="0" xfId="24" applyNumberFormat="1" applyFont="1" applyFill="1" applyAlignment="1">
      <alignment horizontal="right"/>
    </xf>
    <xf numFmtId="179" fontId="9" fillId="2" borderId="0" xfId="24" applyNumberFormat="1" applyFont="1" applyFill="1" applyBorder="1" applyAlignment="1" applyProtection="1">
      <alignment horizontal="right"/>
      <protection locked="0"/>
    </xf>
    <xf numFmtId="0" fontId="9" fillId="2" borderId="0" xfId="24" applyNumberFormat="1" applyFont="1" applyFill="1" applyBorder="1" applyAlignment="1" applyProtection="1">
      <alignment horizontal="left"/>
      <protection locked="0"/>
    </xf>
    <xf numFmtId="179" fontId="9" fillId="2" borderId="0" xfId="24" applyNumberFormat="1" applyFont="1" applyFill="1" applyAlignment="1">
      <alignment horizontal="right"/>
    </xf>
    <xf numFmtId="0" fontId="59" fillId="2" borderId="0" xfId="161" applyNumberFormat="1" applyFont="1" applyFill="1" applyBorder="1" applyAlignment="1" applyProtection="1">
      <alignment vertical="center"/>
      <protection locked="0"/>
    </xf>
    <xf numFmtId="200" fontId="5" fillId="2" borderId="0" xfId="161" applyNumberFormat="1" applyFont="1" applyFill="1" applyBorder="1" applyAlignment="1" applyProtection="1">
      <alignment horizontal="left"/>
      <protection locked="0"/>
    </xf>
    <xf numFmtId="179" fontId="99" fillId="2" borderId="0" xfId="24" applyNumberFormat="1" applyFont="1" applyFill="1" applyAlignment="1">
      <alignment horizontal="right"/>
    </xf>
    <xf numFmtId="180" fontId="99" fillId="2" borderId="0" xfId="24" applyNumberFormat="1" applyFont="1" applyFill="1" applyAlignment="1">
      <alignment horizontal="right"/>
    </xf>
    <xf numFmtId="0" fontId="5" fillId="2" borderId="0" xfId="24" applyFont="1" applyFill="1" applyBorder="1" applyProtection="1">
      <protection locked="0"/>
    </xf>
    <xf numFmtId="0" fontId="5" fillId="2" borderId="0" xfId="24" applyNumberFormat="1" applyFont="1" applyFill="1" applyBorder="1" applyProtection="1">
      <protection locked="0"/>
    </xf>
    <xf numFmtId="0" fontId="59" fillId="2" borderId="0" xfId="161" applyNumberFormat="1" applyFont="1" applyFill="1" applyBorder="1" applyAlignment="1" applyProtection="1">
      <alignment horizontal="left" indent="2"/>
      <protection locked="0"/>
    </xf>
    <xf numFmtId="0" fontId="5" fillId="2" borderId="0" xfId="24" applyFont="1" applyFill="1" applyBorder="1" applyAlignment="1" applyProtection="1">
      <alignment horizontal="left"/>
      <protection locked="0"/>
    </xf>
    <xf numFmtId="0" fontId="9" fillId="2" borderId="0" xfId="24" applyNumberFormat="1" applyFont="1" applyFill="1" applyBorder="1" applyAlignment="1" applyProtection="1">
      <alignment horizontal="right"/>
      <protection locked="0"/>
    </xf>
    <xf numFmtId="0" fontId="0" fillId="2" borderId="0" xfId="0" applyNumberFormat="1" applyFill="1" applyAlignment="1">
      <alignment vertical="top"/>
    </xf>
    <xf numFmtId="0" fontId="64" fillId="2" borderId="0" xfId="0" applyNumberFormat="1" applyFont="1" applyFill="1" applyAlignment="1">
      <alignment vertical="center"/>
    </xf>
    <xf numFmtId="0" fontId="5" fillId="2" borderId="0" xfId="161" applyFont="1" applyFill="1" applyBorder="1" applyAlignment="1" applyProtection="1">
      <alignment horizontal="left"/>
      <protection locked="0"/>
    </xf>
    <xf numFmtId="0" fontId="64" fillId="2" borderId="0" xfId="0" applyNumberFormat="1" applyFont="1" applyFill="1" applyAlignment="1"/>
    <xf numFmtId="0" fontId="0" fillId="2" borderId="0" xfId="0" applyNumberFormat="1" applyFill="1" applyAlignment="1"/>
    <xf numFmtId="0" fontId="6" fillId="2" borderId="0" xfId="0" applyNumberFormat="1" applyFont="1" applyFill="1" applyAlignment="1">
      <alignment vertical="top"/>
    </xf>
    <xf numFmtId="0" fontId="117" fillId="0" borderId="0" xfId="0" applyFont="1" applyAlignment="1">
      <alignment horizontal="center" vertical="top" wrapText="1"/>
    </xf>
    <xf numFmtId="15" fontId="0" fillId="0" borderId="0" xfId="0" applyNumberFormat="1" applyAlignment="1">
      <alignment vertical="top"/>
    </xf>
    <xf numFmtId="0" fontId="11" fillId="0" borderId="0" xfId="0" applyFont="1"/>
    <xf numFmtId="180" fontId="9" fillId="0" borderId="0" xfId="0" applyNumberFormat="1" applyFont="1"/>
    <xf numFmtId="179" fontId="9" fillId="0" borderId="0" xfId="0" applyNumberFormat="1" applyFont="1"/>
    <xf numFmtId="0" fontId="0" fillId="0" borderId="0" xfId="0" applyFill="1" applyAlignment="1">
      <alignment vertical="top"/>
    </xf>
    <xf numFmtId="15" fontId="0" fillId="0" borderId="0" xfId="0" applyNumberFormat="1" applyFill="1" applyAlignment="1">
      <alignment vertical="top"/>
    </xf>
    <xf numFmtId="180" fontId="9" fillId="0" borderId="0" xfId="0" applyNumberFormat="1" applyFont="1" applyAlignment="1">
      <alignment horizontal="right"/>
    </xf>
    <xf numFmtId="203" fontId="9" fillId="0" borderId="0" xfId="0" applyNumberFormat="1" applyFont="1" applyAlignment="1">
      <alignment horizontal="right"/>
    </xf>
    <xf numFmtId="0" fontId="1" fillId="2" borderId="0" xfId="0" applyFont="1" applyFill="1"/>
    <xf numFmtId="0" fontId="64" fillId="2" borderId="0" xfId="0" applyFont="1" applyFill="1" applyAlignment="1">
      <alignment horizontal="center" vertical="center"/>
    </xf>
    <xf numFmtId="0" fontId="0" fillId="2" borderId="0" xfId="0" applyFill="1" applyAlignment="1">
      <alignment horizontal="center" vertical="center"/>
    </xf>
    <xf numFmtId="0" fontId="37" fillId="0" borderId="0" xfId="0" applyFont="1" applyAlignment="1" applyProtection="1">
      <alignment horizontal="left" vertical="center" wrapText="1"/>
    </xf>
    <xf numFmtId="0" fontId="37" fillId="0" borderId="0" xfId="0" applyFont="1" applyAlignment="1" applyProtection="1">
      <alignment horizontal="left" vertical="center" wrapText="1"/>
    </xf>
    <xf numFmtId="0" fontId="44" fillId="0" borderId="0" xfId="24" applyFont="1" applyProtection="1">
      <protection locked="0"/>
    </xf>
    <xf numFmtId="0" fontId="44" fillId="0" borderId="0" xfId="24" applyFont="1" applyProtection="1"/>
    <xf numFmtId="165" fontId="56" fillId="0" borderId="0" xfId="0" applyNumberFormat="1" applyFont="1" applyProtection="1">
      <protection locked="0"/>
    </xf>
    <xf numFmtId="165" fontId="56" fillId="0" borderId="78" xfId="0" applyNumberFormat="1" applyFont="1" applyBorder="1" applyProtection="1"/>
    <xf numFmtId="165" fontId="56" fillId="0" borderId="0" xfId="0" applyNumberFormat="1" applyFont="1" applyBorder="1" applyProtection="1">
      <protection locked="0"/>
    </xf>
    <xf numFmtId="0" fontId="56" fillId="0" borderId="0" xfId="0" applyFont="1" applyProtection="1">
      <protection locked="0"/>
    </xf>
    <xf numFmtId="0" fontId="0" fillId="0" borderId="0" xfId="0" applyAlignment="1" applyProtection="1">
      <alignment vertical="top"/>
    </xf>
    <xf numFmtId="168" fontId="118" fillId="2" borderId="49" xfId="39" applyNumberFormat="1" applyFont="1" applyFill="1" applyBorder="1" applyAlignment="1" applyProtection="1">
      <alignment horizontal="left" vertical="center"/>
      <protection locked="0"/>
    </xf>
    <xf numFmtId="192" fontId="118" fillId="2" borderId="49" xfId="39" applyNumberFormat="1" applyFont="1" applyFill="1" applyBorder="1" applyAlignment="1" applyProtection="1">
      <alignment horizontal="left" vertical="center"/>
      <protection locked="0"/>
    </xf>
    <xf numFmtId="44" fontId="118" fillId="2" borderId="49" xfId="39" applyNumberFormat="1" applyFont="1" applyFill="1" applyBorder="1" applyAlignment="1" applyProtection="1">
      <alignment horizontal="left" vertical="center"/>
      <protection locked="0"/>
    </xf>
    <xf numFmtId="192" fontId="118" fillId="0" borderId="49" xfId="39" applyNumberFormat="1" applyFont="1" applyFill="1" applyBorder="1" applyAlignment="1" applyProtection="1">
      <alignment horizontal="left" vertical="center"/>
      <protection locked="0"/>
    </xf>
    <xf numFmtId="192" fontId="118" fillId="3" borderId="49" xfId="39" applyNumberFormat="1" applyFont="1" applyFill="1" applyBorder="1" applyAlignment="1" applyProtection="1">
      <alignment horizontal="left" vertical="center"/>
      <protection locked="0"/>
    </xf>
    <xf numFmtId="190" fontId="118" fillId="52" borderId="49" xfId="88" applyNumberFormat="1" applyFont="1" applyFill="1" applyBorder="1" applyAlignment="1" applyProtection="1">
      <alignment vertical="center"/>
      <protection locked="0"/>
    </xf>
    <xf numFmtId="168" fontId="118" fillId="0" borderId="10" xfId="39" applyFont="1" applyBorder="1" applyAlignment="1" applyProtection="1">
      <alignment vertical="center"/>
      <protection locked="0"/>
    </xf>
    <xf numFmtId="0" fontId="118" fillId="0" borderId="10" xfId="24" applyFont="1" applyFill="1" applyBorder="1" applyAlignment="1" applyProtection="1">
      <alignment vertical="center"/>
      <protection locked="0"/>
    </xf>
    <xf numFmtId="190" fontId="118" fillId="2" borderId="49" xfId="88" applyNumberFormat="1" applyFont="1" applyFill="1" applyBorder="1" applyAlignment="1" applyProtection="1">
      <alignment vertical="center"/>
      <protection locked="0"/>
    </xf>
    <xf numFmtId="190" fontId="118" fillId="0" borderId="49" xfId="88" applyNumberFormat="1" applyFont="1" applyFill="1" applyBorder="1" applyAlignment="1" applyProtection="1">
      <alignment vertical="center"/>
      <protection locked="0"/>
    </xf>
    <xf numFmtId="0" fontId="118" fillId="0" borderId="49" xfId="24" applyFont="1" applyFill="1" applyBorder="1" applyAlignment="1" applyProtection="1">
      <alignment vertical="center"/>
      <protection locked="0"/>
    </xf>
    <xf numFmtId="0" fontId="119" fillId="0" borderId="12" xfId="0" applyFont="1" applyBorder="1" applyAlignment="1" applyProtection="1">
      <alignment horizontal="left" vertical="top"/>
    </xf>
    <xf numFmtId="0" fontId="8" fillId="0" borderId="12" xfId="0" applyFont="1" applyBorder="1" applyAlignment="1" applyProtection="1">
      <alignment vertical="top"/>
    </xf>
    <xf numFmtId="0" fontId="18" fillId="0" borderId="12" xfId="0" applyFont="1" applyBorder="1" applyAlignment="1" applyProtection="1">
      <alignment horizontal="center" vertical="center"/>
    </xf>
    <xf numFmtId="0" fontId="34" fillId="0" borderId="12" xfId="0" applyFont="1" applyBorder="1" applyAlignment="1" applyProtection="1">
      <alignment vertical="center"/>
    </xf>
    <xf numFmtId="0" fontId="119" fillId="0" borderId="0" xfId="0" applyFont="1" applyBorder="1" applyAlignment="1" applyProtection="1">
      <alignment horizontal="left" vertical="top"/>
    </xf>
    <xf numFmtId="0" fontId="8" fillId="0" borderId="0" xfId="0" applyFont="1" applyBorder="1" applyAlignment="1" applyProtection="1">
      <alignment vertical="top"/>
    </xf>
    <xf numFmtId="0" fontId="20" fillId="0" borderId="0" xfId="0" applyFont="1" applyBorder="1" applyAlignment="1" applyProtection="1">
      <alignment horizontal="center" vertical="top"/>
    </xf>
    <xf numFmtId="194" fontId="8" fillId="0" borderId="0" xfId="0" applyNumberFormat="1" applyFont="1" applyAlignment="1" applyProtection="1">
      <alignment vertical="center"/>
    </xf>
    <xf numFmtId="0" fontId="119" fillId="0" borderId="0" xfId="0" applyFont="1" applyAlignment="1" applyProtection="1">
      <alignment horizontal="left"/>
    </xf>
    <xf numFmtId="0" fontId="8" fillId="0" borderId="0" xfId="0" applyFont="1" applyAlignment="1" applyProtection="1">
      <alignment vertical="center"/>
    </xf>
    <xf numFmtId="0" fontId="8" fillId="0" borderId="0" xfId="0" applyFont="1" applyAlignment="1" applyProtection="1">
      <alignment horizontal="left"/>
    </xf>
    <xf numFmtId="181" fontId="8" fillId="0" borderId="0" xfId="169" applyNumberFormat="1" applyFont="1" applyFill="1" applyProtection="1"/>
    <xf numFmtId="181" fontId="8" fillId="0" borderId="0" xfId="179" applyNumberFormat="1" applyFont="1" applyAlignment="1" applyProtection="1">
      <alignment horizontal="right" vertical="center"/>
    </xf>
    <xf numFmtId="10" fontId="8" fillId="0" borderId="0" xfId="169" applyNumberFormat="1" applyFont="1" applyFill="1" applyProtection="1"/>
    <xf numFmtId="194" fontId="8" fillId="0" borderId="0" xfId="0" applyNumberFormat="1" applyFont="1" applyFill="1" applyAlignment="1" applyProtection="1">
      <alignment vertical="center"/>
    </xf>
    <xf numFmtId="194" fontId="20" fillId="59" borderId="0" xfId="169" applyNumberFormat="1" applyFont="1" applyFill="1" applyBorder="1" applyAlignment="1" applyProtection="1">
      <alignment horizontal="center" vertical="top"/>
    </xf>
    <xf numFmtId="181" fontId="8" fillId="0" borderId="0" xfId="179" applyNumberFormat="1" applyFont="1" applyBorder="1" applyProtection="1"/>
    <xf numFmtId="0" fontId="8" fillId="0" borderId="0" xfId="0" applyFont="1" applyBorder="1" applyProtection="1"/>
    <xf numFmtId="0" fontId="8" fillId="0" borderId="12" xfId="0" applyFont="1" applyBorder="1" applyProtection="1"/>
    <xf numFmtId="181" fontId="8" fillId="0" borderId="12" xfId="179" applyNumberFormat="1" applyFont="1" applyBorder="1" applyProtection="1"/>
    <xf numFmtId="181" fontId="8" fillId="0" borderId="0" xfId="0" applyNumberFormat="1" applyFont="1" applyProtection="1"/>
    <xf numFmtId="194" fontId="8" fillId="0" borderId="0" xfId="169" applyNumberFormat="1" applyFont="1" applyFill="1" applyProtection="1"/>
    <xf numFmtId="0" fontId="19" fillId="0" borderId="0" xfId="0" applyFont="1" applyAlignment="1" applyProtection="1"/>
    <xf numFmtId="0" fontId="37" fillId="4" borderId="0" xfId="0" applyFont="1" applyFill="1" applyAlignment="1" applyProtection="1">
      <alignment horizontal="left"/>
    </xf>
    <xf numFmtId="0" fontId="37" fillId="4" borderId="0" xfId="0" applyFont="1" applyFill="1" applyProtection="1"/>
    <xf numFmtId="195" fontId="37" fillId="4" borderId="0" xfId="0" applyNumberFormat="1" applyFont="1" applyFill="1" applyProtection="1"/>
    <xf numFmtId="0" fontId="42" fillId="9" borderId="0" xfId="96" applyFont="1" applyFill="1" applyProtection="1"/>
    <xf numFmtId="0" fontId="4" fillId="9" borderId="0" xfId="96" applyFont="1" applyFill="1" applyAlignment="1" applyProtection="1">
      <alignment horizontal="left"/>
    </xf>
    <xf numFmtId="0" fontId="4" fillId="9" borderId="0" xfId="0" applyFont="1" applyFill="1" applyProtection="1"/>
    <xf numFmtId="194" fontId="8" fillId="3" borderId="0" xfId="169" applyNumberFormat="1" applyFont="1" applyFill="1" applyProtection="1">
      <protection locked="0"/>
    </xf>
    <xf numFmtId="181" fontId="8" fillId="3" borderId="0" xfId="0" applyNumberFormat="1" applyFont="1" applyFill="1" applyProtection="1">
      <protection locked="0"/>
    </xf>
    <xf numFmtId="0" fontId="0" fillId="0" borderId="102" xfId="0" applyBorder="1"/>
    <xf numFmtId="182" fontId="0" fillId="0" borderId="102" xfId="0" applyNumberFormat="1" applyBorder="1"/>
    <xf numFmtId="10" fontId="0" fillId="0" borderId="102" xfId="0" applyNumberFormat="1" applyBorder="1"/>
    <xf numFmtId="194" fontId="0" fillId="0" borderId="102" xfId="0" applyNumberFormat="1" applyBorder="1"/>
    <xf numFmtId="0" fontId="10" fillId="0" borderId="4" xfId="278" applyFont="1" applyBorder="1" applyAlignment="1" applyProtection="1">
      <alignment wrapText="1"/>
    </xf>
    <xf numFmtId="0" fontId="10" fillId="0" borderId="4" xfId="279" applyFont="1" applyFill="1" applyBorder="1" applyAlignment="1" applyProtection="1">
      <alignment wrapText="1"/>
    </xf>
    <xf numFmtId="0" fontId="13" fillId="0" borderId="4" xfId="278" applyFont="1" applyBorder="1" applyAlignment="1" applyProtection="1">
      <alignment wrapText="1"/>
    </xf>
    <xf numFmtId="0" fontId="13" fillId="0" borderId="4" xfId="278" applyFont="1" applyBorder="1" applyAlignment="1" applyProtection="1">
      <alignment horizontal="left" wrapText="1"/>
    </xf>
    <xf numFmtId="0" fontId="10" fillId="0" borderId="4" xfId="279" applyFont="1" applyFill="1" applyBorder="1" applyAlignment="1" applyProtection="1">
      <alignment horizontal="center" wrapText="1"/>
    </xf>
    <xf numFmtId="0" fontId="0" fillId="0" borderId="0" xfId="0" applyAlignment="1"/>
    <xf numFmtId="0" fontId="0" fillId="0" borderId="0" xfId="0" applyBorder="1" applyAlignment="1" applyProtection="1">
      <alignment wrapText="1"/>
    </xf>
    <xf numFmtId="179" fontId="0" fillId="0" borderId="0" xfId="0" applyNumberFormat="1" applyFill="1" applyBorder="1" applyProtection="1"/>
    <xf numFmtId="0" fontId="13" fillId="0" borderId="17" xfId="0" applyFont="1" applyBorder="1" applyAlignment="1">
      <alignment horizontal="left" vertical="center" wrapText="1"/>
    </xf>
    <xf numFmtId="198" fontId="13" fillId="0" borderId="16" xfId="0" applyNumberFormat="1" applyFont="1" applyBorder="1" applyAlignment="1">
      <alignment horizontal="center" vertical="center"/>
    </xf>
    <xf numFmtId="0" fontId="10" fillId="0" borderId="79" xfId="0" applyFont="1" applyBorder="1" applyAlignment="1" applyProtection="1">
      <alignment vertical="center" wrapText="1"/>
    </xf>
    <xf numFmtId="0" fontId="10" fillId="0" borderId="114" xfId="0" applyFont="1" applyBorder="1" applyAlignment="1" applyProtection="1">
      <alignment horizontal="center" vertical="center"/>
    </xf>
    <xf numFmtId="0" fontId="10" fillId="0" borderId="14" xfId="0" applyFont="1" applyBorder="1" applyAlignment="1" applyProtection="1">
      <alignment vertical="center" wrapText="1"/>
    </xf>
    <xf numFmtId="0" fontId="10" fillId="0" borderId="17" xfId="0" applyFont="1" applyBorder="1" applyAlignment="1" applyProtection="1">
      <alignment horizontal="center" vertical="center"/>
    </xf>
    <xf numFmtId="0" fontId="37" fillId="0" borderId="0" xfId="0" applyFont="1"/>
    <xf numFmtId="0" fontId="8" fillId="0" borderId="0" xfId="0" applyFont="1"/>
    <xf numFmtId="0" fontId="8" fillId="0" borderId="0" xfId="0" applyFont="1" applyAlignment="1"/>
    <xf numFmtId="0" fontId="121" fillId="60" borderId="0" xfId="0" applyFont="1" applyFill="1" applyBorder="1"/>
    <xf numFmtId="0" fontId="122" fillId="60" borderId="0" xfId="0" applyFont="1" applyFill="1" applyBorder="1" applyAlignment="1">
      <alignment horizontal="center" vertical="center"/>
    </xf>
    <xf numFmtId="0" fontId="122" fillId="60" borderId="0" xfId="0" applyFont="1" applyFill="1" applyBorder="1" applyAlignment="1">
      <alignment horizontal="center" vertical="center" wrapText="1"/>
    </xf>
    <xf numFmtId="0" fontId="122" fillId="60" borderId="0" xfId="0" applyFont="1" applyFill="1" applyBorder="1"/>
    <xf numFmtId="0" fontId="8" fillId="0" borderId="4" xfId="0" applyFont="1" applyBorder="1" applyAlignment="1">
      <alignment vertical="center" wrapText="1"/>
    </xf>
    <xf numFmtId="0" fontId="8" fillId="0" borderId="4" xfId="0" quotePrefix="1" applyFont="1" applyBorder="1" applyAlignment="1">
      <alignment horizontal="center"/>
    </xf>
    <xf numFmtId="0" fontId="8" fillId="0" borderId="0" xfId="0" applyFont="1" applyBorder="1" applyAlignment="1">
      <alignment vertical="center" wrapText="1"/>
    </xf>
    <xf numFmtId="0" fontId="8" fillId="0" borderId="0" xfId="0" applyFont="1" applyBorder="1" applyAlignment="1">
      <alignment horizontal="center"/>
    </xf>
    <xf numFmtId="0" fontId="8" fillId="0" borderId="0" xfId="0" applyFont="1" applyBorder="1"/>
    <xf numFmtId="0" fontId="76" fillId="0" borderId="0" xfId="0" applyFont="1" applyBorder="1" applyAlignment="1">
      <alignment vertical="center" wrapText="1"/>
    </xf>
    <xf numFmtId="0" fontId="124" fillId="0" borderId="0" xfId="0" applyFont="1" applyBorder="1" applyAlignment="1">
      <alignment horizontal="center"/>
    </xf>
    <xf numFmtId="0" fontId="8" fillId="0" borderId="4" xfId="0" applyFont="1" applyBorder="1" applyAlignment="1">
      <alignment horizontal="center"/>
    </xf>
    <xf numFmtId="0" fontId="0" fillId="0" borderId="0" xfId="0" applyFont="1" applyFill="1"/>
    <xf numFmtId="0" fontId="0" fillId="0" borderId="0" xfId="0" applyFont="1" applyFill="1" applyBorder="1"/>
    <xf numFmtId="0" fontId="125" fillId="61" borderId="17" xfId="0" applyFont="1" applyFill="1" applyBorder="1" applyAlignment="1">
      <alignment vertical="center"/>
    </xf>
    <xf numFmtId="0" fontId="125" fillId="61" borderId="16" xfId="0" applyFont="1" applyFill="1" applyBorder="1" applyAlignment="1">
      <alignment vertical="center" wrapText="1"/>
    </xf>
    <xf numFmtId="0" fontId="125" fillId="61" borderId="16" xfId="0" applyFont="1" applyFill="1" applyBorder="1" applyAlignment="1">
      <alignment vertical="center"/>
    </xf>
    <xf numFmtId="191" fontId="20" fillId="62" borderId="69" xfId="0" applyNumberFormat="1" applyFont="1" applyFill="1" applyBorder="1" applyProtection="1">
      <protection locked="0"/>
    </xf>
    <xf numFmtId="191" fontId="20" fillId="62" borderId="87" xfId="24" applyNumberFormat="1" applyFont="1" applyFill="1" applyBorder="1" applyProtection="1">
      <protection locked="0"/>
    </xf>
    <xf numFmtId="191" fontId="20" fillId="62" borderId="69" xfId="24" applyNumberFormat="1" applyFont="1" applyFill="1" applyBorder="1" applyProtection="1">
      <protection locked="0"/>
    </xf>
    <xf numFmtId="191" fontId="20" fillId="62" borderId="73" xfId="0" applyNumberFormat="1" applyFont="1" applyFill="1" applyBorder="1" applyProtection="1">
      <protection locked="0"/>
    </xf>
    <xf numFmtId="191" fontId="20" fillId="62" borderId="72" xfId="0" applyNumberFormat="1" applyFont="1" applyFill="1" applyBorder="1" applyProtection="1">
      <protection locked="0"/>
    </xf>
    <xf numFmtId="0" fontId="114" fillId="47" borderId="107" xfId="0" applyFont="1" applyFill="1" applyBorder="1" applyAlignment="1">
      <alignment horizontal="left" vertical="top" wrapText="1"/>
    </xf>
    <xf numFmtId="0" fontId="114" fillId="63" borderId="107" xfId="0" applyFont="1" applyFill="1" applyBorder="1" applyAlignment="1">
      <alignment horizontal="left" vertical="top" wrapText="1"/>
    </xf>
    <xf numFmtId="1" fontId="126" fillId="0" borderId="0" xfId="0" applyNumberFormat="1" applyFont="1" applyAlignment="1">
      <alignment horizontal="right" vertical="top"/>
    </xf>
    <xf numFmtId="0" fontId="83" fillId="0" borderId="61" xfId="0" applyNumberFormat="1" applyFont="1" applyBorder="1" applyAlignment="1" applyProtection="1">
      <alignment horizontal="center"/>
    </xf>
    <xf numFmtId="0" fontId="37" fillId="0" borderId="0" xfId="0" applyFont="1" applyAlignment="1" applyProtection="1">
      <alignment horizontal="left" vertical="center" wrapText="1"/>
    </xf>
    <xf numFmtId="0" fontId="37" fillId="0" borderId="0" xfId="0" applyFont="1" applyAlignment="1" applyProtection="1">
      <alignment horizontal="left" wrapText="1"/>
    </xf>
    <xf numFmtId="0" fontId="0" fillId="0" borderId="0" xfId="0" applyAlignment="1" applyProtection="1"/>
    <xf numFmtId="0" fontId="62" fillId="45" borderId="0" xfId="0" applyFont="1" applyFill="1" applyAlignment="1" applyProtection="1">
      <alignment horizontal="center" vertical="center" wrapText="1"/>
    </xf>
    <xf numFmtId="0" fontId="114" fillId="55" borderId="107" xfId="0" applyFont="1" applyFill="1" applyBorder="1" applyAlignment="1">
      <alignment horizontal="left" vertical="top" wrapText="1"/>
    </xf>
    <xf numFmtId="0" fontId="26" fillId="0" borderId="0" xfId="0" applyFont="1" applyAlignment="1">
      <alignment vertical="top"/>
    </xf>
    <xf numFmtId="167" fontId="0" fillId="0" borderId="78" xfId="0" applyNumberFormat="1" applyBorder="1" applyProtection="1">
      <protection locked="0"/>
    </xf>
    <xf numFmtId="0" fontId="127" fillId="2" borderId="0" xfId="0" applyFont="1" applyFill="1" applyProtection="1">
      <protection locked="0"/>
    </xf>
    <xf numFmtId="0" fontId="37" fillId="4" borderId="121" xfId="0" applyNumberFormat="1" applyFont="1" applyFill="1" applyBorder="1" applyAlignment="1" applyProtection="1">
      <alignment horizontal="center" vertical="center"/>
      <protection locked="0"/>
    </xf>
    <xf numFmtId="0" fontId="2" fillId="2" borderId="38" xfId="0" applyFont="1" applyFill="1" applyBorder="1" applyAlignment="1" applyProtection="1">
      <alignment vertical="top" wrapText="1"/>
    </xf>
    <xf numFmtId="0" fontId="2" fillId="0" borderId="38" xfId="0" applyFont="1" applyBorder="1" applyProtection="1"/>
    <xf numFmtId="0" fontId="2" fillId="2" borderId="119" xfId="0" applyFont="1" applyFill="1" applyBorder="1" applyProtection="1"/>
    <xf numFmtId="0" fontId="37" fillId="0" borderId="0" xfId="0" applyFont="1" applyAlignment="1">
      <alignment horizontal="left" vertical="center"/>
    </xf>
    <xf numFmtId="0" fontId="22" fillId="2" borderId="4" xfId="27" applyFont="1" applyFill="1" applyBorder="1" applyAlignment="1" applyProtection="1">
      <alignment horizontal="center" vertical="center"/>
    </xf>
    <xf numFmtId="1" fontId="22" fillId="3" borderId="4" xfId="27" applyNumberFormat="1" applyFont="1" applyFill="1" applyBorder="1" applyAlignment="1" applyProtection="1">
      <alignment horizontal="center" vertical="center"/>
      <protection locked="0"/>
    </xf>
    <xf numFmtId="10" fontId="28" fillId="0" borderId="26" xfId="0" quotePrefix="1" applyNumberFormat="1" applyFont="1" applyBorder="1" applyAlignment="1">
      <alignment wrapText="1"/>
    </xf>
    <xf numFmtId="0" fontId="28" fillId="0" borderId="4" xfId="0" quotePrefix="1" applyFont="1" applyBorder="1" applyAlignment="1">
      <alignment wrapText="1"/>
    </xf>
    <xf numFmtId="10" fontId="28" fillId="0" borderId="4" xfId="0" quotePrefix="1" applyNumberFormat="1" applyFont="1" applyBorder="1" applyAlignment="1">
      <alignment wrapText="1"/>
    </xf>
    <xf numFmtId="0" fontId="28" fillId="0" borderId="4" xfId="0" quotePrefix="1" applyFont="1" applyFill="1" applyBorder="1" applyAlignment="1">
      <alignment wrapText="1"/>
    </xf>
    <xf numFmtId="0" fontId="128" fillId="0" borderId="0" xfId="24" applyFont="1" applyProtection="1">
      <protection locked="0"/>
    </xf>
    <xf numFmtId="0" fontId="37" fillId="0" borderId="0" xfId="0" applyFont="1" applyAlignment="1" applyProtection="1">
      <alignment horizontal="right" vertical="center" wrapText="1" indent="2"/>
    </xf>
    <xf numFmtId="0" fontId="37" fillId="0" borderId="0" xfId="0" applyFont="1" applyBorder="1" applyAlignment="1" applyProtection="1">
      <alignment horizontal="right" vertical="center" wrapText="1" indent="2"/>
    </xf>
    <xf numFmtId="0" fontId="42" fillId="0" borderId="0" xfId="0" applyFont="1" applyProtection="1"/>
    <xf numFmtId="0" fontId="0" fillId="3" borderId="17" xfId="0" applyFill="1" applyBorder="1" applyProtection="1"/>
    <xf numFmtId="0" fontId="0" fillId="0" borderId="0" xfId="0" applyAlignment="1" applyProtection="1">
      <alignment horizontal="left"/>
    </xf>
    <xf numFmtId="0" fontId="0" fillId="4" borderId="17" xfId="0" applyFill="1" applyBorder="1" applyProtection="1"/>
    <xf numFmtId="0" fontId="0" fillId="64" borderId="17" xfId="0" applyFill="1" applyBorder="1" applyProtection="1"/>
    <xf numFmtId="0" fontId="0" fillId="10" borderId="17" xfId="0" applyFill="1" applyBorder="1" applyProtection="1"/>
    <xf numFmtId="0" fontId="0" fillId="0" borderId="17" xfId="0" applyBorder="1" applyProtection="1"/>
    <xf numFmtId="0" fontId="37" fillId="0" borderId="0" xfId="0" applyFont="1" applyAlignment="1" applyProtection="1">
      <alignment horizontal="right" vertical="center"/>
    </xf>
    <xf numFmtId="0" fontId="0" fillId="0" borderId="0" xfId="0" applyAlignment="1" applyProtection="1">
      <alignment horizontal="right" vertical="center"/>
    </xf>
    <xf numFmtId="0" fontId="37" fillId="0" borderId="0" xfId="0" applyFont="1" applyAlignment="1" applyProtection="1">
      <alignment horizontal="right" vertical="center" indent="1"/>
    </xf>
    <xf numFmtId="0" fontId="8" fillId="0" borderId="0" xfId="0" applyFont="1" applyAlignment="1" applyProtection="1">
      <alignment horizontal="right" vertical="center"/>
    </xf>
    <xf numFmtId="0" fontId="37" fillId="0" borderId="0" xfId="0" applyFont="1" applyAlignment="1" applyProtection="1">
      <alignment horizontal="right" vertical="center" indent="2"/>
    </xf>
    <xf numFmtId="170" fontId="3" fillId="0" borderId="0" xfId="0" applyNumberFormat="1" applyFont="1" applyAlignment="1" applyProtection="1">
      <alignment horizontal="left"/>
    </xf>
    <xf numFmtId="0" fontId="35" fillId="0" borderId="0" xfId="0" applyFont="1" applyAlignment="1" applyProtection="1">
      <alignment horizontal="center" vertical="center"/>
    </xf>
    <xf numFmtId="0" fontId="129" fillId="0" borderId="0" xfId="0" applyFont="1" applyProtection="1"/>
    <xf numFmtId="0" fontId="0" fillId="0" borderId="4" xfId="0" applyFill="1" applyBorder="1" applyAlignment="1" applyProtection="1">
      <alignment horizontal="center"/>
    </xf>
    <xf numFmtId="179" fontId="10" fillId="0" borderId="115" xfId="0" applyNumberFormat="1" applyFont="1" applyFill="1" applyBorder="1" applyAlignment="1" applyProtection="1">
      <alignment vertical="center"/>
    </xf>
    <xf numFmtId="179" fontId="10" fillId="0" borderId="16" xfId="0" applyNumberFormat="1" applyFont="1" applyFill="1" applyBorder="1" applyAlignment="1" applyProtection="1">
      <alignment vertical="center"/>
    </xf>
    <xf numFmtId="180" fontId="10" fillId="0" borderId="16" xfId="0" applyNumberFormat="1" applyFont="1" applyFill="1" applyBorder="1" applyAlignment="1" applyProtection="1">
      <alignment vertical="center"/>
    </xf>
    <xf numFmtId="191" fontId="20" fillId="65" borderId="71" xfId="0" applyNumberFormat="1" applyFont="1" applyFill="1" applyBorder="1" applyProtection="1"/>
    <xf numFmtId="191" fontId="20" fillId="65" borderId="69" xfId="0" applyNumberFormat="1" applyFont="1" applyFill="1" applyBorder="1" applyProtection="1"/>
    <xf numFmtId="0" fontId="4" fillId="0" borderId="0" xfId="0" applyFont="1" applyBorder="1" applyAlignment="1" applyProtection="1">
      <alignment horizontal="left" vertical="top" wrapText="1"/>
    </xf>
    <xf numFmtId="0" fontId="0" fillId="0" borderId="0" xfId="0" applyAlignment="1" applyProtection="1">
      <alignment wrapText="1"/>
    </xf>
    <xf numFmtId="0" fontId="0" fillId="0" borderId="0" xfId="0" applyAlignment="1" applyProtection="1">
      <alignment vertical="center"/>
    </xf>
    <xf numFmtId="0" fontId="0" fillId="0" borderId="0" xfId="0" applyNumberFormat="1" applyProtection="1"/>
    <xf numFmtId="171" fontId="0" fillId="0" borderId="0" xfId="0" applyNumberFormat="1" applyProtection="1"/>
    <xf numFmtId="0" fontId="0" fillId="2" borderId="0" xfId="0" applyFill="1" applyAlignment="1" applyProtection="1">
      <alignment horizontal="left"/>
    </xf>
    <xf numFmtId="0" fontId="0" fillId="0" borderId="0" xfId="0" applyFill="1" applyAlignment="1" applyProtection="1">
      <alignment vertical="center"/>
    </xf>
    <xf numFmtId="2" fontId="0" fillId="0" borderId="0" xfId="0" applyNumberFormat="1" applyProtection="1"/>
    <xf numFmtId="198" fontId="13" fillId="0" borderId="17" xfId="0" applyNumberFormat="1" applyFont="1" applyFill="1" applyBorder="1" applyAlignment="1" applyProtection="1">
      <alignment horizontal="center" vertical="center"/>
    </xf>
    <xf numFmtId="180" fontId="0" fillId="0" borderId="32" xfId="0" applyNumberFormat="1" applyFill="1" applyBorder="1" applyProtection="1"/>
    <xf numFmtId="180" fontId="0" fillId="0" borderId="4" xfId="0" applyNumberFormat="1" applyFill="1" applyBorder="1" applyProtection="1"/>
    <xf numFmtId="165" fontId="0" fillId="0" borderId="0" xfId="0" applyNumberFormat="1" applyFill="1" applyBorder="1" applyProtection="1"/>
    <xf numFmtId="0" fontId="130" fillId="0" borderId="0" xfId="0" applyFont="1"/>
    <xf numFmtId="0" fontId="0" fillId="0" borderId="0" xfId="0" applyAlignment="1">
      <alignment vertical="top" wrapText="1"/>
    </xf>
    <xf numFmtId="0" fontId="132" fillId="0" borderId="38" xfId="0" applyFont="1" applyBorder="1"/>
    <xf numFmtId="0" fontId="28" fillId="0" borderId="0" xfId="0" applyFont="1" applyBorder="1"/>
    <xf numFmtId="0" fontId="28" fillId="0" borderId="103" xfId="0" applyFont="1" applyBorder="1" applyAlignment="1">
      <alignment vertical="top" wrapText="1"/>
    </xf>
    <xf numFmtId="0" fontId="28" fillId="0" borderId="38" xfId="0" applyFont="1" applyBorder="1"/>
    <xf numFmtId="0" fontId="28" fillId="0" borderId="78" xfId="0" applyFont="1" applyBorder="1"/>
    <xf numFmtId="0" fontId="28" fillId="0" borderId="0" xfId="0" applyFont="1" applyBorder="1" applyAlignment="1">
      <alignment vertical="top" wrapText="1"/>
    </xf>
    <xf numFmtId="0" fontId="0" fillId="0" borderId="0" xfId="0" applyBorder="1" applyAlignment="1">
      <alignment vertical="top" wrapText="1"/>
    </xf>
    <xf numFmtId="0" fontId="0" fillId="0" borderId="78" xfId="0" applyFill="1" applyBorder="1"/>
    <xf numFmtId="180" fontId="9" fillId="0" borderId="0" xfId="0" applyNumberFormat="1" applyFont="1" applyFill="1" applyAlignment="1">
      <alignment horizontal="right"/>
    </xf>
    <xf numFmtId="0" fontId="9" fillId="0" borderId="0" xfId="0" applyFont="1" applyFill="1" applyAlignment="1">
      <alignment horizontal="left"/>
    </xf>
    <xf numFmtId="0" fontId="0" fillId="0" borderId="4" xfId="0" applyBorder="1"/>
    <xf numFmtId="0" fontId="0" fillId="0" borderId="4" xfId="0" applyBorder="1" applyAlignment="1">
      <alignment wrapText="1"/>
    </xf>
    <xf numFmtId="0" fontId="0" fillId="68" borderId="4" xfId="0" applyFill="1" applyBorder="1"/>
    <xf numFmtId="0" fontId="0" fillId="68" borderId="4" xfId="0" applyFill="1" applyBorder="1" applyAlignment="1">
      <alignment wrapText="1"/>
    </xf>
    <xf numFmtId="0" fontId="0" fillId="69" borderId="4" xfId="0" applyFill="1" applyBorder="1" applyAlignment="1">
      <alignment wrapText="1"/>
    </xf>
    <xf numFmtId="0" fontId="6" fillId="0" borderId="0" xfId="0" applyFont="1" applyProtection="1"/>
    <xf numFmtId="0" fontId="6" fillId="0" borderId="0" xfId="0" applyFont="1"/>
    <xf numFmtId="0" fontId="6" fillId="0" borderId="0" xfId="0" applyFont="1" applyFill="1"/>
    <xf numFmtId="0" fontId="13" fillId="0" borderId="0" xfId="0" applyFont="1" applyAlignment="1" applyProtection="1">
      <alignment horizontal="left" wrapText="1"/>
    </xf>
    <xf numFmtId="0" fontId="6" fillId="0" borderId="0" xfId="0" applyFont="1" applyFill="1" applyProtection="1"/>
    <xf numFmtId="0" fontId="6" fillId="0" borderId="0" xfId="0" applyFont="1" applyAlignment="1" applyProtection="1">
      <alignment wrapText="1"/>
    </xf>
    <xf numFmtId="0" fontId="13" fillId="0" borderId="0" xfId="0" applyFont="1" applyAlignment="1" applyProtection="1">
      <alignment horizontal="left" vertical="center" wrapText="1"/>
    </xf>
    <xf numFmtId="0" fontId="13" fillId="0" borderId="4" xfId="0" applyFont="1" applyFill="1" applyBorder="1" applyAlignment="1" applyProtection="1">
      <alignment horizontal="center" vertical="center" wrapText="1"/>
    </xf>
    <xf numFmtId="0" fontId="134" fillId="0" borderId="0" xfId="0" applyFont="1" applyAlignment="1" applyProtection="1">
      <alignment horizontal="left" wrapText="1"/>
    </xf>
    <xf numFmtId="0" fontId="134" fillId="0" borderId="27" xfId="0" applyFont="1" applyBorder="1" applyAlignment="1" applyProtection="1">
      <alignment horizontal="center" wrapText="1"/>
    </xf>
    <xf numFmtId="0" fontId="134" fillId="0" borderId="0" xfId="0" applyFont="1" applyFill="1"/>
    <xf numFmtId="190" fontId="6" fillId="0" borderId="0" xfId="0" applyNumberFormat="1" applyFont="1" applyFill="1" applyProtection="1"/>
    <xf numFmtId="0" fontId="13" fillId="0" borderId="4" xfId="0" applyFont="1" applyFill="1" applyBorder="1" applyAlignment="1" applyProtection="1">
      <alignment horizontal="left" wrapText="1"/>
    </xf>
    <xf numFmtId="0" fontId="10" fillId="0" borderId="4" xfId="0" applyFont="1" applyFill="1" applyBorder="1" applyAlignment="1" applyProtection="1">
      <alignment horizontal="center" wrapText="1"/>
    </xf>
    <xf numFmtId="0" fontId="0" fillId="0" borderId="117" xfId="0" applyBorder="1" applyAlignment="1">
      <alignment horizontal="right" vertical="top"/>
    </xf>
    <xf numFmtId="0" fontId="130" fillId="0" borderId="78" xfId="0" applyFont="1" applyFill="1" applyBorder="1"/>
    <xf numFmtId="0" fontId="0" fillId="0" borderId="78" xfId="0" applyFill="1" applyBorder="1" applyAlignment="1">
      <alignment vertical="top" wrapText="1"/>
    </xf>
    <xf numFmtId="0" fontId="2" fillId="67" borderId="30" xfId="0" applyFont="1" applyFill="1" applyBorder="1" applyAlignment="1">
      <alignment horizontal="center" vertical="center" wrapText="1"/>
    </xf>
    <xf numFmtId="0" fontId="2" fillId="67" borderId="31" xfId="0" applyFont="1" applyFill="1" applyBorder="1" applyAlignment="1">
      <alignment horizontal="center" vertical="top"/>
    </xf>
    <xf numFmtId="0" fontId="2" fillId="67" borderId="16" xfId="0" applyFont="1" applyFill="1" applyBorder="1" applyAlignment="1">
      <alignment vertical="top" wrapText="1"/>
    </xf>
    <xf numFmtId="0" fontId="133" fillId="0" borderId="103" xfId="0" applyFont="1" applyFill="1" applyBorder="1" applyAlignment="1">
      <alignment vertical="top" wrapText="1"/>
    </xf>
    <xf numFmtId="0" fontId="0" fillId="0" borderId="103" xfId="0" applyFill="1" applyBorder="1" applyAlignment="1">
      <alignment vertical="top" wrapText="1"/>
    </xf>
    <xf numFmtId="0" fontId="0" fillId="0" borderId="35" xfId="0" applyFill="1" applyBorder="1" applyAlignment="1">
      <alignment vertical="top" wrapText="1"/>
    </xf>
    <xf numFmtId="0" fontId="0" fillId="0" borderId="103" xfId="0" applyFill="1" applyBorder="1" applyAlignment="1">
      <alignment horizontal="left" vertical="top" wrapText="1"/>
    </xf>
    <xf numFmtId="0" fontId="13" fillId="0" borderId="0" xfId="0" applyFont="1" applyFill="1" applyBorder="1" applyAlignment="1" applyProtection="1">
      <alignment horizontal="left" wrapText="1"/>
    </xf>
    <xf numFmtId="194" fontId="10" fillId="0" borderId="16" xfId="169" applyNumberFormat="1" applyFont="1" applyFill="1" applyBorder="1" applyProtection="1"/>
    <xf numFmtId="0" fontId="44" fillId="0" borderId="0" xfId="0" applyFont="1" applyFill="1" applyProtection="1"/>
    <xf numFmtId="0" fontId="10" fillId="0" borderId="0" xfId="0" applyFont="1" applyFill="1" applyProtection="1"/>
    <xf numFmtId="0" fontId="10" fillId="0" borderId="0" xfId="0" applyFont="1" applyFill="1"/>
    <xf numFmtId="194" fontId="10" fillId="0" borderId="16" xfId="169" applyNumberFormat="1" applyFont="1" applyFill="1" applyBorder="1" applyAlignment="1" applyProtection="1">
      <alignment vertical="center"/>
    </xf>
    <xf numFmtId="199" fontId="10" fillId="0" borderId="0" xfId="170" applyNumberFormat="1" applyFont="1" applyFill="1" applyProtection="1"/>
    <xf numFmtId="0" fontId="10" fillId="0" borderId="0" xfId="0" applyFont="1"/>
    <xf numFmtId="0" fontId="13" fillId="0" borderId="27" xfId="0" applyFont="1" applyFill="1" applyBorder="1" applyAlignment="1" applyProtection="1">
      <alignment horizontal="center" wrapText="1"/>
    </xf>
    <xf numFmtId="0" fontId="10" fillId="0" borderId="4" xfId="0" applyFont="1" applyFill="1" applyBorder="1"/>
    <xf numFmtId="190" fontId="10" fillId="0" borderId="4" xfId="0" applyNumberFormat="1" applyFont="1" applyFill="1" applyBorder="1" applyAlignment="1" applyProtection="1">
      <alignment horizontal="center" wrapText="1"/>
    </xf>
    <xf numFmtId="190" fontId="10" fillId="0" borderId="4" xfId="0" applyNumberFormat="1" applyFont="1" applyFill="1" applyBorder="1" applyAlignment="1">
      <alignment horizontal="center"/>
    </xf>
    <xf numFmtId="190" fontId="10" fillId="0" borderId="4" xfId="0" applyNumberFormat="1" applyFont="1" applyFill="1" applyBorder="1" applyAlignment="1" applyProtection="1">
      <alignment horizontal="center"/>
    </xf>
    <xf numFmtId="10" fontId="10" fillId="0" borderId="4" xfId="0" applyNumberFormat="1" applyFont="1" applyFill="1" applyBorder="1"/>
    <xf numFmtId="194" fontId="10" fillId="0" borderId="4" xfId="0" applyNumberFormat="1" applyFont="1" applyBorder="1"/>
    <xf numFmtId="0" fontId="10" fillId="0" borderId="0" xfId="0" applyFont="1" applyFill="1" applyBorder="1"/>
    <xf numFmtId="0" fontId="10" fillId="0" borderId="25" xfId="0" applyFont="1" applyFill="1" applyBorder="1"/>
    <xf numFmtId="10" fontId="10" fillId="0" borderId="25" xfId="0" applyNumberFormat="1" applyFont="1" applyBorder="1"/>
    <xf numFmtId="194" fontId="10" fillId="0" borderId="25" xfId="0" applyNumberFormat="1" applyFont="1" applyBorder="1"/>
    <xf numFmtId="0" fontId="86" fillId="0" borderId="0" xfId="0" applyFont="1" applyFill="1" applyAlignment="1" applyProtection="1">
      <alignment horizontal="center" vertical="center"/>
    </xf>
    <xf numFmtId="3" fontId="114" fillId="56" borderId="107" xfId="0" applyNumberFormat="1" applyFont="1" applyFill="1" applyBorder="1" applyAlignment="1">
      <alignment horizontal="right" vertical="top" wrapText="1"/>
    </xf>
    <xf numFmtId="3" fontId="114" fillId="56" borderId="108" xfId="0" applyNumberFormat="1" applyFont="1" applyFill="1" applyBorder="1" applyAlignment="1">
      <alignment horizontal="right" vertical="top" wrapText="1"/>
    </xf>
    <xf numFmtId="0" fontId="114" fillId="55" borderId="108" xfId="0" applyFont="1" applyFill="1" applyBorder="1" applyAlignment="1">
      <alignment horizontal="left" vertical="top" wrapText="1"/>
    </xf>
    <xf numFmtId="1" fontId="114" fillId="56" borderId="108" xfId="0" applyNumberFormat="1" applyFont="1" applyFill="1" applyBorder="1" applyAlignment="1">
      <alignment horizontal="right" vertical="top" wrapText="1"/>
    </xf>
    <xf numFmtId="0" fontId="37" fillId="0" borderId="4" xfId="0" applyFont="1" applyFill="1" applyBorder="1" applyAlignment="1" applyProtection="1">
      <alignment horizontal="center" vertical="center" wrapText="1"/>
      <protection locked="0"/>
    </xf>
    <xf numFmtId="0" fontId="0" fillId="0" borderId="0" xfId="0"/>
    <xf numFmtId="0" fontId="0" fillId="0" borderId="0" xfId="0" applyProtection="1"/>
    <xf numFmtId="0" fontId="0" fillId="0" borderId="0" xfId="0" applyFont="1" applyProtection="1"/>
    <xf numFmtId="0" fontId="13" fillId="0" borderId="0" xfId="0" applyFont="1" applyProtection="1"/>
    <xf numFmtId="0" fontId="4" fillId="0" borderId="0" xfId="24" applyProtection="1"/>
    <xf numFmtId="4" fontId="0" fillId="0" borderId="0" xfId="0" applyNumberFormat="1" applyProtection="1"/>
    <xf numFmtId="0" fontId="0" fillId="0" borderId="0" xfId="0" applyNumberFormat="1" applyAlignment="1" applyProtection="1">
      <alignment horizontal="left" vertical="top"/>
    </xf>
    <xf numFmtId="0" fontId="0" fillId="0" borderId="0" xfId="0" applyAlignment="1" applyProtection="1">
      <alignment horizontal="right"/>
    </xf>
    <xf numFmtId="0" fontId="0" fillId="2" borderId="0" xfId="0" applyFill="1" applyBorder="1" applyAlignment="1" applyProtection="1">
      <alignment horizontal="left"/>
    </xf>
    <xf numFmtId="0" fontId="10" fillId="0" borderId="0" xfId="0" applyFont="1" applyAlignment="1" applyProtection="1">
      <alignment horizontal="left" vertical="top" wrapText="1"/>
    </xf>
    <xf numFmtId="0" fontId="11" fillId="0" borderId="0" xfId="0" applyFont="1" applyFill="1" applyAlignment="1" applyProtection="1">
      <alignment vertical="top" wrapText="1"/>
    </xf>
    <xf numFmtId="0" fontId="10" fillId="0" borderId="0" xfId="0" applyFont="1" applyFill="1" applyAlignment="1" applyProtection="1">
      <alignment vertical="top" wrapText="1"/>
    </xf>
    <xf numFmtId="0" fontId="0" fillId="0" borderId="0" xfId="0" applyFill="1" applyProtection="1"/>
    <xf numFmtId="0" fontId="10" fillId="0" borderId="0" xfId="0" applyFont="1" applyAlignment="1" applyProtection="1">
      <alignment vertical="top" wrapText="1"/>
    </xf>
    <xf numFmtId="0" fontId="10" fillId="0" borderId="0" xfId="0" applyFont="1" applyAlignment="1" applyProtection="1">
      <alignment horizontal="right" vertical="top" wrapText="1"/>
    </xf>
    <xf numFmtId="0" fontId="0" fillId="0" borderId="0" xfId="0" applyFill="1" applyAlignment="1" applyProtection="1">
      <alignment vertical="top" wrapText="1"/>
    </xf>
    <xf numFmtId="0" fontId="0" fillId="0" borderId="0" xfId="0" applyAlignment="1" applyProtection="1">
      <alignment vertical="top" wrapText="1"/>
    </xf>
    <xf numFmtId="0" fontId="65" fillId="0" borderId="0" xfId="0" applyNumberFormat="1" applyFont="1" applyAlignment="1" applyProtection="1">
      <alignment horizontal="left" vertical="top" wrapText="1"/>
    </xf>
    <xf numFmtId="0" fontId="65" fillId="0" borderId="0" xfId="0" applyFont="1" applyAlignment="1" applyProtection="1">
      <alignment horizontal="right" vertical="top" wrapText="1"/>
    </xf>
    <xf numFmtId="0" fontId="65" fillId="0" borderId="0" xfId="0" applyFont="1" applyAlignment="1" applyProtection="1">
      <alignment vertical="top" wrapText="1"/>
    </xf>
    <xf numFmtId="0" fontId="65" fillId="0" borderId="0" xfId="0" applyFont="1" applyFill="1" applyAlignment="1" applyProtection="1">
      <alignment vertical="top" wrapText="1"/>
    </xf>
    <xf numFmtId="4" fontId="65" fillId="0" borderId="0" xfId="0" applyNumberFormat="1" applyFont="1" applyAlignment="1" applyProtection="1">
      <alignment vertical="top" wrapText="1"/>
    </xf>
    <xf numFmtId="0" fontId="4" fillId="0" borderId="0" xfId="24" applyAlignment="1" applyProtection="1">
      <alignment horizontal="center" vertical="center"/>
    </xf>
    <xf numFmtId="183" fontId="18" fillId="2" borderId="0" xfId="24" applyNumberFormat="1" applyFont="1" applyFill="1" applyAlignment="1" applyProtection="1">
      <alignment horizontal="center" vertical="center" wrapText="1"/>
    </xf>
    <xf numFmtId="190" fontId="18" fillId="2" borderId="0" xfId="24" applyNumberFormat="1" applyFont="1" applyFill="1" applyAlignment="1" applyProtection="1">
      <alignment horizontal="center" vertical="center" wrapText="1"/>
    </xf>
    <xf numFmtId="0" fontId="18" fillId="0" borderId="0" xfId="24" applyFont="1" applyProtection="1"/>
    <xf numFmtId="180" fontId="9" fillId="2" borderId="0" xfId="0" applyNumberFormat="1" applyFont="1" applyFill="1" applyAlignment="1">
      <alignment horizontal="right"/>
    </xf>
    <xf numFmtId="179" fontId="9" fillId="2" borderId="0" xfId="0" applyNumberFormat="1" applyFont="1" applyFill="1" applyAlignment="1">
      <alignment horizontal="right"/>
    </xf>
    <xf numFmtId="0" fontId="5" fillId="2" borderId="0" xfId="0" applyFont="1" applyFill="1" applyAlignment="1">
      <alignment horizontal="left"/>
    </xf>
    <xf numFmtId="179" fontId="5" fillId="2" borderId="0" xfId="0" applyNumberFormat="1" applyFont="1" applyFill="1" applyAlignment="1">
      <alignment horizontal="right"/>
    </xf>
    <xf numFmtId="180" fontId="5" fillId="2" borderId="0" xfId="0" applyNumberFormat="1" applyFont="1" applyFill="1" applyAlignment="1">
      <alignment horizontal="right"/>
    </xf>
    <xf numFmtId="15" fontId="22" fillId="2" borderId="0" xfId="161" applyNumberFormat="1" applyFont="1" applyFill="1" applyAlignment="1" applyProtection="1">
      <alignment horizontal="left" vertical="top" wrapText="1"/>
    </xf>
    <xf numFmtId="15" fontId="39" fillId="2" borderId="0" xfId="161" applyNumberFormat="1" applyFont="1" applyFill="1" applyAlignment="1" applyProtection="1">
      <alignment horizontal="left" vertical="top" wrapText="1"/>
    </xf>
    <xf numFmtId="0" fontId="4" fillId="62" borderId="4" xfId="24" applyFill="1" applyBorder="1" applyAlignment="1" applyProtection="1">
      <alignment horizontal="center" vertical="center"/>
      <protection locked="0"/>
    </xf>
    <xf numFmtId="0" fontId="28" fillId="0" borderId="4" xfId="0" quotePrefix="1" applyFont="1" applyBorder="1" applyAlignment="1">
      <alignment horizontal="right" wrapText="1"/>
    </xf>
    <xf numFmtId="169" fontId="28" fillId="0" borderId="4" xfId="35" quotePrefix="1" applyNumberFormat="1" applyFont="1" applyBorder="1" applyAlignment="1" applyProtection="1">
      <alignment wrapText="1"/>
    </xf>
    <xf numFmtId="0" fontId="37" fillId="0" borderId="0" xfId="0" applyFont="1" applyBorder="1" applyAlignment="1">
      <alignment horizontal="center" vertical="center"/>
    </xf>
    <xf numFmtId="0" fontId="64" fillId="2" borderId="0" xfId="0" applyFont="1" applyFill="1" applyAlignment="1">
      <alignment horizontal="left" vertical="center"/>
    </xf>
    <xf numFmtId="0" fontId="64" fillId="2" borderId="0" xfId="0" applyNumberFormat="1" applyFont="1" applyFill="1" applyAlignment="1">
      <alignment horizontal="left" vertical="center"/>
    </xf>
    <xf numFmtId="0" fontId="0" fillId="2" borderId="0" xfId="0" applyFill="1" applyAlignment="1">
      <alignment horizontal="left" vertical="center"/>
    </xf>
    <xf numFmtId="0" fontId="0" fillId="2" borderId="0" xfId="0" applyNumberFormat="1" applyFill="1" applyAlignment="1">
      <alignment horizontal="left" vertical="center"/>
    </xf>
    <xf numFmtId="191" fontId="20" fillId="62" borderId="91" xfId="24" applyNumberFormat="1" applyFont="1" applyFill="1" applyBorder="1" applyProtection="1">
      <protection locked="0"/>
    </xf>
    <xf numFmtId="191" fontId="20" fillId="62" borderId="92" xfId="24" applyNumberFormat="1" applyFont="1" applyFill="1" applyBorder="1" applyProtection="1">
      <protection locked="0"/>
    </xf>
    <xf numFmtId="191" fontId="20" fillId="62" borderId="93" xfId="24" applyNumberFormat="1" applyFont="1" applyFill="1" applyBorder="1" applyProtection="1">
      <protection locked="0"/>
    </xf>
    <xf numFmtId="191" fontId="20" fillId="62" borderId="76" xfId="24" applyNumberFormat="1" applyFont="1" applyFill="1" applyBorder="1" applyProtection="1">
      <protection locked="0"/>
    </xf>
    <xf numFmtId="191" fontId="20" fillId="62" borderId="73" xfId="24" applyNumberFormat="1" applyFont="1" applyFill="1" applyBorder="1" applyProtection="1">
      <protection locked="0"/>
    </xf>
    <xf numFmtId="181" fontId="4" fillId="0" borderId="49" xfId="24" applyNumberFormat="1" applyFont="1" applyFill="1" applyBorder="1" applyAlignment="1" applyProtection="1">
      <alignment vertical="top"/>
      <protection locked="0"/>
    </xf>
    <xf numFmtId="0" fontId="62" fillId="45" borderId="0" xfId="0" applyFont="1" applyFill="1" applyAlignment="1" applyProtection="1">
      <alignment horizontal="center" vertical="center" wrapText="1"/>
    </xf>
    <xf numFmtId="0" fontId="18" fillId="0" borderId="0" xfId="0" applyFont="1" applyAlignment="1" applyProtection="1">
      <alignment horizontal="center"/>
    </xf>
    <xf numFmtId="0" fontId="40" fillId="46" borderId="120" xfId="0" applyFont="1" applyFill="1" applyBorder="1" applyAlignment="1" applyProtection="1">
      <alignment horizontal="center" vertical="center" wrapText="1"/>
    </xf>
    <xf numFmtId="168" fontId="18" fillId="3" borderId="0" xfId="0" applyNumberFormat="1" applyFont="1" applyFill="1" applyAlignment="1" applyProtection="1">
      <alignment horizontal="center"/>
    </xf>
    <xf numFmtId="49" fontId="40" fillId="0" borderId="0" xfId="0" applyNumberFormat="1" applyFont="1" applyFill="1" applyBorder="1" applyAlignment="1" applyProtection="1">
      <alignment horizontal="center"/>
    </xf>
    <xf numFmtId="192" fontId="18" fillId="9" borderId="0" xfId="39" applyNumberFormat="1" applyFont="1" applyFill="1" applyAlignment="1" applyProtection="1">
      <alignment horizontal="center"/>
    </xf>
    <xf numFmtId="168" fontId="18" fillId="9" borderId="0" xfId="39" applyFont="1" applyFill="1" applyAlignment="1" applyProtection="1">
      <alignment horizontal="center"/>
    </xf>
    <xf numFmtId="194" fontId="38" fillId="3" borderId="0" xfId="0" applyNumberFormat="1" applyFont="1" applyFill="1" applyAlignment="1" applyProtection="1">
      <alignment horizontal="center"/>
    </xf>
    <xf numFmtId="0" fontId="86" fillId="0" borderId="0" xfId="0" applyFont="1" applyFill="1" applyAlignment="1" applyProtection="1">
      <alignment horizontal="center" vertical="center"/>
    </xf>
    <xf numFmtId="0" fontId="0" fillId="70" borderId="104" xfId="0" applyFill="1" applyBorder="1" applyProtection="1"/>
    <xf numFmtId="3" fontId="0" fillId="70" borderId="104" xfId="0" applyNumberFormat="1" applyFill="1" applyBorder="1" applyProtection="1"/>
    <xf numFmtId="0" fontId="39" fillId="2" borderId="0" xfId="0" applyFont="1" applyFill="1" applyAlignment="1">
      <alignment horizontal="left" vertical="top" wrapText="1"/>
    </xf>
    <xf numFmtId="0" fontId="22" fillId="2" borderId="0" xfId="0" applyFont="1" applyFill="1" applyAlignment="1">
      <alignment horizontal="left" vertical="top" wrapText="1"/>
    </xf>
    <xf numFmtId="0" fontId="11" fillId="2" borderId="0" xfId="0" applyFont="1" applyFill="1" applyAlignment="1">
      <alignment horizontal="left" vertical="center" wrapText="1"/>
    </xf>
    <xf numFmtId="0" fontId="13" fillId="2" borderId="0" xfId="0" applyFont="1" applyFill="1" applyAlignment="1">
      <alignment horizontal="left" vertical="center" wrapText="1"/>
    </xf>
    <xf numFmtId="0" fontId="9" fillId="2" borderId="0" xfId="0" applyFont="1"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wrapText="1" indent="2"/>
    </xf>
    <xf numFmtId="0" fontId="13" fillId="2" borderId="0" xfId="0" applyFont="1" applyFill="1" applyAlignment="1">
      <alignment horizontal="left" wrapText="1"/>
    </xf>
    <xf numFmtId="0" fontId="13" fillId="2" borderId="0" xfId="0" applyFont="1" applyFill="1" applyAlignment="1">
      <alignment horizontal="left" vertical="top" wrapText="1"/>
    </xf>
    <xf numFmtId="0" fontId="0" fillId="2" borderId="0" xfId="0" applyFill="1" applyAlignment="1">
      <alignment horizontal="left" wrapText="1"/>
    </xf>
    <xf numFmtId="0" fontId="11" fillId="2" borderId="0" xfId="0" applyFont="1" applyFill="1" applyAlignment="1">
      <alignment horizontal="left" vertical="top" wrapText="1"/>
    </xf>
    <xf numFmtId="0" fontId="9" fillId="2" borderId="0" xfId="0" applyFont="1" applyFill="1" applyBorder="1" applyAlignment="1" applyProtection="1">
      <alignment horizontal="left" wrapText="1"/>
      <protection locked="0"/>
    </xf>
    <xf numFmtId="0" fontId="63" fillId="2" borderId="0" xfId="0" applyFont="1" applyFill="1" applyAlignment="1">
      <alignment horizontal="left" wrapText="1"/>
    </xf>
    <xf numFmtId="0" fontId="9" fillId="2" borderId="0" xfId="0" applyFont="1" applyFill="1" applyAlignment="1">
      <alignment horizontal="left" vertical="top" wrapText="1"/>
    </xf>
    <xf numFmtId="0" fontId="11" fillId="2" borderId="0" xfId="0" applyFont="1" applyFill="1" applyAlignment="1">
      <alignment horizontal="left" wrapText="1"/>
    </xf>
    <xf numFmtId="0" fontId="9" fillId="2" borderId="0" xfId="0" applyFont="1" applyFill="1" applyAlignment="1">
      <alignment horizontal="left" wrapText="1" indent="6"/>
    </xf>
    <xf numFmtId="0" fontId="9" fillId="2" borderId="0" xfId="0" applyFont="1" applyFill="1" applyAlignment="1">
      <alignment horizontal="left" vertical="top"/>
    </xf>
    <xf numFmtId="0" fontId="5" fillId="2" borderId="0" xfId="162" applyFont="1" applyFill="1" applyBorder="1" applyAlignment="1" applyProtection="1">
      <alignment horizontal="left" vertical="top"/>
      <protection locked="0"/>
    </xf>
    <xf numFmtId="0" fontId="13" fillId="2" borderId="0" xfId="0" applyFont="1" applyFill="1" applyAlignment="1">
      <alignment horizontal="left"/>
    </xf>
    <xf numFmtId="0" fontId="11" fillId="2" borderId="0" xfId="0" applyFont="1" applyFill="1" applyAlignment="1">
      <alignment horizontal="left" vertical="top"/>
    </xf>
    <xf numFmtId="0" fontId="13" fillId="2" borderId="0" xfId="0" applyFont="1" applyFill="1" applyAlignment="1">
      <alignment horizontal="left" vertical="top"/>
    </xf>
    <xf numFmtId="0" fontId="100" fillId="2" borderId="0" xfId="0" applyFont="1" applyFill="1" applyAlignment="1">
      <alignment horizontal="left" wrapText="1"/>
    </xf>
    <xf numFmtId="0" fontId="9" fillId="2" borderId="0" xfId="0" applyFont="1" applyFill="1" applyAlignment="1">
      <alignment wrapText="1"/>
    </xf>
    <xf numFmtId="0" fontId="9" fillId="2" borderId="0" xfId="0" applyFont="1" applyFill="1" applyBorder="1" applyAlignment="1" applyProtection="1">
      <alignment horizontal="left"/>
      <protection locked="0"/>
    </xf>
    <xf numFmtId="0" fontId="0" fillId="2" borderId="0" xfId="0" applyFill="1" applyAlignment="1">
      <alignment vertical="top" wrapText="1"/>
    </xf>
    <xf numFmtId="0" fontId="0" fillId="2" borderId="0" xfId="0" applyFill="1" applyAlignment="1">
      <alignment wrapText="1"/>
    </xf>
    <xf numFmtId="0" fontId="9" fillId="2" borderId="0" xfId="0" applyFont="1" applyFill="1" applyAlignment="1">
      <alignment vertical="center" wrapText="1"/>
    </xf>
    <xf numFmtId="0" fontId="9" fillId="2" borderId="0" xfId="0" applyFont="1" applyFill="1" applyAlignment="1">
      <alignment horizontal="left"/>
    </xf>
    <xf numFmtId="0" fontId="9" fillId="2" borderId="0" xfId="0" applyFont="1" applyFill="1" applyBorder="1" applyAlignment="1">
      <alignment horizontal="left" vertical="center" wrapText="1"/>
    </xf>
    <xf numFmtId="0" fontId="11" fillId="2" borderId="0" xfId="0" applyFont="1" applyFill="1" applyBorder="1" applyAlignment="1">
      <alignment horizontal="left" vertical="top" wrapText="1"/>
    </xf>
    <xf numFmtId="0" fontId="9" fillId="2" borderId="0" xfId="0" applyFont="1" applyFill="1" applyAlignment="1">
      <alignment vertical="center"/>
    </xf>
    <xf numFmtId="0" fontId="11" fillId="2" borderId="0" xfId="0" applyFont="1" applyFill="1" applyBorder="1" applyAlignment="1">
      <alignment horizontal="left" vertical="top"/>
    </xf>
    <xf numFmtId="0" fontId="9" fillId="2" borderId="0" xfId="0" applyFont="1" applyFill="1" applyBorder="1" applyAlignment="1">
      <alignment horizontal="left"/>
    </xf>
    <xf numFmtId="0" fontId="39" fillId="2" borderId="0" xfId="0" applyFont="1" applyFill="1" applyAlignment="1">
      <alignment horizontal="left" wrapText="1"/>
    </xf>
    <xf numFmtId="0" fontId="11" fillId="2" borderId="0" xfId="0" applyFont="1" applyFill="1" applyAlignment="1">
      <alignment horizontal="left"/>
    </xf>
    <xf numFmtId="15" fontId="39" fillId="2" borderId="0" xfId="161" applyNumberFormat="1" applyFont="1" applyFill="1" applyBorder="1" applyAlignment="1" applyProtection="1">
      <alignment horizontal="left" vertical="top"/>
      <protection locked="0"/>
    </xf>
    <xf numFmtId="0" fontId="13" fillId="2" borderId="0" xfId="0" applyFont="1" applyFill="1" applyAlignment="1">
      <alignment horizontal="left" vertical="center"/>
    </xf>
    <xf numFmtId="0" fontId="0" fillId="2" borderId="0" xfId="0" applyFill="1" applyAlignment="1">
      <alignment vertical="center"/>
    </xf>
    <xf numFmtId="0" fontId="9" fillId="2" borderId="0" xfId="0" applyFont="1" applyFill="1" applyBorder="1" applyAlignment="1">
      <alignment horizontal="left" vertical="top"/>
    </xf>
    <xf numFmtId="0" fontId="9" fillId="0" borderId="0" xfId="0" applyNumberFormat="1" applyFont="1" applyFill="1" applyBorder="1" applyAlignment="1">
      <alignment horizontal="right" vertical="center"/>
    </xf>
    <xf numFmtId="0" fontId="9" fillId="2" borderId="0" xfId="0" applyFont="1" applyFill="1" applyBorder="1" applyAlignment="1">
      <alignment horizontal="left" vertical="center" wrapText="1" indent="4"/>
    </xf>
    <xf numFmtId="0" fontId="9" fillId="2" borderId="0" xfId="0" applyNumberFormat="1" applyFont="1" applyFill="1" applyBorder="1" applyAlignment="1">
      <alignment horizontal="right" wrapText="1"/>
    </xf>
    <xf numFmtId="0" fontId="9" fillId="2" borderId="0" xfId="0" applyFont="1" applyFill="1" applyBorder="1" applyAlignment="1"/>
    <xf numFmtId="180" fontId="9" fillId="0" borderId="0" xfId="0" applyNumberFormat="1" applyFont="1" applyFill="1" applyBorder="1" applyAlignment="1">
      <alignment horizontal="right"/>
    </xf>
    <xf numFmtId="179" fontId="9" fillId="0" borderId="0" xfId="0" applyNumberFormat="1" applyFont="1" applyFill="1" applyBorder="1" applyAlignment="1">
      <alignment horizontal="right"/>
    </xf>
    <xf numFmtId="180" fontId="9" fillId="0" borderId="0" xfId="0" applyNumberFormat="1" applyFont="1" applyFill="1" applyBorder="1" applyAlignment="1" applyProtection="1">
      <alignment horizontal="right"/>
    </xf>
    <xf numFmtId="15" fontId="39" fillId="2" borderId="0" xfId="161" applyNumberFormat="1" applyFont="1" applyFill="1" applyBorder="1" applyAlignment="1" applyProtection="1">
      <alignment horizontal="left" vertical="center"/>
    </xf>
    <xf numFmtId="15" fontId="39" fillId="2" borderId="0" xfId="161" applyNumberFormat="1" applyFont="1" applyFill="1" applyBorder="1" applyAlignment="1" applyProtection="1">
      <alignment horizontal="left" vertical="top"/>
    </xf>
    <xf numFmtId="15" fontId="22" fillId="2" borderId="0" xfId="161" applyNumberFormat="1" applyFont="1" applyFill="1" applyBorder="1" applyAlignment="1" applyProtection="1">
      <alignment horizontal="left" vertical="top"/>
    </xf>
    <xf numFmtId="15" fontId="22" fillId="2" borderId="0" xfId="161" applyNumberFormat="1" applyFont="1" applyFill="1" applyBorder="1" applyAlignment="1" applyProtection="1">
      <alignment horizontal="left" vertical="top"/>
      <protection locked="0"/>
    </xf>
    <xf numFmtId="0" fontId="5" fillId="2" borderId="0" xfId="161" applyFont="1" applyFill="1" applyBorder="1" applyAlignment="1" applyProtection="1">
      <protection locked="0"/>
    </xf>
    <xf numFmtId="0" fontId="5" fillId="2" borderId="0" xfId="0" applyNumberFormat="1" applyFont="1" applyFill="1" applyBorder="1" applyAlignment="1" applyProtection="1">
      <alignment horizontal="right"/>
      <protection locked="0"/>
    </xf>
    <xf numFmtId="0" fontId="5" fillId="2" borderId="0" xfId="166" applyFont="1" applyFill="1" applyBorder="1" applyAlignment="1" applyProtection="1">
      <protection locked="0"/>
    </xf>
    <xf numFmtId="0" fontId="5" fillId="2" borderId="0" xfId="166" applyNumberFormat="1" applyFont="1" applyFill="1" applyBorder="1" applyAlignment="1" applyProtection="1">
      <protection locked="0"/>
    </xf>
    <xf numFmtId="15" fontId="39" fillId="2" borderId="0" xfId="161" applyNumberFormat="1" applyFont="1" applyFill="1" applyAlignment="1">
      <alignment horizontal="left" wrapText="1"/>
    </xf>
    <xf numFmtId="0" fontId="5" fillId="2" borderId="0" xfId="24" applyNumberFormat="1" applyFont="1" applyFill="1" applyBorder="1" applyAlignment="1" applyProtection="1">
      <alignment horizontal="left"/>
      <protection locked="0"/>
    </xf>
    <xf numFmtId="179" fontId="5" fillId="2" borderId="0" xfId="24" applyNumberFormat="1" applyFont="1" applyFill="1" applyBorder="1" applyAlignment="1" applyProtection="1">
      <alignment horizontal="right"/>
      <protection locked="0"/>
    </xf>
    <xf numFmtId="180" fontId="5" fillId="2" borderId="0" xfId="24" applyNumberFormat="1" applyFont="1" applyFill="1" applyBorder="1" applyAlignment="1" applyProtection="1">
      <alignment horizontal="right"/>
      <protection locked="0"/>
    </xf>
    <xf numFmtId="15" fontId="39" fillId="2" borderId="0" xfId="277" applyNumberFormat="1" applyFont="1" applyFill="1" applyBorder="1" applyAlignment="1" applyProtection="1">
      <alignment horizontal="left" vertical="top"/>
    </xf>
    <xf numFmtId="198" fontId="4" fillId="2" borderId="0" xfId="277" applyFill="1" applyBorder="1" applyProtection="1"/>
    <xf numFmtId="0" fontId="4" fillId="2" borderId="0" xfId="277" applyNumberFormat="1" applyFill="1" applyBorder="1" applyProtection="1"/>
    <xf numFmtId="179" fontId="5" fillId="2" borderId="0" xfId="277" applyNumberFormat="1" applyFont="1" applyFill="1" applyBorder="1" applyAlignment="1" applyProtection="1">
      <alignment horizontal="right"/>
      <protection locked="0"/>
    </xf>
    <xf numFmtId="0" fontId="5" fillId="2" borderId="0" xfId="24" applyFont="1" applyFill="1" applyBorder="1" applyAlignment="1" applyProtection="1">
      <alignment horizontal="left"/>
    </xf>
    <xf numFmtId="180" fontId="5" fillId="2" borderId="0" xfId="277" applyNumberFormat="1" applyFont="1" applyFill="1" applyBorder="1" applyAlignment="1" applyProtection="1">
      <alignment horizontal="right"/>
      <protection locked="0"/>
    </xf>
    <xf numFmtId="0" fontId="4" fillId="2" borderId="0" xfId="277" applyNumberFormat="1" applyFill="1" applyBorder="1" applyAlignment="1" applyProtection="1">
      <alignment horizontal="left" indent="2"/>
    </xf>
    <xf numFmtId="15" fontId="22" fillId="2" borderId="0" xfId="277" applyNumberFormat="1" applyFont="1" applyFill="1" applyBorder="1" applyAlignment="1" applyProtection="1">
      <alignment horizontal="left" vertical="top"/>
    </xf>
    <xf numFmtId="180" fontId="5" fillId="2" borderId="0" xfId="24" applyNumberFormat="1" applyFont="1" applyFill="1" applyBorder="1" applyAlignment="1" applyProtection="1">
      <alignment horizontal="right"/>
    </xf>
    <xf numFmtId="198" fontId="5" fillId="2" borderId="0" xfId="277" applyFont="1" applyFill="1" applyBorder="1" applyProtection="1"/>
    <xf numFmtId="0" fontId="5" fillId="2" borderId="0" xfId="277" applyNumberFormat="1" applyFont="1" applyFill="1" applyBorder="1" applyAlignment="1" applyProtection="1">
      <alignment horizontal="left" indent="2"/>
    </xf>
    <xf numFmtId="198" fontId="5" fillId="2" borderId="0" xfId="277" applyFont="1" applyFill="1" applyBorder="1" applyAlignment="1" applyProtection="1">
      <alignment horizontal="left" vertical="top"/>
      <protection locked="0"/>
    </xf>
    <xf numFmtId="180" fontId="5" fillId="2" borderId="0" xfId="277" applyNumberFormat="1" applyFont="1" applyFill="1" applyBorder="1" applyAlignment="1" applyProtection="1">
      <alignment horizontal="right" vertical="top"/>
      <protection locked="0"/>
    </xf>
    <xf numFmtId="0" fontId="5" fillId="2" borderId="0" xfId="24" applyFont="1" applyFill="1" applyBorder="1" applyProtection="1"/>
    <xf numFmtId="0" fontId="5" fillId="2" borderId="0" xfId="277" applyNumberFormat="1" applyFont="1" applyFill="1" applyBorder="1" applyAlignment="1" applyProtection="1">
      <alignment horizontal="right" vertical="top"/>
      <protection locked="0"/>
    </xf>
    <xf numFmtId="15" fontId="39" fillId="2" borderId="0" xfId="161" applyNumberFormat="1" applyFont="1" applyFill="1" applyBorder="1" applyAlignment="1" applyProtection="1">
      <alignment horizontal="left" vertical="top" wrapText="1"/>
    </xf>
    <xf numFmtId="15" fontId="22" fillId="2" borderId="0" xfId="161" applyNumberFormat="1" applyFont="1" applyFill="1" applyBorder="1" applyAlignment="1" applyProtection="1">
      <alignment horizontal="left" vertical="top" wrapText="1"/>
    </xf>
    <xf numFmtId="0" fontId="9" fillId="2" borderId="0" xfId="0" applyNumberFormat="1" applyFont="1" applyFill="1" applyBorder="1" applyAlignment="1">
      <alignment horizontal="left"/>
    </xf>
    <xf numFmtId="0" fontId="5" fillId="2" borderId="0" xfId="162" applyFont="1" applyFill="1" applyBorder="1" applyAlignment="1" applyProtection="1">
      <alignment horizontal="left"/>
      <protection locked="0"/>
    </xf>
    <xf numFmtId="0" fontId="138" fillId="2" borderId="0" xfId="0" applyFont="1" applyFill="1" applyBorder="1" applyAlignment="1">
      <alignment horizontal="left"/>
    </xf>
    <xf numFmtId="0" fontId="138" fillId="2" borderId="0" xfId="0" applyNumberFormat="1" applyFont="1" applyFill="1" applyBorder="1" applyAlignment="1">
      <alignment horizontal="right"/>
    </xf>
    <xf numFmtId="0" fontId="63" fillId="2" borderId="0" xfId="0" applyNumberFormat="1" applyFont="1" applyFill="1" applyAlignment="1">
      <alignment horizontal="right"/>
    </xf>
    <xf numFmtId="180" fontId="9" fillId="2" borderId="0" xfId="0" applyNumberFormat="1" applyFont="1" applyFill="1" applyBorder="1" applyAlignment="1">
      <alignment horizontal="left"/>
    </xf>
    <xf numFmtId="0" fontId="63" fillId="2" borderId="0" xfId="0" applyNumberFormat="1" applyFont="1" applyFill="1" applyAlignment="1">
      <alignment horizontal="left"/>
    </xf>
    <xf numFmtId="0" fontId="9" fillId="2" borderId="0" xfId="0" applyNumberFormat="1" applyFont="1" applyFill="1" applyAlignment="1" applyProtection="1">
      <alignment horizontal="right"/>
      <protection locked="0"/>
    </xf>
    <xf numFmtId="0" fontId="5" fillId="2" borderId="0" xfId="24" applyNumberFormat="1" applyFont="1" applyFill="1" applyBorder="1" applyAlignment="1" applyProtection="1">
      <alignment horizontal="right"/>
      <protection locked="0"/>
    </xf>
    <xf numFmtId="180" fontId="9" fillId="2" borderId="0" xfId="0" applyNumberFormat="1" applyFont="1" applyFill="1" applyAlignment="1">
      <alignment horizontal="left"/>
    </xf>
    <xf numFmtId="0" fontId="60" fillId="2" borderId="0" xfId="0" applyFont="1" applyFill="1" applyAlignment="1">
      <alignment horizontal="left"/>
    </xf>
    <xf numFmtId="15" fontId="39" fillId="2" borderId="0" xfId="161" applyNumberFormat="1" applyFont="1" applyFill="1" applyBorder="1" applyAlignment="1" applyProtection="1">
      <alignment vertical="center"/>
    </xf>
    <xf numFmtId="0" fontId="4" fillId="2" borderId="0" xfId="161" applyNumberFormat="1" applyFill="1" applyBorder="1" applyAlignment="1" applyProtection="1">
      <alignment vertical="center"/>
    </xf>
    <xf numFmtId="0" fontId="4" fillId="2" borderId="0" xfId="161" applyNumberFormat="1" applyFill="1" applyBorder="1" applyProtection="1"/>
    <xf numFmtId="0" fontId="5" fillId="2" borderId="0" xfId="161" applyFont="1" applyFill="1" applyBorder="1" applyAlignment="1" applyProtection="1">
      <alignment horizontal="center" vertical="top"/>
      <protection locked="0"/>
    </xf>
    <xf numFmtId="0" fontId="5" fillId="2" borderId="0" xfId="24" applyFont="1" applyFill="1" applyBorder="1" applyAlignment="1" applyProtection="1">
      <alignment horizontal="center"/>
    </xf>
    <xf numFmtId="0" fontId="5" fillId="2" borderId="0" xfId="161" applyFont="1" applyFill="1" applyBorder="1" applyAlignment="1" applyProtection="1">
      <alignment horizontal="center"/>
      <protection locked="0"/>
    </xf>
    <xf numFmtId="15" fontId="103" fillId="2" borderId="0" xfId="161" applyNumberFormat="1" applyFont="1" applyFill="1" applyBorder="1" applyAlignment="1" applyProtection="1">
      <alignment vertical="center"/>
    </xf>
    <xf numFmtId="0" fontId="138" fillId="2" borderId="0" xfId="0" applyFont="1" applyFill="1" applyBorder="1" applyAlignment="1">
      <alignment horizontal="center"/>
    </xf>
    <xf numFmtId="0" fontId="101" fillId="2" borderId="0" xfId="0" applyNumberFormat="1" applyFont="1" applyFill="1" applyAlignment="1">
      <alignment horizontal="right"/>
    </xf>
    <xf numFmtId="15" fontId="39" fillId="2" borderId="0" xfId="161" applyNumberFormat="1" applyFont="1" applyFill="1" applyBorder="1" applyAlignment="1" applyProtection="1">
      <alignment horizontal="left" vertical="top" wrapText="1"/>
      <protection locked="0"/>
    </xf>
    <xf numFmtId="15" fontId="22" fillId="2" borderId="0" xfId="161" applyNumberFormat="1" applyFont="1" applyFill="1" applyBorder="1" applyAlignment="1" applyProtection="1">
      <alignment horizontal="left" vertical="top" wrapText="1"/>
      <protection locked="0"/>
    </xf>
    <xf numFmtId="0" fontId="9" fillId="2" borderId="101" xfId="107" applyFont="1" applyFill="1" applyBorder="1" applyAlignment="1" applyProtection="1">
      <alignment horizontal="left"/>
      <protection locked="0"/>
    </xf>
    <xf numFmtId="0" fontId="0" fillId="2" borderId="0" xfId="0" applyNumberFormat="1" applyFill="1" applyAlignment="1">
      <alignment vertical="top" wrapText="1"/>
    </xf>
    <xf numFmtId="180" fontId="9" fillId="2" borderId="0" xfId="24" applyNumberFormat="1" applyFont="1" applyFill="1" applyBorder="1" applyAlignment="1" applyProtection="1">
      <alignment horizontal="right"/>
      <protection locked="0"/>
    </xf>
    <xf numFmtId="0" fontId="1" fillId="2" borderId="0" xfId="0" applyNumberFormat="1" applyFont="1" applyFill="1" applyAlignment="1">
      <alignment horizontal="right"/>
    </xf>
    <xf numFmtId="0" fontId="11" fillId="2" borderId="0" xfId="0" applyFont="1" applyFill="1" applyAlignment="1">
      <alignment vertical="center"/>
    </xf>
    <xf numFmtId="0" fontId="22" fillId="2" borderId="0" xfId="162" applyFont="1" applyFill="1" applyBorder="1" applyAlignment="1" applyProtection="1">
      <alignment horizontal="left" vertical="top"/>
      <protection locked="0"/>
    </xf>
    <xf numFmtId="0" fontId="10" fillId="0" borderId="0" xfId="0" applyFont="1" applyFill="1" applyBorder="1" applyAlignment="1">
      <alignment horizontal="left"/>
    </xf>
    <xf numFmtId="0" fontId="10" fillId="0" borderId="0" xfId="0" applyNumberFormat="1" applyFont="1" applyFill="1" applyBorder="1" applyAlignment="1">
      <alignment horizontal="right"/>
    </xf>
    <xf numFmtId="0" fontId="10" fillId="0" borderId="0" xfId="0" quotePrefix="1" applyFont="1" applyFill="1" applyBorder="1" applyAlignment="1">
      <alignment horizontal="left" wrapText="1"/>
    </xf>
    <xf numFmtId="0" fontId="10" fillId="0" borderId="0" xfId="0" applyFont="1" applyFill="1" applyBorder="1" applyAlignment="1">
      <alignment horizontal="left" wrapText="1"/>
    </xf>
    <xf numFmtId="0" fontId="9" fillId="0" borderId="0" xfId="0" applyFont="1" applyFill="1" applyBorder="1" applyAlignment="1">
      <alignment horizontal="left"/>
    </xf>
    <xf numFmtId="0" fontId="9" fillId="0" borderId="0" xfId="0" applyNumberFormat="1" applyFont="1" applyFill="1" applyBorder="1" applyAlignment="1"/>
    <xf numFmtId="0" fontId="10" fillId="0" borderId="0" xfId="0" applyFont="1" applyFill="1" applyAlignment="1">
      <alignment horizontal="left"/>
    </xf>
    <xf numFmtId="0" fontId="10" fillId="0" borderId="0" xfId="0" applyNumberFormat="1" applyFont="1" applyFill="1" applyAlignment="1"/>
    <xf numFmtId="0" fontId="10" fillId="0" borderId="0" xfId="0" applyNumberFormat="1" applyFont="1" applyFill="1" applyAlignment="1">
      <alignment horizontal="right"/>
    </xf>
    <xf numFmtId="0" fontId="10" fillId="0" borderId="0" xfId="0" quotePrefix="1" applyFont="1" applyFill="1" applyAlignment="1">
      <alignment horizontal="left" wrapText="1"/>
    </xf>
    <xf numFmtId="0" fontId="10" fillId="0" borderId="0" xfId="0" applyFont="1" applyFill="1" applyAlignment="1">
      <alignment horizontal="left" wrapText="1"/>
    </xf>
    <xf numFmtId="0" fontId="9" fillId="0" borderId="0" xfId="0" applyNumberFormat="1" applyFont="1" applyFill="1" applyAlignment="1">
      <alignment horizontal="left"/>
    </xf>
    <xf numFmtId="0" fontId="10" fillId="0" borderId="0" xfId="0" applyFont="1" applyFill="1" applyAlignment="1">
      <alignment wrapText="1"/>
    </xf>
    <xf numFmtId="0" fontId="10" fillId="0" borderId="0" xfId="0" applyNumberFormat="1" applyFont="1" applyFill="1" applyAlignment="1">
      <alignment horizontal="left"/>
    </xf>
    <xf numFmtId="0" fontId="6" fillId="0" borderId="0" xfId="0" applyNumberFormat="1" applyFont="1" applyFill="1"/>
    <xf numFmtId="0" fontId="11" fillId="0" borderId="0" xfId="0" applyFont="1" applyFill="1" applyAlignment="1">
      <alignment horizontal="left"/>
    </xf>
    <xf numFmtId="0" fontId="64" fillId="0" borderId="0" xfId="0" applyFont="1" applyFill="1"/>
    <xf numFmtId="0" fontId="64" fillId="0" borderId="0" xfId="0" applyNumberFormat="1" applyFont="1" applyFill="1"/>
    <xf numFmtId="0" fontId="37" fillId="0" borderId="0" xfId="0" applyFont="1" applyFill="1" applyAlignment="1">
      <alignment horizontal="left"/>
    </xf>
    <xf numFmtId="0" fontId="0" fillId="0" borderId="0" xfId="0" applyNumberFormat="1" applyFill="1"/>
    <xf numFmtId="0" fontId="10" fillId="0" borderId="0" xfId="0" applyFont="1" applyFill="1" applyAlignment="1">
      <alignment horizontal="left" vertical="center"/>
    </xf>
    <xf numFmtId="0" fontId="13" fillId="0" borderId="0" xfId="0" applyFont="1" applyFill="1" applyAlignment="1">
      <alignment horizontal="left"/>
    </xf>
    <xf numFmtId="0" fontId="0" fillId="0" borderId="0" xfId="0" applyFill="1" applyAlignment="1">
      <alignment horizontal="right"/>
    </xf>
    <xf numFmtId="0" fontId="9" fillId="0" borderId="0" xfId="0" applyNumberFormat="1" applyFont="1" applyFill="1" applyBorder="1" applyAlignment="1">
      <alignment horizontal="right" vertical="center" wrapText="1"/>
    </xf>
    <xf numFmtId="0" fontId="10" fillId="0" borderId="0" xfId="0" applyFont="1" applyFill="1" applyAlignment="1">
      <alignment vertical="center"/>
    </xf>
    <xf numFmtId="0" fontId="4" fillId="0" borderId="0" xfId="0" applyNumberFormat="1" applyFont="1" applyFill="1" applyAlignment="1">
      <alignment vertical="center"/>
    </xf>
    <xf numFmtId="0" fontId="116" fillId="0" borderId="0" xfId="0" applyNumberFormat="1" applyFont="1" applyFill="1"/>
    <xf numFmtId="0" fontId="4" fillId="0" borderId="0" xfId="0" applyNumberFormat="1" applyFont="1" applyFill="1" applyAlignment="1">
      <alignment horizontal="right" vertical="center"/>
    </xf>
    <xf numFmtId="3" fontId="18" fillId="2" borderId="0" xfId="24" applyNumberFormat="1" applyFont="1" applyFill="1" applyAlignment="1" applyProtection="1">
      <alignment horizontal="center" vertical="center" wrapText="1"/>
    </xf>
    <xf numFmtId="0" fontId="122" fillId="2" borderId="121" xfId="0" applyNumberFormat="1" applyFont="1" applyFill="1" applyBorder="1" applyAlignment="1" applyProtection="1">
      <alignment horizontal="center" vertical="center"/>
    </xf>
    <xf numFmtId="0" fontId="2" fillId="2" borderId="38" xfId="0" applyFont="1" applyFill="1" applyBorder="1" applyProtection="1"/>
    <xf numFmtId="0" fontId="2" fillId="2" borderId="0" xfId="0" applyFont="1" applyFill="1" applyBorder="1" applyProtection="1"/>
    <xf numFmtId="204" fontId="9" fillId="2" borderId="0" xfId="0" applyNumberFormat="1" applyFont="1" applyFill="1" applyAlignment="1">
      <alignment horizontal="right"/>
    </xf>
    <xf numFmtId="0" fontId="20" fillId="0" borderId="38" xfId="0" applyFont="1" applyBorder="1" applyAlignment="1" applyProtection="1">
      <alignment horizontal="left" wrapText="1"/>
    </xf>
    <xf numFmtId="0" fontId="13" fillId="2" borderId="0" xfId="0" applyFont="1" applyFill="1" applyAlignment="1">
      <alignment horizontal="left" wrapText="1"/>
    </xf>
    <xf numFmtId="0" fontId="11" fillId="2" borderId="0" xfId="0" applyFont="1" applyFill="1" applyAlignment="1">
      <alignment horizontal="left" wrapText="1"/>
    </xf>
    <xf numFmtId="181" fontId="18" fillId="2" borderId="0" xfId="24" applyNumberFormat="1" applyFont="1" applyFill="1" applyAlignment="1" applyProtection="1">
      <alignment horizontal="center" vertical="center" wrapText="1"/>
    </xf>
    <xf numFmtId="0" fontId="0" fillId="0" borderId="20" xfId="0" applyFill="1" applyBorder="1" applyProtection="1"/>
    <xf numFmtId="0" fontId="0" fillId="0" borderId="104" xfId="0" applyFill="1" applyBorder="1" applyProtection="1"/>
    <xf numFmtId="190" fontId="1" fillId="0" borderId="4" xfId="232" applyNumberFormat="1" applyFont="1" applyBorder="1" applyProtection="1"/>
    <xf numFmtId="190" fontId="1" fillId="3" borderId="4" xfId="170" applyNumberFormat="1" applyFont="1" applyFill="1" applyBorder="1" applyProtection="1">
      <protection locked="0"/>
    </xf>
    <xf numFmtId="190" fontId="1" fillId="0" borderId="26" xfId="170" applyNumberFormat="1" applyFont="1" applyBorder="1" applyAlignment="1" applyProtection="1">
      <alignment vertical="center"/>
    </xf>
    <xf numFmtId="190" fontId="1" fillId="0" borderId="4" xfId="232" applyNumberFormat="1" applyFont="1" applyFill="1" applyBorder="1" applyAlignment="1" applyProtection="1">
      <alignment vertical="center"/>
    </xf>
    <xf numFmtId="190" fontId="1" fillId="0" borderId="4" xfId="232" applyNumberFormat="1" applyFont="1" applyBorder="1" applyAlignment="1" applyProtection="1">
      <alignment vertical="center"/>
    </xf>
    <xf numFmtId="10" fontId="2" fillId="0" borderId="4" xfId="280" applyNumberFormat="1" applyFont="1" applyBorder="1" applyProtection="1"/>
    <xf numFmtId="0" fontId="37" fillId="0" borderId="121" xfId="0" applyNumberFormat="1" applyFont="1" applyFill="1" applyBorder="1" applyAlignment="1" applyProtection="1">
      <alignment horizontal="center" vertical="center"/>
    </xf>
    <xf numFmtId="0" fontId="0" fillId="0" borderId="0" xfId="0" applyNumberFormat="1"/>
    <xf numFmtId="0" fontId="37"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3" borderId="132" xfId="0" applyFont="1" applyFill="1" applyBorder="1" applyAlignment="1" applyProtection="1">
      <alignment horizontal="left" vertical="center"/>
      <protection locked="0"/>
    </xf>
    <xf numFmtId="0" fontId="37" fillId="4" borderId="132" xfId="0" applyNumberFormat="1" applyFont="1" applyFill="1" applyBorder="1" applyAlignment="1" applyProtection="1">
      <alignment horizontal="center" vertical="center"/>
      <protection locked="0"/>
    </xf>
    <xf numFmtId="0" fontId="0" fillId="0" borderId="0" xfId="0" applyAlignment="1" applyProtection="1">
      <alignment horizontal="left" indent="1"/>
    </xf>
    <xf numFmtId="0" fontId="37" fillId="0" borderId="0" xfId="0" applyFont="1" applyAlignment="1" applyProtection="1">
      <alignment horizontal="left" vertical="center" wrapText="1" indent="1"/>
    </xf>
    <xf numFmtId="0" fontId="37" fillId="0" borderId="0" xfId="0" applyFont="1" applyBorder="1" applyAlignment="1" applyProtection="1">
      <alignment horizontal="left" vertical="center" wrapText="1" indent="1"/>
    </xf>
    <xf numFmtId="0" fontId="0" fillId="58" borderId="0" xfId="0" applyFill="1" applyProtection="1"/>
    <xf numFmtId="0" fontId="0" fillId="58" borderId="0" xfId="0" applyFill="1" applyBorder="1" applyProtection="1"/>
    <xf numFmtId="0" fontId="0" fillId="58" borderId="20" xfId="0" applyFill="1" applyBorder="1" applyProtection="1"/>
    <xf numFmtId="0" fontId="0" fillId="58" borderId="104" xfId="0" applyFill="1" applyBorder="1" applyProtection="1"/>
    <xf numFmtId="0" fontId="2" fillId="58" borderId="119" xfId="0" applyFont="1" applyFill="1" applyBorder="1" applyProtection="1"/>
    <xf numFmtId="0" fontId="0" fillId="58" borderId="111" xfId="0" applyFill="1" applyBorder="1" applyProtection="1"/>
    <xf numFmtId="0" fontId="0" fillId="58" borderId="20" xfId="0" applyFill="1" applyBorder="1" applyAlignment="1" applyProtection="1">
      <alignment horizontal="center" vertical="center"/>
    </xf>
    <xf numFmtId="0" fontId="2" fillId="58" borderId="119" xfId="0" applyFont="1" applyFill="1" applyBorder="1" applyAlignment="1" applyProtection="1">
      <alignment vertical="top" wrapText="1"/>
    </xf>
    <xf numFmtId="0" fontId="0" fillId="58" borderId="104" xfId="0" applyFill="1" applyBorder="1" applyAlignment="1" applyProtection="1">
      <alignment vertical="top" wrapText="1"/>
    </xf>
    <xf numFmtId="0" fontId="0" fillId="58" borderId="111" xfId="0" applyFill="1" applyBorder="1" applyAlignment="1" applyProtection="1">
      <alignment vertical="top" wrapText="1"/>
    </xf>
    <xf numFmtId="0" fontId="0" fillId="58" borderId="20" xfId="0" applyFill="1" applyBorder="1" applyAlignment="1" applyProtection="1">
      <alignment vertical="top" wrapText="1"/>
    </xf>
    <xf numFmtId="3" fontId="4" fillId="0" borderId="0" xfId="24" applyNumberFormat="1" applyAlignment="1" applyProtection="1">
      <alignment horizontal="center" vertical="center"/>
    </xf>
    <xf numFmtId="181" fontId="4" fillId="0" borderId="0" xfId="21" applyNumberFormat="1" applyFont="1" applyAlignment="1" applyProtection="1">
      <alignment horizontal="center" vertical="center"/>
    </xf>
    <xf numFmtId="0" fontId="0" fillId="2" borderId="20" xfId="0" applyFill="1" applyBorder="1" applyProtection="1"/>
    <xf numFmtId="0" fontId="2" fillId="2" borderId="104" xfId="0" applyFont="1" applyFill="1" applyBorder="1" applyProtection="1"/>
    <xf numFmtId="0" fontId="2" fillId="2" borderId="118" xfId="0" applyFont="1" applyFill="1" applyBorder="1" applyProtection="1"/>
    <xf numFmtId="0" fontId="9" fillId="2" borderId="0" xfId="0" applyFont="1" applyFill="1" applyAlignment="1">
      <alignment horizontal="left" wrapText="1"/>
    </xf>
    <xf numFmtId="0" fontId="11" fillId="2" borderId="0" xfId="0" applyFont="1" applyFill="1" applyAlignment="1">
      <alignment horizontal="left" vertical="top" wrapText="1"/>
    </xf>
    <xf numFmtId="0" fontId="13" fillId="2" borderId="0" xfId="0" applyFont="1" applyFill="1" applyAlignment="1">
      <alignment horizontal="left" vertical="top" wrapText="1"/>
    </xf>
    <xf numFmtId="0" fontId="11" fillId="2" borderId="0" xfId="0" applyFont="1" applyFill="1" applyAlignment="1">
      <alignment horizontal="left" wrapText="1"/>
    </xf>
    <xf numFmtId="0" fontId="40" fillId="45" borderId="0" xfId="24" applyNumberFormat="1" applyFont="1" applyFill="1" applyAlignment="1" applyProtection="1">
      <alignment horizontal="center" vertical="center"/>
      <protection locked="0"/>
    </xf>
    <xf numFmtId="0" fontId="66" fillId="0" borderId="0" xfId="0" applyFont="1" applyAlignment="1" applyProtection="1">
      <alignment horizontal="left" vertical="center" wrapText="1"/>
    </xf>
    <xf numFmtId="0" fontId="2" fillId="0" borderId="0" xfId="0" applyFont="1" applyAlignment="1">
      <alignment vertical="center" wrapText="1"/>
    </xf>
    <xf numFmtId="0" fontId="0" fillId="4" borderId="4" xfId="0" applyFill="1" applyBorder="1" applyAlignment="1" applyProtection="1">
      <alignment horizontal="center" vertical="center"/>
      <protection locked="0"/>
    </xf>
    <xf numFmtId="190" fontId="0" fillId="3" borderId="4" xfId="163" applyNumberFormat="1" applyFont="1" applyFill="1" applyBorder="1" applyAlignment="1" applyProtection="1">
      <alignment horizontal="center" vertical="center"/>
      <protection locked="0"/>
    </xf>
    <xf numFmtId="2" fontId="114" fillId="63" borderId="107" xfId="0" applyNumberFormat="1" applyFont="1" applyFill="1" applyBorder="1" applyAlignment="1">
      <alignment horizontal="right" vertical="top" wrapText="1"/>
    </xf>
    <xf numFmtId="0" fontId="0" fillId="57" borderId="107" xfId="0" applyFill="1" applyBorder="1" applyAlignment="1">
      <alignment horizontal="right" vertical="top" wrapText="1"/>
    </xf>
    <xf numFmtId="0" fontId="0" fillId="57" borderId="108" xfId="0" applyFill="1" applyBorder="1" applyAlignment="1">
      <alignment horizontal="right" vertical="top" wrapText="1"/>
    </xf>
    <xf numFmtId="0" fontId="28" fillId="0" borderId="0" xfId="0" applyFont="1"/>
    <xf numFmtId="0" fontId="28" fillId="0" borderId="117" xfId="0" applyFont="1" applyBorder="1" applyAlignment="1">
      <alignment horizontal="right" vertical="top"/>
    </xf>
    <xf numFmtId="0" fontId="28" fillId="0" borderId="0" xfId="79" applyFont="1" applyBorder="1" applyAlignment="1">
      <alignment wrapText="1"/>
    </xf>
    <xf numFmtId="0" fontId="28" fillId="0" borderId="114" xfId="0" applyFont="1" applyBorder="1" applyAlignment="1">
      <alignment horizontal="right" vertical="top"/>
    </xf>
    <xf numFmtId="0" fontId="0" fillId="0" borderId="80" xfId="0" applyBorder="1" applyAlignment="1">
      <alignment horizontal="right" vertical="top"/>
    </xf>
    <xf numFmtId="0" fontId="130" fillId="0" borderId="84" xfId="0" applyFont="1" applyFill="1" applyBorder="1"/>
    <xf numFmtId="0" fontId="0" fillId="0" borderId="49" xfId="0" applyFill="1" applyBorder="1" applyAlignment="1">
      <alignment horizontal="center" vertical="top"/>
    </xf>
    <xf numFmtId="0" fontId="0" fillId="0" borderId="29" xfId="0" applyFill="1" applyBorder="1" applyAlignment="1">
      <alignment horizontal="center" vertical="top"/>
    </xf>
    <xf numFmtId="0" fontId="0" fillId="0" borderId="124" xfId="0" applyFill="1" applyBorder="1" applyAlignment="1">
      <alignment vertical="top" wrapText="1"/>
    </xf>
    <xf numFmtId="0" fontId="0" fillId="0" borderId="27" xfId="0" applyFill="1" applyBorder="1" applyAlignment="1">
      <alignment horizontal="center" vertical="top"/>
    </xf>
    <xf numFmtId="0" fontId="0" fillId="0" borderId="125" xfId="0" applyFill="1" applyBorder="1" applyAlignment="1">
      <alignment horizontal="left" vertical="top" wrapText="1"/>
    </xf>
    <xf numFmtId="0" fontId="0" fillId="0" borderId="126" xfId="0" applyFill="1" applyBorder="1" applyAlignment="1">
      <alignment horizontal="left" vertical="top" wrapText="1"/>
    </xf>
    <xf numFmtId="0" fontId="33" fillId="0" borderId="103" xfId="0" applyFont="1" applyFill="1" applyBorder="1" applyAlignment="1">
      <alignment vertical="top" wrapText="1"/>
    </xf>
    <xf numFmtId="0" fontId="33" fillId="0" borderId="103" xfId="0" applyFont="1" applyFill="1" applyBorder="1" applyAlignment="1">
      <alignment horizontal="left" vertical="top" wrapText="1"/>
    </xf>
    <xf numFmtId="0" fontId="0" fillId="0" borderId="35" xfId="0" applyFill="1" applyBorder="1" applyAlignment="1">
      <alignment horizontal="left" vertical="top" wrapText="1"/>
    </xf>
    <xf numFmtId="0" fontId="33" fillId="0" borderId="35" xfId="0" applyFont="1" applyFill="1" applyBorder="1" applyAlignment="1">
      <alignment horizontal="left" vertical="top" wrapText="1"/>
    </xf>
    <xf numFmtId="0" fontId="0" fillId="0" borderId="130" xfId="0" applyFill="1" applyBorder="1" applyAlignment="1">
      <alignment horizontal="center" vertical="top"/>
    </xf>
    <xf numFmtId="0" fontId="0" fillId="0" borderId="115" xfId="0" applyFill="1" applyBorder="1" applyAlignment="1">
      <alignment vertical="top" wrapText="1"/>
    </xf>
    <xf numFmtId="0" fontId="10" fillId="58" borderId="0" xfId="0" applyFont="1" applyFill="1" applyProtection="1"/>
    <xf numFmtId="0" fontId="10" fillId="58" borderId="20" xfId="0" applyFont="1" applyFill="1" applyBorder="1" applyProtection="1"/>
    <xf numFmtId="0" fontId="22" fillId="58" borderId="0" xfId="25" applyFont="1" applyFill="1" applyAlignment="1" applyProtection="1">
      <alignment horizontal="left" vertical="center"/>
    </xf>
    <xf numFmtId="0" fontId="22" fillId="58" borderId="112" xfId="25" applyFont="1" applyFill="1" applyBorder="1" applyAlignment="1" applyProtection="1">
      <alignment horizontal="center" vertical="center"/>
    </xf>
    <xf numFmtId="0" fontId="0" fillId="58" borderId="0" xfId="0" applyFill="1" applyAlignment="1" applyProtection="1">
      <alignment horizontal="center" vertical="center"/>
    </xf>
    <xf numFmtId="0" fontId="140" fillId="0" borderId="0" xfId="0" applyFont="1" applyAlignment="1">
      <alignment horizontal="left" vertical="top" wrapText="1"/>
    </xf>
    <xf numFmtId="0" fontId="113" fillId="0" borderId="0" xfId="0" applyFont="1" applyAlignment="1">
      <alignment horizontal="left" vertical="top" wrapText="1"/>
    </xf>
    <xf numFmtId="0" fontId="0" fillId="0" borderId="0" xfId="0" applyAlignment="1">
      <alignment horizontal="left" vertical="top" wrapText="1"/>
    </xf>
    <xf numFmtId="204" fontId="5" fillId="2" borderId="0" xfId="0" applyNumberFormat="1" applyFont="1" applyFill="1" applyBorder="1" applyAlignment="1" applyProtection="1">
      <alignment horizontal="right"/>
      <protection locked="0"/>
    </xf>
    <xf numFmtId="0" fontId="10" fillId="2" borderId="0" xfId="0" applyFont="1" applyFill="1" applyAlignment="1">
      <alignment horizontal="left" wrapText="1"/>
    </xf>
    <xf numFmtId="0" fontId="142" fillId="0" borderId="0" xfId="0" applyFont="1" applyAlignment="1">
      <alignment horizontal="left" vertical="top" wrapText="1"/>
    </xf>
    <xf numFmtId="0" fontId="64" fillId="0" borderId="0" xfId="0" applyFont="1"/>
    <xf numFmtId="0" fontId="106" fillId="0" borderId="0" xfId="0" applyFont="1" applyAlignment="1">
      <alignment horizontal="left" vertical="top" wrapText="1"/>
    </xf>
    <xf numFmtId="0" fontId="34" fillId="0" borderId="0" xfId="0" applyFont="1" applyAlignment="1">
      <alignment horizontal="left" vertical="top" wrapText="1"/>
    </xf>
    <xf numFmtId="0" fontId="10" fillId="0" borderId="0" xfId="0" applyFont="1" applyAlignment="1">
      <alignment horizontal="left" vertical="top" wrapText="1"/>
    </xf>
    <xf numFmtId="0" fontId="64" fillId="0" borderId="0" xfId="0" applyFont="1" applyAlignment="1"/>
    <xf numFmtId="191" fontId="20" fillId="65" borderId="73" xfId="0" applyNumberFormat="1" applyFont="1" applyFill="1" applyBorder="1" applyProtection="1"/>
    <xf numFmtId="191" fontId="20" fillId="65" borderId="72" xfId="0" applyNumberFormat="1" applyFont="1" applyFill="1" applyBorder="1" applyProtection="1"/>
    <xf numFmtId="0" fontId="0" fillId="0" borderId="78" xfId="0" applyBorder="1" applyAlignment="1" applyProtection="1">
      <alignment wrapText="1"/>
    </xf>
    <xf numFmtId="0" fontId="26" fillId="0" borderId="0" xfId="0" applyFont="1" applyAlignment="1" applyProtection="1">
      <alignment vertical="center"/>
    </xf>
    <xf numFmtId="3" fontId="0" fillId="0" borderId="0" xfId="0" applyNumberFormat="1" applyProtection="1"/>
    <xf numFmtId="9" fontId="0" fillId="0" borderId="0" xfId="21" applyFont="1" applyProtection="1"/>
    <xf numFmtId="0" fontId="143" fillId="0" borderId="0" xfId="0" applyFont="1" applyProtection="1"/>
    <xf numFmtId="196" fontId="10" fillId="0" borderId="0" xfId="0" applyNumberFormat="1" applyFont="1" applyProtection="1"/>
    <xf numFmtId="205" fontId="10" fillId="0" borderId="0" xfId="0" applyNumberFormat="1" applyFont="1" applyProtection="1"/>
    <xf numFmtId="0" fontId="145" fillId="0" borderId="0" xfId="0" applyFont="1" applyProtection="1"/>
    <xf numFmtId="182" fontId="0" fillId="2" borderId="110" xfId="0" applyNumberFormat="1" applyFill="1" applyBorder="1" applyProtection="1"/>
    <xf numFmtId="182" fontId="0" fillId="10" borderId="110" xfId="0" applyNumberFormat="1" applyFill="1" applyBorder="1" applyProtection="1"/>
    <xf numFmtId="3" fontId="0" fillId="10" borderId="21" xfId="0" applyNumberFormat="1" applyFill="1" applyBorder="1" applyProtection="1"/>
    <xf numFmtId="182" fontId="0" fillId="10" borderId="110" xfId="0" applyNumberFormat="1" applyFill="1" applyBorder="1" applyProtection="1">
      <protection locked="0"/>
    </xf>
    <xf numFmtId="9" fontId="0" fillId="8" borderId="110" xfId="21" applyFont="1" applyFill="1" applyBorder="1" applyProtection="1">
      <protection locked="0"/>
    </xf>
    <xf numFmtId="0" fontId="0" fillId="7" borderId="78"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0" fontId="0" fillId="7" borderId="109" xfId="0" applyFill="1" applyBorder="1" applyAlignment="1" applyProtection="1">
      <alignment horizontal="center" vertical="center"/>
      <protection locked="0"/>
    </xf>
    <xf numFmtId="182" fontId="0" fillId="10" borderId="19" xfId="0" applyNumberFormat="1" applyFill="1" applyBorder="1" applyProtection="1">
      <protection locked="0"/>
    </xf>
    <xf numFmtId="182" fontId="0" fillId="2" borderId="19" xfId="0" applyNumberFormat="1" applyFill="1" applyBorder="1" applyProtection="1"/>
    <xf numFmtId="9" fontId="0" fillId="8" borderId="19" xfId="21" applyFont="1" applyFill="1" applyBorder="1" applyProtection="1">
      <protection locked="0"/>
    </xf>
    <xf numFmtId="182" fontId="0" fillId="10" borderId="139" xfId="0" applyNumberFormat="1" applyFill="1" applyBorder="1" applyProtection="1">
      <protection locked="0"/>
    </xf>
    <xf numFmtId="182" fontId="0" fillId="2" borderId="139" xfId="0" applyNumberFormat="1" applyFill="1" applyBorder="1" applyProtection="1"/>
    <xf numFmtId="9" fontId="0" fillId="8" borderId="139" xfId="21" applyFont="1" applyFill="1" applyBorder="1" applyProtection="1">
      <protection locked="0"/>
    </xf>
    <xf numFmtId="182" fontId="0" fillId="70" borderId="111" xfId="0" applyNumberFormat="1" applyFill="1" applyBorder="1" applyProtection="1"/>
    <xf numFmtId="182" fontId="0" fillId="70" borderId="19" xfId="0" applyNumberFormat="1" applyFill="1" applyBorder="1" applyProtection="1"/>
    <xf numFmtId="182" fontId="0" fillId="10" borderId="19" xfId="0" applyNumberFormat="1" applyFill="1" applyBorder="1" applyProtection="1"/>
    <xf numFmtId="182" fontId="0" fillId="70" borderId="137" xfId="0" applyNumberFormat="1" applyFill="1" applyBorder="1" applyProtection="1"/>
    <xf numFmtId="182" fontId="0" fillId="70" borderId="110" xfId="0" applyNumberFormat="1" applyFill="1" applyBorder="1" applyProtection="1"/>
    <xf numFmtId="182" fontId="0" fillId="10" borderId="139" xfId="0" applyNumberFormat="1" applyFill="1" applyBorder="1" applyProtection="1"/>
    <xf numFmtId="3" fontId="0" fillId="62" borderId="19" xfId="0" applyNumberFormat="1" applyFill="1" applyBorder="1" applyProtection="1">
      <protection locked="0"/>
    </xf>
    <xf numFmtId="3" fontId="0" fillId="62" borderId="110" xfId="0" applyNumberFormat="1" applyFill="1" applyBorder="1" applyProtection="1">
      <protection locked="0"/>
    </xf>
    <xf numFmtId="3" fontId="0" fillId="62" borderId="139" xfId="0" applyNumberFormat="1" applyFill="1" applyBorder="1" applyProtection="1">
      <protection locked="0"/>
    </xf>
    <xf numFmtId="0" fontId="37" fillId="4" borderId="136" xfId="0" applyNumberFormat="1" applyFont="1" applyFill="1" applyBorder="1" applyAlignment="1" applyProtection="1">
      <alignment horizontal="center" vertical="center"/>
      <protection locked="0"/>
    </xf>
    <xf numFmtId="183" fontId="4" fillId="0" borderId="0" xfId="24" applyNumberFormat="1" applyProtection="1">
      <protection locked="0"/>
    </xf>
    <xf numFmtId="183" fontId="4" fillId="0" borderId="0" xfId="24" applyNumberFormat="1" applyAlignment="1" applyProtection="1">
      <alignment horizontal="center"/>
    </xf>
    <xf numFmtId="182" fontId="4" fillId="0" borderId="0" xfId="24" applyNumberFormat="1" applyProtection="1"/>
    <xf numFmtId="0" fontId="13" fillId="0" borderId="0" xfId="0" applyFont="1" applyAlignment="1" applyProtection="1">
      <alignment wrapText="1"/>
    </xf>
    <xf numFmtId="0" fontId="38" fillId="7" borderId="17" xfId="0" applyFont="1" applyFill="1" applyBorder="1" applyAlignment="1" applyProtection="1">
      <alignment horizontal="center" vertical="center"/>
      <protection locked="0"/>
    </xf>
    <xf numFmtId="182" fontId="0" fillId="10" borderId="138" xfId="0" applyNumberFormat="1" applyFill="1" applyBorder="1" applyProtection="1"/>
    <xf numFmtId="0" fontId="0" fillId="0" borderId="78" xfId="0" applyBorder="1" applyAlignment="1" applyProtection="1">
      <alignment horizontal="left" vertical="top" wrapText="1"/>
    </xf>
    <xf numFmtId="0" fontId="129" fillId="0" borderId="0" xfId="0" applyFont="1" applyAlignment="1" applyProtection="1">
      <alignment horizontal="left" vertical="top"/>
    </xf>
    <xf numFmtId="181" fontId="0" fillId="0" borderId="0" xfId="0" applyNumberFormat="1" applyProtection="1"/>
    <xf numFmtId="181" fontId="0" fillId="0" borderId="0" xfId="21" applyNumberFormat="1" applyFont="1" applyProtection="1"/>
    <xf numFmtId="181" fontId="0" fillId="0" borderId="78" xfId="21" applyNumberFormat="1" applyFont="1" applyBorder="1" applyProtection="1"/>
    <xf numFmtId="191" fontId="0" fillId="0" borderId="0" xfId="0" applyNumberFormat="1" applyProtection="1"/>
    <xf numFmtId="191" fontId="0" fillId="0" borderId="78" xfId="0" applyNumberFormat="1" applyBorder="1" applyProtection="1"/>
    <xf numFmtId="4" fontId="9" fillId="0" borderId="0" xfId="0" applyNumberFormat="1" applyFont="1" applyAlignment="1">
      <alignment horizontal="right"/>
    </xf>
    <xf numFmtId="184" fontId="9" fillId="0" borderId="0" xfId="0" applyNumberFormat="1" applyFont="1" applyAlignment="1">
      <alignment horizontal="right"/>
    </xf>
    <xf numFmtId="184" fontId="0" fillId="8" borderId="0" xfId="0" applyNumberFormat="1" applyFill="1" applyBorder="1" applyAlignment="1" applyProtection="1">
      <alignment horizontal="center"/>
      <protection locked="0"/>
    </xf>
    <xf numFmtId="10" fontId="0" fillId="0" borderId="0" xfId="0" applyNumberFormat="1" applyAlignment="1" applyProtection="1">
      <alignment horizontal="center"/>
    </xf>
    <xf numFmtId="4" fontId="0" fillId="0" borderId="0" xfId="0" applyNumberFormat="1" applyAlignment="1" applyProtection="1">
      <alignment horizontal="center"/>
    </xf>
    <xf numFmtId="184" fontId="0" fillId="0" borderId="0" xfId="0" applyNumberFormat="1" applyAlignment="1" applyProtection="1">
      <alignment horizontal="center"/>
    </xf>
    <xf numFmtId="184" fontId="0" fillId="8" borderId="57" xfId="0" applyNumberFormat="1" applyFill="1" applyBorder="1" applyAlignment="1" applyProtection="1">
      <alignment horizontal="center"/>
      <protection locked="0"/>
    </xf>
    <xf numFmtId="184" fontId="0" fillId="8"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0" fontId="146" fillId="0" borderId="0" xfId="0" applyFont="1" applyProtection="1"/>
    <xf numFmtId="0" fontId="13" fillId="0" borderId="0" xfId="0" applyFont="1" applyAlignment="1" applyProtection="1">
      <alignment horizontal="center" vertical="center" wrapText="1"/>
    </xf>
    <xf numFmtId="3" fontId="0" fillId="0" borderId="0" xfId="0" applyNumberFormat="1" applyAlignment="1" applyProtection="1">
      <alignment horizontal="center"/>
    </xf>
    <xf numFmtId="3" fontId="0" fillId="0" borderId="78" xfId="0" applyNumberFormat="1" applyBorder="1" applyAlignment="1" applyProtection="1">
      <alignment horizontal="center"/>
    </xf>
    <xf numFmtId="181" fontId="0" fillId="0" borderId="0" xfId="0" applyNumberFormat="1" applyAlignment="1" applyProtection="1">
      <alignment horizontal="center"/>
    </xf>
    <xf numFmtId="2" fontId="0" fillId="0" borderId="0" xfId="0" applyNumberFormat="1" applyAlignment="1" applyProtection="1">
      <alignment horizontal="center"/>
    </xf>
    <xf numFmtId="2" fontId="0" fillId="71" borderId="0" xfId="0" applyNumberFormat="1" applyFill="1" applyAlignment="1" applyProtection="1">
      <alignment horizontal="center"/>
    </xf>
    <xf numFmtId="183" fontId="0" fillId="71" borderId="0" xfId="0" applyNumberFormat="1" applyFill="1" applyAlignment="1" applyProtection="1">
      <alignment horizontal="center"/>
    </xf>
    <xf numFmtId="0" fontId="66" fillId="0" borderId="0" xfId="0" applyFont="1" applyProtection="1"/>
    <xf numFmtId="0" fontId="147" fillId="58" borderId="0" xfId="0" applyFont="1" applyFill="1" applyAlignment="1" applyProtection="1">
      <alignment horizontal="right" vertical="center" wrapText="1"/>
    </xf>
    <xf numFmtId="0" fontId="147" fillId="58" borderId="0" xfId="0" applyFont="1" applyFill="1" applyAlignment="1" applyProtection="1">
      <alignment horizontal="center" wrapText="1"/>
    </xf>
    <xf numFmtId="0" fontId="147" fillId="58" borderId="0" xfId="0" applyFont="1" applyFill="1" applyAlignment="1" applyProtection="1">
      <alignment wrapText="1"/>
    </xf>
    <xf numFmtId="0" fontId="147" fillId="58" borderId="0" xfId="27" applyFont="1" applyFill="1" applyBorder="1" applyAlignment="1" applyProtection="1">
      <alignment horizontal="right" wrapText="1"/>
    </xf>
    <xf numFmtId="197" fontId="147" fillId="58" borderId="0" xfId="20" applyNumberFormat="1" applyFont="1" applyFill="1" applyBorder="1" applyAlignment="1" applyProtection="1">
      <alignment vertical="center"/>
      <protection locked="0"/>
    </xf>
    <xf numFmtId="0" fontId="148" fillId="58" borderId="0" xfId="0" applyFont="1" applyFill="1" applyProtection="1"/>
    <xf numFmtId="190" fontId="148" fillId="58" borderId="53" xfId="20" applyNumberFormat="1" applyFont="1" applyFill="1" applyBorder="1" applyAlignment="1" applyProtection="1">
      <alignment vertical="center"/>
      <protection locked="0"/>
    </xf>
    <xf numFmtId="1" fontId="148" fillId="58" borderId="57" xfId="0" applyNumberFormat="1" applyFont="1" applyFill="1" applyBorder="1" applyAlignment="1" applyProtection="1">
      <alignment horizontal="center"/>
      <protection locked="0"/>
    </xf>
    <xf numFmtId="183" fontId="22" fillId="0" borderId="0" xfId="24" applyNumberFormat="1" applyFont="1" applyAlignment="1" applyProtection="1">
      <alignment horizontal="center" vertical="center"/>
    </xf>
    <xf numFmtId="201" fontId="4" fillId="8" borderId="52" xfId="39" applyNumberFormat="1" applyFont="1" applyFill="1" applyBorder="1" applyAlignment="1" applyProtection="1">
      <alignment horizontal="center"/>
      <protection locked="0"/>
    </xf>
    <xf numFmtId="182" fontId="0" fillId="0" borderId="0" xfId="0" applyNumberFormat="1" applyProtection="1"/>
    <xf numFmtId="196" fontId="0" fillId="0" borderId="0" xfId="0" applyNumberFormat="1" applyProtection="1"/>
    <xf numFmtId="206" fontId="0" fillId="0" borderId="0" xfId="35" applyNumberFormat="1" applyFont="1" applyProtection="1"/>
    <xf numFmtId="182" fontId="0" fillId="0" borderId="0" xfId="0" applyNumberFormat="1" applyProtection="1">
      <protection locked="0"/>
    </xf>
    <xf numFmtId="0" fontId="0" fillId="0" borderId="0" xfId="0" applyProtection="1">
      <protection locked="0"/>
    </xf>
    <xf numFmtId="0" fontId="0" fillId="0" borderId="0" xfId="0" applyAlignment="1" applyProtection="1">
      <alignment wrapText="1"/>
    </xf>
    <xf numFmtId="0" fontId="0" fillId="0" borderId="0" xfId="0" applyAlignment="1" applyProtection="1">
      <alignment vertical="center"/>
    </xf>
    <xf numFmtId="0" fontId="13" fillId="0" borderId="12" xfId="0" applyFont="1" applyBorder="1" applyAlignment="1" applyProtection="1">
      <alignment horizontal="center" wrapText="1"/>
    </xf>
    <xf numFmtId="0" fontId="2" fillId="0" borderId="0" xfId="0" applyFont="1" applyAlignment="1" applyProtection="1">
      <alignment horizontal="center"/>
    </xf>
    <xf numFmtId="0" fontId="0" fillId="0" borderId="0" xfId="0" applyAlignment="1" applyProtection="1">
      <alignment horizontal="center"/>
    </xf>
    <xf numFmtId="0" fontId="13" fillId="0" borderId="27" xfId="0" applyFont="1" applyBorder="1" applyProtection="1"/>
    <xf numFmtId="0" fontId="13" fillId="0" borderId="27" xfId="0" applyFont="1" applyFill="1" applyBorder="1" applyAlignment="1" applyProtection="1">
      <alignment vertical="center" wrapText="1"/>
    </xf>
    <xf numFmtId="0" fontId="13" fillId="0" borderId="8" xfId="0" applyFont="1" applyBorder="1" applyAlignment="1" applyProtection="1">
      <alignment wrapText="1"/>
    </xf>
    <xf numFmtId="0" fontId="0" fillId="0" borderId="0" xfId="0" applyAlignment="1" applyProtection="1">
      <alignment horizontal="center" vertical="top"/>
    </xf>
    <xf numFmtId="191" fontId="0" fillId="0" borderId="0" xfId="0" applyNumberFormat="1" applyAlignment="1" applyProtection="1">
      <alignment horizontal="right" vertical="top"/>
    </xf>
    <xf numFmtId="191" fontId="0" fillId="0" borderId="0" xfId="0" applyNumberFormat="1" applyAlignment="1" applyProtection="1">
      <alignment horizontal="center" vertical="center"/>
    </xf>
    <xf numFmtId="208" fontId="0" fillId="0" borderId="0" xfId="0" applyNumberFormat="1" applyAlignment="1" applyProtection="1">
      <alignment horizontal="center" vertical="center"/>
    </xf>
    <xf numFmtId="209" fontId="2" fillId="0" borderId="0" xfId="0" applyNumberFormat="1" applyFont="1" applyAlignment="1" applyProtection="1">
      <alignment horizontal="right" vertical="center"/>
    </xf>
    <xf numFmtId="209" fontId="0" fillId="0" borderId="0" xfId="0" applyNumberFormat="1" applyAlignment="1" applyProtection="1">
      <alignment horizontal="right" vertical="center"/>
    </xf>
    <xf numFmtId="3" fontId="0" fillId="8" borderId="140" xfId="0" applyNumberFormat="1" applyFill="1" applyBorder="1" applyProtection="1">
      <protection locked="0"/>
    </xf>
    <xf numFmtId="3" fontId="0" fillId="8" borderId="141" xfId="0" applyNumberFormat="1" applyFill="1" applyBorder="1" applyProtection="1">
      <protection locked="0"/>
    </xf>
    <xf numFmtId="3" fontId="0" fillId="8" borderId="143" xfId="0" applyNumberFormat="1" applyFill="1" applyBorder="1" applyProtection="1">
      <protection locked="0"/>
    </xf>
    <xf numFmtId="3" fontId="0" fillId="8" borderId="144" xfId="0" applyNumberFormat="1" applyFill="1" applyBorder="1" applyProtection="1">
      <protection locked="0"/>
    </xf>
    <xf numFmtId="3" fontId="0" fillId="8" borderId="146" xfId="0" applyNumberFormat="1" applyFill="1" applyBorder="1" applyProtection="1">
      <protection locked="0"/>
    </xf>
    <xf numFmtId="3" fontId="0" fillId="8" borderId="147" xfId="0" applyNumberFormat="1" applyFill="1" applyBorder="1" applyProtection="1">
      <protection locked="0"/>
    </xf>
    <xf numFmtId="2" fontId="0" fillId="8" borderId="141" xfId="0" applyNumberFormat="1" applyFill="1" applyBorder="1" applyProtection="1">
      <protection locked="0"/>
    </xf>
    <xf numFmtId="2" fontId="0" fillId="8" borderId="144" xfId="0" applyNumberFormat="1" applyFill="1" applyBorder="1" applyProtection="1">
      <protection locked="0"/>
    </xf>
    <xf numFmtId="2" fontId="0" fillId="8" borderId="147" xfId="0" applyNumberFormat="1" applyFill="1" applyBorder="1" applyProtection="1">
      <protection locked="0"/>
    </xf>
    <xf numFmtId="183" fontId="0" fillId="8" borderId="141" xfId="0" applyNumberFormat="1" applyFill="1" applyBorder="1" applyProtection="1">
      <protection locked="0"/>
    </xf>
    <xf numFmtId="183" fontId="0" fillId="8" borderId="142" xfId="0" applyNumberFormat="1" applyFill="1" applyBorder="1" applyProtection="1">
      <protection locked="0"/>
    </xf>
    <xf numFmtId="183" fontId="0" fillId="8" borderId="144" xfId="0" applyNumberFormat="1" applyFill="1" applyBorder="1" applyProtection="1">
      <protection locked="0"/>
    </xf>
    <xf numFmtId="183" fontId="0" fillId="8" borderId="145" xfId="0" applyNumberFormat="1" applyFill="1" applyBorder="1" applyProtection="1">
      <protection locked="0"/>
    </xf>
    <xf numFmtId="183" fontId="0" fillId="8" borderId="147" xfId="0" applyNumberFormat="1" applyFill="1" applyBorder="1" applyProtection="1">
      <protection locked="0"/>
    </xf>
    <xf numFmtId="183" fontId="0" fillId="8" borderId="148" xfId="0" applyNumberFormat="1" applyFill="1" applyBorder="1" applyProtection="1">
      <protection locked="0"/>
    </xf>
    <xf numFmtId="3" fontId="0" fillId="0" borderId="0" xfId="0" applyNumberFormat="1" applyAlignment="1" applyProtection="1">
      <alignment horizontal="right"/>
    </xf>
    <xf numFmtId="181" fontId="0" fillId="0" borderId="0" xfId="21" applyNumberFormat="1" applyFont="1" applyAlignment="1" applyProtection="1">
      <alignment horizontal="center"/>
    </xf>
    <xf numFmtId="181" fontId="0" fillId="0" borderId="78" xfId="21" applyNumberFormat="1" applyFont="1" applyBorder="1" applyAlignment="1" applyProtection="1">
      <alignment horizontal="center"/>
    </xf>
    <xf numFmtId="207" fontId="0" fillId="0" borderId="0" xfId="0" applyNumberFormat="1" applyAlignment="1" applyProtection="1">
      <alignment horizontal="center"/>
    </xf>
    <xf numFmtId="207" fontId="0" fillId="0" borderId="78" xfId="0" applyNumberFormat="1" applyBorder="1" applyAlignment="1" applyProtection="1">
      <alignment horizontal="center"/>
    </xf>
    <xf numFmtId="210" fontId="0" fillId="0" borderId="0" xfId="0" applyNumberFormat="1" applyAlignment="1" applyProtection="1">
      <alignment horizontal="center"/>
    </xf>
    <xf numFmtId="211" fontId="0" fillId="0" borderId="0" xfId="0" applyNumberFormat="1" applyAlignment="1" applyProtection="1">
      <alignment horizontal="center"/>
    </xf>
    <xf numFmtId="211" fontId="0" fillId="0" borderId="78" xfId="0" applyNumberFormat="1" applyBorder="1" applyAlignment="1" applyProtection="1">
      <alignment horizontal="center"/>
    </xf>
    <xf numFmtId="0" fontId="38" fillId="0" borderId="0" xfId="0" applyFont="1" applyProtection="1"/>
    <xf numFmtId="0" fontId="0" fillId="7" borderId="0" xfId="0" applyFill="1" applyBorder="1" applyAlignment="1" applyProtection="1">
      <alignment horizontal="center" vertical="center"/>
      <protection locked="0"/>
    </xf>
    <xf numFmtId="0" fontId="0" fillId="7" borderId="104" xfId="0" applyFill="1" applyBorder="1" applyAlignment="1" applyProtection="1">
      <alignment horizontal="center" vertical="center"/>
      <protection locked="0"/>
    </xf>
    <xf numFmtId="184" fontId="0" fillId="8" borderId="0" xfId="0" applyNumberFormat="1" applyFill="1" applyBorder="1" applyProtection="1">
      <protection locked="0"/>
    </xf>
    <xf numFmtId="0" fontId="38" fillId="0" borderId="0" xfId="0" applyFont="1" applyAlignment="1" applyProtection="1">
      <alignment horizontal="center"/>
    </xf>
    <xf numFmtId="4" fontId="38" fillId="0" borderId="0" xfId="0" applyNumberFormat="1" applyFont="1" applyAlignment="1" applyProtection="1">
      <alignment horizontal="center"/>
    </xf>
    <xf numFmtId="0" fontId="38" fillId="0" borderId="0" xfId="0" applyNumberFormat="1" applyFont="1" applyAlignment="1" applyProtection="1">
      <alignment horizontal="center" vertical="top"/>
    </xf>
    <xf numFmtId="0" fontId="0" fillId="8" borderId="110" xfId="0" applyFill="1" applyBorder="1" applyProtection="1">
      <protection locked="0"/>
    </xf>
    <xf numFmtId="0" fontId="0" fillId="7" borderId="110" xfId="0" applyFill="1" applyBorder="1" applyAlignment="1" applyProtection="1">
      <alignment horizontal="center" vertical="center"/>
      <protection locked="0"/>
    </xf>
    <xf numFmtId="0" fontId="0" fillId="8" borderId="19" xfId="0" applyFill="1" applyBorder="1" applyProtection="1">
      <protection locked="0"/>
    </xf>
    <xf numFmtId="0" fontId="0" fillId="7" borderId="19" xfId="0" applyFill="1" applyBorder="1" applyAlignment="1" applyProtection="1">
      <alignment horizontal="center" vertical="center"/>
      <protection locked="0"/>
    </xf>
    <xf numFmtId="0" fontId="0" fillId="0" borderId="0" xfId="0" applyBorder="1" applyAlignment="1" applyProtection="1">
      <alignment horizontal="right" vertical="center"/>
    </xf>
    <xf numFmtId="0" fontId="0" fillId="8" borderId="0" xfId="0" applyNumberFormat="1" applyFill="1" applyBorder="1" applyAlignment="1" applyProtection="1">
      <alignment horizontal="left" vertical="center"/>
      <protection locked="0"/>
    </xf>
    <xf numFmtId="0" fontId="0" fillId="7" borderId="92" xfId="0" applyFill="1" applyBorder="1" applyAlignment="1" applyProtection="1">
      <alignment horizontal="center" vertical="center"/>
      <protection locked="0"/>
    </xf>
    <xf numFmtId="0" fontId="0" fillId="0" borderId="92" xfId="0" applyBorder="1" applyAlignment="1" applyProtection="1">
      <alignment horizontal="right" vertical="center"/>
    </xf>
    <xf numFmtId="0" fontId="0" fillId="8" borderId="92" xfId="0" applyNumberFormat="1" applyFill="1" applyBorder="1" applyAlignment="1" applyProtection="1">
      <alignment horizontal="left" vertical="center"/>
      <protection locked="0"/>
    </xf>
    <xf numFmtId="0" fontId="0" fillId="0" borderId="104" xfId="0" applyBorder="1" applyAlignment="1" applyProtection="1">
      <alignment horizontal="right" vertical="center"/>
    </xf>
    <xf numFmtId="0" fontId="0" fillId="8" borderId="104" xfId="0" applyNumberFormat="1" applyFill="1" applyBorder="1" applyAlignment="1" applyProtection="1">
      <alignment horizontal="left" vertical="center"/>
      <protection locked="0"/>
    </xf>
    <xf numFmtId="0" fontId="0" fillId="7" borderId="19" xfId="0" applyFill="1" applyBorder="1" applyProtection="1">
      <protection locked="0"/>
    </xf>
    <xf numFmtId="184" fontId="0" fillId="8" borderId="104" xfId="0" applyNumberFormat="1" applyFill="1" applyBorder="1" applyProtection="1">
      <protection locked="0"/>
    </xf>
    <xf numFmtId="184" fontId="0" fillId="8" borderId="92" xfId="0" applyNumberFormat="1" applyFill="1" applyBorder="1" applyProtection="1">
      <protection locked="0"/>
    </xf>
    <xf numFmtId="0" fontId="127" fillId="0" borderId="0" xfId="0" applyFont="1"/>
    <xf numFmtId="0" fontId="149" fillId="0" borderId="0" xfId="0" applyFont="1" applyAlignment="1">
      <alignment horizontal="left" vertical="top" wrapText="1"/>
    </xf>
    <xf numFmtId="0" fontId="77" fillId="2" borderId="25" xfId="24" applyFont="1" applyFill="1" applyBorder="1" applyAlignment="1" applyProtection="1">
      <alignment vertical="top"/>
      <protection locked="0"/>
    </xf>
    <xf numFmtId="0" fontId="4" fillId="2" borderId="48" xfId="24" applyFont="1" applyFill="1" applyBorder="1" applyAlignment="1" applyProtection="1">
      <alignment vertical="top"/>
      <protection locked="0"/>
    </xf>
    <xf numFmtId="0" fontId="4" fillId="2" borderId="26" xfId="24" applyFont="1" applyFill="1" applyBorder="1" applyAlignment="1" applyProtection="1">
      <alignment vertical="top"/>
      <protection locked="0"/>
    </xf>
    <xf numFmtId="0" fontId="0" fillId="0" borderId="0" xfId="0" applyProtection="1">
      <protection locked="0"/>
    </xf>
    <xf numFmtId="0" fontId="37" fillId="0" borderId="0" xfId="0" applyFont="1" applyAlignment="1" applyProtection="1">
      <alignment horizontal="left" vertical="center" wrapText="1"/>
    </xf>
    <xf numFmtId="0" fontId="0" fillId="0" borderId="0" xfId="0" applyAlignment="1" applyProtection="1">
      <alignment wrapText="1"/>
    </xf>
    <xf numFmtId="0" fontId="0" fillId="0" borderId="0" xfId="0" applyAlignment="1" applyProtection="1">
      <alignment vertical="top"/>
    </xf>
    <xf numFmtId="0" fontId="13" fillId="0" borderId="12" xfId="0" applyFont="1" applyBorder="1" applyAlignment="1" applyProtection="1">
      <alignment horizontal="center" wrapText="1"/>
    </xf>
    <xf numFmtId="0" fontId="0" fillId="0" borderId="0" xfId="0" applyAlignment="1" applyProtection="1">
      <alignment horizontal="center"/>
    </xf>
    <xf numFmtId="3" fontId="0" fillId="0" borderId="59" xfId="0" applyNumberFormat="1" applyBorder="1" applyProtection="1"/>
    <xf numFmtId="0" fontId="2" fillId="0" borderId="59" xfId="0" applyFont="1" applyBorder="1" applyProtection="1"/>
    <xf numFmtId="182" fontId="0" fillId="0" borderId="59" xfId="0" applyNumberFormat="1" applyBorder="1" applyProtection="1"/>
    <xf numFmtId="0" fontId="0" fillId="0" borderId="59" xfId="0" applyBorder="1" applyProtection="1"/>
    <xf numFmtId="181" fontId="0" fillId="0" borderId="59" xfId="21" applyNumberFormat="1" applyFont="1" applyBorder="1" applyProtection="1"/>
    <xf numFmtId="196" fontId="0" fillId="0" borderId="59" xfId="0" applyNumberFormat="1" applyBorder="1" applyProtection="1"/>
    <xf numFmtId="206" fontId="0" fillId="0" borderId="59" xfId="35" applyNumberFormat="1" applyFont="1" applyBorder="1" applyProtection="1"/>
    <xf numFmtId="182" fontId="0" fillId="0" borderId="59" xfId="0" applyNumberFormat="1" applyBorder="1" applyProtection="1">
      <protection locked="0"/>
    </xf>
    <xf numFmtId="190" fontId="22" fillId="2" borderId="4" xfId="88" applyNumberFormat="1" applyFont="1" applyFill="1" applyBorder="1" applyAlignment="1" applyProtection="1">
      <alignment horizontal="center" vertical="center"/>
      <protection locked="0"/>
    </xf>
    <xf numFmtId="44" fontId="22" fillId="72" borderId="49" xfId="39" applyNumberFormat="1" applyFont="1" applyFill="1" applyBorder="1" applyAlignment="1" applyProtection="1">
      <alignment horizontal="left" vertical="center"/>
      <protection locked="0"/>
    </xf>
    <xf numFmtId="0" fontId="4" fillId="72" borderId="49" xfId="24" applyFont="1" applyFill="1" applyBorder="1" applyAlignment="1" applyProtection="1">
      <alignment vertical="center"/>
      <protection locked="0"/>
    </xf>
    <xf numFmtId="168" fontId="4" fillId="72" borderId="10" xfId="39" applyFont="1" applyFill="1" applyBorder="1" applyAlignment="1" applyProtection="1">
      <alignment vertical="center"/>
      <protection locked="0"/>
    </xf>
    <xf numFmtId="44" fontId="118" fillId="72" borderId="49" xfId="39" applyNumberFormat="1" applyFont="1" applyFill="1" applyBorder="1" applyAlignment="1" applyProtection="1">
      <alignment horizontal="left" vertical="center"/>
      <protection locked="0"/>
    </xf>
    <xf numFmtId="0" fontId="118" fillId="72" borderId="10" xfId="24" applyFont="1" applyFill="1" applyBorder="1" applyAlignment="1" applyProtection="1">
      <alignment vertical="center"/>
      <protection locked="0"/>
    </xf>
    <xf numFmtId="168" fontId="118" fillId="72" borderId="10" xfId="39" applyFont="1" applyFill="1" applyBorder="1" applyAlignment="1" applyProtection="1">
      <alignment vertical="center"/>
      <protection locked="0"/>
    </xf>
    <xf numFmtId="168" fontId="4" fillId="72" borderId="49" xfId="24" applyNumberFormat="1" applyFont="1" applyFill="1" applyBorder="1" applyAlignment="1" applyProtection="1">
      <alignment vertical="center"/>
      <protection locked="0"/>
    </xf>
    <xf numFmtId="10" fontId="10" fillId="72" borderId="10" xfId="40" applyNumberFormat="1" applyFont="1" applyFill="1" applyBorder="1" applyAlignment="1" applyProtection="1">
      <alignment vertical="center"/>
      <protection locked="0"/>
    </xf>
    <xf numFmtId="6" fontId="0" fillId="0" borderId="0" xfId="0" applyNumberFormat="1" applyAlignment="1" applyProtection="1">
      <alignment horizontal="center"/>
    </xf>
    <xf numFmtId="0" fontId="37" fillId="0" borderId="0" xfId="0" applyFont="1" applyAlignment="1" applyProtection="1">
      <alignment horizontal="left"/>
    </xf>
    <xf numFmtId="0" fontId="0" fillId="0" borderId="0" xfId="0" applyAlignment="1" applyProtection="1">
      <alignment vertical="top"/>
    </xf>
    <xf numFmtId="0" fontId="0" fillId="0" borderId="0" xfId="0" applyProtection="1">
      <protection locked="0"/>
    </xf>
    <xf numFmtId="0" fontId="36" fillId="2" borderId="0" xfId="0" applyFont="1" applyFill="1" applyAlignment="1">
      <alignment horizontal="left" vertical="top" wrapText="1"/>
    </xf>
    <xf numFmtId="0" fontId="9" fillId="2" borderId="0" xfId="0" applyFont="1" applyFill="1" applyAlignment="1">
      <alignment horizontal="left" wrapText="1"/>
    </xf>
    <xf numFmtId="0" fontId="9" fillId="2" borderId="0" xfId="0" applyFont="1" applyFill="1" applyAlignment="1">
      <alignment horizontal="left" wrapText="1" indent="2"/>
    </xf>
    <xf numFmtId="0" fontId="13" fillId="2" borderId="0" xfId="0" applyFont="1" applyFill="1" applyAlignment="1">
      <alignment horizontal="left" vertical="top" wrapText="1"/>
    </xf>
    <xf numFmtId="0" fontId="13" fillId="2" borderId="0" xfId="0" applyFont="1" applyFill="1" applyAlignment="1">
      <alignment horizontal="left" wrapText="1"/>
    </xf>
    <xf numFmtId="0" fontId="36" fillId="2" borderId="0" xfId="0" applyFont="1" applyFill="1" applyAlignment="1">
      <alignment horizontal="left" wrapText="1"/>
    </xf>
    <xf numFmtId="0" fontId="95" fillId="2" borderId="0" xfId="0" applyFont="1" applyFill="1" applyAlignment="1">
      <alignment horizontal="left" vertical="top" wrapText="1"/>
    </xf>
    <xf numFmtId="0" fontId="9" fillId="2" borderId="0" xfId="0" applyFont="1" applyFill="1" applyAlignment="1">
      <alignment horizontal="left" vertical="top" wrapText="1"/>
    </xf>
    <xf numFmtId="0" fontId="11" fillId="2" borderId="0" xfId="0" applyFont="1" applyFill="1" applyAlignment="1">
      <alignment horizontal="left" wrapText="1"/>
    </xf>
    <xf numFmtId="0" fontId="0" fillId="0" borderId="0" xfId="0" applyAlignment="1"/>
    <xf numFmtId="0" fontId="36" fillId="0" borderId="0" xfId="0" applyFont="1" applyAlignment="1">
      <alignment horizontal="left" vertical="top" wrapText="1"/>
    </xf>
    <xf numFmtId="0" fontId="9" fillId="0" borderId="0" xfId="0" applyFont="1" applyAlignment="1">
      <alignment horizontal="left" vertical="top" wrapText="1"/>
    </xf>
    <xf numFmtId="0" fontId="0" fillId="0" borderId="0" xfId="0" applyProtection="1">
      <protection locked="0"/>
    </xf>
    <xf numFmtId="0" fontId="9" fillId="2" borderId="0" xfId="0" applyFont="1" applyFill="1" applyAlignment="1">
      <alignment horizontal="left" vertical="top" wrapText="1"/>
    </xf>
    <xf numFmtId="0" fontId="9" fillId="2" borderId="0" xfId="0" applyFont="1" applyFill="1" applyAlignment="1">
      <alignment horizontal="left" wrapText="1"/>
    </xf>
    <xf numFmtId="0" fontId="36" fillId="2" borderId="0" xfId="0" applyFont="1" applyFill="1" applyAlignment="1">
      <alignment horizontal="left" vertical="top" wrapText="1"/>
    </xf>
    <xf numFmtId="0" fontId="36" fillId="2" borderId="0" xfId="0" applyFont="1" applyFill="1" applyAlignment="1">
      <alignment horizontal="left" wrapText="1"/>
    </xf>
    <xf numFmtId="0" fontId="11" fillId="2" borderId="0" xfId="0" applyFont="1" applyFill="1" applyAlignment="1">
      <alignment horizontal="left" vertical="top" wrapText="1"/>
    </xf>
    <xf numFmtId="0" fontId="9" fillId="2" borderId="0" xfId="0" applyFont="1" applyFill="1" applyAlignment="1">
      <alignment horizontal="left" wrapText="1" indent="2"/>
    </xf>
    <xf numFmtId="0" fontId="11" fillId="2" borderId="0" xfId="0" applyFont="1" applyFill="1" applyAlignment="1">
      <alignment horizontal="left" wrapText="1"/>
    </xf>
    <xf numFmtId="0" fontId="13" fillId="2" borderId="0" xfId="0" applyFont="1" applyFill="1" applyAlignment="1">
      <alignment horizontal="left" vertical="top" wrapText="1"/>
    </xf>
    <xf numFmtId="0" fontId="95" fillId="2" borderId="0" xfId="0" applyFont="1" applyFill="1" applyAlignment="1">
      <alignment horizontal="left" vertical="top" wrapText="1"/>
    </xf>
    <xf numFmtId="0" fontId="2" fillId="0" borderId="0" xfId="0" applyFont="1" applyFill="1" applyBorder="1" applyProtection="1"/>
    <xf numFmtId="0" fontId="0" fillId="58" borderId="104" xfId="0" applyFill="1" applyBorder="1" applyAlignment="1" applyProtection="1">
      <alignment horizontal="left" vertical="top" wrapText="1"/>
    </xf>
    <xf numFmtId="0" fontId="0" fillId="0" borderId="0" xfId="0" applyAlignment="1" applyProtection="1">
      <alignment wrapText="1"/>
    </xf>
    <xf numFmtId="0" fontId="0" fillId="0" borderId="0" xfId="0" applyAlignment="1" applyProtection="1">
      <alignment vertical="top"/>
    </xf>
    <xf numFmtId="0" fontId="2" fillId="0" borderId="0" xfId="0" applyFont="1" applyAlignment="1" applyProtection="1">
      <alignment horizontal="center"/>
    </xf>
    <xf numFmtId="0" fontId="0" fillId="0" borderId="0" xfId="0" applyAlignment="1"/>
    <xf numFmtId="0" fontId="0" fillId="0" borderId="0" xfId="0" applyAlignment="1" applyProtection="1">
      <alignment horizontal="left" vertical="top" wrapText="1"/>
    </xf>
    <xf numFmtId="0" fontId="9" fillId="2" borderId="0" xfId="0" applyFont="1" applyFill="1" applyAlignment="1">
      <alignment horizontal="left" vertical="top" wrapText="1" indent="2"/>
    </xf>
    <xf numFmtId="0" fontId="10" fillId="2" borderId="0" xfId="0" applyFont="1" applyFill="1" applyAlignment="1">
      <alignment horizontal="left" vertical="top" wrapText="1"/>
    </xf>
    <xf numFmtId="0" fontId="36" fillId="0" borderId="0" xfId="0" applyFont="1" applyAlignment="1">
      <alignment horizontal="left" vertical="top" wrapText="1"/>
    </xf>
    <xf numFmtId="0" fontId="9" fillId="0" borderId="0" xfId="0" applyFont="1" applyAlignment="1">
      <alignment horizontal="left" vertical="top" wrapText="1"/>
    </xf>
    <xf numFmtId="0" fontId="0" fillId="0" borderId="0" xfId="0" applyAlignment="1" applyProtection="1">
      <alignment horizontal="center"/>
    </xf>
    <xf numFmtId="10" fontId="32" fillId="0" borderId="0" xfId="21" applyNumberFormat="1" applyFont="1" applyBorder="1" applyAlignment="1" applyProtection="1">
      <alignment horizontal="center" vertical="center"/>
      <protection locked="0"/>
    </xf>
    <xf numFmtId="0" fontId="0" fillId="0" borderId="31" xfId="0" applyBorder="1"/>
    <xf numFmtId="179" fontId="0" fillId="0" borderId="32" xfId="0" applyNumberFormat="1" applyBorder="1"/>
    <xf numFmtId="10" fontId="28" fillId="0" borderId="4" xfId="0" quotePrefix="1" applyNumberFormat="1" applyFont="1" applyFill="1" applyBorder="1" applyAlignment="1">
      <alignment wrapText="1"/>
    </xf>
    <xf numFmtId="0" fontId="4" fillId="0" borderId="0" xfId="24" applyAlignment="1" applyProtection="1">
      <alignment horizontal="left" vertical="top" indent="1"/>
      <protection locked="0"/>
    </xf>
    <xf numFmtId="181" fontId="4" fillId="0" borderId="49" xfId="24" applyNumberFormat="1" applyBorder="1" applyAlignment="1" applyProtection="1">
      <alignment vertical="top"/>
      <protection locked="0"/>
    </xf>
    <xf numFmtId="0" fontId="0" fillId="0" borderId="28" xfId="0" applyFill="1" applyBorder="1" applyAlignment="1">
      <alignment horizontal="center" vertical="top" wrapText="1"/>
    </xf>
    <xf numFmtId="0" fontId="0" fillId="0" borderId="122" xfId="0" applyFill="1" applyBorder="1" applyAlignment="1">
      <alignment horizontal="center" vertical="top" wrapText="1"/>
    </xf>
    <xf numFmtId="0" fontId="0" fillId="0" borderId="123" xfId="0" applyFill="1" applyBorder="1" applyAlignment="1">
      <alignment horizontal="center" vertical="top" wrapText="1"/>
    </xf>
    <xf numFmtId="0" fontId="0" fillId="0" borderId="6" xfId="0" applyFill="1" applyBorder="1" applyAlignment="1">
      <alignment horizontal="center" vertical="top" wrapText="1"/>
    </xf>
    <xf numFmtId="0" fontId="0" fillId="0" borderId="8" xfId="0" applyFill="1" applyBorder="1" applyAlignment="1">
      <alignment horizontal="center" vertical="top" wrapText="1"/>
    </xf>
    <xf numFmtId="0" fontId="0" fillId="0" borderId="102" xfId="0" applyFill="1" applyBorder="1" applyAlignment="1">
      <alignment horizontal="center" vertical="top" wrapText="1"/>
    </xf>
    <xf numFmtId="0" fontId="0" fillId="0" borderId="10" xfId="0" applyFill="1" applyBorder="1" applyAlignment="1">
      <alignment horizontal="center" vertical="top" wrapText="1"/>
    </xf>
    <xf numFmtId="0" fontId="0" fillId="0" borderId="11" xfId="0" applyFill="1" applyBorder="1" applyAlignment="1">
      <alignment horizontal="center" vertical="top" wrapText="1"/>
    </xf>
    <xf numFmtId="0" fontId="0" fillId="0" borderId="13" xfId="0" applyFill="1" applyBorder="1" applyAlignment="1">
      <alignment horizontal="center" vertical="top" wrapText="1"/>
    </xf>
    <xf numFmtId="0" fontId="0" fillId="0" borderId="6" xfId="0" applyFill="1" applyBorder="1" applyAlignment="1">
      <alignment horizontal="center" vertical="center" wrapText="1"/>
    </xf>
    <xf numFmtId="0" fontId="0" fillId="0" borderId="8"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127" xfId="0" applyFill="1" applyBorder="1" applyAlignment="1">
      <alignment horizontal="center" vertical="top" wrapText="1"/>
    </xf>
    <xf numFmtId="0" fontId="0" fillId="0" borderId="128" xfId="0" applyFill="1" applyBorder="1" applyAlignment="1">
      <alignment horizontal="center" vertical="center" wrapText="1"/>
    </xf>
    <xf numFmtId="0" fontId="0" fillId="0" borderId="129" xfId="0" applyFill="1" applyBorder="1" applyAlignment="1">
      <alignment horizontal="center" vertical="center" wrapText="1"/>
    </xf>
    <xf numFmtId="0" fontId="131" fillId="66" borderId="14" xfId="0" applyFont="1" applyFill="1" applyBorder="1" applyAlignment="1">
      <alignment horizontal="center"/>
    </xf>
    <xf numFmtId="0" fontId="131" fillId="66" borderId="15" xfId="0" applyFont="1" applyFill="1" applyBorder="1" applyAlignment="1">
      <alignment horizontal="center"/>
    </xf>
    <xf numFmtId="0" fontId="131" fillId="66" borderId="16" xfId="0" applyFont="1" applyFill="1" applyBorder="1" applyAlignment="1">
      <alignment horizontal="center"/>
    </xf>
    <xf numFmtId="0" fontId="28" fillId="0" borderId="38" xfId="79" applyFont="1" applyBorder="1" applyAlignment="1">
      <alignment horizontal="left" wrapText="1"/>
    </xf>
    <xf numFmtId="0" fontId="28" fillId="0" borderId="0" xfId="79" applyFont="1" applyBorder="1" applyAlignment="1">
      <alignment horizontal="left" wrapText="1"/>
    </xf>
    <xf numFmtId="0" fontId="28" fillId="0" borderId="103" xfId="79" applyFont="1" applyBorder="1" applyAlignment="1">
      <alignment horizontal="left" wrapText="1"/>
    </xf>
    <xf numFmtId="0" fontId="28" fillId="0" borderId="38" xfId="0" applyFont="1" applyBorder="1" applyAlignment="1">
      <alignment horizontal="left" wrapText="1"/>
    </xf>
    <xf numFmtId="0" fontId="28" fillId="0" borderId="0" xfId="0" applyFont="1" applyBorder="1" applyAlignment="1">
      <alignment horizontal="left" wrapText="1"/>
    </xf>
    <xf numFmtId="0" fontId="28" fillId="0" borderId="103" xfId="0" applyFont="1" applyBorder="1" applyAlignment="1">
      <alignment horizontal="left" wrapText="1"/>
    </xf>
    <xf numFmtId="0" fontId="28" fillId="0" borderId="84" xfId="79" applyFont="1" applyBorder="1" applyAlignment="1">
      <alignment horizontal="left" wrapText="1"/>
    </xf>
    <xf numFmtId="0" fontId="28" fillId="0" borderId="78" xfId="79" applyFont="1" applyBorder="1" applyAlignment="1">
      <alignment horizontal="left" wrapText="1"/>
    </xf>
    <xf numFmtId="0" fontId="28" fillId="0" borderId="115" xfId="79" applyFont="1" applyBorder="1" applyAlignment="1">
      <alignment horizontal="left" wrapText="1"/>
    </xf>
    <xf numFmtId="0" fontId="2" fillId="67" borderId="33" xfId="0" applyFont="1" applyFill="1" applyBorder="1" applyAlignment="1">
      <alignment horizontal="center" vertical="center" wrapText="1"/>
    </xf>
    <xf numFmtId="0" fontId="2" fillId="67" borderId="50" xfId="0" applyFont="1" applyFill="1" applyBorder="1" applyAlignment="1">
      <alignment horizontal="center" vertical="center" wrapText="1"/>
    </xf>
    <xf numFmtId="0" fontId="37" fillId="0" borderId="0" xfId="0" applyFont="1" applyAlignment="1" applyProtection="1">
      <alignment horizontal="left" vertical="center" wrapText="1" indent="1"/>
    </xf>
    <xf numFmtId="0" fontId="37" fillId="0" borderId="37" xfId="0" applyFont="1" applyBorder="1" applyAlignment="1" applyProtection="1">
      <alignment horizontal="left" vertical="center" wrapText="1" indent="1"/>
    </xf>
    <xf numFmtId="0" fontId="37" fillId="0" borderId="0" xfId="0" applyFont="1" applyBorder="1" applyAlignment="1" applyProtection="1">
      <alignment horizontal="left" vertical="center" wrapText="1" indent="1"/>
    </xf>
    <xf numFmtId="0" fontId="37" fillId="4" borderId="1" xfId="0" applyNumberFormat="1" applyFont="1" applyFill="1" applyBorder="1" applyAlignment="1" applyProtection="1">
      <alignment horizontal="center" vertical="center"/>
      <protection locked="0"/>
    </xf>
    <xf numFmtId="0" fontId="37" fillId="4" borderId="2" xfId="0" applyNumberFormat="1" applyFont="1" applyFill="1" applyBorder="1" applyAlignment="1" applyProtection="1">
      <alignment horizontal="center" vertical="center"/>
      <protection locked="0"/>
    </xf>
    <xf numFmtId="0" fontId="37" fillId="4" borderId="3"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indent="6"/>
    </xf>
    <xf numFmtId="0" fontId="37" fillId="4" borderId="133" xfId="0" applyNumberFormat="1" applyFont="1" applyFill="1" applyBorder="1" applyAlignment="1" applyProtection="1">
      <alignment horizontal="center" vertical="center"/>
      <protection locked="0"/>
    </xf>
    <xf numFmtId="0" fontId="37" fillId="4" borderId="134" xfId="0" applyNumberFormat="1" applyFont="1" applyFill="1" applyBorder="1" applyAlignment="1" applyProtection="1">
      <alignment horizontal="center" vertical="center"/>
      <protection locked="0"/>
    </xf>
    <xf numFmtId="0" fontId="37" fillId="4" borderId="135" xfId="0" applyNumberFormat="1" applyFont="1" applyFill="1" applyBorder="1" applyAlignment="1" applyProtection="1">
      <alignment horizontal="center" vertical="center"/>
      <protection locked="0"/>
    </xf>
    <xf numFmtId="0" fontId="0" fillId="0" borderId="0" xfId="0" applyProtection="1">
      <protection locked="0"/>
    </xf>
    <xf numFmtId="0" fontId="72" fillId="0" borderId="0" xfId="0" applyFont="1" applyBorder="1" applyAlignment="1" applyProtection="1">
      <alignment horizontal="left" vertical="top" wrapText="1" indent="1"/>
    </xf>
    <xf numFmtId="0" fontId="10" fillId="0" borderId="0" xfId="0" applyFont="1" applyAlignment="1" applyProtection="1">
      <alignment horizontal="left" vertical="center" wrapText="1"/>
    </xf>
    <xf numFmtId="0" fontId="10" fillId="0" borderId="0" xfId="0" applyFont="1" applyAlignment="1" applyProtection="1">
      <alignment horizontal="left"/>
    </xf>
    <xf numFmtId="0" fontId="4" fillId="0" borderId="38"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0" xfId="0" applyFont="1" applyAlignment="1" applyProtection="1">
      <alignment horizontal="left" wrapText="1"/>
    </xf>
    <xf numFmtId="0" fontId="0" fillId="0" borderId="0" xfId="0" applyAlignment="1" applyProtection="1">
      <alignment horizontal="left" wrapText="1"/>
    </xf>
    <xf numFmtId="0" fontId="8" fillId="4" borderId="1"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8" fillId="4" borderId="1" xfId="0" applyFont="1" applyFill="1" applyBorder="1" applyAlignment="1" applyProtection="1">
      <alignment horizontal="left" vertical="center"/>
      <protection locked="0"/>
    </xf>
    <xf numFmtId="0" fontId="8" fillId="4" borderId="2"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8" fillId="3" borderId="1" xfId="0" applyNumberFormat="1" applyFont="1" applyFill="1" applyBorder="1" applyAlignment="1" applyProtection="1">
      <alignment horizontal="left" vertical="center"/>
      <protection locked="0"/>
    </xf>
    <xf numFmtId="0" fontId="8" fillId="3" borderId="2" xfId="0" applyNumberFormat="1" applyFont="1" applyFill="1" applyBorder="1" applyAlignment="1" applyProtection="1">
      <alignment horizontal="left" vertical="center"/>
      <protection locked="0"/>
    </xf>
    <xf numFmtId="0" fontId="8" fillId="3" borderId="3" xfId="0" applyNumberFormat="1"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protection locked="0"/>
    </xf>
    <xf numFmtId="171" fontId="8" fillId="4" borderId="1" xfId="0" applyNumberFormat="1" applyFont="1" applyFill="1" applyBorder="1" applyAlignment="1" applyProtection="1">
      <alignment horizontal="left" vertical="center"/>
    </xf>
    <xf numFmtId="171" fontId="8" fillId="4" borderId="2" xfId="0" applyNumberFormat="1" applyFont="1" applyFill="1" applyBorder="1" applyAlignment="1" applyProtection="1">
      <alignment horizontal="left" vertical="center"/>
    </xf>
    <xf numFmtId="0" fontId="9" fillId="2" borderId="0" xfId="0" applyFont="1" applyFill="1" applyAlignment="1">
      <alignment horizontal="left" wrapText="1"/>
    </xf>
    <xf numFmtId="0" fontId="9" fillId="2" borderId="0" xfId="0" applyFont="1" applyFill="1" applyAlignment="1">
      <alignment horizontal="left" vertical="top" wrapText="1"/>
    </xf>
    <xf numFmtId="0" fontId="9" fillId="2" borderId="0" xfId="0" applyFont="1" applyFill="1" applyAlignment="1">
      <alignment horizontal="left" wrapText="1" indent="6"/>
    </xf>
    <xf numFmtId="0" fontId="36" fillId="2" borderId="0" xfId="0" applyFont="1" applyFill="1" applyAlignment="1">
      <alignment horizontal="left" vertical="top" wrapText="1"/>
    </xf>
    <xf numFmtId="0" fontId="11" fillId="2" borderId="0" xfId="0" applyFont="1" applyFill="1" applyAlignment="1">
      <alignment horizontal="left" wrapText="1"/>
    </xf>
    <xf numFmtId="0" fontId="9" fillId="2" borderId="0" xfId="0" applyFont="1" applyFill="1" applyAlignment="1">
      <alignment horizontal="left" wrapText="1" indent="2"/>
    </xf>
    <xf numFmtId="0" fontId="11" fillId="2" borderId="0" xfId="0" applyFont="1" applyFill="1" applyAlignment="1">
      <alignment horizontal="left" vertical="top" wrapText="1"/>
    </xf>
    <xf numFmtId="0" fontId="106" fillId="2" borderId="0" xfId="0" applyFont="1" applyFill="1" applyAlignment="1">
      <alignment horizontal="left" vertical="top" wrapText="1"/>
    </xf>
    <xf numFmtId="0" fontId="13" fillId="2" borderId="0" xfId="0" applyFont="1" applyFill="1" applyAlignment="1">
      <alignment horizontal="left" wrapText="1"/>
    </xf>
    <xf numFmtId="0" fontId="36" fillId="2" borderId="0" xfId="0" applyFont="1" applyFill="1" applyAlignment="1">
      <alignment horizontal="left" wrapText="1"/>
    </xf>
    <xf numFmtId="0" fontId="13" fillId="2" borderId="0" xfId="0" applyFont="1" applyFill="1" applyAlignment="1">
      <alignment horizontal="left" vertical="top" wrapText="1"/>
    </xf>
    <xf numFmtId="0" fontId="95" fillId="2" borderId="0" xfId="0" applyFont="1" applyFill="1" applyAlignment="1">
      <alignment horizontal="left" vertical="top" wrapText="1"/>
    </xf>
    <xf numFmtId="0" fontId="12" fillId="2" borderId="0" xfId="0" applyFont="1" applyFill="1" applyAlignment="1">
      <alignment horizontal="center" vertical="top" wrapText="1"/>
    </xf>
    <xf numFmtId="0" fontId="11" fillId="2" borderId="0" xfId="0" applyFont="1" applyFill="1" applyAlignment="1">
      <alignment horizontal="center" vertical="top" wrapText="1"/>
    </xf>
    <xf numFmtId="0" fontId="38" fillId="2" borderId="0" xfId="0" applyFont="1" applyFill="1" applyAlignment="1">
      <alignment horizontal="center" vertical="top" wrapText="1"/>
    </xf>
    <xf numFmtId="0" fontId="13" fillId="2" borderId="0" xfId="0" applyFont="1" applyFill="1" applyAlignment="1">
      <alignment horizontal="center" vertical="top" wrapText="1"/>
    </xf>
    <xf numFmtId="0" fontId="135" fillId="0" borderId="60" xfId="0" applyFont="1" applyBorder="1" applyAlignment="1">
      <alignment vertical="top" wrapText="1"/>
    </xf>
    <xf numFmtId="0" fontId="135" fillId="0" borderId="80" xfId="0" applyFont="1" applyBorder="1" applyAlignment="1">
      <alignment vertical="top" wrapText="1"/>
    </xf>
    <xf numFmtId="0" fontId="135" fillId="0" borderId="61" xfId="0" applyFont="1" applyBorder="1" applyAlignment="1">
      <alignment vertical="top" wrapText="1"/>
    </xf>
    <xf numFmtId="0" fontId="135" fillId="0" borderId="38" xfId="0" applyFont="1" applyBorder="1" applyAlignment="1">
      <alignment vertical="top" wrapText="1"/>
    </xf>
    <xf numFmtId="0" fontId="135" fillId="0" borderId="0" xfId="0" applyFont="1" applyBorder="1" applyAlignment="1">
      <alignment vertical="top" wrapText="1"/>
    </xf>
    <xf numFmtId="0" fontId="135" fillId="0" borderId="103" xfId="0" applyFont="1" applyBorder="1" applyAlignment="1">
      <alignment vertical="top" wrapText="1"/>
    </xf>
    <xf numFmtId="0" fontId="136" fillId="0" borderId="38" xfId="0" applyFont="1" applyBorder="1" applyAlignment="1">
      <alignment wrapText="1"/>
    </xf>
    <xf numFmtId="0" fontId="136" fillId="0" borderId="0" xfId="0" applyFont="1" applyBorder="1" applyAlignment="1">
      <alignment wrapText="1"/>
    </xf>
    <xf numFmtId="0" fontId="136" fillId="0" borderId="103" xfId="0" applyFont="1" applyBorder="1" applyAlignment="1">
      <alignment wrapText="1"/>
    </xf>
    <xf numFmtId="0" fontId="135" fillId="0" borderId="38" xfId="0" applyFont="1" applyBorder="1" applyAlignment="1">
      <alignment vertical="center"/>
    </xf>
    <xf numFmtId="0" fontId="135" fillId="0" borderId="0" xfId="0" applyFont="1" applyBorder="1" applyAlignment="1">
      <alignment vertical="center"/>
    </xf>
    <xf numFmtId="0" fontId="135" fillId="0" borderId="103" xfId="0" applyFont="1" applyBorder="1" applyAlignment="1">
      <alignment vertical="center"/>
    </xf>
    <xf numFmtId="0" fontId="28" fillId="0" borderId="78" xfId="0" applyFont="1" applyBorder="1"/>
    <xf numFmtId="0" fontId="28" fillId="0" borderId="115" xfId="0" applyFont="1" applyBorder="1"/>
    <xf numFmtId="0" fontId="38" fillId="4" borderId="84" xfId="0" applyNumberFormat="1" applyFont="1" applyFill="1" applyBorder="1" applyAlignment="1" applyProtection="1">
      <alignment horizontal="center" vertical="center"/>
      <protection locked="0"/>
    </xf>
    <xf numFmtId="0" fontId="38" fillId="4" borderId="78" xfId="0" applyNumberFormat="1" applyFont="1" applyFill="1" applyBorder="1" applyAlignment="1" applyProtection="1">
      <alignment horizontal="center" vertical="center"/>
      <protection locked="0"/>
    </xf>
    <xf numFmtId="0" fontId="60" fillId="2" borderId="0" xfId="0" applyFont="1" applyFill="1" applyAlignment="1">
      <alignment horizontal="right" vertical="top" wrapText="1"/>
    </xf>
    <xf numFmtId="191" fontId="71" fillId="0" borderId="80" xfId="0" applyNumberFormat="1" applyFont="1" applyFill="1" applyBorder="1" applyAlignment="1" applyProtection="1">
      <alignment horizontal="center" vertical="center" wrapText="1"/>
    </xf>
    <xf numFmtId="191" fontId="71" fillId="0" borderId="0" xfId="0" applyNumberFormat="1" applyFont="1" applyFill="1" applyBorder="1" applyAlignment="1" applyProtection="1">
      <alignment horizontal="center" vertical="center" wrapText="1"/>
    </xf>
    <xf numFmtId="191" fontId="71" fillId="0" borderId="65" xfId="0" applyNumberFormat="1" applyFont="1" applyFill="1" applyBorder="1" applyAlignment="1" applyProtection="1">
      <alignment horizontal="center" vertical="center" wrapText="1"/>
    </xf>
    <xf numFmtId="167" fontId="71" fillId="0" borderId="80" xfId="0" applyNumberFormat="1" applyFont="1" applyFill="1" applyBorder="1" applyAlignment="1" applyProtection="1">
      <alignment horizontal="center" vertical="center" wrapText="1"/>
    </xf>
    <xf numFmtId="167" fontId="71" fillId="0" borderId="0" xfId="0" applyNumberFormat="1" applyFont="1" applyFill="1" applyBorder="1" applyAlignment="1" applyProtection="1">
      <alignment horizontal="center" vertical="center" wrapText="1"/>
    </xf>
    <xf numFmtId="167" fontId="71" fillId="0" borderId="65" xfId="0" applyNumberFormat="1" applyFont="1" applyFill="1" applyBorder="1" applyAlignment="1" applyProtection="1">
      <alignment horizontal="center" vertical="center" wrapText="1"/>
    </xf>
    <xf numFmtId="167" fontId="71" fillId="0" borderId="61" xfId="0" applyNumberFormat="1" applyFont="1" applyFill="1" applyBorder="1" applyAlignment="1" applyProtection="1">
      <alignment horizontal="center" vertical="center" wrapText="1"/>
    </xf>
    <xf numFmtId="167" fontId="71" fillId="0" borderId="77" xfId="0" applyNumberFormat="1" applyFont="1" applyFill="1" applyBorder="1" applyAlignment="1" applyProtection="1">
      <alignment horizontal="center" vertical="center" wrapText="1"/>
    </xf>
    <xf numFmtId="167" fontId="71" fillId="0" borderId="64" xfId="0" applyNumberFormat="1" applyFont="1" applyFill="1" applyBorder="1" applyAlignment="1" applyProtection="1">
      <alignment horizontal="center" vertical="center" wrapText="1"/>
    </xf>
    <xf numFmtId="167" fontId="71" fillId="0" borderId="83" xfId="0" applyNumberFormat="1" applyFont="1" applyFill="1" applyBorder="1" applyAlignment="1" applyProtection="1">
      <alignment horizontal="center" vertical="center" wrapText="1"/>
    </xf>
    <xf numFmtId="167" fontId="71" fillId="0" borderId="89" xfId="0" applyNumberFormat="1" applyFont="1" applyFill="1" applyBorder="1" applyAlignment="1" applyProtection="1">
      <alignment horizontal="center" vertical="center" wrapText="1"/>
    </xf>
    <xf numFmtId="167" fontId="71" fillId="0" borderId="116" xfId="0" applyNumberFormat="1" applyFont="1" applyFill="1" applyBorder="1" applyAlignment="1" applyProtection="1">
      <alignment horizontal="center" vertical="center" wrapText="1"/>
    </xf>
    <xf numFmtId="167" fontId="71" fillId="0" borderId="117" xfId="0" applyNumberFormat="1" applyFont="1" applyFill="1" applyBorder="1" applyAlignment="1" applyProtection="1">
      <alignment horizontal="center" vertical="center" wrapText="1"/>
    </xf>
    <xf numFmtId="167" fontId="71" fillId="0" borderId="114" xfId="0" applyNumberFormat="1" applyFont="1" applyFill="1" applyBorder="1" applyAlignment="1" applyProtection="1">
      <alignment horizontal="center" vertical="center" wrapText="1"/>
    </xf>
    <xf numFmtId="0" fontId="19" fillId="53" borderId="0" xfId="24" applyFont="1" applyFill="1" applyBorder="1" applyAlignment="1" applyProtection="1">
      <alignment horizontal="left" vertical="top" wrapText="1"/>
    </xf>
    <xf numFmtId="167" fontId="71" fillId="0" borderId="60" xfId="0" applyNumberFormat="1" applyFont="1" applyFill="1" applyBorder="1" applyAlignment="1" applyProtection="1">
      <alignment horizontal="center" vertical="center" wrapText="1"/>
    </xf>
    <xf numFmtId="167" fontId="30" fillId="0" borderId="38" xfId="0" applyNumberFormat="1" applyFont="1" applyFill="1" applyBorder="1" applyAlignment="1" applyProtection="1">
      <alignment horizontal="center" vertical="center" wrapText="1"/>
    </xf>
    <xf numFmtId="167" fontId="30" fillId="0" borderId="63" xfId="0" applyNumberFormat="1" applyFont="1" applyFill="1" applyBorder="1" applyAlignment="1" applyProtection="1">
      <alignment horizontal="center" vertical="center" wrapText="1"/>
    </xf>
    <xf numFmtId="167" fontId="71" fillId="0" borderId="59" xfId="0" applyNumberFormat="1" applyFont="1" applyFill="1" applyBorder="1" applyAlignment="1" applyProtection="1">
      <alignment horizontal="center" vertical="center" wrapText="1"/>
    </xf>
    <xf numFmtId="167" fontId="30" fillId="0" borderId="0" xfId="0" applyNumberFormat="1" applyFont="1" applyFill="1" applyBorder="1" applyAlignment="1" applyProtection="1">
      <alignment horizontal="center" vertical="center" wrapText="1"/>
    </xf>
    <xf numFmtId="167" fontId="30" fillId="0" borderId="65" xfId="0" applyNumberFormat="1" applyFont="1" applyFill="1" applyBorder="1" applyAlignment="1" applyProtection="1">
      <alignment horizontal="center" vertical="center" wrapText="1"/>
    </xf>
    <xf numFmtId="167" fontId="71" fillId="0" borderId="38" xfId="0" applyNumberFormat="1" applyFont="1" applyFill="1" applyBorder="1" applyAlignment="1" applyProtection="1">
      <alignment horizontal="center" vertical="center" wrapText="1"/>
    </xf>
    <xf numFmtId="167" fontId="71" fillId="0" borderId="63" xfId="0" applyNumberFormat="1" applyFont="1" applyFill="1" applyBorder="1" applyAlignment="1" applyProtection="1">
      <alignment horizontal="center" vertical="center" wrapText="1"/>
    </xf>
    <xf numFmtId="0" fontId="83" fillId="0" borderId="14" xfId="0" applyNumberFormat="1" applyFont="1" applyBorder="1" applyAlignment="1" applyProtection="1">
      <alignment horizontal="center"/>
    </xf>
    <xf numFmtId="0" fontId="83" fillId="0" borderId="15" xfId="0" applyNumberFormat="1" applyFont="1" applyBorder="1" applyAlignment="1" applyProtection="1">
      <alignment horizontal="center"/>
    </xf>
    <xf numFmtId="0" fontId="83" fillId="0" borderId="61" xfId="0" applyNumberFormat="1" applyFont="1" applyBorder="1" applyAlignment="1" applyProtection="1">
      <alignment horizontal="center"/>
    </xf>
    <xf numFmtId="0" fontId="87" fillId="0" borderId="60" xfId="0" applyFont="1" applyFill="1" applyBorder="1" applyAlignment="1" applyProtection="1">
      <alignment horizontal="left" vertical="center"/>
    </xf>
    <xf numFmtId="0" fontId="87" fillId="0" borderId="38" xfId="0" applyFont="1" applyFill="1" applyBorder="1" applyAlignment="1" applyProtection="1">
      <alignment horizontal="left" vertical="center"/>
    </xf>
    <xf numFmtId="0" fontId="71" fillId="0" borderId="61" xfId="0" applyFont="1" applyFill="1" applyBorder="1" applyAlignment="1" applyProtection="1">
      <alignment horizontal="center" vertical="center" wrapText="1"/>
    </xf>
    <xf numFmtId="0" fontId="71" fillId="0" borderId="62" xfId="0" applyFont="1" applyFill="1" applyBorder="1" applyAlignment="1" applyProtection="1">
      <alignment horizontal="center" vertical="center" wrapText="1"/>
    </xf>
    <xf numFmtId="0" fontId="71" fillId="0" borderId="77" xfId="0" applyFont="1" applyFill="1" applyBorder="1" applyAlignment="1" applyProtection="1">
      <alignment horizontal="center" vertical="center" wrapText="1"/>
    </xf>
    <xf numFmtId="191" fontId="71" fillId="0" borderId="59" xfId="0" applyNumberFormat="1" applyFont="1" applyFill="1" applyBorder="1" applyAlignment="1" applyProtection="1">
      <alignment horizontal="center" vertical="center" wrapText="1"/>
    </xf>
    <xf numFmtId="191" fontId="30" fillId="0" borderId="0" xfId="0" applyNumberFormat="1" applyFont="1" applyFill="1" applyBorder="1" applyAlignment="1" applyProtection="1">
      <alignment horizontal="center" vertical="center" wrapText="1"/>
    </xf>
    <xf numFmtId="191" fontId="30" fillId="0" borderId="65" xfId="0" applyNumberFormat="1" applyFont="1" applyFill="1" applyBorder="1" applyAlignment="1" applyProtection="1">
      <alignment horizontal="center" vertical="center" wrapText="1"/>
    </xf>
    <xf numFmtId="0" fontId="82" fillId="0" borderId="14" xfId="0" applyNumberFormat="1" applyFont="1" applyFill="1" applyBorder="1" applyAlignment="1" applyProtection="1">
      <alignment horizontal="center" vertical="center"/>
    </xf>
    <xf numFmtId="0" fontId="82" fillId="0" borderId="15" xfId="0" applyNumberFormat="1" applyFont="1" applyFill="1" applyBorder="1" applyAlignment="1" applyProtection="1">
      <alignment horizontal="center" vertical="center"/>
    </xf>
    <xf numFmtId="191" fontId="71" fillId="0" borderId="61" xfId="0" applyNumberFormat="1" applyFont="1" applyFill="1" applyBorder="1" applyAlignment="1" applyProtection="1">
      <alignment horizontal="center" vertical="center" wrapText="1"/>
    </xf>
    <xf numFmtId="191" fontId="71" fillId="0" borderId="62" xfId="0" applyNumberFormat="1" applyFont="1" applyFill="1" applyBorder="1" applyAlignment="1" applyProtection="1">
      <alignment horizontal="center" vertical="center" wrapText="1"/>
    </xf>
    <xf numFmtId="191" fontId="71" fillId="0" borderId="64" xfId="0" applyNumberFormat="1" applyFont="1" applyFill="1" applyBorder="1" applyAlignment="1" applyProtection="1">
      <alignment horizontal="center" vertical="center" wrapText="1"/>
    </xf>
    <xf numFmtId="0" fontId="82" fillId="0" borderId="16" xfId="0" applyNumberFormat="1" applyFont="1" applyFill="1" applyBorder="1" applyAlignment="1" applyProtection="1">
      <alignment horizontal="center" vertical="center"/>
    </xf>
    <xf numFmtId="0" fontId="19" fillId="0" borderId="0" xfId="24" applyFont="1" applyAlignment="1" applyProtection="1">
      <alignment horizontal="left" vertical="top" wrapText="1"/>
    </xf>
    <xf numFmtId="167" fontId="71" fillId="0" borderId="62" xfId="0" applyNumberFormat="1" applyFont="1" applyFill="1" applyBorder="1" applyAlignment="1" applyProtection="1">
      <alignment horizontal="center" vertical="center" wrapText="1"/>
    </xf>
    <xf numFmtId="167" fontId="71" fillId="0" borderId="82"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xf>
    <xf numFmtId="191" fontId="71" fillId="0" borderId="38" xfId="0" applyNumberFormat="1" applyFont="1" applyFill="1" applyBorder="1" applyAlignment="1" applyProtection="1">
      <alignment horizontal="center" vertical="center" wrapText="1"/>
    </xf>
    <xf numFmtId="191" fontId="71" fillId="0" borderId="63" xfId="0" applyNumberFormat="1" applyFont="1" applyFill="1" applyBorder="1" applyAlignment="1" applyProtection="1">
      <alignment horizontal="center" vertical="center" wrapText="1"/>
    </xf>
    <xf numFmtId="0" fontId="2" fillId="2" borderId="60" xfId="0" applyFont="1" applyFill="1" applyBorder="1" applyAlignment="1" applyProtection="1">
      <alignment horizontal="left" vertical="top" wrapText="1"/>
    </xf>
    <xf numFmtId="0" fontId="2" fillId="2" borderId="80" xfId="0" applyFont="1" applyFill="1" applyBorder="1" applyAlignment="1" applyProtection="1">
      <alignment horizontal="left" vertical="top" wrapText="1"/>
    </xf>
    <xf numFmtId="0" fontId="2" fillId="2" borderId="61" xfId="0" applyFont="1" applyFill="1" applyBorder="1" applyAlignment="1" applyProtection="1">
      <alignment horizontal="left" vertical="top" wrapText="1"/>
    </xf>
    <xf numFmtId="0" fontId="2" fillId="2" borderId="38" xfId="0" applyFont="1" applyFill="1" applyBorder="1" applyAlignment="1" applyProtection="1">
      <alignment horizontal="left" vertical="top" wrapText="1"/>
    </xf>
    <xf numFmtId="0" fontId="2" fillId="2" borderId="0" xfId="0" applyFont="1" applyFill="1" applyBorder="1" applyAlignment="1" applyProtection="1">
      <alignment horizontal="left" vertical="top" wrapText="1"/>
    </xf>
    <xf numFmtId="0" fontId="2" fillId="2" borderId="103" xfId="0" applyFont="1" applyFill="1" applyBorder="1" applyAlignment="1" applyProtection="1">
      <alignment horizontal="left" vertical="top" wrapText="1"/>
    </xf>
    <xf numFmtId="0" fontId="2" fillId="0" borderId="119" xfId="0" applyFont="1" applyFill="1" applyBorder="1" applyAlignment="1" applyProtection="1">
      <alignment wrapText="1"/>
    </xf>
    <xf numFmtId="0" fontId="2" fillId="0" borderId="104" xfId="0" applyFont="1" applyFill="1" applyBorder="1" applyProtection="1"/>
    <xf numFmtId="0" fontId="2" fillId="0" borderId="118" xfId="0" applyFont="1" applyFill="1" applyBorder="1" applyProtection="1"/>
    <xf numFmtId="0" fontId="2" fillId="0" borderId="38" xfId="0" applyFont="1" applyFill="1" applyBorder="1" applyProtection="1"/>
    <xf numFmtId="0" fontId="2" fillId="0" borderId="0" xfId="0" applyFont="1" applyFill="1" applyBorder="1" applyProtection="1"/>
    <xf numFmtId="0" fontId="2" fillId="0" borderId="103" xfId="0" applyFont="1" applyFill="1" applyBorder="1" applyProtection="1"/>
    <xf numFmtId="10" fontId="22" fillId="58" borderId="110" xfId="25" applyNumberFormat="1" applyFont="1" applyFill="1" applyBorder="1" applyAlignment="1" applyProtection="1">
      <alignment horizontal="center" vertical="center" wrapText="1"/>
    </xf>
    <xf numFmtId="10" fontId="22" fillId="58" borderId="19" xfId="25" applyNumberFormat="1" applyFont="1" applyFill="1" applyBorder="1" applyAlignment="1" applyProtection="1">
      <alignment horizontal="center" vertical="center" wrapText="1"/>
    </xf>
    <xf numFmtId="182" fontId="22" fillId="58" borderId="110" xfId="25" applyNumberFormat="1" applyFont="1" applyFill="1" applyBorder="1" applyAlignment="1" applyProtection="1">
      <alignment horizontal="center" vertical="center" wrapText="1"/>
    </xf>
    <xf numFmtId="182" fontId="22" fillId="58" borderId="19" xfId="25" applyNumberFormat="1" applyFont="1" applyFill="1" applyBorder="1" applyAlignment="1" applyProtection="1">
      <alignment horizontal="center" vertical="center" wrapText="1"/>
    </xf>
    <xf numFmtId="0" fontId="76" fillId="58" borderId="104" xfId="0" applyFont="1" applyFill="1" applyBorder="1" applyAlignment="1" applyProtection="1">
      <alignment horizontal="center" vertical="top" wrapText="1"/>
    </xf>
    <xf numFmtId="0" fontId="0" fillId="58" borderId="109" xfId="0" applyFill="1" applyBorder="1" applyAlignment="1" applyProtection="1">
      <alignment horizontal="left" vertical="top" wrapText="1"/>
    </xf>
    <xf numFmtId="0" fontId="0" fillId="58" borderId="104" xfId="0" applyFill="1" applyBorder="1" applyAlignment="1" applyProtection="1">
      <alignment horizontal="left" vertical="top" wrapText="1"/>
    </xf>
    <xf numFmtId="0" fontId="2" fillId="58" borderId="119" xfId="0" applyFont="1" applyFill="1" applyBorder="1" applyAlignment="1" applyProtection="1">
      <alignment wrapText="1"/>
    </xf>
    <xf numFmtId="0" fontId="2" fillId="58" borderId="104" xfId="0" applyFont="1" applyFill="1" applyBorder="1" applyProtection="1"/>
    <xf numFmtId="0" fontId="2" fillId="58" borderId="118" xfId="0" applyFont="1" applyFill="1" applyBorder="1" applyProtection="1"/>
    <xf numFmtId="0" fontId="2" fillId="58" borderId="38" xfId="0" applyFont="1" applyFill="1" applyBorder="1" applyProtection="1"/>
    <xf numFmtId="0" fontId="2" fillId="58" borderId="0" xfId="0" applyFont="1" applyFill="1" applyBorder="1" applyProtection="1"/>
    <xf numFmtId="0" fontId="2" fillId="58" borderId="103" xfId="0" applyFont="1" applyFill="1" applyBorder="1" applyProtection="1"/>
    <xf numFmtId="0" fontId="2" fillId="58" borderId="0" xfId="0" applyFont="1" applyFill="1" applyAlignment="1" applyProtection="1">
      <alignment horizontal="center" vertical="center" wrapText="1"/>
    </xf>
    <xf numFmtId="0" fontId="2" fillId="58" borderId="0" xfId="0" applyFont="1" applyFill="1" applyAlignment="1" applyProtection="1">
      <alignment wrapText="1"/>
    </xf>
    <xf numFmtId="0" fontId="76" fillId="58" borderId="104" xfId="0" applyFont="1" applyFill="1" applyBorder="1" applyAlignment="1" applyProtection="1">
      <alignment horizontal="center" vertical="center" wrapText="1"/>
    </xf>
    <xf numFmtId="0" fontId="76" fillId="58" borderId="111" xfId="0" applyFont="1" applyFill="1" applyBorder="1" applyAlignment="1" applyProtection="1">
      <alignment horizontal="center" vertical="center" wrapText="1"/>
    </xf>
    <xf numFmtId="0" fontId="22" fillId="58" borderId="110" xfId="25" applyNumberFormat="1" applyFont="1" applyFill="1" applyBorder="1" applyAlignment="1" applyProtection="1">
      <alignment horizontal="center" vertical="center" wrapText="1"/>
    </xf>
    <xf numFmtId="0" fontId="22" fillId="58" borderId="19" xfId="25" applyNumberFormat="1" applyFont="1" applyFill="1" applyBorder="1" applyAlignment="1" applyProtection="1">
      <alignment horizontal="center" vertical="center" wrapText="1"/>
    </xf>
    <xf numFmtId="0" fontId="8" fillId="0" borderId="0" xfId="0" applyFont="1" applyAlignment="1" applyProtection="1">
      <alignment horizontal="left" vertical="top" wrapText="1"/>
    </xf>
    <xf numFmtId="0" fontId="22" fillId="0" borderId="0" xfId="26" applyFont="1" applyBorder="1" applyAlignment="1" applyProtection="1">
      <alignment horizontal="center" wrapText="1"/>
    </xf>
    <xf numFmtId="0" fontId="22" fillId="0" borderId="12" xfId="26" applyFont="1" applyBorder="1" applyAlignment="1" applyProtection="1">
      <alignment horizontal="center" wrapText="1"/>
    </xf>
    <xf numFmtId="0" fontId="22" fillId="0" borderId="0" xfId="26" applyFont="1" applyBorder="1" applyAlignment="1" applyProtection="1">
      <alignment horizontal="right" wrapText="1"/>
    </xf>
    <xf numFmtId="0" fontId="22" fillId="0" borderId="12" xfId="26" applyFont="1" applyBorder="1" applyAlignment="1" applyProtection="1">
      <alignment horizontal="right" wrapText="1"/>
    </xf>
    <xf numFmtId="0" fontId="0" fillId="0" borderId="12" xfId="0" applyBorder="1" applyAlignment="1" applyProtection="1">
      <alignment horizontal="right" wrapText="1"/>
    </xf>
    <xf numFmtId="190" fontId="0" fillId="3" borderId="25" xfId="163" applyNumberFormat="1" applyFont="1" applyFill="1" applyBorder="1" applyAlignment="1" applyProtection="1">
      <protection locked="0"/>
    </xf>
    <xf numFmtId="0" fontId="0" fillId="0" borderId="26" xfId="0" applyBorder="1" applyAlignment="1" applyProtection="1">
      <protection locked="0"/>
    </xf>
    <xf numFmtId="0" fontId="2" fillId="0" borderId="25" xfId="0" applyFont="1" applyBorder="1" applyAlignment="1">
      <alignment horizontal="center"/>
    </xf>
    <xf numFmtId="0" fontId="0" fillId="0" borderId="26" xfId="0" applyBorder="1" applyAlignment="1">
      <alignment horizontal="center"/>
    </xf>
    <xf numFmtId="0" fontId="0" fillId="0" borderId="25" xfId="0" applyFill="1" applyBorder="1" applyAlignment="1">
      <alignment horizontal="center"/>
    </xf>
    <xf numFmtId="0" fontId="0" fillId="0" borderId="26" xfId="0" applyBorder="1" applyAlignment="1"/>
    <xf numFmtId="0" fontId="37" fillId="0" borderId="95" xfId="0" applyFont="1" applyFill="1" applyBorder="1" applyAlignment="1" applyProtection="1">
      <alignment horizontal="left" vertical="center" wrapText="1" indent="1"/>
    </xf>
    <xf numFmtId="0" fontId="37" fillId="0" borderId="0" xfId="0" applyFont="1" applyFill="1" applyBorder="1" applyAlignment="1" applyProtection="1">
      <alignment horizontal="left" vertical="center" wrapText="1" indent="1"/>
    </xf>
    <xf numFmtId="0" fontId="2" fillId="0" borderId="27" xfId="0" applyFont="1" applyBorder="1" applyAlignment="1">
      <alignment horizontal="center"/>
    </xf>
    <xf numFmtId="0" fontId="2" fillId="0" borderId="29" xfId="0" applyFont="1" applyBorder="1" applyAlignment="1">
      <alignment horizontal="center"/>
    </xf>
    <xf numFmtId="0" fontId="37" fillId="0" borderId="0" xfId="0" applyFont="1" applyAlignment="1" applyProtection="1">
      <alignment horizontal="left" vertical="center" wrapText="1"/>
    </xf>
    <xf numFmtId="0" fontId="0" fillId="0" borderId="0" xfId="0" applyAlignment="1">
      <alignment horizontal="left" vertical="center" wrapText="1"/>
    </xf>
    <xf numFmtId="0" fontId="0" fillId="0" borderId="10" xfId="0" applyBorder="1" applyAlignment="1">
      <alignment horizontal="left" vertical="center" wrapText="1"/>
    </xf>
    <xf numFmtId="0" fontId="2" fillId="0" borderId="25" xfId="0" applyFont="1" applyFill="1" applyBorder="1" applyAlignment="1">
      <alignment horizontal="center"/>
    </xf>
    <xf numFmtId="0" fontId="37" fillId="0" borderId="0" xfId="0" applyFont="1" applyAlignment="1" applyProtection="1">
      <alignment horizontal="left" wrapText="1"/>
    </xf>
    <xf numFmtId="0" fontId="0" fillId="0" borderId="0" xfId="0" applyAlignment="1" applyProtection="1">
      <alignment wrapText="1"/>
    </xf>
    <xf numFmtId="0" fontId="37" fillId="0" borderId="0" xfId="0" applyFont="1" applyAlignment="1" applyProtection="1">
      <alignment horizontal="left"/>
    </xf>
    <xf numFmtId="0" fontId="37" fillId="0" borderId="12" xfId="0" applyFont="1" applyBorder="1" applyAlignment="1" applyProtection="1">
      <alignment horizontal="left" wrapText="1"/>
    </xf>
    <xf numFmtId="0" fontId="37" fillId="0" borderId="0" xfId="0" applyFont="1" applyBorder="1" applyAlignment="1" applyProtection="1">
      <alignment horizontal="left" wrapText="1"/>
    </xf>
    <xf numFmtId="0" fontId="37" fillId="0" borderId="102" xfId="0" applyFont="1" applyFill="1" applyBorder="1" applyAlignment="1" applyProtection="1">
      <alignment horizontal="left" vertical="center" wrapText="1" indent="1"/>
    </xf>
    <xf numFmtId="0" fontId="37" fillId="0" borderId="0" xfId="0" applyFont="1" applyAlignment="1" applyProtection="1">
      <alignment vertical="center" wrapText="1"/>
    </xf>
    <xf numFmtId="0" fontId="0" fillId="0" borderId="0" xfId="0" applyAlignment="1" applyProtection="1">
      <alignment vertical="center"/>
    </xf>
    <xf numFmtId="0" fontId="22" fillId="0" borderId="25" xfId="27" applyFont="1" applyBorder="1" applyAlignment="1" applyProtection="1">
      <alignment horizontal="left" vertical="center" wrapText="1"/>
    </xf>
    <xf numFmtId="0" fontId="22" fillId="0" borderId="26" xfId="27" applyFont="1" applyBorder="1" applyAlignment="1" applyProtection="1">
      <alignment horizontal="left" vertical="center" wrapText="1"/>
    </xf>
    <xf numFmtId="0" fontId="22" fillId="0" borderId="4" xfId="27" applyFont="1" applyBorder="1" applyAlignment="1" applyProtection="1">
      <alignment horizontal="left" vertical="center" wrapText="1"/>
    </xf>
    <xf numFmtId="0" fontId="26" fillId="0" borderId="102" xfId="0" applyFont="1" applyBorder="1" applyAlignment="1" applyProtection="1">
      <alignment wrapText="1"/>
    </xf>
    <xf numFmtId="0" fontId="13" fillId="0" borderId="14" xfId="0" applyFont="1" applyBorder="1" applyAlignment="1">
      <alignment vertical="top" wrapText="1"/>
    </xf>
    <xf numFmtId="0" fontId="13" fillId="0" borderId="15" xfId="0" applyFont="1" applyBorder="1" applyAlignment="1">
      <alignment vertical="top" wrapText="1"/>
    </xf>
    <xf numFmtId="0" fontId="13" fillId="0" borderId="16" xfId="0" applyFont="1" applyBorder="1" applyAlignment="1">
      <alignment vertical="top" wrapText="1"/>
    </xf>
    <xf numFmtId="0" fontId="13" fillId="0" borderId="0" xfId="0" applyFont="1" applyFill="1" applyAlignment="1" applyProtection="1">
      <alignment horizontal="left" wrapText="1"/>
    </xf>
    <xf numFmtId="0" fontId="6" fillId="0" borderId="0" xfId="0" applyFont="1" applyFill="1" applyAlignment="1" applyProtection="1">
      <alignment wrapText="1"/>
    </xf>
    <xf numFmtId="0" fontId="13" fillId="0" borderId="102" xfId="0" applyFont="1" applyFill="1" applyBorder="1" applyAlignment="1" applyProtection="1">
      <alignment horizontal="left" vertical="center" wrapText="1" indent="1"/>
    </xf>
    <xf numFmtId="0" fontId="13" fillId="0" borderId="0" xfId="0" applyFont="1" applyFill="1" applyBorder="1" applyAlignment="1" applyProtection="1">
      <alignment horizontal="left" vertical="center" wrapText="1" indent="1"/>
    </xf>
    <xf numFmtId="0" fontId="13" fillId="0" borderId="0" xfId="0" applyFont="1" applyFill="1" applyAlignment="1" applyProtection="1">
      <alignment horizontal="left"/>
    </xf>
    <xf numFmtId="0" fontId="13" fillId="0" borderId="12" xfId="0" applyFont="1" applyFill="1" applyBorder="1" applyAlignment="1" applyProtection="1">
      <alignment horizontal="left" wrapText="1"/>
    </xf>
    <xf numFmtId="0" fontId="13" fillId="0" borderId="0" xfId="0" applyFont="1" applyFill="1" applyBorder="1" applyAlignment="1" applyProtection="1">
      <alignment horizontal="left" wrapText="1"/>
    </xf>
    <xf numFmtId="0" fontId="13" fillId="0" borderId="0" xfId="0" applyFont="1" applyAlignment="1" applyProtection="1">
      <alignment horizontal="left" wrapText="1"/>
    </xf>
    <xf numFmtId="0" fontId="34" fillId="10" borderId="60" xfId="0" applyFont="1" applyFill="1" applyBorder="1" applyAlignment="1" applyProtection="1">
      <alignment horizontal="center" vertical="center" wrapText="1"/>
    </xf>
    <xf numFmtId="0" fontId="34" fillId="10" borderId="80" xfId="0" applyFont="1" applyFill="1" applyBorder="1" applyAlignment="1" applyProtection="1">
      <alignment horizontal="center" vertical="center" wrapText="1"/>
    </xf>
    <xf numFmtId="0" fontId="34" fillId="10" borderId="61" xfId="0" applyFont="1" applyFill="1" applyBorder="1" applyAlignment="1" applyProtection="1">
      <alignment horizontal="center" vertical="center" wrapText="1"/>
    </xf>
    <xf numFmtId="0" fontId="34" fillId="10" borderId="38" xfId="0" applyFont="1" applyFill="1" applyBorder="1" applyAlignment="1" applyProtection="1">
      <alignment horizontal="center" vertical="center" wrapText="1"/>
    </xf>
    <xf numFmtId="0" fontId="34" fillId="10" borderId="0" xfId="0" applyFont="1" applyFill="1" applyBorder="1" applyAlignment="1" applyProtection="1">
      <alignment horizontal="center" vertical="center" wrapText="1"/>
    </xf>
    <xf numFmtId="0" fontId="34" fillId="10" borderId="103" xfId="0" applyFont="1" applyFill="1" applyBorder="1" applyAlignment="1" applyProtection="1">
      <alignment horizontal="center" vertical="center" wrapText="1"/>
    </xf>
    <xf numFmtId="0" fontId="34" fillId="10" borderId="84" xfId="0" applyFont="1" applyFill="1" applyBorder="1" applyAlignment="1" applyProtection="1">
      <alignment horizontal="center" vertical="center" wrapText="1"/>
    </xf>
    <xf numFmtId="0" fontId="34" fillId="10" borderId="78" xfId="0" applyFont="1" applyFill="1" applyBorder="1" applyAlignment="1" applyProtection="1">
      <alignment horizontal="center" vertical="center" wrapText="1"/>
    </xf>
    <xf numFmtId="0" fontId="34" fillId="10" borderId="115" xfId="0" applyFont="1" applyFill="1" applyBorder="1" applyAlignment="1" applyProtection="1">
      <alignment horizontal="center" vertical="center" wrapText="1"/>
    </xf>
    <xf numFmtId="0" fontId="19" fillId="0" borderId="0" xfId="0" applyFont="1" applyAlignment="1" applyProtection="1">
      <alignment vertical="top" wrapText="1"/>
    </xf>
    <xf numFmtId="0" fontId="0" fillId="0" borderId="0" xfId="0" applyAlignment="1" applyProtection="1">
      <alignment vertical="top"/>
    </xf>
    <xf numFmtId="0" fontId="13" fillId="0" borderId="12" xfId="0" applyFont="1" applyFill="1" applyBorder="1" applyAlignment="1" applyProtection="1">
      <alignment horizontal="center" wrapText="1"/>
    </xf>
    <xf numFmtId="0" fontId="13" fillId="0" borderId="12" xfId="0" applyFont="1" applyBorder="1" applyAlignment="1" applyProtection="1">
      <alignment horizontal="center" wrapText="1"/>
    </xf>
    <xf numFmtId="0" fontId="145" fillId="0" borderId="0" xfId="0" applyFont="1" applyAlignment="1" applyProtection="1">
      <alignment wrapText="1"/>
    </xf>
    <xf numFmtId="0" fontId="0" fillId="0" borderId="0" xfId="0" applyAlignment="1">
      <alignment wrapText="1"/>
    </xf>
    <xf numFmtId="0" fontId="2" fillId="0" borderId="0" xfId="0" applyFont="1" applyAlignment="1" applyProtection="1">
      <alignment horizontal="center"/>
    </xf>
    <xf numFmtId="0" fontId="0" fillId="0" borderId="0" xfId="0" applyAlignment="1" applyProtection="1">
      <alignment horizontal="center"/>
    </xf>
    <xf numFmtId="0" fontId="22" fillId="0" borderId="21" xfId="27" applyFont="1" applyFill="1" applyBorder="1" applyAlignment="1" applyProtection="1">
      <alignment horizontal="right" wrapText="1"/>
    </xf>
    <xf numFmtId="0" fontId="22" fillId="0" borderId="0" xfId="27" applyFont="1" applyFill="1" applyAlignment="1" applyProtection="1">
      <alignment horizontal="right" wrapText="1"/>
    </xf>
    <xf numFmtId="0" fontId="22" fillId="0" borderId="0" xfId="27" applyFont="1" applyAlignment="1" applyProtection="1">
      <alignment horizontal="right" vertical="top" indent="2"/>
    </xf>
    <xf numFmtId="0" fontId="22" fillId="0" borderId="10" xfId="27" applyFont="1" applyBorder="1" applyAlignment="1" applyProtection="1">
      <alignment horizontal="right" vertical="top" indent="2"/>
    </xf>
    <xf numFmtId="0" fontId="22" fillId="48" borderId="0" xfId="27" applyFont="1" applyFill="1" applyAlignment="1" applyProtection="1">
      <alignment horizontal="center" wrapText="1"/>
    </xf>
    <xf numFmtId="0" fontId="22" fillId="0" borderId="0" xfId="27" applyFont="1" applyFill="1" applyAlignment="1" applyProtection="1">
      <alignment horizontal="center" wrapText="1"/>
    </xf>
    <xf numFmtId="0" fontId="38" fillId="0" borderId="0" xfId="0" applyFont="1" applyAlignment="1" applyProtection="1">
      <alignment wrapText="1"/>
    </xf>
    <xf numFmtId="0" fontId="62" fillId="45" borderId="0" xfId="0" applyFont="1" applyFill="1" applyAlignment="1" applyProtection="1">
      <alignment horizontal="center" vertical="center" wrapText="1"/>
    </xf>
    <xf numFmtId="0" fontId="0" fillId="0" borderId="0" xfId="0" applyAlignment="1"/>
    <xf numFmtId="0" fontId="18" fillId="0" borderId="0" xfId="0" applyFont="1" applyAlignment="1" applyProtection="1">
      <alignment horizontal="center"/>
    </xf>
    <xf numFmtId="168" fontId="18" fillId="2" borderId="0" xfId="39" applyFont="1" applyFill="1" applyProtection="1">
      <protection locked="0"/>
    </xf>
    <xf numFmtId="192" fontId="18" fillId="2" borderId="0" xfId="39" applyNumberFormat="1" applyFont="1" applyFill="1" applyProtection="1">
      <protection locked="0"/>
    </xf>
    <xf numFmtId="0" fontId="40" fillId="46" borderId="0" xfId="0" applyFont="1" applyFill="1" applyAlignment="1" applyProtection="1">
      <alignment horizontal="center" vertical="center" wrapText="1"/>
    </xf>
    <xf numFmtId="168" fontId="18" fillId="3" borderId="0" xfId="39" applyFont="1" applyFill="1" applyProtection="1">
      <protection locked="0"/>
    </xf>
    <xf numFmtId="168" fontId="18" fillId="9" borderId="0" xfId="39" applyFont="1" applyFill="1" applyProtection="1"/>
    <xf numFmtId="0" fontId="86" fillId="0" borderId="0" xfId="0" applyFont="1" applyFill="1" applyAlignment="1" applyProtection="1">
      <alignment horizontal="center" vertical="center"/>
    </xf>
    <xf numFmtId="194" fontId="18" fillId="3" borderId="0" xfId="39" applyNumberFormat="1" applyFont="1" applyFill="1" applyProtection="1">
      <protection locked="0"/>
    </xf>
    <xf numFmtId="0" fontId="40" fillId="45" borderId="0" xfId="24" applyFont="1" applyFill="1" applyAlignment="1" applyProtection="1">
      <alignment horizontal="center" vertical="center"/>
    </xf>
    <xf numFmtId="0" fontId="22" fillId="0" borderId="0" xfId="24" applyFont="1" applyAlignment="1" applyProtection="1">
      <alignment horizontal="left" vertical="top" wrapText="1"/>
    </xf>
    <xf numFmtId="0" fontId="22" fillId="9" borderId="0" xfId="24" applyFont="1" applyFill="1" applyBorder="1" applyAlignment="1" applyProtection="1">
      <alignment horizontal="center" wrapText="1"/>
    </xf>
    <xf numFmtId="0" fontId="85" fillId="0" borderId="0" xfId="24" applyFont="1" applyAlignment="1">
      <alignment horizontal="left" vertical="top" wrapText="1"/>
    </xf>
    <xf numFmtId="0" fontId="22" fillId="0" borderId="0" xfId="24" applyFont="1" applyAlignment="1" applyProtection="1">
      <alignment horizontal="left" vertical="center" wrapText="1"/>
    </xf>
    <xf numFmtId="0" fontId="13" fillId="0" borderId="0" xfId="0" applyFont="1" applyAlignment="1" applyProtection="1">
      <alignment horizontal="left" vertical="top" wrapText="1"/>
    </xf>
    <xf numFmtId="0" fontId="72" fillId="49" borderId="0" xfId="0" applyFont="1" applyFill="1" applyAlignment="1" applyProtection="1">
      <alignment horizontal="center" vertical="center" wrapText="1"/>
    </xf>
    <xf numFmtId="200" fontId="0" fillId="0" borderId="33" xfId="0" applyNumberFormat="1" applyFill="1" applyBorder="1" applyAlignment="1" applyProtection="1"/>
    <xf numFmtId="200" fontId="0" fillId="0" borderId="16" xfId="0" applyNumberFormat="1" applyFill="1" applyBorder="1" applyAlignment="1" applyProtection="1"/>
    <xf numFmtId="0" fontId="2" fillId="0" borderId="0" xfId="0" applyFont="1" applyBorder="1" applyAlignment="1">
      <alignment vertical="top" wrapText="1"/>
    </xf>
    <xf numFmtId="0" fontId="36" fillId="0" borderId="0" xfId="0" applyFont="1" applyAlignment="1" applyProtection="1">
      <alignment horizontal="left" vertical="center" wrapText="1"/>
    </xf>
    <xf numFmtId="0" fontId="0" fillId="0" borderId="0" xfId="0" applyAlignment="1" applyProtection="1">
      <alignment horizontal="left" vertical="center" wrapText="1"/>
    </xf>
    <xf numFmtId="0" fontId="36" fillId="0" borderId="0" xfId="0" applyFont="1" applyAlignment="1" applyProtection="1">
      <alignment horizontal="left" vertical="top" wrapText="1"/>
    </xf>
    <xf numFmtId="0" fontId="0" fillId="0" borderId="0" xfId="0" applyAlignment="1" applyProtection="1">
      <alignment horizontal="left" vertical="top" wrapText="1"/>
    </xf>
    <xf numFmtId="0" fontId="9" fillId="2" borderId="0" xfId="0" applyFont="1" applyFill="1" applyAlignment="1">
      <alignment horizontal="left" vertical="top" wrapText="1" indent="6"/>
    </xf>
    <xf numFmtId="0" fontId="9" fillId="2" borderId="0" xfId="0" applyFont="1" applyFill="1" applyAlignment="1">
      <alignment horizontal="left" vertical="top" wrapText="1" indent="2"/>
    </xf>
    <xf numFmtId="0" fontId="22" fillId="13" borderId="0" xfId="24" applyFont="1" applyFill="1" applyAlignment="1" applyProtection="1">
      <alignment horizontal="left" vertical="top" wrapText="1"/>
      <protection locked="0"/>
    </xf>
    <xf numFmtId="0" fontId="22" fillId="0" borderId="25" xfId="24" applyFont="1" applyBorder="1" applyAlignment="1" applyProtection="1">
      <alignment horizontal="center"/>
      <protection locked="0"/>
    </xf>
    <xf numFmtId="0" fontId="22" fillId="0" borderId="26" xfId="24" applyFont="1" applyBorder="1" applyAlignment="1" applyProtection="1">
      <alignment horizontal="center"/>
      <protection locked="0"/>
    </xf>
    <xf numFmtId="0" fontId="22" fillId="2" borderId="0" xfId="24" applyFont="1" applyFill="1" applyAlignment="1" applyProtection="1">
      <alignment horizontal="center" wrapText="1"/>
      <protection locked="0"/>
    </xf>
    <xf numFmtId="0" fontId="4" fillId="2" borderId="0" xfId="24" applyFill="1" applyAlignment="1" applyProtection="1">
      <alignment horizontal="center" wrapText="1"/>
      <protection locked="0"/>
    </xf>
    <xf numFmtId="0" fontId="22" fillId="0" borderId="49" xfId="24" applyFont="1" applyFill="1" applyBorder="1" applyAlignment="1" applyProtection="1">
      <alignment horizontal="center" wrapText="1"/>
      <protection locked="0"/>
    </xf>
    <xf numFmtId="0" fontId="4" fillId="0" borderId="29" xfId="24" applyBorder="1" applyAlignment="1" applyProtection="1">
      <alignment wrapText="1"/>
      <protection locked="0"/>
    </xf>
    <xf numFmtId="0" fontId="22" fillId="0" borderId="10" xfId="24" applyFont="1" applyFill="1" applyBorder="1" applyAlignment="1" applyProtection="1">
      <alignment horizontal="center" wrapText="1"/>
      <protection locked="0"/>
    </xf>
    <xf numFmtId="0" fontId="4" fillId="0" borderId="13" xfId="24" applyBorder="1" applyAlignment="1" applyProtection="1">
      <alignment wrapText="1"/>
      <protection locked="0"/>
    </xf>
    <xf numFmtId="0" fontId="41" fillId="2" borderId="4" xfId="24" applyFont="1" applyFill="1" applyBorder="1" applyAlignment="1" applyProtection="1">
      <alignment horizontal="left" vertical="top"/>
      <protection locked="0"/>
    </xf>
    <xf numFmtId="0" fontId="22" fillId="2" borderId="29" xfId="24" applyFont="1" applyFill="1" applyBorder="1" applyAlignment="1" applyProtection="1">
      <alignment horizontal="left" vertical="top"/>
      <protection locked="0"/>
    </xf>
    <xf numFmtId="0" fontId="22" fillId="0" borderId="48" xfId="24" applyFont="1" applyBorder="1" applyAlignment="1" applyProtection="1">
      <alignment horizontal="center"/>
      <protection locked="0"/>
    </xf>
    <xf numFmtId="0" fontId="4" fillId="2" borderId="4" xfId="24" applyFont="1" applyFill="1" applyBorder="1" applyAlignment="1" applyProtection="1">
      <alignment horizontal="left" vertical="top"/>
    </xf>
    <xf numFmtId="0" fontId="4" fillId="2" borderId="4" xfId="24" applyFill="1" applyBorder="1" applyAlignment="1" applyProtection="1">
      <alignment horizontal="left" vertical="top"/>
    </xf>
    <xf numFmtId="0" fontId="59" fillId="9" borderId="0" xfId="24" applyFont="1" applyFill="1" applyBorder="1" applyAlignment="1" applyProtection="1">
      <alignment horizontal="left" indent="7"/>
    </xf>
    <xf numFmtId="0" fontId="39" fillId="0" borderId="0" xfId="24" applyFont="1" applyAlignment="1" applyProtection="1">
      <alignment horizontal="center"/>
    </xf>
    <xf numFmtId="0" fontId="22" fillId="0" borderId="25" xfId="24" applyFont="1" applyBorder="1" applyAlignment="1" applyProtection="1">
      <alignment horizontal="left" vertical="center" wrapText="1"/>
    </xf>
    <xf numFmtId="0" fontId="22" fillId="0" borderId="48" xfId="24" applyFont="1" applyBorder="1" applyAlignment="1" applyProtection="1">
      <alignment horizontal="left" vertical="center"/>
    </xf>
    <xf numFmtId="0" fontId="22" fillId="0" borderId="26" xfId="24" applyFont="1" applyBorder="1" applyAlignment="1" applyProtection="1">
      <alignment horizontal="left" vertical="center"/>
    </xf>
    <xf numFmtId="0" fontId="22" fillId="0" borderId="6" xfId="24" applyFont="1" applyBorder="1" applyAlignment="1" applyProtection="1">
      <alignment horizontal="left" vertical="center" wrapText="1"/>
    </xf>
    <xf numFmtId="0" fontId="22" fillId="0" borderId="7" xfId="24" applyFont="1" applyBorder="1" applyAlignment="1" applyProtection="1">
      <alignment horizontal="left" vertical="center"/>
    </xf>
    <xf numFmtId="0" fontId="22" fillId="0" borderId="8" xfId="24" applyFont="1" applyBorder="1" applyAlignment="1" applyProtection="1">
      <alignment horizontal="left" vertical="center"/>
    </xf>
    <xf numFmtId="0" fontId="22" fillId="0" borderId="9" xfId="24" applyFont="1" applyBorder="1" applyAlignment="1" applyProtection="1">
      <alignment horizontal="left" vertical="center"/>
    </xf>
    <xf numFmtId="0" fontId="22" fillId="0" borderId="0" xfId="24" applyFont="1" applyBorder="1" applyAlignment="1" applyProtection="1">
      <alignment horizontal="left" vertical="center"/>
    </xf>
    <xf numFmtId="0" fontId="22" fillId="0" borderId="10" xfId="24" applyFont="1" applyBorder="1" applyAlignment="1" applyProtection="1">
      <alignment horizontal="left" vertical="center"/>
    </xf>
    <xf numFmtId="0" fontId="22" fillId="0" borderId="11" xfId="24" applyFont="1" applyBorder="1" applyAlignment="1" applyProtection="1">
      <alignment horizontal="left" vertical="center"/>
    </xf>
    <xf numFmtId="0" fontId="22" fillId="0" borderId="12" xfId="24" applyFont="1" applyBorder="1" applyAlignment="1" applyProtection="1">
      <alignment horizontal="left" vertical="center"/>
    </xf>
    <xf numFmtId="0" fontId="22" fillId="0" borderId="13" xfId="24" applyFont="1" applyBorder="1" applyAlignment="1" applyProtection="1">
      <alignment horizontal="left" vertical="center"/>
    </xf>
    <xf numFmtId="0" fontId="22" fillId="0" borderId="4" xfId="24" applyFont="1" applyBorder="1" applyAlignment="1" applyProtection="1">
      <alignment horizontal="center" vertical="center"/>
    </xf>
    <xf numFmtId="0" fontId="22" fillId="12" borderId="4" xfId="24" applyFont="1" applyFill="1" applyBorder="1" applyAlignment="1" applyProtection="1">
      <alignment horizontal="center" vertical="center"/>
    </xf>
    <xf numFmtId="0" fontId="22" fillId="49" borderId="4" xfId="24" applyFont="1" applyFill="1" applyBorder="1" applyAlignment="1" applyProtection="1">
      <alignment horizontal="center" vertical="center"/>
    </xf>
    <xf numFmtId="0" fontId="80" fillId="0" borderId="0" xfId="24" applyFont="1" applyAlignment="1" applyProtection="1">
      <alignment horizontal="left" vertical="top" wrapText="1"/>
    </xf>
    <xf numFmtId="0" fontId="140" fillId="0" borderId="0" xfId="0" applyFont="1" applyAlignment="1">
      <alignment horizontal="left" vertical="top" wrapText="1"/>
    </xf>
    <xf numFmtId="0" fontId="113" fillId="0" borderId="0" xfId="0" applyFont="1" applyAlignment="1">
      <alignment horizontal="left" vertical="top" wrapText="1"/>
    </xf>
    <xf numFmtId="0" fontId="22" fillId="0" borderId="49" xfId="24" applyFont="1" applyFill="1" applyBorder="1" applyAlignment="1" applyProtection="1">
      <alignment horizontal="center" wrapText="1"/>
    </xf>
    <xf numFmtId="0" fontId="4" fillId="0" borderId="29" xfId="24" applyBorder="1" applyAlignment="1" applyProtection="1">
      <alignment wrapText="1"/>
    </xf>
    <xf numFmtId="0" fontId="22" fillId="0" borderId="10" xfId="24" applyFont="1" applyFill="1" applyBorder="1" applyAlignment="1" applyProtection="1">
      <alignment horizontal="center" wrapText="1"/>
    </xf>
    <xf numFmtId="0" fontId="4" fillId="0" borderId="13" xfId="24" applyBorder="1" applyAlignment="1" applyProtection="1">
      <alignment wrapText="1"/>
    </xf>
    <xf numFmtId="0" fontId="22" fillId="2" borderId="29" xfId="24" applyFont="1" applyFill="1" applyBorder="1" applyAlignment="1" applyProtection="1">
      <alignment horizontal="left" vertical="top"/>
    </xf>
    <xf numFmtId="0" fontId="22" fillId="2" borderId="4" xfId="24" applyFont="1" applyFill="1" applyBorder="1" applyAlignment="1" applyProtection="1">
      <alignment horizontal="left" vertical="top"/>
    </xf>
    <xf numFmtId="0" fontId="22" fillId="0" borderId="25" xfId="24" applyFont="1" applyBorder="1" applyAlignment="1" applyProtection="1">
      <alignment horizontal="center"/>
    </xf>
    <xf numFmtId="0" fontId="22" fillId="0" borderId="48" xfId="24" applyFont="1" applyBorder="1" applyAlignment="1" applyProtection="1">
      <alignment horizontal="center"/>
    </xf>
    <xf numFmtId="0" fontId="22" fillId="0" borderId="26" xfId="24" applyFont="1" applyBorder="1" applyAlignment="1" applyProtection="1">
      <alignment horizontal="center"/>
    </xf>
    <xf numFmtId="0" fontId="60" fillId="2" borderId="0" xfId="0" applyFont="1" applyFill="1" applyAlignment="1">
      <alignment horizontal="left" wrapText="1"/>
    </xf>
    <xf numFmtId="0" fontId="106" fillId="2" borderId="0" xfId="0" applyFont="1" applyFill="1" applyAlignment="1">
      <alignment horizontal="left" vertical="top"/>
    </xf>
    <xf numFmtId="0" fontId="36" fillId="2" borderId="0" xfId="0" applyFont="1" applyFill="1" applyAlignment="1">
      <alignment horizontal="left" vertical="top"/>
    </xf>
    <xf numFmtId="0" fontId="0" fillId="2" borderId="0" xfId="0" applyFill="1" applyAlignment="1">
      <alignment horizontal="left" wrapText="1"/>
    </xf>
    <xf numFmtId="0" fontId="9" fillId="0" borderId="0" xfId="0" applyFont="1" applyAlignment="1"/>
    <xf numFmtId="0" fontId="36" fillId="0" borderId="0" xfId="0" applyFont="1" applyAlignment="1">
      <alignment wrapText="1"/>
    </xf>
    <xf numFmtId="0" fontId="9" fillId="0" borderId="0" xfId="0" applyFont="1" applyAlignment="1">
      <alignment horizontal="left" indent="5"/>
    </xf>
    <xf numFmtId="0" fontId="36" fillId="0" borderId="0" xfId="0" applyFont="1" applyAlignment="1">
      <alignment horizontal="left" vertical="top" wrapText="1"/>
    </xf>
    <xf numFmtId="0" fontId="0" fillId="0" borderId="0" xfId="0" applyAlignment="1">
      <alignment horizontal="left" vertical="top" wrapText="1"/>
    </xf>
    <xf numFmtId="0" fontId="9" fillId="0" borderId="0" xfId="0" applyFont="1" applyAlignment="1">
      <alignment horizontal="left" vertical="top" wrapText="1"/>
    </xf>
    <xf numFmtId="0" fontId="36" fillId="0" borderId="0" xfId="0" applyFont="1" applyAlignment="1">
      <alignment horizontal="left" vertical="center" wrapText="1"/>
    </xf>
    <xf numFmtId="0" fontId="9" fillId="0" borderId="0" xfId="0" applyFont="1" applyAlignment="1">
      <alignment horizontal="left" indent="2"/>
    </xf>
    <xf numFmtId="0" fontId="0" fillId="2" borderId="0" xfId="0" applyFill="1" applyAlignment="1">
      <alignment horizontal="left" vertical="top" wrapText="1"/>
    </xf>
    <xf numFmtId="0" fontId="64" fillId="2" borderId="0" xfId="0" applyFont="1" applyFill="1" applyAlignment="1">
      <alignment horizontal="left" vertical="top" wrapText="1"/>
    </xf>
    <xf numFmtId="0" fontId="12" fillId="0" borderId="0" xfId="0" applyFont="1" applyAlignment="1">
      <alignment horizontal="center" vertical="center" wrapText="1"/>
    </xf>
    <xf numFmtId="0" fontId="0" fillId="0" borderId="0" xfId="0" applyAlignment="1">
      <alignment horizontal="center" wrapText="1"/>
    </xf>
    <xf numFmtId="0" fontId="11" fillId="0" borderId="0" xfId="0" applyFont="1" applyAlignment="1">
      <alignment horizontal="center" vertical="center" wrapText="1"/>
    </xf>
    <xf numFmtId="0" fontId="38" fillId="0" borderId="0" xfId="0" applyFont="1" applyAlignment="1">
      <alignment horizontal="center" vertical="center" wrapText="1"/>
    </xf>
    <xf numFmtId="0" fontId="13" fillId="0" borderId="0" xfId="0" applyFont="1" applyAlignment="1">
      <alignment horizontal="center" vertical="center" wrapText="1"/>
    </xf>
    <xf numFmtId="0" fontId="9" fillId="0" borderId="0" xfId="0" applyFont="1" applyAlignment="1">
      <alignment horizontal="right" vertical="center" wrapText="1"/>
    </xf>
    <xf numFmtId="0" fontId="0" fillId="0" borderId="0" xfId="0" applyFont="1" applyAlignment="1">
      <alignment horizontal="right" vertical="center" wrapText="1"/>
    </xf>
    <xf numFmtId="0" fontId="9" fillId="2" borderId="0" xfId="0" applyFont="1" applyFill="1" applyBorder="1" applyAlignment="1" applyProtection="1">
      <alignment horizontal="left" vertical="top" wrapText="1"/>
      <protection locked="0"/>
    </xf>
    <xf numFmtId="0" fontId="60" fillId="2" borderId="0" xfId="0" applyFont="1" applyFill="1" applyAlignment="1">
      <alignment horizontal="left" vertical="top" wrapText="1"/>
    </xf>
    <xf numFmtId="0" fontId="13" fillId="2" borderId="0" xfId="0" applyFont="1" applyFill="1" applyAlignment="1">
      <alignment horizontal="left" vertical="center" wrapText="1"/>
    </xf>
    <xf numFmtId="0" fontId="36" fillId="2" borderId="0" xfId="0" applyFont="1" applyFill="1" applyAlignment="1">
      <alignment horizontal="left" vertical="center"/>
    </xf>
    <xf numFmtId="0" fontId="9" fillId="2" borderId="0" xfId="0" applyFont="1" applyFill="1" applyAlignment="1">
      <alignment horizontal="left" vertical="center" wrapText="1"/>
    </xf>
    <xf numFmtId="0" fontId="63" fillId="2" borderId="0" xfId="0" applyFont="1" applyFill="1" applyAlignment="1">
      <alignment horizontal="left" vertical="center" wrapText="1"/>
    </xf>
    <xf numFmtId="0" fontId="37" fillId="0" borderId="0" xfId="0" applyFont="1" applyFill="1" applyAlignment="1">
      <alignment horizontal="left"/>
    </xf>
    <xf numFmtId="0" fontId="8" fillId="0" borderId="0" xfId="0" applyFont="1" applyFill="1" applyAlignment="1">
      <alignment horizontal="left"/>
    </xf>
    <xf numFmtId="0" fontId="10" fillId="0" borderId="0" xfId="0" applyFont="1" applyFill="1" applyAlignment="1">
      <alignment horizontal="left" wrapText="1"/>
    </xf>
    <xf numFmtId="0" fontId="0" fillId="2" borderId="0" xfId="0" applyFill="1" applyAlignment="1">
      <alignment horizontal="left" vertical="center" wrapText="1"/>
    </xf>
    <xf numFmtId="0" fontId="11" fillId="2" borderId="0" xfId="0" applyFont="1" applyFill="1" applyAlignment="1">
      <alignment horizontal="left" vertical="top"/>
    </xf>
    <xf numFmtId="0" fontId="13" fillId="2" borderId="0" xfId="0" applyFont="1" applyFill="1" applyAlignment="1">
      <alignment horizontal="left" vertical="top"/>
    </xf>
    <xf numFmtId="0" fontId="67" fillId="2" borderId="0" xfId="0" applyFont="1" applyFill="1" applyAlignment="1">
      <alignment horizontal="left" vertical="top"/>
    </xf>
    <xf numFmtId="0" fontId="38" fillId="2" borderId="0" xfId="0" applyFont="1" applyFill="1" applyAlignment="1">
      <alignment horizontal="center" vertical="top"/>
    </xf>
    <xf numFmtId="0" fontId="13" fillId="2" borderId="0" xfId="0" applyFont="1" applyFill="1" applyAlignment="1">
      <alignment horizontal="center" vertical="top"/>
    </xf>
    <xf numFmtId="0" fontId="60" fillId="2" borderId="0" xfId="0" applyFont="1" applyFill="1" applyAlignment="1">
      <alignment horizontal="right" vertical="top"/>
    </xf>
    <xf numFmtId="0" fontId="95" fillId="2" borderId="0" xfId="24" applyFont="1" applyFill="1" applyBorder="1" applyAlignment="1" applyProtection="1">
      <alignment horizontal="left" vertical="top" wrapText="1"/>
      <protection locked="0"/>
    </xf>
    <xf numFmtId="0" fontId="13" fillId="2" borderId="0" xfId="24" applyFont="1" applyFill="1" applyBorder="1" applyAlignment="1" applyProtection="1">
      <alignment horizontal="left" vertical="top"/>
      <protection locked="0"/>
    </xf>
    <xf numFmtId="0" fontId="36" fillId="2" borderId="0" xfId="24" applyFont="1" applyFill="1" applyAlignment="1">
      <alignment horizontal="left" vertical="top"/>
    </xf>
    <xf numFmtId="0" fontId="9" fillId="2" borderId="0" xfId="24" applyFont="1" applyFill="1" applyBorder="1" applyAlignment="1" applyProtection="1">
      <alignment horizontal="left" vertical="top" wrapText="1"/>
      <protection locked="0"/>
    </xf>
    <xf numFmtId="0" fontId="13" fillId="2" borderId="0" xfId="24" applyFont="1" applyFill="1" applyBorder="1" applyAlignment="1" applyProtection="1">
      <alignment horizontal="left" vertical="top" wrapText="1"/>
      <protection locked="0"/>
    </xf>
    <xf numFmtId="0" fontId="9" fillId="2" borderId="0" xfId="24" applyFont="1" applyFill="1" applyAlignment="1">
      <alignment horizontal="left" vertical="top" wrapText="1"/>
    </xf>
    <xf numFmtId="179" fontId="95" fillId="2" borderId="0" xfId="24" applyNumberFormat="1" applyFont="1" applyFill="1" applyBorder="1" applyAlignment="1" applyProtection="1">
      <alignment horizontal="left" vertical="top" wrapText="1"/>
      <protection locked="0"/>
    </xf>
    <xf numFmtId="0" fontId="5" fillId="2" borderId="0" xfId="162" applyFont="1" applyFill="1" applyBorder="1" applyAlignment="1" applyProtection="1">
      <alignment horizontal="left" vertical="top"/>
      <protection locked="0"/>
    </xf>
    <xf numFmtId="0" fontId="5" fillId="2" borderId="0" xfId="162" applyFont="1" applyFill="1" applyBorder="1" applyAlignment="1" applyProtection="1">
      <alignment horizontal="left" vertical="top" wrapText="1" indent="2"/>
      <protection locked="0"/>
    </xf>
    <xf numFmtId="0" fontId="11" fillId="2" borderId="0" xfId="24" applyFont="1" applyFill="1" applyBorder="1" applyAlignment="1" applyProtection="1">
      <alignment horizontal="left" vertical="top" wrapText="1"/>
      <protection locked="0"/>
    </xf>
    <xf numFmtId="179" fontId="11" fillId="2" borderId="0" xfId="24" applyNumberFormat="1" applyFont="1" applyFill="1" applyBorder="1" applyAlignment="1" applyProtection="1">
      <alignment horizontal="left" vertical="top" wrapText="1"/>
      <protection locked="0"/>
    </xf>
    <xf numFmtId="0" fontId="36" fillId="2" borderId="0" xfId="24" applyFont="1" applyFill="1" applyBorder="1" applyAlignment="1" applyProtection="1">
      <alignment horizontal="left" vertical="top" wrapText="1"/>
      <protection locked="0"/>
    </xf>
    <xf numFmtId="179" fontId="36" fillId="2" borderId="0" xfId="24" applyNumberFormat="1" applyFont="1" applyFill="1" applyBorder="1" applyAlignment="1" applyProtection="1">
      <alignment horizontal="left" vertical="top" wrapText="1"/>
      <protection locked="0"/>
    </xf>
    <xf numFmtId="0" fontId="106" fillId="2" borderId="0" xfId="24" applyFont="1" applyFill="1" applyAlignment="1">
      <alignment horizontal="left" vertical="top" wrapText="1"/>
    </xf>
    <xf numFmtId="0" fontId="67" fillId="2" borderId="0" xfId="0" applyFont="1" applyFill="1" applyAlignment="1">
      <alignment horizontal="left" vertical="top" wrapText="1"/>
    </xf>
    <xf numFmtId="0" fontId="9" fillId="0" borderId="0" xfId="0" applyFont="1" applyFill="1" applyAlignment="1">
      <alignment horizontal="left" vertical="top" wrapText="1" indent="2"/>
    </xf>
    <xf numFmtId="0" fontId="12" fillId="2" borderId="0" xfId="0" applyFont="1" applyFill="1" applyAlignment="1">
      <alignment horizontal="center" vertical="top"/>
    </xf>
    <xf numFmtId="0" fontId="11" fillId="2" borderId="0" xfId="0" applyFont="1" applyFill="1" applyAlignment="1">
      <alignment horizontal="center" vertical="top"/>
    </xf>
    <xf numFmtId="0" fontId="36" fillId="2" borderId="0" xfId="0" applyFont="1" applyFill="1" applyAlignment="1">
      <alignment horizontal="left" vertical="center" wrapText="1"/>
    </xf>
    <xf numFmtId="0" fontId="0" fillId="2" borderId="0" xfId="0" applyFill="1" applyAlignment="1">
      <alignment horizontal="left" vertical="top" wrapText="1" indent="6"/>
    </xf>
    <xf numFmtId="0" fontId="8" fillId="2" borderId="0" xfId="0" applyFont="1" applyFill="1" applyAlignment="1">
      <alignment horizontal="left" vertical="top" wrapText="1"/>
    </xf>
    <xf numFmtId="0" fontId="63" fillId="2" borderId="0" xfId="0" applyFont="1" applyFill="1" applyAlignment="1">
      <alignment horizontal="left" vertical="top" wrapText="1"/>
    </xf>
    <xf numFmtId="0" fontId="100" fillId="2" borderId="0" xfId="0" applyFont="1" applyFill="1" applyAlignment="1">
      <alignment horizontal="left" vertical="top" wrapText="1"/>
    </xf>
    <xf numFmtId="0" fontId="9" fillId="2" borderId="0" xfId="0" applyFont="1" applyFill="1" applyAlignment="1">
      <alignment horizontal="left" vertical="top" wrapText="1" indent="4"/>
    </xf>
    <xf numFmtId="0" fontId="11" fillId="2" borderId="0" xfId="0" applyFont="1" applyFill="1" applyBorder="1" applyAlignment="1" applyProtection="1">
      <alignment horizontal="center" vertical="top" wrapText="1"/>
      <protection locked="0"/>
    </xf>
    <xf numFmtId="0" fontId="38" fillId="2" borderId="0" xfId="0" applyFont="1" applyFill="1" applyBorder="1" applyAlignment="1" applyProtection="1">
      <alignment horizontal="center" vertical="top" wrapText="1"/>
      <protection locked="0"/>
    </xf>
    <xf numFmtId="0" fontId="13" fillId="2" borderId="0" xfId="0" applyFont="1" applyFill="1" applyBorder="1" applyAlignment="1" applyProtection="1">
      <alignment horizontal="center" vertical="top" wrapText="1"/>
      <protection locked="0"/>
    </xf>
    <xf numFmtId="0" fontId="60" fillId="2" borderId="0" xfId="0" applyFont="1" applyFill="1" applyBorder="1" applyAlignment="1" applyProtection="1">
      <alignment horizontal="right" vertical="top" wrapText="1"/>
      <protection locked="0"/>
    </xf>
    <xf numFmtId="0" fontId="11" fillId="2" borderId="0" xfId="0" applyFont="1" applyFill="1" applyBorder="1" applyAlignment="1" applyProtection="1">
      <alignment horizontal="left" vertical="top" wrapText="1"/>
      <protection locked="0"/>
    </xf>
    <xf numFmtId="0" fontId="67" fillId="2" borderId="0" xfId="0" applyFont="1" applyFill="1" applyBorder="1" applyAlignment="1" applyProtection="1">
      <alignment horizontal="left" vertical="top" wrapText="1"/>
      <protection locked="0"/>
    </xf>
    <xf numFmtId="0" fontId="95" fillId="2" borderId="0" xfId="0" applyFont="1" applyFill="1" applyBorder="1" applyAlignment="1" applyProtection="1">
      <alignment horizontal="left" vertical="top" wrapText="1"/>
      <protection locked="0"/>
    </xf>
    <xf numFmtId="0" fontId="13" fillId="2" borderId="0" xfId="0" applyFont="1" applyFill="1" applyBorder="1" applyAlignment="1" applyProtection="1">
      <alignment horizontal="left" vertical="top" wrapText="1"/>
      <protection locked="0"/>
    </xf>
    <xf numFmtId="0" fontId="60" fillId="2" borderId="0" xfId="0" applyFont="1" applyFill="1" applyBorder="1" applyAlignment="1" applyProtection="1">
      <alignment horizontal="left" vertical="top" wrapText="1"/>
      <protection locked="0"/>
    </xf>
    <xf numFmtId="179" fontId="95" fillId="2" borderId="0" xfId="0" applyNumberFormat="1" applyFont="1" applyFill="1" applyBorder="1" applyAlignment="1" applyProtection="1">
      <alignment horizontal="left" vertical="top" wrapText="1"/>
      <protection locked="0"/>
    </xf>
    <xf numFmtId="179" fontId="11" fillId="2" borderId="0" xfId="0" applyNumberFormat="1" applyFont="1" applyFill="1" applyBorder="1" applyAlignment="1" applyProtection="1">
      <alignment horizontal="left" vertical="top" wrapText="1"/>
      <protection locked="0"/>
    </xf>
    <xf numFmtId="0" fontId="36" fillId="2" borderId="0" xfId="24" applyFont="1" applyFill="1" applyBorder="1" applyAlignment="1">
      <alignment horizontal="left" vertical="top" wrapText="1"/>
    </xf>
    <xf numFmtId="0" fontId="9" fillId="2" borderId="0" xfId="0" applyFont="1" applyFill="1" applyBorder="1" applyAlignment="1">
      <alignment horizontal="left" vertical="top" wrapText="1"/>
    </xf>
    <xf numFmtId="0" fontId="13" fillId="2" borderId="0" xfId="0" applyFont="1" applyFill="1" applyBorder="1" applyAlignment="1">
      <alignment horizontal="left" vertical="top" wrapText="1"/>
    </xf>
    <xf numFmtId="0" fontId="60" fillId="2" borderId="0" xfId="0" applyFont="1" applyFill="1" applyBorder="1" applyAlignment="1">
      <alignment horizontal="left" vertical="top" wrapText="1"/>
    </xf>
    <xf numFmtId="0" fontId="9" fillId="2" borderId="0" xfId="0" applyFont="1" applyFill="1" applyBorder="1" applyAlignment="1">
      <alignment horizontal="left" wrapText="1"/>
    </xf>
    <xf numFmtId="0" fontId="9" fillId="2" borderId="0" xfId="24" applyFont="1" applyFill="1" applyBorder="1" applyAlignment="1" applyProtection="1">
      <alignment horizontal="left" vertical="top" wrapText="1" indent="6"/>
      <protection locked="0"/>
    </xf>
    <xf numFmtId="0" fontId="9" fillId="2" borderId="0" xfId="24" applyFont="1" applyFill="1" applyBorder="1" applyAlignment="1">
      <alignment horizontal="left" vertical="top" wrapText="1"/>
    </xf>
    <xf numFmtId="0" fontId="60" fillId="2" borderId="0" xfId="0" applyFont="1" applyFill="1" applyBorder="1" applyAlignment="1">
      <alignment horizontal="right" vertical="top"/>
    </xf>
    <xf numFmtId="0" fontId="100" fillId="2" borderId="0" xfId="0" applyFont="1" applyFill="1" applyBorder="1" applyAlignment="1">
      <alignment horizontal="left" vertical="top" wrapText="1"/>
    </xf>
    <xf numFmtId="0" fontId="36" fillId="2" borderId="0" xfId="0" applyFont="1" applyFill="1" applyBorder="1" applyAlignment="1">
      <alignment horizontal="left" vertical="top" wrapText="1"/>
    </xf>
    <xf numFmtId="0" fontId="67" fillId="2" borderId="0" xfId="0" applyFont="1" applyFill="1" applyBorder="1" applyAlignment="1">
      <alignment horizontal="left" vertical="top" wrapText="1"/>
    </xf>
    <xf numFmtId="0" fontId="13" fillId="2" borderId="0" xfId="0" applyFont="1" applyFill="1" applyBorder="1" applyAlignment="1">
      <alignment horizontal="left" vertical="top"/>
    </xf>
    <xf numFmtId="0" fontId="67" fillId="2" borderId="0" xfId="0" applyFont="1" applyFill="1" applyBorder="1" applyAlignment="1">
      <alignment horizontal="left" vertical="top"/>
    </xf>
    <xf numFmtId="0" fontId="38" fillId="2" borderId="0" xfId="0" applyFont="1" applyFill="1" applyBorder="1" applyAlignment="1">
      <alignment horizontal="center" vertical="top"/>
    </xf>
    <xf numFmtId="0" fontId="13" fillId="2" borderId="0" xfId="0" applyFont="1" applyFill="1" applyBorder="1" applyAlignment="1">
      <alignment horizontal="center" vertical="top"/>
    </xf>
    <xf numFmtId="0" fontId="60" fillId="2" borderId="0" xfId="0" applyFont="1" applyFill="1" applyBorder="1" applyAlignment="1">
      <alignment horizontal="right" vertical="top" wrapText="1"/>
    </xf>
    <xf numFmtId="0" fontId="12" fillId="2" borderId="0" xfId="0" applyFont="1" applyFill="1" applyBorder="1" applyAlignment="1">
      <alignment horizontal="center" vertical="top" wrapText="1"/>
    </xf>
    <xf numFmtId="0" fontId="12" fillId="2" borderId="0" xfId="0" applyFont="1" applyFill="1" applyAlignment="1">
      <alignment horizontal="center" vertical="center"/>
    </xf>
    <xf numFmtId="0" fontId="11" fillId="2" borderId="0" xfId="0" applyFont="1" applyFill="1" applyBorder="1" applyAlignment="1">
      <alignment horizontal="center" vertical="top" wrapText="1"/>
    </xf>
    <xf numFmtId="0" fontId="38" fillId="2" borderId="0" xfId="0" applyFont="1" applyFill="1" applyBorder="1" applyAlignment="1">
      <alignment horizontal="center" vertical="top" wrapText="1"/>
    </xf>
    <xf numFmtId="0" fontId="13" fillId="2" borderId="0" xfId="0" applyFont="1" applyFill="1" applyBorder="1" applyAlignment="1">
      <alignment horizontal="center" vertical="top" wrapText="1"/>
    </xf>
    <xf numFmtId="180" fontId="9" fillId="2" borderId="0" xfId="0" applyNumberFormat="1" applyFont="1" applyFill="1" applyBorder="1" applyAlignment="1">
      <alignment horizontal="left" vertical="top" wrapText="1"/>
    </xf>
    <xf numFmtId="0" fontId="65" fillId="2" borderId="0" xfId="0" applyFont="1" applyFill="1" applyAlignment="1">
      <alignment horizontal="left" vertical="top" wrapText="1"/>
    </xf>
    <xf numFmtId="0" fontId="63" fillId="2" borderId="0" xfId="0" applyFont="1" applyFill="1" applyBorder="1" applyAlignment="1">
      <alignment horizontal="left" wrapText="1"/>
    </xf>
    <xf numFmtId="0" fontId="11" fillId="2" borderId="0" xfId="0" applyFont="1" applyFill="1" applyBorder="1" applyAlignment="1">
      <alignment horizontal="left" vertical="top" wrapText="1"/>
    </xf>
    <xf numFmtId="0" fontId="106" fillId="2" borderId="0" xfId="0" applyFont="1" applyFill="1" applyBorder="1" applyAlignment="1">
      <alignment horizontal="left" vertical="top" wrapText="1"/>
    </xf>
    <xf numFmtId="15" fontId="5" fillId="2" borderId="0" xfId="161" applyNumberFormat="1" applyFont="1" applyFill="1" applyBorder="1" applyAlignment="1" applyProtection="1">
      <alignment horizontal="left" wrapText="1"/>
      <protection locked="0"/>
    </xf>
    <xf numFmtId="0" fontId="9" fillId="2" borderId="0" xfId="0" applyFont="1" applyFill="1" applyBorder="1" applyAlignment="1">
      <alignment horizontal="left" wrapText="1" indent="2"/>
    </xf>
    <xf numFmtId="0" fontId="5" fillId="2" borderId="0" xfId="162" applyFont="1" applyFill="1" applyBorder="1" applyAlignment="1" applyProtection="1">
      <alignment horizontal="left" wrapText="1" indent="2"/>
      <protection locked="0"/>
    </xf>
    <xf numFmtId="15" fontId="5" fillId="2" borderId="0" xfId="161" applyNumberFormat="1" applyFont="1" applyFill="1" applyBorder="1" applyAlignment="1" applyProtection="1">
      <alignment horizontal="left" vertical="top" wrapText="1"/>
      <protection locked="0"/>
    </xf>
    <xf numFmtId="15" fontId="75" fillId="2" borderId="0" xfId="161" applyNumberFormat="1" applyFont="1" applyFill="1" applyBorder="1" applyAlignment="1" applyProtection="1">
      <alignment horizontal="left" vertical="top" wrapText="1"/>
    </xf>
    <xf numFmtId="0" fontId="36" fillId="2" borderId="0" xfId="0" applyFont="1" applyFill="1" applyBorder="1" applyAlignment="1">
      <alignment vertical="top" wrapText="1"/>
    </xf>
    <xf numFmtId="15" fontId="5" fillId="2" borderId="0" xfId="161" applyNumberFormat="1" applyFont="1" applyFill="1" applyBorder="1" applyAlignment="1" applyProtection="1">
      <alignment horizontal="left" wrapText="1" indent="2"/>
      <protection locked="0"/>
    </xf>
    <xf numFmtId="0" fontId="12" fillId="2" borderId="0" xfId="0" applyFont="1" applyFill="1" applyBorder="1" applyAlignment="1">
      <alignment horizontal="center" vertical="center" wrapText="1"/>
    </xf>
    <xf numFmtId="0" fontId="5" fillId="2" borderId="0" xfId="165" applyFont="1" applyFill="1" applyBorder="1" applyAlignment="1" applyProtection="1">
      <alignment horizontal="left" wrapText="1" indent="2"/>
      <protection locked="0"/>
    </xf>
    <xf numFmtId="0" fontId="9" fillId="0" borderId="0" xfId="0" applyFont="1" applyFill="1" applyAlignment="1">
      <alignment horizontal="left" wrapText="1"/>
    </xf>
    <xf numFmtId="0" fontId="9" fillId="2" borderId="0" xfId="166" applyFont="1" applyFill="1" applyBorder="1" applyAlignment="1" applyProtection="1">
      <alignment horizontal="left" wrapText="1"/>
      <protection locked="0"/>
    </xf>
    <xf numFmtId="0" fontId="13" fillId="2" borderId="0" xfId="166" applyFont="1" applyFill="1" applyBorder="1" applyAlignment="1" applyProtection="1">
      <alignment horizontal="left" vertical="top"/>
      <protection locked="0"/>
    </xf>
    <xf numFmtId="0" fontId="95" fillId="2" borderId="0" xfId="166" applyFont="1" applyFill="1" applyBorder="1" applyAlignment="1" applyProtection="1">
      <alignment horizontal="left" vertical="top" wrapText="1"/>
      <protection locked="0"/>
    </xf>
    <xf numFmtId="179" fontId="95" fillId="2" borderId="0" xfId="166" applyNumberFormat="1" applyFont="1" applyFill="1" applyBorder="1" applyAlignment="1" applyProtection="1">
      <alignment horizontal="left" vertical="top" wrapText="1"/>
      <protection locked="0"/>
    </xf>
    <xf numFmtId="0" fontId="11" fillId="2" borderId="0" xfId="166" applyFont="1" applyFill="1" applyBorder="1" applyAlignment="1" applyProtection="1">
      <alignment horizontal="left" vertical="top" wrapText="1"/>
      <protection locked="0"/>
    </xf>
    <xf numFmtId="179" fontId="11" fillId="2" borderId="0" xfId="166" applyNumberFormat="1" applyFont="1" applyFill="1" applyBorder="1" applyAlignment="1" applyProtection="1">
      <alignment horizontal="left" vertical="top" wrapText="1"/>
      <protection locked="0"/>
    </xf>
    <xf numFmtId="0" fontId="9" fillId="2" borderId="0" xfId="0" applyFont="1" applyFill="1" applyAlignment="1">
      <alignment wrapText="1"/>
    </xf>
    <xf numFmtId="0" fontId="9" fillId="2" borderId="0" xfId="0" applyFont="1" applyFill="1" applyBorder="1" applyAlignment="1" applyProtection="1">
      <alignment horizontal="left" wrapText="1"/>
      <protection locked="0"/>
    </xf>
    <xf numFmtId="0" fontId="13" fillId="2" borderId="0" xfId="166" applyFont="1" applyFill="1" applyBorder="1" applyAlignment="1" applyProtection="1">
      <alignment horizontal="left" wrapText="1"/>
      <protection locked="0"/>
    </xf>
    <xf numFmtId="0" fontId="36" fillId="2" borderId="0" xfId="166" applyFont="1" applyFill="1" applyBorder="1" applyAlignment="1" applyProtection="1">
      <alignment horizontal="left" vertical="top" wrapText="1"/>
      <protection locked="0"/>
    </xf>
    <xf numFmtId="179" fontId="36" fillId="2" borderId="0" xfId="166" applyNumberFormat="1" applyFont="1" applyFill="1" applyBorder="1" applyAlignment="1" applyProtection="1">
      <alignment horizontal="left" vertical="top" wrapText="1"/>
      <protection locked="0"/>
    </xf>
    <xf numFmtId="15" fontId="75" fillId="2" borderId="0" xfId="161" applyNumberFormat="1" applyFont="1" applyFill="1" applyBorder="1" applyAlignment="1" applyProtection="1">
      <alignment horizontal="left" vertical="top" wrapText="1"/>
      <protection locked="0"/>
    </xf>
    <xf numFmtId="0" fontId="36" fillId="2" borderId="0" xfId="0" applyFont="1" applyFill="1" applyBorder="1" applyAlignment="1" applyProtection="1">
      <alignment horizontal="left" vertical="top" wrapText="1"/>
      <protection locked="0"/>
    </xf>
    <xf numFmtId="179" fontId="36" fillId="2" borderId="0" xfId="0" applyNumberFormat="1" applyFont="1" applyFill="1" applyBorder="1" applyAlignment="1" applyProtection="1">
      <alignment horizontal="left" vertical="top" wrapText="1"/>
      <protection locked="0"/>
    </xf>
    <xf numFmtId="0" fontId="13" fillId="2" borderId="0" xfId="0" applyFont="1" applyFill="1" applyBorder="1" applyAlignment="1" applyProtection="1">
      <alignment horizontal="left"/>
      <protection locked="0"/>
    </xf>
    <xf numFmtId="0" fontId="36" fillId="2" borderId="0" xfId="0" applyFont="1" applyFill="1" applyAlignment="1">
      <alignment horizontal="left"/>
    </xf>
    <xf numFmtId="0" fontId="13" fillId="2" borderId="0" xfId="0" applyFont="1" applyFill="1" applyBorder="1" applyAlignment="1" applyProtection="1">
      <alignment horizontal="left" wrapText="1"/>
      <protection locked="0"/>
    </xf>
    <xf numFmtId="0" fontId="13" fillId="2" borderId="0" xfId="0" applyFont="1" applyFill="1" applyBorder="1" applyAlignment="1" applyProtection="1">
      <alignment horizontal="left" vertical="top"/>
      <protection locked="0"/>
    </xf>
    <xf numFmtId="0" fontId="22" fillId="2" borderId="0" xfId="0" applyFont="1" applyFill="1" applyBorder="1" applyAlignment="1" applyProtection="1">
      <alignment horizontal="left"/>
      <protection locked="0"/>
    </xf>
    <xf numFmtId="0" fontId="137" fillId="2" borderId="0" xfId="0" applyFont="1" applyFill="1" applyBorder="1" applyAlignment="1" applyProtection="1">
      <alignment horizontal="left" vertical="top" wrapText="1"/>
      <protection locked="0"/>
    </xf>
    <xf numFmtId="0" fontId="63" fillId="2" borderId="0" xfId="0" applyFont="1" applyFill="1" applyAlignment="1">
      <alignment horizontal="left" wrapText="1"/>
    </xf>
    <xf numFmtId="0" fontId="105" fillId="2" borderId="0" xfId="0" applyFont="1" applyFill="1" applyAlignment="1">
      <alignment horizontal="left" vertical="top" wrapText="1"/>
    </xf>
    <xf numFmtId="0" fontId="12" fillId="2" borderId="0" xfId="0" applyFont="1" applyFill="1" applyBorder="1" applyAlignment="1" applyProtection="1">
      <alignment horizontal="center" vertical="top" wrapText="1"/>
      <protection locked="0"/>
    </xf>
    <xf numFmtId="0" fontId="36" fillId="2" borderId="0" xfId="0" applyFont="1" applyFill="1" applyAlignment="1">
      <alignment vertical="top" wrapText="1"/>
    </xf>
    <xf numFmtId="0" fontId="9" fillId="2" borderId="0" xfId="0" applyFont="1" applyFill="1" applyBorder="1" applyAlignment="1" applyProtection="1">
      <alignment horizontal="left" vertical="top" wrapText="1" indent="2"/>
      <protection locked="0"/>
    </xf>
    <xf numFmtId="0" fontId="9" fillId="2" borderId="0" xfId="0" applyFont="1" applyFill="1" applyBorder="1" applyAlignment="1" applyProtection="1">
      <alignment horizontal="left" vertical="top" wrapText="1" indent="6"/>
      <protection locked="0"/>
    </xf>
    <xf numFmtId="179" fontId="9" fillId="2" borderId="0" xfId="0" applyNumberFormat="1" applyFont="1" applyFill="1" applyBorder="1" applyAlignment="1">
      <alignment horizontal="left" vertical="top" wrapText="1"/>
    </xf>
    <xf numFmtId="0" fontId="13" fillId="2" borderId="0" xfId="107" applyFont="1" applyFill="1" applyBorder="1" applyAlignment="1" applyProtection="1">
      <alignment horizontal="left" vertical="top"/>
      <protection locked="0"/>
    </xf>
    <xf numFmtId="0" fontId="9" fillId="2" borderId="100" xfId="0" applyFont="1" applyFill="1" applyBorder="1" applyAlignment="1" applyProtection="1">
      <alignment horizontal="left" vertical="top" wrapText="1"/>
      <protection locked="0"/>
    </xf>
    <xf numFmtId="0" fontId="0" fillId="2" borderId="100" xfId="0" applyFill="1" applyBorder="1" applyAlignment="1">
      <alignment horizontal="left" vertical="top" wrapText="1"/>
    </xf>
    <xf numFmtId="0" fontId="9" fillId="2" borderId="99" xfId="0" applyFont="1" applyFill="1" applyBorder="1" applyAlignment="1" applyProtection="1">
      <alignment horizontal="left" vertical="top" wrapText="1"/>
      <protection locked="0"/>
    </xf>
    <xf numFmtId="0" fontId="0" fillId="2" borderId="99" xfId="0" applyFill="1" applyBorder="1" applyAlignment="1">
      <alignment horizontal="left" vertical="top" wrapText="1"/>
    </xf>
    <xf numFmtId="0" fontId="9" fillId="2" borderId="113" xfId="0" applyFont="1" applyFill="1" applyBorder="1" applyAlignment="1" applyProtection="1">
      <alignment horizontal="left" vertical="top" wrapText="1"/>
      <protection locked="0"/>
    </xf>
    <xf numFmtId="0" fontId="9" fillId="2" borderId="113" xfId="0" applyFont="1" applyFill="1" applyBorder="1" applyAlignment="1">
      <alignment horizontal="left" vertical="top" wrapText="1"/>
    </xf>
    <xf numFmtId="179" fontId="36" fillId="2" borderId="0" xfId="0" applyNumberFormat="1" applyFont="1" applyFill="1" applyBorder="1" applyAlignment="1">
      <alignment horizontal="left" vertical="top" wrapText="1"/>
    </xf>
    <xf numFmtId="0" fontId="13" fillId="2" borderId="113" xfId="107" applyFont="1" applyFill="1" applyBorder="1" applyAlignment="1" applyProtection="1">
      <alignment horizontal="left" vertical="top" wrapText="1"/>
      <protection locked="0"/>
    </xf>
    <xf numFmtId="0" fontId="13" fillId="2" borderId="113" xfId="0" applyFont="1" applyFill="1" applyBorder="1" applyAlignment="1" applyProtection="1">
      <alignment horizontal="left" vertical="top" wrapText="1"/>
      <protection locked="0"/>
    </xf>
    <xf numFmtId="0" fontId="36" fillId="2" borderId="0" xfId="0" applyFont="1" applyFill="1" applyBorder="1" applyAlignment="1">
      <alignment horizontal="left" vertical="top"/>
    </xf>
    <xf numFmtId="0" fontId="11" fillId="2" borderId="0" xfId="107" applyFont="1" applyFill="1" applyBorder="1" applyAlignment="1" applyProtection="1">
      <alignment horizontal="left" vertical="top" wrapText="1"/>
      <protection locked="0"/>
    </xf>
    <xf numFmtId="0" fontId="9"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3" fillId="2" borderId="0" xfId="0" applyFont="1" applyFill="1" applyBorder="1" applyAlignment="1">
      <alignment horizontal="left" wrapText="1"/>
    </xf>
    <xf numFmtId="0" fontId="36" fillId="2" borderId="0" xfId="0" applyFont="1" applyFill="1" applyBorder="1" applyAlignment="1">
      <alignment horizontal="left" wrapText="1"/>
    </xf>
    <xf numFmtId="0" fontId="91" fillId="2" borderId="0" xfId="0" applyFont="1" applyFill="1" applyAlignment="1">
      <alignment horizontal="center" vertical="top" wrapText="1"/>
    </xf>
    <xf numFmtId="0" fontId="91" fillId="2" borderId="0" xfId="0" applyFont="1" applyFill="1" applyAlignment="1">
      <alignment horizontal="center" vertical="top"/>
    </xf>
    <xf numFmtId="0" fontId="39" fillId="2" borderId="0" xfId="0" applyFont="1" applyFill="1" applyAlignment="1">
      <alignment horizontal="center" vertical="top" wrapText="1"/>
    </xf>
    <xf numFmtId="0" fontId="39" fillId="2" borderId="0" xfId="0" applyFont="1" applyFill="1" applyAlignment="1">
      <alignment horizontal="center" vertical="top"/>
    </xf>
    <xf numFmtId="0" fontId="18" fillId="2" borderId="0" xfId="0" applyFont="1" applyFill="1" applyAlignment="1">
      <alignment horizontal="center" vertical="top" wrapText="1"/>
    </xf>
    <xf numFmtId="0" fontId="18" fillId="2" borderId="0" xfId="0" applyFont="1" applyFill="1" applyAlignment="1">
      <alignment horizontal="center" vertical="top"/>
    </xf>
    <xf numFmtId="0" fontId="22" fillId="2" borderId="0" xfId="0" applyFont="1" applyFill="1" applyAlignment="1">
      <alignment horizontal="center" vertical="top" wrapText="1"/>
    </xf>
    <xf numFmtId="0" fontId="22" fillId="2" borderId="0" xfId="0" applyFont="1" applyFill="1" applyAlignment="1">
      <alignment horizontal="center" vertical="top"/>
    </xf>
    <xf numFmtId="0" fontId="13" fillId="2" borderId="0" xfId="0" applyFont="1" applyFill="1" applyBorder="1" applyAlignment="1">
      <alignment horizontal="left" vertical="center" wrapText="1"/>
    </xf>
    <xf numFmtId="0" fontId="74" fillId="2" borderId="0" xfId="0" applyFont="1" applyFill="1" applyAlignment="1">
      <alignment horizontal="right" vertical="top" wrapText="1"/>
    </xf>
    <xf numFmtId="0" fontId="74" fillId="2" borderId="0" xfId="0" applyFont="1" applyFill="1" applyAlignment="1">
      <alignment horizontal="right" vertical="top"/>
    </xf>
    <xf numFmtId="0" fontId="39" fillId="2" borderId="0" xfId="0" applyFont="1" applyFill="1" applyAlignment="1">
      <alignment horizontal="left" vertical="top" wrapText="1"/>
    </xf>
    <xf numFmtId="0" fontId="9" fillId="2" borderId="0" xfId="0" quotePrefix="1" applyFont="1" applyFill="1" applyBorder="1" applyAlignment="1">
      <alignment horizontal="left" vertical="center" wrapText="1"/>
    </xf>
    <xf numFmtId="0" fontId="36" fillId="2" borderId="0" xfId="0" applyFont="1" applyFill="1" applyBorder="1" applyAlignment="1">
      <alignment horizontal="left" vertical="center" wrapText="1"/>
    </xf>
    <xf numFmtId="0" fontId="22" fillId="2" borderId="0" xfId="0" applyFont="1" applyFill="1" applyAlignment="1">
      <alignment horizontal="left" vertical="top" wrapText="1"/>
    </xf>
    <xf numFmtId="0" fontId="5" fillId="2" borderId="0" xfId="0" applyFont="1" applyFill="1" applyAlignment="1">
      <alignment horizontal="left" vertical="top" wrapText="1" indent="6"/>
    </xf>
    <xf numFmtId="0" fontId="5" fillId="2" borderId="0" xfId="0" applyFont="1" applyFill="1" applyAlignment="1">
      <alignment horizontal="left" vertical="top" wrapText="1"/>
    </xf>
    <xf numFmtId="0" fontId="5" fillId="2" borderId="0" xfId="0" applyFont="1" applyFill="1" applyAlignment="1">
      <alignment wrapText="1"/>
    </xf>
    <xf numFmtId="0" fontId="12" fillId="2" borderId="0" xfId="0" applyFont="1" applyFill="1" applyBorder="1" applyAlignment="1">
      <alignment horizontal="center" vertical="top"/>
    </xf>
    <xf numFmtId="0" fontId="11" fillId="2" borderId="0" xfId="0" applyFont="1" applyFill="1" applyBorder="1" applyAlignment="1">
      <alignment horizontal="center" vertical="top"/>
    </xf>
    <xf numFmtId="0" fontId="38" fillId="2" borderId="0" xfId="0" quotePrefix="1" applyFont="1" applyFill="1" applyBorder="1" applyAlignment="1">
      <alignment horizontal="center" vertical="top" wrapText="1"/>
    </xf>
    <xf numFmtId="0" fontId="11" fillId="2" borderId="0" xfId="0" applyFont="1" applyFill="1" applyBorder="1" applyAlignment="1">
      <alignment horizontal="left" vertical="center" wrapText="1"/>
    </xf>
    <xf numFmtId="0" fontId="13" fillId="2" borderId="0" xfId="0" quotePrefix="1" applyFont="1" applyFill="1" applyBorder="1" applyAlignment="1">
      <alignment horizontal="left" vertical="top" wrapText="1"/>
    </xf>
    <xf numFmtId="0" fontId="65" fillId="2" borderId="0" xfId="0" applyFont="1" applyFill="1" applyBorder="1" applyAlignment="1">
      <alignment horizontal="left" vertical="center" wrapText="1"/>
    </xf>
    <xf numFmtId="0" fontId="12" fillId="2" borderId="0" xfId="166" applyFont="1" applyFill="1" applyBorder="1" applyAlignment="1" applyProtection="1">
      <alignment horizontal="center" vertical="top" wrapText="1"/>
      <protection locked="0"/>
    </xf>
    <xf numFmtId="0" fontId="11" fillId="2" borderId="0" xfId="166" applyFont="1" applyFill="1" applyBorder="1" applyAlignment="1" applyProtection="1">
      <alignment horizontal="center" vertical="top" wrapText="1"/>
      <protection locked="0"/>
    </xf>
    <xf numFmtId="0" fontId="9" fillId="2" borderId="0" xfId="24" applyFont="1" applyFill="1" applyBorder="1" applyAlignment="1" applyProtection="1">
      <alignment horizontal="left" vertical="top" wrapText="1" indent="2"/>
      <protection locked="0"/>
    </xf>
    <xf numFmtId="15" fontId="75" fillId="2" borderId="0" xfId="277" applyNumberFormat="1" applyFont="1" applyFill="1" applyBorder="1" applyAlignment="1" applyProtection="1">
      <alignment horizontal="left" vertical="top" wrapText="1"/>
    </xf>
    <xf numFmtId="179" fontId="36" fillId="2" borderId="0" xfId="24" applyNumberFormat="1" applyFont="1" applyFill="1" applyBorder="1" applyAlignment="1">
      <alignment horizontal="left" vertical="top" wrapText="1"/>
    </xf>
    <xf numFmtId="180" fontId="9" fillId="2" borderId="0" xfId="0" applyNumberFormat="1" applyFont="1" applyFill="1" applyAlignment="1">
      <alignment horizontal="left" vertical="top" wrapText="1"/>
    </xf>
    <xf numFmtId="0" fontId="11" fillId="2" borderId="0" xfId="0" applyFont="1" applyFill="1" applyAlignment="1">
      <alignment horizontal="center" vertical="center" wrapText="1"/>
    </xf>
    <xf numFmtId="0" fontId="9" fillId="2" borderId="0" xfId="0" applyFont="1" applyFill="1" applyAlignment="1">
      <alignment vertical="top" wrapText="1"/>
    </xf>
    <xf numFmtId="15" fontId="39" fillId="2" borderId="0" xfId="161" applyNumberFormat="1" applyFont="1" applyFill="1" applyAlignment="1" applyProtection="1">
      <alignment horizontal="left" vertical="top" wrapText="1"/>
    </xf>
    <xf numFmtId="0" fontId="63" fillId="0" borderId="0" xfId="0" applyFont="1" applyFill="1" applyAlignment="1">
      <alignment horizontal="left" vertical="top" wrapText="1"/>
    </xf>
    <xf numFmtId="0" fontId="9" fillId="0" borderId="0" xfId="0" applyFont="1" applyFill="1" applyAlignment="1">
      <alignment horizontal="left" vertical="top" wrapText="1"/>
    </xf>
    <xf numFmtId="0" fontId="0" fillId="2" borderId="0" xfId="0" applyFill="1" applyAlignment="1">
      <alignment vertical="top" wrapText="1"/>
    </xf>
    <xf numFmtId="179" fontId="9" fillId="2" borderId="0" xfId="0" applyNumberFormat="1" applyFont="1" applyFill="1" applyBorder="1" applyAlignment="1" applyProtection="1">
      <alignment horizontal="left" vertical="top" wrapText="1"/>
      <protection locked="0"/>
    </xf>
    <xf numFmtId="0" fontId="85" fillId="2" borderId="0" xfId="0" applyFont="1" applyFill="1" applyAlignment="1">
      <alignment horizontal="left" vertical="top" wrapText="1"/>
    </xf>
    <xf numFmtId="0" fontId="108" fillId="2" borderId="0" xfId="0" applyFont="1" applyFill="1" applyAlignment="1">
      <alignment horizontal="left" vertical="top" wrapText="1"/>
    </xf>
    <xf numFmtId="0" fontId="12" fillId="2" borderId="0" xfId="0" quotePrefix="1" applyFont="1" applyFill="1" applyAlignment="1">
      <alignment horizontal="center" vertical="top" wrapText="1"/>
    </xf>
    <xf numFmtId="0" fontId="5" fillId="2" borderId="0" xfId="0" applyFont="1" applyFill="1" applyAlignment="1">
      <alignment horizontal="left" vertical="top" wrapText="1" indent="2"/>
    </xf>
    <xf numFmtId="0" fontId="10" fillId="2" borderId="0" xfId="0" applyFont="1" applyFill="1" applyAlignment="1">
      <alignment horizontal="left" vertical="top" wrapText="1"/>
    </xf>
    <xf numFmtId="0" fontId="12" fillId="2" borderId="0" xfId="24" applyFont="1" applyFill="1" applyBorder="1" applyAlignment="1">
      <alignment horizontal="center" vertical="top" wrapText="1"/>
    </xf>
    <xf numFmtId="0" fontId="9" fillId="2" borderId="96" xfId="0" applyFont="1" applyFill="1" applyBorder="1" applyAlignment="1">
      <alignment horizontal="left" vertical="top" wrapText="1"/>
    </xf>
    <xf numFmtId="0" fontId="9" fillId="2" borderId="0" xfId="0" applyFont="1" applyFill="1" applyAlignment="1">
      <alignment horizontal="left" vertical="center" wrapText="1" indent="2"/>
    </xf>
    <xf numFmtId="0" fontId="9" fillId="2" borderId="0" xfId="0" quotePrefix="1" applyFont="1" applyFill="1" applyAlignment="1">
      <alignment horizontal="left" vertical="top" wrapText="1"/>
    </xf>
    <xf numFmtId="0" fontId="37" fillId="0" borderId="0" xfId="0" applyFont="1" applyFill="1" applyAlignment="1">
      <alignment horizontal="left" wrapText="1"/>
    </xf>
    <xf numFmtId="0" fontId="8" fillId="0" borderId="0" xfId="0" applyFont="1" applyFill="1" applyAlignment="1">
      <alignment horizontal="left" wrapText="1"/>
    </xf>
    <xf numFmtId="0" fontId="11" fillId="0" borderId="0" xfId="0" applyFont="1" applyFill="1" applyAlignment="1">
      <alignment horizontal="left" vertical="top"/>
    </xf>
    <xf numFmtId="0" fontId="106" fillId="0" borderId="0" xfId="0" applyFont="1" applyFill="1" applyAlignment="1">
      <alignment horizontal="left" vertical="top"/>
    </xf>
    <xf numFmtId="0" fontId="8" fillId="0" borderId="0" xfId="0" applyFont="1" applyFill="1" applyAlignment="1">
      <alignment horizontal="left" vertical="top" wrapText="1"/>
    </xf>
    <xf numFmtId="0" fontId="37" fillId="0" borderId="0" xfId="0" applyFont="1" applyFill="1" applyAlignment="1">
      <alignment horizontal="left" vertical="top"/>
    </xf>
    <xf numFmtId="0" fontId="8" fillId="0" borderId="0" xfId="0" applyFont="1" applyFill="1" applyAlignment="1">
      <alignment horizontal="left" vertical="top"/>
    </xf>
    <xf numFmtId="0" fontId="36" fillId="2" borderId="0" xfId="211" applyFont="1" applyFill="1" applyBorder="1" applyAlignment="1">
      <alignment horizontal="left" vertical="top" wrapText="1"/>
    </xf>
    <xf numFmtId="0" fontId="36" fillId="2" borderId="0" xfId="212" applyFont="1" applyFill="1" applyBorder="1" applyAlignment="1">
      <alignment horizontal="left" vertical="top" wrapText="1"/>
    </xf>
    <xf numFmtId="0" fontId="38" fillId="0" borderId="0" xfId="0" applyFont="1" applyFill="1" applyAlignment="1">
      <alignment horizontal="center" vertical="top" wrapText="1"/>
    </xf>
    <xf numFmtId="0" fontId="13" fillId="0" borderId="0" xfId="0" applyFont="1" applyFill="1" applyAlignment="1">
      <alignment horizontal="center" vertical="top" wrapText="1"/>
    </xf>
    <xf numFmtId="0" fontId="10" fillId="0" borderId="0" xfId="0" applyFont="1" applyFill="1" applyBorder="1" applyAlignment="1">
      <alignment horizontal="left" wrapText="1"/>
    </xf>
    <xf numFmtId="0" fontId="5" fillId="2" borderId="0" xfId="0" applyFont="1" applyFill="1" applyBorder="1" applyAlignment="1" applyProtection="1">
      <alignment horizontal="left" vertical="top" wrapText="1"/>
      <protection locked="0"/>
    </xf>
    <xf numFmtId="0" fontId="59" fillId="2" borderId="0" xfId="0" applyFont="1" applyFill="1" applyAlignment="1">
      <alignment horizontal="left" vertical="top" wrapText="1"/>
    </xf>
    <xf numFmtId="0" fontId="5" fillId="2" borderId="0" xfId="0" applyFont="1" applyFill="1" applyAlignment="1">
      <alignment horizontal="left" wrapText="1"/>
    </xf>
    <xf numFmtId="0" fontId="13" fillId="2" borderId="0" xfId="0" quotePrefix="1" applyFont="1" applyFill="1" applyBorder="1" applyAlignment="1">
      <alignment horizontal="left" vertical="center" wrapText="1"/>
    </xf>
    <xf numFmtId="0" fontId="36" fillId="2" borderId="0" xfId="0" applyFont="1" applyFill="1" applyBorder="1" applyAlignment="1">
      <alignment horizontal="left" vertical="center" wrapText="1" indent="2"/>
    </xf>
    <xf numFmtId="0" fontId="36" fillId="2" borderId="0" xfId="0" applyFont="1" applyFill="1" applyBorder="1" applyAlignment="1">
      <alignment horizontal="left" vertical="center" wrapText="1" indent="4"/>
    </xf>
    <xf numFmtId="0" fontId="0" fillId="2" borderId="0" xfId="0" applyFill="1" applyBorder="1" applyAlignment="1">
      <alignment horizontal="left" vertical="center" wrapText="1"/>
    </xf>
    <xf numFmtId="0" fontId="106" fillId="2" borderId="0" xfId="0" applyFont="1" applyFill="1" applyBorder="1" applyAlignment="1">
      <alignment horizontal="left" vertical="center" wrapText="1"/>
    </xf>
    <xf numFmtId="0" fontId="64" fillId="2" borderId="0" xfId="0" applyFont="1" applyFill="1" applyBorder="1" applyAlignment="1">
      <alignment horizontal="left" vertical="center" wrapText="1"/>
    </xf>
    <xf numFmtId="0" fontId="0" fillId="2" borderId="0" xfId="0" applyFont="1" applyFill="1" applyBorder="1" applyAlignment="1">
      <alignment horizontal="left" vertical="center" wrapText="1"/>
    </xf>
    <xf numFmtId="0" fontId="63" fillId="2" borderId="0" xfId="0" applyFont="1" applyFill="1" applyBorder="1" applyAlignment="1">
      <alignment vertical="center"/>
    </xf>
    <xf numFmtId="0" fontId="0" fillId="2" borderId="0" xfId="0" applyFill="1" applyBorder="1" applyAlignment="1">
      <alignment vertical="center"/>
    </xf>
    <xf numFmtId="0" fontId="9" fillId="2" borderId="0" xfId="0" applyFont="1" applyFill="1" applyBorder="1" applyAlignment="1" applyProtection="1">
      <alignment horizontal="left" wrapText="1" indent="6"/>
      <protection locked="0"/>
    </xf>
    <xf numFmtId="0" fontId="67" fillId="2" borderId="0" xfId="0" applyFont="1" applyFill="1" applyAlignment="1">
      <alignment horizontal="right" vertical="center" wrapText="1"/>
    </xf>
    <xf numFmtId="0" fontId="9" fillId="2" borderId="100" xfId="0" applyFont="1" applyFill="1" applyBorder="1" applyAlignment="1">
      <alignment horizontal="left" vertical="top" wrapText="1"/>
    </xf>
    <xf numFmtId="0" fontId="9" fillId="2" borderId="99" xfId="0" applyFont="1" applyFill="1" applyBorder="1" applyAlignment="1" applyProtection="1">
      <alignment horizontal="left" vertical="center" wrapText="1"/>
      <protection locked="0"/>
    </xf>
    <xf numFmtId="0" fontId="109" fillId="2" borderId="0" xfId="0" applyFont="1" applyFill="1" applyAlignment="1">
      <alignment horizontal="center" vertical="center" wrapText="1"/>
    </xf>
    <xf numFmtId="0" fontId="105" fillId="2" borderId="0" xfId="0" applyFont="1" applyFill="1" applyAlignment="1">
      <alignment horizontal="left" wrapText="1"/>
    </xf>
    <xf numFmtId="0" fontId="105" fillId="2" borderId="0" xfId="0" applyFont="1" applyFill="1" applyAlignment="1">
      <alignment horizontal="left" vertical="center" wrapText="1"/>
    </xf>
    <xf numFmtId="0" fontId="64" fillId="2" borderId="0" xfId="0" applyFont="1" applyFill="1" applyAlignment="1">
      <alignment horizontal="left" wrapText="1"/>
    </xf>
    <xf numFmtId="0" fontId="9" fillId="2" borderId="0" xfId="0" applyFont="1" applyFill="1" applyBorder="1" applyAlignment="1" applyProtection="1">
      <alignment wrapText="1"/>
      <protection locked="0"/>
    </xf>
    <xf numFmtId="0" fontId="38" fillId="2" borderId="0" xfId="166" applyFont="1" applyFill="1" applyBorder="1" applyAlignment="1" applyProtection="1">
      <alignment horizontal="center" vertical="top" wrapText="1"/>
      <protection locked="0"/>
    </xf>
    <xf numFmtId="0" fontId="13" fillId="2" borderId="0" xfId="166" applyFont="1" applyFill="1" applyBorder="1" applyAlignment="1" applyProtection="1">
      <alignment horizontal="center" vertical="top" wrapText="1"/>
      <protection locked="0"/>
    </xf>
    <xf numFmtId="0" fontId="60" fillId="2" borderId="0" xfId="166" applyFont="1" applyFill="1" applyBorder="1" applyAlignment="1" applyProtection="1">
      <alignment horizontal="right" vertical="top" wrapText="1"/>
      <protection locked="0"/>
    </xf>
    <xf numFmtId="0" fontId="67" fillId="2" borderId="0" xfId="166" applyFont="1" applyFill="1" applyBorder="1" applyAlignment="1" applyProtection="1">
      <alignment horizontal="left" vertical="top" wrapText="1"/>
      <protection locked="0"/>
    </xf>
    <xf numFmtId="0" fontId="13" fillId="2" borderId="0" xfId="166" applyFont="1" applyFill="1" applyBorder="1" applyAlignment="1" applyProtection="1">
      <alignment horizontal="left"/>
      <protection locked="0"/>
    </xf>
    <xf numFmtId="0" fontId="9" fillId="0" borderId="0" xfId="166" applyFont="1" applyFill="1" applyBorder="1" applyAlignment="1" applyProtection="1">
      <alignment horizontal="left" wrapText="1"/>
      <protection locked="0"/>
    </xf>
    <xf numFmtId="0" fontId="5" fillId="2" borderId="0" xfId="166" applyFont="1" applyFill="1" applyBorder="1" applyAlignment="1" applyProtection="1">
      <alignment horizontal="left" wrapText="1"/>
      <protection locked="0"/>
    </xf>
    <xf numFmtId="179" fontId="5" fillId="2" borderId="0" xfId="166" applyNumberFormat="1" applyFont="1" applyFill="1" applyBorder="1" applyAlignment="1" applyProtection="1">
      <alignment horizontal="left" wrapText="1"/>
      <protection locked="0"/>
    </xf>
    <xf numFmtId="0" fontId="95" fillId="2" borderId="0" xfId="166" applyFont="1" applyFill="1" applyBorder="1" applyAlignment="1" applyProtection="1">
      <alignment horizontal="left" wrapText="1"/>
      <protection locked="0"/>
    </xf>
    <xf numFmtId="0" fontId="9" fillId="2" borderId="0" xfId="166" applyFont="1" applyFill="1" applyBorder="1" applyAlignment="1" applyProtection="1">
      <alignment horizontal="left" wrapText="1" indent="6"/>
      <protection locked="0"/>
    </xf>
    <xf numFmtId="0" fontId="9" fillId="2" borderId="0" xfId="166" applyFont="1" applyFill="1" applyBorder="1" applyAlignment="1" applyProtection="1">
      <alignment horizontal="left" vertical="top" wrapText="1"/>
      <protection locked="0"/>
    </xf>
    <xf numFmtId="179" fontId="9" fillId="2" borderId="0" xfId="166" applyNumberFormat="1" applyFont="1" applyFill="1" applyBorder="1" applyAlignment="1" applyProtection="1">
      <alignment horizontal="left" vertical="top" wrapText="1"/>
      <protection locked="0"/>
    </xf>
    <xf numFmtId="0" fontId="106" fillId="2" borderId="0" xfId="0" applyFont="1" applyFill="1" applyAlignment="1">
      <alignment horizontal="left" wrapText="1"/>
    </xf>
    <xf numFmtId="0" fontId="11" fillId="2" borderId="0" xfId="24" applyFont="1" applyFill="1" applyBorder="1" applyAlignment="1">
      <alignment horizontal="center" vertical="top" wrapText="1"/>
    </xf>
    <xf numFmtId="0" fontId="38" fillId="2" borderId="0" xfId="24" applyFont="1" applyFill="1" applyBorder="1" applyAlignment="1">
      <alignment horizontal="center" vertical="top" wrapText="1"/>
    </xf>
    <xf numFmtId="0" fontId="13" fillId="2" borderId="0" xfId="24" applyFont="1" applyFill="1" applyBorder="1" applyAlignment="1">
      <alignment horizontal="center" vertical="top" wrapText="1"/>
    </xf>
    <xf numFmtId="0" fontId="60" fillId="2" borderId="0" xfId="24" applyFont="1" applyFill="1" applyBorder="1" applyAlignment="1">
      <alignment horizontal="right" vertical="top" wrapText="1"/>
    </xf>
    <xf numFmtId="0" fontId="67" fillId="2" borderId="0" xfId="24" applyFont="1" applyFill="1" applyBorder="1" applyAlignment="1" applyProtection="1">
      <alignment horizontal="left" vertical="top" wrapText="1"/>
      <protection locked="0"/>
    </xf>
    <xf numFmtId="179" fontId="9" fillId="2" borderId="0" xfId="24" applyNumberFormat="1" applyFont="1" applyFill="1" applyBorder="1" applyAlignment="1">
      <alignment horizontal="left" vertical="top" wrapText="1"/>
    </xf>
    <xf numFmtId="0" fontId="22" fillId="2" borderId="0" xfId="0" applyFont="1" applyFill="1" applyBorder="1" applyAlignment="1">
      <alignment horizontal="left" vertical="top" wrapText="1"/>
    </xf>
    <xf numFmtId="0" fontId="5" fillId="2" borderId="0" xfId="0" applyFont="1" applyFill="1" applyBorder="1" applyAlignment="1">
      <alignment horizontal="left" wrapText="1"/>
    </xf>
    <xf numFmtId="15" fontId="5" fillId="2" borderId="0" xfId="161" applyNumberFormat="1" applyFont="1" applyFill="1" applyBorder="1" applyAlignment="1" applyProtection="1">
      <alignment horizontal="left" wrapText="1" indent="6"/>
      <protection locked="0"/>
    </xf>
    <xf numFmtId="0" fontId="12"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0" xfId="0" applyFont="1" applyFill="1" applyBorder="1" applyAlignment="1">
      <alignment horizontal="left" vertical="top"/>
    </xf>
    <xf numFmtId="0" fontId="5" fillId="2" borderId="0" xfId="24" applyFont="1" applyFill="1" applyBorder="1" applyAlignment="1">
      <alignment horizontal="left" wrapText="1" indent="2"/>
    </xf>
    <xf numFmtId="184" fontId="106" fillId="2" borderId="0" xfId="0" applyNumberFormat="1" applyFont="1" applyFill="1" applyAlignment="1">
      <alignment horizontal="left" vertical="top" wrapText="1"/>
    </xf>
    <xf numFmtId="0" fontId="36" fillId="2" borderId="0" xfId="107" applyFont="1" applyFill="1" applyBorder="1" applyAlignment="1" applyProtection="1">
      <alignment horizontal="left" vertical="top" wrapText="1"/>
      <protection locked="0"/>
    </xf>
    <xf numFmtId="0" fontId="9" fillId="2" borderId="131" xfId="0" applyFont="1" applyFill="1" applyBorder="1" applyAlignment="1">
      <alignment horizontal="left" vertical="top" wrapText="1"/>
    </xf>
    <xf numFmtId="0" fontId="9" fillId="2" borderId="131" xfId="0" applyFont="1" applyFill="1" applyBorder="1" applyAlignment="1">
      <alignment horizontal="left" wrapText="1"/>
    </xf>
    <xf numFmtId="0" fontId="13" fillId="2" borderId="0" xfId="107" applyFont="1" applyFill="1" applyBorder="1" applyAlignment="1" applyProtection="1">
      <alignment horizontal="left" vertical="top" wrapText="1"/>
      <protection locked="0"/>
    </xf>
    <xf numFmtId="0" fontId="8" fillId="2" borderId="0" xfId="0" applyFont="1" applyFill="1" applyAlignment="1">
      <alignment horizontal="left" vertical="top" wrapText="1" indent="6"/>
    </xf>
    <xf numFmtId="0" fontId="12" fillId="2" borderId="0" xfId="0" applyFont="1" applyFill="1" applyAlignment="1">
      <alignment horizontal="center" wrapText="1"/>
    </xf>
    <xf numFmtId="0" fontId="5" fillId="2" borderId="0" xfId="162" applyFont="1" applyFill="1" applyBorder="1" applyAlignment="1" applyProtection="1">
      <alignment horizontal="left" vertical="top" indent="2"/>
      <protection locked="0"/>
    </xf>
    <xf numFmtId="0" fontId="13" fillId="2" borderId="0" xfId="0" applyFont="1" applyFill="1" applyAlignment="1">
      <alignment horizontal="center" vertical="center" wrapText="1"/>
    </xf>
    <xf numFmtId="0" fontId="12" fillId="2" borderId="0" xfId="24" applyFont="1" applyFill="1" applyBorder="1" applyAlignment="1" applyProtection="1">
      <alignment horizontal="center" vertical="top" wrapText="1"/>
      <protection locked="0"/>
    </xf>
    <xf numFmtId="0" fontId="11" fillId="2" borderId="0" xfId="24" applyFont="1" applyFill="1" applyBorder="1" applyAlignment="1" applyProtection="1">
      <alignment horizontal="center" vertical="top" wrapText="1"/>
      <protection locked="0"/>
    </xf>
    <xf numFmtId="0" fontId="38" fillId="2" borderId="0" xfId="24" applyFont="1" applyFill="1" applyBorder="1" applyAlignment="1" applyProtection="1">
      <alignment horizontal="center" vertical="top" wrapText="1"/>
      <protection locked="0"/>
    </xf>
    <xf numFmtId="0" fontId="13" fillId="2" borderId="0" xfId="24" applyFont="1" applyFill="1" applyBorder="1" applyAlignment="1" applyProtection="1">
      <alignment horizontal="center" vertical="top" wrapText="1"/>
      <protection locked="0"/>
    </xf>
    <xf numFmtId="0" fontId="60" fillId="2" borderId="0" xfId="24" applyFont="1" applyFill="1" applyBorder="1" applyAlignment="1" applyProtection="1">
      <alignment horizontal="right" vertical="top" wrapText="1"/>
      <protection locked="0"/>
    </xf>
    <xf numFmtId="179" fontId="9" fillId="2" borderId="0" xfId="24" applyNumberFormat="1" applyFont="1" applyFill="1" applyBorder="1" applyAlignment="1" applyProtection="1">
      <alignment horizontal="left" vertical="top" wrapText="1"/>
      <protection locked="0"/>
    </xf>
    <xf numFmtId="0" fontId="38" fillId="2" borderId="0" xfId="0" quotePrefix="1" applyFont="1" applyFill="1" applyAlignment="1">
      <alignment horizontal="center" vertical="top" wrapText="1"/>
    </xf>
    <xf numFmtId="0" fontId="36" fillId="2" borderId="0" xfId="24" applyFont="1" applyFill="1" applyAlignment="1">
      <alignment horizontal="left" vertical="top" wrapText="1"/>
    </xf>
    <xf numFmtId="0" fontId="9" fillId="2" borderId="0" xfId="0" quotePrefix="1" applyFont="1" applyFill="1" applyAlignment="1">
      <alignment horizontal="left" vertical="top" wrapText="1" indent="2"/>
    </xf>
    <xf numFmtId="0" fontId="36" fillId="2" borderId="0" xfId="214" applyFont="1" applyFill="1" applyBorder="1" applyAlignment="1">
      <alignment horizontal="left" vertical="top" wrapText="1"/>
    </xf>
    <xf numFmtId="0" fontId="36" fillId="2" borderId="0" xfId="215" applyFont="1" applyFill="1" applyBorder="1" applyAlignment="1">
      <alignment horizontal="left" vertical="top" wrapText="1"/>
    </xf>
    <xf numFmtId="0" fontId="36" fillId="2" borderId="0" xfId="213" applyFont="1" applyFill="1" applyBorder="1" applyAlignment="1">
      <alignment horizontal="left" vertical="top" wrapText="1"/>
    </xf>
    <xf numFmtId="15" fontId="39" fillId="2" borderId="0" xfId="161" applyNumberFormat="1" applyFont="1" applyFill="1" applyBorder="1" applyAlignment="1" applyProtection="1">
      <alignment horizontal="left" vertical="top"/>
      <protection locked="0"/>
    </xf>
    <xf numFmtId="0" fontId="22" fillId="2" borderId="0" xfId="0" applyFont="1" applyFill="1" applyBorder="1" applyAlignment="1" applyProtection="1">
      <alignment horizontal="left" vertical="top"/>
      <protection locked="0"/>
    </xf>
    <xf numFmtId="0" fontId="60" fillId="0" borderId="0" xfId="0" applyFont="1" applyFill="1" applyAlignment="1">
      <alignment horizontal="right" vertical="top" wrapText="1"/>
    </xf>
    <xf numFmtId="0" fontId="36" fillId="0" borderId="0" xfId="0" applyFont="1" applyFill="1" applyAlignment="1">
      <alignment horizontal="left" vertical="top"/>
    </xf>
    <xf numFmtId="0" fontId="13" fillId="0" borderId="0" xfId="0" applyFont="1" applyFill="1" applyBorder="1" applyAlignment="1">
      <alignment horizontal="left" wrapText="1"/>
    </xf>
    <xf numFmtId="0" fontId="9" fillId="0" borderId="0" xfId="0" applyFont="1" applyFill="1" applyBorder="1" applyAlignment="1">
      <alignment horizontal="left" wrapText="1"/>
    </xf>
    <xf numFmtId="0" fontId="13" fillId="0" borderId="0" xfId="0" applyFont="1" applyFill="1" applyAlignment="1">
      <alignment horizontal="left" wrapText="1"/>
    </xf>
    <xf numFmtId="0" fontId="12" fillId="0" borderId="0" xfId="0" applyFont="1" applyFill="1" applyAlignment="1">
      <alignment horizontal="center" vertical="top" wrapText="1"/>
    </xf>
    <xf numFmtId="0" fontId="11" fillId="0" borderId="0" xfId="0" applyFont="1" applyFill="1" applyAlignment="1">
      <alignment horizontal="center" vertical="top" wrapText="1"/>
    </xf>
    <xf numFmtId="0" fontId="11" fillId="0" borderId="0" xfId="0" applyFont="1" applyFill="1" applyAlignment="1">
      <alignment horizontal="left" vertical="top" wrapText="1"/>
    </xf>
    <xf numFmtId="0" fontId="10" fillId="0" borderId="0" xfId="0" applyFont="1" applyFill="1" applyAlignment="1">
      <alignment horizontal="left" wrapText="1" indent="3"/>
    </xf>
    <xf numFmtId="0" fontId="37" fillId="0" borderId="0" xfId="0" applyFont="1" applyFill="1" applyAlignment="1">
      <alignment horizontal="left" vertical="top" wrapText="1"/>
    </xf>
    <xf numFmtId="0" fontId="8" fillId="0" borderId="0" xfId="0" applyFont="1" applyFill="1" applyAlignment="1">
      <alignment horizontal="left" vertical="center" wrapText="1"/>
    </xf>
    <xf numFmtId="0" fontId="10" fillId="0" borderId="0" xfId="0" applyFont="1" applyFill="1" applyAlignment="1">
      <alignment horizontal="left" wrapText="1" indent="2"/>
    </xf>
    <xf numFmtId="0" fontId="67" fillId="0" borderId="0" xfId="0" applyFont="1" applyFill="1" applyAlignment="1">
      <alignment horizontal="left" vertical="top" wrapText="1"/>
    </xf>
    <xf numFmtId="0" fontId="36" fillId="0" borderId="0" xfId="0" applyFont="1" applyFill="1" applyAlignment="1">
      <alignment horizontal="left" vertical="top" wrapText="1"/>
    </xf>
    <xf numFmtId="0" fontId="10" fillId="0" borderId="0" xfId="0" applyFont="1" applyFill="1" applyAlignment="1">
      <alignment horizontal="left" vertical="center"/>
    </xf>
    <xf numFmtId="0" fontId="13" fillId="2" borderId="0" xfId="0" applyFont="1" applyFill="1" applyAlignment="1">
      <alignment horizontal="right" vertical="center" wrapText="1"/>
    </xf>
    <xf numFmtId="185" fontId="22" fillId="12" borderId="25" xfId="36" applyNumberFormat="1" applyFont="1" applyFill="1" applyBorder="1" applyAlignment="1" applyProtection="1">
      <alignment horizontal="center" vertical="center"/>
    </xf>
    <xf numFmtId="185" fontId="22" fillId="12" borderId="26" xfId="36" applyNumberFormat="1" applyFont="1" applyFill="1" applyBorder="1" applyAlignment="1" applyProtection="1">
      <alignment horizontal="center" vertical="center"/>
    </xf>
    <xf numFmtId="185" fontId="4" fillId="0" borderId="4" xfId="37" applyNumberFormat="1" applyFont="1" applyFill="1" applyBorder="1" applyAlignment="1" applyProtection="1">
      <alignment horizontal="center" vertical="center"/>
    </xf>
    <xf numFmtId="185" fontId="22" fillId="13" borderId="4" xfId="36" applyNumberFormat="1" applyFont="1" applyFill="1" applyBorder="1" applyAlignment="1" applyProtection="1">
      <alignment horizontal="center" vertical="center"/>
    </xf>
    <xf numFmtId="185" fontId="22" fillId="13" borderId="24" xfId="36" applyNumberFormat="1" applyFont="1" applyFill="1" applyBorder="1" applyAlignment="1" applyProtection="1">
      <alignment horizontal="center" vertical="center"/>
    </xf>
    <xf numFmtId="185" fontId="44" fillId="0" borderId="4" xfId="36" applyNumberFormat="1" applyFont="1" applyFill="1" applyBorder="1" applyAlignment="1" applyProtection="1">
      <alignment horizontal="center" vertical="center"/>
    </xf>
    <xf numFmtId="185" fontId="4" fillId="0" borderId="4" xfId="36" applyNumberFormat="1" applyFont="1" applyFill="1" applyBorder="1" applyAlignment="1" applyProtection="1">
      <alignment horizontal="center" vertical="center"/>
    </xf>
    <xf numFmtId="185" fontId="22" fillId="0" borderId="4" xfId="36" applyNumberFormat="1" applyFont="1" applyFill="1" applyBorder="1" applyAlignment="1" applyProtection="1">
      <alignment horizontal="center" vertical="center"/>
    </xf>
    <xf numFmtId="191" fontId="20" fillId="62" borderId="149" xfId="24" applyNumberFormat="1" applyFont="1" applyFill="1" applyBorder="1" applyProtection="1">
      <protection locked="0"/>
    </xf>
  </cellXfs>
  <cellStyles count="318">
    <cellStyle name="$" xfId="1" xr:uid="{00000000-0005-0000-0000-000000000000}"/>
    <cellStyle name="$.00" xfId="2" xr:uid="{00000000-0005-0000-0000-000001000000}"/>
    <cellStyle name="$_9. Rev2Cost_GDPIPI" xfId="28" xr:uid="{00000000-0005-0000-0000-000002000000}"/>
    <cellStyle name="$_9. Rev2Cost_GDPIPI 2" xfId="91" xr:uid="{00000000-0005-0000-0000-000003000000}"/>
    <cellStyle name="$_9. Rev2Cost_GDPIPI_6.2 CBR B" xfId="243" xr:uid="{00000000-0005-0000-0000-000004000000}"/>
    <cellStyle name="$_9. Rev2Cost_GDPIPI_9. Shared Tax - Rate Rider" xfId="271" xr:uid="{00000000-0005-0000-0000-000005000000}"/>
    <cellStyle name="$_lists" xfId="17" xr:uid="{00000000-0005-0000-0000-000006000000}"/>
    <cellStyle name="$_lists 2" xfId="89" xr:uid="{00000000-0005-0000-0000-000007000000}"/>
    <cellStyle name="$_lists_4. Current Monthly Fixed Charge" xfId="22" xr:uid="{00000000-0005-0000-0000-000008000000}"/>
    <cellStyle name="$_lists_6.2 CBR B" xfId="244" xr:uid="{00000000-0005-0000-0000-000009000000}"/>
    <cellStyle name="$_lists_9. Shared Tax - Rate Rider" xfId="272" xr:uid="{00000000-0005-0000-0000-00000A000000}"/>
    <cellStyle name="$_Sheet4" xfId="32" xr:uid="{00000000-0005-0000-0000-00000B000000}"/>
    <cellStyle name="$_Sheet4 2" xfId="93" xr:uid="{00000000-0005-0000-0000-00000C000000}"/>
    <cellStyle name="$_Sheet4_6.2 CBR B" xfId="245" xr:uid="{00000000-0005-0000-0000-00000D000000}"/>
    <cellStyle name="$_Sheet4_9. Shared Tax - Rate Rider" xfId="273" xr:uid="{00000000-0005-0000-0000-00000E000000}"/>
    <cellStyle name="$M" xfId="3" xr:uid="{00000000-0005-0000-0000-00000F000000}"/>
    <cellStyle name="$M.00" xfId="4" xr:uid="{00000000-0005-0000-0000-000010000000}"/>
    <cellStyle name="$M_9. Rev2Cost_GDPIPI" xfId="29" xr:uid="{00000000-0005-0000-0000-000011000000}"/>
    <cellStyle name="20% - Accent1" xfId="136" builtinId="30" customBuiltin="1"/>
    <cellStyle name="20% - Accent1 2" xfId="41" xr:uid="{00000000-0005-0000-0000-000013000000}"/>
    <cellStyle name="20% - Accent1 2 2" xfId="188" xr:uid="{00000000-0005-0000-0000-000014000000}"/>
    <cellStyle name="20% - Accent1 2_6.2 CBR B" xfId="246" xr:uid="{00000000-0005-0000-0000-000015000000}"/>
    <cellStyle name="20% - Accent1 3" xfId="217" xr:uid="{00000000-0005-0000-0000-000016000000}"/>
    <cellStyle name="20% - Accent2" xfId="140" builtinId="34" customBuiltin="1"/>
    <cellStyle name="20% - Accent2 2" xfId="42" xr:uid="{00000000-0005-0000-0000-000018000000}"/>
    <cellStyle name="20% - Accent2 2 2" xfId="189" xr:uid="{00000000-0005-0000-0000-000019000000}"/>
    <cellStyle name="20% - Accent2 2_6.2 CBR B" xfId="247" xr:uid="{00000000-0005-0000-0000-00001A000000}"/>
    <cellStyle name="20% - Accent2 3" xfId="219" xr:uid="{00000000-0005-0000-0000-00001B000000}"/>
    <cellStyle name="20% - Accent3" xfId="144" builtinId="38" customBuiltin="1"/>
    <cellStyle name="20% - Accent3 2" xfId="43" xr:uid="{00000000-0005-0000-0000-00001D000000}"/>
    <cellStyle name="20% - Accent3 2 2" xfId="190" xr:uid="{00000000-0005-0000-0000-00001E000000}"/>
    <cellStyle name="20% - Accent3 2_6.2 CBR B" xfId="248" xr:uid="{00000000-0005-0000-0000-00001F000000}"/>
    <cellStyle name="20% - Accent3 3" xfId="221" xr:uid="{00000000-0005-0000-0000-000020000000}"/>
    <cellStyle name="20% - Accent4" xfId="148" builtinId="42" customBuiltin="1"/>
    <cellStyle name="20% - Accent4 2" xfId="44" xr:uid="{00000000-0005-0000-0000-000022000000}"/>
    <cellStyle name="20% - Accent4 2 2" xfId="191" xr:uid="{00000000-0005-0000-0000-000023000000}"/>
    <cellStyle name="20% - Accent4 2_6.2 CBR B" xfId="249" xr:uid="{00000000-0005-0000-0000-000024000000}"/>
    <cellStyle name="20% - Accent4 3" xfId="223" xr:uid="{00000000-0005-0000-0000-000025000000}"/>
    <cellStyle name="20% - Accent5" xfId="152" builtinId="46" customBuiltin="1"/>
    <cellStyle name="20% - Accent5 2" xfId="45" xr:uid="{00000000-0005-0000-0000-000027000000}"/>
    <cellStyle name="20% - Accent5 2 2" xfId="192" xr:uid="{00000000-0005-0000-0000-000028000000}"/>
    <cellStyle name="20% - Accent5 2_6.2 CBR B" xfId="250" xr:uid="{00000000-0005-0000-0000-000029000000}"/>
    <cellStyle name="20% - Accent5 3" xfId="225" xr:uid="{00000000-0005-0000-0000-00002A000000}"/>
    <cellStyle name="20% - Accent6" xfId="156" builtinId="50" customBuiltin="1"/>
    <cellStyle name="20% - Accent6 2" xfId="46" xr:uid="{00000000-0005-0000-0000-00002C000000}"/>
    <cellStyle name="20% - Accent6 2 2" xfId="193" xr:uid="{00000000-0005-0000-0000-00002D000000}"/>
    <cellStyle name="20% - Accent6 2_6.2 CBR B" xfId="251" xr:uid="{00000000-0005-0000-0000-00002E000000}"/>
    <cellStyle name="20% - Accent6 3" xfId="227" xr:uid="{00000000-0005-0000-0000-00002F000000}"/>
    <cellStyle name="40% - Accent1" xfId="137" builtinId="31" customBuiltin="1"/>
    <cellStyle name="40% - Accent1 2" xfId="47" xr:uid="{00000000-0005-0000-0000-000031000000}"/>
    <cellStyle name="40% - Accent1 2 2" xfId="194" xr:uid="{00000000-0005-0000-0000-000032000000}"/>
    <cellStyle name="40% - Accent1 2_6.2 CBR B" xfId="252" xr:uid="{00000000-0005-0000-0000-000033000000}"/>
    <cellStyle name="40% - Accent1 3" xfId="218" xr:uid="{00000000-0005-0000-0000-000034000000}"/>
    <cellStyle name="40% - Accent2" xfId="141" builtinId="35" customBuiltin="1"/>
    <cellStyle name="40% - Accent2 2" xfId="48" xr:uid="{00000000-0005-0000-0000-000036000000}"/>
    <cellStyle name="40% - Accent2 2 2" xfId="195" xr:uid="{00000000-0005-0000-0000-000037000000}"/>
    <cellStyle name="40% - Accent2 2_6.2 CBR B" xfId="253" xr:uid="{00000000-0005-0000-0000-000038000000}"/>
    <cellStyle name="40% - Accent2 3" xfId="220" xr:uid="{00000000-0005-0000-0000-000039000000}"/>
    <cellStyle name="40% - Accent3" xfId="145" builtinId="39" customBuiltin="1"/>
    <cellStyle name="40% - Accent3 2" xfId="49" xr:uid="{00000000-0005-0000-0000-00003B000000}"/>
    <cellStyle name="40% - Accent3 2 2" xfId="196" xr:uid="{00000000-0005-0000-0000-00003C000000}"/>
    <cellStyle name="40% - Accent3 2_6.2 CBR B" xfId="254" xr:uid="{00000000-0005-0000-0000-00003D000000}"/>
    <cellStyle name="40% - Accent3 3" xfId="222" xr:uid="{00000000-0005-0000-0000-00003E000000}"/>
    <cellStyle name="40% - Accent4" xfId="149" builtinId="43" customBuiltin="1"/>
    <cellStyle name="40% - Accent4 2" xfId="50" xr:uid="{00000000-0005-0000-0000-000040000000}"/>
    <cellStyle name="40% - Accent4 2 2" xfId="197" xr:uid="{00000000-0005-0000-0000-000041000000}"/>
    <cellStyle name="40% - Accent4 2_6.2 CBR B" xfId="255" xr:uid="{00000000-0005-0000-0000-000042000000}"/>
    <cellStyle name="40% - Accent4 3" xfId="224" xr:uid="{00000000-0005-0000-0000-000043000000}"/>
    <cellStyle name="40% - Accent5" xfId="153" builtinId="47" customBuiltin="1"/>
    <cellStyle name="40% - Accent5 2" xfId="51" xr:uid="{00000000-0005-0000-0000-000045000000}"/>
    <cellStyle name="40% - Accent5 2 2" xfId="198" xr:uid="{00000000-0005-0000-0000-000046000000}"/>
    <cellStyle name="40% - Accent5 2_6.2 CBR B" xfId="256" xr:uid="{00000000-0005-0000-0000-000047000000}"/>
    <cellStyle name="40% - Accent5 3" xfId="226" xr:uid="{00000000-0005-0000-0000-000048000000}"/>
    <cellStyle name="40% - Accent6" xfId="157" builtinId="51" customBuiltin="1"/>
    <cellStyle name="40% - Accent6 2" xfId="52" xr:uid="{00000000-0005-0000-0000-00004A000000}"/>
    <cellStyle name="40% - Accent6 2 2" xfId="199" xr:uid="{00000000-0005-0000-0000-00004B000000}"/>
    <cellStyle name="40% - Accent6 2_6.2 CBR B" xfId="257" xr:uid="{00000000-0005-0000-0000-00004C000000}"/>
    <cellStyle name="40% - Accent6 3" xfId="228" xr:uid="{00000000-0005-0000-0000-00004D000000}"/>
    <cellStyle name="60% - Accent1" xfId="138" builtinId="32" customBuiltin="1"/>
    <cellStyle name="60% - Accent1 2" xfId="53" xr:uid="{00000000-0005-0000-0000-00004F000000}"/>
    <cellStyle name="60% - Accent2" xfId="142" builtinId="36" customBuiltin="1"/>
    <cellStyle name="60% - Accent2 2" xfId="54" xr:uid="{00000000-0005-0000-0000-000051000000}"/>
    <cellStyle name="60% - Accent3" xfId="146" builtinId="40" customBuiltin="1"/>
    <cellStyle name="60% - Accent3 2" xfId="55" xr:uid="{00000000-0005-0000-0000-000053000000}"/>
    <cellStyle name="60% - Accent4" xfId="150" builtinId="44" customBuiltin="1"/>
    <cellStyle name="60% - Accent4 2" xfId="56" xr:uid="{00000000-0005-0000-0000-000055000000}"/>
    <cellStyle name="60% - Accent5" xfId="154" builtinId="48" customBuiltin="1"/>
    <cellStyle name="60% - Accent5 2" xfId="57" xr:uid="{00000000-0005-0000-0000-000057000000}"/>
    <cellStyle name="60% - Accent6" xfId="158" builtinId="52" customBuiltin="1"/>
    <cellStyle name="60% - Accent6 2" xfId="58" xr:uid="{00000000-0005-0000-0000-000059000000}"/>
    <cellStyle name="Accent1" xfId="135" builtinId="29" customBuiltin="1"/>
    <cellStyle name="Accent1 2" xfId="59" xr:uid="{00000000-0005-0000-0000-00005B000000}"/>
    <cellStyle name="Accent2" xfId="139" builtinId="33" customBuiltin="1"/>
    <cellStyle name="Accent2 2" xfId="60" xr:uid="{00000000-0005-0000-0000-00005D000000}"/>
    <cellStyle name="Accent3" xfId="143" builtinId="37" customBuiltin="1"/>
    <cellStyle name="Accent3 2" xfId="61" xr:uid="{00000000-0005-0000-0000-00005F000000}"/>
    <cellStyle name="Accent4" xfId="147" builtinId="41" customBuiltin="1"/>
    <cellStyle name="Accent4 2" xfId="62" xr:uid="{00000000-0005-0000-0000-000061000000}"/>
    <cellStyle name="Accent5" xfId="151" builtinId="45" customBuiltin="1"/>
    <cellStyle name="Accent5 2" xfId="63" xr:uid="{00000000-0005-0000-0000-000063000000}"/>
    <cellStyle name="Accent6" xfId="155" builtinId="49" customBuiltin="1"/>
    <cellStyle name="Accent6 2" xfId="64" xr:uid="{00000000-0005-0000-0000-000065000000}"/>
    <cellStyle name="Bad" xfId="124" builtinId="27" customBuiltin="1"/>
    <cellStyle name="Bad 2" xfId="65" xr:uid="{00000000-0005-0000-0000-000067000000}"/>
    <cellStyle name="Calculation" xfId="128" builtinId="22" customBuiltin="1"/>
    <cellStyle name="Calculation 2" xfId="66" xr:uid="{00000000-0005-0000-0000-000069000000}"/>
    <cellStyle name="Check Cell" xfId="130" builtinId="23" customBuiltin="1"/>
    <cellStyle name="Check Cell 2" xfId="67" xr:uid="{00000000-0005-0000-0000-00006B000000}"/>
    <cellStyle name="Comma" xfId="20" builtinId="3"/>
    <cellStyle name="Comma 2" xfId="68" xr:uid="{00000000-0005-0000-0000-00006D000000}"/>
    <cellStyle name="Comma 2 2" xfId="163" xr:uid="{00000000-0005-0000-0000-00006E000000}"/>
    <cellStyle name="Comma 2 2 2" xfId="170" xr:uid="{00000000-0005-0000-0000-00006F000000}"/>
    <cellStyle name="Comma 2 2 2 2" xfId="297" xr:uid="{00000000-0005-0000-0000-000070000000}"/>
    <cellStyle name="Comma 2 2 3" xfId="175" xr:uid="{00000000-0005-0000-0000-000071000000}"/>
    <cellStyle name="Comma 2 2 3 2" xfId="307" xr:uid="{00000000-0005-0000-0000-000072000000}"/>
    <cellStyle name="Comma 2 2 4" xfId="232" xr:uid="{00000000-0005-0000-0000-000073000000}"/>
    <cellStyle name="Comma 2 2 5" xfId="290" xr:uid="{00000000-0005-0000-0000-000074000000}"/>
    <cellStyle name="Comma 2 2 6" xfId="315" xr:uid="{00000000-0005-0000-0000-000075000000}"/>
    <cellStyle name="Comma 2 2_Database" xfId="230" xr:uid="{00000000-0005-0000-0000-000076000000}"/>
    <cellStyle name="Comma 3" xfId="69" xr:uid="{00000000-0005-0000-0000-000077000000}"/>
    <cellStyle name="Comma 3 2" xfId="97" xr:uid="{00000000-0005-0000-0000-000078000000}"/>
    <cellStyle name="Comma 3 2 2" xfId="207" xr:uid="{00000000-0005-0000-0000-000079000000}"/>
    <cellStyle name="Comma 3 3" xfId="200" xr:uid="{00000000-0005-0000-0000-00007A000000}"/>
    <cellStyle name="Comma 3 4" xfId="306" xr:uid="{00000000-0005-0000-0000-00007B000000}"/>
    <cellStyle name="Comma 4" xfId="88" xr:uid="{00000000-0005-0000-0000-00007C000000}"/>
    <cellStyle name="Comma 4 2" xfId="300" xr:uid="{00000000-0005-0000-0000-00007D000000}"/>
    <cellStyle name="Comma 4 3" xfId="293" xr:uid="{00000000-0005-0000-0000-00007E000000}"/>
    <cellStyle name="Comma 4 6" xfId="285" xr:uid="{00000000-0005-0000-0000-00007F000000}"/>
    <cellStyle name="Comma 4 6 2" xfId="301" xr:uid="{00000000-0005-0000-0000-000080000000}"/>
    <cellStyle name="Comma 4 6 3" xfId="309" xr:uid="{00000000-0005-0000-0000-000081000000}"/>
    <cellStyle name="Comma 4 6 4" xfId="312" xr:uid="{00000000-0005-0000-0000-000082000000}"/>
    <cellStyle name="Comma 4 6 5" xfId="294" xr:uid="{00000000-0005-0000-0000-000083000000}"/>
    <cellStyle name="Comma 4 6 6" xfId="317" xr:uid="{00000000-0005-0000-0000-000084000000}"/>
    <cellStyle name="Comma 5" xfId="178" xr:uid="{00000000-0005-0000-0000-000085000000}"/>
    <cellStyle name="Comma 5 2" xfId="311" xr:uid="{00000000-0005-0000-0000-000086000000}"/>
    <cellStyle name="Comma 6" xfId="289" xr:uid="{00000000-0005-0000-0000-000087000000}"/>
    <cellStyle name="Comma 7" xfId="314" xr:uid="{00000000-0005-0000-0000-000088000000}"/>
    <cellStyle name="Comma0" xfId="5" xr:uid="{00000000-0005-0000-0000-000089000000}"/>
    <cellStyle name="Currency" xfId="35" builtinId="4"/>
    <cellStyle name="Currency 11" xfId="303" xr:uid="{00000000-0005-0000-0000-00008B000000}"/>
    <cellStyle name="Currency 2" xfId="39" xr:uid="{00000000-0005-0000-0000-00008C000000}"/>
    <cellStyle name="Currency 2 2" xfId="299" xr:uid="{00000000-0005-0000-0000-00008D000000}"/>
    <cellStyle name="Currency 2 3" xfId="292" xr:uid="{00000000-0005-0000-0000-00008E000000}"/>
    <cellStyle name="Currency 3" xfId="98" xr:uid="{00000000-0005-0000-0000-00008F000000}"/>
    <cellStyle name="Currency 3 2" xfId="302" xr:uid="{00000000-0005-0000-0000-000090000000}"/>
    <cellStyle name="Currency 3 3" xfId="295" xr:uid="{00000000-0005-0000-0000-000091000000}"/>
    <cellStyle name="Currency 3 4" xfId="287" xr:uid="{00000000-0005-0000-0000-000092000000}"/>
    <cellStyle name="Currency 4" xfId="164" xr:uid="{00000000-0005-0000-0000-000093000000}"/>
    <cellStyle name="Currency 4 2" xfId="169" xr:uid="{00000000-0005-0000-0000-000094000000}"/>
    <cellStyle name="Currency 4 2 2" xfId="298" xr:uid="{00000000-0005-0000-0000-000095000000}"/>
    <cellStyle name="Currency 4 3" xfId="176" xr:uid="{00000000-0005-0000-0000-000096000000}"/>
    <cellStyle name="Currency 4 3 2" xfId="308" xr:uid="{00000000-0005-0000-0000-000097000000}"/>
    <cellStyle name="Currency 4 4" xfId="233" xr:uid="{00000000-0005-0000-0000-000098000000}"/>
    <cellStyle name="Currency 4 5" xfId="291" xr:uid="{00000000-0005-0000-0000-000099000000}"/>
    <cellStyle name="Currency 4 6" xfId="316" xr:uid="{00000000-0005-0000-0000-00009A000000}"/>
    <cellStyle name="Currency 5" xfId="167" xr:uid="{00000000-0005-0000-0000-00009B000000}"/>
    <cellStyle name="Currency 5 2" xfId="296" xr:uid="{00000000-0005-0000-0000-00009C000000}"/>
    <cellStyle name="Currency 6" xfId="172" xr:uid="{00000000-0005-0000-0000-00009D000000}"/>
    <cellStyle name="Currency 6 2" xfId="305" xr:uid="{00000000-0005-0000-0000-00009E000000}"/>
    <cellStyle name="Currency 7" xfId="310" xr:uid="{00000000-0005-0000-0000-00009F000000}"/>
    <cellStyle name="Currency 8" xfId="288" xr:uid="{00000000-0005-0000-0000-0000A0000000}"/>
    <cellStyle name="Currency 9" xfId="313" xr:uid="{00000000-0005-0000-0000-0000A1000000}"/>
    <cellStyle name="Currency_Final - 2004 RAM for rate schedule - milton_2008_IRM_Model_Final Model_Version2.0" xfId="36" xr:uid="{00000000-0005-0000-0000-0000A2000000}"/>
    <cellStyle name="Currency0" xfId="6" xr:uid="{00000000-0005-0000-0000-0000A3000000}"/>
    <cellStyle name="Date" xfId="7" xr:uid="{00000000-0005-0000-0000-0000A4000000}"/>
    <cellStyle name="Explanatory Text" xfId="133" builtinId="53" customBuiltin="1"/>
    <cellStyle name="Explanatory Text 2" xfId="70" xr:uid="{00000000-0005-0000-0000-0000A6000000}"/>
    <cellStyle name="Fixed" xfId="8" xr:uid="{00000000-0005-0000-0000-0000A7000000}"/>
    <cellStyle name="Followed Hyperlink" xfId="160" builtinId="9" customBuiltin="1"/>
    <cellStyle name="Good" xfId="123" builtinId="26" customBuiltin="1"/>
    <cellStyle name="Good 2" xfId="71" xr:uid="{00000000-0005-0000-0000-0000AA000000}"/>
    <cellStyle name="Grey" xfId="9" xr:uid="{00000000-0005-0000-0000-0000AB000000}"/>
    <cellStyle name="Heading 1" xfId="119" builtinId="16" customBuiltin="1"/>
    <cellStyle name="Heading 1 2" xfId="72" xr:uid="{00000000-0005-0000-0000-0000AD000000}"/>
    <cellStyle name="Heading 2" xfId="120" builtinId="17" customBuiltin="1"/>
    <cellStyle name="Heading 2 2" xfId="73" xr:uid="{00000000-0005-0000-0000-0000AF000000}"/>
    <cellStyle name="Heading 3" xfId="121" builtinId="18" customBuiltin="1"/>
    <cellStyle name="Heading 3 2" xfId="74" xr:uid="{00000000-0005-0000-0000-0000B1000000}"/>
    <cellStyle name="Heading 4" xfId="122" builtinId="19" customBuiltin="1"/>
    <cellStyle name="Heading 4 2" xfId="75" xr:uid="{00000000-0005-0000-0000-0000B3000000}"/>
    <cellStyle name="Hyperlink 2" xfId="159" xr:uid="{00000000-0005-0000-0000-0000B4000000}"/>
    <cellStyle name="Input" xfId="126" builtinId="20" customBuiltin="1"/>
    <cellStyle name="Input [yellow]" xfId="10" xr:uid="{00000000-0005-0000-0000-0000B6000000}"/>
    <cellStyle name="Input 2" xfId="76" xr:uid="{00000000-0005-0000-0000-0000B7000000}"/>
    <cellStyle name="Linked Cell" xfId="129" builtinId="24" customBuiltin="1"/>
    <cellStyle name="Linked Cell 2" xfId="77" xr:uid="{00000000-0005-0000-0000-0000B9000000}"/>
    <cellStyle name="M" xfId="11" xr:uid="{00000000-0005-0000-0000-0000BA000000}"/>
    <cellStyle name="M.00" xfId="12" xr:uid="{00000000-0005-0000-0000-0000BB000000}"/>
    <cellStyle name="M_9. Rev2Cost_GDPIPI" xfId="30" xr:uid="{00000000-0005-0000-0000-0000BC000000}"/>
    <cellStyle name="M_9. Rev2Cost_GDPIPI 2" xfId="92" xr:uid="{00000000-0005-0000-0000-0000BD000000}"/>
    <cellStyle name="M_9. Rev2Cost_GDPIPI_6.2 CBR B" xfId="258" xr:uid="{00000000-0005-0000-0000-0000BE000000}"/>
    <cellStyle name="M_9. Rev2Cost_GDPIPI_9. Shared Tax - Rate Rider" xfId="274" xr:uid="{00000000-0005-0000-0000-0000BF000000}"/>
    <cellStyle name="M_lists" xfId="18" xr:uid="{00000000-0005-0000-0000-0000C0000000}"/>
    <cellStyle name="M_lists 2" xfId="90" xr:uid="{00000000-0005-0000-0000-0000C1000000}"/>
    <cellStyle name="M_lists_4. Current Monthly Fixed Charge" xfId="23" xr:uid="{00000000-0005-0000-0000-0000C2000000}"/>
    <cellStyle name="M_lists_6.2 CBR B" xfId="259" xr:uid="{00000000-0005-0000-0000-0000C3000000}"/>
    <cellStyle name="M_lists_9. Shared Tax - Rate Rider" xfId="275" xr:uid="{00000000-0005-0000-0000-0000C4000000}"/>
    <cellStyle name="M_Sheet4" xfId="33" xr:uid="{00000000-0005-0000-0000-0000C5000000}"/>
    <cellStyle name="M_Sheet4 2" xfId="94" xr:uid="{00000000-0005-0000-0000-0000C6000000}"/>
    <cellStyle name="M_Sheet4_6.2 CBR B" xfId="260" xr:uid="{00000000-0005-0000-0000-0000C7000000}"/>
    <cellStyle name="M_Sheet4_9. Shared Tax - Rate Rider" xfId="276" xr:uid="{00000000-0005-0000-0000-0000C8000000}"/>
    <cellStyle name="Neutral" xfId="125" builtinId="28" customBuiltin="1"/>
    <cellStyle name="Neutral 2" xfId="78" xr:uid="{00000000-0005-0000-0000-0000CA000000}"/>
    <cellStyle name="Normal" xfId="0" builtinId="0"/>
    <cellStyle name="Normal - Style1" xfId="14" xr:uid="{00000000-0005-0000-0000-0000CC000000}"/>
    <cellStyle name="Normal 10 12" xfId="166" xr:uid="{00000000-0005-0000-0000-0000CD000000}"/>
    <cellStyle name="Normal 11" xfId="278" xr:uid="{00000000-0005-0000-0000-0000CE000000}"/>
    <cellStyle name="Normal 12" xfId="279" xr:uid="{00000000-0005-0000-0000-0000CF000000}"/>
    <cellStyle name="Normal 13 6" xfId="283" xr:uid="{00000000-0005-0000-0000-0000D0000000}"/>
    <cellStyle name="Normal 15" xfId="284" xr:uid="{00000000-0005-0000-0000-0000D1000000}"/>
    <cellStyle name="Normal 167" xfId="102" xr:uid="{00000000-0005-0000-0000-0000D2000000}"/>
    <cellStyle name="Normal 167 2" xfId="211" xr:uid="{00000000-0005-0000-0000-0000D3000000}"/>
    <cellStyle name="Normal 167_6.2 CBR B" xfId="261" xr:uid="{00000000-0005-0000-0000-0000D4000000}"/>
    <cellStyle name="Normal 168" xfId="103" xr:uid="{00000000-0005-0000-0000-0000D5000000}"/>
    <cellStyle name="Normal 168 2" xfId="212" xr:uid="{00000000-0005-0000-0000-0000D6000000}"/>
    <cellStyle name="Normal 168_6.2 CBR B" xfId="262" xr:uid="{00000000-0005-0000-0000-0000D7000000}"/>
    <cellStyle name="Normal 169" xfId="104" xr:uid="{00000000-0005-0000-0000-0000D8000000}"/>
    <cellStyle name="Normal 169 2" xfId="213" xr:uid="{00000000-0005-0000-0000-0000D9000000}"/>
    <cellStyle name="Normal 169_6.2 CBR B" xfId="263" xr:uid="{00000000-0005-0000-0000-0000DA000000}"/>
    <cellStyle name="Normal 170" xfId="105" xr:uid="{00000000-0005-0000-0000-0000DB000000}"/>
    <cellStyle name="Normal 170 2" xfId="214" xr:uid="{00000000-0005-0000-0000-0000DC000000}"/>
    <cellStyle name="Normal 170_6.2 CBR B" xfId="264" xr:uid="{00000000-0005-0000-0000-0000DD000000}"/>
    <cellStyle name="Normal 171" xfId="106" xr:uid="{00000000-0005-0000-0000-0000DE000000}"/>
    <cellStyle name="Normal 171 2" xfId="215" xr:uid="{00000000-0005-0000-0000-0000DF000000}"/>
    <cellStyle name="Normal 171_6.2 CBR B" xfId="265" xr:uid="{00000000-0005-0000-0000-0000E0000000}"/>
    <cellStyle name="Normal 19" xfId="107" xr:uid="{00000000-0005-0000-0000-0000E1000000}"/>
    <cellStyle name="Normal 2" xfId="24" xr:uid="{00000000-0005-0000-0000-0000E2000000}"/>
    <cellStyle name="Normal 25" xfId="108" xr:uid="{00000000-0005-0000-0000-0000E3000000}"/>
    <cellStyle name="Normal 3" xfId="79" xr:uid="{00000000-0005-0000-0000-0000E4000000}"/>
    <cellStyle name="Normal 3 2" xfId="201" xr:uid="{00000000-0005-0000-0000-0000E5000000}"/>
    <cellStyle name="Normal 3_6.2 CBR B" xfId="266" xr:uid="{00000000-0005-0000-0000-0000E6000000}"/>
    <cellStyle name="Normal 30" xfId="109" xr:uid="{00000000-0005-0000-0000-0000E7000000}"/>
    <cellStyle name="Normal 31" xfId="114" xr:uid="{00000000-0005-0000-0000-0000E8000000}"/>
    <cellStyle name="Normal 4" xfId="80" xr:uid="{00000000-0005-0000-0000-0000E9000000}"/>
    <cellStyle name="Normal 4 2" xfId="202" xr:uid="{00000000-0005-0000-0000-0000EA000000}"/>
    <cellStyle name="Normal 4_6.2 CBR B" xfId="267" xr:uid="{00000000-0005-0000-0000-0000EB000000}"/>
    <cellStyle name="Normal 41" xfId="110" xr:uid="{00000000-0005-0000-0000-0000EC000000}"/>
    <cellStyle name="Normal 42" xfId="115" xr:uid="{00000000-0005-0000-0000-0000ED000000}"/>
    <cellStyle name="Normal 5" xfId="81" xr:uid="{00000000-0005-0000-0000-0000EE000000}"/>
    <cellStyle name="Normal 5 2" xfId="99" xr:uid="{00000000-0005-0000-0000-0000EF000000}"/>
    <cellStyle name="Normal 5 2 2" xfId="208" xr:uid="{00000000-0005-0000-0000-0000F0000000}"/>
    <cellStyle name="Normal 5 2_6.2 CBR B" xfId="269" xr:uid="{00000000-0005-0000-0000-0000F1000000}"/>
    <cellStyle name="Normal 5 3" xfId="203" xr:uid="{00000000-0005-0000-0000-0000F2000000}"/>
    <cellStyle name="Normal 5_6.2 CBR B" xfId="268" xr:uid="{00000000-0005-0000-0000-0000F3000000}"/>
    <cellStyle name="Normal 50" xfId="111" xr:uid="{00000000-0005-0000-0000-0000F4000000}"/>
    <cellStyle name="Normal 51" xfId="113" xr:uid="{00000000-0005-0000-0000-0000F5000000}"/>
    <cellStyle name="Normal 52" xfId="116" xr:uid="{00000000-0005-0000-0000-0000F6000000}"/>
    <cellStyle name="Normal 6" xfId="95" xr:uid="{00000000-0005-0000-0000-0000F7000000}"/>
    <cellStyle name="Normal 6 2" xfId="206" xr:uid="{00000000-0005-0000-0000-0000F8000000}"/>
    <cellStyle name="Normal 6 3" xfId="304" xr:uid="{00000000-0005-0000-0000-0000F9000000}"/>
    <cellStyle name="Normal 6 4" xfId="282" xr:uid="{00000000-0005-0000-0000-0000FA000000}"/>
    <cellStyle name="Normal 6_6.2 CBR B" xfId="270" xr:uid="{00000000-0005-0000-0000-0000FB000000}"/>
    <cellStyle name="Normal 60" xfId="112" xr:uid="{00000000-0005-0000-0000-0000FC000000}"/>
    <cellStyle name="Normal 61" xfId="117" xr:uid="{00000000-0005-0000-0000-0000FD000000}"/>
    <cellStyle name="Normal_14. Bill Impacts" xfId="37" xr:uid="{00000000-0005-0000-0000-0000FE000000}"/>
    <cellStyle name="Normal_3. Rate Class Selection" xfId="13" xr:uid="{00000000-0005-0000-0000-0000FF000000}"/>
    <cellStyle name="Normal_6. Cost Allocation for Def-Var" xfId="25" xr:uid="{00000000-0005-0000-0000-000000010000}"/>
    <cellStyle name="Normal_9. Rev2Cost_GDPIPI" xfId="31" xr:uid="{00000000-0005-0000-0000-000001010000}"/>
    <cellStyle name="Normal_lists" xfId="16" xr:uid="{00000000-0005-0000-0000-000002010000}"/>
    <cellStyle name="Normal_lists_1" xfId="34" xr:uid="{00000000-0005-0000-0000-000003010000}"/>
    <cellStyle name="Normal_lists_1 2" xfId="162" xr:uid="{00000000-0005-0000-0000-000004010000}"/>
    <cellStyle name="Normal_lists_1 3" xfId="165" xr:uid="{00000000-0005-0000-0000-000005010000}"/>
    <cellStyle name="Normal_Sheet1" xfId="19" xr:uid="{00000000-0005-0000-0000-000006010000}"/>
    <cellStyle name="Normal_Sheet3" xfId="38" xr:uid="{00000000-0005-0000-0000-000007010000}"/>
    <cellStyle name="Normal_Sheet4" xfId="277" xr:uid="{00000000-0005-0000-0000-000008010000}"/>
    <cellStyle name="Normal_Sheet4 2" xfId="161" xr:uid="{00000000-0005-0000-0000-000009010000}"/>
    <cellStyle name="Normal_Sheet6" xfId="26" xr:uid="{00000000-0005-0000-0000-00000A010000}"/>
    <cellStyle name="Normal_Sheet7" xfId="27" xr:uid="{00000000-0005-0000-0000-00000B010000}"/>
    <cellStyle name="Normal_Tax Rates for 2006-2012_Sep42008" xfId="96" xr:uid="{00000000-0005-0000-0000-00000C010000}"/>
    <cellStyle name="Note" xfId="132" builtinId="10" customBuiltin="1"/>
    <cellStyle name="Note 2" xfId="82" xr:uid="{00000000-0005-0000-0000-00000E010000}"/>
    <cellStyle name="Note 2 2" xfId="204" xr:uid="{00000000-0005-0000-0000-00000F010000}"/>
    <cellStyle name="Note 3" xfId="216" xr:uid="{00000000-0005-0000-0000-000010010000}"/>
    <cellStyle name="Output" xfId="127" builtinId="21" customBuiltin="1"/>
    <cellStyle name="Output 2" xfId="83" xr:uid="{00000000-0005-0000-0000-000012010000}"/>
    <cellStyle name="Percent" xfId="21" builtinId="5"/>
    <cellStyle name="Percent [2]" xfId="15" xr:uid="{00000000-0005-0000-0000-000014010000}"/>
    <cellStyle name="Percent 10" xfId="179" xr:uid="{00000000-0005-0000-0000-000015010000}"/>
    <cellStyle name="Percent 11" xfId="180" xr:uid="{00000000-0005-0000-0000-000016010000}"/>
    <cellStyle name="Percent 12" xfId="181" xr:uid="{00000000-0005-0000-0000-000017010000}"/>
    <cellStyle name="Percent 13" xfId="182" xr:uid="{00000000-0005-0000-0000-000018010000}"/>
    <cellStyle name="Percent 13 6" xfId="286" xr:uid="{00000000-0005-0000-0000-000019010000}"/>
    <cellStyle name="Percent 14" xfId="183" xr:uid="{00000000-0005-0000-0000-00001A010000}"/>
    <cellStyle name="Percent 15" xfId="184" xr:uid="{00000000-0005-0000-0000-00001B010000}"/>
    <cellStyle name="Percent 16" xfId="185" xr:uid="{00000000-0005-0000-0000-00001C010000}"/>
    <cellStyle name="Percent 17" xfId="187" xr:uid="{00000000-0005-0000-0000-00001D010000}"/>
    <cellStyle name="Percent 18" xfId="186" xr:uid="{00000000-0005-0000-0000-00001E010000}"/>
    <cellStyle name="Percent 19" xfId="229" xr:uid="{00000000-0005-0000-0000-00001F010000}"/>
    <cellStyle name="Percent 2" xfId="40" xr:uid="{00000000-0005-0000-0000-000020010000}"/>
    <cellStyle name="Percent 20" xfId="231" xr:uid="{00000000-0005-0000-0000-000021010000}"/>
    <cellStyle name="Percent 21" xfId="234" xr:uid="{00000000-0005-0000-0000-000022010000}"/>
    <cellStyle name="Percent 22" xfId="235" xr:uid="{00000000-0005-0000-0000-000023010000}"/>
    <cellStyle name="Percent 23" xfId="236" xr:uid="{00000000-0005-0000-0000-000024010000}"/>
    <cellStyle name="Percent 24" xfId="237" xr:uid="{00000000-0005-0000-0000-000025010000}"/>
    <cellStyle name="Percent 25" xfId="238" xr:uid="{00000000-0005-0000-0000-000026010000}"/>
    <cellStyle name="Percent 26" xfId="239" xr:uid="{00000000-0005-0000-0000-000027010000}"/>
    <cellStyle name="Percent 27" xfId="240" xr:uid="{00000000-0005-0000-0000-000028010000}"/>
    <cellStyle name="Percent 28" xfId="241" xr:uid="{00000000-0005-0000-0000-000029010000}"/>
    <cellStyle name="Percent 29" xfId="242" xr:uid="{00000000-0005-0000-0000-00002A010000}"/>
    <cellStyle name="Percent 3" xfId="84" xr:uid="{00000000-0005-0000-0000-00002B010000}"/>
    <cellStyle name="Percent 3 2" xfId="100" xr:uid="{00000000-0005-0000-0000-00002C010000}"/>
    <cellStyle name="Percent 3 2 2" xfId="209" xr:uid="{00000000-0005-0000-0000-00002D010000}"/>
    <cellStyle name="Percent 3 3" xfId="205" xr:uid="{00000000-0005-0000-0000-00002E010000}"/>
    <cellStyle name="Percent 30" xfId="281" xr:uid="{00000000-0005-0000-0000-00002F010000}"/>
    <cellStyle name="Percent 4" xfId="101" xr:uid="{00000000-0005-0000-0000-000030010000}"/>
    <cellStyle name="Percent 4 2" xfId="210" xr:uid="{00000000-0005-0000-0000-000031010000}"/>
    <cellStyle name="Percent 5" xfId="168" xr:uid="{00000000-0005-0000-0000-000032010000}"/>
    <cellStyle name="Percent 54" xfId="280" xr:uid="{00000000-0005-0000-0000-000033010000}"/>
    <cellStyle name="Percent 6" xfId="173" xr:uid="{00000000-0005-0000-0000-000034010000}"/>
    <cellStyle name="Percent 7" xfId="174" xr:uid="{00000000-0005-0000-0000-000035010000}"/>
    <cellStyle name="Percent 8" xfId="171" xr:uid="{00000000-0005-0000-0000-000036010000}"/>
    <cellStyle name="Percent 9" xfId="177" xr:uid="{00000000-0005-0000-0000-000037010000}"/>
    <cellStyle name="Title" xfId="118" builtinId="15" customBuiltin="1"/>
    <cellStyle name="Title 2" xfId="85" xr:uid="{00000000-0005-0000-0000-000039010000}"/>
    <cellStyle name="Total" xfId="134" builtinId="25" customBuiltin="1"/>
    <cellStyle name="Total 2" xfId="86" xr:uid="{00000000-0005-0000-0000-00003B010000}"/>
    <cellStyle name="Warning Text" xfId="131" builtinId="11" customBuiltin="1"/>
    <cellStyle name="Warning Text 2" xfId="87" xr:uid="{00000000-0005-0000-0000-00003D010000}"/>
  </cellStyles>
  <dxfs count="9">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59996337778862885"/>
        </patternFill>
      </fill>
    </dxf>
  </dxfs>
  <tableStyles count="0" defaultTableStyle="TableStyleMedium2" defaultPivotStyle="PivotStyleLight16"/>
  <colors>
    <mruColors>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2"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industry/applications-oeb/electricity-distribution-rates/2021-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78</xdr:row>
      <xdr:rowOff>57964</xdr:rowOff>
    </xdr:from>
    <xdr:to>
      <xdr:col>12</xdr:col>
      <xdr:colOff>124239</xdr:colOff>
      <xdr:row>85</xdr:row>
      <xdr:rowOff>107577</xdr:rowOff>
    </xdr:to>
    <xdr:sp macro="" textlink="">
      <xdr:nvSpPr>
        <xdr:cNvPr id="6" name="Text Box 50">
          <a:extLst>
            <a:ext uri="{FF2B5EF4-FFF2-40B4-BE49-F238E27FC236}">
              <a16:creationId xmlns:a16="http://schemas.microsoft.com/office/drawing/2014/main" id="{00000000-0008-0000-01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11429" y="15241"/>
          <a:ext cx="12568691" cy="1832609"/>
          <a:chOff x="9524" y="19051"/>
          <a:chExt cx="8857420" cy="1915766"/>
        </a:xfrm>
      </xdr:grpSpPr>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100-00000A000000}"/>
              </a:ext>
            </a:extLst>
          </xdr:cNvPr>
          <xdr:cNvSpPr/>
        </xdr:nvSpPr>
        <xdr:spPr>
          <a:xfrm>
            <a:off x="122475" y="41939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1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14</xdr:col>
      <xdr:colOff>57978</xdr:colOff>
      <xdr:row>0</xdr:row>
      <xdr:rowOff>107673</xdr:rowOff>
    </xdr:from>
    <xdr:to>
      <xdr:col>18</xdr:col>
      <xdr:colOff>520975</xdr:colOff>
      <xdr:row>7</xdr:row>
      <xdr:rowOff>114301</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12617643" y="105768"/>
          <a:ext cx="3015697" cy="1275358"/>
          <a:chOff x="9342782" y="2435086"/>
          <a:chExt cx="2914650" cy="1639957"/>
        </a:xfrm>
      </xdr:grpSpPr>
      <xdr:sp macro="" textlink="">
        <xdr:nvSpPr>
          <xdr:cNvPr id="8" name="Rounded Rectangle 7">
            <a:extLst>
              <a:ext uri="{FF2B5EF4-FFF2-40B4-BE49-F238E27FC236}">
                <a16:creationId xmlns:a16="http://schemas.microsoft.com/office/drawing/2014/main" id="{00000000-0008-0000-0100-000008000000}"/>
              </a:ext>
            </a:extLst>
          </xdr:cNvPr>
          <xdr:cNvSpPr/>
        </xdr:nvSpPr>
        <xdr:spPr>
          <a:xfrm>
            <a:off x="9342782" y="2435086"/>
            <a:ext cx="2914650" cy="163995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100-000002000000}"/>
              </a:ext>
            </a:extLst>
          </xdr:cNvPr>
          <xdr:cNvSpPr txBox="1"/>
        </xdr:nvSpPr>
        <xdr:spPr>
          <a:xfrm>
            <a:off x="9475304" y="2857501"/>
            <a:ext cx="2501348" cy="966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2021 Electricity Distribution Rate Applications Webpage</a:t>
            </a:r>
            <a:endParaRPr lang="en-CA">
              <a:effectLst/>
            </a:endParaRPr>
          </a:p>
          <a:p>
            <a:endParaRPr lang="en-CA" sz="1100"/>
          </a:p>
        </xdr:txBody>
      </xdr:sp>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478617" y="2471532"/>
            <a:ext cx="1048578" cy="3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grpSp>
    <xdr:clientData/>
  </xdr:twoCellAnchor>
  <mc:AlternateContent xmlns:mc="http://schemas.openxmlformats.org/markup-compatibility/2006">
    <mc:Choice xmlns:a14="http://schemas.microsoft.com/office/drawing/2010/main" Requires="a14">
      <xdr:twoCellAnchor>
        <xdr:from>
          <xdr:col>8</xdr:col>
          <xdr:colOff>60960</xdr:colOff>
          <xdr:row>25</xdr:row>
          <xdr:rowOff>0</xdr:rowOff>
        </xdr:from>
        <xdr:to>
          <xdr:col>8</xdr:col>
          <xdr:colOff>396240</xdr:colOff>
          <xdr:row>25</xdr:row>
          <xdr:rowOff>304800</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0" i="0" u="none" strike="noStrike" baseline="0">
                  <a:solidFill>
                    <a:srgbClr val="000000"/>
                  </a:solidFill>
                  <a:latin typeface="Calibri"/>
                  <a:cs typeface="Calibri"/>
                </a:rPr>
                <a:t>+</a:t>
              </a:r>
            </a:p>
          </xdr:txBody>
        </xdr:sp>
        <xdr:clientData fPrintsWithSheet="0"/>
      </xdr:twoCellAnchor>
    </mc:Choice>
    <mc:Fallback/>
  </mc:AlternateContent>
  <xdr:twoCellAnchor>
    <xdr:from>
      <xdr:col>15</xdr:col>
      <xdr:colOff>0</xdr:colOff>
      <xdr:row>24</xdr:row>
      <xdr:rowOff>0</xdr:rowOff>
    </xdr:from>
    <xdr:to>
      <xdr:col>23</xdr:col>
      <xdr:colOff>503764</xdr:colOff>
      <xdr:row>63</xdr:row>
      <xdr:rowOff>190499</xdr:rowOff>
    </xdr:to>
    <xdr:sp macro="" textlink="">
      <xdr:nvSpPr>
        <xdr:cNvPr id="15" name="Rounded Rectangle 14" hidden="1">
          <a:extLst>
            <a:ext uri="{FF2B5EF4-FFF2-40B4-BE49-F238E27FC236}">
              <a16:creationId xmlns:a16="http://schemas.microsoft.com/office/drawing/2014/main" id="{00000000-0008-0000-0100-00000F000000}"/>
            </a:ext>
          </a:extLst>
        </xdr:cNvPr>
        <xdr:cNvSpPr/>
      </xdr:nvSpPr>
      <xdr:spPr>
        <a:xfrm>
          <a:off x="9458325" y="4743450"/>
          <a:ext cx="5380564" cy="2447924"/>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r>
            <a:rPr lang="en-CA" sz="1200">
              <a:solidFill>
                <a:schemeClr val="dk1"/>
              </a:solidFill>
              <a:effectLst/>
              <a:latin typeface="Arial" panose="020B0604020202020204" pitchFamily="34" charset="0"/>
              <a:ea typeface="+mn-ea"/>
              <a:cs typeface="Arial" panose="020B0604020202020204" pitchFamily="34" charset="0"/>
            </a:rPr>
            <a:t>If you had</a:t>
          </a:r>
          <a:r>
            <a:rPr lang="en-CA" sz="1200" baseline="0">
              <a:solidFill>
                <a:schemeClr val="dk1"/>
              </a:solidFill>
              <a:effectLst/>
              <a:latin typeface="Arial" panose="020B0604020202020204" pitchFamily="34" charset="0"/>
              <a:ea typeface="+mn-ea"/>
              <a:cs typeface="Arial" panose="020B0604020202020204" pitchFamily="34" charset="0"/>
            </a:rPr>
            <a:t> any customers classified as Class A at any point during the period where Account 1580, sub-account CBR Class B balance accumulated (i.e. from the year the balance was last disposed to the current year), check off the checkbox.</a:t>
          </a:r>
          <a:endParaRPr lang="en-CA" sz="1200">
            <a:effectLst/>
            <a:latin typeface="Arial" panose="020B0604020202020204" pitchFamily="34" charset="0"/>
            <a:cs typeface="Arial" panose="020B0604020202020204" pitchFamily="34" charset="0"/>
          </a:endParaRP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had Class A customer(s) during this period, Tab 6.2 will be generated. Account 1580, sub-account CBR Class B will be disposed through a separate rate rider calculated in Tab 6.2.</a:t>
          </a:r>
        </a:p>
        <a:p>
          <a:pPr eaLnBrk="1" fontAlgn="auto" latinLnBrk="0" hangingPunct="1"/>
          <a:endParaRPr lang="en-CA" sz="1200" b="0" i="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CA" sz="1200" b="0" i="0" baseline="0">
              <a:solidFill>
                <a:schemeClr val="dk1"/>
              </a:solidFill>
              <a:effectLst/>
              <a:latin typeface="Arial" panose="020B0604020202020204" pitchFamily="34" charset="0"/>
              <a:ea typeface="+mn-ea"/>
              <a:cs typeface="Arial" panose="020B0604020202020204" pitchFamily="34" charset="0"/>
            </a:rPr>
            <a:t>If you only had Class B customers during this period, the balance in 1580 sub-account CBR Class B will be allocated and disposed with Account 1580 WMS.</a:t>
          </a:r>
          <a:endParaRPr lang="en-CA" sz="1200">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274320</xdr:colOff>
          <xdr:row>27</xdr:row>
          <xdr:rowOff>30480</xdr:rowOff>
        </xdr:from>
        <xdr:to>
          <xdr:col>20</xdr:col>
          <xdr:colOff>137160</xdr:colOff>
          <xdr:row>28</xdr:row>
          <xdr:rowOff>53340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EAEAEA"/>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8</xdr:col>
      <xdr:colOff>1733550</xdr:colOff>
      <xdr:row>10</xdr:row>
      <xdr:rowOff>95250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 y="0"/>
          <a:ext cx="13988414" cy="1901190"/>
          <a:chOff x="200024" y="4499942"/>
          <a:chExt cx="8857420" cy="1915766"/>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C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C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10</xdr:row>
      <xdr:rowOff>10766</xdr:rowOff>
    </xdr:to>
    <xdr:grpSp>
      <xdr:nvGrpSpPr>
        <xdr:cNvPr id="8" name="Group 7">
          <a:extLst>
            <a:ext uri="{FF2B5EF4-FFF2-40B4-BE49-F238E27FC236}">
              <a16:creationId xmlns:a16="http://schemas.microsoft.com/office/drawing/2014/main" id="{00000000-0008-0000-0D00-000008000000}"/>
            </a:ext>
          </a:extLst>
        </xdr:cNvPr>
        <xdr:cNvGrpSpPr/>
      </xdr:nvGrpSpPr>
      <xdr:grpSpPr>
        <a:xfrm>
          <a:off x="0" y="0"/>
          <a:ext cx="14144625" cy="1758921"/>
          <a:chOff x="200024" y="4499942"/>
          <a:chExt cx="8857420" cy="1915766"/>
        </a:xfrm>
      </xdr:grpSpPr>
      <xdr:pic>
        <xdr:nvPicPr>
          <xdr:cNvPr id="9" name="Picture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D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D00-00000B000000}"/>
              </a:ext>
            </a:extLst>
          </xdr:cNvPr>
          <xdr:cNvSpPr/>
        </xdr:nvSpPr>
        <xdr:spPr>
          <a:xfrm>
            <a:off x="324975"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D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333374</xdr:colOff>
      <xdr:row>10</xdr:row>
      <xdr:rowOff>10766</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0" y="0"/>
          <a:ext cx="10888344" cy="1758921"/>
          <a:chOff x="200024" y="4499942"/>
          <a:chExt cx="8857420" cy="1915766"/>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E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a:xfrm>
            <a:off x="313275" y="503957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E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19050</xdr:colOff>
      <xdr:row>10</xdr:row>
      <xdr:rowOff>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0" y="0"/>
          <a:ext cx="12969240" cy="1746250"/>
          <a:chOff x="200024" y="4499942"/>
          <a:chExt cx="8857420" cy="1915766"/>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F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a:xfrm>
            <a:off x="317196" y="498970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F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777240</xdr:colOff>
      <xdr:row>11</xdr:row>
      <xdr:rowOff>130781</xdr:rowOff>
    </xdr:to>
    <xdr:grpSp>
      <xdr:nvGrpSpPr>
        <xdr:cNvPr id="6" name="Group 5">
          <a:extLst>
            <a:ext uri="{FF2B5EF4-FFF2-40B4-BE49-F238E27FC236}">
              <a16:creationId xmlns:a16="http://schemas.microsoft.com/office/drawing/2014/main" id="{00000000-0008-0000-1000-000006000000}"/>
            </a:ext>
          </a:extLst>
        </xdr:cNvPr>
        <xdr:cNvGrpSpPr>
          <a:grpSpLocks noChangeAspect="1"/>
        </xdr:cNvGrpSpPr>
      </xdr:nvGrpSpPr>
      <xdr:grpSpPr>
        <a:xfrm>
          <a:off x="0" y="0"/>
          <a:ext cx="14798675" cy="2055466"/>
          <a:chOff x="200024" y="4499942"/>
          <a:chExt cx="8857420" cy="1915766"/>
        </a:xfrm>
      </xdr:grpSpPr>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0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000-000009000000}"/>
              </a:ext>
            </a:extLst>
          </xdr:cNvPr>
          <xdr:cNvSpPr/>
        </xdr:nvSpPr>
        <xdr:spPr>
          <a:xfrm>
            <a:off x="296174" y="49729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0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21167</xdr:colOff>
      <xdr:row>0</xdr:row>
      <xdr:rowOff>21166</xdr:rowOff>
    </xdr:from>
    <xdr:to>
      <xdr:col>11</xdr:col>
      <xdr:colOff>1669676</xdr:colOff>
      <xdr:row>13</xdr:row>
      <xdr:rowOff>22410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811107" y="17356"/>
          <a:ext cx="12985164" cy="2271369"/>
          <a:chOff x="200024" y="4499942"/>
          <a:chExt cx="8857420" cy="1915766"/>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11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a:xfrm>
            <a:off x="337235" y="491746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1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38099</xdr:colOff>
      <xdr:row>0</xdr:row>
      <xdr:rowOff>28575</xdr:rowOff>
    </xdr:from>
    <xdr:to>
      <xdr:col>16</xdr:col>
      <xdr:colOff>76199</xdr:colOff>
      <xdr:row>11</xdr:row>
      <xdr:rowOff>47626</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38099" y="26670"/>
          <a:ext cx="12071350" cy="1943736"/>
          <a:chOff x="200024" y="4499942"/>
          <a:chExt cx="8857420" cy="1915766"/>
        </a:xfrm>
      </xdr:grpSpPr>
      <xdr:pic>
        <xdr:nvPicPr>
          <xdr:cNvPr id="10" name="Picture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2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200-00000C000000}"/>
              </a:ext>
            </a:extLst>
          </xdr:cNvPr>
          <xdr:cNvSpPr/>
        </xdr:nvSpPr>
        <xdr:spPr>
          <a:xfrm>
            <a:off x="322821" y="49582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2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2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25</xdr:col>
      <xdr:colOff>152400</xdr:colOff>
      <xdr:row>2</xdr:row>
      <xdr:rowOff>87627</xdr:rowOff>
    </xdr:from>
    <xdr:to>
      <xdr:col>27</xdr:col>
      <xdr:colOff>114300</xdr:colOff>
      <xdr:row>5</xdr:row>
      <xdr:rowOff>26455</xdr:rowOff>
    </xdr:to>
    <xdr:sp macro="" textlink="">
      <xdr:nvSpPr>
        <xdr:cNvPr id="2" name="Text Box 16">
          <a:extLst>
            <a:ext uri="{FF2B5EF4-FFF2-40B4-BE49-F238E27FC236}">
              <a16:creationId xmlns:a16="http://schemas.microsoft.com/office/drawing/2014/main" id="{00000000-0008-0000-1300-000002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885825</xdr:colOff>
      <xdr:row>11</xdr:row>
      <xdr:rowOff>134591</xdr:rowOff>
    </xdr:to>
    <xdr:grpSp>
      <xdr:nvGrpSpPr>
        <xdr:cNvPr id="7" name="Group 6">
          <a:extLst>
            <a:ext uri="{FF2B5EF4-FFF2-40B4-BE49-F238E27FC236}">
              <a16:creationId xmlns:a16="http://schemas.microsoft.com/office/drawing/2014/main" id="{00000000-0008-0000-1300-000007000000}"/>
            </a:ext>
          </a:extLst>
        </xdr:cNvPr>
        <xdr:cNvGrpSpPr/>
      </xdr:nvGrpSpPr>
      <xdr:grpSpPr>
        <a:xfrm>
          <a:off x="0" y="0"/>
          <a:ext cx="11873230" cy="2051656"/>
          <a:chOff x="200024" y="4499942"/>
          <a:chExt cx="8857420" cy="1915766"/>
        </a:xfrm>
      </xdr:grpSpPr>
      <xdr:pic>
        <xdr:nvPicPr>
          <xdr:cNvPr id="8" name="Picture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9" name="TextBox 8">
            <a:extLst>
              <a:ext uri="{FF2B5EF4-FFF2-40B4-BE49-F238E27FC236}">
                <a16:creationId xmlns:a16="http://schemas.microsoft.com/office/drawing/2014/main" id="{00000000-0008-0000-1300-000009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0" name="Rectangle 9">
            <a:extLst>
              <a:ext uri="{FF2B5EF4-FFF2-40B4-BE49-F238E27FC236}">
                <a16:creationId xmlns:a16="http://schemas.microsoft.com/office/drawing/2014/main" id="{00000000-0008-0000-1300-00000A000000}"/>
              </a:ext>
            </a:extLst>
          </xdr:cNvPr>
          <xdr:cNvSpPr/>
        </xdr:nvSpPr>
        <xdr:spPr>
          <a:xfrm>
            <a:off x="424072" y="48776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1300-00000C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25</xdr:col>
      <xdr:colOff>369570</xdr:colOff>
      <xdr:row>2</xdr:row>
      <xdr:rowOff>87627</xdr:rowOff>
    </xdr:from>
    <xdr:to>
      <xdr:col>27</xdr:col>
      <xdr:colOff>331470</xdr:colOff>
      <xdr:row>5</xdr:row>
      <xdr:rowOff>26455</xdr:rowOff>
    </xdr:to>
    <xdr:sp macro="" textlink="">
      <xdr:nvSpPr>
        <xdr:cNvPr id="4" name="Text Box 16">
          <a:extLst>
            <a:ext uri="{FF2B5EF4-FFF2-40B4-BE49-F238E27FC236}">
              <a16:creationId xmlns:a16="http://schemas.microsoft.com/office/drawing/2014/main" id="{00000000-0008-0000-1400-000004000000}"/>
            </a:ext>
          </a:extLst>
        </xdr:cNvPr>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15</xdr:col>
      <xdr:colOff>1019175</xdr:colOff>
      <xdr:row>12</xdr:row>
      <xdr:rowOff>95250</xdr:rowOff>
    </xdr:to>
    <xdr:grpSp>
      <xdr:nvGrpSpPr>
        <xdr:cNvPr id="9" name="Group 8">
          <a:extLst>
            <a:ext uri="{FF2B5EF4-FFF2-40B4-BE49-F238E27FC236}">
              <a16:creationId xmlns:a16="http://schemas.microsoft.com/office/drawing/2014/main" id="{00000000-0008-0000-1400-000009000000}"/>
            </a:ext>
          </a:extLst>
        </xdr:cNvPr>
        <xdr:cNvGrpSpPr/>
      </xdr:nvGrpSpPr>
      <xdr:grpSpPr>
        <a:xfrm>
          <a:off x="0" y="0"/>
          <a:ext cx="11939270" cy="2171065"/>
          <a:chOff x="200024" y="4499942"/>
          <a:chExt cx="8857420" cy="1915766"/>
        </a:xfrm>
      </xdr:grpSpPr>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4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400-00000C000000}"/>
              </a:ext>
            </a:extLst>
          </xdr:cNvPr>
          <xdr:cNvSpPr/>
        </xdr:nvSpPr>
        <xdr:spPr>
          <a:xfrm>
            <a:off x="315561" y="4977699"/>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4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19049</xdr:colOff>
      <xdr:row>0</xdr:row>
      <xdr:rowOff>0</xdr:rowOff>
    </xdr:from>
    <xdr:to>
      <xdr:col>9</xdr:col>
      <xdr:colOff>781049</xdr:colOff>
      <xdr:row>11</xdr:row>
      <xdr:rowOff>38100</xdr:rowOff>
    </xdr:to>
    <xdr:grpSp>
      <xdr:nvGrpSpPr>
        <xdr:cNvPr id="6" name="Group 5">
          <a:extLst>
            <a:ext uri="{FF2B5EF4-FFF2-40B4-BE49-F238E27FC236}">
              <a16:creationId xmlns:a16="http://schemas.microsoft.com/office/drawing/2014/main" id="{00000000-0008-0000-1500-000006000000}"/>
            </a:ext>
          </a:extLst>
        </xdr:cNvPr>
        <xdr:cNvGrpSpPr/>
      </xdr:nvGrpSpPr>
      <xdr:grpSpPr>
        <a:xfrm>
          <a:off x="22859" y="0"/>
          <a:ext cx="16970375" cy="1958975"/>
          <a:chOff x="200024" y="4499942"/>
          <a:chExt cx="9312502" cy="1915766"/>
        </a:xfrm>
      </xdr:grpSpPr>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9312502" cy="1915766"/>
          </a:xfrm>
          <a:prstGeom prst="rect">
            <a:avLst/>
          </a:prstGeom>
          <a:ln>
            <a:noFill/>
          </a:ln>
          <a:effectLst>
            <a:softEdge rad="112500"/>
          </a:effectLst>
        </xdr:spPr>
      </xdr:pic>
      <xdr:sp macro="" textlink="'1. Information Sheet'!AA1" fLocksText="0">
        <xdr:nvSpPr>
          <xdr:cNvPr id="8" name="TextBox 7">
            <a:extLst>
              <a:ext uri="{FF2B5EF4-FFF2-40B4-BE49-F238E27FC236}">
                <a16:creationId xmlns:a16="http://schemas.microsoft.com/office/drawing/2014/main" id="{00000000-0008-0000-1500-000008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9" name="Rectangle 8">
            <a:extLst>
              <a:ext uri="{FF2B5EF4-FFF2-40B4-BE49-F238E27FC236}">
                <a16:creationId xmlns:a16="http://schemas.microsoft.com/office/drawing/2014/main" id="{00000000-0008-0000-1500-000009000000}"/>
              </a:ext>
            </a:extLst>
          </xdr:cNvPr>
          <xdr:cNvSpPr/>
        </xdr:nvSpPr>
        <xdr:spPr>
          <a:xfrm>
            <a:off x="310336" y="4930688"/>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2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2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0" name="Picture 9">
            <a:extLst>
              <a:ext uri="{FF2B5EF4-FFF2-40B4-BE49-F238E27FC236}">
                <a16:creationId xmlns:a16="http://schemas.microsoft.com/office/drawing/2014/main" id="{00000000-0008-0000-15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 name="Rectangle 10">
            <a:extLst>
              <a:ext uri="{FF2B5EF4-FFF2-40B4-BE49-F238E27FC236}">
                <a16:creationId xmlns:a16="http://schemas.microsoft.com/office/drawing/2014/main" id="{00000000-0008-0000-1500-00000B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53</xdr:col>
      <xdr:colOff>54665</xdr:colOff>
      <xdr:row>8</xdr:row>
      <xdr:rowOff>136018</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0" y="0"/>
          <a:ext cx="7214649" cy="1946099"/>
          <a:chOff x="200024" y="4499942"/>
          <a:chExt cx="8857420" cy="1915766"/>
        </a:xfrm>
      </xdr:grpSpPr>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a:extLst>
              <a:ext uri="{FF2B5EF4-FFF2-40B4-BE49-F238E27FC236}">
                <a16:creationId xmlns:a16="http://schemas.microsoft.com/office/drawing/2014/main" id="{00000000-0008-0000-0300-000011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a:extLst>
              <a:ext uri="{FF2B5EF4-FFF2-40B4-BE49-F238E27FC236}">
                <a16:creationId xmlns:a16="http://schemas.microsoft.com/office/drawing/2014/main" id="{00000000-0008-0000-0300-000012000000}"/>
              </a:ext>
            </a:extLst>
          </xdr:cNvPr>
          <xdr:cNvSpPr/>
        </xdr:nvSpPr>
        <xdr:spPr>
          <a:xfrm>
            <a:off x="373351" y="4904312"/>
            <a:ext cx="8566570" cy="546629"/>
          </a:xfrm>
          <a:prstGeom prst="rect">
            <a:avLst/>
          </a:prstGeom>
          <a:noFill/>
        </xdr:spPr>
        <xdr:txBody>
          <a:bodyPr wrap="none" lIns="91440" tIns="45720" rIns="91440" bIns="45720" anchor="t">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a:t>
            </a:r>
          </a:p>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Generator for 2021 Filers</a:t>
            </a: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19" name="Picture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300-000014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19050</xdr:rowOff>
    </xdr:from>
    <xdr:to>
      <xdr:col>8</xdr:col>
      <xdr:colOff>1066800</xdr:colOff>
      <xdr:row>10</xdr:row>
      <xdr:rowOff>39341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0" y="15240"/>
          <a:ext cx="13401675" cy="1770351"/>
          <a:chOff x="200024" y="4499942"/>
          <a:chExt cx="8857420" cy="1915766"/>
        </a:xfrm>
      </xdr:grpSpPr>
      <xdr:pic>
        <xdr:nvPicPr>
          <xdr:cNvPr id="9" name="Picture 8">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16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1600-00000B000000}"/>
              </a:ext>
            </a:extLst>
          </xdr:cNvPr>
          <xdr:cNvSpPr/>
        </xdr:nvSpPr>
        <xdr:spPr>
          <a:xfrm>
            <a:off x="330770" y="502142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16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33338</xdr:colOff>
      <xdr:row>0</xdr:row>
      <xdr:rowOff>0</xdr:rowOff>
    </xdr:from>
    <xdr:to>
      <xdr:col>11</xdr:col>
      <xdr:colOff>23812</xdr:colOff>
      <xdr:row>10</xdr:row>
      <xdr:rowOff>20291</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31433" y="0"/>
          <a:ext cx="13142594" cy="1826231"/>
          <a:chOff x="200024" y="4499942"/>
          <a:chExt cx="8857420" cy="1915766"/>
        </a:xfrm>
      </xdr:grpSpPr>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17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a:xfrm>
            <a:off x="350328" y="4992990"/>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17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95249</xdr:colOff>
      <xdr:row>0</xdr:row>
      <xdr:rowOff>0</xdr:rowOff>
    </xdr:from>
    <xdr:to>
      <xdr:col>6</xdr:col>
      <xdr:colOff>152399</xdr:colOff>
      <xdr:row>9</xdr:row>
      <xdr:rowOff>16481</xdr:rowOff>
    </xdr:to>
    <xdr:grpSp>
      <xdr:nvGrpSpPr>
        <xdr:cNvPr id="9" name="Group 8">
          <a:extLst>
            <a:ext uri="{FF2B5EF4-FFF2-40B4-BE49-F238E27FC236}">
              <a16:creationId xmlns:a16="http://schemas.microsoft.com/office/drawing/2014/main" id="{00000000-0008-0000-1800-000009000000}"/>
            </a:ext>
          </a:extLst>
        </xdr:cNvPr>
        <xdr:cNvGrpSpPr/>
      </xdr:nvGrpSpPr>
      <xdr:grpSpPr>
        <a:xfrm>
          <a:off x="99059" y="0"/>
          <a:ext cx="11721465" cy="1877666"/>
          <a:chOff x="200024" y="4499942"/>
          <a:chExt cx="8857420" cy="1915766"/>
        </a:xfrm>
      </xdr:grpSpPr>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18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2" name="Rectangle 11">
            <a:extLst>
              <a:ext uri="{FF2B5EF4-FFF2-40B4-BE49-F238E27FC236}">
                <a16:creationId xmlns:a16="http://schemas.microsoft.com/office/drawing/2014/main" id="{00000000-0008-0000-1800-00000C000000}"/>
              </a:ext>
            </a:extLst>
          </xdr:cNvPr>
          <xdr:cNvSpPr/>
        </xdr:nvSpPr>
        <xdr:spPr>
          <a:xfrm>
            <a:off x="352009" y="505563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8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8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149</xdr:col>
          <xdr:colOff>312420</xdr:colOff>
          <xdr:row>0</xdr:row>
          <xdr:rowOff>68580</xdr:rowOff>
        </xdr:from>
        <xdr:to>
          <xdr:col>153</xdr:col>
          <xdr:colOff>419100</xdr:colOff>
          <xdr:row>267</xdr:row>
          <xdr:rowOff>99060</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1A00-000001A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200" b="1" i="0" u="none" strike="noStrike" baseline="0">
                  <a:solidFill>
                    <a:srgbClr val="000000"/>
                  </a:solidFill>
                  <a:latin typeface="Arial"/>
                  <a:cs typeface="Arial"/>
                </a:rPr>
                <a:t>Create Tariff in </a:t>
              </a:r>
            </a:p>
            <a:p>
              <a:pPr algn="ctr" rtl="0">
                <a:defRPr sz="1000"/>
              </a:pPr>
              <a:r>
                <a:rPr lang="en-CA" sz="1200" b="1" i="0" u="none" strike="noStrike" baseline="0">
                  <a:solidFill>
                    <a:srgbClr val="000000"/>
                  </a:solidFill>
                  <a:latin typeface="Arial"/>
                  <a:cs typeface="Arial"/>
                </a:rPr>
                <a:t>Separate File</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2</xdr:col>
      <xdr:colOff>28575</xdr:colOff>
      <xdr:row>0</xdr:row>
      <xdr:rowOff>57150</xdr:rowOff>
    </xdr:from>
    <xdr:to>
      <xdr:col>13</xdr:col>
      <xdr:colOff>1438275</xdr:colOff>
      <xdr:row>8</xdr:row>
      <xdr:rowOff>1884</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 y="57150"/>
          <a:ext cx="13544550" cy="1421109"/>
        </a:xfrm>
        <a:prstGeom prst="rect">
          <a:avLst/>
        </a:prstGeom>
        <a:ln>
          <a:noFill/>
        </a:ln>
        <a:effectLst>
          <a:softEdge rad="112500"/>
        </a:effectLst>
      </xdr:spPr>
    </xdr:pic>
    <xdr:clientData/>
  </xdr:twoCellAnchor>
  <xdr:twoCellAnchor>
    <xdr:from>
      <xdr:col>3</xdr:col>
      <xdr:colOff>1814300</xdr:colOff>
      <xdr:row>1</xdr:row>
      <xdr:rowOff>47154</xdr:rowOff>
    </xdr:from>
    <xdr:to>
      <xdr:col>12</xdr:col>
      <xdr:colOff>508335</xdr:colOff>
      <xdr:row>4</xdr:row>
      <xdr:rowOff>18168</xdr:rowOff>
    </xdr:to>
    <xdr:sp macro="" textlink="">
      <xdr:nvSpPr>
        <xdr:cNvPr id="12" name="Rectangle 11">
          <a:extLst>
            <a:ext uri="{FF2B5EF4-FFF2-40B4-BE49-F238E27FC236}">
              <a16:creationId xmlns:a16="http://schemas.microsoft.com/office/drawing/2014/main" id="{00000000-0008-0000-1B00-00000C000000}"/>
            </a:ext>
          </a:extLst>
        </xdr:cNvPr>
        <xdr:cNvSpPr/>
      </xdr:nvSpPr>
      <xdr:spPr>
        <a:xfrm>
          <a:off x="2042900" y="323379"/>
          <a:ext cx="9543010" cy="65681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3</xdr:col>
      <xdr:colOff>16357</xdr:colOff>
      <xdr:row>1</xdr:row>
      <xdr:rowOff>6409</xdr:rowOff>
    </xdr:from>
    <xdr:to>
      <xdr:col>3</xdr:col>
      <xdr:colOff>407593</xdr:colOff>
      <xdr:row>3</xdr:row>
      <xdr:rowOff>20475</xdr:rowOff>
    </xdr:to>
    <xdr:pic>
      <xdr:nvPicPr>
        <xdr:cNvPr id="13" name="Picture 1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35432" y="196909"/>
          <a:ext cx="391236" cy="3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358613</xdr:colOff>
      <xdr:row>0</xdr:row>
      <xdr:rowOff>165301</xdr:rowOff>
    </xdr:from>
    <xdr:to>
      <xdr:col>4</xdr:col>
      <xdr:colOff>640216</xdr:colOff>
      <xdr:row>2</xdr:row>
      <xdr:rowOff>135597</xdr:rowOff>
    </xdr:to>
    <xdr:sp macro="" textlink="">
      <xdr:nvSpPr>
        <xdr:cNvPr id="14" name="Rectangle 13">
          <a:extLst>
            <a:ext uri="{FF2B5EF4-FFF2-40B4-BE49-F238E27FC236}">
              <a16:creationId xmlns:a16="http://schemas.microsoft.com/office/drawing/2014/main" id="{00000000-0008-0000-1B00-00000E000000}"/>
            </a:ext>
          </a:extLst>
        </xdr:cNvPr>
        <xdr:cNvSpPr/>
      </xdr:nvSpPr>
      <xdr:spPr>
        <a:xfrm>
          <a:off x="577688" y="165301"/>
          <a:ext cx="2596178" cy="351296"/>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16</xdr:col>
      <xdr:colOff>79017</xdr:colOff>
      <xdr:row>28</xdr:row>
      <xdr:rowOff>611531</xdr:rowOff>
    </xdr:from>
    <xdr:to>
      <xdr:col>18</xdr:col>
      <xdr:colOff>359157</xdr:colOff>
      <xdr:row>38</xdr:row>
      <xdr:rowOff>1744</xdr:rowOff>
    </xdr:to>
    <xdr:sp macro="" textlink="">
      <xdr:nvSpPr>
        <xdr:cNvPr id="10" name="TextBox 9">
          <a:extLst>
            <a:ext uri="{FF2B5EF4-FFF2-40B4-BE49-F238E27FC236}">
              <a16:creationId xmlns:a16="http://schemas.microsoft.com/office/drawing/2014/main" id="{00000000-0008-0000-1B00-00000A000000}"/>
            </a:ext>
          </a:extLst>
        </xdr:cNvPr>
        <xdr:cNvSpPr txBox="1"/>
      </xdr:nvSpPr>
      <xdr:spPr>
        <a:xfrm>
          <a:off x="14910501" y="4620498"/>
          <a:ext cx="1644332" cy="2065679"/>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1">
              <a:latin typeface="Arial" pitchFamily="34" charset="0"/>
              <a:cs typeface="Arial" pitchFamily="34" charset="0"/>
            </a:rPr>
            <a:t>Once</a:t>
          </a:r>
          <a:r>
            <a:rPr lang="en-CA" sz="1100" b="1" baseline="0">
              <a:latin typeface="Arial" pitchFamily="34" charset="0"/>
              <a:cs typeface="Arial" pitchFamily="34" charset="0"/>
            </a:rPr>
            <a:t> all applicable cells in Table 1 have been entered, click on the UPDATE Button below to generate the associated detailed Bill Impact charts.</a:t>
          </a:r>
        </a:p>
        <a:p>
          <a:pPr algn="ctr"/>
          <a:endParaRPr lang="en-CA" sz="1100"/>
        </a:p>
      </xdr:txBody>
    </xdr:sp>
    <xdr:clientData fPrintsWithSheet="0"/>
  </xdr:twoCellAnchor>
  <mc:AlternateContent xmlns:mc="http://schemas.openxmlformats.org/markup-compatibility/2006">
    <mc:Choice xmlns:a14="http://schemas.microsoft.com/office/drawing/2010/main" Requires="a14">
      <xdr:twoCellAnchor editAs="absolute">
        <xdr:from>
          <xdr:col>16</xdr:col>
          <xdr:colOff>304800</xdr:colOff>
          <xdr:row>35</xdr:row>
          <xdr:rowOff>137160</xdr:rowOff>
        </xdr:from>
        <xdr:to>
          <xdr:col>18</xdr:col>
          <xdr:colOff>121920</xdr:colOff>
          <xdr:row>37</xdr:row>
          <xdr:rowOff>45720</xdr:rowOff>
        </xdr:to>
        <xdr:sp macro="" textlink="">
          <xdr:nvSpPr>
            <xdr:cNvPr id="40963" name="Button 3" hidden="1">
              <a:extLst>
                <a:ext uri="{63B3BB69-23CF-44E3-9099-C40C66FF867C}">
                  <a14:compatExt spid="_x0000_s40963"/>
                </a:ext>
                <a:ext uri="{FF2B5EF4-FFF2-40B4-BE49-F238E27FC236}">
                  <a16:creationId xmlns:a16="http://schemas.microsoft.com/office/drawing/2014/main" id="{00000000-0008-0000-1B00-000003A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126996</xdr:colOff>
      <xdr:row>0</xdr:row>
      <xdr:rowOff>0</xdr:rowOff>
    </xdr:from>
    <xdr:to>
      <xdr:col>3</xdr:col>
      <xdr:colOff>1057276</xdr:colOff>
      <xdr:row>10</xdr:row>
      <xdr:rowOff>164059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26996" y="0"/>
          <a:ext cx="6931030" cy="1897609"/>
        </a:xfrm>
        <a:prstGeom prst="rect">
          <a:avLst/>
        </a:prstGeom>
        <a:ln>
          <a:noFill/>
        </a:ln>
        <a:effectLst>
          <a:softEdge rad="112500"/>
        </a:effectLst>
      </xdr:spPr>
    </xdr:pic>
    <xdr:clientData/>
  </xdr:twoCellAnchor>
  <xdr:twoCellAnchor>
    <xdr:from>
      <xdr:col>1</xdr:col>
      <xdr:colOff>71158</xdr:colOff>
      <xdr:row>4</xdr:row>
      <xdr:rowOff>14078</xdr:rowOff>
    </xdr:from>
    <xdr:to>
      <xdr:col>3</xdr:col>
      <xdr:colOff>400050</xdr:colOff>
      <xdr:row>7</xdr:row>
      <xdr:rowOff>12327</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71158" y="661778"/>
          <a:ext cx="6329642" cy="512599"/>
        </a:xfrm>
        <a:prstGeom prst="rect">
          <a:avLst/>
        </a:prstGeom>
        <a:noFill/>
      </xdr:spPr>
      <xdr:txBody>
        <a:bodyPr wrap="none" lIns="91440" tIns="45720" rIns="91440" bIns="45720" anchor="ctr">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baseline="0">
              <a:effectLst>
                <a:outerShdw blurRad="50800" dist="38100" algn="tr" rotWithShape="0">
                  <a:prstClr val="black">
                    <a:alpha val="40000"/>
                  </a:prstClr>
                </a:outerShdw>
              </a:effectLst>
              <a:latin typeface="+mn-lt"/>
              <a:ea typeface="+mn-ea"/>
              <a:cs typeface="+mn-cs"/>
            </a:rPr>
            <a:t>Incentive Rate-setting Mechanism Rate </a:t>
          </a:r>
        </a:p>
        <a:p>
          <a:pPr algn="ctr" rtl="0"/>
          <a:r>
            <a:rPr lang="en-CA" sz="2800" b="1" i="0" baseline="0">
              <a:effectLst>
                <a:outerShdw blurRad="50800" dist="38100" algn="tr" rotWithShape="0">
                  <a:prstClr val="black">
                    <a:alpha val="40000"/>
                  </a:prstClr>
                </a:outerShdw>
              </a:effectLst>
              <a:latin typeface="+mn-lt"/>
              <a:ea typeface="+mn-ea"/>
              <a:cs typeface="+mn-cs"/>
            </a:rPr>
            <a:t>Generator for 2021 Filers</a:t>
          </a:r>
          <a:endParaRPr lang="en-CA" sz="2800" b="1">
            <a:effectLst>
              <a:outerShdw blurRad="50800" dist="38100" algn="tr" rotWithShape="0">
                <a:prstClr val="black">
                  <a:alpha val="40000"/>
                </a:prstClr>
              </a:outerShdw>
            </a:effectLst>
            <a:latin typeface="+mn-lt"/>
            <a:ea typeface="+mn-ea"/>
            <a:cs typeface="+mn-cs"/>
          </a:endParaRPr>
        </a:p>
      </xdr:txBody>
    </xdr:sp>
    <xdr:clientData/>
  </xdr:twoCellAnchor>
  <xdr:twoCellAnchor>
    <xdr:from>
      <xdr:col>1</xdr:col>
      <xdr:colOff>129624</xdr:colOff>
      <xdr:row>0</xdr:row>
      <xdr:rowOff>153177</xdr:rowOff>
    </xdr:from>
    <xdr:to>
      <xdr:col>2</xdr:col>
      <xdr:colOff>328406</xdr:colOff>
      <xdr:row>3</xdr:row>
      <xdr:rowOff>45547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9624" y="15317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279671</xdr:colOff>
      <xdr:row>0</xdr:row>
      <xdr:rowOff>122923</xdr:rowOff>
    </xdr:from>
    <xdr:to>
      <xdr:col>2</xdr:col>
      <xdr:colOff>2862885</xdr:colOff>
      <xdr:row>2</xdr:row>
      <xdr:rowOff>144848</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470171" y="122923"/>
          <a:ext cx="2583214" cy="345775"/>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28575</xdr:rowOff>
    </xdr:from>
    <xdr:to>
      <xdr:col>5</xdr:col>
      <xdr:colOff>970720</xdr:colOff>
      <xdr:row>10</xdr:row>
      <xdr:rowOff>48866</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26670"/>
          <a:ext cx="9118405" cy="1976726"/>
          <a:chOff x="200024" y="4499942"/>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0" name="TextBox 9">
            <a:extLst>
              <a:ext uri="{FF2B5EF4-FFF2-40B4-BE49-F238E27FC236}">
                <a16:creationId xmlns:a16="http://schemas.microsoft.com/office/drawing/2014/main" id="{00000000-0008-0000-0600-00000A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1" name="Rectangle 10">
            <a:extLst>
              <a:ext uri="{FF2B5EF4-FFF2-40B4-BE49-F238E27FC236}">
                <a16:creationId xmlns:a16="http://schemas.microsoft.com/office/drawing/2014/main" id="{00000000-0008-0000-0600-00000B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a:t>
            </a:r>
          </a:p>
          <a:p>
            <a:pPr algn="ctr" rtl="0"/>
            <a:r>
              <a:rPr lang="en-CA" sz="28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 for 2021 Filers</a:t>
            </a:r>
            <a:endParaRPr lang="en-CA" sz="28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600-00000D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31750</xdr:rowOff>
    </xdr:from>
    <xdr:to>
      <xdr:col>8</xdr:col>
      <xdr:colOff>967545</xdr:colOff>
      <xdr:row>10</xdr:row>
      <xdr:rowOff>42516</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0" y="29845"/>
          <a:ext cx="10670980" cy="1760826"/>
          <a:chOff x="200024" y="4499942"/>
          <a:chExt cx="8857420" cy="1915766"/>
        </a:xfrm>
      </xdr:grpSpPr>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7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a:xfrm>
            <a:off x="345334" y="499195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4</xdr:col>
      <xdr:colOff>1276350</xdr:colOff>
      <xdr:row>11</xdr:row>
      <xdr:rowOff>47624</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 y="0"/>
          <a:ext cx="11759564" cy="2040254"/>
          <a:chOff x="200024" y="4499942"/>
          <a:chExt cx="8891405" cy="1915766"/>
        </a:xfrm>
      </xdr:grpSpPr>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800-000004000000}"/>
              </a:ext>
            </a:extLst>
          </xdr:cNvPr>
          <xdr:cNvSpPr txBox="1"/>
        </xdr:nvSpPr>
        <xdr:spPr>
          <a:xfrm>
            <a:off x="460952" y="526194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a:xfrm>
            <a:off x="337235" y="4971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xdr:txBody>
      </xdr:sp>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46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8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403860</xdr:colOff>
          <xdr:row>24</xdr:row>
          <xdr:rowOff>22860</xdr:rowOff>
        </xdr:from>
        <xdr:to>
          <xdr:col>3</xdr:col>
          <xdr:colOff>1775460</xdr:colOff>
          <xdr:row>25</xdr:row>
          <xdr:rowOff>0</xdr:rowOff>
        </xdr:to>
        <xdr:sp macro="" textlink="">
          <xdr:nvSpPr>
            <xdr:cNvPr id="79877" name="Button 5" hidden="1">
              <a:extLst>
                <a:ext uri="{63B3BB69-23CF-44E3-9099-C40C66FF867C}">
                  <a14:compatExt spid="_x0000_s79877"/>
                </a:ext>
                <a:ext uri="{FF2B5EF4-FFF2-40B4-BE49-F238E27FC236}">
                  <a16:creationId xmlns:a16="http://schemas.microsoft.com/office/drawing/2014/main" id="{00000000-0008-0000-0800-0000053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381000</xdr:colOff>
          <xdr:row>486</xdr:row>
          <xdr:rowOff>144780</xdr:rowOff>
        </xdr:from>
        <xdr:to>
          <xdr:col>3</xdr:col>
          <xdr:colOff>1752600</xdr:colOff>
          <xdr:row>486</xdr:row>
          <xdr:rowOff>426720</xdr:rowOff>
        </xdr:to>
        <xdr:sp macro="" textlink="">
          <xdr:nvSpPr>
            <xdr:cNvPr id="79878" name="Button 6" hidden="1">
              <a:extLst>
                <a:ext uri="{63B3BB69-23CF-44E3-9099-C40C66FF867C}">
                  <a14:compatExt spid="_x0000_s79878"/>
                </a:ext>
                <a:ext uri="{FF2B5EF4-FFF2-40B4-BE49-F238E27FC236}">
                  <a16:creationId xmlns:a16="http://schemas.microsoft.com/office/drawing/2014/main" id="{00000000-0008-0000-0800-00000638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CA" sz="1100" b="0" i="0" u="none" strike="noStrike" baseline="0">
                  <a:solidFill>
                    <a:srgbClr val="000000"/>
                  </a:solidFill>
                  <a:latin typeface="Calibri"/>
                  <a:cs typeface="Calibri"/>
                </a:rPr>
                <a:t>Clear All</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7</xdr:col>
      <xdr:colOff>1828800</xdr:colOff>
      <xdr:row>10</xdr:row>
      <xdr:rowOff>133350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1" y="0"/>
          <a:ext cx="10610849" cy="1939290"/>
          <a:chOff x="200024" y="4499942"/>
          <a:chExt cx="8857420" cy="1915766"/>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9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a:xfrm>
            <a:off x="294956" y="49956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xdr:txBody>
      </xdr:sp>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9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104774</xdr:colOff>
      <xdr:row>10</xdr:row>
      <xdr:rowOff>619126</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1"/>
          <a:ext cx="11132819" cy="2078355"/>
          <a:chOff x="200024" y="4499942"/>
          <a:chExt cx="8857420" cy="1915766"/>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A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a:xfrm>
            <a:off x="352802" y="4973017"/>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A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47625</xdr:rowOff>
    </xdr:from>
    <xdr:to>
      <xdr:col>7</xdr:col>
      <xdr:colOff>21166</xdr:colOff>
      <xdr:row>13</xdr:row>
      <xdr:rowOff>43391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0" y="49530"/>
          <a:ext cx="11334750" cy="2224616"/>
          <a:chOff x="200024" y="4536847"/>
          <a:chExt cx="8857420" cy="1915766"/>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536847"/>
            <a:ext cx="8857420" cy="1915766"/>
          </a:xfrm>
          <a:prstGeom prst="rect">
            <a:avLst/>
          </a:prstGeom>
          <a:ln>
            <a:noFill/>
          </a:ln>
          <a:effectLst>
            <a:softEdge rad="112500"/>
          </a:effectLst>
        </xdr:spPr>
      </xdr:pic>
      <xdr:sp macro="" textlink="" fLocksText="0">
        <xdr:nvSpPr>
          <xdr:cNvPr id="4" name="TextBox 3">
            <a:extLst>
              <a:ext uri="{FF2B5EF4-FFF2-40B4-BE49-F238E27FC236}">
                <a16:creationId xmlns:a16="http://schemas.microsoft.com/office/drawing/2014/main" id="{00000000-0008-0000-0B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a:xfrm>
            <a:off x="275343" y="4980074"/>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Incentive Rate-setting Mechanism Rate Generator </a:t>
            </a:r>
            <a:b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br>
            <a:r>
              <a:rPr lang="en-CA" sz="36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for 2021 Filers</a:t>
            </a:r>
          </a:p>
          <a:p>
            <a:pPr algn="ctr" rtl="0"/>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B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FPS02\Groups\Wangka\%7bprofile%7d\Desktop\Applications%20Department\Department%20Applications\Application%20Review%20Process\Rec%20#1 - Application Filing Requirements\Testing Protocols for Models and Appendices\2014 IRM Rate Generator_V2.3_FOR TESTING.xlsm?8419C37F" TargetMode="External"/><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AbramoMa\Downloads\2016_Filing_Requirements_Chapter2_Appendices_DRAFT%20(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bramoMa\Downloads\2016_Filing_Requirements_Chapter2_Appendices_DRAFT%2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Users\AbramoMa\Downloads\2016_Filing_Requirements_Chapter2_Appendices_DRAFT%20(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16,%202016%20-%20Master_KW.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May%206,%202016%20-%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A_OEB_Module\2016_IRM_RateGen_Model_blankmodel%20-%20Serguei%20-%20Cop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2016%20IRM%20database\A_OEB_Module\Serguei_Unit_Test\2016_IRM_RateGen_Model_blankmodel%20-%20April%2029,%202016%20-%20Master.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FPS02\Groups\Wangka\%7bprofile%7d\Desktop\Test%20Models\Test_Orillia_2016_IRM_Rate%20Generator_February%204%20CONFIDENTIAL.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anmohsi\AppData\Local\Microsoft\Windows\Temporary%20Internet%20Files\Content.Outlook\O0R69CL9\2018_IRM_RateGen_Model_V2.6_RRR.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row>
        <row r="2">
          <cell r="A2" t="str">
            <v>DISTRIBUTED GENERATION [DGEN]</v>
          </cell>
        </row>
        <row r="3">
          <cell r="A3" t="str">
            <v>EMBEDDED DISTRIBUTOR</v>
          </cell>
        </row>
        <row r="4">
          <cell r="A4" t="str">
            <v>EMBEDDED DISTRIBUTOR</v>
          </cell>
        </row>
        <row r="5">
          <cell r="A5" t="str">
            <v>FARMS - SINGLE PHASE ENERGY-BILLED [F1]</v>
          </cell>
        </row>
        <row r="6">
          <cell r="A6" t="str">
            <v>FARMS - THREE PHASE ENERGY-BILLED [F3]</v>
          </cell>
        </row>
        <row r="7">
          <cell r="A7" t="str">
            <v>GENERAL SERVICE - COMMERCIAL</v>
          </cell>
        </row>
        <row r="8">
          <cell r="A8" t="str">
            <v>GENERAL SERVICE - INSTITUTIONAL</v>
          </cell>
        </row>
        <row r="9">
          <cell r="A9" t="str">
            <v>GENERAL SERVICE 1,000 TO 2,999 KW</v>
          </cell>
        </row>
        <row r="10">
          <cell r="A10" t="str">
            <v>GENERAL SERVICE 1,000 TO 4,999 KW</v>
          </cell>
        </row>
        <row r="11">
          <cell r="A11" t="str">
            <v>GENERAL SERVICE 1,000 TO 4,999 KW - INTERVAL METERS</v>
          </cell>
        </row>
        <row r="12">
          <cell r="A12" t="str">
            <v>GENERAL SERVICE 1,000 TO 4,999 KW (CO-GENERATION)</v>
          </cell>
        </row>
        <row r="13">
          <cell r="A13" t="str">
            <v>GENERAL SERVICE 1,500 TO 4,999 KW</v>
          </cell>
        </row>
        <row r="14">
          <cell r="A14" t="str">
            <v>GENERAL SERVICE 2,500 TO 4,999 KW</v>
          </cell>
        </row>
        <row r="15">
          <cell r="A15" t="str">
            <v>GENERAL SERVICE 3,000 TO 4,999 KW</v>
          </cell>
        </row>
        <row r="16">
          <cell r="A16" t="str">
            <v>GENERAL SERVICE 3,000 TO 4,999 KW - INTERMEDIATE USE</v>
          </cell>
        </row>
        <row r="17">
          <cell r="A17" t="str">
            <v>GENERAL SERVICE 3,000 TO 4,999 KW - INTERVAL METERED</v>
          </cell>
        </row>
        <row r="18">
          <cell r="A18" t="str">
            <v>GENERAL SERVICE 3,000 TO 4,999 KW - TIME OF USE</v>
          </cell>
        </row>
        <row r="19">
          <cell r="A19" t="str">
            <v>GENERAL SERVICE 50 TO 1,000 KW</v>
          </cell>
        </row>
        <row r="20">
          <cell r="A20" t="str">
            <v>GENERAL SERVICE 50 TO 1,000 KW - INTERVAL METERS</v>
          </cell>
        </row>
        <row r="21">
          <cell r="A21" t="str">
            <v>GENERAL SERVICE 50 TO 1,000 KW - NON INTERVAL METERS</v>
          </cell>
        </row>
        <row r="22">
          <cell r="A22" t="str">
            <v>GENERAL SERVICE 50 TO 1,499 KW</v>
          </cell>
        </row>
        <row r="23">
          <cell r="A23" t="str">
            <v>GENERAL SERVICE 50 TO 1,499 KW - INTERVAL METERED</v>
          </cell>
        </row>
        <row r="24">
          <cell r="A24" t="str">
            <v>GENERAL SERVICE 50 TO 2,499 KW</v>
          </cell>
        </row>
        <row r="25">
          <cell r="A25" t="str">
            <v>GENERAL SERVICE 50 TO 2,999 KW</v>
          </cell>
        </row>
        <row r="26">
          <cell r="A26" t="str">
            <v>GENERAL SERVICE 50 TO 2,999 KW - INTERVAL METERED</v>
          </cell>
        </row>
        <row r="27">
          <cell r="A27" t="str">
            <v>GENERAL SERVICE 50 TO 2,999 KW - TIME OF USE</v>
          </cell>
        </row>
        <row r="28">
          <cell r="A28" t="str">
            <v>GENERAL SERVICE 50 TO 4,999 KW</v>
          </cell>
        </row>
        <row r="29">
          <cell r="A29" t="str">
            <v>GENERAL SERVICE 50 TO 4,999 KW - INTERVAL METERED</v>
          </cell>
        </row>
        <row r="30">
          <cell r="A30" t="str">
            <v>GENERAL SERVICE 50 TO 4,999 KW - TIME OF USE</v>
          </cell>
        </row>
        <row r="31">
          <cell r="A31" t="str">
            <v>GENERAL SERVICE 50 TO 4,999 KW (COGENERATION)</v>
          </cell>
        </row>
        <row r="32">
          <cell r="A32" t="str">
            <v>GENERAL SERVICE 50 TO 4,999 KW (FORMERLY TIME OF USE)</v>
          </cell>
        </row>
        <row r="33">
          <cell r="A33" t="str">
            <v>GENERAL SERVICE 50 TO 499 KW</v>
          </cell>
        </row>
        <row r="34">
          <cell r="A34" t="str">
            <v>GENERAL SERVICE 50 TO 699 KW</v>
          </cell>
        </row>
        <row r="35">
          <cell r="A35" t="str">
            <v>GENERAL SERVICE 50 TO 999 KW</v>
          </cell>
        </row>
        <row r="36">
          <cell r="A36" t="str">
            <v>GENERAL SERVICE 50 TO 999 KW - INTERVAL METERED</v>
          </cell>
        </row>
        <row r="37">
          <cell r="A37" t="str">
            <v>GENERAL SERVICE 500 TO 4,999 KW</v>
          </cell>
        </row>
        <row r="38">
          <cell r="A38" t="str">
            <v>GENERAL SERVICE 700 TO 4,999 KW</v>
          </cell>
        </row>
        <row r="39">
          <cell r="A39" t="str">
            <v>GENERAL SERVICE DEMAND BILLED (50 KW AND ABOVE) [GSD]</v>
          </cell>
        </row>
        <row r="40">
          <cell r="A40" t="str">
            <v>GENERAL SERVICE ENERGY BILLED (LESS THAN 50 KW) [GSE-METERED]</v>
          </cell>
        </row>
        <row r="41">
          <cell r="A41" t="str">
            <v>GENERAL SERVICE ENERGY BILLED (LESS THAN TO 50 KW) [GSE-UNMETERED]</v>
          </cell>
        </row>
        <row r="42">
          <cell r="A42" t="str">
            <v>GENERAL SERVICE EQUAL TO OR GREATER THAN 1,500 KW</v>
          </cell>
        </row>
        <row r="43">
          <cell r="A43" t="str">
            <v>GENERAL SERVICE EQUAL TO OR GREATER THAN 1,500 KW - INTERVAL METERED</v>
          </cell>
        </row>
        <row r="44">
          <cell r="A44" t="str">
            <v>GENERAL SERVICE GREATER THAN 1,000 KW</v>
          </cell>
        </row>
        <row r="45">
          <cell r="A45" t="str">
            <v>GENERAL SERVICE GREATER THAN 50 kW - WMP</v>
          </cell>
        </row>
        <row r="46">
          <cell r="A46" t="str">
            <v>GENERAL SERVICE INTERMEDIATE 1,000 TO 4,999 KW</v>
          </cell>
        </row>
        <row r="47">
          <cell r="A47" t="str">
            <v>GENERAL SERVICE INTERMEDIATE RATE CLASS 1,000 TO 4,999 KW (FORMERLY GENERAL SERVICE &gt; 50 KW CUSTOMERS)</v>
          </cell>
        </row>
        <row r="48">
          <cell r="A48" t="str">
            <v>GENERAL SERVICE INTERMEDIATE RATE CLASS 1,000 TO 4,999 KW (FORMERLY LARGE USE CUSTOMERS)</v>
          </cell>
        </row>
        <row r="49">
          <cell r="A49" t="str">
            <v>GENERAL SERVICE LESS THAN 50 KW</v>
          </cell>
        </row>
        <row r="50">
          <cell r="A50" t="str">
            <v>GENERAL SERVICE LESS THAN 50 KW - SINGLE PHASE ENERGY-BILLED [G1]</v>
          </cell>
        </row>
        <row r="51">
          <cell r="A51" t="str">
            <v>GENERAL SERVICE LESS THAN 50 KW - THREE PHASE ENERGY-BILLED [G3]</v>
          </cell>
        </row>
        <row r="52">
          <cell r="A52" t="str">
            <v>GENERAL SERVICE LESS THAN 50 KW - TRANSMISSION CLASS ENERGY-BILLED [T]</v>
          </cell>
        </row>
        <row r="53">
          <cell r="A53" t="str">
            <v>GENERAL SERVICE LESS THAN 50 KW - URBAN ENERGY-BILLED [UG]</v>
          </cell>
        </row>
        <row r="54">
          <cell r="A54" t="str">
            <v>GENERAL SERVICE SINGLE PHASE - G1</v>
          </cell>
        </row>
        <row r="55">
          <cell r="A55" t="str">
            <v>GENERAL SERVICE THREE PHASE - G3</v>
          </cell>
        </row>
        <row r="56">
          <cell r="A56" t="str">
            <v>INTERMEDIATE USERS</v>
          </cell>
        </row>
        <row r="57">
          <cell r="A57" t="str">
            <v>INTERMEDIATE WITH SELF GENERATION</v>
          </cell>
        </row>
        <row r="58">
          <cell r="A58" t="str">
            <v>LARGE USE</v>
          </cell>
        </row>
        <row r="59">
          <cell r="A59" t="str">
            <v>LARGE USE - 3TS</v>
          </cell>
        </row>
        <row r="60">
          <cell r="A60" t="str">
            <v>LARGE USE - FORD ANNEX</v>
          </cell>
        </row>
        <row r="61">
          <cell r="A61" t="str">
            <v>LARGE USE - REGULAR</v>
          </cell>
        </row>
        <row r="62">
          <cell r="A62" t="str">
            <v>LARGE USE &gt; 5000 KW</v>
          </cell>
        </row>
        <row r="63">
          <cell r="A63" t="str">
            <v>microFIT</v>
          </cell>
        </row>
        <row r="64">
          <cell r="A64" t="str">
            <v>RESIDENTIAL</v>
          </cell>
        </row>
        <row r="65">
          <cell r="A65" t="str">
            <v>RESIDENTIAL - HENSALL</v>
          </cell>
        </row>
        <row r="66">
          <cell r="A66" t="str">
            <v>RESIDENTIAL - HIGH DENSITY [R1]</v>
          </cell>
        </row>
        <row r="67">
          <cell r="A67" t="str">
            <v>RESIDENTIAL - LOW DENSITY [R2]</v>
          </cell>
        </row>
        <row r="68">
          <cell r="A68" t="str">
            <v>RESIDENTIAL - MEDIUM DENSITY [R1]</v>
          </cell>
        </row>
        <row r="69">
          <cell r="A69" t="str">
            <v>RESIDENTIAL - NORMAL DENSITY [R2]</v>
          </cell>
        </row>
        <row r="70">
          <cell r="A70" t="str">
            <v>RESIDENTIAL - TIME OF USE</v>
          </cell>
        </row>
        <row r="71">
          <cell r="A71" t="str">
            <v>RESIDENTIAL - URBAN [UR]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 val="2016_IRM_RateGen_Model_blankmo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sheetData sheetId="2"/>
      <sheetData sheetId="3"/>
      <sheetData sheetId="4">
        <row r="5">
          <cell r="C5" t="str">
            <v>Former Chatham-Kent Hydro Service Area</v>
          </cell>
        </row>
      </sheetData>
      <sheetData sheetId="5"/>
      <sheetData sheetId="6"/>
      <sheetData sheetId="7"/>
      <sheetData sheetId="8"/>
      <sheetData sheetId="9"/>
      <sheetData sheetId="10"/>
      <sheetData sheetId="11"/>
      <sheetData sheetId="12">
        <row r="19">
          <cell r="N19">
            <v>20805750</v>
          </cell>
        </row>
      </sheetData>
      <sheetData sheetId="13"/>
      <sheetData sheetId="14"/>
      <sheetData sheetId="15"/>
      <sheetData sheetId="16"/>
      <sheetData sheetId="17">
        <row r="109">
          <cell r="F109">
            <v>1659633.076749</v>
          </cell>
        </row>
      </sheetData>
      <sheetData sheetId="18">
        <row r="109">
          <cell r="F109">
            <v>1656231.0048239999</v>
          </cell>
        </row>
      </sheetData>
      <sheetData sheetId="19"/>
      <sheetData sheetId="20">
        <row r="12">
          <cell r="F12">
            <v>11409</v>
          </cell>
        </row>
        <row r="13">
          <cell r="F13">
            <v>109779129</v>
          </cell>
        </row>
        <row r="14">
          <cell r="F14">
            <v>3</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sheetData sheetId="5"/>
      <sheetData sheetId="6"/>
      <sheetData sheetId="7"/>
      <sheetData sheetId="8"/>
      <sheetData sheetId="9"/>
      <sheetData sheetId="10"/>
      <sheetData sheetId="11"/>
      <sheetData sheetId="12">
        <row r="19">
          <cell r="N19">
            <v>0</v>
          </cell>
        </row>
      </sheetData>
      <sheetData sheetId="13"/>
      <sheetData sheetId="14"/>
      <sheetData sheetId="15"/>
      <sheetData sheetId="16"/>
      <sheetData sheetId="17">
        <row r="109">
          <cell r="F109">
            <v>0</v>
          </cell>
        </row>
        <row r="113">
          <cell r="P113">
            <v>0</v>
          </cell>
        </row>
      </sheetData>
      <sheetData sheetId="18">
        <row r="109">
          <cell r="F109">
            <v>0</v>
          </cell>
        </row>
        <row r="113">
          <cell r="P113">
            <v>0</v>
          </cell>
        </row>
      </sheetData>
      <sheetData sheetId="19"/>
      <sheetData sheetId="20">
        <row r="12">
          <cell r="F12">
            <v>0</v>
          </cell>
        </row>
        <row r="13">
          <cell r="F13">
            <v>0</v>
          </cell>
        </row>
        <row r="14">
          <cell r="F14">
            <v>4</v>
          </cell>
        </row>
      </sheetData>
      <sheetData sheetId="21"/>
      <sheetData sheetId="22"/>
      <sheetData sheetId="23"/>
      <sheetData sheetId="24"/>
      <sheetData sheetId="25"/>
      <sheetData sheetId="26"/>
      <sheetData sheetId="27"/>
      <sheetData sheetId="28"/>
      <sheetData sheetId="2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3. 2016 Continuity Schedule"/>
      <sheetName val="2016 List"/>
      <sheetName val="4. Billing Det. for Def-Var"/>
      <sheetName val="2 1 5 TotalConsumptionData_Dist"/>
      <sheetName val="212_Total_Connection_RollUp"/>
      <sheetName val="5. Allocating Def-Var Balances"/>
      <sheetName val="6. GA calculation"/>
      <sheetName val="6.a GA allocation_Class A"/>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0. HIDDEN"/>
      <sheetName val="20. Bill Impacts hidden"/>
      <sheetName val="2.1.7 Filing"/>
      <sheetName val="2016 Database"/>
      <sheetName val="lists"/>
      <sheetName val="Sheet2"/>
    </sheetNames>
    <sheetDataSet>
      <sheetData sheetId="0"/>
      <sheetData sheetId="1" refreshError="1"/>
      <sheetData sheetId="2" refreshError="1"/>
      <sheetData sheetId="3">
        <row r="28">
          <cell r="BT28">
            <v>276051</v>
          </cell>
        </row>
      </sheetData>
      <sheetData sheetId="4">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5" refreshError="1"/>
      <sheetData sheetId="6" refreshError="1"/>
      <sheetData sheetId="7" refreshError="1"/>
      <sheetData sheetId="8" refreshError="1"/>
      <sheetData sheetId="9">
        <row r="24">
          <cell r="C24">
            <v>151165193</v>
          </cell>
        </row>
      </sheetData>
      <sheetData sheetId="10" refreshError="1"/>
      <sheetData sheetId="11" refreshError="1"/>
      <sheetData sheetId="12">
        <row r="19">
          <cell r="N19">
            <v>20805750</v>
          </cell>
        </row>
      </sheetData>
      <sheetData sheetId="13" refreshError="1"/>
      <sheetData sheetId="14" refreshError="1"/>
      <sheetData sheetId="15" refreshError="1"/>
      <sheetData sheetId="16" refreshError="1"/>
      <sheetData sheetId="17">
        <row r="109">
          <cell r="F109">
            <v>1661097.1355030003</v>
          </cell>
        </row>
      </sheetData>
      <sheetData sheetId="18">
        <row r="109">
          <cell r="F109">
            <v>1692186.4329740002</v>
          </cell>
        </row>
      </sheetData>
      <sheetData sheetId="19" refreshError="1"/>
      <sheetData sheetId="20">
        <row r="12">
          <cell r="F12">
            <v>11409</v>
          </cell>
        </row>
        <row r="13">
          <cell r="F13">
            <v>109779129</v>
          </cell>
        </row>
        <row r="14">
          <cell r="F14">
            <v>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Sheet1"/>
      <sheetName val="2. Current Tariff Schedule"/>
      <sheetName val="2016 List"/>
      <sheetName val="3. 2015 Continuity Schedule"/>
      <sheetName val="4. Billing Det. for Def-Var"/>
      <sheetName val="2.1.5 RetailerConsumptionData"/>
      <sheetName val="2.1.5 DistributrConsumptionData"/>
      <sheetName val="2.1.5 TotalConsumptionData"/>
      <sheetName val="212_Total_Connection_RollUp"/>
      <sheetName val="5. Allocating Def-Var Balances"/>
      <sheetName val="6. Calculation of Def-Var RR"/>
      <sheetName val="GA allocation_Class A"/>
      <sheetName val="Mock-up GA calculation"/>
      <sheetName val="7. STS - Tax Change"/>
      <sheetName val="8. Shared Tax - Rate Rider"/>
      <sheetName val="9. RTSR Current Rates"/>
      <sheetName val="10. RTSR - UTRs &amp; Sub-Tx"/>
      <sheetName val="11. RTSR - Historical Wholesale"/>
      <sheetName val="12. RTSR - Current Wholesale"/>
      <sheetName val="13. RTSR - Forecast Wholesale"/>
      <sheetName val="14. RTSR Rates to Forecast"/>
      <sheetName val="15. Rev2Cost_GDPIPI"/>
      <sheetName val="16. Additional Rates"/>
      <sheetName val="17. Final Tariff Schedule"/>
      <sheetName val="18. Bill Impacts"/>
      <sheetName val="18. HIDDEN"/>
      <sheetName val="18. Bill Impacts hidden"/>
      <sheetName val="2.1.7 Filing"/>
      <sheetName val="2015 Database"/>
      <sheetName val="lists"/>
      <sheetName val="Sheet2"/>
    </sheetNames>
    <sheetDataSet>
      <sheetData sheetId="0"/>
      <sheetData sheetId="1"/>
      <sheetData sheetId="2"/>
      <sheetData sheetId="3">
        <row r="5">
          <cell r="C5" t="str">
            <v>Former Chatham-Kent Hydro Service Area</v>
          </cell>
        </row>
        <row r="6">
          <cell r="C6" t="str">
            <v>Strathroy, Mount Brydges &amp; Parkhill Service Area</v>
          </cell>
        </row>
        <row r="7">
          <cell r="C7" t="str">
            <v>Dutton Service Area</v>
          </cell>
        </row>
        <row r="8">
          <cell r="C8" t="str">
            <v>Newbury Service Area</v>
          </cell>
        </row>
        <row r="10">
          <cell r="C10" t="str">
            <v>Former Lakeland Power Service Area</v>
          </cell>
        </row>
        <row r="11">
          <cell r="C11" t="str">
            <v>Former Parry Sound Service Area</v>
          </cell>
        </row>
      </sheetData>
      <sheetData sheetId="4">
        <row r="29">
          <cell r="AY29">
            <v>276051.38000000012</v>
          </cell>
        </row>
      </sheetData>
      <sheetData sheetId="5"/>
      <sheetData sheetId="6"/>
      <sheetData sheetId="7"/>
      <sheetData sheetId="8"/>
      <sheetData sheetId="9"/>
      <sheetData sheetId="10"/>
      <sheetData sheetId="11"/>
      <sheetData sheetId="12"/>
      <sheetData sheetId="13">
        <row r="20">
          <cell r="C20">
            <v>147660365</v>
          </cell>
        </row>
      </sheetData>
      <sheetData sheetId="14">
        <row r="19">
          <cell r="N19">
            <v>20805750</v>
          </cell>
        </row>
      </sheetData>
      <sheetData sheetId="15"/>
      <sheetData sheetId="16"/>
      <sheetData sheetId="17"/>
      <sheetData sheetId="18"/>
      <sheetData sheetId="19">
        <row r="109">
          <cell r="F109">
            <v>1686108.5692180004</v>
          </cell>
        </row>
        <row r="113">
          <cell r="P113">
            <v>1266247.3363220003</v>
          </cell>
        </row>
      </sheetData>
      <sheetData sheetId="20">
        <row r="109">
          <cell r="F109">
            <v>1656231.0048239999</v>
          </cell>
        </row>
        <row r="113">
          <cell r="P113">
            <v>1290749.9418240001</v>
          </cell>
        </row>
      </sheetData>
      <sheetData sheetId="21"/>
      <sheetData sheetId="22">
        <row r="12">
          <cell r="F12">
            <v>11409</v>
          </cell>
        </row>
        <row r="13">
          <cell r="F13">
            <v>109779129</v>
          </cell>
        </row>
        <row r="14">
          <cell r="F14">
            <v>4</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2 1 5 TotalConsumptionData_Dist"/>
      <sheetName val="5. Allocating Def-Var Balances"/>
      <sheetName val="6. Class A Consumption Data"/>
      <sheetName val="6.1 GA"/>
      <sheetName val="6.1a GA Allocation"/>
      <sheetName val="6.2 CBR B"/>
      <sheetName val="6.2a CBR B_Allocation"/>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12_Total_Connection_RollUp"/>
      <sheetName val="2.1.7 Filing"/>
      <sheetName val="20. HIDDEN"/>
      <sheetName val="20. Bill Impacts hidden"/>
      <sheetName val="Database"/>
      <sheetName val="lists"/>
      <sheetName val="Sheet2"/>
      <sheetName val="Sheet3"/>
      <sheetName val="2018_IRM_RateGen_Model_V2"/>
    </sheetNames>
    <sheetDataSet>
      <sheetData sheetId="0"/>
      <sheetData sheetId="1"/>
      <sheetData sheetId="2"/>
      <sheetData sheetId="3"/>
      <sheetData sheetId="4">
        <row r="25">
          <cell r="BT25">
            <v>0</v>
          </cell>
        </row>
      </sheetData>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cell r="C6" t="str">
            <v>Former Chatham-Kent Hydro Service Area</v>
          </cell>
        </row>
        <row r="7">
          <cell r="A7" t="str">
            <v>Canadian Niagara Power Inc.</v>
          </cell>
          <cell r="C7" t="str">
            <v>Strathroy, Mount Brydges &amp; Parkhill Service Area</v>
          </cell>
        </row>
        <row r="8">
          <cell r="A8" t="str">
            <v>Centre Wellington Hydro Ltd.</v>
          </cell>
          <cell r="C8" t="str">
            <v>Dutton Service Area</v>
          </cell>
        </row>
        <row r="9">
          <cell r="A9" t="str">
            <v>Chapleau Public Utilities Corporation</v>
          </cell>
        </row>
        <row r="10">
          <cell r="A10" t="str">
            <v>Collus PowerStream Corp.</v>
          </cell>
        </row>
        <row r="11">
          <cell r="A11" t="str">
            <v>Cooperative Hydro Embrun Inc.</v>
          </cell>
        </row>
        <row r="12">
          <cell r="A12" t="str">
            <v>E.L.K. Energy Inc.</v>
          </cell>
        </row>
        <row r="13">
          <cell r="A13" t="str">
            <v>Energy+ Inc.</v>
          </cell>
          <cell r="C13" t="str">
            <v>For Former Parry Sound Power Service Area</v>
          </cell>
        </row>
        <row r="14">
          <cell r="A14" t="str">
            <v>Enersource Hydro Mississauga Inc.</v>
          </cell>
          <cell r="C14" t="str">
            <v>Except for the Former Parry Sound Power Service Area</v>
          </cell>
        </row>
        <row r="15">
          <cell r="A15" t="str">
            <v>Entegrus Powerlines Inc.</v>
          </cell>
        </row>
        <row r="16">
          <cell r="A16" t="str">
            <v>EnWin Utilities Ltd.</v>
          </cell>
        </row>
        <row r="17">
          <cell r="A17" t="str">
            <v>Erie Thames Powerlines Corporation</v>
          </cell>
        </row>
        <row r="18">
          <cell r="A18" t="str">
            <v>Espanola Regional Hydro Distribution Corporation</v>
          </cell>
        </row>
        <row r="19">
          <cell r="A19" t="str">
            <v>Essex Powerlines Corporation</v>
          </cell>
        </row>
        <row r="20">
          <cell r="A20" t="str">
            <v>Festival Hydro Inc.</v>
          </cell>
        </row>
        <row r="21">
          <cell r="A21" t="str">
            <v>Fort Frances Power Corporation</v>
          </cell>
        </row>
        <row r="22">
          <cell r="A22" t="str">
            <v>Greater Sudbury Hydro Inc.</v>
          </cell>
        </row>
        <row r="23">
          <cell r="A23" t="str">
            <v>Grimsby Power Incorporated</v>
          </cell>
        </row>
        <row r="24">
          <cell r="A24" t="str">
            <v>Guelph Hydro Electric Systems Inc.</v>
          </cell>
        </row>
        <row r="25">
          <cell r="A25" t="str">
            <v>Halton Hills Hydro Inc.</v>
          </cell>
        </row>
        <row r="26">
          <cell r="A26" t="str">
            <v>Hearst Power Distribution Company Ltd.</v>
          </cell>
        </row>
        <row r="27">
          <cell r="A27" t="str">
            <v>Horizon Utilities Corporation</v>
          </cell>
        </row>
        <row r="28">
          <cell r="A28" t="str">
            <v>Hydro 2000 Inc.</v>
          </cell>
        </row>
        <row r="29">
          <cell r="A29" t="str">
            <v>Hydro Hawkesbury Inc.</v>
          </cell>
        </row>
        <row r="30">
          <cell r="A30" t="str">
            <v>Hydro One Brampton Networks Inc.</v>
          </cell>
        </row>
        <row r="31">
          <cell r="A31" t="str">
            <v>Hydro One Networks Inc.</v>
          </cell>
        </row>
        <row r="32">
          <cell r="A32" t="str">
            <v>Hydro Ottawa Limited</v>
          </cell>
        </row>
        <row r="33">
          <cell r="A33" t="str">
            <v>InnPower Corporation</v>
          </cell>
        </row>
        <row r="34">
          <cell r="A34" t="str">
            <v>Kenora Hydro Electric Corporation Ltd.</v>
          </cell>
        </row>
        <row r="35">
          <cell r="A35" t="str">
            <v>Kingston Hydro Corporation</v>
          </cell>
        </row>
        <row r="36">
          <cell r="A36" t="str">
            <v>Kitchener-Wilmot Hydro Inc.</v>
          </cell>
        </row>
        <row r="37">
          <cell r="A37" t="str">
            <v>Lakefront Utilities Inc.</v>
          </cell>
        </row>
        <row r="38">
          <cell r="A38" t="str">
            <v>Lakeland Power Distribution Ltd.</v>
          </cell>
        </row>
        <row r="39">
          <cell r="A39" t="str">
            <v>London Hydro Inc.</v>
          </cell>
        </row>
        <row r="40">
          <cell r="A40" t="str">
            <v>Midland Power Utility Corporation</v>
          </cell>
        </row>
        <row r="41">
          <cell r="A41" t="str">
            <v>Milton Hydro Distribution Inc.</v>
          </cell>
        </row>
        <row r="42">
          <cell r="A42" t="str">
            <v>Newmarket - Tay Power Distribution Ltd.</v>
          </cell>
        </row>
        <row r="43">
          <cell r="A43" t="str">
            <v>Niagara Peninsula Energy Inc.</v>
          </cell>
        </row>
        <row r="44">
          <cell r="A44" t="str">
            <v>Niagara-on-the-Lake Hydro Inc.</v>
          </cell>
        </row>
        <row r="45">
          <cell r="A45" t="str">
            <v>North Bay Hydro Distribution Limited</v>
          </cell>
        </row>
        <row r="46">
          <cell r="A46" t="str">
            <v>Northern Ontario Wires Inc.</v>
          </cell>
        </row>
        <row r="47">
          <cell r="A47" t="str">
            <v>Oakville Hydro Electricity Distribution Inc.</v>
          </cell>
        </row>
        <row r="48">
          <cell r="A48" t="str">
            <v>Orangeville Hydro Limited</v>
          </cell>
        </row>
        <row r="49">
          <cell r="A49" t="str">
            <v>Orillia Power Distribution Corporation</v>
          </cell>
        </row>
        <row r="50">
          <cell r="A50" t="str">
            <v>Oshawa PUC Networks Inc.</v>
          </cell>
        </row>
        <row r="51">
          <cell r="A51" t="str">
            <v>Ottawa River Power Corporation</v>
          </cell>
        </row>
        <row r="52">
          <cell r="A52" t="str">
            <v>Peterborough Distribution Incorporated</v>
          </cell>
        </row>
        <row r="53">
          <cell r="A53" t="str">
            <v>PUC Distribution Inc.</v>
          </cell>
        </row>
        <row r="54">
          <cell r="A54" t="str">
            <v>Renfrew Hydro Inc.</v>
          </cell>
        </row>
        <row r="55">
          <cell r="A55" t="str">
            <v>Sioux Lookout Hydro Inc.</v>
          </cell>
        </row>
        <row r="56">
          <cell r="A56" t="str">
            <v>St. Thomas Energy Inc.</v>
          </cell>
        </row>
        <row r="57">
          <cell r="A57" t="str">
            <v>Thunder Bay Hydro Electricity Distribution Inc.</v>
          </cell>
        </row>
        <row r="58">
          <cell r="A58" t="str">
            <v>Tillsonburg Hydro Inc.</v>
          </cell>
        </row>
        <row r="59">
          <cell r="A59" t="str">
            <v>Toronto Hydro-Electric System Limited</v>
          </cell>
        </row>
        <row r="60">
          <cell r="A60" t="str">
            <v>Veridian Connections Inc.</v>
          </cell>
        </row>
        <row r="61">
          <cell r="A61" t="str">
            <v>Wasaga Distribution Inc.</v>
          </cell>
        </row>
        <row r="62">
          <cell r="A62" t="str">
            <v>Waterloo North Hydro Inc.</v>
          </cell>
        </row>
        <row r="63">
          <cell r="A63" t="str">
            <v>Welland Hydro-Electric System Corp.</v>
          </cell>
        </row>
        <row r="64">
          <cell r="A64" t="str">
            <v>Wellington North Power Inc.</v>
          </cell>
        </row>
        <row r="65">
          <cell r="A65" t="str">
            <v>West Coast Huron Energy Inc.</v>
          </cell>
        </row>
        <row r="66">
          <cell r="A66" t="str">
            <v>Westario Power Inc.</v>
          </cell>
        </row>
        <row r="67">
          <cell r="A67" t="str">
            <v>Whitby Hydro Electric Corporation</v>
          </cell>
        </row>
      </sheetData>
      <sheetData sheetId="6"/>
      <sheetData sheetId="7"/>
      <sheetData sheetId="8"/>
      <sheetData sheetId="9">
        <row r="14">
          <cell r="C14">
            <v>2015</v>
          </cell>
        </row>
      </sheetData>
      <sheetData sheetId="10"/>
      <sheetData sheetId="11"/>
      <sheetData sheetId="12">
        <row r="13">
          <cell r="B13">
            <v>2016</v>
          </cell>
        </row>
      </sheetData>
      <sheetData sheetId="13"/>
      <sheetData sheetId="14"/>
      <sheetData sheetId="15">
        <row r="19">
          <cell r="N19">
            <v>0</v>
          </cell>
        </row>
      </sheetData>
      <sheetData sheetId="16"/>
      <sheetData sheetId="17"/>
      <sheetData sheetId="18"/>
      <sheetData sheetId="19"/>
      <sheetData sheetId="20">
        <row r="109">
          <cell r="F109">
            <v>0</v>
          </cell>
        </row>
        <row r="113">
          <cell r="P113">
            <v>0</v>
          </cell>
        </row>
      </sheetData>
      <sheetData sheetId="21">
        <row r="109">
          <cell r="F109">
            <v>0</v>
          </cell>
        </row>
        <row r="113">
          <cell r="P113">
            <v>0</v>
          </cell>
        </row>
      </sheetData>
      <sheetData sheetId="22"/>
      <sheetData sheetId="23"/>
      <sheetData sheetId="24">
        <row r="23">
          <cell r="D23">
            <v>7.6999999999999999E-2</v>
          </cell>
        </row>
        <row r="24">
          <cell r="D24">
            <v>0.113</v>
          </cell>
        </row>
        <row r="25">
          <cell r="D25">
            <v>0.157</v>
          </cell>
        </row>
        <row r="29">
          <cell r="D29">
            <v>7.0000000000000001E-3</v>
          </cell>
        </row>
      </sheetData>
      <sheetData sheetId="25"/>
      <sheetData sheetId="26"/>
      <sheetData sheetId="27"/>
      <sheetData sheetId="28"/>
      <sheetData sheetId="29"/>
      <sheetData sheetId="30"/>
      <sheetData sheetId="31"/>
      <sheetData sheetId="32"/>
      <sheetData sheetId="33">
        <row r="1">
          <cell r="O1" t="str">
            <v>Account set up charge/change of occupancy charge (plus credit agency costs if applicable)</v>
          </cell>
        </row>
        <row r="2">
          <cell r="L2" t="str">
            <v>Total Loss Factor – Primary Metered Customer</v>
          </cell>
          <cell r="O2" t="str">
            <v>Administrative Billing Charge</v>
          </cell>
        </row>
        <row r="3">
          <cell r="L3" t="str">
            <v>Total Loss Factor – Primary Metered Customer &lt; 5,000 kW</v>
          </cell>
          <cell r="O3" t="str">
            <v>Bell Canada Pole Rentals</v>
          </cell>
        </row>
        <row r="4">
          <cell r="L4" t="str">
            <v>Total Loss Factor – Primary Metered Customer &gt; 5,000 kW</v>
          </cell>
          <cell r="O4" t="str">
            <v>Clearance Pole Attachment charge $/pole/year</v>
          </cell>
        </row>
        <row r="5">
          <cell r="L5" t="str">
            <v>Total Loss Factor – Secondary Metered Customer</v>
          </cell>
          <cell r="O5" t="str">
            <v>Collection of account charge – no disconnection</v>
          </cell>
        </row>
        <row r="6">
          <cell r="L6" t="str">
            <v>Total Loss Factor – Secondary Metered Customer &lt; 5,000 kW</v>
          </cell>
          <cell r="O6" t="str">
            <v>Collection of account charge – no disconnection – after regular hours</v>
          </cell>
        </row>
        <row r="8">
          <cell r="L8" t="str">
            <v>Total Loss Factor – Secondary Metered Customer &gt; 5,000 kW</v>
          </cell>
          <cell r="O8" t="str">
            <v>Collection of account charge – no disconnection - during regular business hours</v>
          </cell>
        </row>
        <row r="9">
          <cell r="L9" t="str">
            <v>Distribution Loss Factor - Secondary Metered Customer &lt; 5,000 kW</v>
          </cell>
          <cell r="O9" t="str">
            <v>Collection of account charge – no disconnection – during regular hours</v>
          </cell>
        </row>
        <row r="10">
          <cell r="L10" t="str">
            <v>Distribution Loss Factor - Secondary Metered Customer &gt; 5,000 kW</v>
          </cell>
          <cell r="O10" t="str">
            <v>Collection/Disconnection/Load Limiter/Reconnection – if in Community</v>
          </cell>
        </row>
        <row r="11">
          <cell r="L11" t="str">
            <v>Distribution Loss Factor - Primary Metered Customer &lt; 5,000 kW</v>
          </cell>
          <cell r="O11" t="str">
            <v>Credit Card Convenience Charge</v>
          </cell>
        </row>
        <row r="12">
          <cell r="L12" t="str">
            <v>Distribution Loss Factor - Primary Metered Customer &gt; 5,000 kW</v>
          </cell>
          <cell r="O12" t="str">
            <v>Disconnect/Reconnect at meter – after regular hours</v>
          </cell>
        </row>
        <row r="14">
          <cell r="L14" t="str">
            <v>Total Loss Factor - Embedded Distributor</v>
          </cell>
          <cell r="O14" t="str">
            <v>Disconnect/Reconnect at meter – during regular hours</v>
          </cell>
        </row>
        <row r="15">
          <cell r="L15" t="str">
            <v>Total Loss Factor – Embedded Distributor – Hydro One Networks Inc.</v>
          </cell>
          <cell r="O15" t="str">
            <v>Disconnect/Reconnect at pole – after regular hours</v>
          </cell>
        </row>
        <row r="16">
          <cell r="O16" t="str">
            <v>Disconnect/Reconnect at pole – during regular hours</v>
          </cell>
        </row>
        <row r="17">
          <cell r="O17" t="str">
            <v>Disconnect/Reconnect Charge – At Meter – After Hours</v>
          </cell>
        </row>
        <row r="18">
          <cell r="O18" t="str">
            <v>Disconnect/Reconnect Charge – At Meter – During Regular Hours</v>
          </cell>
        </row>
        <row r="19">
          <cell r="O19" t="str">
            <v>Disconnect/Reconnect Charge – At Pole – After Hours</v>
          </cell>
        </row>
        <row r="20">
          <cell r="O20" t="str">
            <v>Disconnect/Reconnect Charge – At Pole – During Regular Hours</v>
          </cell>
        </row>
        <row r="21">
          <cell r="O21" t="str">
            <v>Disconnect/Reconnect Charges for non payment of account - At Meter After Hours</v>
          </cell>
        </row>
        <row r="22">
          <cell r="O22" t="str">
            <v>Disconnect/Reconnect charges for non payment of account – at meter after regular hours</v>
          </cell>
        </row>
        <row r="23">
          <cell r="O23" t="str">
            <v>Disconnect/Reconnect Charges for non payment of account - At Meter During Regular Hours</v>
          </cell>
        </row>
        <row r="24">
          <cell r="O24" t="str">
            <v>Disconnect/Reconnect charges for non payment of account – at meter during regular hours</v>
          </cell>
        </row>
        <row r="25">
          <cell r="O25" t="str">
            <v>Disconnect/Reconnect charges for non payment of account – at pole after regular hours</v>
          </cell>
        </row>
        <row r="26">
          <cell r="O26" t="str">
            <v>Disconnect/Reconnect charges for non payment of account – at pole during regular hours</v>
          </cell>
        </row>
        <row r="27">
          <cell r="O27" t="str">
            <v>Disconnect/Reconnection for &gt;300 volts - after regular hours</v>
          </cell>
        </row>
        <row r="28">
          <cell r="O28" t="str">
            <v>Disconnect/Reconnection for &gt;300 volts - during regular hours</v>
          </cell>
        </row>
        <row r="29">
          <cell r="O29" t="str">
            <v>Disposal of Concrete Poles</v>
          </cell>
        </row>
        <row r="30">
          <cell r="O30" t="str">
            <v>Dispute Test – Commercial TT -- MC</v>
          </cell>
        </row>
        <row r="31">
          <cell r="O31" t="str">
            <v>Install/Remove load control device – after regular hours</v>
          </cell>
        </row>
        <row r="32">
          <cell r="O32" t="str">
            <v>Install/Remove load control device – during regular hours</v>
          </cell>
        </row>
        <row r="33">
          <cell r="O33" t="str">
            <v>Interval Meter Interrogation</v>
          </cell>
        </row>
        <row r="34">
          <cell r="O34" t="str">
            <v>Interval Meter Load Management Tool Charge $/month</v>
          </cell>
        </row>
        <row r="35">
          <cell r="O35" t="str">
            <v>Interval meter request change</v>
          </cell>
        </row>
        <row r="36">
          <cell r="O36" t="str">
            <v>Late Payment – per annum</v>
          </cell>
        </row>
        <row r="37">
          <cell r="O37" t="str">
            <v>Late Payment – per month</v>
          </cell>
        </row>
        <row r="38">
          <cell r="O38" t="str">
            <v>Layout fees</v>
          </cell>
        </row>
        <row r="39">
          <cell r="O39" t="str">
            <v>Meter dispute charge plus Measurement Canada fees (if meter found correct)</v>
          </cell>
        </row>
        <row r="40">
          <cell r="O40" t="str">
            <v>Meter Interrogation Charge</v>
          </cell>
        </row>
        <row r="41">
          <cell r="O41" t="str">
            <v>Missed Service Appointment</v>
          </cell>
        </row>
        <row r="42">
          <cell r="O42" t="str">
            <v>Norfolk Pole Rentals – Billed</v>
          </cell>
        </row>
        <row r="43">
          <cell r="O43" t="str">
            <v>Optional Interval/TOU Meter charge $/month</v>
          </cell>
        </row>
        <row r="44">
          <cell r="O44" t="str">
            <v>Overtime Locate</v>
          </cell>
        </row>
        <row r="45">
          <cell r="O45" t="str">
            <v>Owner Requested Disconnection/Reconnection – after regular hours</v>
          </cell>
        </row>
        <row r="46">
          <cell r="O46" t="str">
            <v>Owner Requested Disconnection/Reconnection – during regular hours</v>
          </cell>
        </row>
        <row r="47">
          <cell r="O47" t="str">
            <v>Returned cheque (plus bank charges)</v>
          </cell>
        </row>
        <row r="48">
          <cell r="O48" t="str">
            <v>Rural system expansion / line connection fee</v>
          </cell>
        </row>
        <row r="49">
          <cell r="O49" t="str">
            <v>Same Day Open Trench</v>
          </cell>
        </row>
        <row r="50">
          <cell r="O50" t="str">
            <v>Scheduled Day Open Trench</v>
          </cell>
        </row>
        <row r="51">
          <cell r="O51" t="str">
            <v>Service call – after regular hours</v>
          </cell>
        </row>
        <row r="52">
          <cell r="O52" t="str">
            <v>Service call – customer owned equipment</v>
          </cell>
        </row>
        <row r="53">
          <cell r="O53" t="str">
            <v>Service Call – Customer-owned Equipment – After Regular Hours</v>
          </cell>
        </row>
        <row r="54">
          <cell r="O54" t="str">
            <v>Service Call – Customer-owned Equipment – During Regular Hours</v>
          </cell>
        </row>
        <row r="55">
          <cell r="O55" t="str">
            <v>Service Charge for onsite interrogation of interval meter due to customer phone line failure - required weekly until line repaired $ 6</v>
          </cell>
        </row>
        <row r="56">
          <cell r="O56" t="str">
            <v>Service Layout - Commercial</v>
          </cell>
        </row>
        <row r="57">
          <cell r="O57" t="str">
            <v>Service Layout - ResidentiaI</v>
          </cell>
        </row>
        <row r="58">
          <cell r="O58" t="str">
            <v>Special Billing Service (sub-metering charge per meter)</v>
          </cell>
        </row>
        <row r="59">
          <cell r="O59" t="str">
            <v>Special meter reads</v>
          </cell>
        </row>
        <row r="60">
          <cell r="O60" t="str">
            <v>Specific Charge for Access to the Power Poles - $/pole/year</v>
          </cell>
        </row>
        <row r="61">
          <cell r="O61" t="str">
            <v>Specific Charge for Bell Canada Access to the Power Poles – per pole/year</v>
          </cell>
        </row>
        <row r="62">
          <cell r="O62" t="str">
            <v>Switching for company maintenance – Charge based on Time and Materials</v>
          </cell>
        </row>
        <row r="63">
          <cell r="O63" t="str">
            <v>Temporary Service – Install &amp; remove – overhead – no transformer</v>
          </cell>
        </row>
        <row r="64">
          <cell r="O64" t="str">
            <v>Temporary Service – Install &amp; remove – overhead – with transformer</v>
          </cell>
        </row>
        <row r="65">
          <cell r="O65" t="str">
            <v>Temporary Service – Install &amp; remove – underground – no transformer</v>
          </cell>
        </row>
        <row r="66">
          <cell r="O66" t="str">
            <v>Temporary service install &amp; remove – overhead – no transformer</v>
          </cell>
        </row>
        <row r="67">
          <cell r="O67" t="str">
            <v>Temporary Service Install &amp; Remove – Overhead – With Transformer</v>
          </cell>
        </row>
        <row r="68">
          <cell r="O68" t="str">
            <v>Temporary Service Install &amp; Remove – Underground – No Transformer</v>
          </cell>
        </row>
        <row r="69">
          <cell r="O69" t="str">
            <v>Temporary service installation and removal – overhead – no transformer</v>
          </cell>
        </row>
        <row r="70">
          <cell r="O70" t="str">
            <v>Temporary service installation and removal – overhead – with transformer</v>
          </cell>
        </row>
        <row r="71">
          <cell r="O71" t="str">
            <v>Temporary service installation and removal – underground – no transformer</v>
          </cell>
        </row>
      </sheetData>
      <sheetData sheetId="34"/>
      <sheetData sheetId="35"/>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Lisa Lin" id="{6FB09959-8995-4ACF-A815-6C2371E721C6}" userId="S::llin@cwhydro.ca::a5997742-beb9-4426-8773-2e7879c9492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W28" dT="2020-07-29T13:38:45.25" personId="{6FB09959-8995-4ACF-A815-6C2371E721C6}" id="{AF8EE8CA-8559-4246-8201-C192CE05A26E}">
    <text>It is the adjustment from 2021 GA analysis.</text>
  </threadedComment>
  <threadedComment ref="BW29" dT="2020-07-29T14:14:40.06" personId="{6FB09959-8995-4ACF-A815-6C2371E721C6}" id="{F2997D2D-9C4F-4055-88BF-F6F7E0256F74}">
    <text>It is an adjustment from 2021 GA analysis.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A1:G69"/>
  <sheetViews>
    <sheetView topLeftCell="B23" zoomScaleNormal="100" workbookViewId="0">
      <selection activeCell="E40" sqref="E40"/>
    </sheetView>
  </sheetViews>
  <sheetFormatPr defaultColWidth="9.33203125" defaultRowHeight="14.4" x14ac:dyDescent="0.3"/>
  <cols>
    <col min="1" max="1" width="18.6640625" style="1192" customWidth="1"/>
    <col min="2" max="2" width="4.33203125" style="1192" customWidth="1"/>
    <col min="3" max="3" width="41.5546875" style="1192" customWidth="1"/>
    <col min="4" max="4" width="9.33203125" style="1192"/>
    <col min="5" max="5" width="124.33203125" style="1127" customWidth="1"/>
    <col min="6" max="16384" width="9.33203125" style="1192"/>
  </cols>
  <sheetData>
    <row r="1" spans="1:7" ht="18" x14ac:dyDescent="0.35">
      <c r="A1" s="1126" t="s">
        <v>5478</v>
      </c>
      <c r="B1" s="1126"/>
    </row>
    <row r="2" spans="1:7" ht="15" thickBot="1" x14ac:dyDescent="0.35"/>
    <row r="3" spans="1:7" ht="15" customHeight="1" thickBot="1" x14ac:dyDescent="0.4">
      <c r="B3" s="1695" t="s">
        <v>5479</v>
      </c>
      <c r="C3" s="1696"/>
      <c r="D3" s="1696"/>
      <c r="E3" s="1697"/>
    </row>
    <row r="4" spans="1:7" ht="15.6" x14ac:dyDescent="0.3">
      <c r="B4" s="1157"/>
      <c r="C4" s="1128"/>
      <c r="D4" s="1129"/>
      <c r="E4" s="1130"/>
    </row>
    <row r="5" spans="1:7" s="1435" customFormat="1" ht="45" customHeight="1" x14ac:dyDescent="0.3">
      <c r="B5" s="1436">
        <v>1</v>
      </c>
      <c r="C5" s="1698" t="s">
        <v>7242</v>
      </c>
      <c r="D5" s="1699"/>
      <c r="E5" s="1700"/>
      <c r="F5" s="1437"/>
      <c r="G5" s="1129"/>
    </row>
    <row r="6" spans="1:7" s="1435" customFormat="1" ht="15" customHeight="1" x14ac:dyDescent="0.3">
      <c r="B6" s="1436"/>
      <c r="C6" s="1131"/>
      <c r="D6" s="1129"/>
      <c r="E6" s="1130"/>
      <c r="G6" s="1129"/>
    </row>
    <row r="7" spans="1:7" s="1435" customFormat="1" ht="35.700000000000003" customHeight="1" x14ac:dyDescent="0.3">
      <c r="B7" s="1436">
        <v>2</v>
      </c>
      <c r="C7" s="1701" t="s">
        <v>7243</v>
      </c>
      <c r="D7" s="1702"/>
      <c r="E7" s="1703"/>
      <c r="G7" s="1129"/>
    </row>
    <row r="8" spans="1:7" s="1435" customFormat="1" ht="15.6" x14ac:dyDescent="0.3">
      <c r="B8" s="1436"/>
      <c r="C8" s="1131"/>
      <c r="D8" s="1129"/>
      <c r="E8" s="1130"/>
      <c r="G8" s="1129"/>
    </row>
    <row r="9" spans="1:7" s="1435" customFormat="1" ht="52.5" customHeight="1" thickBot="1" x14ac:dyDescent="0.35">
      <c r="B9" s="1438">
        <v>3</v>
      </c>
      <c r="C9" s="1704" t="s">
        <v>7244</v>
      </c>
      <c r="D9" s="1705"/>
      <c r="E9" s="1706"/>
      <c r="F9" s="1437"/>
      <c r="G9" s="1129"/>
    </row>
    <row r="10" spans="1:7" ht="15.6" x14ac:dyDescent="0.3">
      <c r="B10" s="1439"/>
      <c r="C10" s="1129"/>
      <c r="D10" s="1129"/>
      <c r="E10" s="1133"/>
      <c r="F10" s="604"/>
    </row>
    <row r="11" spans="1:7" ht="15.6" x14ac:dyDescent="0.3">
      <c r="C11" s="1129"/>
      <c r="D11" s="1129"/>
      <c r="E11" s="1133"/>
    </row>
    <row r="12" spans="1:7" ht="15.6" x14ac:dyDescent="0.3">
      <c r="C12" s="1129"/>
      <c r="D12" s="1129"/>
      <c r="E12" s="1133"/>
    </row>
    <row r="13" spans="1:7" x14ac:dyDescent="0.3">
      <c r="A13" s="604"/>
      <c r="B13" s="604"/>
      <c r="C13" s="604"/>
      <c r="D13" s="604"/>
      <c r="E13" s="1134"/>
    </row>
    <row r="14" spans="1:7" ht="18.600000000000001" thickBot="1" x14ac:dyDescent="0.4">
      <c r="A14" s="1440" t="s">
        <v>5480</v>
      </c>
      <c r="B14" s="1158"/>
      <c r="C14" s="1135"/>
      <c r="D14" s="1135"/>
      <c r="E14" s="1159"/>
      <c r="F14" s="604"/>
    </row>
    <row r="15" spans="1:7" ht="15" thickBot="1" x14ac:dyDescent="0.35">
      <c r="A15" s="1160" t="s">
        <v>2308</v>
      </c>
      <c r="B15" s="1707" t="s">
        <v>2324</v>
      </c>
      <c r="C15" s="1708"/>
      <c r="D15" s="1161" t="s">
        <v>2309</v>
      </c>
      <c r="E15" s="1162" t="s">
        <v>2310</v>
      </c>
    </row>
    <row r="16" spans="1:7" s="1" customFormat="1" x14ac:dyDescent="0.3">
      <c r="A16" s="1680" t="s">
        <v>5481</v>
      </c>
      <c r="B16" s="1684" t="s">
        <v>5482</v>
      </c>
      <c r="C16" s="1685"/>
      <c r="D16" s="1441">
        <v>1</v>
      </c>
      <c r="E16" s="1164" t="s">
        <v>5483</v>
      </c>
    </row>
    <row r="17" spans="1:5" s="1" customFormat="1" x14ac:dyDescent="0.3">
      <c r="A17" s="1680"/>
      <c r="B17" s="1684"/>
      <c r="C17" s="1685"/>
      <c r="D17" s="1441"/>
      <c r="E17" s="1163" t="s">
        <v>5484</v>
      </c>
    </row>
    <row r="18" spans="1:5" s="1" customFormat="1" x14ac:dyDescent="0.3">
      <c r="A18" s="1680"/>
      <c r="B18" s="1684"/>
      <c r="C18" s="1685"/>
      <c r="D18" s="1441"/>
      <c r="E18" s="1164" t="s">
        <v>5485</v>
      </c>
    </row>
    <row r="19" spans="1:5" s="1" customFormat="1" ht="43.2" x14ac:dyDescent="0.3">
      <c r="A19" s="1680"/>
      <c r="B19" s="1684"/>
      <c r="C19" s="1685"/>
      <c r="D19" s="1441"/>
      <c r="E19" s="1164" t="s">
        <v>7245</v>
      </c>
    </row>
    <row r="20" spans="1:5" s="1" customFormat="1" x14ac:dyDescent="0.3">
      <c r="A20" s="1680"/>
      <c r="B20" s="1684"/>
      <c r="C20" s="1685"/>
      <c r="D20" s="1441"/>
      <c r="E20" s="1164"/>
    </row>
    <row r="21" spans="1:5" s="1" customFormat="1" x14ac:dyDescent="0.3">
      <c r="A21" s="1680"/>
      <c r="B21" s="1684"/>
      <c r="C21" s="1685"/>
      <c r="D21" s="1441"/>
      <c r="E21" s="1164" t="s">
        <v>5486</v>
      </c>
    </row>
    <row r="22" spans="1:5" s="1" customFormat="1" x14ac:dyDescent="0.3">
      <c r="A22" s="1680"/>
      <c r="B22" s="1684"/>
      <c r="C22" s="1685"/>
      <c r="D22" s="1441"/>
      <c r="E22" s="1164" t="s">
        <v>5739</v>
      </c>
    </row>
    <row r="23" spans="1:5" s="1" customFormat="1" ht="28.8" x14ac:dyDescent="0.3">
      <c r="A23" s="1680"/>
      <c r="B23" s="1684"/>
      <c r="C23" s="1685"/>
      <c r="D23" s="1441"/>
      <c r="E23" s="1164" t="s">
        <v>5487</v>
      </c>
    </row>
    <row r="24" spans="1:5" s="1" customFormat="1" ht="28.8" x14ac:dyDescent="0.3">
      <c r="A24" s="1680"/>
      <c r="B24" s="1684"/>
      <c r="C24" s="1685"/>
      <c r="D24" s="1441"/>
      <c r="E24" s="1164" t="s">
        <v>5488</v>
      </c>
    </row>
    <row r="25" spans="1:5" s="1" customFormat="1" x14ac:dyDescent="0.3">
      <c r="A25" s="1681"/>
      <c r="B25" s="1686"/>
      <c r="C25" s="1687"/>
      <c r="D25" s="1442"/>
      <c r="E25" s="1443"/>
    </row>
    <row r="26" spans="1:5" s="1" customFormat="1" x14ac:dyDescent="0.3">
      <c r="A26" s="1679" t="s">
        <v>2311</v>
      </c>
      <c r="B26" s="1682" t="s">
        <v>2334</v>
      </c>
      <c r="C26" s="1683"/>
      <c r="D26" s="1441">
        <v>2</v>
      </c>
      <c r="E26" s="1164" t="s">
        <v>2312</v>
      </c>
    </row>
    <row r="27" spans="1:5" s="1" customFormat="1" x14ac:dyDescent="0.3">
      <c r="A27" s="1680"/>
      <c r="B27" s="1684"/>
      <c r="C27" s="1685"/>
      <c r="D27" s="1441"/>
      <c r="E27" s="1164"/>
    </row>
    <row r="28" spans="1:5" s="1" customFormat="1" ht="72" x14ac:dyDescent="0.3">
      <c r="A28" s="1680"/>
      <c r="B28" s="1684"/>
      <c r="C28" s="1685"/>
      <c r="D28" s="1441"/>
      <c r="E28" s="1164" t="s">
        <v>7246</v>
      </c>
    </row>
    <row r="29" spans="1:5" s="1" customFormat="1" x14ac:dyDescent="0.3">
      <c r="A29" s="1680"/>
      <c r="B29" s="1684"/>
      <c r="C29" s="1685"/>
      <c r="D29" s="1441"/>
      <c r="E29" s="1164"/>
    </row>
    <row r="30" spans="1:5" s="1" customFormat="1" ht="172.8" x14ac:dyDescent="0.3">
      <c r="A30" s="1680"/>
      <c r="B30" s="1684"/>
      <c r="C30" s="1685"/>
      <c r="D30" s="1441"/>
      <c r="E30" s="1166" t="s">
        <v>7247</v>
      </c>
    </row>
    <row r="31" spans="1:5" s="1" customFormat="1" x14ac:dyDescent="0.3">
      <c r="A31" s="1680"/>
      <c r="B31" s="1684"/>
      <c r="C31" s="1685"/>
      <c r="D31" s="1441"/>
      <c r="E31" s="1166"/>
    </row>
    <row r="32" spans="1:5" s="1" customFormat="1" x14ac:dyDescent="0.3">
      <c r="A32" s="1680"/>
      <c r="B32" s="1684"/>
      <c r="C32" s="1685"/>
      <c r="D32" s="1441">
        <v>3</v>
      </c>
      <c r="E32" s="1166" t="s">
        <v>5740</v>
      </c>
    </row>
    <row r="33" spans="1:5" s="1" customFormat="1" x14ac:dyDescent="0.3">
      <c r="A33" s="1681"/>
      <c r="B33" s="1686"/>
      <c r="C33" s="1687"/>
      <c r="D33" s="1441"/>
      <c r="E33" s="1166"/>
    </row>
    <row r="34" spans="1:5" s="1" customFormat="1" x14ac:dyDescent="0.3">
      <c r="A34" s="1679" t="s">
        <v>2313</v>
      </c>
      <c r="B34" s="1682" t="s">
        <v>2325</v>
      </c>
      <c r="C34" s="1683"/>
      <c r="D34" s="1444">
        <v>4</v>
      </c>
      <c r="E34" s="1445" t="s">
        <v>2326</v>
      </c>
    </row>
    <row r="35" spans="1:5" s="1" customFormat="1" x14ac:dyDescent="0.3">
      <c r="A35" s="1680"/>
      <c r="B35" s="1684"/>
      <c r="C35" s="1685"/>
      <c r="D35" s="1441"/>
      <c r="E35" s="1166"/>
    </row>
    <row r="36" spans="1:5" s="1" customFormat="1" x14ac:dyDescent="0.3">
      <c r="A36" s="1680"/>
      <c r="B36" s="1684"/>
      <c r="C36" s="1685"/>
      <c r="D36" s="1441">
        <v>5</v>
      </c>
      <c r="E36" s="1446" t="s">
        <v>5489</v>
      </c>
    </row>
    <row r="37" spans="1:5" s="1" customFormat="1" x14ac:dyDescent="0.3">
      <c r="A37" s="1681"/>
      <c r="B37" s="1686"/>
      <c r="C37" s="1687"/>
      <c r="D37" s="1442"/>
      <c r="E37" s="1443"/>
    </row>
    <row r="38" spans="1:5" s="1" customFormat="1" ht="30" customHeight="1" x14ac:dyDescent="0.3">
      <c r="A38" s="1679" t="s">
        <v>2314</v>
      </c>
      <c r="B38" s="1682" t="s">
        <v>5741</v>
      </c>
      <c r="C38" s="1683"/>
      <c r="D38" s="1444">
        <v>6</v>
      </c>
      <c r="E38" s="1165" t="s">
        <v>5742</v>
      </c>
    </row>
    <row r="39" spans="1:5" s="1" customFormat="1" x14ac:dyDescent="0.3">
      <c r="A39" s="1680"/>
      <c r="B39" s="1684"/>
      <c r="C39" s="1685"/>
      <c r="D39" s="1441"/>
      <c r="E39" s="1447"/>
    </row>
    <row r="40" spans="1:5" s="1" customFormat="1" ht="28.8" x14ac:dyDescent="0.3">
      <c r="A40" s="1680"/>
      <c r="B40" s="1684"/>
      <c r="C40" s="1685"/>
      <c r="D40" s="1441">
        <v>7</v>
      </c>
      <c r="E40" s="1164" t="s">
        <v>5743</v>
      </c>
    </row>
    <row r="41" spans="1:5" s="1" customFormat="1" x14ac:dyDescent="0.3">
      <c r="A41" s="1680"/>
      <c r="B41" s="1684"/>
      <c r="C41" s="1685"/>
      <c r="D41" s="1441"/>
      <c r="E41" s="1164"/>
    </row>
    <row r="42" spans="1:5" s="1" customFormat="1" ht="28.8" x14ac:dyDescent="0.3">
      <c r="A42" s="1680"/>
      <c r="B42" s="1684"/>
      <c r="C42" s="1685"/>
      <c r="D42" s="1441"/>
      <c r="E42" s="1164" t="s">
        <v>5744</v>
      </c>
    </row>
    <row r="43" spans="1:5" s="1" customFormat="1" x14ac:dyDescent="0.3">
      <c r="A43" s="1680"/>
      <c r="B43" s="1684"/>
      <c r="C43" s="1685"/>
      <c r="D43" s="1441"/>
      <c r="E43" s="1164"/>
    </row>
    <row r="44" spans="1:5" s="1" customFormat="1" ht="184.5" customHeight="1" x14ac:dyDescent="0.3">
      <c r="A44" s="1680"/>
      <c r="B44" s="1684"/>
      <c r="C44" s="1685"/>
      <c r="D44" s="1441">
        <v>8</v>
      </c>
      <c r="E44" s="1448" t="s">
        <v>5745</v>
      </c>
    </row>
    <row r="45" spans="1:5" s="1" customFormat="1" x14ac:dyDescent="0.3">
      <c r="A45" s="1680"/>
      <c r="B45" s="1684"/>
      <c r="C45" s="1685"/>
      <c r="D45" s="1441"/>
      <c r="E45" s="1164"/>
    </row>
    <row r="46" spans="1:5" s="1" customFormat="1" ht="72" x14ac:dyDescent="0.3">
      <c r="A46" s="1680"/>
      <c r="B46" s="1684"/>
      <c r="C46" s="1685"/>
      <c r="D46" s="1441">
        <v>9</v>
      </c>
      <c r="E46" s="1448" t="s">
        <v>5746</v>
      </c>
    </row>
    <row r="47" spans="1:5" s="1" customFormat="1" x14ac:dyDescent="0.3">
      <c r="A47" s="1681"/>
      <c r="B47" s="1686"/>
      <c r="C47" s="1687"/>
      <c r="D47" s="1442"/>
      <c r="E47" s="1443"/>
    </row>
    <row r="48" spans="1:5" s="1" customFormat="1" ht="30" customHeight="1" x14ac:dyDescent="0.3">
      <c r="A48" s="1679" t="s">
        <v>2315</v>
      </c>
      <c r="B48" s="1682" t="s">
        <v>5490</v>
      </c>
      <c r="C48" s="1683"/>
      <c r="D48" s="1444">
        <v>10</v>
      </c>
      <c r="E48" s="1449" t="s">
        <v>5747</v>
      </c>
    </row>
    <row r="49" spans="1:5" s="1" customFormat="1" x14ac:dyDescent="0.3">
      <c r="A49" s="1680"/>
      <c r="B49" s="1684"/>
      <c r="C49" s="1685"/>
      <c r="D49" s="1441"/>
      <c r="E49" s="1166"/>
    </row>
    <row r="50" spans="1:5" s="1" customFormat="1" x14ac:dyDescent="0.3">
      <c r="A50" s="1680"/>
      <c r="B50" s="1684"/>
      <c r="C50" s="1685"/>
      <c r="D50" s="1441"/>
      <c r="E50" s="1166" t="s">
        <v>5491</v>
      </c>
    </row>
    <row r="51" spans="1:5" s="1" customFormat="1" x14ac:dyDescent="0.3">
      <c r="A51" s="1680"/>
      <c r="B51" s="1684"/>
      <c r="C51" s="1685"/>
      <c r="D51" s="1441"/>
      <c r="E51" s="1166"/>
    </row>
    <row r="52" spans="1:5" s="1" customFormat="1" ht="54.75" customHeight="1" x14ac:dyDescent="0.3">
      <c r="A52" s="1680"/>
      <c r="B52" s="1684"/>
      <c r="C52" s="1685"/>
      <c r="D52" s="1441"/>
      <c r="E52" s="1166" t="s">
        <v>2331</v>
      </c>
    </row>
    <row r="53" spans="1:5" s="1" customFormat="1" x14ac:dyDescent="0.3">
      <c r="A53" s="1681"/>
      <c r="B53" s="1686"/>
      <c r="C53" s="1687"/>
      <c r="D53" s="1442"/>
      <c r="E53" s="1443"/>
    </row>
    <row r="54" spans="1:5" s="1" customFormat="1" ht="45" customHeight="1" x14ac:dyDescent="0.3">
      <c r="A54" s="1679" t="s">
        <v>2316</v>
      </c>
      <c r="B54" s="1688" t="s">
        <v>2327</v>
      </c>
      <c r="C54" s="1689"/>
      <c r="D54" s="1444">
        <v>11</v>
      </c>
      <c r="E54" s="1449" t="s">
        <v>2317</v>
      </c>
    </row>
    <row r="55" spans="1:5" s="1" customFormat="1" x14ac:dyDescent="0.3">
      <c r="A55" s="1681"/>
      <c r="B55" s="1690"/>
      <c r="C55" s="1691"/>
      <c r="D55" s="1442"/>
      <c r="E55" s="1443"/>
    </row>
    <row r="56" spans="1:5" s="1" customFormat="1" ht="30" customHeight="1" x14ac:dyDescent="0.3">
      <c r="A56" s="1679" t="s">
        <v>2319</v>
      </c>
      <c r="B56" s="1682" t="s">
        <v>5492</v>
      </c>
      <c r="C56" s="1683"/>
      <c r="D56" s="1444">
        <v>12</v>
      </c>
      <c r="E56" s="1449" t="s">
        <v>5748</v>
      </c>
    </row>
    <row r="57" spans="1:5" s="1" customFormat="1" x14ac:dyDescent="0.3">
      <c r="A57" s="1680"/>
      <c r="B57" s="1684"/>
      <c r="C57" s="1685"/>
      <c r="D57" s="1441"/>
      <c r="E57" s="1166"/>
    </row>
    <row r="58" spans="1:5" s="1" customFormat="1" x14ac:dyDescent="0.3">
      <c r="A58" s="1680"/>
      <c r="B58" s="1684"/>
      <c r="C58" s="1685"/>
      <c r="D58" s="1441"/>
      <c r="E58" s="1448" t="s">
        <v>5758</v>
      </c>
    </row>
    <row r="59" spans="1:5" s="1" customFormat="1" x14ac:dyDescent="0.3">
      <c r="A59" s="1680"/>
      <c r="B59" s="1684"/>
      <c r="C59" s="1685"/>
      <c r="D59" s="1441"/>
      <c r="E59" s="1448"/>
    </row>
    <row r="60" spans="1:5" s="1" customFormat="1" ht="43.2" x14ac:dyDescent="0.3">
      <c r="A60" s="1680"/>
      <c r="B60" s="1684"/>
      <c r="C60" s="1685"/>
      <c r="D60" s="1441"/>
      <c r="E60" s="1166" t="s">
        <v>5749</v>
      </c>
    </row>
    <row r="61" spans="1:5" s="1" customFormat="1" x14ac:dyDescent="0.3">
      <c r="A61" s="1681"/>
      <c r="B61" s="1686"/>
      <c r="C61" s="1687"/>
      <c r="D61" s="1442"/>
      <c r="E61" s="1443"/>
    </row>
    <row r="62" spans="1:5" s="1" customFormat="1" ht="30" customHeight="1" x14ac:dyDescent="0.3">
      <c r="A62" s="1679" t="s">
        <v>2318</v>
      </c>
      <c r="B62" s="1682" t="s">
        <v>5493</v>
      </c>
      <c r="C62" s="1683"/>
      <c r="D62" s="1444">
        <v>13</v>
      </c>
      <c r="E62" s="1450" t="s">
        <v>5750</v>
      </c>
    </row>
    <row r="63" spans="1:5" s="1" customFormat="1" x14ac:dyDescent="0.3">
      <c r="A63" s="1680"/>
      <c r="B63" s="1684"/>
      <c r="C63" s="1685"/>
      <c r="D63" s="1441"/>
      <c r="E63" s="1448"/>
    </row>
    <row r="64" spans="1:5" s="1" customFormat="1" ht="43.2" x14ac:dyDescent="0.3">
      <c r="A64" s="1680"/>
      <c r="B64" s="1684"/>
      <c r="C64" s="1685"/>
      <c r="D64" s="1441"/>
      <c r="E64" s="1166" t="s">
        <v>5751</v>
      </c>
    </row>
    <row r="65" spans="1:5" s="1" customFormat="1" x14ac:dyDescent="0.3">
      <c r="A65" s="1681"/>
      <c r="B65" s="1686"/>
      <c r="C65" s="1687"/>
      <c r="D65" s="1442"/>
      <c r="E65" s="1443"/>
    </row>
    <row r="66" spans="1:5" s="1" customFormat="1" ht="30" customHeight="1" x14ac:dyDescent="0.3">
      <c r="A66" s="1679" t="s">
        <v>2328</v>
      </c>
      <c r="B66" s="1688" t="s">
        <v>5752</v>
      </c>
      <c r="C66" s="1689"/>
      <c r="D66" s="1441">
        <v>14</v>
      </c>
      <c r="E66" s="1445" t="s">
        <v>2335</v>
      </c>
    </row>
    <row r="67" spans="1:5" s="1" customFormat="1" x14ac:dyDescent="0.3">
      <c r="A67" s="1681"/>
      <c r="B67" s="1690"/>
      <c r="C67" s="1691"/>
      <c r="D67" s="1441"/>
      <c r="E67" s="1164"/>
    </row>
    <row r="68" spans="1:5" s="1" customFormat="1" ht="30" customHeight="1" x14ac:dyDescent="0.3">
      <c r="A68" s="1679" t="s">
        <v>2320</v>
      </c>
      <c r="B68" s="1688" t="s">
        <v>2329</v>
      </c>
      <c r="C68" s="1689"/>
      <c r="D68" s="1444">
        <v>15</v>
      </c>
      <c r="E68" s="1449" t="s">
        <v>2321</v>
      </c>
    </row>
    <row r="69" spans="1:5" s="1" customFormat="1" ht="15" thickBot="1" x14ac:dyDescent="0.35">
      <c r="A69" s="1692"/>
      <c r="B69" s="1693"/>
      <c r="C69" s="1694"/>
      <c r="D69" s="1451"/>
      <c r="E69" s="1452"/>
    </row>
  </sheetData>
  <sheetProtection algorithmName="SHA-512" hashValue="S4hKBe/KfNVaHyVEVvmHUiovPG53rvOEM0oeOI50BZ70/0UvXLupsQblC8lTvTrYrPdvdRtF9PbtzMe187EOpA==" saltValue="p2nThSyw8tQP1hLOouT56w==" spinCount="100000" sheet="1" objects="1" scenarios="1"/>
  <mergeCells count="25">
    <mergeCell ref="B3:E3"/>
    <mergeCell ref="C5:E5"/>
    <mergeCell ref="C7:E7"/>
    <mergeCell ref="C9:E9"/>
    <mergeCell ref="B15:C15"/>
    <mergeCell ref="A56:A61"/>
    <mergeCell ref="B56:C61"/>
    <mergeCell ref="A16:A25"/>
    <mergeCell ref="B16:C25"/>
    <mergeCell ref="A26:A33"/>
    <mergeCell ref="B26:C33"/>
    <mergeCell ref="A34:A37"/>
    <mergeCell ref="B34:C37"/>
    <mergeCell ref="A38:A47"/>
    <mergeCell ref="B38:C47"/>
    <mergeCell ref="A48:A53"/>
    <mergeCell ref="B48:C53"/>
    <mergeCell ref="A54:A55"/>
    <mergeCell ref="B54:C55"/>
    <mergeCell ref="A62:A65"/>
    <mergeCell ref="B62:C65"/>
    <mergeCell ref="A66:A67"/>
    <mergeCell ref="B66:C67"/>
    <mergeCell ref="A68:A69"/>
    <mergeCell ref="B68:C69"/>
  </mergeCells>
  <pageMargins left="0.7" right="0.7" top="0.75" bottom="0.75" header="0.3" footer="0.3"/>
  <pageSetup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3:N184"/>
  <sheetViews>
    <sheetView showGridLines="0" topLeftCell="A19" zoomScaleNormal="100" workbookViewId="0">
      <selection activeCell="D20" sqref="D20"/>
    </sheetView>
  </sheetViews>
  <sheetFormatPr defaultColWidth="9.33203125" defaultRowHeight="14.4" x14ac:dyDescent="0.3"/>
  <cols>
    <col min="1" max="1" width="55.6640625" style="678" customWidth="1"/>
    <col min="2" max="2" width="9.6640625" style="678" customWidth="1"/>
    <col min="3" max="3" width="31" style="678" bestFit="1" customWidth="1"/>
    <col min="4" max="4" width="31" style="678" customWidth="1"/>
    <col min="5" max="5" width="27.33203125" style="678" customWidth="1"/>
    <col min="6" max="6" width="28.5546875" style="678" hidden="1" customWidth="1"/>
    <col min="7" max="8" width="28.33203125" style="678" hidden="1" customWidth="1"/>
    <col min="9" max="9" width="30.33203125" style="678" customWidth="1"/>
    <col min="10" max="10" width="24.6640625" style="678" customWidth="1"/>
    <col min="11" max="11" width="10.33203125" style="678" customWidth="1"/>
    <col min="12" max="13" width="9.33203125" style="678"/>
    <col min="14" max="14" width="32.33203125" style="678" customWidth="1"/>
    <col min="15" max="16384" width="9.33203125" style="678"/>
  </cols>
  <sheetData>
    <row r="13" spans="1:9" ht="18.75" customHeight="1" x14ac:dyDescent="0.3">
      <c r="A13" s="680"/>
      <c r="B13" s="680"/>
      <c r="C13" s="680"/>
      <c r="D13" s="680"/>
      <c r="E13" s="680"/>
      <c r="F13" s="680"/>
    </row>
    <row r="14" spans="1:9" ht="111" customHeight="1" x14ac:dyDescent="0.3">
      <c r="A14" s="1870" t="s">
        <v>2332</v>
      </c>
      <c r="B14" s="1870"/>
      <c r="C14" s="1870"/>
      <c r="D14" s="1870"/>
      <c r="E14" s="1871"/>
      <c r="F14" s="1871"/>
    </row>
    <row r="15" spans="1:9" x14ac:dyDescent="0.3">
      <c r="A15" s="727"/>
      <c r="B15" s="727"/>
      <c r="C15" s="727"/>
      <c r="D15" s="727"/>
      <c r="E15" s="726"/>
      <c r="F15" s="726"/>
    </row>
    <row r="16" spans="1:9" ht="30" customHeight="1" x14ac:dyDescent="0.3">
      <c r="A16" s="725" t="s">
        <v>4379</v>
      </c>
      <c r="B16" s="777">
        <f>G1LD</f>
        <v>2017</v>
      </c>
      <c r="C16" s="1875"/>
      <c r="D16" s="1863"/>
      <c r="E16" s="1863"/>
      <c r="F16" s="1863"/>
      <c r="G16" s="1863"/>
      <c r="H16" s="1863"/>
      <c r="I16" s="1863"/>
    </row>
    <row r="17" spans="1:14" ht="39.75" customHeight="1" x14ac:dyDescent="0.3">
      <c r="A17" s="1870" t="s">
        <v>2129</v>
      </c>
      <c r="B17" s="1870"/>
      <c r="C17" s="1870"/>
      <c r="D17" s="1870"/>
      <c r="E17" s="1870"/>
      <c r="F17" s="1870"/>
    </row>
    <row r="18" spans="1:14" x14ac:dyDescent="0.3">
      <c r="B18" s="468"/>
      <c r="C18" s="518" t="s">
        <v>47</v>
      </c>
      <c r="D18" s="519">
        <v>2019</v>
      </c>
      <c r="E18" s="519">
        <v>2018</v>
      </c>
      <c r="F18" s="519">
        <v>2017</v>
      </c>
      <c r="G18" s="521">
        <v>2016</v>
      </c>
      <c r="H18" s="520">
        <v>2015</v>
      </c>
    </row>
    <row r="19" spans="1:14" ht="17.25" customHeight="1" x14ac:dyDescent="0.3">
      <c r="A19" s="1028" t="s">
        <v>5075</v>
      </c>
      <c r="B19" s="1032" t="s">
        <v>430</v>
      </c>
      <c r="C19" s="1392">
        <f>SUM(D19:E19)</f>
        <v>147323600</v>
      </c>
      <c r="D19" s="1392">
        <v>72788930</v>
      </c>
      <c r="E19" s="1393">
        <v>74534670</v>
      </c>
      <c r="F19" s="1393"/>
      <c r="G19" s="1393"/>
      <c r="H19" s="1393"/>
    </row>
    <row r="20" spans="1:14" s="364" customFormat="1" ht="15" customHeight="1" x14ac:dyDescent="0.3">
      <c r="A20" s="1029" t="s">
        <v>5466</v>
      </c>
      <c r="B20" s="1032" t="s">
        <v>431</v>
      </c>
      <c r="C20" s="1392">
        <f>SUM(D20:E20)</f>
        <v>0</v>
      </c>
      <c r="D20" s="1394"/>
      <c r="E20" s="1394"/>
      <c r="F20" s="1394"/>
      <c r="G20" s="1394"/>
      <c r="H20" s="1394"/>
    </row>
    <row r="21" spans="1:14" s="364" customFormat="1" x14ac:dyDescent="0.3">
      <c r="A21" s="1029" t="s">
        <v>5076</v>
      </c>
      <c r="B21" s="1032" t="s">
        <v>432</v>
      </c>
      <c r="C21" s="1392">
        <f>SUM(D21:E21)</f>
        <v>0</v>
      </c>
      <c r="D21" s="1394">
        <f t="array" ref="D21">SUM(IF('6. Class A Consumption Data'!E492:E791="kWh",'6. Class A Consumption Data'!F492:F791))</f>
        <v>0</v>
      </c>
      <c r="E21" s="1394">
        <f t="array" ref="E21">SUM(IF('6. Class A Consumption Data'!E492:E791="kWh",'6. Class A Consumption Data'!H492:H791))</f>
        <v>0</v>
      </c>
      <c r="F21" s="1394">
        <f t="array" ref="F21">SUM(IF('6. Class A Consumption Data'!E492:E791="kWh",'6. Class A Consumption Data'!J492:J791))</f>
        <v>0</v>
      </c>
      <c r="G21" s="1394">
        <f t="array" ref="G21">SUM(IF('6. Class A Consumption Data'!E492:E791="kWh",'6. Class A Consumption Data'!L492:L791))</f>
        <v>0</v>
      </c>
      <c r="H21" s="1394">
        <f t="array" ref="H21">SUM(IF('6. Class A Consumption Data'!E492:E791="kWh",'6. Class A Consumption Data'!N492:N791))</f>
        <v>0</v>
      </c>
    </row>
    <row r="22" spans="1:14" s="364" customFormat="1" ht="27" x14ac:dyDescent="0.3">
      <c r="A22" s="1030" t="s">
        <v>5077</v>
      </c>
      <c r="B22" s="1032" t="s">
        <v>5079</v>
      </c>
      <c r="C22" s="1392">
        <f>SUM(D22:E22)</f>
        <v>147323600</v>
      </c>
      <c r="D22" s="1395">
        <f>D19-D20-D21</f>
        <v>72788930</v>
      </c>
      <c r="E22" s="1395">
        <f>E19-E20-E21</f>
        <v>74534670</v>
      </c>
      <c r="F22" s="1395">
        <f>F19-F20-F21</f>
        <v>0</v>
      </c>
      <c r="G22" s="1395">
        <f>G19-G20-G21</f>
        <v>0</v>
      </c>
      <c r="H22" s="1395">
        <f>H19-H20-H21</f>
        <v>0</v>
      </c>
    </row>
    <row r="23" spans="1:14" x14ac:dyDescent="0.3">
      <c r="A23" s="1028" t="s">
        <v>5078</v>
      </c>
      <c r="B23" s="1032" t="s">
        <v>1906</v>
      </c>
      <c r="C23" s="1392">
        <f>SUM(D23:E23)</f>
        <v>0</v>
      </c>
      <c r="D23" s="1396">
        <f>D184</f>
        <v>0</v>
      </c>
      <c r="E23" s="1396">
        <f>E184</f>
        <v>0</v>
      </c>
      <c r="F23" s="1396">
        <f>F184</f>
        <v>0</v>
      </c>
      <c r="G23" s="1396">
        <f>G184</f>
        <v>0</v>
      </c>
      <c r="H23" s="1396">
        <f>H184</f>
        <v>0</v>
      </c>
    </row>
    <row r="24" spans="1:14" ht="15.75" customHeight="1" x14ac:dyDescent="0.3">
      <c r="A24" s="1031" t="s">
        <v>2130</v>
      </c>
      <c r="B24" s="1032" t="s">
        <v>5080</v>
      </c>
      <c r="C24" s="1397">
        <f>IFERROR(+C23/C22,0)</f>
        <v>0</v>
      </c>
      <c r="D24" s="1397"/>
      <c r="E24" s="1397"/>
      <c r="F24" s="1397"/>
      <c r="G24" s="735"/>
      <c r="H24" s="735"/>
    </row>
    <row r="25" spans="1:14" ht="39.75" customHeight="1" thickBot="1" x14ac:dyDescent="0.35">
      <c r="A25" s="1872" t="s">
        <v>1887</v>
      </c>
      <c r="B25" s="1872"/>
      <c r="C25" s="1872"/>
      <c r="D25" s="728"/>
      <c r="E25" s="680"/>
      <c r="F25" s="515"/>
    </row>
    <row r="26" spans="1:14" ht="15" hidden="1" thickBot="1" x14ac:dyDescent="0.35">
      <c r="A26" s="470"/>
      <c r="B26" s="470"/>
      <c r="C26" s="516"/>
      <c r="D26" s="516"/>
      <c r="E26" s="680"/>
      <c r="F26" s="680"/>
      <c r="N26" s="456"/>
    </row>
    <row r="27" spans="1:14" ht="15" thickBot="1" x14ac:dyDescent="0.35">
      <c r="A27" s="720" t="s">
        <v>1888</v>
      </c>
      <c r="B27" s="720" t="s">
        <v>5755</v>
      </c>
      <c r="C27" s="734">
        <f>'3. Continuity Schedule'!BT29</f>
        <v>80696.190000000017</v>
      </c>
      <c r="D27" s="729"/>
      <c r="E27" s="680"/>
      <c r="F27" s="680"/>
    </row>
    <row r="28" spans="1:14" ht="15" thickBot="1" x14ac:dyDescent="0.35">
      <c r="A28" s="469" t="s">
        <v>2131</v>
      </c>
      <c r="B28" s="517" t="s">
        <v>5756</v>
      </c>
      <c r="C28" s="733">
        <f>+C24*C27</f>
        <v>0</v>
      </c>
      <c r="D28" s="732"/>
      <c r="E28" s="731"/>
      <c r="F28" s="680"/>
    </row>
    <row r="29" spans="1:14" ht="32.25" customHeight="1" thickBot="1" x14ac:dyDescent="0.35">
      <c r="A29" s="469" t="s">
        <v>2296</v>
      </c>
      <c r="B29" s="517" t="s">
        <v>5757</v>
      </c>
      <c r="C29" s="730">
        <f>+C27-C28</f>
        <v>80696.190000000017</v>
      </c>
      <c r="D29" s="729"/>
      <c r="E29" s="680"/>
      <c r="F29" s="680"/>
    </row>
    <row r="30" spans="1:14" x14ac:dyDescent="0.3">
      <c r="A30" s="680"/>
      <c r="B30" s="680"/>
      <c r="C30" s="680"/>
      <c r="D30" s="680"/>
      <c r="E30" s="680"/>
      <c r="F30" s="680"/>
    </row>
    <row r="31" spans="1:14" x14ac:dyDescent="0.3">
      <c r="A31" s="1873" t="s">
        <v>2293</v>
      </c>
      <c r="B31" s="1873"/>
      <c r="C31" s="1874"/>
      <c r="D31" s="1874"/>
      <c r="E31" s="1874"/>
      <c r="F31" s="680"/>
    </row>
    <row r="32" spans="1:14" x14ac:dyDescent="0.3">
      <c r="A32" s="471" t="s">
        <v>2294</v>
      </c>
      <c r="B32" s="471"/>
      <c r="C32" s="796">
        <f>COUNTIF(C34:C183,"&lt;&gt;0")</f>
        <v>0</v>
      </c>
      <c r="D32" s="797"/>
      <c r="E32" s="797"/>
      <c r="F32" s="797"/>
      <c r="G32" s="797"/>
      <c r="H32" s="797"/>
      <c r="I32" s="110"/>
      <c r="J32" s="110"/>
      <c r="K32" s="773"/>
    </row>
    <row r="33" spans="1:11" ht="65.25" customHeight="1" x14ac:dyDescent="0.3">
      <c r="A33" s="1554" t="s">
        <v>2028</v>
      </c>
      <c r="B33" s="1554"/>
      <c r="C33" s="1555" t="s">
        <v>5471</v>
      </c>
      <c r="D33" s="1555" t="s">
        <v>6887</v>
      </c>
      <c r="E33" s="1555" t="s">
        <v>5073</v>
      </c>
      <c r="F33" s="1555" t="s">
        <v>4380</v>
      </c>
      <c r="G33" s="1555" t="s">
        <v>4385</v>
      </c>
      <c r="H33" s="1555" t="s">
        <v>4386</v>
      </c>
      <c r="I33" s="518" t="s">
        <v>2004</v>
      </c>
      <c r="J33" s="1556" t="s">
        <v>6831</v>
      </c>
      <c r="K33" s="772" t="s">
        <v>2029</v>
      </c>
    </row>
    <row r="34" spans="1:11" s="2" customFormat="1" x14ac:dyDescent="0.3">
      <c r="A34" s="741" t="s">
        <v>2049</v>
      </c>
      <c r="B34" s="741"/>
      <c r="C34" s="742">
        <f t="shared" ref="C34:C65" si="0">SUM(D34:E34)</f>
        <v>0</v>
      </c>
      <c r="D34" s="742">
        <f t="array" ref="D34">SUM(IF('6. Class A Consumption Data'!F32:G32="B",'6. Class A Consumption Data'!F30:G30))</f>
        <v>0</v>
      </c>
      <c r="E34" s="742">
        <f t="array" ref="E34">SUM(IF('6. Class A Consumption Data'!H32:I32="B",'6. Class A Consumption Data'!H30:I30))</f>
        <v>0</v>
      </c>
      <c r="F34" s="742">
        <f t="array" ref="F34">SUM(IF('6. Class A Consumption Data'!J32:K32="B",'6. Class A Consumption Data'!J30:K30))</f>
        <v>0</v>
      </c>
      <c r="G34" s="742">
        <f t="array" ref="G34">SUM(IF('6. Class A Consumption Data'!L32:M32="B",'6. Class A Consumption Data'!L30:M30))</f>
        <v>0</v>
      </c>
      <c r="H34" s="742">
        <f t="array" ref="H34">SUM(IF('6. Class A Consumption Data'!N32:O32="B",'6. Class A Consumption Data'!N30:O30))</f>
        <v>0</v>
      </c>
      <c r="I34" s="745">
        <f>IFERROR(+C34/$C$184,0)</f>
        <v>0</v>
      </c>
      <c r="J34" s="744">
        <f>+I34*$C$28</f>
        <v>0</v>
      </c>
      <c r="K34" s="740">
        <f>+J34/12</f>
        <v>0</v>
      </c>
    </row>
    <row r="35" spans="1:11" s="2" customFormat="1" x14ac:dyDescent="0.3">
      <c r="A35" s="741" t="s">
        <v>2050</v>
      </c>
      <c r="B35" s="741"/>
      <c r="C35" s="742">
        <f t="shared" si="0"/>
        <v>0</v>
      </c>
      <c r="D35" s="742">
        <f t="array" ref="D35">SUM(IF('6. Class A Consumption Data'!F35:G35="B",'6. Class A Consumption Data'!F33:G33))</f>
        <v>0</v>
      </c>
      <c r="E35" s="742">
        <f t="array" ref="E35">SUM(IF('6. Class A Consumption Data'!H35:I35="B",'6. Class A Consumption Data'!H33:I33))</f>
        <v>0</v>
      </c>
      <c r="F35" s="742">
        <f t="array" ref="F35">SUM(IF('6. Class A Consumption Data'!J35:K35="B",'6. Class A Consumption Data'!J33:K33))</f>
        <v>0</v>
      </c>
      <c r="G35" s="742">
        <f t="array" ref="G35">SUM(IF('6. Class A Consumption Data'!L35:M35="B",'6. Class A Consumption Data'!L33:M33))</f>
        <v>0</v>
      </c>
      <c r="H35" s="742">
        <f t="array" ref="H35">SUM(IF('6. Class A Consumption Data'!N35:O35="B",'6. Class A Consumption Data'!N33:O33))</f>
        <v>0</v>
      </c>
      <c r="I35" s="745">
        <f t="shared" ref="I35:I98" si="1">IFERROR(+C35/$C$184,0)</f>
        <v>0</v>
      </c>
      <c r="J35" s="744">
        <f>+I35*$C$28</f>
        <v>0</v>
      </c>
      <c r="K35" s="740">
        <f>+J35/12</f>
        <v>0</v>
      </c>
    </row>
    <row r="36" spans="1:11" s="2" customFormat="1" hidden="1" x14ac:dyDescent="0.3">
      <c r="A36" s="747" t="s">
        <v>2051</v>
      </c>
      <c r="B36" s="747"/>
      <c r="C36" s="748">
        <f t="shared" si="0"/>
        <v>0</v>
      </c>
      <c r="D36" s="748">
        <v>0</v>
      </c>
      <c r="E36" s="748">
        <v>0</v>
      </c>
      <c r="F36" s="748">
        <f t="array" ref="F36">SUM(IF('6. Class A Consumption Data'!J38:K38="B",'6. Class A Consumption Data'!J36:K36))</f>
        <v>0</v>
      </c>
      <c r="G36" s="748">
        <f t="array" ref="G36">SUM(IF('6. Class A Consumption Data'!L38:M38="B",'6. Class A Consumption Data'!L36:M36))</f>
        <v>0</v>
      </c>
      <c r="H36" s="748">
        <f t="array" ref="H36">SUM(IF('6. Class A Consumption Data'!N38:O38="B",'6. Class A Consumption Data'!N36:O36))</f>
        <v>0</v>
      </c>
      <c r="I36" s="743">
        <f t="shared" si="1"/>
        <v>0</v>
      </c>
      <c r="J36" s="740">
        <f>+I36*$C$28</f>
        <v>0</v>
      </c>
      <c r="K36" s="749">
        <f>+J36/12</f>
        <v>0</v>
      </c>
    </row>
    <row r="37" spans="1:11" s="2" customFormat="1" hidden="1" x14ac:dyDescent="0.3">
      <c r="A37" s="736" t="s">
        <v>2052</v>
      </c>
      <c r="B37" s="736"/>
      <c r="C37" s="1025">
        <f t="shared" si="0"/>
        <v>0</v>
      </c>
      <c r="D37" s="737">
        <v>0</v>
      </c>
      <c r="E37" s="737">
        <v>0</v>
      </c>
      <c r="F37" s="737">
        <f t="array" ref="F37">SUM(IF('6. Class A Consumption Data'!J41:K41="B",'6. Class A Consumption Data'!J39:K39))</f>
        <v>0</v>
      </c>
      <c r="G37" s="737">
        <f t="array" ref="G37">SUM(IF('6. Class A Consumption Data'!L41:M41="B",'6. Class A Consumption Data'!L39:M39))</f>
        <v>0</v>
      </c>
      <c r="H37" s="737">
        <f t="array" ref="H37">SUM(IF('6. Class A Consumption Data'!N41:O41="B",'6. Class A Consumption Data'!N39:O39))</f>
        <v>0</v>
      </c>
      <c r="I37" s="738">
        <f t="shared" si="1"/>
        <v>0</v>
      </c>
      <c r="J37" s="739">
        <f>+I37*$C$28</f>
        <v>0</v>
      </c>
      <c r="K37" s="746">
        <f>+J37/12</f>
        <v>0</v>
      </c>
    </row>
    <row r="38" spans="1:11" s="2" customFormat="1" hidden="1" x14ac:dyDescent="0.3">
      <c r="A38" s="1024" t="s">
        <v>2053</v>
      </c>
      <c r="B38" s="1024"/>
      <c r="C38" s="742">
        <f t="shared" si="0"/>
        <v>0</v>
      </c>
      <c r="D38" s="1025">
        <v>0</v>
      </c>
      <c r="E38" s="1025">
        <v>0</v>
      </c>
      <c r="F38" s="1025">
        <f t="array" ref="F38">SUM(IF('6. Class A Consumption Data'!J44:K44="B",'6. Class A Consumption Data'!J42:K42))</f>
        <v>0</v>
      </c>
      <c r="G38" s="1025">
        <f t="array" ref="G38">SUM(IF('6. Class A Consumption Data'!L44:M44="B",'6. Class A Consumption Data'!L42:M42))</f>
        <v>0</v>
      </c>
      <c r="H38" s="1025">
        <f t="array" ref="H38">SUM(IF('6. Class A Consumption Data'!N44:O44="B",'6. Class A Consumption Data'!N42:O42))</f>
        <v>0</v>
      </c>
      <c r="I38" s="1026">
        <f t="shared" si="1"/>
        <v>0</v>
      </c>
      <c r="J38" s="1027">
        <f t="shared" ref="J38:J101" si="2">+I38*$C$28</f>
        <v>0</v>
      </c>
      <c r="K38" s="746">
        <f t="shared" ref="K38:K101" si="3">+J38/12</f>
        <v>0</v>
      </c>
    </row>
    <row r="39" spans="1:11" s="2" customFormat="1" hidden="1" x14ac:dyDescent="0.3">
      <c r="A39" s="747" t="s">
        <v>2122</v>
      </c>
      <c r="B39" s="747"/>
      <c r="C39" s="742">
        <f t="shared" si="0"/>
        <v>0</v>
      </c>
      <c r="D39" s="748">
        <v>0</v>
      </c>
      <c r="E39" s="748">
        <v>0</v>
      </c>
      <c r="F39" s="748">
        <f t="array" ref="F39">SUM(IF('6. Class A Consumption Data'!J47:K47="B",'6. Class A Consumption Data'!J45:K45))</f>
        <v>0</v>
      </c>
      <c r="G39" s="748">
        <f t="array" ref="G39">SUM(IF('6. Class A Consumption Data'!L47:M47="B",'6. Class A Consumption Data'!L45:M45))</f>
        <v>0</v>
      </c>
      <c r="H39" s="748">
        <f t="array" ref="H39">SUM(IF('6. Class A Consumption Data'!N47:O47="B",'6. Class A Consumption Data'!N45:O45))</f>
        <v>0</v>
      </c>
      <c r="I39" s="743">
        <f t="shared" si="1"/>
        <v>0</v>
      </c>
      <c r="J39" s="740">
        <f t="shared" si="2"/>
        <v>0</v>
      </c>
      <c r="K39" s="749">
        <f t="shared" si="3"/>
        <v>0</v>
      </c>
    </row>
    <row r="40" spans="1:11" s="2" customFormat="1" hidden="1" x14ac:dyDescent="0.3">
      <c r="A40" s="736" t="s">
        <v>2123</v>
      </c>
      <c r="B40" s="736"/>
      <c r="C40" s="742">
        <f t="shared" si="0"/>
        <v>0</v>
      </c>
      <c r="D40" s="737">
        <v>0</v>
      </c>
      <c r="E40" s="737">
        <v>0</v>
      </c>
      <c r="F40" s="737">
        <f t="array" ref="F40">SUM(IF('6. Class A Consumption Data'!J50:K50="B",'6. Class A Consumption Data'!J48:K48))</f>
        <v>0</v>
      </c>
      <c r="G40" s="737">
        <f t="array" ref="G40">SUM(IF('6. Class A Consumption Data'!L50:M50="B",'6. Class A Consumption Data'!L48:M48))</f>
        <v>0</v>
      </c>
      <c r="H40" s="737">
        <f t="array" ref="H40">SUM(IF('6. Class A Consumption Data'!N50:O50="B",'6. Class A Consumption Data'!N48:O48))</f>
        <v>0</v>
      </c>
      <c r="I40" s="738">
        <f t="shared" si="1"/>
        <v>0</v>
      </c>
      <c r="J40" s="739">
        <f t="shared" si="2"/>
        <v>0</v>
      </c>
      <c r="K40" s="746">
        <f t="shared" si="3"/>
        <v>0</v>
      </c>
    </row>
    <row r="41" spans="1:11" s="2" customFormat="1" hidden="1" x14ac:dyDescent="0.3">
      <c r="A41" s="747" t="s">
        <v>2124</v>
      </c>
      <c r="B41" s="747"/>
      <c r="C41" s="742">
        <f t="shared" si="0"/>
        <v>0</v>
      </c>
      <c r="D41" s="748">
        <v>0</v>
      </c>
      <c r="E41" s="748">
        <v>0</v>
      </c>
      <c r="F41" s="748">
        <f t="array" ref="F41">SUM(IF('6. Class A Consumption Data'!J53:K53="B",'6. Class A Consumption Data'!J51:K51))</f>
        <v>0</v>
      </c>
      <c r="G41" s="748">
        <f t="array" ref="G41">SUM(IF('6. Class A Consumption Data'!L53:M53="B",'6. Class A Consumption Data'!L51:M51))</f>
        <v>0</v>
      </c>
      <c r="H41" s="748">
        <f t="array" ref="H41">SUM(IF('6. Class A Consumption Data'!N53:O53="B",'6. Class A Consumption Data'!N51:O51))</f>
        <v>0</v>
      </c>
      <c r="I41" s="743">
        <f t="shared" si="1"/>
        <v>0</v>
      </c>
      <c r="J41" s="750">
        <f t="shared" si="2"/>
        <v>0</v>
      </c>
      <c r="K41" s="740">
        <f t="shared" si="3"/>
        <v>0</v>
      </c>
    </row>
    <row r="42" spans="1:11" s="2" customFormat="1" hidden="1" x14ac:dyDescent="0.3">
      <c r="A42" s="747" t="s">
        <v>2125</v>
      </c>
      <c r="B42" s="747"/>
      <c r="C42" s="742">
        <f t="shared" si="0"/>
        <v>0</v>
      </c>
      <c r="D42" s="748">
        <v>0</v>
      </c>
      <c r="E42" s="748">
        <v>0</v>
      </c>
      <c r="F42" s="748">
        <f t="array" ref="F42">SUM(IF('6. Class A Consumption Data'!J56:K56="B",'6. Class A Consumption Data'!J54:K54))</f>
        <v>0</v>
      </c>
      <c r="G42" s="748">
        <f t="array" ref="G42">SUM(IF('6. Class A Consumption Data'!L56:M56="B",'6. Class A Consumption Data'!L54:M54))</f>
        <v>0</v>
      </c>
      <c r="H42" s="748">
        <f t="array" ref="H42">SUM(IF('6. Class A Consumption Data'!N56:O56="B",'6. Class A Consumption Data'!N54:O54))</f>
        <v>0</v>
      </c>
      <c r="I42" s="743">
        <f t="shared" si="1"/>
        <v>0</v>
      </c>
      <c r="J42" s="750">
        <f t="shared" si="2"/>
        <v>0</v>
      </c>
      <c r="K42" s="740">
        <f t="shared" si="3"/>
        <v>0</v>
      </c>
    </row>
    <row r="43" spans="1:11" hidden="1" x14ac:dyDescent="0.3">
      <c r="A43" s="747" t="s">
        <v>2126</v>
      </c>
      <c r="B43" s="747"/>
      <c r="C43" s="742">
        <f t="shared" si="0"/>
        <v>0</v>
      </c>
      <c r="D43" s="748">
        <v>0</v>
      </c>
      <c r="E43" s="748">
        <v>0</v>
      </c>
      <c r="F43" s="748">
        <f t="array" ref="F43">SUM(IF('6. Class A Consumption Data'!J59:K59="B",'6. Class A Consumption Data'!J57:K57))</f>
        <v>0</v>
      </c>
      <c r="G43" s="748">
        <f t="array" ref="G43">SUM(IF('6. Class A Consumption Data'!L59:M59="B",'6. Class A Consumption Data'!L57:M57))</f>
        <v>0</v>
      </c>
      <c r="H43" s="748">
        <f t="array" ref="H43">SUM(IF('6. Class A Consumption Data'!N59:O59="B",'6. Class A Consumption Data'!N57:O57))</f>
        <v>0</v>
      </c>
      <c r="I43" s="743">
        <f t="shared" si="1"/>
        <v>0</v>
      </c>
      <c r="J43" s="750">
        <f t="shared" si="2"/>
        <v>0</v>
      </c>
      <c r="K43" s="740">
        <f t="shared" si="3"/>
        <v>0</v>
      </c>
    </row>
    <row r="44" spans="1:11" hidden="1" x14ac:dyDescent="0.3">
      <c r="A44" s="747" t="s">
        <v>2127</v>
      </c>
      <c r="B44" s="747"/>
      <c r="C44" s="742">
        <f t="shared" si="0"/>
        <v>0</v>
      </c>
      <c r="D44" s="748">
        <v>0</v>
      </c>
      <c r="E44" s="748">
        <v>0</v>
      </c>
      <c r="F44" s="748">
        <f t="array" ref="F44">SUM(IF('6. Class A Consumption Data'!J62:K62="B",'6. Class A Consumption Data'!J60:K60))</f>
        <v>0</v>
      </c>
      <c r="G44" s="748">
        <f t="array" ref="G44">SUM(IF('6. Class A Consumption Data'!L62:M62="B",'6. Class A Consumption Data'!L60:M60))</f>
        <v>0</v>
      </c>
      <c r="H44" s="748">
        <f t="array" ref="H44">SUM(IF('6. Class A Consumption Data'!N62:O62="B",'6. Class A Consumption Data'!N60:O60))</f>
        <v>0</v>
      </c>
      <c r="I44" s="743">
        <f t="shared" si="1"/>
        <v>0</v>
      </c>
      <c r="J44" s="750">
        <f t="shared" si="2"/>
        <v>0</v>
      </c>
      <c r="K44" s="740">
        <f t="shared" si="3"/>
        <v>0</v>
      </c>
    </row>
    <row r="45" spans="1:11" hidden="1" x14ac:dyDescent="0.3">
      <c r="A45" s="747" t="s">
        <v>2128</v>
      </c>
      <c r="B45" s="747"/>
      <c r="C45" s="742">
        <f t="shared" si="0"/>
        <v>0</v>
      </c>
      <c r="D45" s="748">
        <v>0</v>
      </c>
      <c r="E45" s="748">
        <v>0</v>
      </c>
      <c r="F45" s="748">
        <f t="array" ref="F45">SUM(IF('6. Class A Consumption Data'!J65:K65="B",'6. Class A Consumption Data'!J63:K63))</f>
        <v>0</v>
      </c>
      <c r="G45" s="748">
        <f t="array" ref="G45">SUM(IF('6. Class A Consumption Data'!L65:M65="B",'6. Class A Consumption Data'!L63:M63))</f>
        <v>0</v>
      </c>
      <c r="H45" s="748">
        <f t="array" ref="H45">SUM(IF('6. Class A Consumption Data'!N65:O65="B",'6. Class A Consumption Data'!N63:O63))</f>
        <v>0</v>
      </c>
      <c r="I45" s="743">
        <f t="shared" si="1"/>
        <v>0</v>
      </c>
      <c r="J45" s="750">
        <f t="shared" si="2"/>
        <v>0</v>
      </c>
      <c r="K45" s="740">
        <f t="shared" si="3"/>
        <v>0</v>
      </c>
    </row>
    <row r="46" spans="1:11" hidden="1" x14ac:dyDescent="0.3">
      <c r="A46" s="747" t="s">
        <v>2150</v>
      </c>
      <c r="B46" s="747"/>
      <c r="C46" s="742">
        <f t="shared" si="0"/>
        <v>0</v>
      </c>
      <c r="D46" s="748">
        <v>0</v>
      </c>
      <c r="E46" s="748">
        <v>0</v>
      </c>
      <c r="F46" s="748">
        <f t="array" ref="F46">SUM(IF('6. Class A Consumption Data'!J68:K68="B",'6. Class A Consumption Data'!J66:K66))</f>
        <v>0</v>
      </c>
      <c r="G46" s="748">
        <f t="array" ref="G46">SUM(IF('6. Class A Consumption Data'!L68:M68="B",'6. Class A Consumption Data'!L66:M66))</f>
        <v>0</v>
      </c>
      <c r="H46" s="748">
        <f t="array" ref="H46">SUM(IF('6. Class A Consumption Data'!N68:O68="B",'6. Class A Consumption Data'!N66:O66))</f>
        <v>0</v>
      </c>
      <c r="I46" s="743">
        <f t="shared" si="1"/>
        <v>0</v>
      </c>
      <c r="J46" s="750">
        <f t="shared" si="2"/>
        <v>0</v>
      </c>
      <c r="K46" s="740">
        <f t="shared" si="3"/>
        <v>0</v>
      </c>
    </row>
    <row r="47" spans="1:11" hidden="1" x14ac:dyDescent="0.3">
      <c r="A47" s="747" t="s">
        <v>2151</v>
      </c>
      <c r="B47" s="747"/>
      <c r="C47" s="742">
        <f t="shared" si="0"/>
        <v>0</v>
      </c>
      <c r="D47" s="748">
        <v>0</v>
      </c>
      <c r="E47" s="748">
        <v>0</v>
      </c>
      <c r="F47" s="748">
        <f t="array" ref="F47">SUM(IF('6. Class A Consumption Data'!J71:K71="B",'6. Class A Consumption Data'!J69:K69))</f>
        <v>0</v>
      </c>
      <c r="G47" s="748">
        <f t="array" ref="G47">SUM(IF('6. Class A Consumption Data'!L71:M71="B",'6. Class A Consumption Data'!L69:M69))</f>
        <v>0</v>
      </c>
      <c r="H47" s="748">
        <f t="array" ref="H47">SUM(IF('6. Class A Consumption Data'!N71:O71="B",'6. Class A Consumption Data'!N69:O69))</f>
        <v>0</v>
      </c>
      <c r="I47" s="743">
        <f t="shared" si="1"/>
        <v>0</v>
      </c>
      <c r="J47" s="750">
        <f t="shared" si="2"/>
        <v>0</v>
      </c>
      <c r="K47" s="740">
        <f t="shared" si="3"/>
        <v>0</v>
      </c>
    </row>
    <row r="48" spans="1:11" hidden="1" x14ac:dyDescent="0.3">
      <c r="A48" s="747" t="s">
        <v>2152</v>
      </c>
      <c r="B48" s="747"/>
      <c r="C48" s="742">
        <f t="shared" si="0"/>
        <v>0</v>
      </c>
      <c r="D48" s="748">
        <v>0</v>
      </c>
      <c r="E48" s="748">
        <v>0</v>
      </c>
      <c r="F48" s="748">
        <f t="array" ref="F48">SUM(IF('6. Class A Consumption Data'!J74:K74="B",'6. Class A Consumption Data'!J72:K72))</f>
        <v>0</v>
      </c>
      <c r="G48" s="748">
        <f t="array" ref="G48">SUM(IF('6. Class A Consumption Data'!L74:M74="B",'6. Class A Consumption Data'!L72:M72))</f>
        <v>0</v>
      </c>
      <c r="H48" s="748">
        <f t="array" ref="H48">SUM(IF('6. Class A Consumption Data'!N74:O74="B",'6. Class A Consumption Data'!N72:O72))</f>
        <v>0</v>
      </c>
      <c r="I48" s="743">
        <f t="shared" si="1"/>
        <v>0</v>
      </c>
      <c r="J48" s="750">
        <f t="shared" si="2"/>
        <v>0</v>
      </c>
      <c r="K48" s="740">
        <f t="shared" si="3"/>
        <v>0</v>
      </c>
    </row>
    <row r="49" spans="1:11" hidden="1" x14ac:dyDescent="0.3">
      <c r="A49" s="747" t="s">
        <v>2153</v>
      </c>
      <c r="B49" s="747"/>
      <c r="C49" s="742">
        <f t="shared" si="0"/>
        <v>0</v>
      </c>
      <c r="D49" s="748">
        <v>0</v>
      </c>
      <c r="E49" s="748">
        <v>0</v>
      </c>
      <c r="F49" s="748">
        <f t="array" ref="F49">SUM(IF('6. Class A Consumption Data'!J77:K77="B",'6. Class A Consumption Data'!J75:K75))</f>
        <v>0</v>
      </c>
      <c r="G49" s="748">
        <f t="array" ref="G49">SUM(IF('6. Class A Consumption Data'!L77:M77="B",'6. Class A Consumption Data'!L75:M75))</f>
        <v>0</v>
      </c>
      <c r="H49" s="748">
        <f t="array" ref="H49">SUM(IF('6. Class A Consumption Data'!N77:O77="B",'6. Class A Consumption Data'!N75:O75))</f>
        <v>0</v>
      </c>
      <c r="I49" s="743">
        <f t="shared" si="1"/>
        <v>0</v>
      </c>
      <c r="J49" s="750">
        <f t="shared" si="2"/>
        <v>0</v>
      </c>
      <c r="K49" s="740">
        <f t="shared" si="3"/>
        <v>0</v>
      </c>
    </row>
    <row r="50" spans="1:11" hidden="1" x14ac:dyDescent="0.3">
      <c r="A50" s="747" t="s">
        <v>2154</v>
      </c>
      <c r="B50" s="747"/>
      <c r="C50" s="742">
        <f t="shared" si="0"/>
        <v>0</v>
      </c>
      <c r="D50" s="748">
        <v>0</v>
      </c>
      <c r="E50" s="748">
        <v>0</v>
      </c>
      <c r="F50" s="748">
        <f t="array" ref="F50">SUM(IF('6. Class A Consumption Data'!J80:K80="B",'6. Class A Consumption Data'!J78:K78))</f>
        <v>0</v>
      </c>
      <c r="G50" s="748">
        <f t="array" ref="G50">SUM(IF('6. Class A Consumption Data'!L80:M80="B",'6. Class A Consumption Data'!L78:M78))</f>
        <v>0</v>
      </c>
      <c r="H50" s="748">
        <f t="array" ref="H50">SUM(IF('6. Class A Consumption Data'!N80:O80="B",'6. Class A Consumption Data'!N78:O78))</f>
        <v>0</v>
      </c>
      <c r="I50" s="743">
        <f t="shared" si="1"/>
        <v>0</v>
      </c>
      <c r="J50" s="750">
        <f t="shared" si="2"/>
        <v>0</v>
      </c>
      <c r="K50" s="740">
        <f t="shared" si="3"/>
        <v>0</v>
      </c>
    </row>
    <row r="51" spans="1:11" hidden="1" x14ac:dyDescent="0.3">
      <c r="A51" s="747" t="s">
        <v>2155</v>
      </c>
      <c r="B51" s="747"/>
      <c r="C51" s="742">
        <f t="shared" si="0"/>
        <v>0</v>
      </c>
      <c r="D51" s="748">
        <v>0</v>
      </c>
      <c r="E51" s="748">
        <v>0</v>
      </c>
      <c r="F51" s="748">
        <f t="array" ref="F51">SUM(IF('6. Class A Consumption Data'!J83:K83="B",'6. Class A Consumption Data'!J81:K81))</f>
        <v>0</v>
      </c>
      <c r="G51" s="748">
        <f t="array" ref="G51">SUM(IF('6. Class A Consumption Data'!L83:M83="B",'6. Class A Consumption Data'!L81:M81))</f>
        <v>0</v>
      </c>
      <c r="H51" s="748">
        <f t="array" ref="H51">SUM(IF('6. Class A Consumption Data'!N83:O83="B",'6. Class A Consumption Data'!N81:O81))</f>
        <v>0</v>
      </c>
      <c r="I51" s="743">
        <f t="shared" si="1"/>
        <v>0</v>
      </c>
      <c r="J51" s="750">
        <f t="shared" si="2"/>
        <v>0</v>
      </c>
      <c r="K51" s="740">
        <f t="shared" si="3"/>
        <v>0</v>
      </c>
    </row>
    <row r="52" spans="1:11" hidden="1" x14ac:dyDescent="0.3">
      <c r="A52" s="747" t="s">
        <v>2156</v>
      </c>
      <c r="B52" s="747"/>
      <c r="C52" s="742">
        <f t="shared" si="0"/>
        <v>0</v>
      </c>
      <c r="D52" s="748">
        <v>0</v>
      </c>
      <c r="E52" s="748">
        <v>0</v>
      </c>
      <c r="F52" s="748">
        <f t="array" ref="F52">SUM(IF('6. Class A Consumption Data'!J86:K86="B",'6. Class A Consumption Data'!J84:K84))</f>
        <v>0</v>
      </c>
      <c r="G52" s="748">
        <f t="array" ref="G52">SUM(IF('6. Class A Consumption Data'!L86:M86="B",'6. Class A Consumption Data'!L84:M84))</f>
        <v>0</v>
      </c>
      <c r="H52" s="748">
        <f t="array" ref="H52">SUM(IF('6. Class A Consumption Data'!N86:O86="B",'6. Class A Consumption Data'!N84:O84))</f>
        <v>0</v>
      </c>
      <c r="I52" s="743">
        <f t="shared" si="1"/>
        <v>0</v>
      </c>
      <c r="J52" s="750">
        <f t="shared" si="2"/>
        <v>0</v>
      </c>
      <c r="K52" s="740">
        <f t="shared" si="3"/>
        <v>0</v>
      </c>
    </row>
    <row r="53" spans="1:11" hidden="1" x14ac:dyDescent="0.3">
      <c r="A53" s="747" t="s">
        <v>2157</v>
      </c>
      <c r="B53" s="747"/>
      <c r="C53" s="742">
        <f t="shared" si="0"/>
        <v>0</v>
      </c>
      <c r="D53" s="748">
        <v>0</v>
      </c>
      <c r="E53" s="748">
        <v>0</v>
      </c>
      <c r="F53" s="748">
        <f t="array" ref="F53">SUM(IF('6. Class A Consumption Data'!J89:K89="B",'6. Class A Consumption Data'!J87:K87))</f>
        <v>0</v>
      </c>
      <c r="G53" s="748">
        <f t="array" ref="G53">SUM(IF('6. Class A Consumption Data'!L89:M89="B",'6. Class A Consumption Data'!L87:M87))</f>
        <v>0</v>
      </c>
      <c r="H53" s="748">
        <f t="array" ref="H53">SUM(IF('6. Class A Consumption Data'!N89:O89="B",'6. Class A Consumption Data'!N87:O87))</f>
        <v>0</v>
      </c>
      <c r="I53" s="743">
        <f t="shared" si="1"/>
        <v>0</v>
      </c>
      <c r="J53" s="750">
        <f t="shared" si="2"/>
        <v>0</v>
      </c>
      <c r="K53" s="740">
        <f t="shared" si="3"/>
        <v>0</v>
      </c>
    </row>
    <row r="54" spans="1:11" hidden="1" x14ac:dyDescent="0.3">
      <c r="A54" s="747" t="s">
        <v>2158</v>
      </c>
      <c r="B54" s="747"/>
      <c r="C54" s="742">
        <f t="shared" si="0"/>
        <v>0</v>
      </c>
      <c r="D54" s="748">
        <v>0</v>
      </c>
      <c r="E54" s="748">
        <v>0</v>
      </c>
      <c r="F54" s="748">
        <f t="array" ref="F54">SUM(IF('6. Class A Consumption Data'!J92:K92="B",'6. Class A Consumption Data'!J90:K90))</f>
        <v>0</v>
      </c>
      <c r="G54" s="748">
        <f t="array" ref="G54">SUM(IF('6. Class A Consumption Data'!L92:M92="B",'6. Class A Consumption Data'!L90:M90))</f>
        <v>0</v>
      </c>
      <c r="H54" s="748">
        <f t="array" ref="H54">SUM(IF('6. Class A Consumption Data'!N92:O92="B",'6. Class A Consumption Data'!N90:O90))</f>
        <v>0</v>
      </c>
      <c r="I54" s="743">
        <f t="shared" si="1"/>
        <v>0</v>
      </c>
      <c r="J54" s="750">
        <f t="shared" si="2"/>
        <v>0</v>
      </c>
      <c r="K54" s="740">
        <f t="shared" si="3"/>
        <v>0</v>
      </c>
    </row>
    <row r="55" spans="1:11" hidden="1" x14ac:dyDescent="0.3">
      <c r="A55" s="747" t="s">
        <v>2159</v>
      </c>
      <c r="B55" s="747"/>
      <c r="C55" s="742">
        <f t="shared" si="0"/>
        <v>0</v>
      </c>
      <c r="D55" s="748">
        <v>0</v>
      </c>
      <c r="E55" s="748">
        <v>0</v>
      </c>
      <c r="F55" s="748">
        <f t="array" ref="F55">SUM(IF('6. Class A Consumption Data'!J95:K95="B",'6. Class A Consumption Data'!J93:K93))</f>
        <v>0</v>
      </c>
      <c r="G55" s="748">
        <f t="array" ref="G55">SUM(IF('6. Class A Consumption Data'!L95:M95="B",'6. Class A Consumption Data'!L93:M93))</f>
        <v>0</v>
      </c>
      <c r="H55" s="748">
        <f t="array" ref="H55">SUM(IF('6. Class A Consumption Data'!N95:O95="B",'6. Class A Consumption Data'!N93:O93))</f>
        <v>0</v>
      </c>
      <c r="I55" s="743">
        <f t="shared" si="1"/>
        <v>0</v>
      </c>
      <c r="J55" s="750">
        <f t="shared" si="2"/>
        <v>0</v>
      </c>
      <c r="K55" s="740">
        <f t="shared" si="3"/>
        <v>0</v>
      </c>
    </row>
    <row r="56" spans="1:11" hidden="1" x14ac:dyDescent="0.3">
      <c r="A56" s="747" t="s">
        <v>2160</v>
      </c>
      <c r="B56" s="747"/>
      <c r="C56" s="742">
        <f t="shared" si="0"/>
        <v>0</v>
      </c>
      <c r="D56" s="748">
        <v>0</v>
      </c>
      <c r="E56" s="748">
        <v>0</v>
      </c>
      <c r="F56" s="748">
        <f t="array" ref="F56">SUM(IF('6. Class A Consumption Data'!J98:K98="B",'6. Class A Consumption Data'!J96:K96))</f>
        <v>0</v>
      </c>
      <c r="G56" s="748">
        <f t="array" ref="G56">SUM(IF('6. Class A Consumption Data'!L98:M98="B",'6. Class A Consumption Data'!L96:M96))</f>
        <v>0</v>
      </c>
      <c r="H56" s="748">
        <f t="array" ref="H56">SUM(IF('6. Class A Consumption Data'!N98:O98="B",'6. Class A Consumption Data'!N96:O96))</f>
        <v>0</v>
      </c>
      <c r="I56" s="743">
        <f t="shared" si="1"/>
        <v>0</v>
      </c>
      <c r="J56" s="750">
        <f t="shared" si="2"/>
        <v>0</v>
      </c>
      <c r="K56" s="740">
        <f t="shared" si="3"/>
        <v>0</v>
      </c>
    </row>
    <row r="57" spans="1:11" hidden="1" x14ac:dyDescent="0.3">
      <c r="A57" s="747" t="s">
        <v>2161</v>
      </c>
      <c r="B57" s="747"/>
      <c r="C57" s="742">
        <f t="shared" si="0"/>
        <v>0</v>
      </c>
      <c r="D57" s="748">
        <v>0</v>
      </c>
      <c r="E57" s="748">
        <v>0</v>
      </c>
      <c r="F57" s="748">
        <f t="array" ref="F57">SUM(IF('6. Class A Consumption Data'!J101:K101="B",'6. Class A Consumption Data'!J99:K99))</f>
        <v>0</v>
      </c>
      <c r="G57" s="748">
        <f t="array" ref="G57">SUM(IF('6. Class A Consumption Data'!L101:M101="B",'6. Class A Consumption Data'!L99:M99))</f>
        <v>0</v>
      </c>
      <c r="H57" s="748">
        <f t="array" ref="H57">SUM(IF('6. Class A Consumption Data'!N101:O101="B",'6. Class A Consumption Data'!N99:O99))</f>
        <v>0</v>
      </c>
      <c r="I57" s="743">
        <f t="shared" si="1"/>
        <v>0</v>
      </c>
      <c r="J57" s="750">
        <f t="shared" si="2"/>
        <v>0</v>
      </c>
      <c r="K57" s="740">
        <f t="shared" si="3"/>
        <v>0</v>
      </c>
    </row>
    <row r="58" spans="1:11" hidden="1" x14ac:dyDescent="0.3">
      <c r="A58" s="747" t="s">
        <v>2162</v>
      </c>
      <c r="B58" s="747"/>
      <c r="C58" s="742">
        <f t="shared" si="0"/>
        <v>0</v>
      </c>
      <c r="D58" s="748">
        <v>0</v>
      </c>
      <c r="E58" s="748">
        <v>0</v>
      </c>
      <c r="F58" s="748">
        <f t="array" ref="F58">SUM(IF('6. Class A Consumption Data'!J104:K104="B",'6. Class A Consumption Data'!J102:K102))</f>
        <v>0</v>
      </c>
      <c r="G58" s="748">
        <f t="array" ref="G58">SUM(IF('6. Class A Consumption Data'!L104:M104="B",'6. Class A Consumption Data'!L102:M102))</f>
        <v>0</v>
      </c>
      <c r="H58" s="748">
        <f t="array" ref="H58">SUM(IF('6. Class A Consumption Data'!N104:O104="B",'6. Class A Consumption Data'!N102:O102))</f>
        <v>0</v>
      </c>
      <c r="I58" s="743">
        <f t="shared" si="1"/>
        <v>0</v>
      </c>
      <c r="J58" s="750">
        <f t="shared" si="2"/>
        <v>0</v>
      </c>
      <c r="K58" s="740">
        <f t="shared" si="3"/>
        <v>0</v>
      </c>
    </row>
    <row r="59" spans="1:11" hidden="1" x14ac:dyDescent="0.3">
      <c r="A59" s="747" t="s">
        <v>2163</v>
      </c>
      <c r="B59" s="747"/>
      <c r="C59" s="742">
        <f t="shared" si="0"/>
        <v>0</v>
      </c>
      <c r="D59" s="748">
        <v>0</v>
      </c>
      <c r="E59" s="748">
        <v>0</v>
      </c>
      <c r="F59" s="748">
        <f t="array" ref="F59">SUM(IF('6. Class A Consumption Data'!J107:K107="B",'6. Class A Consumption Data'!J105:K105))</f>
        <v>0</v>
      </c>
      <c r="G59" s="748">
        <f t="array" ref="G59">SUM(IF('6. Class A Consumption Data'!L107:M107="B",'6. Class A Consumption Data'!L105:M105))</f>
        <v>0</v>
      </c>
      <c r="H59" s="748">
        <f t="array" ref="H59">SUM(IF('6. Class A Consumption Data'!N107:O107="B",'6. Class A Consumption Data'!N105:O105))</f>
        <v>0</v>
      </c>
      <c r="I59" s="743">
        <f t="shared" si="1"/>
        <v>0</v>
      </c>
      <c r="J59" s="750">
        <f t="shared" si="2"/>
        <v>0</v>
      </c>
      <c r="K59" s="740">
        <f t="shared" si="3"/>
        <v>0</v>
      </c>
    </row>
    <row r="60" spans="1:11" hidden="1" x14ac:dyDescent="0.3">
      <c r="A60" s="747" t="s">
        <v>2164</v>
      </c>
      <c r="B60" s="747"/>
      <c r="C60" s="742">
        <f t="shared" si="0"/>
        <v>0</v>
      </c>
      <c r="D60" s="748">
        <v>0</v>
      </c>
      <c r="E60" s="748">
        <v>0</v>
      </c>
      <c r="F60" s="748">
        <f t="array" ref="F60">SUM(IF('6. Class A Consumption Data'!J110:K110="B",'6. Class A Consumption Data'!J108:K108))</f>
        <v>0</v>
      </c>
      <c r="G60" s="748">
        <f t="array" ref="G60">SUM(IF('6. Class A Consumption Data'!L110:M110="B",'6. Class A Consumption Data'!L108:M108))</f>
        <v>0</v>
      </c>
      <c r="H60" s="748">
        <f t="array" ref="H60">SUM(IF('6. Class A Consumption Data'!N110:O110="B",'6. Class A Consumption Data'!N108:O108))</f>
        <v>0</v>
      </c>
      <c r="I60" s="743">
        <f t="shared" si="1"/>
        <v>0</v>
      </c>
      <c r="J60" s="750">
        <f t="shared" si="2"/>
        <v>0</v>
      </c>
      <c r="K60" s="740">
        <f t="shared" si="3"/>
        <v>0</v>
      </c>
    </row>
    <row r="61" spans="1:11" hidden="1" x14ac:dyDescent="0.3">
      <c r="A61" s="747" t="s">
        <v>2165</v>
      </c>
      <c r="B61" s="747"/>
      <c r="C61" s="742">
        <f t="shared" si="0"/>
        <v>0</v>
      </c>
      <c r="D61" s="748">
        <v>0</v>
      </c>
      <c r="E61" s="748">
        <v>0</v>
      </c>
      <c r="F61" s="748">
        <f t="array" ref="F61">SUM(IF('6. Class A Consumption Data'!J113:K113="B",'6. Class A Consumption Data'!J111:K111))</f>
        <v>0</v>
      </c>
      <c r="G61" s="748">
        <f t="array" ref="G61">SUM(IF('6. Class A Consumption Data'!L113:M113="B",'6. Class A Consumption Data'!L111:M111))</f>
        <v>0</v>
      </c>
      <c r="H61" s="748">
        <f t="array" ref="H61">SUM(IF('6. Class A Consumption Data'!N113:O113="B",'6. Class A Consumption Data'!N111:O111))</f>
        <v>0</v>
      </c>
      <c r="I61" s="743">
        <f t="shared" si="1"/>
        <v>0</v>
      </c>
      <c r="J61" s="750">
        <f t="shared" si="2"/>
        <v>0</v>
      </c>
      <c r="K61" s="740">
        <f t="shared" si="3"/>
        <v>0</v>
      </c>
    </row>
    <row r="62" spans="1:11" hidden="1" x14ac:dyDescent="0.3">
      <c r="A62" s="747" t="s">
        <v>2166</v>
      </c>
      <c r="B62" s="747"/>
      <c r="C62" s="742">
        <f t="shared" si="0"/>
        <v>0</v>
      </c>
      <c r="D62" s="748">
        <v>0</v>
      </c>
      <c r="E62" s="748">
        <v>0</v>
      </c>
      <c r="F62" s="748">
        <f t="array" ref="F62">SUM(IF('6. Class A Consumption Data'!J116:K116="B",'6. Class A Consumption Data'!J114:K114))</f>
        <v>0</v>
      </c>
      <c r="G62" s="748">
        <f t="array" ref="G62">SUM(IF('6. Class A Consumption Data'!L116:M116="B",'6. Class A Consumption Data'!L114:M114))</f>
        <v>0</v>
      </c>
      <c r="H62" s="748">
        <f t="array" ref="H62">SUM(IF('6. Class A Consumption Data'!N116:O116="B",'6. Class A Consumption Data'!N114:O114))</f>
        <v>0</v>
      </c>
      <c r="I62" s="743">
        <f t="shared" si="1"/>
        <v>0</v>
      </c>
      <c r="J62" s="750">
        <f t="shared" si="2"/>
        <v>0</v>
      </c>
      <c r="K62" s="740">
        <f t="shared" si="3"/>
        <v>0</v>
      </c>
    </row>
    <row r="63" spans="1:11" hidden="1" x14ac:dyDescent="0.3">
      <c r="A63" s="747" t="s">
        <v>2167</v>
      </c>
      <c r="B63" s="747"/>
      <c r="C63" s="742">
        <f t="shared" si="0"/>
        <v>0</v>
      </c>
      <c r="D63" s="748">
        <v>0</v>
      </c>
      <c r="E63" s="748">
        <v>0</v>
      </c>
      <c r="F63" s="748">
        <f t="array" ref="F63">SUM(IF('6. Class A Consumption Data'!J119:K119="B",'6. Class A Consumption Data'!J117:K117))</f>
        <v>0</v>
      </c>
      <c r="G63" s="748">
        <f t="array" ref="G63">SUM(IF('6. Class A Consumption Data'!L119:M119="B",'6. Class A Consumption Data'!L117:M117))</f>
        <v>0</v>
      </c>
      <c r="H63" s="748">
        <f t="array" ref="H63">SUM(IF('6. Class A Consumption Data'!N119:O119="B",'6. Class A Consumption Data'!N117:O117))</f>
        <v>0</v>
      </c>
      <c r="I63" s="743">
        <f t="shared" si="1"/>
        <v>0</v>
      </c>
      <c r="J63" s="750">
        <f t="shared" si="2"/>
        <v>0</v>
      </c>
      <c r="K63" s="740">
        <f t="shared" si="3"/>
        <v>0</v>
      </c>
    </row>
    <row r="64" spans="1:11" hidden="1" x14ac:dyDescent="0.3">
      <c r="A64" s="747" t="s">
        <v>2168</v>
      </c>
      <c r="B64" s="747"/>
      <c r="C64" s="742">
        <f t="shared" si="0"/>
        <v>0</v>
      </c>
      <c r="D64" s="748">
        <v>0</v>
      </c>
      <c r="E64" s="748">
        <v>0</v>
      </c>
      <c r="F64" s="748">
        <f t="array" ref="F64">SUM(IF('6. Class A Consumption Data'!J122:K122="B",'6. Class A Consumption Data'!J120:K120))</f>
        <v>0</v>
      </c>
      <c r="G64" s="748">
        <f t="array" ref="G64">SUM(IF('6. Class A Consumption Data'!L122:M122="B",'6. Class A Consumption Data'!L120:M120))</f>
        <v>0</v>
      </c>
      <c r="H64" s="748">
        <f t="array" ref="H64">SUM(IF('6. Class A Consumption Data'!N122:O122="B",'6. Class A Consumption Data'!N120:O120))</f>
        <v>0</v>
      </c>
      <c r="I64" s="743">
        <f t="shared" si="1"/>
        <v>0</v>
      </c>
      <c r="J64" s="750">
        <f t="shared" si="2"/>
        <v>0</v>
      </c>
      <c r="K64" s="740">
        <f t="shared" si="3"/>
        <v>0</v>
      </c>
    </row>
    <row r="65" spans="1:11" hidden="1" x14ac:dyDescent="0.3">
      <c r="A65" s="747" t="s">
        <v>2169</v>
      </c>
      <c r="B65" s="747"/>
      <c r="C65" s="742">
        <f t="shared" si="0"/>
        <v>0</v>
      </c>
      <c r="D65" s="748">
        <v>0</v>
      </c>
      <c r="E65" s="748">
        <v>0</v>
      </c>
      <c r="F65" s="748">
        <f t="array" ref="F65">SUM(IF('6. Class A Consumption Data'!J125:K125="B",'6. Class A Consumption Data'!J123:K123))</f>
        <v>0</v>
      </c>
      <c r="G65" s="748">
        <f t="array" ref="G65">SUM(IF('6. Class A Consumption Data'!L125:M125="B",'6. Class A Consumption Data'!L123:M123))</f>
        <v>0</v>
      </c>
      <c r="H65" s="748">
        <f t="array" ref="H65">SUM(IF('6. Class A Consumption Data'!N125:O125="B",'6. Class A Consumption Data'!N123:O123))</f>
        <v>0</v>
      </c>
      <c r="I65" s="743">
        <f t="shared" si="1"/>
        <v>0</v>
      </c>
      <c r="J65" s="750">
        <f t="shared" si="2"/>
        <v>0</v>
      </c>
      <c r="K65" s="740">
        <f t="shared" si="3"/>
        <v>0</v>
      </c>
    </row>
    <row r="66" spans="1:11" hidden="1" x14ac:dyDescent="0.3">
      <c r="A66" s="747" t="s">
        <v>2170</v>
      </c>
      <c r="B66" s="747"/>
      <c r="C66" s="742">
        <f t="shared" ref="C66:C97" si="4">SUM(D66:E66)</f>
        <v>0</v>
      </c>
      <c r="D66" s="748">
        <v>0</v>
      </c>
      <c r="E66" s="748">
        <v>0</v>
      </c>
      <c r="F66" s="748">
        <f t="array" ref="F66">SUM(IF('6. Class A Consumption Data'!J128:K128="B",'6. Class A Consumption Data'!J126:K126))</f>
        <v>0</v>
      </c>
      <c r="G66" s="748">
        <f t="array" ref="G66">SUM(IF('6. Class A Consumption Data'!L128:M128="B",'6. Class A Consumption Data'!L126:M126))</f>
        <v>0</v>
      </c>
      <c r="H66" s="748">
        <f t="array" ref="H66">SUM(IF('6. Class A Consumption Data'!N128:O128="B",'6. Class A Consumption Data'!N126:O126))</f>
        <v>0</v>
      </c>
      <c r="I66" s="743">
        <f t="shared" si="1"/>
        <v>0</v>
      </c>
      <c r="J66" s="750">
        <f t="shared" si="2"/>
        <v>0</v>
      </c>
      <c r="K66" s="740">
        <f t="shared" si="3"/>
        <v>0</v>
      </c>
    </row>
    <row r="67" spans="1:11" hidden="1" x14ac:dyDescent="0.3">
      <c r="A67" s="747" t="s">
        <v>2171</v>
      </c>
      <c r="B67" s="747"/>
      <c r="C67" s="742">
        <f t="shared" si="4"/>
        <v>0</v>
      </c>
      <c r="D67" s="748">
        <v>0</v>
      </c>
      <c r="E67" s="748">
        <v>0</v>
      </c>
      <c r="F67" s="748">
        <f t="array" ref="F67">SUM(IF('6. Class A Consumption Data'!J131:K131="B",'6. Class A Consumption Data'!J129:K129))</f>
        <v>0</v>
      </c>
      <c r="G67" s="748">
        <f t="array" ref="G67">SUM(IF('6. Class A Consumption Data'!L131:M131="B",'6. Class A Consumption Data'!L129:M129))</f>
        <v>0</v>
      </c>
      <c r="H67" s="748">
        <f t="array" ref="H67">SUM(IF('6. Class A Consumption Data'!N131:O131="B",'6. Class A Consumption Data'!N129:O129))</f>
        <v>0</v>
      </c>
      <c r="I67" s="743">
        <f t="shared" si="1"/>
        <v>0</v>
      </c>
      <c r="J67" s="750">
        <f t="shared" si="2"/>
        <v>0</v>
      </c>
      <c r="K67" s="740">
        <f t="shared" si="3"/>
        <v>0</v>
      </c>
    </row>
    <row r="68" spans="1:11" hidden="1" x14ac:dyDescent="0.3">
      <c r="A68" s="747" t="s">
        <v>2172</v>
      </c>
      <c r="B68" s="747"/>
      <c r="C68" s="742">
        <f t="shared" si="4"/>
        <v>0</v>
      </c>
      <c r="D68" s="748">
        <v>0</v>
      </c>
      <c r="E68" s="748">
        <v>0</v>
      </c>
      <c r="F68" s="748">
        <f t="array" ref="F68">SUM(IF('6. Class A Consumption Data'!J134:K134="B",'6. Class A Consumption Data'!J132:K132))</f>
        <v>0</v>
      </c>
      <c r="G68" s="748">
        <f t="array" ref="G68">SUM(IF('6. Class A Consumption Data'!L134:M134="B",'6. Class A Consumption Data'!L132:M132))</f>
        <v>0</v>
      </c>
      <c r="H68" s="748">
        <f t="array" ref="H68">SUM(IF('6. Class A Consumption Data'!N134:O134="B",'6. Class A Consumption Data'!N132:O132))</f>
        <v>0</v>
      </c>
      <c r="I68" s="743">
        <f t="shared" si="1"/>
        <v>0</v>
      </c>
      <c r="J68" s="750">
        <f t="shared" si="2"/>
        <v>0</v>
      </c>
      <c r="K68" s="740">
        <f t="shared" si="3"/>
        <v>0</v>
      </c>
    </row>
    <row r="69" spans="1:11" hidden="1" x14ac:dyDescent="0.3">
      <c r="A69" s="747" t="s">
        <v>2173</v>
      </c>
      <c r="B69" s="747"/>
      <c r="C69" s="742">
        <f t="shared" si="4"/>
        <v>0</v>
      </c>
      <c r="D69" s="748">
        <v>0</v>
      </c>
      <c r="E69" s="748">
        <v>0</v>
      </c>
      <c r="F69" s="748">
        <f t="array" ref="F69">SUM(IF('6. Class A Consumption Data'!J137:K137="B",'6. Class A Consumption Data'!J135:K135))</f>
        <v>0</v>
      </c>
      <c r="G69" s="748">
        <f t="array" ref="G69">SUM(IF('6. Class A Consumption Data'!L137:M137="B",'6. Class A Consumption Data'!L135:M135))</f>
        <v>0</v>
      </c>
      <c r="H69" s="748">
        <f t="array" ref="H69">SUM(IF('6. Class A Consumption Data'!N137:O137="B",'6. Class A Consumption Data'!N135:O135))</f>
        <v>0</v>
      </c>
      <c r="I69" s="743">
        <f t="shared" si="1"/>
        <v>0</v>
      </c>
      <c r="J69" s="750">
        <f t="shared" si="2"/>
        <v>0</v>
      </c>
      <c r="K69" s="740">
        <f t="shared" si="3"/>
        <v>0</v>
      </c>
    </row>
    <row r="70" spans="1:11" hidden="1" x14ac:dyDescent="0.3">
      <c r="A70" s="747" t="s">
        <v>2174</v>
      </c>
      <c r="B70" s="747"/>
      <c r="C70" s="742">
        <f t="shared" si="4"/>
        <v>0</v>
      </c>
      <c r="D70" s="748">
        <v>0</v>
      </c>
      <c r="E70" s="748">
        <v>0</v>
      </c>
      <c r="F70" s="748">
        <f t="array" ref="F70">SUM(IF('6. Class A Consumption Data'!J140:K140="B",'6. Class A Consumption Data'!J138:K138))</f>
        <v>0</v>
      </c>
      <c r="G70" s="748">
        <f t="array" ref="G70">SUM(IF('6. Class A Consumption Data'!L140:M140="B",'6. Class A Consumption Data'!L138:M138))</f>
        <v>0</v>
      </c>
      <c r="H70" s="748">
        <f t="array" ref="H70">SUM(IF('6. Class A Consumption Data'!N140:O140="B",'6. Class A Consumption Data'!N138:O138))</f>
        <v>0</v>
      </c>
      <c r="I70" s="743">
        <f t="shared" si="1"/>
        <v>0</v>
      </c>
      <c r="J70" s="750">
        <f t="shared" si="2"/>
        <v>0</v>
      </c>
      <c r="K70" s="740">
        <f t="shared" si="3"/>
        <v>0</v>
      </c>
    </row>
    <row r="71" spans="1:11" hidden="1" x14ac:dyDescent="0.3">
      <c r="A71" s="747" t="s">
        <v>2175</v>
      </c>
      <c r="B71" s="747"/>
      <c r="C71" s="742">
        <f t="shared" si="4"/>
        <v>0</v>
      </c>
      <c r="D71" s="748">
        <v>0</v>
      </c>
      <c r="E71" s="748">
        <v>0</v>
      </c>
      <c r="F71" s="748">
        <f t="array" ref="F71">SUM(IF('6. Class A Consumption Data'!J143:K143="B",'6. Class A Consumption Data'!J141:K141))</f>
        <v>0</v>
      </c>
      <c r="G71" s="748">
        <f t="array" ref="G71">SUM(IF('6. Class A Consumption Data'!L143:M143="B",'6. Class A Consumption Data'!L141:M141))</f>
        <v>0</v>
      </c>
      <c r="H71" s="748">
        <f t="array" ref="H71">SUM(IF('6. Class A Consumption Data'!N143:O143="B",'6. Class A Consumption Data'!N141:O141))</f>
        <v>0</v>
      </c>
      <c r="I71" s="743">
        <f t="shared" si="1"/>
        <v>0</v>
      </c>
      <c r="J71" s="750">
        <f t="shared" si="2"/>
        <v>0</v>
      </c>
      <c r="K71" s="740">
        <f t="shared" si="3"/>
        <v>0</v>
      </c>
    </row>
    <row r="72" spans="1:11" hidden="1" x14ac:dyDescent="0.3">
      <c r="A72" s="747" t="s">
        <v>2176</v>
      </c>
      <c r="B72" s="747"/>
      <c r="C72" s="742">
        <f t="shared" si="4"/>
        <v>0</v>
      </c>
      <c r="D72" s="748">
        <v>0</v>
      </c>
      <c r="E72" s="748">
        <v>0</v>
      </c>
      <c r="F72" s="748">
        <f t="array" ref="F72">SUM(IF('6. Class A Consumption Data'!J146:K146="B",'6. Class A Consumption Data'!J144:K144))</f>
        <v>0</v>
      </c>
      <c r="G72" s="748">
        <f t="array" ref="G72">SUM(IF('6. Class A Consumption Data'!L146:M146="B",'6. Class A Consumption Data'!L144:M144))</f>
        <v>0</v>
      </c>
      <c r="H72" s="748">
        <f t="array" ref="H72">SUM(IF('6. Class A Consumption Data'!N146:O146="B",'6. Class A Consumption Data'!N144:O144))</f>
        <v>0</v>
      </c>
      <c r="I72" s="743">
        <f t="shared" si="1"/>
        <v>0</v>
      </c>
      <c r="J72" s="750">
        <f t="shared" si="2"/>
        <v>0</v>
      </c>
      <c r="K72" s="740">
        <f t="shared" si="3"/>
        <v>0</v>
      </c>
    </row>
    <row r="73" spans="1:11" hidden="1" x14ac:dyDescent="0.3">
      <c r="A73" s="747" t="s">
        <v>2177</v>
      </c>
      <c r="B73" s="747"/>
      <c r="C73" s="742">
        <f t="shared" si="4"/>
        <v>0</v>
      </c>
      <c r="D73" s="748">
        <v>0</v>
      </c>
      <c r="E73" s="748">
        <v>0</v>
      </c>
      <c r="F73" s="748">
        <f t="array" ref="F73">SUM(IF('6. Class A Consumption Data'!J149:K149="B",'6. Class A Consumption Data'!J147:K147))</f>
        <v>0</v>
      </c>
      <c r="G73" s="748">
        <f t="array" ref="G73">SUM(IF('6. Class A Consumption Data'!L149:M149="B",'6. Class A Consumption Data'!L147:M147))</f>
        <v>0</v>
      </c>
      <c r="H73" s="748">
        <f t="array" ref="H73">SUM(IF('6. Class A Consumption Data'!N149:O149="B",'6. Class A Consumption Data'!N147:O147))</f>
        <v>0</v>
      </c>
      <c r="I73" s="743">
        <f t="shared" si="1"/>
        <v>0</v>
      </c>
      <c r="J73" s="750">
        <f t="shared" si="2"/>
        <v>0</v>
      </c>
      <c r="K73" s="740">
        <f t="shared" si="3"/>
        <v>0</v>
      </c>
    </row>
    <row r="74" spans="1:11" hidden="1" x14ac:dyDescent="0.3">
      <c r="A74" s="747" t="s">
        <v>2178</v>
      </c>
      <c r="B74" s="747"/>
      <c r="C74" s="742">
        <f t="shared" si="4"/>
        <v>0</v>
      </c>
      <c r="D74" s="748">
        <v>0</v>
      </c>
      <c r="E74" s="748">
        <v>0</v>
      </c>
      <c r="F74" s="748">
        <f t="array" ref="F74">SUM(IF('6. Class A Consumption Data'!J152:K152="B",'6. Class A Consumption Data'!J150:K150))</f>
        <v>0</v>
      </c>
      <c r="G74" s="748">
        <f t="array" ref="G74">SUM(IF('6. Class A Consumption Data'!L152:M152="B",'6. Class A Consumption Data'!L150:M150))</f>
        <v>0</v>
      </c>
      <c r="H74" s="748">
        <f t="array" ref="H74">SUM(IF('6. Class A Consumption Data'!N152:O152="B",'6. Class A Consumption Data'!N150:O150))</f>
        <v>0</v>
      </c>
      <c r="I74" s="743">
        <f t="shared" si="1"/>
        <v>0</v>
      </c>
      <c r="J74" s="750">
        <f t="shared" si="2"/>
        <v>0</v>
      </c>
      <c r="K74" s="740">
        <f t="shared" si="3"/>
        <v>0</v>
      </c>
    </row>
    <row r="75" spans="1:11" hidden="1" x14ac:dyDescent="0.3">
      <c r="A75" s="747" t="s">
        <v>2179</v>
      </c>
      <c r="B75" s="747"/>
      <c r="C75" s="742">
        <f t="shared" si="4"/>
        <v>0</v>
      </c>
      <c r="D75" s="748">
        <v>0</v>
      </c>
      <c r="E75" s="748">
        <v>0</v>
      </c>
      <c r="F75" s="748">
        <f t="array" ref="F75">SUM(IF('6. Class A Consumption Data'!J155:K155="B",'6. Class A Consumption Data'!J153:K153))</f>
        <v>0</v>
      </c>
      <c r="G75" s="748">
        <f t="array" ref="G75">SUM(IF('6. Class A Consumption Data'!L155:M155="B",'6. Class A Consumption Data'!L153:M153))</f>
        <v>0</v>
      </c>
      <c r="H75" s="748">
        <f t="array" ref="H75">SUM(IF('6. Class A Consumption Data'!N155:O155="B",'6. Class A Consumption Data'!N153:O153))</f>
        <v>0</v>
      </c>
      <c r="I75" s="743">
        <f t="shared" si="1"/>
        <v>0</v>
      </c>
      <c r="J75" s="750">
        <f t="shared" si="2"/>
        <v>0</v>
      </c>
      <c r="K75" s="740">
        <f t="shared" si="3"/>
        <v>0</v>
      </c>
    </row>
    <row r="76" spans="1:11" hidden="1" x14ac:dyDescent="0.3">
      <c r="A76" s="747" t="s">
        <v>2180</v>
      </c>
      <c r="B76" s="747"/>
      <c r="C76" s="742">
        <f t="shared" si="4"/>
        <v>0</v>
      </c>
      <c r="D76" s="748">
        <v>0</v>
      </c>
      <c r="E76" s="748">
        <v>0</v>
      </c>
      <c r="F76" s="748">
        <f t="array" ref="F76">SUM(IF('6. Class A Consumption Data'!J158:K158="B",'6. Class A Consumption Data'!J156:K156))</f>
        <v>0</v>
      </c>
      <c r="G76" s="748">
        <f t="array" ref="G76">SUM(IF('6. Class A Consumption Data'!L158:M158="B",'6. Class A Consumption Data'!L156:M156))</f>
        <v>0</v>
      </c>
      <c r="H76" s="748">
        <f t="array" ref="H76">SUM(IF('6. Class A Consumption Data'!N158:O158="B",'6. Class A Consumption Data'!N156:O156))</f>
        <v>0</v>
      </c>
      <c r="I76" s="743">
        <f t="shared" si="1"/>
        <v>0</v>
      </c>
      <c r="J76" s="750">
        <f t="shared" si="2"/>
        <v>0</v>
      </c>
      <c r="K76" s="740">
        <f t="shared" si="3"/>
        <v>0</v>
      </c>
    </row>
    <row r="77" spans="1:11" hidden="1" x14ac:dyDescent="0.3">
      <c r="A77" s="747" t="s">
        <v>2181</v>
      </c>
      <c r="B77" s="747"/>
      <c r="C77" s="742">
        <f t="shared" si="4"/>
        <v>0</v>
      </c>
      <c r="D77" s="748">
        <v>0</v>
      </c>
      <c r="E77" s="748">
        <v>0</v>
      </c>
      <c r="F77" s="748">
        <f t="array" ref="F77">SUM(IF('6. Class A Consumption Data'!J161:K161="B",'6. Class A Consumption Data'!J159:K159))</f>
        <v>0</v>
      </c>
      <c r="G77" s="748">
        <f t="array" ref="G77">SUM(IF('6. Class A Consumption Data'!L161:M161="B",'6. Class A Consumption Data'!L159:M159))</f>
        <v>0</v>
      </c>
      <c r="H77" s="748">
        <f t="array" ref="H77">SUM(IF('6. Class A Consumption Data'!N161:O161="B",'6. Class A Consumption Data'!N159:O159))</f>
        <v>0</v>
      </c>
      <c r="I77" s="743">
        <f t="shared" si="1"/>
        <v>0</v>
      </c>
      <c r="J77" s="750">
        <f t="shared" si="2"/>
        <v>0</v>
      </c>
      <c r="K77" s="740">
        <f t="shared" si="3"/>
        <v>0</v>
      </c>
    </row>
    <row r="78" spans="1:11" hidden="1" x14ac:dyDescent="0.3">
      <c r="A78" s="747" t="s">
        <v>2182</v>
      </c>
      <c r="B78" s="747"/>
      <c r="C78" s="742">
        <f t="shared" si="4"/>
        <v>0</v>
      </c>
      <c r="D78" s="748">
        <v>0</v>
      </c>
      <c r="E78" s="748">
        <v>0</v>
      </c>
      <c r="F78" s="748">
        <f t="array" ref="F78">SUM(IF('6. Class A Consumption Data'!J164:K164="B",'6. Class A Consumption Data'!J162:K162))</f>
        <v>0</v>
      </c>
      <c r="G78" s="748">
        <f t="array" ref="G78">SUM(IF('6. Class A Consumption Data'!L164:M164="B",'6. Class A Consumption Data'!L162:M162))</f>
        <v>0</v>
      </c>
      <c r="H78" s="748">
        <f t="array" ref="H78">SUM(IF('6. Class A Consumption Data'!N164:O164="B",'6. Class A Consumption Data'!N162:O162))</f>
        <v>0</v>
      </c>
      <c r="I78" s="743">
        <f t="shared" si="1"/>
        <v>0</v>
      </c>
      <c r="J78" s="750">
        <f t="shared" si="2"/>
        <v>0</v>
      </c>
      <c r="K78" s="740">
        <f t="shared" si="3"/>
        <v>0</v>
      </c>
    </row>
    <row r="79" spans="1:11" hidden="1" x14ac:dyDescent="0.3">
      <c r="A79" s="747" t="s">
        <v>2183</v>
      </c>
      <c r="B79" s="747"/>
      <c r="C79" s="742">
        <f t="shared" si="4"/>
        <v>0</v>
      </c>
      <c r="D79" s="748">
        <v>0</v>
      </c>
      <c r="E79" s="748">
        <v>0</v>
      </c>
      <c r="F79" s="748">
        <f t="array" ref="F79">SUM(IF('6. Class A Consumption Data'!J167:K167="B",'6. Class A Consumption Data'!J165:K165))</f>
        <v>0</v>
      </c>
      <c r="G79" s="748">
        <f t="array" ref="G79">SUM(IF('6. Class A Consumption Data'!L167:M167="B",'6. Class A Consumption Data'!L165:M165))</f>
        <v>0</v>
      </c>
      <c r="H79" s="748">
        <f t="array" ref="H79">SUM(IF('6. Class A Consumption Data'!N167:O167="B",'6. Class A Consumption Data'!N165:O165))</f>
        <v>0</v>
      </c>
      <c r="I79" s="743">
        <f t="shared" si="1"/>
        <v>0</v>
      </c>
      <c r="J79" s="750">
        <f t="shared" si="2"/>
        <v>0</v>
      </c>
      <c r="K79" s="740">
        <f t="shared" si="3"/>
        <v>0</v>
      </c>
    </row>
    <row r="80" spans="1:11" hidden="1" x14ac:dyDescent="0.3">
      <c r="A80" s="747" t="s">
        <v>2184</v>
      </c>
      <c r="B80" s="747"/>
      <c r="C80" s="742">
        <f t="shared" si="4"/>
        <v>0</v>
      </c>
      <c r="D80" s="748">
        <v>0</v>
      </c>
      <c r="E80" s="748">
        <v>0</v>
      </c>
      <c r="F80" s="748">
        <f t="array" ref="F80">SUM(IF('6. Class A Consumption Data'!J170:K170="B",'6. Class A Consumption Data'!J168:K168))</f>
        <v>0</v>
      </c>
      <c r="G80" s="748">
        <f t="array" ref="G80">SUM(IF('6. Class A Consumption Data'!L170:M170="B",'6. Class A Consumption Data'!L168:M168))</f>
        <v>0</v>
      </c>
      <c r="H80" s="748">
        <f t="array" ref="H80">SUM(IF('6. Class A Consumption Data'!N170:O170="B",'6. Class A Consumption Data'!N168:O168))</f>
        <v>0</v>
      </c>
      <c r="I80" s="743">
        <f t="shared" si="1"/>
        <v>0</v>
      </c>
      <c r="J80" s="750">
        <f t="shared" si="2"/>
        <v>0</v>
      </c>
      <c r="K80" s="740">
        <f t="shared" si="3"/>
        <v>0</v>
      </c>
    </row>
    <row r="81" spans="1:11" hidden="1" x14ac:dyDescent="0.3">
      <c r="A81" s="747" t="s">
        <v>2185</v>
      </c>
      <c r="B81" s="747"/>
      <c r="C81" s="742">
        <f t="shared" si="4"/>
        <v>0</v>
      </c>
      <c r="D81" s="748">
        <v>0</v>
      </c>
      <c r="E81" s="748">
        <v>0</v>
      </c>
      <c r="F81" s="748">
        <f t="array" ref="F81">SUM(IF('6. Class A Consumption Data'!J173:K173="B",'6. Class A Consumption Data'!J171:K171))</f>
        <v>0</v>
      </c>
      <c r="G81" s="748">
        <f t="array" ref="G81">SUM(IF('6. Class A Consumption Data'!L173:M173="B",'6. Class A Consumption Data'!L171:M171))</f>
        <v>0</v>
      </c>
      <c r="H81" s="748">
        <f t="array" ref="H81">SUM(IF('6. Class A Consumption Data'!N173:O173="B",'6. Class A Consumption Data'!N171:O171))</f>
        <v>0</v>
      </c>
      <c r="I81" s="743">
        <f t="shared" si="1"/>
        <v>0</v>
      </c>
      <c r="J81" s="750">
        <f t="shared" si="2"/>
        <v>0</v>
      </c>
      <c r="K81" s="740">
        <f t="shared" si="3"/>
        <v>0</v>
      </c>
    </row>
    <row r="82" spans="1:11" hidden="1" x14ac:dyDescent="0.3">
      <c r="A82" s="747" t="s">
        <v>2186</v>
      </c>
      <c r="B82" s="747"/>
      <c r="C82" s="742">
        <f t="shared" si="4"/>
        <v>0</v>
      </c>
      <c r="D82" s="748">
        <v>0</v>
      </c>
      <c r="E82" s="748">
        <v>0</v>
      </c>
      <c r="F82" s="748">
        <f t="array" ref="F82">SUM(IF('6. Class A Consumption Data'!J176:K176="B",'6. Class A Consumption Data'!J174:K174))</f>
        <v>0</v>
      </c>
      <c r="G82" s="748">
        <f t="array" ref="G82">SUM(IF('6. Class A Consumption Data'!L176:M176="B",'6. Class A Consumption Data'!L174:M174))</f>
        <v>0</v>
      </c>
      <c r="H82" s="748">
        <f t="array" ref="H82">SUM(IF('6. Class A Consumption Data'!N176:O176="B",'6. Class A Consumption Data'!N174:O174))</f>
        <v>0</v>
      </c>
      <c r="I82" s="743">
        <f t="shared" si="1"/>
        <v>0</v>
      </c>
      <c r="J82" s="750">
        <f t="shared" si="2"/>
        <v>0</v>
      </c>
      <c r="K82" s="740">
        <f t="shared" si="3"/>
        <v>0</v>
      </c>
    </row>
    <row r="83" spans="1:11" hidden="1" x14ac:dyDescent="0.3">
      <c r="A83" s="747" t="s">
        <v>2187</v>
      </c>
      <c r="B83" s="747"/>
      <c r="C83" s="742">
        <f t="shared" si="4"/>
        <v>0</v>
      </c>
      <c r="D83" s="748">
        <v>0</v>
      </c>
      <c r="E83" s="748">
        <v>0</v>
      </c>
      <c r="F83" s="748">
        <f t="array" ref="F83">SUM(IF('6. Class A Consumption Data'!J179:K179="B",'6. Class A Consumption Data'!J177:K177))</f>
        <v>0</v>
      </c>
      <c r="G83" s="748">
        <f t="array" ref="G83">SUM(IF('6. Class A Consumption Data'!L179:M179="B",'6. Class A Consumption Data'!L177:M177))</f>
        <v>0</v>
      </c>
      <c r="H83" s="748">
        <f t="array" ref="H83">SUM(IF('6. Class A Consumption Data'!N179:O179="B",'6. Class A Consumption Data'!N177:O177))</f>
        <v>0</v>
      </c>
      <c r="I83" s="743">
        <f t="shared" si="1"/>
        <v>0</v>
      </c>
      <c r="J83" s="750">
        <f t="shared" si="2"/>
        <v>0</v>
      </c>
      <c r="K83" s="740">
        <f t="shared" si="3"/>
        <v>0</v>
      </c>
    </row>
    <row r="84" spans="1:11" hidden="1" x14ac:dyDescent="0.3">
      <c r="A84" s="747" t="s">
        <v>2188</v>
      </c>
      <c r="B84" s="747"/>
      <c r="C84" s="742">
        <f t="shared" si="4"/>
        <v>0</v>
      </c>
      <c r="D84" s="748">
        <v>0</v>
      </c>
      <c r="E84" s="748">
        <v>0</v>
      </c>
      <c r="F84" s="748">
        <f t="array" ref="F84">SUM(IF('6. Class A Consumption Data'!J182:K182="B",'6. Class A Consumption Data'!J180:K180))</f>
        <v>0</v>
      </c>
      <c r="G84" s="748">
        <f t="array" ref="G84">SUM(IF('6. Class A Consumption Data'!L182:M182="B",'6. Class A Consumption Data'!L180:M180))</f>
        <v>0</v>
      </c>
      <c r="H84" s="748">
        <f t="array" ref="H84">SUM(IF('6. Class A Consumption Data'!N182:O182="B",'6. Class A Consumption Data'!N180:O180))</f>
        <v>0</v>
      </c>
      <c r="I84" s="743">
        <f t="shared" si="1"/>
        <v>0</v>
      </c>
      <c r="J84" s="750">
        <f t="shared" si="2"/>
        <v>0</v>
      </c>
      <c r="K84" s="740">
        <f t="shared" si="3"/>
        <v>0</v>
      </c>
    </row>
    <row r="85" spans="1:11" hidden="1" x14ac:dyDescent="0.3">
      <c r="A85" s="747" t="s">
        <v>2189</v>
      </c>
      <c r="B85" s="747"/>
      <c r="C85" s="742">
        <f t="shared" si="4"/>
        <v>0</v>
      </c>
      <c r="D85" s="748">
        <v>0</v>
      </c>
      <c r="E85" s="748">
        <v>0</v>
      </c>
      <c r="F85" s="748">
        <f t="array" ref="F85">SUM(IF('6. Class A Consumption Data'!J185:K185="B",'6. Class A Consumption Data'!J183:K183))</f>
        <v>0</v>
      </c>
      <c r="G85" s="748">
        <f t="array" ref="G85">SUM(IF('6. Class A Consumption Data'!L185:M185="B",'6. Class A Consumption Data'!L183:M183))</f>
        <v>0</v>
      </c>
      <c r="H85" s="748">
        <f t="array" ref="H85">SUM(IF('6. Class A Consumption Data'!N185:O185="B",'6. Class A Consumption Data'!N183:O183))</f>
        <v>0</v>
      </c>
      <c r="I85" s="743">
        <f t="shared" si="1"/>
        <v>0</v>
      </c>
      <c r="J85" s="750">
        <f t="shared" si="2"/>
        <v>0</v>
      </c>
      <c r="K85" s="740">
        <f t="shared" si="3"/>
        <v>0</v>
      </c>
    </row>
    <row r="86" spans="1:11" hidden="1" x14ac:dyDescent="0.3">
      <c r="A86" s="747" t="s">
        <v>2190</v>
      </c>
      <c r="B86" s="747"/>
      <c r="C86" s="742">
        <f t="shared" si="4"/>
        <v>0</v>
      </c>
      <c r="D86" s="748">
        <v>0</v>
      </c>
      <c r="E86" s="748">
        <v>0</v>
      </c>
      <c r="F86" s="748">
        <f t="array" ref="F86">SUM(IF('6. Class A Consumption Data'!J188:K188="B",'6. Class A Consumption Data'!J186:K186))</f>
        <v>0</v>
      </c>
      <c r="G86" s="748">
        <f t="array" ref="G86">SUM(IF('6. Class A Consumption Data'!L188:M188="B",'6. Class A Consumption Data'!L186:M186))</f>
        <v>0</v>
      </c>
      <c r="H86" s="748">
        <f t="array" ref="H86">SUM(IF('6. Class A Consumption Data'!N188:O188="B",'6. Class A Consumption Data'!N186:O186))</f>
        <v>0</v>
      </c>
      <c r="I86" s="743">
        <f t="shared" si="1"/>
        <v>0</v>
      </c>
      <c r="J86" s="750">
        <f t="shared" si="2"/>
        <v>0</v>
      </c>
      <c r="K86" s="740">
        <f t="shared" si="3"/>
        <v>0</v>
      </c>
    </row>
    <row r="87" spans="1:11" hidden="1" x14ac:dyDescent="0.3">
      <c r="A87" s="747" t="s">
        <v>2191</v>
      </c>
      <c r="B87" s="747"/>
      <c r="C87" s="742">
        <f t="shared" si="4"/>
        <v>0</v>
      </c>
      <c r="D87" s="748">
        <v>0</v>
      </c>
      <c r="E87" s="748">
        <v>0</v>
      </c>
      <c r="F87" s="748">
        <f t="array" ref="F87">SUM(IF('6. Class A Consumption Data'!J191:K191="B",'6. Class A Consumption Data'!J189:K189))</f>
        <v>0</v>
      </c>
      <c r="G87" s="748">
        <f t="array" ref="G87">SUM(IF('6. Class A Consumption Data'!L191:M191="B",'6. Class A Consumption Data'!L189:M189))</f>
        <v>0</v>
      </c>
      <c r="H87" s="748">
        <f t="array" ref="H87">SUM(IF('6. Class A Consumption Data'!N191:O191="B",'6. Class A Consumption Data'!N189:O189))</f>
        <v>0</v>
      </c>
      <c r="I87" s="743">
        <f t="shared" si="1"/>
        <v>0</v>
      </c>
      <c r="J87" s="750">
        <f t="shared" si="2"/>
        <v>0</v>
      </c>
      <c r="K87" s="740">
        <f t="shared" si="3"/>
        <v>0</v>
      </c>
    </row>
    <row r="88" spans="1:11" hidden="1" x14ac:dyDescent="0.3">
      <c r="A88" s="747" t="s">
        <v>2192</v>
      </c>
      <c r="B88" s="747"/>
      <c r="C88" s="742">
        <f t="shared" si="4"/>
        <v>0</v>
      </c>
      <c r="D88" s="748">
        <v>0</v>
      </c>
      <c r="E88" s="748">
        <v>0</v>
      </c>
      <c r="F88" s="748">
        <f t="array" ref="F88">SUM(IF('6. Class A Consumption Data'!J194:K194="B",'6. Class A Consumption Data'!J192:K192))</f>
        <v>0</v>
      </c>
      <c r="G88" s="748">
        <f t="array" ref="G88">SUM(IF('6. Class A Consumption Data'!L194:M194="B",'6. Class A Consumption Data'!L192:M192))</f>
        <v>0</v>
      </c>
      <c r="H88" s="748">
        <f t="array" ref="H88">SUM(IF('6. Class A Consumption Data'!N194:O194="B",'6. Class A Consumption Data'!N192:O192))</f>
        <v>0</v>
      </c>
      <c r="I88" s="743">
        <f t="shared" si="1"/>
        <v>0</v>
      </c>
      <c r="J88" s="750">
        <f t="shared" si="2"/>
        <v>0</v>
      </c>
      <c r="K88" s="740">
        <f t="shared" si="3"/>
        <v>0</v>
      </c>
    </row>
    <row r="89" spans="1:11" hidden="1" x14ac:dyDescent="0.3">
      <c r="A89" s="747" t="s">
        <v>2193</v>
      </c>
      <c r="B89" s="747"/>
      <c r="C89" s="742">
        <f t="shared" si="4"/>
        <v>0</v>
      </c>
      <c r="D89" s="748">
        <v>0</v>
      </c>
      <c r="E89" s="748">
        <v>0</v>
      </c>
      <c r="F89" s="748">
        <f t="array" ref="F89">SUM(IF('6. Class A Consumption Data'!J197:K197="B",'6. Class A Consumption Data'!J195:K195))</f>
        <v>0</v>
      </c>
      <c r="G89" s="748">
        <f t="array" ref="G89">SUM(IF('6. Class A Consumption Data'!L197:M197="B",'6. Class A Consumption Data'!L195:M195))</f>
        <v>0</v>
      </c>
      <c r="H89" s="748">
        <f t="array" ref="H89">SUM(IF('6. Class A Consumption Data'!N197:O197="B",'6. Class A Consumption Data'!N195:O195))</f>
        <v>0</v>
      </c>
      <c r="I89" s="743">
        <f t="shared" si="1"/>
        <v>0</v>
      </c>
      <c r="J89" s="750">
        <f t="shared" si="2"/>
        <v>0</v>
      </c>
      <c r="K89" s="740">
        <f t="shared" si="3"/>
        <v>0</v>
      </c>
    </row>
    <row r="90" spans="1:11" hidden="1" x14ac:dyDescent="0.3">
      <c r="A90" s="747" t="s">
        <v>2194</v>
      </c>
      <c r="B90" s="747"/>
      <c r="C90" s="742">
        <f t="shared" si="4"/>
        <v>0</v>
      </c>
      <c r="D90" s="748">
        <v>0</v>
      </c>
      <c r="E90" s="748">
        <v>0</v>
      </c>
      <c r="F90" s="748">
        <f t="array" ref="F90">SUM(IF('6. Class A Consumption Data'!J200:K200="B",'6. Class A Consumption Data'!J198:K198))</f>
        <v>0</v>
      </c>
      <c r="G90" s="748">
        <f t="array" ref="G90">SUM(IF('6. Class A Consumption Data'!L200:M200="B",'6. Class A Consumption Data'!L198:M198))</f>
        <v>0</v>
      </c>
      <c r="H90" s="748">
        <f t="array" ref="H90">SUM(IF('6. Class A Consumption Data'!N200:O200="B",'6. Class A Consumption Data'!N198:O198))</f>
        <v>0</v>
      </c>
      <c r="I90" s="743">
        <f t="shared" si="1"/>
        <v>0</v>
      </c>
      <c r="J90" s="750">
        <f t="shared" si="2"/>
        <v>0</v>
      </c>
      <c r="K90" s="740">
        <f t="shared" si="3"/>
        <v>0</v>
      </c>
    </row>
    <row r="91" spans="1:11" hidden="1" x14ac:dyDescent="0.3">
      <c r="A91" s="747" t="s">
        <v>2195</v>
      </c>
      <c r="B91" s="747"/>
      <c r="C91" s="742">
        <f t="shared" si="4"/>
        <v>0</v>
      </c>
      <c r="D91" s="748">
        <v>0</v>
      </c>
      <c r="E91" s="748">
        <v>0</v>
      </c>
      <c r="F91" s="748">
        <f t="array" ref="F91">SUM(IF('6. Class A Consumption Data'!J203:K203="B",'6. Class A Consumption Data'!J201:K201))</f>
        <v>0</v>
      </c>
      <c r="G91" s="748">
        <f t="array" ref="G91">SUM(IF('6. Class A Consumption Data'!L203:M203="B",'6. Class A Consumption Data'!L201:M201))</f>
        <v>0</v>
      </c>
      <c r="H91" s="748">
        <f t="array" ref="H91">SUM(IF('6. Class A Consumption Data'!N203:O203="B",'6. Class A Consumption Data'!N201:O201))</f>
        <v>0</v>
      </c>
      <c r="I91" s="743">
        <f t="shared" si="1"/>
        <v>0</v>
      </c>
      <c r="J91" s="750">
        <f t="shared" si="2"/>
        <v>0</v>
      </c>
      <c r="K91" s="740">
        <f t="shared" si="3"/>
        <v>0</v>
      </c>
    </row>
    <row r="92" spans="1:11" hidden="1" x14ac:dyDescent="0.3">
      <c r="A92" s="747" t="s">
        <v>2196</v>
      </c>
      <c r="B92" s="747"/>
      <c r="C92" s="742">
        <f t="shared" si="4"/>
        <v>0</v>
      </c>
      <c r="D92" s="748">
        <v>0</v>
      </c>
      <c r="E92" s="748">
        <v>0</v>
      </c>
      <c r="F92" s="748">
        <f t="array" ref="F92">SUM(IF('6. Class A Consumption Data'!J206:K206="B",'6. Class A Consumption Data'!J204:K204))</f>
        <v>0</v>
      </c>
      <c r="G92" s="748">
        <f t="array" ref="G92">SUM(IF('6. Class A Consumption Data'!L206:M206="B",'6. Class A Consumption Data'!L204:M204))</f>
        <v>0</v>
      </c>
      <c r="H92" s="748">
        <f t="array" ref="H92">SUM(IF('6. Class A Consumption Data'!N206:O206="B",'6. Class A Consumption Data'!N204:O204))</f>
        <v>0</v>
      </c>
      <c r="I92" s="743">
        <f t="shared" si="1"/>
        <v>0</v>
      </c>
      <c r="J92" s="750">
        <f t="shared" si="2"/>
        <v>0</v>
      </c>
      <c r="K92" s="740">
        <f t="shared" si="3"/>
        <v>0</v>
      </c>
    </row>
    <row r="93" spans="1:11" hidden="1" x14ac:dyDescent="0.3">
      <c r="A93" s="747" t="s">
        <v>2197</v>
      </c>
      <c r="B93" s="747"/>
      <c r="C93" s="742">
        <f t="shared" si="4"/>
        <v>0</v>
      </c>
      <c r="D93" s="748">
        <v>0</v>
      </c>
      <c r="E93" s="748">
        <v>0</v>
      </c>
      <c r="F93" s="748">
        <f t="array" ref="F93">SUM(IF('6. Class A Consumption Data'!J209:K209="B",'6. Class A Consumption Data'!J207:K207))</f>
        <v>0</v>
      </c>
      <c r="G93" s="748">
        <f t="array" ref="G93">SUM(IF('6. Class A Consumption Data'!L209:M209="B",'6. Class A Consumption Data'!L207:M207))</f>
        <v>0</v>
      </c>
      <c r="H93" s="748">
        <f t="array" ref="H93">SUM(IF('6. Class A Consumption Data'!N209:O209="B",'6. Class A Consumption Data'!N207:O207))</f>
        <v>0</v>
      </c>
      <c r="I93" s="743">
        <f t="shared" si="1"/>
        <v>0</v>
      </c>
      <c r="J93" s="750">
        <f t="shared" si="2"/>
        <v>0</v>
      </c>
      <c r="K93" s="740">
        <f t="shared" si="3"/>
        <v>0</v>
      </c>
    </row>
    <row r="94" spans="1:11" hidden="1" x14ac:dyDescent="0.3">
      <c r="A94" s="747" t="s">
        <v>2198</v>
      </c>
      <c r="B94" s="747"/>
      <c r="C94" s="742">
        <f t="shared" si="4"/>
        <v>0</v>
      </c>
      <c r="D94" s="748">
        <v>0</v>
      </c>
      <c r="E94" s="748">
        <v>0</v>
      </c>
      <c r="F94" s="748">
        <f t="array" ref="F94">SUM(IF('6. Class A Consumption Data'!J212:K212="B",'6. Class A Consumption Data'!J210:K210))</f>
        <v>0</v>
      </c>
      <c r="G94" s="748">
        <f t="array" ref="G94">SUM(IF('6. Class A Consumption Data'!L212:M212="B",'6. Class A Consumption Data'!L210:M210))</f>
        <v>0</v>
      </c>
      <c r="H94" s="748">
        <f t="array" ref="H94">SUM(IF('6. Class A Consumption Data'!N212:O212="B",'6. Class A Consumption Data'!N210:O210))</f>
        <v>0</v>
      </c>
      <c r="I94" s="743">
        <f t="shared" si="1"/>
        <v>0</v>
      </c>
      <c r="J94" s="750">
        <f t="shared" si="2"/>
        <v>0</v>
      </c>
      <c r="K94" s="740">
        <f t="shared" si="3"/>
        <v>0</v>
      </c>
    </row>
    <row r="95" spans="1:11" hidden="1" x14ac:dyDescent="0.3">
      <c r="A95" s="747" t="s">
        <v>2199</v>
      </c>
      <c r="B95" s="747"/>
      <c r="C95" s="742">
        <f t="shared" si="4"/>
        <v>0</v>
      </c>
      <c r="D95" s="748">
        <v>0</v>
      </c>
      <c r="E95" s="748">
        <v>0</v>
      </c>
      <c r="F95" s="748">
        <f t="array" ref="F95">SUM(IF('6. Class A Consumption Data'!J215:K215="B",'6. Class A Consumption Data'!J213:K213))</f>
        <v>0</v>
      </c>
      <c r="G95" s="748">
        <f t="array" ref="G95">SUM(IF('6. Class A Consumption Data'!L215:M215="B",'6. Class A Consumption Data'!L213:M213))</f>
        <v>0</v>
      </c>
      <c r="H95" s="748">
        <f t="array" ref="H95">SUM(IF('6. Class A Consumption Data'!N215:O215="B",'6. Class A Consumption Data'!N213:O213))</f>
        <v>0</v>
      </c>
      <c r="I95" s="743">
        <f t="shared" si="1"/>
        <v>0</v>
      </c>
      <c r="J95" s="750">
        <f t="shared" si="2"/>
        <v>0</v>
      </c>
      <c r="K95" s="740">
        <f t="shared" si="3"/>
        <v>0</v>
      </c>
    </row>
    <row r="96" spans="1:11" hidden="1" x14ac:dyDescent="0.3">
      <c r="A96" s="747" t="s">
        <v>2200</v>
      </c>
      <c r="B96" s="747"/>
      <c r="C96" s="742">
        <f t="shared" si="4"/>
        <v>0</v>
      </c>
      <c r="D96" s="748">
        <v>0</v>
      </c>
      <c r="E96" s="748">
        <v>0</v>
      </c>
      <c r="F96" s="748">
        <f t="array" ref="F96">SUM(IF('6. Class A Consumption Data'!J218:K218="B",'6. Class A Consumption Data'!J216:K216))</f>
        <v>0</v>
      </c>
      <c r="G96" s="748">
        <f t="array" ref="G96">SUM(IF('6. Class A Consumption Data'!L218:M218="B",'6. Class A Consumption Data'!L216:M216))</f>
        <v>0</v>
      </c>
      <c r="H96" s="748">
        <f t="array" ref="H96">SUM(IF('6. Class A Consumption Data'!N218:O218="B",'6. Class A Consumption Data'!N216:O216))</f>
        <v>0</v>
      </c>
      <c r="I96" s="743">
        <f t="shared" si="1"/>
        <v>0</v>
      </c>
      <c r="J96" s="750">
        <f t="shared" si="2"/>
        <v>0</v>
      </c>
      <c r="K96" s="740">
        <f t="shared" si="3"/>
        <v>0</v>
      </c>
    </row>
    <row r="97" spans="1:11" hidden="1" x14ac:dyDescent="0.3">
      <c r="A97" s="747" t="s">
        <v>2201</v>
      </c>
      <c r="B97" s="747"/>
      <c r="C97" s="742">
        <f t="shared" si="4"/>
        <v>0</v>
      </c>
      <c r="D97" s="748">
        <v>0</v>
      </c>
      <c r="E97" s="748">
        <v>0</v>
      </c>
      <c r="F97" s="748">
        <f t="array" ref="F97">SUM(IF('6. Class A Consumption Data'!J221:K221="B",'6. Class A Consumption Data'!J219:K219))</f>
        <v>0</v>
      </c>
      <c r="G97" s="748">
        <f t="array" ref="G97">SUM(IF('6. Class A Consumption Data'!L221:M221="B",'6. Class A Consumption Data'!L219:M219))</f>
        <v>0</v>
      </c>
      <c r="H97" s="748">
        <f t="array" ref="H97">SUM(IF('6. Class A Consumption Data'!N221:O221="B",'6. Class A Consumption Data'!N219:O219))</f>
        <v>0</v>
      </c>
      <c r="I97" s="743">
        <f t="shared" si="1"/>
        <v>0</v>
      </c>
      <c r="J97" s="750">
        <f t="shared" si="2"/>
        <v>0</v>
      </c>
      <c r="K97" s="740">
        <f t="shared" si="3"/>
        <v>0</v>
      </c>
    </row>
    <row r="98" spans="1:11" hidden="1" x14ac:dyDescent="0.3">
      <c r="A98" s="747" t="s">
        <v>2202</v>
      </c>
      <c r="B98" s="747"/>
      <c r="C98" s="742">
        <f t="shared" ref="C98:C129" si="5">SUM(D98:E98)</f>
        <v>0</v>
      </c>
      <c r="D98" s="748">
        <v>0</v>
      </c>
      <c r="E98" s="748">
        <v>0</v>
      </c>
      <c r="F98" s="748">
        <f t="array" ref="F98">SUM(IF('6. Class A Consumption Data'!J224:K224="B",'6. Class A Consumption Data'!J222:K222))</f>
        <v>0</v>
      </c>
      <c r="G98" s="748">
        <f t="array" ref="G98">SUM(IF('6. Class A Consumption Data'!L224:M224="B",'6. Class A Consumption Data'!L222:M222))</f>
        <v>0</v>
      </c>
      <c r="H98" s="748">
        <f t="array" ref="H98">SUM(IF('6. Class A Consumption Data'!N224:O224="B",'6. Class A Consumption Data'!N222:O222))</f>
        <v>0</v>
      </c>
      <c r="I98" s="743">
        <f t="shared" si="1"/>
        <v>0</v>
      </c>
      <c r="J98" s="750">
        <f t="shared" si="2"/>
        <v>0</v>
      </c>
      <c r="K98" s="740">
        <f t="shared" si="3"/>
        <v>0</v>
      </c>
    </row>
    <row r="99" spans="1:11" hidden="1" x14ac:dyDescent="0.3">
      <c r="A99" s="747" t="s">
        <v>2203</v>
      </c>
      <c r="B99" s="747"/>
      <c r="C99" s="742">
        <f t="shared" si="5"/>
        <v>0</v>
      </c>
      <c r="D99" s="748">
        <v>0</v>
      </c>
      <c r="E99" s="748">
        <v>0</v>
      </c>
      <c r="F99" s="748">
        <f t="array" ref="F99">SUM(IF('6. Class A Consumption Data'!J227:K227="B",'6. Class A Consumption Data'!J225:K225))</f>
        <v>0</v>
      </c>
      <c r="G99" s="748">
        <f t="array" ref="G99">SUM(IF('6. Class A Consumption Data'!L227:M227="B",'6. Class A Consumption Data'!L225:M225))</f>
        <v>0</v>
      </c>
      <c r="H99" s="748">
        <f t="array" ref="H99">SUM(IF('6. Class A Consumption Data'!N227:O227="B",'6. Class A Consumption Data'!N225:O225))</f>
        <v>0</v>
      </c>
      <c r="I99" s="743">
        <f t="shared" ref="I99:I162" si="6">IFERROR(+C99/$C$184,0)</f>
        <v>0</v>
      </c>
      <c r="J99" s="750">
        <f t="shared" si="2"/>
        <v>0</v>
      </c>
      <c r="K99" s="740">
        <f t="shared" si="3"/>
        <v>0</v>
      </c>
    </row>
    <row r="100" spans="1:11" hidden="1" x14ac:dyDescent="0.3">
      <c r="A100" s="747" t="s">
        <v>2204</v>
      </c>
      <c r="B100" s="747"/>
      <c r="C100" s="742">
        <f t="shared" si="5"/>
        <v>0</v>
      </c>
      <c r="D100" s="748">
        <v>0</v>
      </c>
      <c r="E100" s="748">
        <v>0</v>
      </c>
      <c r="F100" s="748">
        <f t="array" ref="F100">SUM(IF('6. Class A Consumption Data'!J230:K230="B",'6. Class A Consumption Data'!J228:K228))</f>
        <v>0</v>
      </c>
      <c r="G100" s="748">
        <f t="array" ref="G100">SUM(IF('6. Class A Consumption Data'!L230:M230="B",'6. Class A Consumption Data'!L228:M228))</f>
        <v>0</v>
      </c>
      <c r="H100" s="748">
        <f t="array" ref="H100">SUM(IF('6. Class A Consumption Data'!N230:O230="B",'6. Class A Consumption Data'!N228:O228))</f>
        <v>0</v>
      </c>
      <c r="I100" s="743">
        <f t="shared" si="6"/>
        <v>0</v>
      </c>
      <c r="J100" s="750">
        <f t="shared" si="2"/>
        <v>0</v>
      </c>
      <c r="K100" s="740">
        <f t="shared" si="3"/>
        <v>0</v>
      </c>
    </row>
    <row r="101" spans="1:11" hidden="1" x14ac:dyDescent="0.3">
      <c r="A101" s="747" t="s">
        <v>2205</v>
      </c>
      <c r="B101" s="747"/>
      <c r="C101" s="742">
        <f t="shared" si="5"/>
        <v>0</v>
      </c>
      <c r="D101" s="748">
        <v>0</v>
      </c>
      <c r="E101" s="748">
        <v>0</v>
      </c>
      <c r="F101" s="748">
        <f t="array" ref="F101">SUM(IF('6. Class A Consumption Data'!J233:K233="B",'6. Class A Consumption Data'!J231:K231))</f>
        <v>0</v>
      </c>
      <c r="G101" s="748">
        <f t="array" ref="G101">SUM(IF('6. Class A Consumption Data'!L233:M233="B",'6. Class A Consumption Data'!L231:M231))</f>
        <v>0</v>
      </c>
      <c r="H101" s="748">
        <f t="array" ref="H101">SUM(IF('6. Class A Consumption Data'!N233:O233="B",'6. Class A Consumption Data'!N231:O231))</f>
        <v>0</v>
      </c>
      <c r="I101" s="743">
        <f t="shared" si="6"/>
        <v>0</v>
      </c>
      <c r="J101" s="750">
        <f t="shared" si="2"/>
        <v>0</v>
      </c>
      <c r="K101" s="740">
        <f t="shared" si="3"/>
        <v>0</v>
      </c>
    </row>
    <row r="102" spans="1:11" hidden="1" x14ac:dyDescent="0.3">
      <c r="A102" s="747" t="s">
        <v>2206</v>
      </c>
      <c r="B102" s="747"/>
      <c r="C102" s="742">
        <f t="shared" si="5"/>
        <v>0</v>
      </c>
      <c r="D102" s="748">
        <v>0</v>
      </c>
      <c r="E102" s="748">
        <v>0</v>
      </c>
      <c r="F102" s="748">
        <f t="array" ref="F102">SUM(IF('6. Class A Consumption Data'!J236:K236="B",'6. Class A Consumption Data'!J234:K234))</f>
        <v>0</v>
      </c>
      <c r="G102" s="748">
        <f t="array" ref="G102">SUM(IF('6. Class A Consumption Data'!L236:M236="B",'6. Class A Consumption Data'!L234:M234))</f>
        <v>0</v>
      </c>
      <c r="H102" s="748">
        <f t="array" ref="H102">SUM(IF('6. Class A Consumption Data'!N236:O236="B",'6. Class A Consumption Data'!N234:O234))</f>
        <v>0</v>
      </c>
      <c r="I102" s="743">
        <f t="shared" si="6"/>
        <v>0</v>
      </c>
      <c r="J102" s="750">
        <f t="shared" ref="J102:J165" si="7">+I102*$C$28</f>
        <v>0</v>
      </c>
      <c r="K102" s="740">
        <f t="shared" ref="K102:K165" si="8">+J102/12</f>
        <v>0</v>
      </c>
    </row>
    <row r="103" spans="1:11" hidden="1" x14ac:dyDescent="0.3">
      <c r="A103" s="747" t="s">
        <v>2207</v>
      </c>
      <c r="B103" s="747"/>
      <c r="C103" s="742">
        <f t="shared" si="5"/>
        <v>0</v>
      </c>
      <c r="D103" s="748">
        <v>0</v>
      </c>
      <c r="E103" s="748">
        <v>0</v>
      </c>
      <c r="F103" s="748">
        <f t="array" ref="F103">SUM(IF('6. Class A Consumption Data'!J239:K239="B",'6. Class A Consumption Data'!J237:K237))</f>
        <v>0</v>
      </c>
      <c r="G103" s="748">
        <f t="array" ref="G103">SUM(IF('6. Class A Consumption Data'!L239:M239="B",'6. Class A Consumption Data'!L237:M237))</f>
        <v>0</v>
      </c>
      <c r="H103" s="748">
        <f t="array" ref="H103">SUM(IF('6. Class A Consumption Data'!N239:O239="B",'6. Class A Consumption Data'!N237:O237))</f>
        <v>0</v>
      </c>
      <c r="I103" s="743">
        <f t="shared" si="6"/>
        <v>0</v>
      </c>
      <c r="J103" s="750">
        <f t="shared" si="7"/>
        <v>0</v>
      </c>
      <c r="K103" s="740">
        <f t="shared" si="8"/>
        <v>0</v>
      </c>
    </row>
    <row r="104" spans="1:11" hidden="1" x14ac:dyDescent="0.3">
      <c r="A104" s="747" t="s">
        <v>2208</v>
      </c>
      <c r="B104" s="747"/>
      <c r="C104" s="742">
        <f t="shared" si="5"/>
        <v>0</v>
      </c>
      <c r="D104" s="748">
        <v>0</v>
      </c>
      <c r="E104" s="748">
        <v>0</v>
      </c>
      <c r="F104" s="748">
        <f t="array" ref="F104">SUM(IF('6. Class A Consumption Data'!J242:K242="B",'6. Class A Consumption Data'!J240:K240))</f>
        <v>0</v>
      </c>
      <c r="G104" s="748">
        <f t="array" ref="G104">SUM(IF('6. Class A Consumption Data'!L242:M242="B",'6. Class A Consumption Data'!L240:M240))</f>
        <v>0</v>
      </c>
      <c r="H104" s="748">
        <f t="array" ref="H104">SUM(IF('6. Class A Consumption Data'!N242:O242="B",'6. Class A Consumption Data'!N240:O240))</f>
        <v>0</v>
      </c>
      <c r="I104" s="743">
        <f t="shared" si="6"/>
        <v>0</v>
      </c>
      <c r="J104" s="750">
        <f t="shared" si="7"/>
        <v>0</v>
      </c>
      <c r="K104" s="740">
        <f t="shared" si="8"/>
        <v>0</v>
      </c>
    </row>
    <row r="105" spans="1:11" hidden="1" x14ac:dyDescent="0.3">
      <c r="A105" s="747" t="s">
        <v>2209</v>
      </c>
      <c r="B105" s="747"/>
      <c r="C105" s="742">
        <f t="shared" si="5"/>
        <v>0</v>
      </c>
      <c r="D105" s="748">
        <v>0</v>
      </c>
      <c r="E105" s="748">
        <v>0</v>
      </c>
      <c r="F105" s="748">
        <f t="array" ref="F105">SUM(IF('6. Class A Consumption Data'!J245:K245="B",'6. Class A Consumption Data'!J243:K243))</f>
        <v>0</v>
      </c>
      <c r="G105" s="748">
        <f t="array" ref="G105">SUM(IF('6. Class A Consumption Data'!L245:M245="B",'6. Class A Consumption Data'!L243:M243))</f>
        <v>0</v>
      </c>
      <c r="H105" s="748">
        <f t="array" ref="H105">SUM(IF('6. Class A Consumption Data'!N245:O245="B",'6. Class A Consumption Data'!N243:O243))</f>
        <v>0</v>
      </c>
      <c r="I105" s="743">
        <f t="shared" si="6"/>
        <v>0</v>
      </c>
      <c r="J105" s="750">
        <f t="shared" si="7"/>
        <v>0</v>
      </c>
      <c r="K105" s="740">
        <f t="shared" si="8"/>
        <v>0</v>
      </c>
    </row>
    <row r="106" spans="1:11" hidden="1" x14ac:dyDescent="0.3">
      <c r="A106" s="747" t="s">
        <v>2210</v>
      </c>
      <c r="B106" s="747"/>
      <c r="C106" s="742">
        <f t="shared" si="5"/>
        <v>0</v>
      </c>
      <c r="D106" s="748">
        <v>0</v>
      </c>
      <c r="E106" s="748">
        <v>0</v>
      </c>
      <c r="F106" s="748">
        <f t="array" ref="F106">SUM(IF('6. Class A Consumption Data'!J248:K248="B",'6. Class A Consumption Data'!J246:K246))</f>
        <v>0</v>
      </c>
      <c r="G106" s="748">
        <f t="array" ref="G106">SUM(IF('6. Class A Consumption Data'!L248:M248="B",'6. Class A Consumption Data'!L246:M246))</f>
        <v>0</v>
      </c>
      <c r="H106" s="748">
        <f t="array" ref="H106">SUM(IF('6. Class A Consumption Data'!N248:O248="B",'6. Class A Consumption Data'!N246:O246))</f>
        <v>0</v>
      </c>
      <c r="I106" s="743">
        <f t="shared" si="6"/>
        <v>0</v>
      </c>
      <c r="J106" s="750">
        <f t="shared" si="7"/>
        <v>0</v>
      </c>
      <c r="K106" s="740">
        <f t="shared" si="8"/>
        <v>0</v>
      </c>
    </row>
    <row r="107" spans="1:11" hidden="1" x14ac:dyDescent="0.3">
      <c r="A107" s="747" t="s">
        <v>2211</v>
      </c>
      <c r="B107" s="747"/>
      <c r="C107" s="742">
        <f t="shared" si="5"/>
        <v>0</v>
      </c>
      <c r="D107" s="748">
        <v>0</v>
      </c>
      <c r="E107" s="748">
        <v>0</v>
      </c>
      <c r="F107" s="748">
        <f t="array" ref="F107">SUM(IF('6. Class A Consumption Data'!J251:K251="B",'6. Class A Consumption Data'!J249:K249))</f>
        <v>0</v>
      </c>
      <c r="G107" s="748">
        <f t="array" ref="G107">SUM(IF('6. Class A Consumption Data'!L251:M251="B",'6. Class A Consumption Data'!L249:M249))</f>
        <v>0</v>
      </c>
      <c r="H107" s="748">
        <f t="array" ref="H107">SUM(IF('6. Class A Consumption Data'!N251:O251="B",'6. Class A Consumption Data'!N249:O249))</f>
        <v>0</v>
      </c>
      <c r="I107" s="743">
        <f t="shared" si="6"/>
        <v>0</v>
      </c>
      <c r="J107" s="750">
        <f t="shared" si="7"/>
        <v>0</v>
      </c>
      <c r="K107" s="740">
        <f t="shared" si="8"/>
        <v>0</v>
      </c>
    </row>
    <row r="108" spans="1:11" hidden="1" x14ac:dyDescent="0.3">
      <c r="A108" s="747" t="s">
        <v>2212</v>
      </c>
      <c r="B108" s="747"/>
      <c r="C108" s="742">
        <f t="shared" si="5"/>
        <v>0</v>
      </c>
      <c r="D108" s="748">
        <v>0</v>
      </c>
      <c r="E108" s="748">
        <v>0</v>
      </c>
      <c r="F108" s="748">
        <f t="array" ref="F108">SUM(IF('6. Class A Consumption Data'!J254:K254="B",'6. Class A Consumption Data'!J252:K252))</f>
        <v>0</v>
      </c>
      <c r="G108" s="748">
        <f t="array" ref="G108">SUM(IF('6. Class A Consumption Data'!L254:M254="B",'6. Class A Consumption Data'!L252:M252))</f>
        <v>0</v>
      </c>
      <c r="H108" s="748">
        <f t="array" ref="H108">SUM(IF('6. Class A Consumption Data'!N254:O254="B",'6. Class A Consumption Data'!N252:O252))</f>
        <v>0</v>
      </c>
      <c r="I108" s="743">
        <f t="shared" si="6"/>
        <v>0</v>
      </c>
      <c r="J108" s="750">
        <f t="shared" si="7"/>
        <v>0</v>
      </c>
      <c r="K108" s="740">
        <f t="shared" si="8"/>
        <v>0</v>
      </c>
    </row>
    <row r="109" spans="1:11" hidden="1" x14ac:dyDescent="0.3">
      <c r="A109" s="747" t="s">
        <v>2213</v>
      </c>
      <c r="B109" s="747"/>
      <c r="C109" s="742">
        <f t="shared" si="5"/>
        <v>0</v>
      </c>
      <c r="D109" s="748">
        <v>0</v>
      </c>
      <c r="E109" s="748">
        <v>0</v>
      </c>
      <c r="F109" s="748">
        <f t="array" ref="F109">SUM(IF('6. Class A Consumption Data'!J257:K257="B",'6. Class A Consumption Data'!J255:K255))</f>
        <v>0</v>
      </c>
      <c r="G109" s="748">
        <f t="array" ref="G109">SUM(IF('6. Class A Consumption Data'!L257:M257="B",'6. Class A Consumption Data'!L255:M255))</f>
        <v>0</v>
      </c>
      <c r="H109" s="748">
        <f t="array" ref="H109">SUM(IF('6. Class A Consumption Data'!N257:O257="B",'6. Class A Consumption Data'!N255:O255))</f>
        <v>0</v>
      </c>
      <c r="I109" s="743">
        <f t="shared" si="6"/>
        <v>0</v>
      </c>
      <c r="J109" s="750">
        <f t="shared" si="7"/>
        <v>0</v>
      </c>
      <c r="K109" s="740">
        <f t="shared" si="8"/>
        <v>0</v>
      </c>
    </row>
    <row r="110" spans="1:11" hidden="1" x14ac:dyDescent="0.3">
      <c r="A110" s="747" t="s">
        <v>2214</v>
      </c>
      <c r="B110" s="747"/>
      <c r="C110" s="742">
        <f t="shared" si="5"/>
        <v>0</v>
      </c>
      <c r="D110" s="748">
        <v>0</v>
      </c>
      <c r="E110" s="748">
        <v>0</v>
      </c>
      <c r="F110" s="748">
        <f t="array" ref="F110">SUM(IF('6. Class A Consumption Data'!J260:K260="B",'6. Class A Consumption Data'!J258:K258))</f>
        <v>0</v>
      </c>
      <c r="G110" s="748">
        <f t="array" ref="G110">SUM(IF('6. Class A Consumption Data'!L260:M260="B",'6. Class A Consumption Data'!L258:M258))</f>
        <v>0</v>
      </c>
      <c r="H110" s="748">
        <f t="array" ref="H110">SUM(IF('6. Class A Consumption Data'!N260:O260="B",'6. Class A Consumption Data'!N258:O258))</f>
        <v>0</v>
      </c>
      <c r="I110" s="743">
        <f t="shared" si="6"/>
        <v>0</v>
      </c>
      <c r="J110" s="750">
        <f t="shared" si="7"/>
        <v>0</v>
      </c>
      <c r="K110" s="740">
        <f t="shared" si="8"/>
        <v>0</v>
      </c>
    </row>
    <row r="111" spans="1:11" hidden="1" x14ac:dyDescent="0.3">
      <c r="A111" s="747" t="s">
        <v>2215</v>
      </c>
      <c r="B111" s="747"/>
      <c r="C111" s="742">
        <f t="shared" si="5"/>
        <v>0</v>
      </c>
      <c r="D111" s="748">
        <v>0</v>
      </c>
      <c r="E111" s="748">
        <v>0</v>
      </c>
      <c r="F111" s="748">
        <f t="array" ref="F111">SUM(IF('6. Class A Consumption Data'!J263:K263="B",'6. Class A Consumption Data'!J261:K261))</f>
        <v>0</v>
      </c>
      <c r="G111" s="748">
        <f t="array" ref="G111">SUM(IF('6. Class A Consumption Data'!L263:M263="B",'6. Class A Consumption Data'!L261:M261))</f>
        <v>0</v>
      </c>
      <c r="H111" s="748">
        <f t="array" ref="H111">SUM(IF('6. Class A Consumption Data'!N263:O263="B",'6. Class A Consumption Data'!N261:O261))</f>
        <v>0</v>
      </c>
      <c r="I111" s="743">
        <f t="shared" si="6"/>
        <v>0</v>
      </c>
      <c r="J111" s="750">
        <f t="shared" si="7"/>
        <v>0</v>
      </c>
      <c r="K111" s="740">
        <f t="shared" si="8"/>
        <v>0</v>
      </c>
    </row>
    <row r="112" spans="1:11" hidden="1" x14ac:dyDescent="0.3">
      <c r="A112" s="747" t="s">
        <v>2216</v>
      </c>
      <c r="B112" s="747"/>
      <c r="C112" s="742">
        <f t="shared" si="5"/>
        <v>0</v>
      </c>
      <c r="D112" s="748">
        <v>0</v>
      </c>
      <c r="E112" s="748">
        <v>0</v>
      </c>
      <c r="F112" s="748">
        <f t="array" ref="F112">SUM(IF('6. Class A Consumption Data'!J266:K266="B",'6. Class A Consumption Data'!J264:K264))</f>
        <v>0</v>
      </c>
      <c r="G112" s="748">
        <f t="array" ref="G112">SUM(IF('6. Class A Consumption Data'!L266:M266="B",'6. Class A Consumption Data'!L264:M264))</f>
        <v>0</v>
      </c>
      <c r="H112" s="748">
        <f t="array" ref="H112">SUM(IF('6. Class A Consumption Data'!N266:O266="B",'6. Class A Consumption Data'!N264:O264))</f>
        <v>0</v>
      </c>
      <c r="I112" s="743">
        <f t="shared" si="6"/>
        <v>0</v>
      </c>
      <c r="J112" s="750">
        <f t="shared" si="7"/>
        <v>0</v>
      </c>
      <c r="K112" s="740">
        <f t="shared" si="8"/>
        <v>0</v>
      </c>
    </row>
    <row r="113" spans="1:11" hidden="1" x14ac:dyDescent="0.3">
      <c r="A113" s="747" t="s">
        <v>2217</v>
      </c>
      <c r="B113" s="747"/>
      <c r="C113" s="742">
        <f t="shared" si="5"/>
        <v>0</v>
      </c>
      <c r="D113" s="748">
        <v>0</v>
      </c>
      <c r="E113" s="748">
        <v>0</v>
      </c>
      <c r="F113" s="748">
        <f t="array" ref="F113">SUM(IF('6. Class A Consumption Data'!J269:K269="B",'6. Class A Consumption Data'!J267:K267))</f>
        <v>0</v>
      </c>
      <c r="G113" s="748">
        <f t="array" ref="G113">SUM(IF('6. Class A Consumption Data'!L269:M269="B",'6. Class A Consumption Data'!L267:M267))</f>
        <v>0</v>
      </c>
      <c r="H113" s="748">
        <f t="array" ref="H113">SUM(IF('6. Class A Consumption Data'!N269:O269="B",'6. Class A Consumption Data'!N267:O267))</f>
        <v>0</v>
      </c>
      <c r="I113" s="743">
        <f t="shared" si="6"/>
        <v>0</v>
      </c>
      <c r="J113" s="750">
        <f t="shared" si="7"/>
        <v>0</v>
      </c>
      <c r="K113" s="740">
        <f t="shared" si="8"/>
        <v>0</v>
      </c>
    </row>
    <row r="114" spans="1:11" hidden="1" x14ac:dyDescent="0.3">
      <c r="A114" s="747" t="s">
        <v>2218</v>
      </c>
      <c r="B114" s="747"/>
      <c r="C114" s="742">
        <f t="shared" si="5"/>
        <v>0</v>
      </c>
      <c r="D114" s="748">
        <v>0</v>
      </c>
      <c r="E114" s="748">
        <v>0</v>
      </c>
      <c r="F114" s="748">
        <f t="array" ref="F114">SUM(IF('6. Class A Consumption Data'!J272:K272="B",'6. Class A Consumption Data'!J270:K270))</f>
        <v>0</v>
      </c>
      <c r="G114" s="748">
        <f t="array" ref="G114">SUM(IF('6. Class A Consumption Data'!L272:M272="B",'6. Class A Consumption Data'!L270:M270))</f>
        <v>0</v>
      </c>
      <c r="H114" s="748">
        <f t="array" ref="H114">SUM(IF('6. Class A Consumption Data'!N272:O272="B",'6. Class A Consumption Data'!N270:O270))</f>
        <v>0</v>
      </c>
      <c r="I114" s="743">
        <f t="shared" si="6"/>
        <v>0</v>
      </c>
      <c r="J114" s="750">
        <f t="shared" si="7"/>
        <v>0</v>
      </c>
      <c r="K114" s="740">
        <f t="shared" si="8"/>
        <v>0</v>
      </c>
    </row>
    <row r="115" spans="1:11" hidden="1" x14ac:dyDescent="0.3">
      <c r="A115" s="747" t="s">
        <v>2219</v>
      </c>
      <c r="B115" s="747"/>
      <c r="C115" s="742">
        <f t="shared" si="5"/>
        <v>0</v>
      </c>
      <c r="D115" s="748">
        <v>0</v>
      </c>
      <c r="E115" s="748">
        <v>0</v>
      </c>
      <c r="F115" s="748">
        <f t="array" ref="F115">SUM(IF('6. Class A Consumption Data'!J275:K275="B",'6. Class A Consumption Data'!J273:K273))</f>
        <v>0</v>
      </c>
      <c r="G115" s="748">
        <f t="array" ref="G115">SUM(IF('6. Class A Consumption Data'!L275:M275="B",'6. Class A Consumption Data'!L273:M273))</f>
        <v>0</v>
      </c>
      <c r="H115" s="748">
        <f t="array" ref="H115">SUM(IF('6. Class A Consumption Data'!N275:O275="B",'6. Class A Consumption Data'!N273:O273))</f>
        <v>0</v>
      </c>
      <c r="I115" s="743">
        <f t="shared" si="6"/>
        <v>0</v>
      </c>
      <c r="J115" s="750">
        <f t="shared" si="7"/>
        <v>0</v>
      </c>
      <c r="K115" s="740">
        <f t="shared" si="8"/>
        <v>0</v>
      </c>
    </row>
    <row r="116" spans="1:11" hidden="1" x14ac:dyDescent="0.3">
      <c r="A116" s="747" t="s">
        <v>2220</v>
      </c>
      <c r="B116" s="747"/>
      <c r="C116" s="742">
        <f t="shared" si="5"/>
        <v>0</v>
      </c>
      <c r="D116" s="748">
        <v>0</v>
      </c>
      <c r="E116" s="748">
        <v>0</v>
      </c>
      <c r="F116" s="748">
        <f t="array" ref="F116">SUM(IF('6. Class A Consumption Data'!J278:K278="B",'6. Class A Consumption Data'!J276:K276))</f>
        <v>0</v>
      </c>
      <c r="G116" s="748">
        <f t="array" ref="G116">SUM(IF('6. Class A Consumption Data'!L278:M278="B",'6. Class A Consumption Data'!L276:M276))</f>
        <v>0</v>
      </c>
      <c r="H116" s="748">
        <f t="array" ref="H116">SUM(IF('6. Class A Consumption Data'!N278:O278="B",'6. Class A Consumption Data'!N276:O276))</f>
        <v>0</v>
      </c>
      <c r="I116" s="743">
        <f t="shared" si="6"/>
        <v>0</v>
      </c>
      <c r="J116" s="750">
        <f t="shared" si="7"/>
        <v>0</v>
      </c>
      <c r="K116" s="740">
        <f t="shared" si="8"/>
        <v>0</v>
      </c>
    </row>
    <row r="117" spans="1:11" hidden="1" x14ac:dyDescent="0.3">
      <c r="A117" s="747" t="s">
        <v>2221</v>
      </c>
      <c r="B117" s="747"/>
      <c r="C117" s="742">
        <f t="shared" si="5"/>
        <v>0</v>
      </c>
      <c r="D117" s="748">
        <v>0</v>
      </c>
      <c r="E117" s="748">
        <v>0</v>
      </c>
      <c r="F117" s="748">
        <f t="array" ref="F117">SUM(IF('6. Class A Consumption Data'!J281:K281="B",'6. Class A Consumption Data'!J279:K279))</f>
        <v>0</v>
      </c>
      <c r="G117" s="748">
        <f t="array" ref="G117">SUM(IF('6. Class A Consumption Data'!L281:M281="B",'6. Class A Consumption Data'!L279:M279))</f>
        <v>0</v>
      </c>
      <c r="H117" s="748">
        <f t="array" ref="H117">SUM(IF('6. Class A Consumption Data'!N281:O281="B",'6. Class A Consumption Data'!N279:O279))</f>
        <v>0</v>
      </c>
      <c r="I117" s="743">
        <f t="shared" si="6"/>
        <v>0</v>
      </c>
      <c r="J117" s="750">
        <f t="shared" si="7"/>
        <v>0</v>
      </c>
      <c r="K117" s="740">
        <f t="shared" si="8"/>
        <v>0</v>
      </c>
    </row>
    <row r="118" spans="1:11" hidden="1" x14ac:dyDescent="0.3">
      <c r="A118" s="747" t="s">
        <v>2222</v>
      </c>
      <c r="B118" s="747"/>
      <c r="C118" s="742">
        <f t="shared" si="5"/>
        <v>0</v>
      </c>
      <c r="D118" s="748">
        <v>0</v>
      </c>
      <c r="E118" s="748">
        <v>0</v>
      </c>
      <c r="F118" s="748">
        <f t="array" ref="F118">SUM(IF('6. Class A Consumption Data'!J284:K284="B",'6. Class A Consumption Data'!J282:K282))</f>
        <v>0</v>
      </c>
      <c r="G118" s="748">
        <f t="array" ref="G118">SUM(IF('6. Class A Consumption Data'!L284:M284="B",'6. Class A Consumption Data'!L282:M282))</f>
        <v>0</v>
      </c>
      <c r="H118" s="748">
        <f t="array" ref="H118">SUM(IF('6. Class A Consumption Data'!N284:O284="B",'6. Class A Consumption Data'!N282:O282))</f>
        <v>0</v>
      </c>
      <c r="I118" s="743">
        <f t="shared" si="6"/>
        <v>0</v>
      </c>
      <c r="J118" s="750">
        <f t="shared" si="7"/>
        <v>0</v>
      </c>
      <c r="K118" s="740">
        <f t="shared" si="8"/>
        <v>0</v>
      </c>
    </row>
    <row r="119" spans="1:11" hidden="1" x14ac:dyDescent="0.3">
      <c r="A119" s="747" t="s">
        <v>2223</v>
      </c>
      <c r="B119" s="747"/>
      <c r="C119" s="742">
        <f t="shared" si="5"/>
        <v>0</v>
      </c>
      <c r="D119" s="748">
        <v>0</v>
      </c>
      <c r="E119" s="748">
        <v>0</v>
      </c>
      <c r="F119" s="748">
        <f t="array" ref="F119">SUM(IF('6. Class A Consumption Data'!J287:K287="B",'6. Class A Consumption Data'!J285:K285))</f>
        <v>0</v>
      </c>
      <c r="G119" s="748">
        <f t="array" ref="G119">SUM(IF('6. Class A Consumption Data'!L287:M287="B",'6. Class A Consumption Data'!L285:M285))</f>
        <v>0</v>
      </c>
      <c r="H119" s="748">
        <f t="array" ref="H119">SUM(IF('6. Class A Consumption Data'!N287:O287="B",'6. Class A Consumption Data'!N285:O285))</f>
        <v>0</v>
      </c>
      <c r="I119" s="743">
        <f t="shared" si="6"/>
        <v>0</v>
      </c>
      <c r="J119" s="750">
        <f t="shared" si="7"/>
        <v>0</v>
      </c>
      <c r="K119" s="740">
        <f t="shared" si="8"/>
        <v>0</v>
      </c>
    </row>
    <row r="120" spans="1:11" hidden="1" x14ac:dyDescent="0.3">
      <c r="A120" s="747" t="s">
        <v>2224</v>
      </c>
      <c r="B120" s="747"/>
      <c r="C120" s="742">
        <f t="shared" si="5"/>
        <v>0</v>
      </c>
      <c r="D120" s="748">
        <v>0</v>
      </c>
      <c r="E120" s="748">
        <v>0</v>
      </c>
      <c r="F120" s="748">
        <f t="array" ref="F120">SUM(IF('6. Class A Consumption Data'!J290:K290="B",'6. Class A Consumption Data'!J288:K288))</f>
        <v>0</v>
      </c>
      <c r="G120" s="748">
        <f t="array" ref="G120">SUM(IF('6. Class A Consumption Data'!L290:M290="B",'6. Class A Consumption Data'!L288:M288))</f>
        <v>0</v>
      </c>
      <c r="H120" s="748">
        <f t="array" ref="H120">SUM(IF('6. Class A Consumption Data'!N290:O290="B",'6. Class A Consumption Data'!N288:O288))</f>
        <v>0</v>
      </c>
      <c r="I120" s="743">
        <f t="shared" si="6"/>
        <v>0</v>
      </c>
      <c r="J120" s="750">
        <f t="shared" si="7"/>
        <v>0</v>
      </c>
      <c r="K120" s="740">
        <f t="shared" si="8"/>
        <v>0</v>
      </c>
    </row>
    <row r="121" spans="1:11" hidden="1" x14ac:dyDescent="0.3">
      <c r="A121" s="747" t="s">
        <v>2225</v>
      </c>
      <c r="B121" s="747"/>
      <c r="C121" s="742">
        <f t="shared" si="5"/>
        <v>0</v>
      </c>
      <c r="D121" s="748">
        <v>0</v>
      </c>
      <c r="E121" s="748">
        <v>0</v>
      </c>
      <c r="F121" s="748">
        <f t="array" ref="F121">SUM(IF('6. Class A Consumption Data'!J293:K293="B",'6. Class A Consumption Data'!J291:K291))</f>
        <v>0</v>
      </c>
      <c r="G121" s="748">
        <f t="array" ref="G121">SUM(IF('6. Class A Consumption Data'!L293:M293="B",'6. Class A Consumption Data'!L291:M291))</f>
        <v>0</v>
      </c>
      <c r="H121" s="748">
        <f t="array" ref="H121">SUM(IF('6. Class A Consumption Data'!N293:O293="B",'6. Class A Consumption Data'!N291:O291))</f>
        <v>0</v>
      </c>
      <c r="I121" s="743">
        <f t="shared" si="6"/>
        <v>0</v>
      </c>
      <c r="J121" s="750">
        <f t="shared" si="7"/>
        <v>0</v>
      </c>
      <c r="K121" s="740">
        <f t="shared" si="8"/>
        <v>0</v>
      </c>
    </row>
    <row r="122" spans="1:11" hidden="1" x14ac:dyDescent="0.3">
      <c r="A122" s="747" t="s">
        <v>2226</v>
      </c>
      <c r="B122" s="747"/>
      <c r="C122" s="742">
        <f t="shared" si="5"/>
        <v>0</v>
      </c>
      <c r="D122" s="748">
        <v>0</v>
      </c>
      <c r="E122" s="748">
        <v>0</v>
      </c>
      <c r="F122" s="748">
        <f t="array" ref="F122">SUM(IF('6. Class A Consumption Data'!J296:K296="B",'6. Class A Consumption Data'!J294:K294))</f>
        <v>0</v>
      </c>
      <c r="G122" s="748">
        <f t="array" ref="G122">SUM(IF('6. Class A Consumption Data'!L296:M296="B",'6. Class A Consumption Data'!L294:M294))</f>
        <v>0</v>
      </c>
      <c r="H122" s="748">
        <f t="array" ref="H122">SUM(IF('6. Class A Consumption Data'!N296:O296="B",'6. Class A Consumption Data'!N294:O294))</f>
        <v>0</v>
      </c>
      <c r="I122" s="743">
        <f t="shared" si="6"/>
        <v>0</v>
      </c>
      <c r="J122" s="750">
        <f t="shared" si="7"/>
        <v>0</v>
      </c>
      <c r="K122" s="740">
        <f t="shared" si="8"/>
        <v>0</v>
      </c>
    </row>
    <row r="123" spans="1:11" hidden="1" x14ac:dyDescent="0.3">
      <c r="A123" s="747" t="s">
        <v>2227</v>
      </c>
      <c r="B123" s="747"/>
      <c r="C123" s="742">
        <f t="shared" si="5"/>
        <v>0</v>
      </c>
      <c r="D123" s="748">
        <v>0</v>
      </c>
      <c r="E123" s="748">
        <v>0</v>
      </c>
      <c r="F123" s="748">
        <f t="array" ref="F123">SUM(IF('6. Class A Consumption Data'!J299:K299="B",'6. Class A Consumption Data'!J297:K297))</f>
        <v>0</v>
      </c>
      <c r="G123" s="748">
        <f t="array" ref="G123">SUM(IF('6. Class A Consumption Data'!L299:M299="B",'6. Class A Consumption Data'!L297:M297))</f>
        <v>0</v>
      </c>
      <c r="H123" s="748">
        <f t="array" ref="H123">SUM(IF('6. Class A Consumption Data'!N299:O299="B",'6. Class A Consumption Data'!N297:O297))</f>
        <v>0</v>
      </c>
      <c r="I123" s="743">
        <f t="shared" si="6"/>
        <v>0</v>
      </c>
      <c r="J123" s="750">
        <f t="shared" si="7"/>
        <v>0</v>
      </c>
      <c r="K123" s="740">
        <f t="shared" si="8"/>
        <v>0</v>
      </c>
    </row>
    <row r="124" spans="1:11" hidden="1" x14ac:dyDescent="0.3">
      <c r="A124" s="747" t="s">
        <v>2228</v>
      </c>
      <c r="B124" s="747"/>
      <c r="C124" s="742">
        <f t="shared" si="5"/>
        <v>0</v>
      </c>
      <c r="D124" s="748">
        <v>0</v>
      </c>
      <c r="E124" s="748">
        <v>0</v>
      </c>
      <c r="F124" s="748">
        <f t="array" ref="F124">SUM(IF('6. Class A Consumption Data'!J302:K302="B",'6. Class A Consumption Data'!J300:K300))</f>
        <v>0</v>
      </c>
      <c r="G124" s="748">
        <f t="array" ref="G124">SUM(IF('6. Class A Consumption Data'!L302:M302="B",'6. Class A Consumption Data'!L300:M300))</f>
        <v>0</v>
      </c>
      <c r="H124" s="748">
        <f t="array" ref="H124">SUM(IF('6. Class A Consumption Data'!N302:O302="B",'6. Class A Consumption Data'!N300:O300))</f>
        <v>0</v>
      </c>
      <c r="I124" s="743">
        <f t="shared" si="6"/>
        <v>0</v>
      </c>
      <c r="J124" s="750">
        <f t="shared" si="7"/>
        <v>0</v>
      </c>
      <c r="K124" s="740">
        <f t="shared" si="8"/>
        <v>0</v>
      </c>
    </row>
    <row r="125" spans="1:11" hidden="1" x14ac:dyDescent="0.3">
      <c r="A125" s="747" t="s">
        <v>2229</v>
      </c>
      <c r="B125" s="747"/>
      <c r="C125" s="742">
        <f t="shared" si="5"/>
        <v>0</v>
      </c>
      <c r="D125" s="748">
        <v>0</v>
      </c>
      <c r="E125" s="748">
        <v>0</v>
      </c>
      <c r="F125" s="748">
        <f t="array" ref="F125">SUM(IF('6. Class A Consumption Data'!J305:K305="B",'6. Class A Consumption Data'!J303:K303))</f>
        <v>0</v>
      </c>
      <c r="G125" s="748">
        <f t="array" ref="G125">SUM(IF('6. Class A Consumption Data'!L305:M305="B",'6. Class A Consumption Data'!L303:M303))</f>
        <v>0</v>
      </c>
      <c r="H125" s="748">
        <f t="array" ref="H125">SUM(IF('6. Class A Consumption Data'!N305:O305="B",'6. Class A Consumption Data'!N303:O303))</f>
        <v>0</v>
      </c>
      <c r="I125" s="743">
        <f t="shared" si="6"/>
        <v>0</v>
      </c>
      <c r="J125" s="750">
        <f t="shared" si="7"/>
        <v>0</v>
      </c>
      <c r="K125" s="740">
        <f t="shared" si="8"/>
        <v>0</v>
      </c>
    </row>
    <row r="126" spans="1:11" hidden="1" x14ac:dyDescent="0.3">
      <c r="A126" s="747" t="s">
        <v>2230</v>
      </c>
      <c r="B126" s="747"/>
      <c r="C126" s="742">
        <f t="shared" si="5"/>
        <v>0</v>
      </c>
      <c r="D126" s="748">
        <v>0</v>
      </c>
      <c r="E126" s="748">
        <v>0</v>
      </c>
      <c r="F126" s="748">
        <f t="array" ref="F126">SUM(IF('6. Class A Consumption Data'!J308:K308="B",'6. Class A Consumption Data'!J306:K306))</f>
        <v>0</v>
      </c>
      <c r="G126" s="748">
        <f t="array" ref="G126">SUM(IF('6. Class A Consumption Data'!L308:M308="B",'6. Class A Consumption Data'!L306:M306))</f>
        <v>0</v>
      </c>
      <c r="H126" s="748">
        <f t="array" ref="H126">SUM(IF('6. Class A Consumption Data'!N308:O308="B",'6. Class A Consumption Data'!N306:O306))</f>
        <v>0</v>
      </c>
      <c r="I126" s="743">
        <f t="shared" si="6"/>
        <v>0</v>
      </c>
      <c r="J126" s="750">
        <f t="shared" si="7"/>
        <v>0</v>
      </c>
      <c r="K126" s="740">
        <f t="shared" si="8"/>
        <v>0</v>
      </c>
    </row>
    <row r="127" spans="1:11" hidden="1" x14ac:dyDescent="0.3">
      <c r="A127" s="747" t="s">
        <v>2231</v>
      </c>
      <c r="B127" s="747"/>
      <c r="C127" s="742">
        <f t="shared" si="5"/>
        <v>0</v>
      </c>
      <c r="D127" s="748">
        <v>0</v>
      </c>
      <c r="E127" s="748">
        <v>0</v>
      </c>
      <c r="F127" s="748">
        <f t="array" ref="F127">SUM(IF('6. Class A Consumption Data'!J311:K311="B",'6. Class A Consumption Data'!J309:K309))</f>
        <v>0</v>
      </c>
      <c r="G127" s="748">
        <f t="array" ref="G127">SUM(IF('6. Class A Consumption Data'!L311:M311="B",'6. Class A Consumption Data'!L309:M309))</f>
        <v>0</v>
      </c>
      <c r="H127" s="748">
        <f t="array" ref="H127">SUM(IF('6. Class A Consumption Data'!N311:O311="B",'6. Class A Consumption Data'!N309:O309))</f>
        <v>0</v>
      </c>
      <c r="I127" s="743">
        <f t="shared" si="6"/>
        <v>0</v>
      </c>
      <c r="J127" s="750">
        <f t="shared" si="7"/>
        <v>0</v>
      </c>
      <c r="K127" s="740">
        <f t="shared" si="8"/>
        <v>0</v>
      </c>
    </row>
    <row r="128" spans="1:11" hidden="1" x14ac:dyDescent="0.3">
      <c r="A128" s="747" t="s">
        <v>2232</v>
      </c>
      <c r="B128" s="747"/>
      <c r="C128" s="742">
        <f t="shared" si="5"/>
        <v>0</v>
      </c>
      <c r="D128" s="748">
        <v>0</v>
      </c>
      <c r="E128" s="748">
        <v>0</v>
      </c>
      <c r="F128" s="748">
        <f t="array" ref="F128">SUM(IF('6. Class A Consumption Data'!J314:K314="B",'6. Class A Consumption Data'!J312:K312))</f>
        <v>0</v>
      </c>
      <c r="G128" s="748">
        <f t="array" ref="G128">SUM(IF('6. Class A Consumption Data'!L314:M314="B",'6. Class A Consumption Data'!L312:M312))</f>
        <v>0</v>
      </c>
      <c r="H128" s="748">
        <f t="array" ref="H128">SUM(IF('6. Class A Consumption Data'!N314:O314="B",'6. Class A Consumption Data'!N312:O312))</f>
        <v>0</v>
      </c>
      <c r="I128" s="743">
        <f t="shared" si="6"/>
        <v>0</v>
      </c>
      <c r="J128" s="750">
        <f t="shared" si="7"/>
        <v>0</v>
      </c>
      <c r="K128" s="740">
        <f t="shared" si="8"/>
        <v>0</v>
      </c>
    </row>
    <row r="129" spans="1:11" hidden="1" x14ac:dyDescent="0.3">
      <c r="A129" s="747" t="s">
        <v>2233</v>
      </c>
      <c r="B129" s="747"/>
      <c r="C129" s="742">
        <f t="shared" si="5"/>
        <v>0</v>
      </c>
      <c r="D129" s="748">
        <v>0</v>
      </c>
      <c r="E129" s="748">
        <v>0</v>
      </c>
      <c r="F129" s="748">
        <f t="array" ref="F129">SUM(IF('6. Class A Consumption Data'!J317:K317="B",'6. Class A Consumption Data'!J315:K315))</f>
        <v>0</v>
      </c>
      <c r="G129" s="748">
        <f t="array" ref="G129">SUM(IF('6. Class A Consumption Data'!L317:M317="B",'6. Class A Consumption Data'!L315:M315))</f>
        <v>0</v>
      </c>
      <c r="H129" s="748">
        <f t="array" ref="H129">SUM(IF('6. Class A Consumption Data'!N317:O317="B",'6. Class A Consumption Data'!N315:O315))</f>
        <v>0</v>
      </c>
      <c r="I129" s="743">
        <f t="shared" si="6"/>
        <v>0</v>
      </c>
      <c r="J129" s="750">
        <f t="shared" si="7"/>
        <v>0</v>
      </c>
      <c r="K129" s="740">
        <f t="shared" si="8"/>
        <v>0</v>
      </c>
    </row>
    <row r="130" spans="1:11" hidden="1" x14ac:dyDescent="0.3">
      <c r="A130" s="747" t="s">
        <v>2234</v>
      </c>
      <c r="B130" s="747"/>
      <c r="C130" s="742">
        <f t="shared" ref="C130:C161" si="9">SUM(D130:E130)</f>
        <v>0</v>
      </c>
      <c r="D130" s="748">
        <v>0</v>
      </c>
      <c r="E130" s="748">
        <v>0</v>
      </c>
      <c r="F130" s="748">
        <f t="array" ref="F130">SUM(IF('6. Class A Consumption Data'!J320:K320="B",'6. Class A Consumption Data'!J318:K318))</f>
        <v>0</v>
      </c>
      <c r="G130" s="748">
        <f t="array" ref="G130">SUM(IF('6. Class A Consumption Data'!L320:M320="B",'6. Class A Consumption Data'!L318:M318))</f>
        <v>0</v>
      </c>
      <c r="H130" s="748">
        <f t="array" ref="H130">SUM(IF('6. Class A Consumption Data'!N320:O320="B",'6. Class A Consumption Data'!N318:O318))</f>
        <v>0</v>
      </c>
      <c r="I130" s="743">
        <f t="shared" si="6"/>
        <v>0</v>
      </c>
      <c r="J130" s="750">
        <f t="shared" si="7"/>
        <v>0</v>
      </c>
      <c r="K130" s="740">
        <f t="shared" si="8"/>
        <v>0</v>
      </c>
    </row>
    <row r="131" spans="1:11" hidden="1" x14ac:dyDescent="0.3">
      <c r="A131" s="747" t="s">
        <v>2235</v>
      </c>
      <c r="B131" s="747"/>
      <c r="C131" s="742">
        <f t="shared" si="9"/>
        <v>0</v>
      </c>
      <c r="D131" s="748">
        <v>0</v>
      </c>
      <c r="E131" s="748">
        <v>0</v>
      </c>
      <c r="F131" s="748">
        <f t="array" ref="F131">SUM(IF('6. Class A Consumption Data'!J323:K323="B",'6. Class A Consumption Data'!J321:K321))</f>
        <v>0</v>
      </c>
      <c r="G131" s="748">
        <f t="array" ref="G131">SUM(IF('6. Class A Consumption Data'!L323:M323="B",'6. Class A Consumption Data'!L321:M321))</f>
        <v>0</v>
      </c>
      <c r="H131" s="748">
        <f t="array" ref="H131">SUM(IF('6. Class A Consumption Data'!N323:O323="B",'6. Class A Consumption Data'!N321:O321))</f>
        <v>0</v>
      </c>
      <c r="I131" s="743">
        <f t="shared" si="6"/>
        <v>0</v>
      </c>
      <c r="J131" s="750">
        <f t="shared" si="7"/>
        <v>0</v>
      </c>
      <c r="K131" s="740">
        <f t="shared" si="8"/>
        <v>0</v>
      </c>
    </row>
    <row r="132" spans="1:11" hidden="1" x14ac:dyDescent="0.3">
      <c r="A132" s="747" t="s">
        <v>2236</v>
      </c>
      <c r="B132" s="747"/>
      <c r="C132" s="742">
        <f t="shared" si="9"/>
        <v>0</v>
      </c>
      <c r="D132" s="748">
        <v>0</v>
      </c>
      <c r="E132" s="748">
        <v>0</v>
      </c>
      <c r="F132" s="748">
        <f t="array" ref="F132">SUM(IF('6. Class A Consumption Data'!J326:K326="B",'6. Class A Consumption Data'!J324:K324))</f>
        <v>0</v>
      </c>
      <c r="G132" s="748">
        <f t="array" ref="G132">SUM(IF('6. Class A Consumption Data'!L326:M326="B",'6. Class A Consumption Data'!L324:M324))</f>
        <v>0</v>
      </c>
      <c r="H132" s="748">
        <f t="array" ref="H132">SUM(IF('6. Class A Consumption Data'!N326:O326="B",'6. Class A Consumption Data'!N324:O324))</f>
        <v>0</v>
      </c>
      <c r="I132" s="743">
        <f t="shared" si="6"/>
        <v>0</v>
      </c>
      <c r="J132" s="750">
        <f t="shared" si="7"/>
        <v>0</v>
      </c>
      <c r="K132" s="740">
        <f t="shared" si="8"/>
        <v>0</v>
      </c>
    </row>
    <row r="133" spans="1:11" hidden="1" x14ac:dyDescent="0.3">
      <c r="A133" s="747" t="s">
        <v>2237</v>
      </c>
      <c r="B133" s="747"/>
      <c r="C133" s="742">
        <f t="shared" si="9"/>
        <v>0</v>
      </c>
      <c r="D133" s="748">
        <v>0</v>
      </c>
      <c r="E133" s="748">
        <v>0</v>
      </c>
      <c r="F133" s="748">
        <f t="array" ref="F133">SUM(IF('6. Class A Consumption Data'!J329:K329="B",'6. Class A Consumption Data'!J327:K327))</f>
        <v>0</v>
      </c>
      <c r="G133" s="748">
        <f t="array" ref="G133">SUM(IF('6. Class A Consumption Data'!L329:M329="B",'6. Class A Consumption Data'!L327:M327))</f>
        <v>0</v>
      </c>
      <c r="H133" s="748">
        <f t="array" ref="H133">SUM(IF('6. Class A Consumption Data'!N329:O329="B",'6. Class A Consumption Data'!N327:O327))</f>
        <v>0</v>
      </c>
      <c r="I133" s="743">
        <f t="shared" si="6"/>
        <v>0</v>
      </c>
      <c r="J133" s="750">
        <f t="shared" si="7"/>
        <v>0</v>
      </c>
      <c r="K133" s="740">
        <f t="shared" si="8"/>
        <v>0</v>
      </c>
    </row>
    <row r="134" spans="1:11" hidden="1" x14ac:dyDescent="0.3">
      <c r="A134" s="747" t="s">
        <v>2238</v>
      </c>
      <c r="B134" s="747"/>
      <c r="C134" s="742">
        <f t="shared" si="9"/>
        <v>0</v>
      </c>
      <c r="D134" s="748">
        <v>0</v>
      </c>
      <c r="E134" s="748">
        <v>0</v>
      </c>
      <c r="F134" s="748">
        <f t="array" ref="F134">SUM(IF('6. Class A Consumption Data'!J332:K332="B",'6. Class A Consumption Data'!J330:K330))</f>
        <v>0</v>
      </c>
      <c r="G134" s="748">
        <f t="array" ref="G134">SUM(IF('6. Class A Consumption Data'!L332:M332="B",'6. Class A Consumption Data'!L330:M330))</f>
        <v>0</v>
      </c>
      <c r="H134" s="748">
        <f t="array" ref="H134">SUM(IF('6. Class A Consumption Data'!N332:O332="B",'6. Class A Consumption Data'!N330:O330))</f>
        <v>0</v>
      </c>
      <c r="I134" s="743">
        <f t="shared" si="6"/>
        <v>0</v>
      </c>
      <c r="J134" s="750">
        <f t="shared" si="7"/>
        <v>0</v>
      </c>
      <c r="K134" s="740">
        <f t="shared" si="8"/>
        <v>0</v>
      </c>
    </row>
    <row r="135" spans="1:11" hidden="1" x14ac:dyDescent="0.3">
      <c r="A135" s="747" t="s">
        <v>2239</v>
      </c>
      <c r="B135" s="747"/>
      <c r="C135" s="742">
        <f t="shared" si="9"/>
        <v>0</v>
      </c>
      <c r="D135" s="748">
        <v>0</v>
      </c>
      <c r="E135" s="748">
        <v>0</v>
      </c>
      <c r="F135" s="748">
        <f t="array" ref="F135">SUM(IF('6. Class A Consumption Data'!J335:K335="B",'6. Class A Consumption Data'!J333:K333))</f>
        <v>0</v>
      </c>
      <c r="G135" s="748">
        <f t="array" ref="G135">SUM(IF('6. Class A Consumption Data'!L335:M335="B",'6. Class A Consumption Data'!L333:M333))</f>
        <v>0</v>
      </c>
      <c r="H135" s="748">
        <f t="array" ref="H135">SUM(IF('6. Class A Consumption Data'!N335:O335="B",'6. Class A Consumption Data'!N333:O333))</f>
        <v>0</v>
      </c>
      <c r="I135" s="743">
        <f t="shared" si="6"/>
        <v>0</v>
      </c>
      <c r="J135" s="750">
        <f t="shared" si="7"/>
        <v>0</v>
      </c>
      <c r="K135" s="740">
        <f t="shared" si="8"/>
        <v>0</v>
      </c>
    </row>
    <row r="136" spans="1:11" hidden="1" x14ac:dyDescent="0.3">
      <c r="A136" s="747" t="s">
        <v>2240</v>
      </c>
      <c r="B136" s="747"/>
      <c r="C136" s="742">
        <f t="shared" si="9"/>
        <v>0</v>
      </c>
      <c r="D136" s="748">
        <v>0</v>
      </c>
      <c r="E136" s="748">
        <v>0</v>
      </c>
      <c r="F136" s="748">
        <f t="array" ref="F136">SUM(IF('6. Class A Consumption Data'!J338:K338="B",'6. Class A Consumption Data'!J336:K336))</f>
        <v>0</v>
      </c>
      <c r="G136" s="748">
        <f t="array" ref="G136">SUM(IF('6. Class A Consumption Data'!L338:M338="B",'6. Class A Consumption Data'!L336:M336))</f>
        <v>0</v>
      </c>
      <c r="H136" s="748">
        <f t="array" ref="H136">SUM(IF('6. Class A Consumption Data'!N338:O338="B",'6. Class A Consumption Data'!N336:O336))</f>
        <v>0</v>
      </c>
      <c r="I136" s="743">
        <f t="shared" si="6"/>
        <v>0</v>
      </c>
      <c r="J136" s="750">
        <f t="shared" si="7"/>
        <v>0</v>
      </c>
      <c r="K136" s="740">
        <f t="shared" si="8"/>
        <v>0</v>
      </c>
    </row>
    <row r="137" spans="1:11" hidden="1" x14ac:dyDescent="0.3">
      <c r="A137" s="747" t="s">
        <v>2241</v>
      </c>
      <c r="B137" s="747"/>
      <c r="C137" s="742">
        <f t="shared" si="9"/>
        <v>0</v>
      </c>
      <c r="D137" s="748">
        <v>0</v>
      </c>
      <c r="E137" s="748">
        <v>0</v>
      </c>
      <c r="F137" s="748">
        <f t="array" ref="F137">SUM(IF('6. Class A Consumption Data'!J341:K341="B",'6. Class A Consumption Data'!J339:K339))</f>
        <v>0</v>
      </c>
      <c r="G137" s="748">
        <f t="array" ref="G137">SUM(IF('6. Class A Consumption Data'!L341:M341="B",'6. Class A Consumption Data'!L339:M339))</f>
        <v>0</v>
      </c>
      <c r="H137" s="748">
        <f t="array" ref="H137">SUM(IF('6. Class A Consumption Data'!N341:O341="B",'6. Class A Consumption Data'!N339:O339))</f>
        <v>0</v>
      </c>
      <c r="I137" s="743">
        <f t="shared" si="6"/>
        <v>0</v>
      </c>
      <c r="J137" s="750">
        <f t="shared" si="7"/>
        <v>0</v>
      </c>
      <c r="K137" s="740">
        <f t="shared" si="8"/>
        <v>0</v>
      </c>
    </row>
    <row r="138" spans="1:11" hidden="1" x14ac:dyDescent="0.3">
      <c r="A138" s="747" t="s">
        <v>2242</v>
      </c>
      <c r="B138" s="747"/>
      <c r="C138" s="742">
        <f t="shared" si="9"/>
        <v>0</v>
      </c>
      <c r="D138" s="748">
        <v>0</v>
      </c>
      <c r="E138" s="748">
        <v>0</v>
      </c>
      <c r="F138" s="748">
        <f t="array" ref="F138">SUM(IF('6. Class A Consumption Data'!J344:K344="B",'6. Class A Consumption Data'!J342:K342))</f>
        <v>0</v>
      </c>
      <c r="G138" s="748">
        <f t="array" ref="G138">SUM(IF('6. Class A Consumption Data'!L344:M344="B",'6. Class A Consumption Data'!L342:M342))</f>
        <v>0</v>
      </c>
      <c r="H138" s="748">
        <f t="array" ref="H138">SUM(IF('6. Class A Consumption Data'!N344:O344="B",'6. Class A Consumption Data'!N342:O342))</f>
        <v>0</v>
      </c>
      <c r="I138" s="743">
        <f t="shared" si="6"/>
        <v>0</v>
      </c>
      <c r="J138" s="750">
        <f t="shared" si="7"/>
        <v>0</v>
      </c>
      <c r="K138" s="740">
        <f t="shared" si="8"/>
        <v>0</v>
      </c>
    </row>
    <row r="139" spans="1:11" hidden="1" x14ac:dyDescent="0.3">
      <c r="A139" s="747" t="s">
        <v>2243</v>
      </c>
      <c r="B139" s="747"/>
      <c r="C139" s="742">
        <f t="shared" si="9"/>
        <v>0</v>
      </c>
      <c r="D139" s="748">
        <v>0</v>
      </c>
      <c r="E139" s="748">
        <v>0</v>
      </c>
      <c r="F139" s="748">
        <f t="array" ref="F139">SUM(IF('6. Class A Consumption Data'!J347:K347="B",'6. Class A Consumption Data'!J345:K345))</f>
        <v>0</v>
      </c>
      <c r="G139" s="748">
        <f t="array" ref="G139">SUM(IF('6. Class A Consumption Data'!L347:M347="B",'6. Class A Consumption Data'!L345:M345))</f>
        <v>0</v>
      </c>
      <c r="H139" s="748">
        <f t="array" ref="H139">SUM(IF('6. Class A Consumption Data'!N347:O347="B",'6. Class A Consumption Data'!N345:O345))</f>
        <v>0</v>
      </c>
      <c r="I139" s="743">
        <f t="shared" si="6"/>
        <v>0</v>
      </c>
      <c r="J139" s="750">
        <f t="shared" si="7"/>
        <v>0</v>
      </c>
      <c r="K139" s="740">
        <f t="shared" si="8"/>
        <v>0</v>
      </c>
    </row>
    <row r="140" spans="1:11" hidden="1" x14ac:dyDescent="0.3">
      <c r="A140" s="747" t="s">
        <v>2244</v>
      </c>
      <c r="B140" s="747"/>
      <c r="C140" s="742">
        <f t="shared" si="9"/>
        <v>0</v>
      </c>
      <c r="D140" s="748">
        <v>0</v>
      </c>
      <c r="E140" s="748">
        <v>0</v>
      </c>
      <c r="F140" s="748">
        <f t="array" ref="F140">SUM(IF('6. Class A Consumption Data'!J350:K350="B",'6. Class A Consumption Data'!J348:K348))</f>
        <v>0</v>
      </c>
      <c r="G140" s="748">
        <f t="array" ref="G140">SUM(IF('6. Class A Consumption Data'!L350:M350="B",'6. Class A Consumption Data'!L348:M348))</f>
        <v>0</v>
      </c>
      <c r="H140" s="748">
        <f t="array" ref="H140">SUM(IF('6. Class A Consumption Data'!N350:O350="B",'6. Class A Consumption Data'!N348:O348))</f>
        <v>0</v>
      </c>
      <c r="I140" s="743">
        <f t="shared" si="6"/>
        <v>0</v>
      </c>
      <c r="J140" s="750">
        <f t="shared" si="7"/>
        <v>0</v>
      </c>
      <c r="K140" s="740">
        <f t="shared" si="8"/>
        <v>0</v>
      </c>
    </row>
    <row r="141" spans="1:11" hidden="1" x14ac:dyDescent="0.3">
      <c r="A141" s="747" t="s">
        <v>2245</v>
      </c>
      <c r="B141" s="747"/>
      <c r="C141" s="742">
        <f t="shared" si="9"/>
        <v>0</v>
      </c>
      <c r="D141" s="748">
        <v>0</v>
      </c>
      <c r="E141" s="748">
        <v>0</v>
      </c>
      <c r="F141" s="748">
        <f t="array" ref="F141">SUM(IF('6. Class A Consumption Data'!J353:K353="B",'6. Class A Consumption Data'!J351:K351))</f>
        <v>0</v>
      </c>
      <c r="G141" s="748">
        <f t="array" ref="G141">SUM(IF('6. Class A Consumption Data'!L353:M353="B",'6. Class A Consumption Data'!L351:M351))</f>
        <v>0</v>
      </c>
      <c r="H141" s="748">
        <f t="array" ref="H141">SUM(IF('6. Class A Consumption Data'!N353:O353="B",'6. Class A Consumption Data'!N351:O351))</f>
        <v>0</v>
      </c>
      <c r="I141" s="743">
        <f t="shared" si="6"/>
        <v>0</v>
      </c>
      <c r="J141" s="750">
        <f t="shared" si="7"/>
        <v>0</v>
      </c>
      <c r="K141" s="740">
        <f t="shared" si="8"/>
        <v>0</v>
      </c>
    </row>
    <row r="142" spans="1:11" hidden="1" x14ac:dyDescent="0.3">
      <c r="A142" s="747" t="s">
        <v>2246</v>
      </c>
      <c r="B142" s="747"/>
      <c r="C142" s="742">
        <f t="shared" si="9"/>
        <v>0</v>
      </c>
      <c r="D142" s="748">
        <v>0</v>
      </c>
      <c r="E142" s="748">
        <v>0</v>
      </c>
      <c r="F142" s="748">
        <f t="array" ref="F142">SUM(IF('6. Class A Consumption Data'!J356:K356="B",'6. Class A Consumption Data'!J354:K354))</f>
        <v>0</v>
      </c>
      <c r="G142" s="748">
        <f t="array" ref="G142">SUM(IF('6. Class A Consumption Data'!L356:M356="B",'6. Class A Consumption Data'!L354:M354))</f>
        <v>0</v>
      </c>
      <c r="H142" s="748">
        <f t="array" ref="H142">SUM(IF('6. Class A Consumption Data'!N356:O356="B",'6. Class A Consumption Data'!N354:O354))</f>
        <v>0</v>
      </c>
      <c r="I142" s="743">
        <f t="shared" si="6"/>
        <v>0</v>
      </c>
      <c r="J142" s="750">
        <f t="shared" si="7"/>
        <v>0</v>
      </c>
      <c r="K142" s="740">
        <f t="shared" si="8"/>
        <v>0</v>
      </c>
    </row>
    <row r="143" spans="1:11" hidden="1" x14ac:dyDescent="0.3">
      <c r="A143" s="747" t="s">
        <v>2247</v>
      </c>
      <c r="B143" s="747"/>
      <c r="C143" s="742">
        <f t="shared" si="9"/>
        <v>0</v>
      </c>
      <c r="D143" s="748">
        <v>0</v>
      </c>
      <c r="E143" s="748">
        <v>0</v>
      </c>
      <c r="F143" s="748">
        <f t="array" ref="F143">SUM(IF('6. Class A Consumption Data'!J359:K359="B",'6. Class A Consumption Data'!J357:K357))</f>
        <v>0</v>
      </c>
      <c r="G143" s="748">
        <f t="array" ref="G143">SUM(IF('6. Class A Consumption Data'!L359:M359="B",'6. Class A Consumption Data'!L357:M357))</f>
        <v>0</v>
      </c>
      <c r="H143" s="748">
        <f t="array" ref="H143">SUM(IF('6. Class A Consumption Data'!N359:O359="B",'6. Class A Consumption Data'!N357:O357))</f>
        <v>0</v>
      </c>
      <c r="I143" s="743">
        <f t="shared" si="6"/>
        <v>0</v>
      </c>
      <c r="J143" s="750">
        <f t="shared" si="7"/>
        <v>0</v>
      </c>
      <c r="K143" s="740">
        <f t="shared" si="8"/>
        <v>0</v>
      </c>
    </row>
    <row r="144" spans="1:11" hidden="1" x14ac:dyDescent="0.3">
      <c r="A144" s="747" t="s">
        <v>2248</v>
      </c>
      <c r="B144" s="747"/>
      <c r="C144" s="742">
        <f t="shared" si="9"/>
        <v>0</v>
      </c>
      <c r="D144" s="748">
        <v>0</v>
      </c>
      <c r="E144" s="748">
        <v>0</v>
      </c>
      <c r="F144" s="748">
        <f t="array" ref="F144">SUM(IF('6. Class A Consumption Data'!J362:K362="B",'6. Class A Consumption Data'!J360:K360))</f>
        <v>0</v>
      </c>
      <c r="G144" s="748">
        <f t="array" ref="G144">SUM(IF('6. Class A Consumption Data'!L362:M362="B",'6. Class A Consumption Data'!L360:M360))</f>
        <v>0</v>
      </c>
      <c r="H144" s="748">
        <f t="array" ref="H144">SUM(IF('6. Class A Consumption Data'!N362:O362="B",'6. Class A Consumption Data'!N360:O360))</f>
        <v>0</v>
      </c>
      <c r="I144" s="743">
        <f t="shared" si="6"/>
        <v>0</v>
      </c>
      <c r="J144" s="750">
        <f t="shared" si="7"/>
        <v>0</v>
      </c>
      <c r="K144" s="740">
        <f t="shared" si="8"/>
        <v>0</v>
      </c>
    </row>
    <row r="145" spans="1:11" hidden="1" x14ac:dyDescent="0.3">
      <c r="A145" s="747" t="s">
        <v>2249</v>
      </c>
      <c r="B145" s="747"/>
      <c r="C145" s="742">
        <f t="shared" si="9"/>
        <v>0</v>
      </c>
      <c r="D145" s="748">
        <v>0</v>
      </c>
      <c r="E145" s="748">
        <v>0</v>
      </c>
      <c r="F145" s="748">
        <f t="array" ref="F145">SUM(IF('6. Class A Consumption Data'!J365:K365="B",'6. Class A Consumption Data'!J363:K363))</f>
        <v>0</v>
      </c>
      <c r="G145" s="748">
        <f t="array" ref="G145">SUM(IF('6. Class A Consumption Data'!L365:M365="B",'6. Class A Consumption Data'!L363:M363))</f>
        <v>0</v>
      </c>
      <c r="H145" s="748">
        <f t="array" ref="H145">SUM(IF('6. Class A Consumption Data'!N365:O365="B",'6. Class A Consumption Data'!N363:O363))</f>
        <v>0</v>
      </c>
      <c r="I145" s="743">
        <f t="shared" si="6"/>
        <v>0</v>
      </c>
      <c r="J145" s="750">
        <f t="shared" si="7"/>
        <v>0</v>
      </c>
      <c r="K145" s="740">
        <f t="shared" si="8"/>
        <v>0</v>
      </c>
    </row>
    <row r="146" spans="1:11" hidden="1" x14ac:dyDescent="0.3">
      <c r="A146" s="747" t="s">
        <v>2250</v>
      </c>
      <c r="B146" s="747"/>
      <c r="C146" s="742">
        <f t="shared" si="9"/>
        <v>0</v>
      </c>
      <c r="D146" s="748">
        <v>0</v>
      </c>
      <c r="E146" s="748">
        <v>0</v>
      </c>
      <c r="F146" s="748">
        <f t="array" ref="F146">SUM(IF('6. Class A Consumption Data'!J368:K368="B",'6. Class A Consumption Data'!J366:K366))</f>
        <v>0</v>
      </c>
      <c r="G146" s="748">
        <f t="array" ref="G146">SUM(IF('6. Class A Consumption Data'!L368:M368="B",'6. Class A Consumption Data'!L366:M366))</f>
        <v>0</v>
      </c>
      <c r="H146" s="748">
        <f t="array" ref="H146">SUM(IF('6. Class A Consumption Data'!N368:O368="B",'6. Class A Consumption Data'!N366:O366))</f>
        <v>0</v>
      </c>
      <c r="I146" s="743">
        <f t="shared" si="6"/>
        <v>0</v>
      </c>
      <c r="J146" s="750">
        <f t="shared" si="7"/>
        <v>0</v>
      </c>
      <c r="K146" s="740">
        <f t="shared" si="8"/>
        <v>0</v>
      </c>
    </row>
    <row r="147" spans="1:11" hidden="1" x14ac:dyDescent="0.3">
      <c r="A147" s="747" t="s">
        <v>2251</v>
      </c>
      <c r="B147" s="747"/>
      <c r="C147" s="742">
        <f t="shared" si="9"/>
        <v>0</v>
      </c>
      <c r="D147" s="748">
        <v>0</v>
      </c>
      <c r="E147" s="748">
        <v>0</v>
      </c>
      <c r="F147" s="748">
        <f t="array" ref="F147">SUM(IF('6. Class A Consumption Data'!J371:K371="B",'6. Class A Consumption Data'!J369:K369))</f>
        <v>0</v>
      </c>
      <c r="G147" s="748">
        <f t="array" ref="G147">SUM(IF('6. Class A Consumption Data'!L371:M371="B",'6. Class A Consumption Data'!L369:M369))</f>
        <v>0</v>
      </c>
      <c r="H147" s="748">
        <f t="array" ref="H147">SUM(IF('6. Class A Consumption Data'!N371:O371="B",'6. Class A Consumption Data'!N369:O369))</f>
        <v>0</v>
      </c>
      <c r="I147" s="743">
        <f t="shared" si="6"/>
        <v>0</v>
      </c>
      <c r="J147" s="750">
        <f t="shared" si="7"/>
        <v>0</v>
      </c>
      <c r="K147" s="740">
        <f t="shared" si="8"/>
        <v>0</v>
      </c>
    </row>
    <row r="148" spans="1:11" hidden="1" x14ac:dyDescent="0.3">
      <c r="A148" s="747" t="s">
        <v>2252</v>
      </c>
      <c r="B148" s="747"/>
      <c r="C148" s="742">
        <f t="shared" si="9"/>
        <v>0</v>
      </c>
      <c r="D148" s="748">
        <v>0</v>
      </c>
      <c r="E148" s="748">
        <v>0</v>
      </c>
      <c r="F148" s="748">
        <f t="array" ref="F148">SUM(IF('6. Class A Consumption Data'!J374:K374="B",'6. Class A Consumption Data'!J372:K372))</f>
        <v>0</v>
      </c>
      <c r="G148" s="748">
        <f t="array" ref="G148">SUM(IF('6. Class A Consumption Data'!L374:M374="B",'6. Class A Consumption Data'!L372:M372))</f>
        <v>0</v>
      </c>
      <c r="H148" s="748">
        <f t="array" ref="H148">SUM(IF('6. Class A Consumption Data'!N374:O374="B",'6. Class A Consumption Data'!N372:O372))</f>
        <v>0</v>
      </c>
      <c r="I148" s="743">
        <f t="shared" si="6"/>
        <v>0</v>
      </c>
      <c r="J148" s="750">
        <f t="shared" si="7"/>
        <v>0</v>
      </c>
      <c r="K148" s="740">
        <f t="shared" si="8"/>
        <v>0</v>
      </c>
    </row>
    <row r="149" spans="1:11" hidden="1" x14ac:dyDescent="0.3">
      <c r="A149" s="747" t="s">
        <v>2253</v>
      </c>
      <c r="B149" s="747"/>
      <c r="C149" s="742">
        <f t="shared" si="9"/>
        <v>0</v>
      </c>
      <c r="D149" s="748">
        <v>0</v>
      </c>
      <c r="E149" s="748">
        <v>0</v>
      </c>
      <c r="F149" s="748">
        <f t="array" ref="F149">SUM(IF('6. Class A Consumption Data'!J377:K377="B",'6. Class A Consumption Data'!J375:K375))</f>
        <v>0</v>
      </c>
      <c r="G149" s="748">
        <f t="array" ref="G149">SUM(IF('6. Class A Consumption Data'!L377:M377="B",'6. Class A Consumption Data'!L375:M375))</f>
        <v>0</v>
      </c>
      <c r="H149" s="748">
        <f t="array" ref="H149">SUM(IF('6. Class A Consumption Data'!N377:O377="B",'6. Class A Consumption Data'!N375:O375))</f>
        <v>0</v>
      </c>
      <c r="I149" s="743">
        <f t="shared" si="6"/>
        <v>0</v>
      </c>
      <c r="J149" s="750">
        <f t="shared" si="7"/>
        <v>0</v>
      </c>
      <c r="K149" s="740">
        <f t="shared" si="8"/>
        <v>0</v>
      </c>
    </row>
    <row r="150" spans="1:11" hidden="1" x14ac:dyDescent="0.3">
      <c r="A150" s="747" t="s">
        <v>2254</v>
      </c>
      <c r="B150" s="747"/>
      <c r="C150" s="742">
        <f t="shared" si="9"/>
        <v>0</v>
      </c>
      <c r="D150" s="748">
        <v>0</v>
      </c>
      <c r="E150" s="748">
        <v>0</v>
      </c>
      <c r="F150" s="748">
        <f t="array" ref="F150">SUM(IF('6. Class A Consumption Data'!J380:K380="B",'6. Class A Consumption Data'!J378:K378))</f>
        <v>0</v>
      </c>
      <c r="G150" s="748">
        <f t="array" ref="G150">SUM(IF('6. Class A Consumption Data'!L380:M380="B",'6. Class A Consumption Data'!L378:M378))</f>
        <v>0</v>
      </c>
      <c r="H150" s="748">
        <f t="array" ref="H150">SUM(IF('6. Class A Consumption Data'!N380:O380="B",'6. Class A Consumption Data'!N378:O378))</f>
        <v>0</v>
      </c>
      <c r="I150" s="743">
        <f t="shared" si="6"/>
        <v>0</v>
      </c>
      <c r="J150" s="750">
        <f t="shared" si="7"/>
        <v>0</v>
      </c>
      <c r="K150" s="740">
        <f t="shared" si="8"/>
        <v>0</v>
      </c>
    </row>
    <row r="151" spans="1:11" hidden="1" x14ac:dyDescent="0.3">
      <c r="A151" s="747" t="s">
        <v>2255</v>
      </c>
      <c r="B151" s="747"/>
      <c r="C151" s="742">
        <f t="shared" si="9"/>
        <v>0</v>
      </c>
      <c r="D151" s="748">
        <v>0</v>
      </c>
      <c r="E151" s="748">
        <v>0</v>
      </c>
      <c r="F151" s="748">
        <f t="array" ref="F151">SUM(IF('6. Class A Consumption Data'!J383:K383="B",'6. Class A Consumption Data'!J381:K381))</f>
        <v>0</v>
      </c>
      <c r="G151" s="748">
        <f t="array" ref="G151">SUM(IF('6. Class A Consumption Data'!L383:M383="B",'6. Class A Consumption Data'!L381:M381))</f>
        <v>0</v>
      </c>
      <c r="H151" s="748">
        <f t="array" ref="H151">SUM(IF('6. Class A Consumption Data'!N383:O383="B",'6. Class A Consumption Data'!N381:O381))</f>
        <v>0</v>
      </c>
      <c r="I151" s="743">
        <f t="shared" si="6"/>
        <v>0</v>
      </c>
      <c r="J151" s="750">
        <f t="shared" si="7"/>
        <v>0</v>
      </c>
      <c r="K151" s="740">
        <f t="shared" si="8"/>
        <v>0</v>
      </c>
    </row>
    <row r="152" spans="1:11" hidden="1" x14ac:dyDescent="0.3">
      <c r="A152" s="747" t="s">
        <v>2256</v>
      </c>
      <c r="B152" s="747"/>
      <c r="C152" s="742">
        <f t="shared" si="9"/>
        <v>0</v>
      </c>
      <c r="D152" s="748">
        <v>0</v>
      </c>
      <c r="E152" s="748">
        <v>0</v>
      </c>
      <c r="F152" s="748">
        <f t="array" ref="F152">SUM(IF('6. Class A Consumption Data'!J386:K386="B",'6. Class A Consumption Data'!J384:K384))</f>
        <v>0</v>
      </c>
      <c r="G152" s="748">
        <f t="array" ref="G152">SUM(IF('6. Class A Consumption Data'!L386:M386="B",'6. Class A Consumption Data'!L384:M384))</f>
        <v>0</v>
      </c>
      <c r="H152" s="748">
        <f t="array" ref="H152">SUM(IF('6. Class A Consumption Data'!N386:O386="B",'6. Class A Consumption Data'!N384:O384))</f>
        <v>0</v>
      </c>
      <c r="I152" s="743">
        <f t="shared" si="6"/>
        <v>0</v>
      </c>
      <c r="J152" s="750">
        <f t="shared" si="7"/>
        <v>0</v>
      </c>
      <c r="K152" s="740">
        <f t="shared" si="8"/>
        <v>0</v>
      </c>
    </row>
    <row r="153" spans="1:11" hidden="1" x14ac:dyDescent="0.3">
      <c r="A153" s="747" t="s">
        <v>2257</v>
      </c>
      <c r="B153" s="747"/>
      <c r="C153" s="742">
        <f t="shared" si="9"/>
        <v>0</v>
      </c>
      <c r="D153" s="748">
        <v>0</v>
      </c>
      <c r="E153" s="748">
        <v>0</v>
      </c>
      <c r="F153" s="748">
        <f t="array" ref="F153">SUM(IF('6. Class A Consumption Data'!J389:K389="B",'6. Class A Consumption Data'!J387:K387))</f>
        <v>0</v>
      </c>
      <c r="G153" s="748">
        <f t="array" ref="G153">SUM(IF('6. Class A Consumption Data'!L389:M389="B",'6. Class A Consumption Data'!L387:M387))</f>
        <v>0</v>
      </c>
      <c r="H153" s="748">
        <f t="array" ref="H153">SUM(IF('6. Class A Consumption Data'!N389:O389="B",'6. Class A Consumption Data'!N387:O387))</f>
        <v>0</v>
      </c>
      <c r="I153" s="743">
        <f t="shared" si="6"/>
        <v>0</v>
      </c>
      <c r="J153" s="750">
        <f t="shared" si="7"/>
        <v>0</v>
      </c>
      <c r="K153" s="740">
        <f t="shared" si="8"/>
        <v>0</v>
      </c>
    </row>
    <row r="154" spans="1:11" hidden="1" x14ac:dyDescent="0.3">
      <c r="A154" s="747" t="s">
        <v>2258</v>
      </c>
      <c r="B154" s="747"/>
      <c r="C154" s="742">
        <f t="shared" si="9"/>
        <v>0</v>
      </c>
      <c r="D154" s="748">
        <v>0</v>
      </c>
      <c r="E154" s="748">
        <v>0</v>
      </c>
      <c r="F154" s="748">
        <f t="array" ref="F154">SUM(IF('6. Class A Consumption Data'!J392:K392="B",'6. Class A Consumption Data'!J390:K390))</f>
        <v>0</v>
      </c>
      <c r="G154" s="748">
        <f t="array" ref="G154">SUM(IF('6. Class A Consumption Data'!L392:M392="B",'6. Class A Consumption Data'!L390:M390))</f>
        <v>0</v>
      </c>
      <c r="H154" s="748">
        <f t="array" ref="H154">SUM(IF('6. Class A Consumption Data'!N392:O392="B",'6. Class A Consumption Data'!N390:O390))</f>
        <v>0</v>
      </c>
      <c r="I154" s="743">
        <f t="shared" si="6"/>
        <v>0</v>
      </c>
      <c r="J154" s="750">
        <f t="shared" si="7"/>
        <v>0</v>
      </c>
      <c r="K154" s="740">
        <f t="shared" si="8"/>
        <v>0</v>
      </c>
    </row>
    <row r="155" spans="1:11" hidden="1" x14ac:dyDescent="0.3">
      <c r="A155" s="747" t="s">
        <v>2259</v>
      </c>
      <c r="B155" s="747"/>
      <c r="C155" s="742">
        <f t="shared" si="9"/>
        <v>0</v>
      </c>
      <c r="D155" s="748">
        <v>0</v>
      </c>
      <c r="E155" s="748">
        <v>0</v>
      </c>
      <c r="F155" s="748">
        <f t="array" ref="F155">SUM(IF('6. Class A Consumption Data'!J395:K395="B",'6. Class A Consumption Data'!J393:K393))</f>
        <v>0</v>
      </c>
      <c r="G155" s="748">
        <f t="array" ref="G155">SUM(IF('6. Class A Consumption Data'!L395:M395="B",'6. Class A Consumption Data'!L393:M393))</f>
        <v>0</v>
      </c>
      <c r="H155" s="748">
        <f t="array" ref="H155">SUM(IF('6. Class A Consumption Data'!N395:O395="B",'6. Class A Consumption Data'!N393:O393))</f>
        <v>0</v>
      </c>
      <c r="I155" s="743">
        <f t="shared" si="6"/>
        <v>0</v>
      </c>
      <c r="J155" s="750">
        <f t="shared" si="7"/>
        <v>0</v>
      </c>
      <c r="K155" s="740">
        <f t="shared" si="8"/>
        <v>0</v>
      </c>
    </row>
    <row r="156" spans="1:11" hidden="1" x14ac:dyDescent="0.3">
      <c r="A156" s="747" t="s">
        <v>2260</v>
      </c>
      <c r="B156" s="747"/>
      <c r="C156" s="742">
        <f t="shared" si="9"/>
        <v>0</v>
      </c>
      <c r="D156" s="748">
        <v>0</v>
      </c>
      <c r="E156" s="748">
        <v>0</v>
      </c>
      <c r="F156" s="748">
        <f t="array" ref="F156">SUM(IF('6. Class A Consumption Data'!J398:K398="B",'6. Class A Consumption Data'!J396:K396))</f>
        <v>0</v>
      </c>
      <c r="G156" s="748">
        <f t="array" ref="G156">SUM(IF('6. Class A Consumption Data'!L398:M398="B",'6. Class A Consumption Data'!L396:M396))</f>
        <v>0</v>
      </c>
      <c r="H156" s="748">
        <f t="array" ref="H156">SUM(IF('6. Class A Consumption Data'!N398:O398="B",'6. Class A Consumption Data'!N396:O396))</f>
        <v>0</v>
      </c>
      <c r="I156" s="743">
        <f t="shared" si="6"/>
        <v>0</v>
      </c>
      <c r="J156" s="750">
        <f t="shared" si="7"/>
        <v>0</v>
      </c>
      <c r="K156" s="740">
        <f t="shared" si="8"/>
        <v>0</v>
      </c>
    </row>
    <row r="157" spans="1:11" hidden="1" x14ac:dyDescent="0.3">
      <c r="A157" s="747" t="s">
        <v>2261</v>
      </c>
      <c r="B157" s="747"/>
      <c r="C157" s="742">
        <f t="shared" si="9"/>
        <v>0</v>
      </c>
      <c r="D157" s="748">
        <v>0</v>
      </c>
      <c r="E157" s="748">
        <v>0</v>
      </c>
      <c r="F157" s="748">
        <f t="array" ref="F157">SUM(IF('6. Class A Consumption Data'!J401:K401="B",'6. Class A Consumption Data'!J399:K399))</f>
        <v>0</v>
      </c>
      <c r="G157" s="748">
        <f t="array" ref="G157">SUM(IF('6. Class A Consumption Data'!L401:M401="B",'6. Class A Consumption Data'!L399:M399))</f>
        <v>0</v>
      </c>
      <c r="H157" s="748">
        <f t="array" ref="H157">SUM(IF('6. Class A Consumption Data'!N401:O401="B",'6. Class A Consumption Data'!N399:O399))</f>
        <v>0</v>
      </c>
      <c r="I157" s="743">
        <f t="shared" si="6"/>
        <v>0</v>
      </c>
      <c r="J157" s="750">
        <f t="shared" si="7"/>
        <v>0</v>
      </c>
      <c r="K157" s="740">
        <f t="shared" si="8"/>
        <v>0</v>
      </c>
    </row>
    <row r="158" spans="1:11" hidden="1" x14ac:dyDescent="0.3">
      <c r="A158" s="747" t="s">
        <v>2262</v>
      </c>
      <c r="B158" s="747"/>
      <c r="C158" s="742">
        <f t="shared" si="9"/>
        <v>0</v>
      </c>
      <c r="D158" s="748">
        <v>0</v>
      </c>
      <c r="E158" s="748">
        <v>0</v>
      </c>
      <c r="F158" s="748">
        <f t="array" ref="F158">SUM(IF('6. Class A Consumption Data'!J404:K404="B",'6. Class A Consumption Data'!J402:K402))</f>
        <v>0</v>
      </c>
      <c r="G158" s="748">
        <f t="array" ref="G158">SUM(IF('6. Class A Consumption Data'!L404:M404="B",'6. Class A Consumption Data'!L402:M402))</f>
        <v>0</v>
      </c>
      <c r="H158" s="748">
        <f t="array" ref="H158">SUM(IF('6. Class A Consumption Data'!N404:O404="B",'6. Class A Consumption Data'!N402:O402))</f>
        <v>0</v>
      </c>
      <c r="I158" s="743">
        <f t="shared" si="6"/>
        <v>0</v>
      </c>
      <c r="J158" s="750">
        <f t="shared" si="7"/>
        <v>0</v>
      </c>
      <c r="K158" s="740">
        <f t="shared" si="8"/>
        <v>0</v>
      </c>
    </row>
    <row r="159" spans="1:11" hidden="1" x14ac:dyDescent="0.3">
      <c r="A159" s="747" t="s">
        <v>2263</v>
      </c>
      <c r="B159" s="747"/>
      <c r="C159" s="742">
        <f t="shared" si="9"/>
        <v>0</v>
      </c>
      <c r="D159" s="748">
        <v>0</v>
      </c>
      <c r="E159" s="748">
        <v>0</v>
      </c>
      <c r="F159" s="748">
        <f t="array" ref="F159">SUM(IF('6. Class A Consumption Data'!J407:K407="B",'6. Class A Consumption Data'!J405:K405))</f>
        <v>0</v>
      </c>
      <c r="G159" s="748">
        <f t="array" ref="G159">SUM(IF('6. Class A Consumption Data'!L407:M407="B",'6. Class A Consumption Data'!L405:M405))</f>
        <v>0</v>
      </c>
      <c r="H159" s="748">
        <f t="array" ref="H159">SUM(IF('6. Class A Consumption Data'!N407:O407="B",'6. Class A Consumption Data'!N405:O405))</f>
        <v>0</v>
      </c>
      <c r="I159" s="743">
        <f t="shared" si="6"/>
        <v>0</v>
      </c>
      <c r="J159" s="750">
        <f t="shared" si="7"/>
        <v>0</v>
      </c>
      <c r="K159" s="740">
        <f t="shared" si="8"/>
        <v>0</v>
      </c>
    </row>
    <row r="160" spans="1:11" hidden="1" x14ac:dyDescent="0.3">
      <c r="A160" s="747" t="s">
        <v>2264</v>
      </c>
      <c r="B160" s="747"/>
      <c r="C160" s="742">
        <f t="shared" si="9"/>
        <v>0</v>
      </c>
      <c r="D160" s="748">
        <v>0</v>
      </c>
      <c r="E160" s="748">
        <v>0</v>
      </c>
      <c r="F160" s="748">
        <f t="array" ref="F160">SUM(IF('6. Class A Consumption Data'!J410:K410="B",'6. Class A Consumption Data'!J408:K408))</f>
        <v>0</v>
      </c>
      <c r="G160" s="748">
        <f t="array" ref="G160">SUM(IF('6. Class A Consumption Data'!L410:M410="B",'6. Class A Consumption Data'!L408:M408))</f>
        <v>0</v>
      </c>
      <c r="H160" s="748">
        <f t="array" ref="H160">SUM(IF('6. Class A Consumption Data'!N410:O410="B",'6. Class A Consumption Data'!N408:O408))</f>
        <v>0</v>
      </c>
      <c r="I160" s="743">
        <f t="shared" si="6"/>
        <v>0</v>
      </c>
      <c r="J160" s="750">
        <f t="shared" si="7"/>
        <v>0</v>
      </c>
      <c r="K160" s="740">
        <f t="shared" si="8"/>
        <v>0</v>
      </c>
    </row>
    <row r="161" spans="1:11" hidden="1" x14ac:dyDescent="0.3">
      <c r="A161" s="747" t="s">
        <v>2265</v>
      </c>
      <c r="B161" s="747"/>
      <c r="C161" s="742">
        <f t="shared" si="9"/>
        <v>0</v>
      </c>
      <c r="D161" s="748">
        <v>0</v>
      </c>
      <c r="E161" s="748">
        <v>0</v>
      </c>
      <c r="F161" s="748">
        <f t="array" ref="F161">SUM(IF('6. Class A Consumption Data'!J413:K413="B",'6. Class A Consumption Data'!J411:K411))</f>
        <v>0</v>
      </c>
      <c r="G161" s="748">
        <f t="array" ref="G161">SUM(IF('6. Class A Consumption Data'!L413:M413="B",'6. Class A Consumption Data'!L411:M411))</f>
        <v>0</v>
      </c>
      <c r="H161" s="748">
        <f t="array" ref="H161">SUM(IF('6. Class A Consumption Data'!N413:O413="B",'6. Class A Consumption Data'!N411:O411))</f>
        <v>0</v>
      </c>
      <c r="I161" s="743">
        <f t="shared" si="6"/>
        <v>0</v>
      </c>
      <c r="J161" s="750">
        <f t="shared" si="7"/>
        <v>0</v>
      </c>
      <c r="K161" s="740">
        <f t="shared" si="8"/>
        <v>0</v>
      </c>
    </row>
    <row r="162" spans="1:11" hidden="1" x14ac:dyDescent="0.3">
      <c r="A162" s="747" t="s">
        <v>2266</v>
      </c>
      <c r="B162" s="747"/>
      <c r="C162" s="742">
        <f t="shared" ref="C162:C183" si="10">SUM(D162:E162)</f>
        <v>0</v>
      </c>
      <c r="D162" s="748">
        <v>0</v>
      </c>
      <c r="E162" s="748">
        <v>0</v>
      </c>
      <c r="F162" s="748">
        <f t="array" ref="F162">SUM(IF('6. Class A Consumption Data'!J416:K416="B",'6. Class A Consumption Data'!J414:K414))</f>
        <v>0</v>
      </c>
      <c r="G162" s="748">
        <f t="array" ref="G162">SUM(IF('6. Class A Consumption Data'!L416:M416="B",'6. Class A Consumption Data'!L414:M414))</f>
        <v>0</v>
      </c>
      <c r="H162" s="748">
        <f t="array" ref="H162">SUM(IF('6. Class A Consumption Data'!N416:O416="B",'6. Class A Consumption Data'!N414:O414))</f>
        <v>0</v>
      </c>
      <c r="I162" s="743">
        <f t="shared" si="6"/>
        <v>0</v>
      </c>
      <c r="J162" s="750">
        <f t="shared" si="7"/>
        <v>0</v>
      </c>
      <c r="K162" s="740">
        <f t="shared" si="8"/>
        <v>0</v>
      </c>
    </row>
    <row r="163" spans="1:11" hidden="1" x14ac:dyDescent="0.3">
      <c r="A163" s="747" t="s">
        <v>2267</v>
      </c>
      <c r="B163" s="747"/>
      <c r="C163" s="742">
        <f t="shared" si="10"/>
        <v>0</v>
      </c>
      <c r="D163" s="748">
        <v>0</v>
      </c>
      <c r="E163" s="748">
        <v>0</v>
      </c>
      <c r="F163" s="748">
        <f t="array" ref="F163">SUM(IF('6. Class A Consumption Data'!J419:K419="B",'6. Class A Consumption Data'!J417:K417))</f>
        <v>0</v>
      </c>
      <c r="G163" s="748">
        <f t="array" ref="G163">SUM(IF('6. Class A Consumption Data'!L419:M419="B",'6. Class A Consumption Data'!L417:M417))</f>
        <v>0</v>
      </c>
      <c r="H163" s="748">
        <f t="array" ref="H163">SUM(IF('6. Class A Consumption Data'!N419:O419="B",'6. Class A Consumption Data'!N417:O417))</f>
        <v>0</v>
      </c>
      <c r="I163" s="743">
        <f t="shared" ref="I163:I183" si="11">IFERROR(+C163/$C$184,0)</f>
        <v>0</v>
      </c>
      <c r="J163" s="750">
        <f t="shared" si="7"/>
        <v>0</v>
      </c>
      <c r="K163" s="740">
        <f t="shared" si="8"/>
        <v>0</v>
      </c>
    </row>
    <row r="164" spans="1:11" hidden="1" x14ac:dyDescent="0.3">
      <c r="A164" s="747" t="s">
        <v>2268</v>
      </c>
      <c r="B164" s="747"/>
      <c r="C164" s="742">
        <f t="shared" si="10"/>
        <v>0</v>
      </c>
      <c r="D164" s="748">
        <v>0</v>
      </c>
      <c r="E164" s="748">
        <v>0</v>
      </c>
      <c r="F164" s="748">
        <f t="array" ref="F164">SUM(IF('6. Class A Consumption Data'!J422:K422="B",'6. Class A Consumption Data'!J420:K420))</f>
        <v>0</v>
      </c>
      <c r="G164" s="748">
        <f t="array" ref="G164">SUM(IF('6. Class A Consumption Data'!L422:M422="B",'6. Class A Consumption Data'!L420:M420))</f>
        <v>0</v>
      </c>
      <c r="H164" s="748">
        <f t="array" ref="H164">SUM(IF('6. Class A Consumption Data'!N422:O422="B",'6. Class A Consumption Data'!N420:O420))</f>
        <v>0</v>
      </c>
      <c r="I164" s="743">
        <f t="shared" si="11"/>
        <v>0</v>
      </c>
      <c r="J164" s="750">
        <f t="shared" si="7"/>
        <v>0</v>
      </c>
      <c r="K164" s="740">
        <f t="shared" si="8"/>
        <v>0</v>
      </c>
    </row>
    <row r="165" spans="1:11" hidden="1" x14ac:dyDescent="0.3">
      <c r="A165" s="747" t="s">
        <v>2269</v>
      </c>
      <c r="B165" s="747"/>
      <c r="C165" s="742">
        <f t="shared" si="10"/>
        <v>0</v>
      </c>
      <c r="D165" s="748">
        <v>0</v>
      </c>
      <c r="E165" s="748">
        <v>0</v>
      </c>
      <c r="F165" s="748">
        <f t="array" ref="F165">SUM(IF('6. Class A Consumption Data'!J425:K425="B",'6. Class A Consumption Data'!J423:K423))</f>
        <v>0</v>
      </c>
      <c r="G165" s="748">
        <f t="array" ref="G165">SUM(IF('6. Class A Consumption Data'!L425:M425="B",'6. Class A Consumption Data'!L423:M423))</f>
        <v>0</v>
      </c>
      <c r="H165" s="748">
        <f t="array" ref="H165">SUM(IF('6. Class A Consumption Data'!N425:O425="B",'6. Class A Consumption Data'!N423:O423))</f>
        <v>0</v>
      </c>
      <c r="I165" s="743">
        <f t="shared" si="11"/>
        <v>0</v>
      </c>
      <c r="J165" s="750">
        <f t="shared" si="7"/>
        <v>0</v>
      </c>
      <c r="K165" s="740">
        <f t="shared" si="8"/>
        <v>0</v>
      </c>
    </row>
    <row r="166" spans="1:11" hidden="1" x14ac:dyDescent="0.3">
      <c r="A166" s="747" t="s">
        <v>2270</v>
      </c>
      <c r="B166" s="747"/>
      <c r="C166" s="742">
        <f t="shared" si="10"/>
        <v>0</v>
      </c>
      <c r="D166" s="748">
        <v>0</v>
      </c>
      <c r="E166" s="748">
        <v>0</v>
      </c>
      <c r="F166" s="748">
        <f t="array" ref="F166">SUM(IF('6. Class A Consumption Data'!J428:K428="B",'6. Class A Consumption Data'!J426:K426))</f>
        <v>0</v>
      </c>
      <c r="G166" s="748">
        <f t="array" ref="G166">SUM(IF('6. Class A Consumption Data'!L428:M428="B",'6. Class A Consumption Data'!L426:M426))</f>
        <v>0</v>
      </c>
      <c r="H166" s="748">
        <f t="array" ref="H166">SUM(IF('6. Class A Consumption Data'!N428:O428="B",'6. Class A Consumption Data'!N426:O426))</f>
        <v>0</v>
      </c>
      <c r="I166" s="743">
        <f t="shared" si="11"/>
        <v>0</v>
      </c>
      <c r="J166" s="750">
        <f t="shared" ref="J166:J183" si="12">+I166*$C$28</f>
        <v>0</v>
      </c>
      <c r="K166" s="740">
        <f t="shared" ref="K166:K183" si="13">+J166/12</f>
        <v>0</v>
      </c>
    </row>
    <row r="167" spans="1:11" hidden="1" x14ac:dyDescent="0.3">
      <c r="A167" s="747" t="s">
        <v>2271</v>
      </c>
      <c r="B167" s="747"/>
      <c r="C167" s="742">
        <f t="shared" si="10"/>
        <v>0</v>
      </c>
      <c r="D167" s="748">
        <v>0</v>
      </c>
      <c r="E167" s="748">
        <v>0</v>
      </c>
      <c r="F167" s="748">
        <f t="array" ref="F167">SUM(IF('6. Class A Consumption Data'!J431:K431="B",'6. Class A Consumption Data'!J429:K429))</f>
        <v>0</v>
      </c>
      <c r="G167" s="748">
        <f t="array" ref="G167">SUM(IF('6. Class A Consumption Data'!L431:M431="B",'6. Class A Consumption Data'!L429:M429))</f>
        <v>0</v>
      </c>
      <c r="H167" s="748">
        <f t="array" ref="H167">SUM(IF('6. Class A Consumption Data'!N431:O431="B",'6. Class A Consumption Data'!N429:O429))</f>
        <v>0</v>
      </c>
      <c r="I167" s="743">
        <f t="shared" si="11"/>
        <v>0</v>
      </c>
      <c r="J167" s="750">
        <f t="shared" si="12"/>
        <v>0</v>
      </c>
      <c r="K167" s="740">
        <f t="shared" si="13"/>
        <v>0</v>
      </c>
    </row>
    <row r="168" spans="1:11" hidden="1" x14ac:dyDescent="0.3">
      <c r="A168" s="747" t="s">
        <v>2272</v>
      </c>
      <c r="B168" s="747"/>
      <c r="C168" s="742">
        <f t="shared" si="10"/>
        <v>0</v>
      </c>
      <c r="D168" s="748">
        <v>0</v>
      </c>
      <c r="E168" s="748">
        <v>0</v>
      </c>
      <c r="F168" s="748">
        <f t="array" ref="F168">SUM(IF('6. Class A Consumption Data'!J434:K434="B",'6. Class A Consumption Data'!J432:K432))</f>
        <v>0</v>
      </c>
      <c r="G168" s="748">
        <f t="array" ref="G168">SUM(IF('6. Class A Consumption Data'!L434:M434="B",'6. Class A Consumption Data'!L432:M432))</f>
        <v>0</v>
      </c>
      <c r="H168" s="748">
        <f t="array" ref="H168">SUM(IF('6. Class A Consumption Data'!N434:O434="B",'6. Class A Consumption Data'!N432:O432))</f>
        <v>0</v>
      </c>
      <c r="I168" s="743">
        <f t="shared" si="11"/>
        <v>0</v>
      </c>
      <c r="J168" s="750">
        <f t="shared" si="12"/>
        <v>0</v>
      </c>
      <c r="K168" s="740">
        <f t="shared" si="13"/>
        <v>0</v>
      </c>
    </row>
    <row r="169" spans="1:11" hidden="1" x14ac:dyDescent="0.3">
      <c r="A169" s="747" t="s">
        <v>2273</v>
      </c>
      <c r="B169" s="747"/>
      <c r="C169" s="742">
        <f t="shared" si="10"/>
        <v>0</v>
      </c>
      <c r="D169" s="748">
        <v>0</v>
      </c>
      <c r="E169" s="748">
        <v>0</v>
      </c>
      <c r="F169" s="748">
        <f t="array" ref="F169">SUM(IF('6. Class A Consumption Data'!J437:K437="B",'6. Class A Consumption Data'!J435:K435))</f>
        <v>0</v>
      </c>
      <c r="G169" s="748">
        <f t="array" ref="G169">SUM(IF('6. Class A Consumption Data'!L437:M437="B",'6. Class A Consumption Data'!L435:M435))</f>
        <v>0</v>
      </c>
      <c r="H169" s="748">
        <f t="array" ref="H169">SUM(IF('6. Class A Consumption Data'!N437:O437="B",'6. Class A Consumption Data'!N435:O435))</f>
        <v>0</v>
      </c>
      <c r="I169" s="743">
        <f t="shared" si="11"/>
        <v>0</v>
      </c>
      <c r="J169" s="750">
        <f t="shared" si="12"/>
        <v>0</v>
      </c>
      <c r="K169" s="740">
        <f t="shared" si="13"/>
        <v>0</v>
      </c>
    </row>
    <row r="170" spans="1:11" hidden="1" x14ac:dyDescent="0.3">
      <c r="A170" s="747" t="s">
        <v>2274</v>
      </c>
      <c r="B170" s="747"/>
      <c r="C170" s="742">
        <f t="shared" si="10"/>
        <v>0</v>
      </c>
      <c r="D170" s="748">
        <v>0</v>
      </c>
      <c r="E170" s="748">
        <v>0</v>
      </c>
      <c r="F170" s="748">
        <f t="array" ref="F170">SUM(IF('6. Class A Consumption Data'!J440:K440="B",'6. Class A Consumption Data'!J438:K438))</f>
        <v>0</v>
      </c>
      <c r="G170" s="748">
        <f t="array" ref="G170">SUM(IF('6. Class A Consumption Data'!L440:M440="B",'6. Class A Consumption Data'!L438:M438))</f>
        <v>0</v>
      </c>
      <c r="H170" s="748">
        <f t="array" ref="H170">SUM(IF('6. Class A Consumption Data'!N440:O440="B",'6. Class A Consumption Data'!N438:O438))</f>
        <v>0</v>
      </c>
      <c r="I170" s="743">
        <f t="shared" si="11"/>
        <v>0</v>
      </c>
      <c r="J170" s="750">
        <f t="shared" si="12"/>
        <v>0</v>
      </c>
      <c r="K170" s="740">
        <f t="shared" si="13"/>
        <v>0</v>
      </c>
    </row>
    <row r="171" spans="1:11" hidden="1" x14ac:dyDescent="0.3">
      <c r="A171" s="747" t="s">
        <v>2275</v>
      </c>
      <c r="B171" s="747"/>
      <c r="C171" s="742">
        <f t="shared" si="10"/>
        <v>0</v>
      </c>
      <c r="D171" s="748">
        <v>0</v>
      </c>
      <c r="E171" s="748">
        <v>0</v>
      </c>
      <c r="F171" s="748">
        <f t="array" ref="F171">SUM(IF('6. Class A Consumption Data'!J443:K443="B",'6. Class A Consumption Data'!J441:K441))</f>
        <v>0</v>
      </c>
      <c r="G171" s="748">
        <f t="array" ref="G171">SUM(IF('6. Class A Consumption Data'!L443:M443="B",'6. Class A Consumption Data'!L441:M441))</f>
        <v>0</v>
      </c>
      <c r="H171" s="748">
        <f t="array" ref="H171">SUM(IF('6. Class A Consumption Data'!N443:O443="B",'6. Class A Consumption Data'!N441:O441))</f>
        <v>0</v>
      </c>
      <c r="I171" s="743">
        <f t="shared" si="11"/>
        <v>0</v>
      </c>
      <c r="J171" s="750">
        <f t="shared" si="12"/>
        <v>0</v>
      </c>
      <c r="K171" s="740">
        <f t="shared" si="13"/>
        <v>0</v>
      </c>
    </row>
    <row r="172" spans="1:11" hidden="1" x14ac:dyDescent="0.3">
      <c r="A172" s="747" t="s">
        <v>2276</v>
      </c>
      <c r="B172" s="747"/>
      <c r="C172" s="742">
        <f t="shared" si="10"/>
        <v>0</v>
      </c>
      <c r="D172" s="748">
        <v>0</v>
      </c>
      <c r="E172" s="748">
        <v>0</v>
      </c>
      <c r="F172" s="748">
        <f t="array" ref="F172">SUM(IF('6. Class A Consumption Data'!J446:K446="B",'6. Class A Consumption Data'!J444:K444))</f>
        <v>0</v>
      </c>
      <c r="G172" s="748">
        <f t="array" ref="G172">SUM(IF('6. Class A Consumption Data'!L446:M446="B",'6. Class A Consumption Data'!L444:M444))</f>
        <v>0</v>
      </c>
      <c r="H172" s="748">
        <f t="array" ref="H172">SUM(IF('6. Class A Consumption Data'!N446:O446="B",'6. Class A Consumption Data'!N444:O444))</f>
        <v>0</v>
      </c>
      <c r="I172" s="743">
        <f t="shared" si="11"/>
        <v>0</v>
      </c>
      <c r="J172" s="750">
        <f t="shared" si="12"/>
        <v>0</v>
      </c>
      <c r="K172" s="740">
        <f t="shared" si="13"/>
        <v>0</v>
      </c>
    </row>
    <row r="173" spans="1:11" hidden="1" x14ac:dyDescent="0.3">
      <c r="A173" s="747" t="s">
        <v>2277</v>
      </c>
      <c r="B173" s="747"/>
      <c r="C173" s="742">
        <f t="shared" si="10"/>
        <v>0</v>
      </c>
      <c r="D173" s="748">
        <v>0</v>
      </c>
      <c r="E173" s="748">
        <v>0</v>
      </c>
      <c r="F173" s="748">
        <f t="array" ref="F173">SUM(IF('6. Class A Consumption Data'!J449:K449="B",'6. Class A Consumption Data'!J447:K447))</f>
        <v>0</v>
      </c>
      <c r="G173" s="748">
        <f t="array" ref="G173">SUM(IF('6. Class A Consumption Data'!L449:M449="B",'6. Class A Consumption Data'!L447:M447))</f>
        <v>0</v>
      </c>
      <c r="H173" s="748">
        <f t="array" ref="H173">SUM(IF('6. Class A Consumption Data'!N449:O449="B",'6. Class A Consumption Data'!N447:O447))</f>
        <v>0</v>
      </c>
      <c r="I173" s="743">
        <f t="shared" si="11"/>
        <v>0</v>
      </c>
      <c r="J173" s="750">
        <f t="shared" si="12"/>
        <v>0</v>
      </c>
      <c r="K173" s="740">
        <f t="shared" si="13"/>
        <v>0</v>
      </c>
    </row>
    <row r="174" spans="1:11" hidden="1" x14ac:dyDescent="0.3">
      <c r="A174" s="747" t="s">
        <v>2278</v>
      </c>
      <c r="B174" s="747"/>
      <c r="C174" s="742">
        <f t="shared" si="10"/>
        <v>0</v>
      </c>
      <c r="D174" s="748">
        <v>0</v>
      </c>
      <c r="E174" s="748">
        <v>0</v>
      </c>
      <c r="F174" s="748">
        <f t="array" ref="F174">SUM(IF('6. Class A Consumption Data'!J452:K452="B",'6. Class A Consumption Data'!J450:K450))</f>
        <v>0</v>
      </c>
      <c r="G174" s="748">
        <f t="array" ref="G174">SUM(IF('6. Class A Consumption Data'!L452:M452="B",'6. Class A Consumption Data'!L450:M450))</f>
        <v>0</v>
      </c>
      <c r="H174" s="748">
        <f t="array" ref="H174">SUM(IF('6. Class A Consumption Data'!N452:O452="B",'6. Class A Consumption Data'!N450:O450))</f>
        <v>0</v>
      </c>
      <c r="I174" s="743">
        <f t="shared" si="11"/>
        <v>0</v>
      </c>
      <c r="J174" s="750">
        <f t="shared" si="12"/>
        <v>0</v>
      </c>
      <c r="K174" s="740">
        <f t="shared" si="13"/>
        <v>0</v>
      </c>
    </row>
    <row r="175" spans="1:11" hidden="1" x14ac:dyDescent="0.3">
      <c r="A175" s="747" t="s">
        <v>2279</v>
      </c>
      <c r="B175" s="747"/>
      <c r="C175" s="742">
        <f t="shared" si="10"/>
        <v>0</v>
      </c>
      <c r="D175" s="748">
        <v>0</v>
      </c>
      <c r="E175" s="748">
        <v>0</v>
      </c>
      <c r="F175" s="748">
        <f t="array" ref="F175">SUM(IF('6. Class A Consumption Data'!J455:K455="B",'6. Class A Consumption Data'!J453:K453))</f>
        <v>0</v>
      </c>
      <c r="G175" s="748">
        <f t="array" ref="G175">SUM(IF('6. Class A Consumption Data'!L455:M455="B",'6. Class A Consumption Data'!L453:M453))</f>
        <v>0</v>
      </c>
      <c r="H175" s="748">
        <f t="array" ref="H175">SUM(IF('6. Class A Consumption Data'!N455:O455="B",'6. Class A Consumption Data'!N453:O453))</f>
        <v>0</v>
      </c>
      <c r="I175" s="743">
        <f t="shared" si="11"/>
        <v>0</v>
      </c>
      <c r="J175" s="750">
        <f t="shared" si="12"/>
        <v>0</v>
      </c>
      <c r="K175" s="740">
        <f t="shared" si="13"/>
        <v>0</v>
      </c>
    </row>
    <row r="176" spans="1:11" hidden="1" x14ac:dyDescent="0.3">
      <c r="A176" s="747" t="s">
        <v>2280</v>
      </c>
      <c r="B176" s="747"/>
      <c r="C176" s="742">
        <f t="shared" si="10"/>
        <v>0</v>
      </c>
      <c r="D176" s="748">
        <v>0</v>
      </c>
      <c r="E176" s="748">
        <v>0</v>
      </c>
      <c r="F176" s="748">
        <f t="array" ref="F176">SUM(IF('6. Class A Consumption Data'!J458:K458="B",'6. Class A Consumption Data'!J456:K456))</f>
        <v>0</v>
      </c>
      <c r="G176" s="748">
        <f t="array" ref="G176">SUM(IF('6. Class A Consumption Data'!L458:M458="B",'6. Class A Consumption Data'!L456:M456))</f>
        <v>0</v>
      </c>
      <c r="H176" s="748">
        <f t="array" ref="H176">SUM(IF('6. Class A Consumption Data'!N458:O458="B",'6. Class A Consumption Data'!N456:O456))</f>
        <v>0</v>
      </c>
      <c r="I176" s="743">
        <f t="shared" si="11"/>
        <v>0</v>
      </c>
      <c r="J176" s="750">
        <f t="shared" si="12"/>
        <v>0</v>
      </c>
      <c r="K176" s="740">
        <f t="shared" si="13"/>
        <v>0</v>
      </c>
    </row>
    <row r="177" spans="1:11" hidden="1" x14ac:dyDescent="0.3">
      <c r="A177" s="747" t="s">
        <v>2281</v>
      </c>
      <c r="B177" s="747"/>
      <c r="C177" s="742">
        <f t="shared" si="10"/>
        <v>0</v>
      </c>
      <c r="D177" s="748">
        <v>0</v>
      </c>
      <c r="E177" s="748">
        <v>0</v>
      </c>
      <c r="F177" s="748">
        <f t="array" ref="F177">SUM(IF('6. Class A Consumption Data'!J461:K461="B",'6. Class A Consumption Data'!J459:K459))</f>
        <v>0</v>
      </c>
      <c r="G177" s="748">
        <f t="array" ref="G177">SUM(IF('6. Class A Consumption Data'!L461:M461="B",'6. Class A Consumption Data'!L459:M459))</f>
        <v>0</v>
      </c>
      <c r="H177" s="748">
        <f t="array" ref="H177">SUM(IF('6. Class A Consumption Data'!N461:O461="B",'6. Class A Consumption Data'!N459:O459))</f>
        <v>0</v>
      </c>
      <c r="I177" s="743">
        <f t="shared" si="11"/>
        <v>0</v>
      </c>
      <c r="J177" s="750">
        <f t="shared" si="12"/>
        <v>0</v>
      </c>
      <c r="K177" s="740">
        <f t="shared" si="13"/>
        <v>0</v>
      </c>
    </row>
    <row r="178" spans="1:11" hidden="1" x14ac:dyDescent="0.3">
      <c r="A178" s="747" t="s">
        <v>2282</v>
      </c>
      <c r="B178" s="747"/>
      <c r="C178" s="742">
        <f t="shared" si="10"/>
        <v>0</v>
      </c>
      <c r="D178" s="748">
        <v>0</v>
      </c>
      <c r="E178" s="748">
        <v>0</v>
      </c>
      <c r="F178" s="748">
        <f t="array" ref="F178">SUM(IF('6. Class A Consumption Data'!J464:K464="B",'6. Class A Consumption Data'!J462:K462))</f>
        <v>0</v>
      </c>
      <c r="G178" s="748">
        <f t="array" ref="G178">SUM(IF('6. Class A Consumption Data'!L464:M464="B",'6. Class A Consumption Data'!L462:M462))</f>
        <v>0</v>
      </c>
      <c r="H178" s="748">
        <f t="array" ref="H178">SUM(IF('6. Class A Consumption Data'!N464:O464="B",'6. Class A Consumption Data'!N462:O462))</f>
        <v>0</v>
      </c>
      <c r="I178" s="743">
        <f t="shared" si="11"/>
        <v>0</v>
      </c>
      <c r="J178" s="750">
        <f t="shared" si="12"/>
        <v>0</v>
      </c>
      <c r="K178" s="740">
        <f t="shared" si="13"/>
        <v>0</v>
      </c>
    </row>
    <row r="179" spans="1:11" hidden="1" x14ac:dyDescent="0.3">
      <c r="A179" s="747" t="s">
        <v>2283</v>
      </c>
      <c r="B179" s="747"/>
      <c r="C179" s="742">
        <f t="shared" si="10"/>
        <v>0</v>
      </c>
      <c r="D179" s="748">
        <v>0</v>
      </c>
      <c r="E179" s="748">
        <v>0</v>
      </c>
      <c r="F179" s="748">
        <f t="array" ref="F179">SUM(IF('6. Class A Consumption Data'!J467:K467="B",'6. Class A Consumption Data'!J465:K465))</f>
        <v>0</v>
      </c>
      <c r="G179" s="748">
        <f t="array" ref="G179">SUM(IF('6. Class A Consumption Data'!L467:M467="B",'6. Class A Consumption Data'!L465:M465))</f>
        <v>0</v>
      </c>
      <c r="H179" s="748">
        <f t="array" ref="H179">SUM(IF('6. Class A Consumption Data'!N467:O467="B",'6. Class A Consumption Data'!N465:O465))</f>
        <v>0</v>
      </c>
      <c r="I179" s="743">
        <f t="shared" si="11"/>
        <v>0</v>
      </c>
      <c r="J179" s="750">
        <f t="shared" si="12"/>
        <v>0</v>
      </c>
      <c r="K179" s="740">
        <f t="shared" si="13"/>
        <v>0</v>
      </c>
    </row>
    <row r="180" spans="1:11" hidden="1" x14ac:dyDescent="0.3">
      <c r="A180" s="747" t="s">
        <v>2284</v>
      </c>
      <c r="B180" s="747"/>
      <c r="C180" s="742">
        <f t="shared" si="10"/>
        <v>0</v>
      </c>
      <c r="D180" s="748">
        <v>0</v>
      </c>
      <c r="E180" s="748">
        <v>0</v>
      </c>
      <c r="F180" s="748">
        <f t="array" ref="F180">SUM(IF('6. Class A Consumption Data'!J470:K470="B",'6. Class A Consumption Data'!J468:K468))</f>
        <v>0</v>
      </c>
      <c r="G180" s="748">
        <f t="array" ref="G180">SUM(IF('6. Class A Consumption Data'!L470:M470="B",'6. Class A Consumption Data'!L468:M468))</f>
        <v>0</v>
      </c>
      <c r="H180" s="748">
        <f t="array" ref="H180">SUM(IF('6. Class A Consumption Data'!N470:O470="B",'6. Class A Consumption Data'!N468:O468))</f>
        <v>0</v>
      </c>
      <c r="I180" s="743">
        <f t="shared" si="11"/>
        <v>0</v>
      </c>
      <c r="J180" s="750">
        <f t="shared" si="12"/>
        <v>0</v>
      </c>
      <c r="K180" s="740">
        <f t="shared" si="13"/>
        <v>0</v>
      </c>
    </row>
    <row r="181" spans="1:11" hidden="1" x14ac:dyDescent="0.3">
      <c r="A181" s="747" t="s">
        <v>2285</v>
      </c>
      <c r="B181" s="747"/>
      <c r="C181" s="742">
        <f t="shared" si="10"/>
        <v>0</v>
      </c>
      <c r="D181" s="748">
        <v>0</v>
      </c>
      <c r="E181" s="748">
        <v>0</v>
      </c>
      <c r="F181" s="748">
        <f t="array" ref="F181">SUM(IF('6. Class A Consumption Data'!J473:K473="B",'6. Class A Consumption Data'!J471:K471))</f>
        <v>0</v>
      </c>
      <c r="G181" s="748">
        <f t="array" ref="G181">SUM(IF('6. Class A Consumption Data'!L473:M473="B",'6. Class A Consumption Data'!L471:M471))</f>
        <v>0</v>
      </c>
      <c r="H181" s="748">
        <f t="array" ref="H181">SUM(IF('6. Class A Consumption Data'!N473:O473="B",'6. Class A Consumption Data'!N471:O471))</f>
        <v>0</v>
      </c>
      <c r="I181" s="743">
        <f t="shared" si="11"/>
        <v>0</v>
      </c>
      <c r="J181" s="750">
        <f t="shared" si="12"/>
        <v>0</v>
      </c>
      <c r="K181" s="740">
        <f t="shared" si="13"/>
        <v>0</v>
      </c>
    </row>
    <row r="182" spans="1:11" hidden="1" x14ac:dyDescent="0.3">
      <c r="A182" s="747" t="s">
        <v>2286</v>
      </c>
      <c r="B182" s="747"/>
      <c r="C182" s="742">
        <f t="shared" si="10"/>
        <v>0</v>
      </c>
      <c r="D182" s="748">
        <v>0</v>
      </c>
      <c r="E182" s="748">
        <v>0</v>
      </c>
      <c r="F182" s="748">
        <f t="array" ref="F182">SUM(IF('6. Class A Consumption Data'!J476:K476="B",'6. Class A Consumption Data'!J474:K474))</f>
        <v>0</v>
      </c>
      <c r="G182" s="748">
        <f t="array" ref="G182">SUM(IF('6. Class A Consumption Data'!L476:M476="B",'6. Class A Consumption Data'!L474:M474))</f>
        <v>0</v>
      </c>
      <c r="H182" s="748">
        <f t="array" ref="H182">SUM(IF('6. Class A Consumption Data'!N476:O476="B",'6. Class A Consumption Data'!N474:O474))</f>
        <v>0</v>
      </c>
      <c r="I182" s="743">
        <f t="shared" si="11"/>
        <v>0</v>
      </c>
      <c r="J182" s="750">
        <f t="shared" si="12"/>
        <v>0</v>
      </c>
      <c r="K182" s="740">
        <f t="shared" si="13"/>
        <v>0</v>
      </c>
    </row>
    <row r="183" spans="1:11" hidden="1" x14ac:dyDescent="0.3">
      <c r="A183" s="741" t="s">
        <v>2287</v>
      </c>
      <c r="B183" s="741"/>
      <c r="C183" s="742">
        <f t="shared" si="10"/>
        <v>0</v>
      </c>
      <c r="D183" s="742">
        <v>0</v>
      </c>
      <c r="E183" s="742">
        <v>0</v>
      </c>
      <c r="F183" s="742">
        <f t="array" ref="F183">SUM(IF('6. Class A Consumption Data'!J479:K479="B",'6. Class A Consumption Data'!J477:K477))</f>
        <v>0</v>
      </c>
      <c r="G183" s="742">
        <f t="array" ref="G183">SUM(IF('6. Class A Consumption Data'!L479:M479="B",'6. Class A Consumption Data'!L477:M477))</f>
        <v>0</v>
      </c>
      <c r="H183" s="742">
        <f t="array" ref="H183">SUM(IF('6. Class A Consumption Data'!N479:O479="B",'6. Class A Consumption Data'!N477:O477))</f>
        <v>0</v>
      </c>
      <c r="I183" s="745">
        <f t="shared" si="11"/>
        <v>0</v>
      </c>
      <c r="J183" s="744">
        <f t="shared" si="12"/>
        <v>0</v>
      </c>
      <c r="K183" s="740">
        <f t="shared" si="13"/>
        <v>0</v>
      </c>
    </row>
    <row r="184" spans="1:11" x14ac:dyDescent="0.3">
      <c r="A184" s="747" t="s">
        <v>47</v>
      </c>
      <c r="B184" s="747"/>
      <c r="C184" s="748">
        <f t="shared" ref="C184:J184" si="14">SUM(C34:C183)</f>
        <v>0</v>
      </c>
      <c r="D184" s="748">
        <f t="shared" si="14"/>
        <v>0</v>
      </c>
      <c r="E184" s="748">
        <f t="shared" si="14"/>
        <v>0</v>
      </c>
      <c r="F184" s="748">
        <f t="shared" si="14"/>
        <v>0</v>
      </c>
      <c r="G184" s="748">
        <f t="shared" si="14"/>
        <v>0</v>
      </c>
      <c r="H184" s="748">
        <f t="shared" si="14"/>
        <v>0</v>
      </c>
      <c r="I184" s="743">
        <f t="shared" si="14"/>
        <v>0</v>
      </c>
      <c r="J184" s="740">
        <f t="shared" si="14"/>
        <v>0</v>
      </c>
      <c r="K184" s="751"/>
    </row>
  </sheetData>
  <sheetProtection algorithmName="SHA-512" hashValue="nKT7Wmfz02TQI+piNKoIke0NnSWqd13wjPdlVNGnXAY/HPkg3j6nLJpC7FOEVZFlk/0D/Z5qPc4EkTG3lN4RXA==" saltValue="NfYs1vzI7eUgH1GoTwXj8w==" spinCount="100000" sheet="1" objects="1" scenarios="1"/>
  <mergeCells count="5">
    <mergeCell ref="A14:F14"/>
    <mergeCell ref="A25:C25"/>
    <mergeCell ref="A31:E31"/>
    <mergeCell ref="C16:I16"/>
    <mergeCell ref="A17:F17"/>
  </mergeCells>
  <pageMargins left="0.7" right="0.7" top="0.75" bottom="0.75" header="0.3" footer="0.3"/>
  <pageSetup orientation="portrait" verticalDpi="597"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Z30"/>
  <sheetViews>
    <sheetView showGridLines="0" zoomScaleNormal="100" workbookViewId="0">
      <selection activeCell="B16" sqref="B16"/>
    </sheetView>
  </sheetViews>
  <sheetFormatPr defaultColWidth="9.33203125" defaultRowHeight="14.4" x14ac:dyDescent="0.3"/>
  <cols>
    <col min="1" max="1" width="56" style="392" bestFit="1" customWidth="1"/>
    <col min="2" max="2" width="13.6640625" style="392" customWidth="1"/>
    <col min="3" max="3" width="30.33203125" style="392" customWidth="1"/>
    <col min="4" max="4" width="20.6640625" style="392" hidden="1" customWidth="1"/>
    <col min="5" max="5" width="29.33203125" style="392" customWidth="1"/>
    <col min="6" max="6" width="18.5546875" style="392" hidden="1" customWidth="1"/>
    <col min="7" max="7" width="31.6640625" style="392" customWidth="1"/>
    <col min="8" max="8" width="18.5546875" style="392" hidden="1" customWidth="1"/>
    <col min="9" max="9" width="41.6640625" style="392" customWidth="1"/>
    <col min="10" max="10" width="24.6640625" style="392" hidden="1" customWidth="1"/>
    <col min="11" max="11" width="18.5546875" style="392" customWidth="1"/>
    <col min="12" max="12" width="18.6640625" style="392" bestFit="1" customWidth="1"/>
    <col min="13" max="13" width="18.33203125" style="392" customWidth="1"/>
    <col min="14" max="14" width="9.33203125" style="448" customWidth="1"/>
    <col min="15" max="16384" width="9.33203125" style="392"/>
  </cols>
  <sheetData>
    <row r="1" spans="1:26" ht="21" customHeight="1" x14ac:dyDescent="0.3">
      <c r="A1" s="1193"/>
      <c r="B1" s="1193"/>
      <c r="C1" s="1193"/>
      <c r="D1" s="1193"/>
      <c r="E1" s="1193"/>
      <c r="F1" s="1193"/>
      <c r="G1" s="1193"/>
      <c r="H1" s="1193"/>
      <c r="I1" s="1193"/>
      <c r="J1" s="1193"/>
      <c r="K1" s="1193"/>
      <c r="L1" s="1193"/>
      <c r="M1" s="1193"/>
      <c r="N1" s="1553"/>
      <c r="O1" s="1193"/>
      <c r="P1" s="1193"/>
      <c r="Q1" s="1193"/>
      <c r="R1" s="1193"/>
      <c r="S1" s="1193"/>
      <c r="T1" s="1193"/>
      <c r="U1" s="1193"/>
      <c r="V1" s="1193"/>
      <c r="W1" s="1193"/>
      <c r="X1" s="1193"/>
      <c r="Y1" s="1193"/>
      <c r="Z1" s="1193"/>
    </row>
    <row r="2" spans="1:26" ht="10.5" customHeight="1" x14ac:dyDescent="0.3">
      <c r="A2" s="1193"/>
      <c r="B2" s="1548" t="b">
        <v>1</v>
      </c>
      <c r="C2" s="1193"/>
      <c r="D2" s="1193"/>
      <c r="E2" s="1193"/>
      <c r="F2" s="1193"/>
      <c r="G2" s="1193"/>
      <c r="H2" s="1193"/>
      <c r="I2" s="1193"/>
      <c r="J2" s="1193"/>
      <c r="K2" s="1193"/>
      <c r="L2" s="1193"/>
      <c r="M2" s="1193"/>
      <c r="N2" s="1553"/>
      <c r="O2" s="1193"/>
      <c r="P2" s="1193"/>
      <c r="Q2" s="1193"/>
      <c r="R2" s="1193"/>
      <c r="S2" s="1193"/>
      <c r="T2" s="1193"/>
      <c r="U2" s="1193"/>
      <c r="V2" s="1193"/>
      <c r="W2" s="1193"/>
      <c r="X2" s="1193"/>
      <c r="Y2" s="1193"/>
      <c r="Z2" s="1193"/>
    </row>
    <row r="3" spans="1:26" ht="10.5" customHeight="1" x14ac:dyDescent="0.3">
      <c r="A3" s="1193"/>
      <c r="B3" s="1193"/>
      <c r="C3" s="1193"/>
      <c r="D3" s="1193"/>
      <c r="E3" s="1193"/>
      <c r="F3" s="1193"/>
      <c r="G3" s="1193"/>
      <c r="H3" s="1193"/>
      <c r="I3" s="1193"/>
      <c r="J3" s="1193"/>
      <c r="K3" s="1193"/>
      <c r="L3" s="1193"/>
      <c r="M3" s="1193"/>
      <c r="N3" s="1553"/>
      <c r="O3" s="1193"/>
      <c r="P3" s="1193"/>
      <c r="Q3" s="1193"/>
      <c r="R3" s="1193"/>
      <c r="S3" s="1193"/>
      <c r="T3" s="1193"/>
      <c r="U3" s="1193"/>
      <c r="V3" s="1193"/>
      <c r="W3" s="1193"/>
      <c r="X3" s="1193"/>
      <c r="Y3" s="1193"/>
      <c r="Z3" s="1193"/>
    </row>
    <row r="4" spans="1:26" ht="10.5" customHeight="1" x14ac:dyDescent="0.3">
      <c r="A4" s="1193"/>
      <c r="B4" s="1193"/>
      <c r="C4" s="1193"/>
      <c r="D4" s="1193"/>
      <c r="E4" s="1193"/>
      <c r="F4" s="1193"/>
      <c r="G4" s="1193"/>
      <c r="H4" s="1193"/>
      <c r="I4" s="1193"/>
      <c r="J4" s="1193"/>
      <c r="K4" s="1193"/>
      <c r="L4" s="1193"/>
      <c r="M4" s="1193"/>
      <c r="N4" s="1553"/>
      <c r="O4" s="1193"/>
      <c r="P4" s="1193"/>
      <c r="Q4" s="1193"/>
      <c r="R4" s="1193"/>
      <c r="S4" s="1193"/>
      <c r="T4" s="1193"/>
      <c r="U4" s="1193"/>
      <c r="V4" s="1193"/>
      <c r="W4" s="1193"/>
      <c r="X4" s="1193"/>
      <c r="Y4" s="1193"/>
      <c r="Z4" s="1193"/>
    </row>
    <row r="5" spans="1:26" ht="10.5" customHeight="1" x14ac:dyDescent="0.3">
      <c r="A5" s="1193"/>
      <c r="B5" s="1193"/>
      <c r="C5" s="1193"/>
      <c r="D5" s="1193"/>
      <c r="E5" s="1193"/>
      <c r="F5" s="1193"/>
      <c r="G5" s="1193"/>
      <c r="H5" s="1193"/>
      <c r="I5" s="1193"/>
      <c r="J5" s="1193"/>
      <c r="K5" s="1193"/>
      <c r="L5" s="1193"/>
      <c r="M5" s="1193"/>
      <c r="N5" s="1553"/>
      <c r="O5" s="1193"/>
      <c r="P5" s="1193"/>
      <c r="Q5" s="1193"/>
      <c r="R5" s="1193"/>
      <c r="S5" s="1193"/>
      <c r="T5" s="1193"/>
      <c r="U5" s="1193"/>
      <c r="V5" s="1193"/>
      <c r="W5" s="1193"/>
      <c r="X5" s="1193"/>
      <c r="Y5" s="1193"/>
      <c r="Z5" s="1193"/>
    </row>
    <row r="6" spans="1:26" ht="10.5" customHeight="1" x14ac:dyDescent="0.3">
      <c r="A6" s="1193"/>
      <c r="B6" s="1193" t="s">
        <v>47</v>
      </c>
      <c r="C6" s="1193"/>
      <c r="D6" s="1193"/>
      <c r="E6" s="1193"/>
      <c r="F6" s="1193"/>
      <c r="G6" s="1193"/>
      <c r="H6" s="1193"/>
      <c r="I6" s="1193"/>
      <c r="J6" s="1193"/>
      <c r="K6" s="1193"/>
      <c r="L6" s="1193"/>
      <c r="M6" s="1193"/>
      <c r="N6" s="1553"/>
      <c r="O6" s="1193"/>
      <c r="P6" s="1193"/>
      <c r="Q6" s="1193"/>
      <c r="R6" s="1193"/>
      <c r="S6" s="1193"/>
      <c r="T6" s="1193"/>
      <c r="U6" s="1193"/>
      <c r="V6" s="1193"/>
      <c r="W6" s="1193"/>
      <c r="X6" s="1193"/>
      <c r="Y6" s="1193"/>
      <c r="Z6" s="1193"/>
    </row>
    <row r="7" spans="1:26" ht="10.5" customHeight="1" x14ac:dyDescent="0.3">
      <c r="A7" s="1193"/>
      <c r="B7" s="1193"/>
      <c r="C7" s="1193"/>
      <c r="D7" s="1193"/>
      <c r="E7" s="1193"/>
      <c r="F7" s="1193"/>
      <c r="G7" s="1193"/>
      <c r="H7" s="1193"/>
      <c r="I7" s="1193"/>
      <c r="J7" s="1193"/>
      <c r="K7" s="1193"/>
      <c r="L7" s="1193"/>
      <c r="M7" s="1193"/>
      <c r="N7" s="1553"/>
      <c r="O7" s="1193"/>
      <c r="P7" s="1193"/>
      <c r="Q7" s="1193"/>
      <c r="R7" s="1193"/>
      <c r="S7" s="1193"/>
      <c r="T7" s="1193"/>
      <c r="U7" s="1193"/>
      <c r="V7" s="1193"/>
      <c r="W7" s="1193"/>
      <c r="X7" s="1193"/>
      <c r="Y7" s="1193"/>
      <c r="Z7" s="1193"/>
    </row>
    <row r="8" spans="1:26" ht="10.5" customHeight="1" x14ac:dyDescent="0.3">
      <c r="A8" s="1193"/>
      <c r="B8" s="1193"/>
      <c r="C8" s="1193"/>
      <c r="D8" s="1193"/>
      <c r="E8" s="1193"/>
      <c r="F8" s="1193"/>
      <c r="G8" s="1193"/>
      <c r="H8" s="1193"/>
      <c r="I8" s="1193"/>
      <c r="J8" s="1193"/>
      <c r="K8" s="1193"/>
      <c r="L8" s="1193"/>
      <c r="M8" s="1193"/>
      <c r="N8" s="1553"/>
      <c r="O8" s="1193"/>
      <c r="P8" s="1193"/>
      <c r="Q8" s="1193"/>
      <c r="R8" s="1193"/>
      <c r="S8" s="1193"/>
      <c r="T8" s="1193"/>
      <c r="U8" s="1193"/>
      <c r="V8" s="1193"/>
      <c r="W8" s="1193"/>
      <c r="X8" s="1193"/>
      <c r="Y8" s="1193"/>
      <c r="Z8" s="1193"/>
    </row>
    <row r="9" spans="1:26" ht="10.5" customHeight="1" x14ac:dyDescent="0.3">
      <c r="A9" s="1193"/>
      <c r="B9" s="1193"/>
      <c r="C9" s="1193"/>
      <c r="D9" s="1193"/>
      <c r="E9" s="1193"/>
      <c r="F9" s="1193"/>
      <c r="G9" s="1193"/>
      <c r="H9" s="1193"/>
      <c r="I9" s="1193"/>
      <c r="J9" s="1193"/>
      <c r="K9" s="1193"/>
      <c r="L9" s="1193"/>
      <c r="M9" s="1193"/>
      <c r="N9" s="1553"/>
      <c r="O9" s="1193"/>
      <c r="P9" s="1193"/>
      <c r="Q9" s="1193"/>
      <c r="R9" s="1193"/>
      <c r="S9" s="1193"/>
      <c r="T9" s="1193"/>
      <c r="U9" s="1193"/>
      <c r="V9" s="1193"/>
      <c r="W9" s="1193"/>
      <c r="X9" s="1193"/>
      <c r="Y9" s="1193"/>
      <c r="Z9" s="1193"/>
    </row>
    <row r="10" spans="1:26" ht="9.75" customHeight="1" x14ac:dyDescent="0.3">
      <c r="A10" s="1193"/>
      <c r="B10" s="1193"/>
      <c r="C10" s="1193"/>
      <c r="D10" s="1193"/>
      <c r="E10" s="1193"/>
      <c r="F10" s="1193"/>
      <c r="G10" s="1193"/>
      <c r="H10" s="1193"/>
      <c r="I10" s="1193"/>
      <c r="J10" s="1193"/>
      <c r="K10" s="1193"/>
      <c r="L10" s="1193"/>
      <c r="M10" s="1193"/>
      <c r="N10" s="1553"/>
      <c r="O10" s="1193"/>
      <c r="P10" s="1193"/>
      <c r="Q10" s="1193"/>
      <c r="R10" s="1193"/>
      <c r="S10" s="1193"/>
      <c r="T10" s="1193"/>
      <c r="U10" s="1193"/>
      <c r="V10" s="1193"/>
      <c r="W10" s="1193"/>
      <c r="X10" s="1193"/>
      <c r="Y10" s="1193"/>
      <c r="Z10" s="1193"/>
    </row>
    <row r="11" spans="1:26" ht="63.75" customHeight="1" x14ac:dyDescent="0.3">
      <c r="A11" s="1193"/>
      <c r="B11" s="1193"/>
      <c r="C11" s="1193"/>
      <c r="D11" s="1193"/>
      <c r="E11" s="1193"/>
      <c r="F11" s="1193"/>
      <c r="G11" s="1193"/>
      <c r="H11" s="1193"/>
      <c r="I11" s="1193"/>
      <c r="J11" s="1193"/>
      <c r="K11" s="1193"/>
      <c r="L11" s="1193"/>
      <c r="M11" s="1193"/>
      <c r="N11" s="1553"/>
      <c r="O11" s="1193"/>
      <c r="P11" s="1193"/>
      <c r="Q11" s="1193"/>
      <c r="R11" s="1193"/>
      <c r="S11" s="1193"/>
      <c r="T11" s="1193"/>
      <c r="U11" s="1193"/>
      <c r="V11" s="1193"/>
      <c r="W11" s="1193"/>
      <c r="X11" s="1193"/>
      <c r="Y11" s="1193"/>
      <c r="Z11" s="1193"/>
    </row>
    <row r="12" spans="1:26" ht="78.75" customHeight="1" x14ac:dyDescent="0.3">
      <c r="A12" s="1876" t="s">
        <v>2359</v>
      </c>
      <c r="B12" s="1877"/>
      <c r="C12" s="1877"/>
      <c r="D12" s="1877"/>
      <c r="E12" s="1877"/>
      <c r="F12" s="1877"/>
      <c r="G12" s="1877"/>
      <c r="H12" s="1002"/>
      <c r="I12" s="1878" t="s">
        <v>1412</v>
      </c>
      <c r="J12" s="1879"/>
      <c r="K12" s="1084">
        <v>12</v>
      </c>
      <c r="L12" s="705"/>
      <c r="M12" s="1193"/>
      <c r="N12" s="1553"/>
      <c r="O12" s="1193"/>
      <c r="P12" s="1193"/>
      <c r="Q12" s="1193"/>
      <c r="R12" s="1193"/>
      <c r="S12" s="1193"/>
      <c r="T12" s="1193"/>
      <c r="U12" s="1193"/>
      <c r="V12" s="1193"/>
      <c r="W12" s="1193"/>
      <c r="X12" s="1193"/>
      <c r="Y12" s="1193"/>
      <c r="Z12" s="1193"/>
    </row>
    <row r="13" spans="1:26" ht="45" customHeight="1" x14ac:dyDescent="0.3">
      <c r="A13" s="1550"/>
      <c r="B13" s="1550"/>
      <c r="C13" s="1550"/>
      <c r="D13" s="1550"/>
      <c r="E13" s="1550"/>
      <c r="F13" s="1550"/>
      <c r="G13" s="1550"/>
      <c r="H13" s="1550"/>
      <c r="I13" s="1880" t="s">
        <v>1413</v>
      </c>
      <c r="J13" s="1880"/>
      <c r="K13" s="1085">
        <v>12</v>
      </c>
      <c r="L13" s="1881" t="str">
        <f>IF(K13&gt;0, "Rate Rider Recovery to be used below", "If no rate rider recovery period is proposed then the default recovery period of 12 months will be used")</f>
        <v>Rate Rider Recovery to be used below</v>
      </c>
      <c r="M13" s="1871"/>
      <c r="N13" s="1553"/>
      <c r="O13" s="1193"/>
      <c r="P13" s="1193"/>
      <c r="Q13" s="1193"/>
      <c r="R13" s="1193"/>
      <c r="S13" s="1193"/>
      <c r="T13" s="1193"/>
      <c r="U13" s="1193"/>
      <c r="V13" s="1193"/>
      <c r="W13" s="1193"/>
      <c r="X13" s="1193"/>
      <c r="Y13" s="1193"/>
      <c r="Z13" s="1193"/>
    </row>
    <row r="14" spans="1:26" s="364" customFormat="1" ht="66" customHeight="1" x14ac:dyDescent="0.3">
      <c r="A14" s="692"/>
      <c r="B14" s="693"/>
      <c r="C14" s="1551" t="s">
        <v>6825</v>
      </c>
      <c r="D14" s="1551"/>
      <c r="E14" s="1551" t="s">
        <v>6826</v>
      </c>
      <c r="F14" s="1551"/>
      <c r="G14" s="1551" t="s">
        <v>6827</v>
      </c>
      <c r="H14" s="1551"/>
      <c r="I14" s="1551" t="s">
        <v>2306</v>
      </c>
      <c r="J14" s="694"/>
      <c r="K14" s="695" t="s">
        <v>1570</v>
      </c>
      <c r="L14" s="1551" t="s">
        <v>2003</v>
      </c>
      <c r="M14" s="695" t="s">
        <v>1571</v>
      </c>
      <c r="N14" s="1552"/>
      <c r="O14" s="692"/>
      <c r="P14" s="692"/>
      <c r="Q14" s="692"/>
      <c r="R14" s="692"/>
      <c r="S14" s="692"/>
      <c r="T14" s="692"/>
      <c r="U14" s="692"/>
      <c r="V14" s="692"/>
      <c r="W14" s="692"/>
      <c r="X14" s="692"/>
      <c r="Y14" s="692"/>
      <c r="Z14" s="692"/>
    </row>
    <row r="15" spans="1:26" s="448" customFormat="1" ht="15.75" customHeight="1" x14ac:dyDescent="0.3">
      <c r="A15" s="1553"/>
      <c r="B15" s="1553"/>
      <c r="C15" s="696" t="s">
        <v>154</v>
      </c>
      <c r="D15" s="696" t="s">
        <v>155</v>
      </c>
      <c r="E15" s="696" t="s">
        <v>154</v>
      </c>
      <c r="F15" s="696" t="s">
        <v>155</v>
      </c>
      <c r="G15" s="696" t="s">
        <v>154</v>
      </c>
      <c r="H15" s="696" t="s">
        <v>155</v>
      </c>
      <c r="I15" s="696" t="s">
        <v>154</v>
      </c>
      <c r="J15" s="696" t="s">
        <v>155</v>
      </c>
      <c r="K15" s="1553"/>
      <c r="L15" s="1553"/>
      <c r="M15" s="1553"/>
      <c r="N15" s="1553"/>
      <c r="O15" s="1553"/>
      <c r="P15" s="1553"/>
      <c r="Q15" s="1553"/>
      <c r="R15" s="1553"/>
      <c r="S15" s="1553"/>
      <c r="T15" s="1553"/>
      <c r="U15" s="1553"/>
      <c r="V15" s="1553"/>
      <c r="W15" s="1553"/>
      <c r="X15" s="1553"/>
      <c r="Y15" s="1553"/>
      <c r="Z15" s="1553"/>
    </row>
    <row r="16" spans="1:26" ht="15" customHeight="1" x14ac:dyDescent="0.3">
      <c r="A16" s="1193"/>
      <c r="B16" s="1193"/>
      <c r="C16" s="1193"/>
      <c r="D16" s="1193"/>
      <c r="E16" s="1193"/>
      <c r="F16" s="1193"/>
      <c r="G16" s="1193"/>
      <c r="H16" s="1193"/>
      <c r="I16" s="1193"/>
      <c r="J16" s="1193"/>
      <c r="K16" s="1193"/>
      <c r="L16" s="1193"/>
      <c r="M16" s="1193"/>
      <c r="N16" s="1553"/>
      <c r="O16" s="1193"/>
      <c r="P16" s="1193"/>
      <c r="Q16" s="1193"/>
      <c r="R16" s="1193"/>
      <c r="S16" s="1193"/>
      <c r="T16" s="1193"/>
      <c r="U16" s="1193"/>
      <c r="V16" s="1193"/>
      <c r="W16" s="1193"/>
      <c r="X16" s="1193"/>
      <c r="Y16" s="1193"/>
      <c r="Z16" s="1193"/>
    </row>
    <row r="17" spans="1:26" ht="15.75" customHeight="1" x14ac:dyDescent="0.3">
      <c r="A17" s="1549" t="s">
        <v>427</v>
      </c>
      <c r="B17" s="697" t="s">
        <v>154</v>
      </c>
      <c r="C17" s="1544">
        <v>1083427</v>
      </c>
      <c r="D17" s="1544">
        <v>0</v>
      </c>
      <c r="E17" s="1547">
        <f t="array" ref="E17">SUM(IF('6. Class A Consumption Data'!D492:D791=A17,'6. Class A Consumption Data'!F492:F791))</f>
        <v>0</v>
      </c>
      <c r="F17" s="1544"/>
      <c r="G17" s="1547">
        <f t="array" ref="G17">SUM(IF(('6. Class A Consumption Data'!D30:D479=A17)*('6. Class A Consumption Data'!B30:B479= "2018 - kwh"),'6. Class A Consumption Data'!F30:G479))</f>
        <v>0</v>
      </c>
      <c r="H17" s="1193"/>
      <c r="I17" s="1544">
        <f t="shared" ref="I17:I23" si="0">ROUND((C17-E17-G17),0)</f>
        <v>1083427</v>
      </c>
      <c r="J17" s="1544">
        <f t="shared" ref="J17:J23" si="1">(D17-F17-H17)</f>
        <v>0</v>
      </c>
      <c r="K17" s="1512">
        <f>(I17/I24)</f>
        <v>1.4884502354959745E-2</v>
      </c>
      <c r="L17" s="1545">
        <f t="shared" ref="L17:L23" si="2">ROUND((114310.4917*K17),0)</f>
        <v>1701</v>
      </c>
      <c r="M17" s="1546">
        <f>ROUND(IF(ISERROR(L17/I17),0,IF(OR(ISBLANK(K13), OR(K13=0, K13="")), L17/I17/(K12/12), L17/I17/(K13/12))),4)</f>
        <v>1.6000000000000001E-3</v>
      </c>
      <c r="N17" s="1553" t="s">
        <v>154</v>
      </c>
      <c r="O17" s="1193"/>
      <c r="P17" s="1193"/>
      <c r="Q17" s="1193"/>
      <c r="R17" s="1193"/>
      <c r="S17" s="1193"/>
      <c r="T17" s="1193"/>
      <c r="U17" s="1193"/>
      <c r="V17" s="1193"/>
      <c r="W17" s="1193"/>
      <c r="X17" s="1193"/>
      <c r="Y17" s="1193"/>
      <c r="Z17" s="1193"/>
    </row>
    <row r="18" spans="1:26" ht="15.75" customHeight="1" x14ac:dyDescent="0.3">
      <c r="A18" s="1549" t="s">
        <v>2522</v>
      </c>
      <c r="B18" s="697" t="s">
        <v>154</v>
      </c>
      <c r="C18" s="1544">
        <v>4871690</v>
      </c>
      <c r="D18" s="1544">
        <v>0</v>
      </c>
      <c r="E18" s="1547">
        <f t="array" ref="E18">SUM(IF('6. Class A Consumption Data'!D492:D791=A18,'6. Class A Consumption Data'!F492:F791))</f>
        <v>0</v>
      </c>
      <c r="F18" s="1544"/>
      <c r="G18" s="1547">
        <f t="array" ref="G18">SUM(IF(('6. Class A Consumption Data'!D30:D479=A18)*('6. Class A Consumption Data'!B30:B479= "2018 - kwh"),'6. Class A Consumption Data'!F30:G479))</f>
        <v>0</v>
      </c>
      <c r="H18" s="1193"/>
      <c r="I18" s="1544">
        <f t="shared" si="0"/>
        <v>4871690</v>
      </c>
      <c r="J18" s="1544">
        <f t="shared" si="1"/>
        <v>0</v>
      </c>
      <c r="K18" s="1512">
        <f>(I18/I24)</f>
        <v>6.6928995933859717E-2</v>
      </c>
      <c r="L18" s="1545">
        <f t="shared" si="2"/>
        <v>7651</v>
      </c>
      <c r="M18" s="1546">
        <f>ROUND(IF(ISERROR(L18/I18),0,IF(OR(ISBLANK(K13), OR(K13=0, K13="")), L18/I18/(K12/12), L18/I18/(K13/12))),4)</f>
        <v>1.6000000000000001E-3</v>
      </c>
      <c r="N18" s="1553" t="s">
        <v>154</v>
      </c>
      <c r="O18" s="1193"/>
      <c r="P18" s="1193"/>
      <c r="Q18" s="1193"/>
      <c r="R18" s="1193"/>
      <c r="S18" s="1193"/>
      <c r="T18" s="1193"/>
      <c r="U18" s="1193"/>
      <c r="V18" s="1193"/>
      <c r="W18" s="1193"/>
      <c r="X18" s="1193"/>
      <c r="Y18" s="1193"/>
      <c r="Z18" s="1193"/>
    </row>
    <row r="19" spans="1:26" ht="15.75" customHeight="1" x14ac:dyDescent="0.3">
      <c r="A19" s="1549" t="s">
        <v>611</v>
      </c>
      <c r="B19" s="697" t="s">
        <v>154</v>
      </c>
      <c r="C19" s="1544">
        <v>48111498</v>
      </c>
      <c r="D19" s="1544">
        <v>128510</v>
      </c>
      <c r="E19" s="1547">
        <f t="array" ref="E19">SUM(IF('6. Class A Consumption Data'!D492:D791=A19,'6. Class A Consumption Data'!F492:F791))</f>
        <v>0</v>
      </c>
      <c r="F19" s="1544"/>
      <c r="G19" s="1547">
        <f t="array" ref="G19">SUM(IF(('6. Class A Consumption Data'!D30:D479=A19)*('6. Class A Consumption Data'!B30:B479= "2018 - kwh"),'6. Class A Consumption Data'!F30:G479))</f>
        <v>0</v>
      </c>
      <c r="H19" s="1193"/>
      <c r="I19" s="1544">
        <f t="shared" si="0"/>
        <v>48111498</v>
      </c>
      <c r="J19" s="1544">
        <f t="shared" si="1"/>
        <v>128510</v>
      </c>
      <c r="K19" s="1512">
        <f>(I19/I24)</f>
        <v>0.66097273307905469</v>
      </c>
      <c r="L19" s="1545">
        <f t="shared" si="2"/>
        <v>75556</v>
      </c>
      <c r="M19" s="1546">
        <f>ROUND(IF(ISERROR(L19/I19),0,IF(OR(ISBLANK(K13), OR(K13=0, K13="")), L19/I19/(K12/12), L19/I19/(K13/12))),4)</f>
        <v>1.6000000000000001E-3</v>
      </c>
      <c r="N19" s="1553" t="s">
        <v>154</v>
      </c>
      <c r="O19" s="1193"/>
      <c r="P19" s="1193"/>
      <c r="Q19" s="1193"/>
      <c r="R19" s="1193"/>
      <c r="S19" s="1193"/>
      <c r="T19" s="1193"/>
      <c r="U19" s="1193"/>
      <c r="V19" s="1193"/>
      <c r="W19" s="1193"/>
      <c r="X19" s="1193"/>
      <c r="Y19" s="1193"/>
      <c r="Z19" s="1193"/>
    </row>
    <row r="20" spans="1:26" ht="15.75" customHeight="1" x14ac:dyDescent="0.3">
      <c r="A20" s="1549" t="s">
        <v>612</v>
      </c>
      <c r="B20" s="697" t="s">
        <v>154</v>
      </c>
      <c r="C20" s="1544">
        <v>18101354</v>
      </c>
      <c r="D20" s="1544">
        <v>42600</v>
      </c>
      <c r="E20" s="1547">
        <f t="array" ref="E20">SUM(IF('6. Class A Consumption Data'!D492:D791=A20,'6. Class A Consumption Data'!F492:F791))</f>
        <v>0</v>
      </c>
      <c r="F20" s="1544"/>
      <c r="G20" s="1547">
        <f t="array" ref="G20">SUM(IF(('6. Class A Consumption Data'!D30:D479=A20)*('6. Class A Consumption Data'!B30:B479= "2018 - kwh"),'6. Class A Consumption Data'!F30:G479))</f>
        <v>0</v>
      </c>
      <c r="H20" s="1193"/>
      <c r="I20" s="1544">
        <f t="shared" si="0"/>
        <v>18101354</v>
      </c>
      <c r="J20" s="1544">
        <f t="shared" si="1"/>
        <v>42600</v>
      </c>
      <c r="K20" s="1512">
        <f>(I20/I24)</f>
        <v>0.24868278734142679</v>
      </c>
      <c r="L20" s="1545">
        <f t="shared" si="2"/>
        <v>28427</v>
      </c>
      <c r="M20" s="1546">
        <f>ROUND(IF(ISERROR(L20/I20),0,IF(OR(ISBLANK(K13), OR(K13=0, K13="")), L20/I20/(K12/12), L20/I20/(K13/12))),4)</f>
        <v>1.6000000000000001E-3</v>
      </c>
      <c r="N20" s="1553" t="s">
        <v>154</v>
      </c>
      <c r="O20" s="1193"/>
      <c r="P20" s="1193"/>
      <c r="Q20" s="1193"/>
      <c r="R20" s="1193"/>
      <c r="S20" s="1193"/>
      <c r="T20" s="1193"/>
      <c r="U20" s="1193"/>
      <c r="V20" s="1193"/>
      <c r="W20" s="1193"/>
      <c r="X20" s="1193"/>
      <c r="Y20" s="1193"/>
      <c r="Z20" s="1193"/>
    </row>
    <row r="21" spans="1:26" ht="15.75" customHeight="1" x14ac:dyDescent="0.3">
      <c r="A21" s="1549" t="s">
        <v>592</v>
      </c>
      <c r="B21" s="697" t="s">
        <v>154</v>
      </c>
      <c r="C21" s="1544">
        <v>90336</v>
      </c>
      <c r="D21" s="1544">
        <v>0</v>
      </c>
      <c r="E21" s="1547">
        <f t="array" ref="E21">SUM(IF('6. Class A Consumption Data'!D492:D791=A21,'6. Class A Consumption Data'!F492:F791))</f>
        <v>0</v>
      </c>
      <c r="F21" s="1544"/>
      <c r="G21" s="1547">
        <f t="array" ref="G21">SUM(IF(('6. Class A Consumption Data'!D30:D479=A21)*('6. Class A Consumption Data'!B30:B479= "2018 - kwh"),'6. Class A Consumption Data'!F30:G479))</f>
        <v>0</v>
      </c>
      <c r="H21" s="1193"/>
      <c r="I21" s="1544">
        <f t="shared" si="0"/>
        <v>90336</v>
      </c>
      <c r="J21" s="1544">
        <f t="shared" si="1"/>
        <v>0</v>
      </c>
      <c r="K21" s="1512">
        <f>(I21/I24)</f>
        <v>1.2410678382001219E-3</v>
      </c>
      <c r="L21" s="1545">
        <f t="shared" si="2"/>
        <v>142</v>
      </c>
      <c r="M21" s="1546">
        <f>ROUND(IF(ISERROR(L21/I21),0,IF(OR(ISBLANK(K13), OR(K13=0, K13="")), L21/I21/(K12/12), L21/I21/(K13/12))),4)</f>
        <v>1.6000000000000001E-3</v>
      </c>
      <c r="N21" s="1553" t="s">
        <v>154</v>
      </c>
      <c r="O21" s="1193"/>
      <c r="P21" s="1193"/>
      <c r="Q21" s="1193"/>
      <c r="R21" s="1193"/>
      <c r="S21" s="1193"/>
      <c r="T21" s="1193"/>
      <c r="U21" s="1193"/>
      <c r="V21" s="1193"/>
      <c r="W21" s="1193"/>
      <c r="X21" s="1193"/>
      <c r="Y21" s="1193"/>
      <c r="Z21" s="1193"/>
    </row>
    <row r="22" spans="1:26" ht="15.75" customHeight="1" x14ac:dyDescent="0.3">
      <c r="A22" s="1549" t="s">
        <v>604</v>
      </c>
      <c r="B22" s="697" t="s">
        <v>154</v>
      </c>
      <c r="C22" s="1544">
        <v>12921</v>
      </c>
      <c r="D22" s="1544">
        <v>35</v>
      </c>
      <c r="E22" s="1547">
        <f t="array" ref="E22">SUM(IF('6. Class A Consumption Data'!D492:D791=A22,'6. Class A Consumption Data'!F492:F791))</f>
        <v>0</v>
      </c>
      <c r="F22" s="1544"/>
      <c r="G22" s="1547">
        <f t="array" ref="G22">SUM(IF(('6. Class A Consumption Data'!D30:D479=A22)*('6. Class A Consumption Data'!B30:B479= "2018 - kwh"),'6. Class A Consumption Data'!F30:G479))</f>
        <v>0</v>
      </c>
      <c r="H22" s="1193"/>
      <c r="I22" s="1544">
        <f t="shared" si="0"/>
        <v>12921</v>
      </c>
      <c r="J22" s="1544">
        <f t="shared" si="1"/>
        <v>35</v>
      </c>
      <c r="K22" s="1512">
        <f>(I22/I24)</f>
        <v>1.775132564800719E-4</v>
      </c>
      <c r="L22" s="1545">
        <f t="shared" si="2"/>
        <v>20</v>
      </c>
      <c r="M22" s="1546">
        <f>ROUND(IF(ISERROR(L22/I22),0,IF(OR(ISBLANK(K13), OR(K13=0, K13="")), L22/I22/(K12/12), L22/I22/(K13/12))),4)</f>
        <v>1.5E-3</v>
      </c>
      <c r="N22" s="1553" t="s">
        <v>154</v>
      </c>
      <c r="O22" s="1193"/>
      <c r="P22" s="1193"/>
      <c r="Q22" s="1193"/>
      <c r="R22" s="1193"/>
      <c r="S22" s="1193"/>
      <c r="T22" s="1193"/>
      <c r="U22" s="1193"/>
      <c r="V22" s="1193"/>
      <c r="W22" s="1193"/>
      <c r="X22" s="1193"/>
      <c r="Y22" s="1193"/>
      <c r="Z22" s="1193"/>
    </row>
    <row r="23" spans="1:26" ht="15.75" customHeight="1" thickBot="1" x14ac:dyDescent="0.35">
      <c r="A23" s="1549" t="s">
        <v>590</v>
      </c>
      <c r="B23" s="697" t="s">
        <v>154</v>
      </c>
      <c r="C23" s="1544">
        <v>517704</v>
      </c>
      <c r="D23" s="1544">
        <v>1429</v>
      </c>
      <c r="E23" s="1547">
        <f t="array" ref="E23">SUM(IF('6. Class A Consumption Data'!D492:D791=A23,'6. Class A Consumption Data'!F492:F791))</f>
        <v>0</v>
      </c>
      <c r="F23" s="1544"/>
      <c r="G23" s="1547">
        <f t="array" ref="G23">SUM(IF(('6. Class A Consumption Data'!D30:D479=A23)*('6. Class A Consumption Data'!B30:B479= "2018 - kwh"),'6. Class A Consumption Data'!F30:G479))</f>
        <v>0</v>
      </c>
      <c r="H23" s="1193"/>
      <c r="I23" s="1544">
        <f t="shared" si="0"/>
        <v>517704</v>
      </c>
      <c r="J23" s="1544">
        <f t="shared" si="1"/>
        <v>1429</v>
      </c>
      <c r="K23" s="1512">
        <f>(I23/I24)</f>
        <v>7.112400196018818E-3</v>
      </c>
      <c r="L23" s="1545">
        <f t="shared" si="2"/>
        <v>813</v>
      </c>
      <c r="M23" s="1546">
        <f>ROUND(IF(ISERROR(L23/I23),0,IF(OR(ISBLANK(K13), OR(K13=0, K13="")), L23/I23/(K12/12), L23/I23/(K13/12))),4)</f>
        <v>1.6000000000000001E-3</v>
      </c>
      <c r="N23" s="1553" t="s">
        <v>154</v>
      </c>
      <c r="O23" s="1193"/>
      <c r="P23" s="1193"/>
      <c r="Q23" s="1193"/>
      <c r="R23" s="1193"/>
      <c r="S23" s="1193"/>
      <c r="T23" s="1193"/>
      <c r="U23" s="1193"/>
      <c r="V23" s="1193"/>
      <c r="W23" s="1193"/>
      <c r="X23" s="1193"/>
      <c r="Y23" s="1193"/>
      <c r="Z23" s="1193"/>
    </row>
    <row r="24" spans="1:26" x14ac:dyDescent="0.3">
      <c r="A24" s="1193"/>
      <c r="B24" s="1619" t="s">
        <v>47</v>
      </c>
      <c r="C24" s="1620">
        <v>72788930</v>
      </c>
      <c r="D24" s="1620">
        <v>172574</v>
      </c>
      <c r="E24" s="1620">
        <f t="shared" ref="E24:L24" si="3">SUM(E17:E23)</f>
        <v>0</v>
      </c>
      <c r="F24" s="1620">
        <f t="shared" si="3"/>
        <v>0</v>
      </c>
      <c r="G24" s="1620">
        <f t="shared" si="3"/>
        <v>0</v>
      </c>
      <c r="H24" s="1621">
        <f t="shared" si="3"/>
        <v>0</v>
      </c>
      <c r="I24" s="1620">
        <f t="shared" si="3"/>
        <v>72788930</v>
      </c>
      <c r="J24" s="1620">
        <f t="shared" si="3"/>
        <v>172574</v>
      </c>
      <c r="K24" s="1622">
        <f t="shared" si="3"/>
        <v>0.99999999999999989</v>
      </c>
      <c r="L24" s="1623">
        <f t="shared" si="3"/>
        <v>114310</v>
      </c>
      <c r="M24" s="1624"/>
      <c r="N24" s="1553"/>
      <c r="O24" s="1193"/>
      <c r="P24" s="1193"/>
      <c r="Q24" s="1193"/>
      <c r="R24" s="1193"/>
      <c r="S24" s="1193"/>
      <c r="T24" s="1193"/>
      <c r="U24" s="1193"/>
      <c r="V24" s="1193"/>
      <c r="W24" s="1193"/>
      <c r="X24" s="1193"/>
      <c r="Y24" s="1193"/>
      <c r="Z24" s="1193"/>
    </row>
    <row r="25" spans="1:26" x14ac:dyDescent="0.3">
      <c r="A25" s="1193"/>
      <c r="B25" s="1193"/>
      <c r="C25" s="1193"/>
      <c r="D25" s="1193"/>
      <c r="E25" s="1193"/>
      <c r="F25" s="1193"/>
      <c r="G25" s="1193"/>
      <c r="H25" s="1193"/>
      <c r="I25" s="1193"/>
      <c r="J25" s="1193"/>
      <c r="K25" s="1193"/>
      <c r="L25" s="1193"/>
      <c r="M25" s="1193"/>
      <c r="N25" s="1553"/>
      <c r="O25" s="1193"/>
      <c r="P25" s="1193"/>
      <c r="Q25" s="1193"/>
      <c r="R25" s="1193"/>
      <c r="S25" s="1193"/>
      <c r="T25" s="1193"/>
      <c r="U25" s="1193"/>
      <c r="V25" s="1193"/>
      <c r="W25" s="1193"/>
      <c r="X25" s="1193"/>
      <c r="Y25" s="1193"/>
      <c r="Z25" s="1193"/>
    </row>
    <row r="26" spans="1:26" x14ac:dyDescent="0.3">
      <c r="A26" s="1193"/>
      <c r="B26" s="1193"/>
      <c r="C26" s="1193"/>
      <c r="D26" s="1193"/>
      <c r="E26" s="1193"/>
      <c r="F26" s="1193"/>
      <c r="G26" s="1193"/>
      <c r="H26" s="1193"/>
      <c r="I26" s="1193"/>
      <c r="J26" s="1193"/>
      <c r="K26" s="1193"/>
      <c r="L26" s="1193"/>
      <c r="M26" s="1193"/>
      <c r="N26" s="1553"/>
      <c r="O26" s="1193"/>
      <c r="P26" s="1193"/>
      <c r="Q26" s="1193"/>
      <c r="R26" s="1193"/>
      <c r="S26" s="1193"/>
      <c r="T26" s="1193"/>
      <c r="U26" s="1193"/>
      <c r="V26" s="1193"/>
      <c r="W26" s="1193"/>
      <c r="X26" s="1193"/>
      <c r="Y26" s="1193"/>
      <c r="Z26" s="1193"/>
    </row>
    <row r="27" spans="1:26" x14ac:dyDescent="0.3">
      <c r="A27" s="1193"/>
      <c r="B27" s="1193"/>
      <c r="C27" s="1193"/>
      <c r="D27" s="1193"/>
      <c r="E27" s="1193"/>
      <c r="F27" s="1193"/>
      <c r="G27" s="1193"/>
      <c r="H27" s="1193"/>
      <c r="I27" s="1193"/>
      <c r="J27" s="1193"/>
      <c r="K27" s="1193"/>
      <c r="L27" s="1193"/>
      <c r="M27" s="1193"/>
      <c r="N27" s="1553"/>
      <c r="O27" s="1193"/>
      <c r="P27" s="1193"/>
      <c r="Q27" s="1193"/>
      <c r="R27" s="1193"/>
      <c r="S27" s="1193"/>
      <c r="T27" s="1193"/>
      <c r="U27" s="1193"/>
      <c r="V27" s="1193"/>
      <c r="W27" s="1193"/>
      <c r="X27" s="1193"/>
      <c r="Y27" s="1193"/>
      <c r="Z27" s="1193"/>
    </row>
    <row r="28" spans="1:26" x14ac:dyDescent="0.3">
      <c r="A28" s="1193"/>
      <c r="B28" s="1193"/>
      <c r="C28" s="1193"/>
      <c r="D28" s="1193"/>
      <c r="E28" s="1193"/>
      <c r="F28" s="1193"/>
      <c r="G28" s="1193"/>
      <c r="H28" s="1193"/>
      <c r="I28" s="1193"/>
      <c r="J28" s="1193"/>
      <c r="K28" s="1193"/>
      <c r="L28" s="1193"/>
      <c r="M28" s="1193"/>
      <c r="N28" s="1553"/>
      <c r="O28" s="1193"/>
      <c r="P28" s="1193"/>
      <c r="Q28" s="1193"/>
      <c r="R28" s="1193"/>
      <c r="S28" s="1193"/>
      <c r="T28" s="1193"/>
      <c r="U28" s="1193"/>
      <c r="V28" s="1193"/>
      <c r="W28" s="1193"/>
      <c r="X28" s="1193"/>
      <c r="Y28" s="1193"/>
      <c r="Z28" s="1193"/>
    </row>
    <row r="29" spans="1:26" x14ac:dyDescent="0.3">
      <c r="A29" s="1193"/>
      <c r="B29" s="1193"/>
      <c r="C29" s="1193"/>
      <c r="D29" s="1193"/>
      <c r="E29" s="1193"/>
      <c r="F29" s="1193"/>
      <c r="G29" s="1193"/>
      <c r="H29" s="1193"/>
      <c r="I29" s="1193"/>
      <c r="J29" s="1193"/>
      <c r="K29" s="1193"/>
      <c r="L29" s="1193"/>
      <c r="M29" s="1193"/>
      <c r="N29" s="1553"/>
      <c r="O29" s="1193"/>
      <c r="P29" s="1193"/>
      <c r="Q29" s="1193"/>
      <c r="R29" s="1193"/>
      <c r="S29" s="1193"/>
      <c r="T29" s="1193"/>
      <c r="U29" s="1193"/>
      <c r="V29" s="1193"/>
      <c r="W29" s="1193"/>
      <c r="X29" s="1193"/>
      <c r="Y29" s="1193"/>
      <c r="Z29" s="1193"/>
    </row>
    <row r="30" spans="1:26" x14ac:dyDescent="0.3">
      <c r="A30" s="1193"/>
      <c r="B30" s="1193"/>
      <c r="C30" s="1193"/>
      <c r="D30" s="1193"/>
      <c r="E30" s="1193"/>
      <c r="F30" s="1193"/>
      <c r="G30" s="1193"/>
      <c r="H30" s="1193"/>
      <c r="I30" s="1193"/>
      <c r="J30" s="1193"/>
      <c r="K30" s="1193"/>
      <c r="L30" s="1193"/>
      <c r="M30" s="1193"/>
      <c r="N30" s="1553"/>
      <c r="O30" s="1193"/>
      <c r="P30" s="1193"/>
      <c r="Q30" s="1193"/>
      <c r="R30" s="1193"/>
      <c r="S30" s="1193"/>
      <c r="T30" s="1193"/>
      <c r="U30" s="1193"/>
      <c r="V30" s="1193"/>
      <c r="W30" s="1193"/>
      <c r="X30" s="1193"/>
      <c r="Y30" s="1193"/>
      <c r="Z30" s="1193"/>
    </row>
  </sheetData>
  <sheetProtection algorithmName="SHA-512" hashValue="/pdFHfSPNFLPATeWADtXxrYssEmsVnxgIrSM5mDu0eEiYzXNJCSoklSlsjlzubyPW5UZSbPV0eUct5qrN2JpzQ==" saltValue="DCDDyQ/VcXINJfP9jvC53w==" spinCount="100000" sheet="1" objects="1" scenarios="1"/>
  <mergeCells count="4">
    <mergeCell ref="A12:G12"/>
    <mergeCell ref="I12:J12"/>
    <mergeCell ref="I13:J13"/>
    <mergeCell ref="L13:M13"/>
  </mergeCells>
  <pageMargins left="0.7" right="0.7" top="0.75" bottom="0.75" header="0.3" footer="0.3"/>
  <pageSetup orientation="portrait"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71">
    <pageSetUpPr fitToPage="1"/>
  </sheetPr>
  <dimension ref="A13:T184"/>
  <sheetViews>
    <sheetView showGridLines="0" topLeftCell="A25" workbookViewId="0">
      <selection activeCell="K34" sqref="K34"/>
    </sheetView>
  </sheetViews>
  <sheetFormatPr defaultColWidth="9.33203125" defaultRowHeight="13.8" x14ac:dyDescent="0.3"/>
  <cols>
    <col min="1" max="1" width="55.6640625" style="1144" customWidth="1"/>
    <col min="2" max="2" width="22.6640625" style="1144" customWidth="1"/>
    <col min="3" max="3" width="31" style="1144" bestFit="1" customWidth="1"/>
    <col min="4" max="4" width="27.33203125" style="1144" customWidth="1"/>
    <col min="5" max="5" width="28.5546875" style="1144" customWidth="1"/>
    <col min="6" max="6" width="28.5546875" style="1144" hidden="1" customWidth="1"/>
    <col min="7" max="7" width="30.33203125" style="1144" hidden="1" customWidth="1"/>
    <col min="8" max="8" width="27.6640625" style="1144" hidden="1" customWidth="1"/>
    <col min="9" max="9" width="14.33203125" style="1144" customWidth="1"/>
    <col min="10" max="10" width="25.33203125" style="1144" customWidth="1"/>
    <col min="11" max="12" width="10.33203125" style="1144" customWidth="1"/>
    <col min="13" max="20" width="9.33203125" style="1144" customWidth="1"/>
    <col min="21" max="16384" width="9.33203125" style="1144"/>
  </cols>
  <sheetData>
    <row r="13" spans="1:7" x14ac:dyDescent="0.3">
      <c r="A13" s="1143"/>
      <c r="B13" s="1143"/>
      <c r="C13" s="1143"/>
      <c r="D13" s="1143"/>
      <c r="E13" s="1143"/>
    </row>
    <row r="14" spans="1:7" s="1145" customFormat="1" ht="99" customHeight="1" x14ac:dyDescent="0.3">
      <c r="A14" s="1885" t="s">
        <v>2333</v>
      </c>
      <c r="B14" s="1885"/>
      <c r="C14" s="1885"/>
      <c r="D14" s="1886"/>
      <c r="E14" s="1886"/>
    </row>
    <row r="15" spans="1:7" x14ac:dyDescent="0.3">
      <c r="A15" s="1146"/>
      <c r="B15" s="1146"/>
      <c r="C15" s="1146"/>
      <c r="D15" s="1147"/>
      <c r="E15" s="1148"/>
    </row>
    <row r="16" spans="1:7" x14ac:dyDescent="0.3">
      <c r="A16" s="1149" t="s">
        <v>5039</v>
      </c>
      <c r="B16" s="1150">
        <f>G1LDCBR</f>
        <v>2017</v>
      </c>
      <c r="C16" s="1887"/>
      <c r="D16" s="1888"/>
      <c r="E16" s="1888"/>
      <c r="F16" s="1888"/>
      <c r="G16" s="1888"/>
    </row>
    <row r="17" spans="1:8" ht="39" customHeight="1" x14ac:dyDescent="0.3">
      <c r="A17" s="1892" t="s">
        <v>5474</v>
      </c>
      <c r="B17" s="1892"/>
      <c r="C17" s="1892"/>
      <c r="D17" s="1892"/>
      <c r="E17" s="1892"/>
      <c r="F17" s="1892"/>
    </row>
    <row r="18" spans="1:8" ht="34.5" customHeight="1" x14ac:dyDescent="0.3">
      <c r="B18" s="1151"/>
      <c r="C18" s="1152" t="s">
        <v>47</v>
      </c>
      <c r="D18" s="519">
        <v>2019</v>
      </c>
      <c r="E18" s="519">
        <v>2018</v>
      </c>
      <c r="F18" s="519">
        <v>2017</v>
      </c>
      <c r="G18" s="521">
        <v>2016</v>
      </c>
      <c r="H18" s="520">
        <v>2015</v>
      </c>
    </row>
    <row r="19" spans="1:8" s="1145" customFormat="1" ht="17.25" customHeight="1" x14ac:dyDescent="0.3">
      <c r="A19" s="1028" t="s">
        <v>5467</v>
      </c>
      <c r="B19" s="1032" t="s">
        <v>430</v>
      </c>
      <c r="C19" s="1392">
        <f>SUM(D19:E19)</f>
        <v>277931129.03999996</v>
      </c>
      <c r="D19" s="1392">
        <v>137474667</v>
      </c>
      <c r="E19" s="1393">
        <v>140456462.03999999</v>
      </c>
      <c r="F19" s="1393"/>
      <c r="G19" s="1393"/>
      <c r="H19" s="1393"/>
    </row>
    <row r="20" spans="1:8" s="1153" customFormat="1" ht="15.75" customHeight="1" x14ac:dyDescent="0.3">
      <c r="A20" s="1029" t="s">
        <v>5466</v>
      </c>
      <c r="B20" s="1032" t="s">
        <v>431</v>
      </c>
      <c r="C20" s="1392">
        <f>SUM(D20:E20)</f>
        <v>0</v>
      </c>
      <c r="D20" s="1394"/>
      <c r="E20" s="1394"/>
      <c r="F20" s="1394">
        <v>0</v>
      </c>
      <c r="G20" s="1394">
        <v>0</v>
      </c>
      <c r="H20" s="1394">
        <v>0</v>
      </c>
    </row>
    <row r="21" spans="1:8" s="1153" customFormat="1" ht="14.4" x14ac:dyDescent="0.3">
      <c r="A21" s="1029" t="s">
        <v>5076</v>
      </c>
      <c r="B21" s="1032" t="s">
        <v>432</v>
      </c>
      <c r="C21" s="1392">
        <f>SUM(D21:E21)</f>
        <v>0</v>
      </c>
      <c r="D21" s="1394">
        <f t="array" ref="D21">SUM(IF('6. Class A Consumption Data'!E492:E791="kWh",'6. Class A Consumption Data'!F492:F791))</f>
        <v>0</v>
      </c>
      <c r="E21" s="1394">
        <f t="array" ref="E21">SUM(IF('6. Class A Consumption Data'!E492:E791="kWh",'6. Class A Consumption Data'!H492:H791))</f>
        <v>0</v>
      </c>
      <c r="F21" s="1394">
        <f t="array" ref="F21">SUM(IF('6. Class A Consumption Data'!E492:E791="kWh",'6. Class A Consumption Data'!J492:J791))</f>
        <v>0</v>
      </c>
      <c r="G21" s="1394">
        <f t="array" ref="G21">SUM(IF('6. Class A Consumption Data'!E492:E791="kWh",'6. Class A Consumption Data'!L492:L791))</f>
        <v>0</v>
      </c>
      <c r="H21" s="1394">
        <f t="array" ref="H21">SUM(IF('6. Class A Consumption Data'!E492:E791="kWh",'6. Class A Consumption Data'!N492:N791))</f>
        <v>0</v>
      </c>
    </row>
    <row r="22" spans="1:8" s="1153" customFormat="1" ht="27" x14ac:dyDescent="0.3">
      <c r="A22" s="1030" t="s">
        <v>5077</v>
      </c>
      <c r="B22" s="1032" t="s">
        <v>5079</v>
      </c>
      <c r="C22" s="1392">
        <f>SUM(D22:E22)</f>
        <v>277931129.03999996</v>
      </c>
      <c r="D22" s="1395">
        <f>D19-D20-D21</f>
        <v>137474667</v>
      </c>
      <c r="E22" s="1395">
        <f>E19-E20-E21</f>
        <v>140456462.03999999</v>
      </c>
      <c r="F22" s="1395">
        <f>F19-F20-F21</f>
        <v>0</v>
      </c>
      <c r="G22" s="1395">
        <f>G19-G20-G21</f>
        <v>0</v>
      </c>
      <c r="H22" s="1395">
        <f>H19-H20-H21</f>
        <v>0</v>
      </c>
    </row>
    <row r="23" spans="1:8" s="1145" customFormat="1" ht="14.4" x14ac:dyDescent="0.3">
      <c r="A23" s="1028" t="s">
        <v>5078</v>
      </c>
      <c r="B23" s="1032" t="s">
        <v>1906</v>
      </c>
      <c r="C23" s="1392">
        <f>SUM(D23:E23)</f>
        <v>0</v>
      </c>
      <c r="D23" s="1396">
        <f>D184</f>
        <v>0</v>
      </c>
      <c r="E23" s="1396">
        <f>E184</f>
        <v>0</v>
      </c>
      <c r="F23" s="1396">
        <f>F184</f>
        <v>0</v>
      </c>
      <c r="G23" s="1396">
        <f>G184</f>
        <v>0</v>
      </c>
      <c r="H23" s="1396">
        <f>I184</f>
        <v>0</v>
      </c>
    </row>
    <row r="24" spans="1:8" s="1145" customFormat="1" ht="14.4" x14ac:dyDescent="0.3">
      <c r="A24" s="1031" t="s">
        <v>2130</v>
      </c>
      <c r="B24" s="1032" t="s">
        <v>5080</v>
      </c>
      <c r="C24" s="1397">
        <f>IFERROR(+C23/C22,0)</f>
        <v>0</v>
      </c>
      <c r="D24" s="1397"/>
      <c r="E24" s="1397"/>
      <c r="F24" s="1397"/>
      <c r="G24" s="735"/>
      <c r="H24" s="735"/>
    </row>
    <row r="25" spans="1:8" s="1145" customFormat="1" x14ac:dyDescent="0.3">
      <c r="D25" s="1147"/>
      <c r="E25" s="1154"/>
    </row>
    <row r="26" spans="1:8" s="1145" customFormat="1" ht="14.4" thickBot="1" x14ac:dyDescent="0.35">
      <c r="A26" s="1889" t="s">
        <v>2139</v>
      </c>
      <c r="B26" s="1889"/>
      <c r="C26" s="1889"/>
      <c r="E26" s="1154"/>
    </row>
    <row r="27" spans="1:8" s="1171" customFormat="1" thickBot="1" x14ac:dyDescent="0.3">
      <c r="A27" s="645" t="s">
        <v>2138</v>
      </c>
      <c r="B27" s="720" t="s">
        <v>5755</v>
      </c>
      <c r="C27" s="1168">
        <f>'3. Continuity Schedule'!BT25</f>
        <v>-2587.7299999999991</v>
      </c>
      <c r="D27" s="1169"/>
      <c r="E27" s="1170"/>
    </row>
    <row r="28" spans="1:8" s="1171" customFormat="1" thickBot="1" x14ac:dyDescent="0.3">
      <c r="A28" s="644" t="s">
        <v>2137</v>
      </c>
      <c r="B28" s="469" t="s">
        <v>5756</v>
      </c>
      <c r="C28" s="1172">
        <f>+C24*C27</f>
        <v>0</v>
      </c>
      <c r="D28" s="1173"/>
      <c r="E28" s="1170"/>
    </row>
    <row r="29" spans="1:8" s="1171" customFormat="1" ht="27" thickBot="1" x14ac:dyDescent="0.3">
      <c r="A29" s="644" t="s">
        <v>2295</v>
      </c>
      <c r="B29" s="469" t="s">
        <v>5757</v>
      </c>
      <c r="C29" s="1168">
        <f>+C27-C28</f>
        <v>-2587.7299999999991</v>
      </c>
      <c r="D29" s="1170"/>
      <c r="E29" s="1170"/>
    </row>
    <row r="30" spans="1:8" s="1171" customFormat="1" ht="13.2" x14ac:dyDescent="0.25">
      <c r="A30" s="1170"/>
      <c r="B30" s="1170"/>
      <c r="C30" s="1170"/>
      <c r="D30" s="1170"/>
      <c r="E30" s="1170"/>
    </row>
    <row r="31" spans="1:8" s="1174" customFormat="1" ht="14.7" customHeight="1" x14ac:dyDescent="0.25">
      <c r="A31" s="1890" t="s">
        <v>2136</v>
      </c>
      <c r="B31" s="1890"/>
      <c r="C31" s="1891"/>
      <c r="D31" s="1891"/>
      <c r="E31" s="1170"/>
    </row>
    <row r="32" spans="1:8" s="1174" customFormat="1" ht="14.7" customHeight="1" thickBot="1" x14ac:dyDescent="0.3">
      <c r="A32" s="471" t="s">
        <v>2294</v>
      </c>
      <c r="B32" s="1155"/>
      <c r="C32" s="1156">
        <f>COUNTIF(C34:C183,"&lt;&gt;0")</f>
        <v>0</v>
      </c>
      <c r="D32" s="1167"/>
      <c r="E32" s="1170"/>
    </row>
    <row r="33" spans="1:20" s="1174" customFormat="1" ht="69" customHeight="1" thickBot="1" x14ac:dyDescent="0.3">
      <c r="A33" s="1155" t="s">
        <v>2135</v>
      </c>
      <c r="B33" s="643"/>
      <c r="C33" s="642" t="s">
        <v>4381</v>
      </c>
      <c r="D33" s="642" t="s">
        <v>6888</v>
      </c>
      <c r="E33" s="642" t="s">
        <v>5074</v>
      </c>
      <c r="F33" s="642" t="s">
        <v>4382</v>
      </c>
      <c r="G33" s="642" t="s">
        <v>4383</v>
      </c>
      <c r="H33" s="642" t="s">
        <v>4384</v>
      </c>
      <c r="I33" s="1175" t="s">
        <v>2004</v>
      </c>
      <c r="J33" s="471" t="s">
        <v>6832</v>
      </c>
      <c r="K33" s="471" t="s">
        <v>2029</v>
      </c>
      <c r="L33" s="471" t="s">
        <v>5753</v>
      </c>
      <c r="N33" s="1882" t="s">
        <v>5754</v>
      </c>
      <c r="O33" s="1883"/>
      <c r="P33" s="1883"/>
      <c r="Q33" s="1883"/>
      <c r="R33" s="1883"/>
      <c r="S33" s="1883"/>
      <c r="T33" s="1884"/>
    </row>
    <row r="34" spans="1:20" s="1182" customFormat="1" ht="14.7" customHeight="1" x14ac:dyDescent="0.25">
      <c r="A34" s="1176" t="s">
        <v>2049</v>
      </c>
      <c r="B34" s="1176"/>
      <c r="C34" s="1177">
        <f t="shared" ref="C34:C65" si="0">SUM(D34:E34)</f>
        <v>0</v>
      </c>
      <c r="D34" s="1178">
        <f t="array" ref="D34">SUM(IF('6. Class A Consumption Data'!F32:G32="B",'6. Class A Consumption Data'!F30:G30))</f>
        <v>0</v>
      </c>
      <c r="E34" s="1179">
        <f t="array" ref="E34">SUM(IF('6. Class A Consumption Data'!H32:I32="B",'6. Class A Consumption Data'!H30:I30))</f>
        <v>0</v>
      </c>
      <c r="F34" s="1179">
        <f t="array" ref="F34">SUM(IF('6. Class A Consumption Data'!J32:K32="B",'6. Class A Consumption Data'!J30:K30))</f>
        <v>0</v>
      </c>
      <c r="G34" s="1179">
        <f t="array" ref="G34">SUM(IF('6. Class A Consumption Data'!L32:M32="B",'6. Class A Consumption Data'!L30:M30))</f>
        <v>0</v>
      </c>
      <c r="H34" s="1179">
        <f t="array" ref="H34">SUM(IF('6. Class A Consumption Data'!N32:O32="B",'6. Class A Consumption Data'!N30:O30))</f>
        <v>0</v>
      </c>
      <c r="I34" s="1180">
        <f t="shared" ref="I34:I65" si="1">IFERROR(+C34/($C$184),0)</f>
        <v>0</v>
      </c>
      <c r="J34" s="1181">
        <f t="shared" ref="J34:J65" si="2">+I34*$C$28</f>
        <v>0</v>
      </c>
      <c r="K34" s="1181">
        <f t="shared" ref="K34:K65" si="3">+J34/12</f>
        <v>0</v>
      </c>
      <c r="L34" s="1181">
        <v>0</v>
      </c>
    </row>
    <row r="35" spans="1:20" s="1182" customFormat="1" ht="14.7" customHeight="1" x14ac:dyDescent="0.25">
      <c r="A35" s="1176" t="s">
        <v>2050</v>
      </c>
      <c r="B35" s="1176"/>
      <c r="C35" s="1177">
        <f t="shared" si="0"/>
        <v>0</v>
      </c>
      <c r="D35" s="1178">
        <f t="array" ref="D35">SUM(IF('6. Class A Consumption Data'!F35:G35="B",'6. Class A Consumption Data'!F33:G33))</f>
        <v>0</v>
      </c>
      <c r="E35" s="1178">
        <f t="array" ref="E35">SUM(IF('6. Class A Consumption Data'!H35:I35="B",'6. Class A Consumption Data'!H33:I33))</f>
        <v>0</v>
      </c>
      <c r="F35" s="1178">
        <f t="array" ref="F35">SUM(IF('6. Class A Consumption Data'!J35:K35="B",'6. Class A Consumption Data'!J33:K33))</f>
        <v>0</v>
      </c>
      <c r="G35" s="1178">
        <f t="array" ref="G35">SUM(IF('6. Class A Consumption Data'!L35:M35="B",'6. Class A Consumption Data'!L33:M33))</f>
        <v>0</v>
      </c>
      <c r="H35" s="1178">
        <f t="array" ref="H35">SUM(IF('6. Class A Consumption Data'!N35:O35="B",'6. Class A Consumption Data'!N33:O33))</f>
        <v>0</v>
      </c>
      <c r="I35" s="1180">
        <f t="shared" si="1"/>
        <v>0</v>
      </c>
      <c r="J35" s="1181">
        <f t="shared" si="2"/>
        <v>0</v>
      </c>
      <c r="K35" s="1181">
        <f t="shared" si="3"/>
        <v>0</v>
      </c>
      <c r="L35" s="1181">
        <v>0</v>
      </c>
    </row>
    <row r="36" spans="1:20" s="1182" customFormat="1" ht="14.7" hidden="1" customHeight="1" x14ac:dyDescent="0.25">
      <c r="A36" s="1176" t="s">
        <v>2051</v>
      </c>
      <c r="B36" s="1176"/>
      <c r="C36" s="1177">
        <f t="shared" si="0"/>
        <v>0</v>
      </c>
      <c r="D36" s="1178">
        <v>0</v>
      </c>
      <c r="E36" s="1178">
        <v>0</v>
      </c>
      <c r="F36" s="1178">
        <f t="array" ref="F36">SUM(IF('6. Class A Consumption Data'!J38:K38="B",'6. Class A Consumption Data'!J36:K36))</f>
        <v>0</v>
      </c>
      <c r="G36" s="1178">
        <f t="array" ref="G36">SUM(IF('6. Class A Consumption Data'!L38:M38="B",'6. Class A Consumption Data'!L36:M36))</f>
        <v>0</v>
      </c>
      <c r="H36" s="1178">
        <f t="array" ref="H36">SUM(IF('6. Class A Consumption Data'!N38:O38="B",'6. Class A Consumption Data'!N36:O36))</f>
        <v>0</v>
      </c>
      <c r="I36" s="1180">
        <f t="shared" si="1"/>
        <v>0</v>
      </c>
      <c r="J36" s="1181">
        <f t="shared" si="2"/>
        <v>0</v>
      </c>
      <c r="K36" s="1181">
        <f t="shared" si="3"/>
        <v>0</v>
      </c>
      <c r="L36" s="1181">
        <v>0</v>
      </c>
    </row>
    <row r="37" spans="1:20" s="1182" customFormat="1" ht="14.7" hidden="1" customHeight="1" x14ac:dyDescent="0.25">
      <c r="A37" s="1176" t="s">
        <v>2052</v>
      </c>
      <c r="B37" s="1176"/>
      <c r="C37" s="1177">
        <f t="shared" si="0"/>
        <v>0</v>
      </c>
      <c r="D37" s="1178">
        <v>0</v>
      </c>
      <c r="E37" s="1178">
        <v>0</v>
      </c>
      <c r="F37" s="1178">
        <f t="array" ref="F37">SUM(IF('6. Class A Consumption Data'!J41:K41="B",'6. Class A Consumption Data'!J39:K39))</f>
        <v>0</v>
      </c>
      <c r="G37" s="1178">
        <f t="array" ref="G37">SUM(IF('6. Class A Consumption Data'!L41:M41="B",'6. Class A Consumption Data'!L39:M39))</f>
        <v>0</v>
      </c>
      <c r="H37" s="1178">
        <f t="array" ref="H37">SUM(IF('6. Class A Consumption Data'!N41:O41="B",'6. Class A Consumption Data'!N39:O39))</f>
        <v>0</v>
      </c>
      <c r="I37" s="1180">
        <f t="shared" si="1"/>
        <v>0</v>
      </c>
      <c r="J37" s="1181">
        <f t="shared" si="2"/>
        <v>0</v>
      </c>
      <c r="K37" s="1181">
        <f t="shared" si="3"/>
        <v>0</v>
      </c>
      <c r="L37" s="1181">
        <v>0</v>
      </c>
    </row>
    <row r="38" spans="1:20" s="1182" customFormat="1" ht="14.7" hidden="1" customHeight="1" x14ac:dyDescent="0.25">
      <c r="A38" s="1176" t="s">
        <v>2053</v>
      </c>
      <c r="B38" s="1176"/>
      <c r="C38" s="1177">
        <f t="shared" si="0"/>
        <v>0</v>
      </c>
      <c r="D38" s="1178">
        <v>0</v>
      </c>
      <c r="E38" s="1178">
        <v>0</v>
      </c>
      <c r="F38" s="1178">
        <f t="array" ref="F38">SUM(IF('6. Class A Consumption Data'!J44:K44="B",'6. Class A Consumption Data'!J42:K42))</f>
        <v>0</v>
      </c>
      <c r="G38" s="1178">
        <f t="array" ref="G38">SUM(IF('6. Class A Consumption Data'!L44:M44="B",'6. Class A Consumption Data'!L42:M42))</f>
        <v>0</v>
      </c>
      <c r="H38" s="1178">
        <f t="array" ref="H38">SUM(IF('6. Class A Consumption Data'!N44:O44="B",'6. Class A Consumption Data'!N42:O42))</f>
        <v>0</v>
      </c>
      <c r="I38" s="1180">
        <f t="shared" si="1"/>
        <v>0</v>
      </c>
      <c r="J38" s="1181">
        <f t="shared" si="2"/>
        <v>0</v>
      </c>
      <c r="K38" s="1181">
        <f t="shared" si="3"/>
        <v>0</v>
      </c>
      <c r="L38" s="1181">
        <v>0</v>
      </c>
    </row>
    <row r="39" spans="1:20" s="1182" customFormat="1" ht="14.7" hidden="1" customHeight="1" x14ac:dyDescent="0.25">
      <c r="A39" s="1176" t="s">
        <v>2122</v>
      </c>
      <c r="B39" s="1176"/>
      <c r="C39" s="1177">
        <f t="shared" si="0"/>
        <v>0</v>
      </c>
      <c r="D39" s="1178">
        <v>0</v>
      </c>
      <c r="E39" s="1178">
        <v>0</v>
      </c>
      <c r="F39" s="1178">
        <f t="array" ref="F39">SUM(IF('6. Class A Consumption Data'!J47:K47="B",'6. Class A Consumption Data'!J45:K45))</f>
        <v>0</v>
      </c>
      <c r="G39" s="1178">
        <f t="array" ref="G39">SUM(IF('6. Class A Consumption Data'!L47:M47="B",'6. Class A Consumption Data'!L45:M45))</f>
        <v>0</v>
      </c>
      <c r="H39" s="1178">
        <f t="array" ref="H39">SUM(IF('6. Class A Consumption Data'!N47:O47="B",'6. Class A Consumption Data'!N45:O45))</f>
        <v>0</v>
      </c>
      <c r="I39" s="1180">
        <f t="shared" si="1"/>
        <v>0</v>
      </c>
      <c r="J39" s="1181">
        <f t="shared" si="2"/>
        <v>0</v>
      </c>
      <c r="K39" s="1181">
        <f t="shared" si="3"/>
        <v>0</v>
      </c>
      <c r="L39" s="1181">
        <v>0</v>
      </c>
    </row>
    <row r="40" spans="1:20" s="1182" customFormat="1" ht="14.7" hidden="1" customHeight="1" x14ac:dyDescent="0.25">
      <c r="A40" s="1176" t="s">
        <v>2123</v>
      </c>
      <c r="B40" s="1176"/>
      <c r="C40" s="1177">
        <f t="shared" si="0"/>
        <v>0</v>
      </c>
      <c r="D40" s="1178">
        <v>0</v>
      </c>
      <c r="E40" s="1178">
        <v>0</v>
      </c>
      <c r="F40" s="1178">
        <f t="array" ref="F40">SUM(IF('6. Class A Consumption Data'!J50:K50="B",'6. Class A Consumption Data'!J48:K48))</f>
        <v>0</v>
      </c>
      <c r="G40" s="1178">
        <f t="array" ref="G40">SUM(IF('6. Class A Consumption Data'!L50:M50="B",'6. Class A Consumption Data'!L48:M48))</f>
        <v>0</v>
      </c>
      <c r="H40" s="1178">
        <f t="array" ref="H40">SUM(IF('6. Class A Consumption Data'!N50:O50="B",'6. Class A Consumption Data'!N48:O48))</f>
        <v>0</v>
      </c>
      <c r="I40" s="1180">
        <f t="shared" si="1"/>
        <v>0</v>
      </c>
      <c r="J40" s="1181">
        <f t="shared" si="2"/>
        <v>0</v>
      </c>
      <c r="K40" s="1181">
        <f t="shared" si="3"/>
        <v>0</v>
      </c>
      <c r="L40" s="1181">
        <v>0</v>
      </c>
    </row>
    <row r="41" spans="1:20" s="1182" customFormat="1" ht="14.7" hidden="1" customHeight="1" x14ac:dyDescent="0.25">
      <c r="A41" s="1176" t="s">
        <v>2124</v>
      </c>
      <c r="B41" s="1176"/>
      <c r="C41" s="1177">
        <f t="shared" si="0"/>
        <v>0</v>
      </c>
      <c r="D41" s="1178">
        <v>0</v>
      </c>
      <c r="E41" s="1178">
        <v>0</v>
      </c>
      <c r="F41" s="1178">
        <f t="array" ref="F41">SUM(IF('6. Class A Consumption Data'!J53:K53="B",'6. Class A Consumption Data'!J51:K51))</f>
        <v>0</v>
      </c>
      <c r="G41" s="1178">
        <f t="array" ref="G41">SUM(IF('6. Class A Consumption Data'!L53:M53="B",'6. Class A Consumption Data'!L51:M51))</f>
        <v>0</v>
      </c>
      <c r="H41" s="1178">
        <f t="array" ref="H41">SUM(IF('6. Class A Consumption Data'!N53:O53="B",'6. Class A Consumption Data'!N51:O51))</f>
        <v>0</v>
      </c>
      <c r="I41" s="1180">
        <f t="shared" si="1"/>
        <v>0</v>
      </c>
      <c r="J41" s="1181">
        <f t="shared" si="2"/>
        <v>0</v>
      </c>
      <c r="K41" s="1181">
        <f t="shared" si="3"/>
        <v>0</v>
      </c>
      <c r="L41" s="1181">
        <v>0</v>
      </c>
    </row>
    <row r="42" spans="1:20" s="1182" customFormat="1" ht="14.7" hidden="1" customHeight="1" x14ac:dyDescent="0.25">
      <c r="A42" s="1176" t="s">
        <v>2125</v>
      </c>
      <c r="B42" s="1176"/>
      <c r="C42" s="1177">
        <f t="shared" si="0"/>
        <v>0</v>
      </c>
      <c r="D42" s="1178">
        <v>0</v>
      </c>
      <c r="E42" s="1178">
        <v>0</v>
      </c>
      <c r="F42" s="1178">
        <f t="array" ref="F42">SUM(IF('6. Class A Consumption Data'!J56:K56="B",'6. Class A Consumption Data'!J54:K54))</f>
        <v>0</v>
      </c>
      <c r="G42" s="1178">
        <f t="array" ref="G42">SUM(IF('6. Class A Consumption Data'!L56:M56="B",'6. Class A Consumption Data'!L54:M54))</f>
        <v>0</v>
      </c>
      <c r="H42" s="1178">
        <f t="array" ref="H42">SUM(IF('6. Class A Consumption Data'!N56:O56="B",'6. Class A Consumption Data'!N54:O54))</f>
        <v>0</v>
      </c>
      <c r="I42" s="1180">
        <f t="shared" si="1"/>
        <v>0</v>
      </c>
      <c r="J42" s="1181">
        <f t="shared" si="2"/>
        <v>0</v>
      </c>
      <c r="K42" s="1181">
        <f t="shared" si="3"/>
        <v>0</v>
      </c>
      <c r="L42" s="1181">
        <v>0</v>
      </c>
    </row>
    <row r="43" spans="1:20" s="1182" customFormat="1" ht="14.7" hidden="1" customHeight="1" x14ac:dyDescent="0.25">
      <c r="A43" s="1176" t="s">
        <v>2126</v>
      </c>
      <c r="B43" s="1176"/>
      <c r="C43" s="1177">
        <f t="shared" si="0"/>
        <v>0</v>
      </c>
      <c r="D43" s="1178">
        <v>0</v>
      </c>
      <c r="E43" s="1178">
        <v>0</v>
      </c>
      <c r="F43" s="1178">
        <f t="array" ref="F43">SUM(IF('6. Class A Consumption Data'!J59:K59="B",'6. Class A Consumption Data'!J57:K57))</f>
        <v>0</v>
      </c>
      <c r="G43" s="1178">
        <f t="array" ref="G43">SUM(IF('6. Class A Consumption Data'!L59:M59="B",'6. Class A Consumption Data'!L57:M57))</f>
        <v>0</v>
      </c>
      <c r="H43" s="1178">
        <f t="array" ref="H43">SUM(IF('6. Class A Consumption Data'!N59:O59="B",'6. Class A Consumption Data'!N57:O57))</f>
        <v>0</v>
      </c>
      <c r="I43" s="1180">
        <f t="shared" si="1"/>
        <v>0</v>
      </c>
      <c r="J43" s="1181">
        <f t="shared" si="2"/>
        <v>0</v>
      </c>
      <c r="K43" s="1181">
        <f t="shared" si="3"/>
        <v>0</v>
      </c>
      <c r="L43" s="1181">
        <v>0</v>
      </c>
    </row>
    <row r="44" spans="1:20" s="1182" customFormat="1" ht="14.25" hidden="1" customHeight="1" x14ac:dyDescent="0.25">
      <c r="A44" s="1176" t="s">
        <v>2127</v>
      </c>
      <c r="B44" s="1176"/>
      <c r="C44" s="1177">
        <f t="shared" si="0"/>
        <v>0</v>
      </c>
      <c r="D44" s="1178">
        <v>0</v>
      </c>
      <c r="E44" s="1178">
        <v>0</v>
      </c>
      <c r="F44" s="1178">
        <f t="array" ref="F44">SUM(IF('6. Class A Consumption Data'!J62:K62="B",'6. Class A Consumption Data'!J60:K60))</f>
        <v>0</v>
      </c>
      <c r="G44" s="1178">
        <f t="array" ref="G44">SUM(IF('6. Class A Consumption Data'!L62:M62="B",'6. Class A Consumption Data'!L60:M60))</f>
        <v>0</v>
      </c>
      <c r="H44" s="1178">
        <f t="array" ref="H44">SUM(IF('6. Class A Consumption Data'!N62:O62="B",'6. Class A Consumption Data'!N60:O60))</f>
        <v>0</v>
      </c>
      <c r="I44" s="1180">
        <f t="shared" si="1"/>
        <v>0</v>
      </c>
      <c r="J44" s="1181">
        <f t="shared" si="2"/>
        <v>0</v>
      </c>
      <c r="K44" s="1181">
        <f t="shared" si="3"/>
        <v>0</v>
      </c>
      <c r="L44" s="1181">
        <v>0</v>
      </c>
    </row>
    <row r="45" spans="1:20" s="1182" customFormat="1" ht="14.7" hidden="1" customHeight="1" x14ac:dyDescent="0.25">
      <c r="A45" s="1176" t="s">
        <v>2128</v>
      </c>
      <c r="B45" s="1176"/>
      <c r="C45" s="1177">
        <f t="shared" si="0"/>
        <v>0</v>
      </c>
      <c r="D45" s="1178">
        <v>0</v>
      </c>
      <c r="E45" s="1178">
        <v>0</v>
      </c>
      <c r="F45" s="1178">
        <f t="array" ref="F45">SUM(IF('6. Class A Consumption Data'!J65:K65="B",'6. Class A Consumption Data'!J63:K63))</f>
        <v>0</v>
      </c>
      <c r="G45" s="1178">
        <f t="array" ref="G45">SUM(IF('6. Class A Consumption Data'!L65:M65="B",'6. Class A Consumption Data'!L63:M63))</f>
        <v>0</v>
      </c>
      <c r="H45" s="1178">
        <f t="array" ref="H45">SUM(IF('6. Class A Consumption Data'!N65:O65="B",'6. Class A Consumption Data'!N63:O63))</f>
        <v>0</v>
      </c>
      <c r="I45" s="1180">
        <f t="shared" si="1"/>
        <v>0</v>
      </c>
      <c r="J45" s="1181">
        <f t="shared" si="2"/>
        <v>0</v>
      </c>
      <c r="K45" s="1181">
        <f t="shared" si="3"/>
        <v>0</v>
      </c>
      <c r="L45" s="1181">
        <v>0</v>
      </c>
    </row>
    <row r="46" spans="1:20" s="1182" customFormat="1" ht="13.2" hidden="1" x14ac:dyDescent="0.25">
      <c r="A46" s="1176" t="s">
        <v>2150</v>
      </c>
      <c r="B46" s="1176"/>
      <c r="C46" s="1177">
        <f t="shared" si="0"/>
        <v>0</v>
      </c>
      <c r="D46" s="1178">
        <v>0</v>
      </c>
      <c r="E46" s="1178">
        <v>0</v>
      </c>
      <c r="F46" s="1178">
        <f t="array" ref="F46">SUM(IF('6. Class A Consumption Data'!J68:K68="B",'6. Class A Consumption Data'!J66:K66))</f>
        <v>0</v>
      </c>
      <c r="G46" s="1178">
        <f t="array" ref="G46">SUM(IF('6. Class A Consumption Data'!L68:M68="B",'6. Class A Consumption Data'!L66:M66))</f>
        <v>0</v>
      </c>
      <c r="H46" s="1178">
        <f t="array" ref="H46">SUM(IF('6. Class A Consumption Data'!N68:O68="B",'6. Class A Consumption Data'!N66:O66))</f>
        <v>0</v>
      </c>
      <c r="I46" s="1180">
        <f t="shared" si="1"/>
        <v>0</v>
      </c>
      <c r="J46" s="1181">
        <f t="shared" si="2"/>
        <v>0</v>
      </c>
      <c r="K46" s="1181">
        <f t="shared" si="3"/>
        <v>0</v>
      </c>
      <c r="L46" s="1181">
        <v>0</v>
      </c>
    </row>
    <row r="47" spans="1:20" s="1182" customFormat="1" ht="13.2" hidden="1" x14ac:dyDescent="0.25">
      <c r="A47" s="1176" t="s">
        <v>2151</v>
      </c>
      <c r="B47" s="1176"/>
      <c r="C47" s="1177">
        <f t="shared" si="0"/>
        <v>0</v>
      </c>
      <c r="D47" s="1178">
        <v>0</v>
      </c>
      <c r="E47" s="1178">
        <v>0</v>
      </c>
      <c r="F47" s="1178">
        <f t="array" ref="F47">SUM(IF('6. Class A Consumption Data'!J71:K71="B",'6. Class A Consumption Data'!J69:K69))</f>
        <v>0</v>
      </c>
      <c r="G47" s="1178">
        <f t="array" ref="G47">SUM(IF('6. Class A Consumption Data'!L71:M71="B",'6. Class A Consumption Data'!L69:M69))</f>
        <v>0</v>
      </c>
      <c r="H47" s="1178">
        <f t="array" ref="H47">SUM(IF('6. Class A Consumption Data'!N71:O71="B",'6. Class A Consumption Data'!N69:O69))</f>
        <v>0</v>
      </c>
      <c r="I47" s="1180">
        <f t="shared" si="1"/>
        <v>0</v>
      </c>
      <c r="J47" s="1181">
        <f t="shared" si="2"/>
        <v>0</v>
      </c>
      <c r="K47" s="1181">
        <f t="shared" si="3"/>
        <v>0</v>
      </c>
      <c r="L47" s="1181">
        <v>0</v>
      </c>
    </row>
    <row r="48" spans="1:20" s="1171" customFormat="1" ht="13.2" hidden="1" x14ac:dyDescent="0.25">
      <c r="A48" s="1176" t="s">
        <v>2152</v>
      </c>
      <c r="B48" s="1176"/>
      <c r="C48" s="1177">
        <f t="shared" si="0"/>
        <v>0</v>
      </c>
      <c r="D48" s="1178">
        <v>0</v>
      </c>
      <c r="E48" s="1178">
        <v>0</v>
      </c>
      <c r="F48" s="1178">
        <f t="array" ref="F48">SUM(IF('6. Class A Consumption Data'!J74:K74="B",'6. Class A Consumption Data'!J72:K72))</f>
        <v>0</v>
      </c>
      <c r="G48" s="1178">
        <f t="array" ref="G48">SUM(IF('6. Class A Consumption Data'!L74:M74="B",'6. Class A Consumption Data'!L72:M72))</f>
        <v>0</v>
      </c>
      <c r="H48" s="1178">
        <f t="array" ref="H48">SUM(IF('6. Class A Consumption Data'!N74:O74="B",'6. Class A Consumption Data'!N72:O72))</f>
        <v>0</v>
      </c>
      <c r="I48" s="1180">
        <f t="shared" si="1"/>
        <v>0</v>
      </c>
      <c r="J48" s="1181">
        <f t="shared" si="2"/>
        <v>0</v>
      </c>
      <c r="K48" s="1181">
        <f t="shared" si="3"/>
        <v>0</v>
      </c>
      <c r="L48" s="1181">
        <v>0</v>
      </c>
    </row>
    <row r="49" spans="1:12" s="1174" customFormat="1" ht="13.2" hidden="1" x14ac:dyDescent="0.25">
      <c r="A49" s="1176" t="s">
        <v>2153</v>
      </c>
      <c r="B49" s="1176"/>
      <c r="C49" s="1177">
        <f t="shared" si="0"/>
        <v>0</v>
      </c>
      <c r="D49" s="1178">
        <v>0</v>
      </c>
      <c r="E49" s="1178">
        <v>0</v>
      </c>
      <c r="F49" s="1178">
        <f t="array" ref="F49">SUM(IF('6. Class A Consumption Data'!J77:K77="B",'6. Class A Consumption Data'!J75:K75))</f>
        <v>0</v>
      </c>
      <c r="G49" s="1178">
        <f t="array" ref="G49">SUM(IF('6. Class A Consumption Data'!L77:M77="B",'6. Class A Consumption Data'!L75:M75))</f>
        <v>0</v>
      </c>
      <c r="H49" s="1178">
        <f t="array" ref="H49">SUM(IF('6. Class A Consumption Data'!N77:O77="B",'6. Class A Consumption Data'!N75:O75))</f>
        <v>0</v>
      </c>
      <c r="I49" s="1180">
        <f t="shared" si="1"/>
        <v>0</v>
      </c>
      <c r="J49" s="1181">
        <f t="shared" si="2"/>
        <v>0</v>
      </c>
      <c r="K49" s="1181">
        <f t="shared" si="3"/>
        <v>0</v>
      </c>
      <c r="L49" s="1181">
        <v>0</v>
      </c>
    </row>
    <row r="50" spans="1:12" s="1174" customFormat="1" ht="13.2" hidden="1" x14ac:dyDescent="0.25">
      <c r="A50" s="1176" t="s">
        <v>2154</v>
      </c>
      <c r="B50" s="1176"/>
      <c r="C50" s="1177">
        <f t="shared" si="0"/>
        <v>0</v>
      </c>
      <c r="D50" s="1178">
        <v>0</v>
      </c>
      <c r="E50" s="1178">
        <v>0</v>
      </c>
      <c r="F50" s="1178">
        <f t="array" ref="F50">SUM(IF('6. Class A Consumption Data'!J80:K80="B",'6. Class A Consumption Data'!J78:K78))</f>
        <v>0</v>
      </c>
      <c r="G50" s="1178">
        <f t="array" ref="G50">SUM(IF('6. Class A Consumption Data'!L80:M80="B",'6. Class A Consumption Data'!L78:M78))</f>
        <v>0</v>
      </c>
      <c r="H50" s="1178">
        <f t="array" ref="H50">SUM(IF('6. Class A Consumption Data'!N80:O80="B",'6. Class A Consumption Data'!N78:O78))</f>
        <v>0</v>
      </c>
      <c r="I50" s="1180">
        <f t="shared" si="1"/>
        <v>0</v>
      </c>
      <c r="J50" s="1181">
        <f t="shared" si="2"/>
        <v>0</v>
      </c>
      <c r="K50" s="1181">
        <f t="shared" si="3"/>
        <v>0</v>
      </c>
      <c r="L50" s="1181">
        <v>0</v>
      </c>
    </row>
    <row r="51" spans="1:12" s="1174" customFormat="1" ht="13.2" hidden="1" x14ac:dyDescent="0.25">
      <c r="A51" s="1176" t="s">
        <v>2155</v>
      </c>
      <c r="B51" s="1176"/>
      <c r="C51" s="1177">
        <f t="shared" si="0"/>
        <v>0</v>
      </c>
      <c r="D51" s="1178">
        <v>0</v>
      </c>
      <c r="E51" s="1178">
        <v>0</v>
      </c>
      <c r="F51" s="1178">
        <f t="array" ref="F51">SUM(IF('6. Class A Consumption Data'!J83:K83="B",'6. Class A Consumption Data'!J81:K81))</f>
        <v>0</v>
      </c>
      <c r="G51" s="1178">
        <f t="array" ref="G51">SUM(IF('6. Class A Consumption Data'!L83:M83="B",'6. Class A Consumption Data'!L81:M81))</f>
        <v>0</v>
      </c>
      <c r="H51" s="1178">
        <f t="array" ref="H51">SUM(IF('6. Class A Consumption Data'!N83:O83="B",'6. Class A Consumption Data'!N81:O81))</f>
        <v>0</v>
      </c>
      <c r="I51" s="1180">
        <f t="shared" si="1"/>
        <v>0</v>
      </c>
      <c r="J51" s="1181">
        <f t="shared" si="2"/>
        <v>0</v>
      </c>
      <c r="K51" s="1181">
        <f t="shared" si="3"/>
        <v>0</v>
      </c>
      <c r="L51" s="1181">
        <v>0</v>
      </c>
    </row>
    <row r="52" spans="1:12" s="1174" customFormat="1" ht="13.2" hidden="1" x14ac:dyDescent="0.25">
      <c r="A52" s="1176" t="s">
        <v>2156</v>
      </c>
      <c r="B52" s="1176"/>
      <c r="C52" s="1177">
        <f t="shared" si="0"/>
        <v>0</v>
      </c>
      <c r="D52" s="1178">
        <v>0</v>
      </c>
      <c r="E52" s="1178">
        <v>0</v>
      </c>
      <c r="F52" s="1178">
        <f t="array" ref="F52">SUM(IF('6. Class A Consumption Data'!J86:K86="B",'6. Class A Consumption Data'!J84:K84))</f>
        <v>0</v>
      </c>
      <c r="G52" s="1178">
        <f t="array" ref="G52">SUM(IF('6. Class A Consumption Data'!L86:M86="B",'6. Class A Consumption Data'!L84:M84))</f>
        <v>0</v>
      </c>
      <c r="H52" s="1178">
        <f t="array" ref="H52">SUM(IF('6. Class A Consumption Data'!N86:O86="B",'6. Class A Consumption Data'!N84:O84))</f>
        <v>0</v>
      </c>
      <c r="I52" s="1180">
        <f t="shared" si="1"/>
        <v>0</v>
      </c>
      <c r="J52" s="1181">
        <f t="shared" si="2"/>
        <v>0</v>
      </c>
      <c r="K52" s="1181">
        <f t="shared" si="3"/>
        <v>0</v>
      </c>
      <c r="L52" s="1181">
        <v>0</v>
      </c>
    </row>
    <row r="53" spans="1:12" s="1174" customFormat="1" ht="13.2" hidden="1" x14ac:dyDescent="0.25">
      <c r="A53" s="1176" t="s">
        <v>2157</v>
      </c>
      <c r="B53" s="1176"/>
      <c r="C53" s="1177">
        <f t="shared" si="0"/>
        <v>0</v>
      </c>
      <c r="D53" s="1178">
        <v>0</v>
      </c>
      <c r="E53" s="1178">
        <v>0</v>
      </c>
      <c r="F53" s="1178">
        <f t="array" ref="F53">SUM(IF('6. Class A Consumption Data'!J89:K89="B",'6. Class A Consumption Data'!J87:K87))</f>
        <v>0</v>
      </c>
      <c r="G53" s="1178">
        <f t="array" ref="G53">SUM(IF('6. Class A Consumption Data'!L89:M89="B",'6. Class A Consumption Data'!L87:M87))</f>
        <v>0</v>
      </c>
      <c r="H53" s="1178">
        <f t="array" ref="H53">SUM(IF('6. Class A Consumption Data'!N89:O89="B",'6. Class A Consumption Data'!N87:O87))</f>
        <v>0</v>
      </c>
      <c r="I53" s="1180">
        <f t="shared" si="1"/>
        <v>0</v>
      </c>
      <c r="J53" s="1181">
        <f t="shared" si="2"/>
        <v>0</v>
      </c>
      <c r="K53" s="1181">
        <f t="shared" si="3"/>
        <v>0</v>
      </c>
      <c r="L53" s="1181">
        <v>0</v>
      </c>
    </row>
    <row r="54" spans="1:12" s="1174" customFormat="1" ht="13.2" hidden="1" x14ac:dyDescent="0.25">
      <c r="A54" s="1176" t="s">
        <v>2158</v>
      </c>
      <c r="B54" s="1176"/>
      <c r="C54" s="1177">
        <f t="shared" si="0"/>
        <v>0</v>
      </c>
      <c r="D54" s="1178">
        <v>0</v>
      </c>
      <c r="E54" s="1178">
        <v>0</v>
      </c>
      <c r="F54" s="1178">
        <f t="array" ref="F54">SUM(IF('6. Class A Consumption Data'!J92:K92="B",'6. Class A Consumption Data'!J90:K90))</f>
        <v>0</v>
      </c>
      <c r="G54" s="1178">
        <f t="array" ref="G54">SUM(IF('6. Class A Consumption Data'!L92:M92="B",'6. Class A Consumption Data'!L90:M90))</f>
        <v>0</v>
      </c>
      <c r="H54" s="1178">
        <f t="array" ref="H54">SUM(IF('6. Class A Consumption Data'!N92:O92="B",'6. Class A Consumption Data'!N90:O90))</f>
        <v>0</v>
      </c>
      <c r="I54" s="1180">
        <f t="shared" si="1"/>
        <v>0</v>
      </c>
      <c r="J54" s="1181">
        <f t="shared" si="2"/>
        <v>0</v>
      </c>
      <c r="K54" s="1181">
        <f t="shared" si="3"/>
        <v>0</v>
      </c>
      <c r="L54" s="1181">
        <v>0</v>
      </c>
    </row>
    <row r="55" spans="1:12" s="1174" customFormat="1" ht="13.2" hidden="1" x14ac:dyDescent="0.25">
      <c r="A55" s="1176" t="s">
        <v>2159</v>
      </c>
      <c r="B55" s="1176"/>
      <c r="C55" s="1177">
        <f t="shared" si="0"/>
        <v>0</v>
      </c>
      <c r="D55" s="1178">
        <v>0</v>
      </c>
      <c r="E55" s="1178">
        <v>0</v>
      </c>
      <c r="F55" s="1178">
        <f t="array" ref="F55">SUM(IF('6. Class A Consumption Data'!J95:K95="B",'6. Class A Consumption Data'!J93:K93))</f>
        <v>0</v>
      </c>
      <c r="G55" s="1178">
        <f t="array" ref="G55">SUM(IF('6. Class A Consumption Data'!L95:M95="B",'6. Class A Consumption Data'!L93:M93))</f>
        <v>0</v>
      </c>
      <c r="H55" s="1178">
        <f t="array" ref="H55">SUM(IF('6. Class A Consumption Data'!N95:O95="B",'6. Class A Consumption Data'!N93:O93))</f>
        <v>0</v>
      </c>
      <c r="I55" s="1180">
        <f t="shared" si="1"/>
        <v>0</v>
      </c>
      <c r="J55" s="1181">
        <f t="shared" si="2"/>
        <v>0</v>
      </c>
      <c r="K55" s="1181">
        <f t="shared" si="3"/>
        <v>0</v>
      </c>
      <c r="L55" s="1181">
        <v>0</v>
      </c>
    </row>
    <row r="56" spans="1:12" s="1174" customFormat="1" ht="13.2" hidden="1" x14ac:dyDescent="0.25">
      <c r="A56" s="1176" t="s">
        <v>2160</v>
      </c>
      <c r="B56" s="1176"/>
      <c r="C56" s="1177">
        <f t="shared" si="0"/>
        <v>0</v>
      </c>
      <c r="D56" s="1178">
        <v>0</v>
      </c>
      <c r="E56" s="1178">
        <v>0</v>
      </c>
      <c r="F56" s="1178">
        <f t="array" ref="F56">SUM(IF('6. Class A Consumption Data'!J98:K98="B",'6. Class A Consumption Data'!J96:K96))</f>
        <v>0</v>
      </c>
      <c r="G56" s="1178">
        <f t="array" ref="G56">SUM(IF('6. Class A Consumption Data'!L98:M98="B",'6. Class A Consumption Data'!L96:M96))</f>
        <v>0</v>
      </c>
      <c r="H56" s="1178">
        <f t="array" ref="H56">SUM(IF('6. Class A Consumption Data'!N98:O98="B",'6. Class A Consumption Data'!N96:O96))</f>
        <v>0</v>
      </c>
      <c r="I56" s="1180">
        <f t="shared" si="1"/>
        <v>0</v>
      </c>
      <c r="J56" s="1181">
        <f t="shared" si="2"/>
        <v>0</v>
      </c>
      <c r="K56" s="1181">
        <f t="shared" si="3"/>
        <v>0</v>
      </c>
      <c r="L56" s="1181">
        <v>0</v>
      </c>
    </row>
    <row r="57" spans="1:12" s="1174" customFormat="1" ht="13.2" hidden="1" x14ac:dyDescent="0.25">
      <c r="A57" s="1176" t="s">
        <v>2161</v>
      </c>
      <c r="B57" s="1176"/>
      <c r="C57" s="1177">
        <f t="shared" si="0"/>
        <v>0</v>
      </c>
      <c r="D57" s="1178">
        <v>0</v>
      </c>
      <c r="E57" s="1178">
        <v>0</v>
      </c>
      <c r="F57" s="1178">
        <f t="array" ref="F57">SUM(IF('6. Class A Consumption Data'!J101:K101="B",'6. Class A Consumption Data'!J99:K99))</f>
        <v>0</v>
      </c>
      <c r="G57" s="1178">
        <f t="array" ref="G57">SUM(IF('6. Class A Consumption Data'!L101:M101="B",'6. Class A Consumption Data'!L99:M99))</f>
        <v>0</v>
      </c>
      <c r="H57" s="1178">
        <f t="array" ref="H57">SUM(IF('6. Class A Consumption Data'!N101:O101="B",'6. Class A Consumption Data'!N99:O99))</f>
        <v>0</v>
      </c>
      <c r="I57" s="1180">
        <f t="shared" si="1"/>
        <v>0</v>
      </c>
      <c r="J57" s="1181">
        <f t="shared" si="2"/>
        <v>0</v>
      </c>
      <c r="K57" s="1181">
        <f t="shared" si="3"/>
        <v>0</v>
      </c>
      <c r="L57" s="1181">
        <v>0</v>
      </c>
    </row>
    <row r="58" spans="1:12" s="1174" customFormat="1" ht="13.2" hidden="1" x14ac:dyDescent="0.25">
      <c r="A58" s="1176" t="s">
        <v>2162</v>
      </c>
      <c r="B58" s="1176"/>
      <c r="C58" s="1177">
        <f t="shared" si="0"/>
        <v>0</v>
      </c>
      <c r="D58" s="1178">
        <v>0</v>
      </c>
      <c r="E58" s="1178">
        <v>0</v>
      </c>
      <c r="F58" s="1178">
        <f t="array" ref="F58">SUM(IF('6. Class A Consumption Data'!J104:K104="B",'6. Class A Consumption Data'!J102:K102))</f>
        <v>0</v>
      </c>
      <c r="G58" s="1178">
        <f t="array" ref="G58">SUM(IF('6. Class A Consumption Data'!L104:M104="B",'6. Class A Consumption Data'!L102:M102))</f>
        <v>0</v>
      </c>
      <c r="H58" s="1178">
        <f t="array" ref="H58">SUM(IF('6. Class A Consumption Data'!N104:O104="B",'6. Class A Consumption Data'!N102:O102))</f>
        <v>0</v>
      </c>
      <c r="I58" s="1180">
        <f t="shared" si="1"/>
        <v>0</v>
      </c>
      <c r="J58" s="1181">
        <f t="shared" si="2"/>
        <v>0</v>
      </c>
      <c r="K58" s="1181">
        <f t="shared" si="3"/>
        <v>0</v>
      </c>
      <c r="L58" s="1181">
        <v>0</v>
      </c>
    </row>
    <row r="59" spans="1:12" s="1174" customFormat="1" ht="13.2" hidden="1" x14ac:dyDescent="0.25">
      <c r="A59" s="1176" t="s">
        <v>2163</v>
      </c>
      <c r="B59" s="1176"/>
      <c r="C59" s="1177">
        <f t="shared" si="0"/>
        <v>0</v>
      </c>
      <c r="D59" s="1178">
        <v>0</v>
      </c>
      <c r="E59" s="1178">
        <v>0</v>
      </c>
      <c r="F59" s="1178">
        <f t="array" ref="F59">SUM(IF('6. Class A Consumption Data'!J107:K107="B",'6. Class A Consumption Data'!J105:K105))</f>
        <v>0</v>
      </c>
      <c r="G59" s="1178">
        <f t="array" ref="G59">SUM(IF('6. Class A Consumption Data'!L107:M107="B",'6. Class A Consumption Data'!L105:M105))</f>
        <v>0</v>
      </c>
      <c r="H59" s="1178">
        <f t="array" ref="H59">SUM(IF('6. Class A Consumption Data'!N107:O107="B",'6. Class A Consumption Data'!N105:O105))</f>
        <v>0</v>
      </c>
      <c r="I59" s="1180">
        <f t="shared" si="1"/>
        <v>0</v>
      </c>
      <c r="J59" s="1181">
        <f t="shared" si="2"/>
        <v>0</v>
      </c>
      <c r="K59" s="1181">
        <f t="shared" si="3"/>
        <v>0</v>
      </c>
      <c r="L59" s="1181">
        <v>0</v>
      </c>
    </row>
    <row r="60" spans="1:12" s="1174" customFormat="1" ht="13.2" hidden="1" x14ac:dyDescent="0.25">
      <c r="A60" s="1176" t="s">
        <v>2164</v>
      </c>
      <c r="B60" s="1176"/>
      <c r="C60" s="1177">
        <f t="shared" si="0"/>
        <v>0</v>
      </c>
      <c r="D60" s="1178">
        <v>0</v>
      </c>
      <c r="E60" s="1178">
        <v>0</v>
      </c>
      <c r="F60" s="1178">
        <f t="array" ref="F60">SUM(IF('6. Class A Consumption Data'!J110:K110="B",'6. Class A Consumption Data'!J108:K108))</f>
        <v>0</v>
      </c>
      <c r="G60" s="1178">
        <f t="array" ref="G60">SUM(IF('6. Class A Consumption Data'!L110:M110="B",'6. Class A Consumption Data'!L108:M108))</f>
        <v>0</v>
      </c>
      <c r="H60" s="1178">
        <f t="array" ref="H60">SUM(IF('6. Class A Consumption Data'!N110:O110="B",'6. Class A Consumption Data'!N108:O108))</f>
        <v>0</v>
      </c>
      <c r="I60" s="1180">
        <f t="shared" si="1"/>
        <v>0</v>
      </c>
      <c r="J60" s="1181">
        <f t="shared" si="2"/>
        <v>0</v>
      </c>
      <c r="K60" s="1181">
        <f t="shared" si="3"/>
        <v>0</v>
      </c>
      <c r="L60" s="1181">
        <v>0</v>
      </c>
    </row>
    <row r="61" spans="1:12" s="1174" customFormat="1" ht="13.2" hidden="1" x14ac:dyDescent="0.25">
      <c r="A61" s="1176" t="s">
        <v>2165</v>
      </c>
      <c r="B61" s="1176"/>
      <c r="C61" s="1177">
        <f t="shared" si="0"/>
        <v>0</v>
      </c>
      <c r="D61" s="1178">
        <v>0</v>
      </c>
      <c r="E61" s="1178">
        <v>0</v>
      </c>
      <c r="F61" s="1178">
        <f t="array" ref="F61">SUM(IF('6. Class A Consumption Data'!J113:K113="B",'6. Class A Consumption Data'!J111:K111))</f>
        <v>0</v>
      </c>
      <c r="G61" s="1178">
        <f t="array" ref="G61">SUM(IF('6. Class A Consumption Data'!L113:M113="B",'6. Class A Consumption Data'!L111:M111))</f>
        <v>0</v>
      </c>
      <c r="H61" s="1178">
        <f t="array" ref="H61">SUM(IF('6. Class A Consumption Data'!N113:O113="B",'6. Class A Consumption Data'!N111:O111))</f>
        <v>0</v>
      </c>
      <c r="I61" s="1180">
        <f t="shared" si="1"/>
        <v>0</v>
      </c>
      <c r="J61" s="1181">
        <f t="shared" si="2"/>
        <v>0</v>
      </c>
      <c r="K61" s="1181">
        <f t="shared" si="3"/>
        <v>0</v>
      </c>
      <c r="L61" s="1181">
        <v>0</v>
      </c>
    </row>
    <row r="62" spans="1:12" s="1174" customFormat="1" ht="13.2" hidden="1" x14ac:dyDescent="0.25">
      <c r="A62" s="1176" t="s">
        <v>2166</v>
      </c>
      <c r="B62" s="1176"/>
      <c r="C62" s="1177">
        <f t="shared" si="0"/>
        <v>0</v>
      </c>
      <c r="D62" s="1178">
        <v>0</v>
      </c>
      <c r="E62" s="1178">
        <v>0</v>
      </c>
      <c r="F62" s="1178">
        <f t="array" ref="F62">SUM(IF('6. Class A Consumption Data'!J116:K116="B",'6. Class A Consumption Data'!J114:K114))</f>
        <v>0</v>
      </c>
      <c r="G62" s="1178">
        <f t="array" ref="G62">SUM(IF('6. Class A Consumption Data'!L116:M116="B",'6. Class A Consumption Data'!L114:M114))</f>
        <v>0</v>
      </c>
      <c r="H62" s="1178">
        <f t="array" ref="H62">SUM(IF('6. Class A Consumption Data'!N116:O116="B",'6. Class A Consumption Data'!N114:O114))</f>
        <v>0</v>
      </c>
      <c r="I62" s="1180">
        <f t="shared" si="1"/>
        <v>0</v>
      </c>
      <c r="J62" s="1181">
        <f t="shared" si="2"/>
        <v>0</v>
      </c>
      <c r="K62" s="1181">
        <f t="shared" si="3"/>
        <v>0</v>
      </c>
      <c r="L62" s="1181">
        <v>0</v>
      </c>
    </row>
    <row r="63" spans="1:12" s="1174" customFormat="1" ht="13.2" hidden="1" x14ac:dyDescent="0.25">
      <c r="A63" s="1176" t="s">
        <v>2167</v>
      </c>
      <c r="B63" s="1176"/>
      <c r="C63" s="1177">
        <f t="shared" si="0"/>
        <v>0</v>
      </c>
      <c r="D63" s="1178">
        <v>0</v>
      </c>
      <c r="E63" s="1178">
        <v>0</v>
      </c>
      <c r="F63" s="1178">
        <f t="array" ref="F63">SUM(IF('6. Class A Consumption Data'!J119:K119="B",'6. Class A Consumption Data'!J117:K117))</f>
        <v>0</v>
      </c>
      <c r="G63" s="1178">
        <f t="array" ref="G63">SUM(IF('6. Class A Consumption Data'!L119:M119="B",'6. Class A Consumption Data'!L117:M117))</f>
        <v>0</v>
      </c>
      <c r="H63" s="1178">
        <f t="array" ref="H63">SUM(IF('6. Class A Consumption Data'!N119:O119="B",'6. Class A Consumption Data'!N117:O117))</f>
        <v>0</v>
      </c>
      <c r="I63" s="1180">
        <f t="shared" si="1"/>
        <v>0</v>
      </c>
      <c r="J63" s="1181">
        <f t="shared" si="2"/>
        <v>0</v>
      </c>
      <c r="K63" s="1181">
        <f t="shared" si="3"/>
        <v>0</v>
      </c>
      <c r="L63" s="1181">
        <v>0</v>
      </c>
    </row>
    <row r="64" spans="1:12" s="1174" customFormat="1" ht="13.2" hidden="1" x14ac:dyDescent="0.25">
      <c r="A64" s="1176" t="s">
        <v>2168</v>
      </c>
      <c r="B64" s="1176"/>
      <c r="C64" s="1177">
        <f t="shared" si="0"/>
        <v>0</v>
      </c>
      <c r="D64" s="1178">
        <v>0</v>
      </c>
      <c r="E64" s="1178">
        <v>0</v>
      </c>
      <c r="F64" s="1178">
        <f t="array" ref="F64">SUM(IF('6. Class A Consumption Data'!J122:K122="B",'6. Class A Consumption Data'!J120:K120))</f>
        <v>0</v>
      </c>
      <c r="G64" s="1178">
        <f t="array" ref="G64">SUM(IF('6. Class A Consumption Data'!L122:M122="B",'6. Class A Consumption Data'!L120:M120))</f>
        <v>0</v>
      </c>
      <c r="H64" s="1178">
        <f t="array" ref="H64">SUM(IF('6. Class A Consumption Data'!N122:O122="B",'6. Class A Consumption Data'!N120:O120))</f>
        <v>0</v>
      </c>
      <c r="I64" s="1180">
        <f t="shared" si="1"/>
        <v>0</v>
      </c>
      <c r="J64" s="1181">
        <f t="shared" si="2"/>
        <v>0</v>
      </c>
      <c r="K64" s="1181">
        <f t="shared" si="3"/>
        <v>0</v>
      </c>
      <c r="L64" s="1181">
        <v>0</v>
      </c>
    </row>
    <row r="65" spans="1:12" s="1174" customFormat="1" ht="13.2" hidden="1" x14ac:dyDescent="0.25">
      <c r="A65" s="1176" t="s">
        <v>2169</v>
      </c>
      <c r="B65" s="1176"/>
      <c r="C65" s="1177">
        <f t="shared" si="0"/>
        <v>0</v>
      </c>
      <c r="D65" s="1178">
        <v>0</v>
      </c>
      <c r="E65" s="1178">
        <v>0</v>
      </c>
      <c r="F65" s="1178">
        <f t="array" ref="F65">SUM(IF('6. Class A Consumption Data'!J125:K125="B",'6. Class A Consumption Data'!J123:K123))</f>
        <v>0</v>
      </c>
      <c r="G65" s="1178">
        <f t="array" ref="G65">SUM(IF('6. Class A Consumption Data'!L125:M125="B",'6. Class A Consumption Data'!L123:M123))</f>
        <v>0</v>
      </c>
      <c r="H65" s="1178">
        <f t="array" ref="H65">SUM(IF('6. Class A Consumption Data'!N125:O125="B",'6. Class A Consumption Data'!N123:O123))</f>
        <v>0</v>
      </c>
      <c r="I65" s="1180">
        <f t="shared" si="1"/>
        <v>0</v>
      </c>
      <c r="J65" s="1181">
        <f t="shared" si="2"/>
        <v>0</v>
      </c>
      <c r="K65" s="1181">
        <f t="shared" si="3"/>
        <v>0</v>
      </c>
      <c r="L65" s="1181">
        <v>0</v>
      </c>
    </row>
    <row r="66" spans="1:12" s="1174" customFormat="1" ht="13.2" hidden="1" x14ac:dyDescent="0.25">
      <c r="A66" s="1176" t="s">
        <v>2170</v>
      </c>
      <c r="B66" s="1176"/>
      <c r="C66" s="1177">
        <f t="shared" ref="C66:C97" si="4">SUM(D66:E66)</f>
        <v>0</v>
      </c>
      <c r="D66" s="1178">
        <v>0</v>
      </c>
      <c r="E66" s="1178">
        <v>0</v>
      </c>
      <c r="F66" s="1178">
        <f t="array" ref="F66">SUM(IF('6. Class A Consumption Data'!J128:K128="B",'6. Class A Consumption Data'!J126:K126))</f>
        <v>0</v>
      </c>
      <c r="G66" s="1178">
        <f t="array" ref="G66">SUM(IF('6. Class A Consumption Data'!L128:M128="B",'6. Class A Consumption Data'!L126:M126))</f>
        <v>0</v>
      </c>
      <c r="H66" s="1178">
        <f t="array" ref="H66">SUM(IF('6. Class A Consumption Data'!N128:O128="B",'6. Class A Consumption Data'!N126:O126))</f>
        <v>0</v>
      </c>
      <c r="I66" s="1180">
        <f t="shared" ref="I66:I97" si="5">IFERROR(+C66/($C$184),0)</f>
        <v>0</v>
      </c>
      <c r="J66" s="1181">
        <f t="shared" ref="J66:J97" si="6">+I66*$C$28</f>
        <v>0</v>
      </c>
      <c r="K66" s="1181">
        <f t="shared" ref="K66:K97" si="7">+J66/12</f>
        <v>0</v>
      </c>
      <c r="L66" s="1181">
        <v>0</v>
      </c>
    </row>
    <row r="67" spans="1:12" s="1174" customFormat="1" ht="13.2" hidden="1" x14ac:dyDescent="0.25">
      <c r="A67" s="1176" t="s">
        <v>2171</v>
      </c>
      <c r="B67" s="1176"/>
      <c r="C67" s="1177">
        <f t="shared" si="4"/>
        <v>0</v>
      </c>
      <c r="D67" s="1178">
        <v>0</v>
      </c>
      <c r="E67" s="1178">
        <v>0</v>
      </c>
      <c r="F67" s="1178">
        <f t="array" ref="F67">SUM(IF('6. Class A Consumption Data'!J131:K131="B",'6. Class A Consumption Data'!J129:K129))</f>
        <v>0</v>
      </c>
      <c r="G67" s="1178">
        <f t="array" ref="G67">SUM(IF('6. Class A Consumption Data'!L131:M131="B",'6. Class A Consumption Data'!L129:M129))</f>
        <v>0</v>
      </c>
      <c r="H67" s="1178">
        <f t="array" ref="H67">SUM(IF('6. Class A Consumption Data'!N131:O131="B",'6. Class A Consumption Data'!N129:O129))</f>
        <v>0</v>
      </c>
      <c r="I67" s="1180">
        <f t="shared" si="5"/>
        <v>0</v>
      </c>
      <c r="J67" s="1181">
        <f t="shared" si="6"/>
        <v>0</v>
      </c>
      <c r="K67" s="1181">
        <f t="shared" si="7"/>
        <v>0</v>
      </c>
      <c r="L67" s="1181">
        <v>0</v>
      </c>
    </row>
    <row r="68" spans="1:12" s="1174" customFormat="1" ht="13.2" hidden="1" x14ac:dyDescent="0.25">
      <c r="A68" s="1176" t="s">
        <v>2172</v>
      </c>
      <c r="B68" s="1176"/>
      <c r="C68" s="1177">
        <f t="shared" si="4"/>
        <v>0</v>
      </c>
      <c r="D68" s="1178">
        <v>0</v>
      </c>
      <c r="E68" s="1178">
        <v>0</v>
      </c>
      <c r="F68" s="1178">
        <f t="array" ref="F68">SUM(IF('6. Class A Consumption Data'!J134:K134="B",'6. Class A Consumption Data'!J132:K132))</f>
        <v>0</v>
      </c>
      <c r="G68" s="1178">
        <f t="array" ref="G68">SUM(IF('6. Class A Consumption Data'!L134:M134="B",'6. Class A Consumption Data'!L132:M132))</f>
        <v>0</v>
      </c>
      <c r="H68" s="1178">
        <f t="array" ref="H68">SUM(IF('6. Class A Consumption Data'!N134:O134="B",'6. Class A Consumption Data'!N132:O132))</f>
        <v>0</v>
      </c>
      <c r="I68" s="1180">
        <f t="shared" si="5"/>
        <v>0</v>
      </c>
      <c r="J68" s="1181">
        <f t="shared" si="6"/>
        <v>0</v>
      </c>
      <c r="K68" s="1181">
        <f t="shared" si="7"/>
        <v>0</v>
      </c>
      <c r="L68" s="1181">
        <v>0</v>
      </c>
    </row>
    <row r="69" spans="1:12" s="1174" customFormat="1" ht="13.2" hidden="1" x14ac:dyDescent="0.25">
      <c r="A69" s="1176" t="s">
        <v>2173</v>
      </c>
      <c r="B69" s="1176"/>
      <c r="C69" s="1177">
        <f t="shared" si="4"/>
        <v>0</v>
      </c>
      <c r="D69" s="1178">
        <v>0</v>
      </c>
      <c r="E69" s="1178">
        <v>0</v>
      </c>
      <c r="F69" s="1178">
        <f t="array" ref="F69">SUM(IF('6. Class A Consumption Data'!J137:K137="B",'6. Class A Consumption Data'!J135:K135))</f>
        <v>0</v>
      </c>
      <c r="G69" s="1178">
        <f t="array" ref="G69">SUM(IF('6. Class A Consumption Data'!L137:M137="B",'6. Class A Consumption Data'!L135:M135))</f>
        <v>0</v>
      </c>
      <c r="H69" s="1178">
        <f t="array" ref="H69">SUM(IF('6. Class A Consumption Data'!N137:O137="B",'6. Class A Consumption Data'!N135:O135))</f>
        <v>0</v>
      </c>
      <c r="I69" s="1180">
        <f t="shared" si="5"/>
        <v>0</v>
      </c>
      <c r="J69" s="1181">
        <f t="shared" si="6"/>
        <v>0</v>
      </c>
      <c r="K69" s="1181">
        <f t="shared" si="7"/>
        <v>0</v>
      </c>
      <c r="L69" s="1181">
        <v>0</v>
      </c>
    </row>
    <row r="70" spans="1:12" s="1174" customFormat="1" ht="13.2" hidden="1" x14ac:dyDescent="0.25">
      <c r="A70" s="1176" t="s">
        <v>2174</v>
      </c>
      <c r="B70" s="1176"/>
      <c r="C70" s="1177">
        <f t="shared" si="4"/>
        <v>0</v>
      </c>
      <c r="D70" s="1178">
        <v>0</v>
      </c>
      <c r="E70" s="1178">
        <v>0</v>
      </c>
      <c r="F70" s="1178">
        <f t="array" ref="F70">SUM(IF('6. Class A Consumption Data'!J140:K140="B",'6. Class A Consumption Data'!J138:K138))</f>
        <v>0</v>
      </c>
      <c r="G70" s="1178">
        <f t="array" ref="G70">SUM(IF('6. Class A Consumption Data'!L140:M140="B",'6. Class A Consumption Data'!L138:M138))</f>
        <v>0</v>
      </c>
      <c r="H70" s="1178">
        <f t="array" ref="H70">SUM(IF('6. Class A Consumption Data'!N140:O140="B",'6. Class A Consumption Data'!N138:O138))</f>
        <v>0</v>
      </c>
      <c r="I70" s="1180">
        <f t="shared" si="5"/>
        <v>0</v>
      </c>
      <c r="J70" s="1181">
        <f t="shared" si="6"/>
        <v>0</v>
      </c>
      <c r="K70" s="1181">
        <f t="shared" si="7"/>
        <v>0</v>
      </c>
      <c r="L70" s="1181">
        <v>0</v>
      </c>
    </row>
    <row r="71" spans="1:12" s="1174" customFormat="1" ht="13.2" hidden="1" x14ac:dyDescent="0.25">
      <c r="A71" s="1176" t="s">
        <v>2175</v>
      </c>
      <c r="B71" s="1176"/>
      <c r="C71" s="1177">
        <f t="shared" si="4"/>
        <v>0</v>
      </c>
      <c r="D71" s="1178">
        <v>0</v>
      </c>
      <c r="E71" s="1178">
        <v>0</v>
      </c>
      <c r="F71" s="1178">
        <f t="array" ref="F71">SUM(IF('6. Class A Consumption Data'!J143:K143="B",'6. Class A Consumption Data'!J141:K141))</f>
        <v>0</v>
      </c>
      <c r="G71" s="1178">
        <f t="array" ref="G71">SUM(IF('6. Class A Consumption Data'!L143:M143="B",'6. Class A Consumption Data'!L141:M141))</f>
        <v>0</v>
      </c>
      <c r="H71" s="1178">
        <f t="array" ref="H71">SUM(IF('6. Class A Consumption Data'!N143:O143="B",'6. Class A Consumption Data'!N141:O141))</f>
        <v>0</v>
      </c>
      <c r="I71" s="1180">
        <f t="shared" si="5"/>
        <v>0</v>
      </c>
      <c r="J71" s="1181">
        <f t="shared" si="6"/>
        <v>0</v>
      </c>
      <c r="K71" s="1181">
        <f t="shared" si="7"/>
        <v>0</v>
      </c>
      <c r="L71" s="1181">
        <v>0</v>
      </c>
    </row>
    <row r="72" spans="1:12" s="1174" customFormat="1" ht="13.2" hidden="1" x14ac:dyDescent="0.25">
      <c r="A72" s="1176" t="s">
        <v>2176</v>
      </c>
      <c r="B72" s="1176"/>
      <c r="C72" s="1177">
        <f t="shared" si="4"/>
        <v>0</v>
      </c>
      <c r="D72" s="1178">
        <v>0</v>
      </c>
      <c r="E72" s="1178">
        <v>0</v>
      </c>
      <c r="F72" s="1178">
        <f t="array" ref="F72">SUM(IF('6. Class A Consumption Data'!J146:K146="B",'6. Class A Consumption Data'!J144:K144))</f>
        <v>0</v>
      </c>
      <c r="G72" s="1178">
        <f t="array" ref="G72">SUM(IF('6. Class A Consumption Data'!L146:M146="B",'6. Class A Consumption Data'!L144:M144))</f>
        <v>0</v>
      </c>
      <c r="H72" s="1178">
        <f t="array" ref="H72">SUM(IF('6. Class A Consumption Data'!N146:O146="B",'6. Class A Consumption Data'!N144:O144))</f>
        <v>0</v>
      </c>
      <c r="I72" s="1180">
        <f t="shared" si="5"/>
        <v>0</v>
      </c>
      <c r="J72" s="1181">
        <f t="shared" si="6"/>
        <v>0</v>
      </c>
      <c r="K72" s="1181">
        <f t="shared" si="7"/>
        <v>0</v>
      </c>
      <c r="L72" s="1181">
        <v>0</v>
      </c>
    </row>
    <row r="73" spans="1:12" s="1174" customFormat="1" ht="13.2" hidden="1" x14ac:dyDescent="0.25">
      <c r="A73" s="1176" t="s">
        <v>2177</v>
      </c>
      <c r="B73" s="1176"/>
      <c r="C73" s="1177">
        <f t="shared" si="4"/>
        <v>0</v>
      </c>
      <c r="D73" s="1178">
        <v>0</v>
      </c>
      <c r="E73" s="1178">
        <v>0</v>
      </c>
      <c r="F73" s="1178">
        <f t="array" ref="F73">SUM(IF('6. Class A Consumption Data'!J149:K149="B",'6. Class A Consumption Data'!J147:K147))</f>
        <v>0</v>
      </c>
      <c r="G73" s="1178">
        <f t="array" ref="G73">SUM(IF('6. Class A Consumption Data'!L149:M149="B",'6. Class A Consumption Data'!L147:M147))</f>
        <v>0</v>
      </c>
      <c r="H73" s="1178">
        <f t="array" ref="H73">SUM(IF('6. Class A Consumption Data'!N149:O149="B",'6. Class A Consumption Data'!N147:O147))</f>
        <v>0</v>
      </c>
      <c r="I73" s="1180">
        <f t="shared" si="5"/>
        <v>0</v>
      </c>
      <c r="J73" s="1181">
        <f t="shared" si="6"/>
        <v>0</v>
      </c>
      <c r="K73" s="1181">
        <f t="shared" si="7"/>
        <v>0</v>
      </c>
      <c r="L73" s="1181">
        <v>0</v>
      </c>
    </row>
    <row r="74" spans="1:12" s="1174" customFormat="1" ht="13.2" hidden="1" x14ac:dyDescent="0.25">
      <c r="A74" s="1176" t="s">
        <v>2178</v>
      </c>
      <c r="B74" s="1176"/>
      <c r="C74" s="1177">
        <f t="shared" si="4"/>
        <v>0</v>
      </c>
      <c r="D74" s="1178">
        <v>0</v>
      </c>
      <c r="E74" s="1178">
        <v>0</v>
      </c>
      <c r="F74" s="1178">
        <f t="array" ref="F74">SUM(IF('6. Class A Consumption Data'!J152:K152="B",'6. Class A Consumption Data'!J150:K150))</f>
        <v>0</v>
      </c>
      <c r="G74" s="1178">
        <f t="array" ref="G74">SUM(IF('6. Class A Consumption Data'!L152:M152="B",'6. Class A Consumption Data'!L150:M150))</f>
        <v>0</v>
      </c>
      <c r="H74" s="1178">
        <f t="array" ref="H74">SUM(IF('6. Class A Consumption Data'!N152:O152="B",'6. Class A Consumption Data'!N150:O150))</f>
        <v>0</v>
      </c>
      <c r="I74" s="1180">
        <f t="shared" si="5"/>
        <v>0</v>
      </c>
      <c r="J74" s="1181">
        <f t="shared" si="6"/>
        <v>0</v>
      </c>
      <c r="K74" s="1181">
        <f t="shared" si="7"/>
        <v>0</v>
      </c>
      <c r="L74" s="1181">
        <v>0</v>
      </c>
    </row>
    <row r="75" spans="1:12" s="1174" customFormat="1" ht="13.2" hidden="1" x14ac:dyDescent="0.25">
      <c r="A75" s="1176" t="s">
        <v>2179</v>
      </c>
      <c r="B75" s="1176"/>
      <c r="C75" s="1177">
        <f t="shared" si="4"/>
        <v>0</v>
      </c>
      <c r="D75" s="1178">
        <v>0</v>
      </c>
      <c r="E75" s="1178">
        <v>0</v>
      </c>
      <c r="F75" s="1178">
        <f t="array" ref="F75">SUM(IF('6. Class A Consumption Data'!J155:K155="B",'6. Class A Consumption Data'!J153:K153))</f>
        <v>0</v>
      </c>
      <c r="G75" s="1178">
        <f t="array" ref="G75">SUM(IF('6. Class A Consumption Data'!L155:M155="B",'6. Class A Consumption Data'!L153:M153))</f>
        <v>0</v>
      </c>
      <c r="H75" s="1178">
        <f t="array" ref="H75">SUM(IF('6. Class A Consumption Data'!N155:O155="B",'6. Class A Consumption Data'!N153:O153))</f>
        <v>0</v>
      </c>
      <c r="I75" s="1180">
        <f t="shared" si="5"/>
        <v>0</v>
      </c>
      <c r="J75" s="1181">
        <f t="shared" si="6"/>
        <v>0</v>
      </c>
      <c r="K75" s="1181">
        <f t="shared" si="7"/>
        <v>0</v>
      </c>
      <c r="L75" s="1181">
        <v>0</v>
      </c>
    </row>
    <row r="76" spans="1:12" s="1174" customFormat="1" ht="13.2" hidden="1" x14ac:dyDescent="0.25">
      <c r="A76" s="1176" t="s">
        <v>2180</v>
      </c>
      <c r="B76" s="1176"/>
      <c r="C76" s="1177">
        <f t="shared" si="4"/>
        <v>0</v>
      </c>
      <c r="D76" s="1178">
        <v>0</v>
      </c>
      <c r="E76" s="1178">
        <v>0</v>
      </c>
      <c r="F76" s="1178">
        <f t="array" ref="F76">SUM(IF('6. Class A Consumption Data'!J158:K158="B",'6. Class A Consumption Data'!J156:K156))</f>
        <v>0</v>
      </c>
      <c r="G76" s="1178">
        <f t="array" ref="G76">SUM(IF('6. Class A Consumption Data'!L158:M158="B",'6. Class A Consumption Data'!L156:M156))</f>
        <v>0</v>
      </c>
      <c r="H76" s="1178">
        <f t="array" ref="H76">SUM(IF('6. Class A Consumption Data'!N158:O158="B",'6. Class A Consumption Data'!N156:O156))</f>
        <v>0</v>
      </c>
      <c r="I76" s="1180">
        <f t="shared" si="5"/>
        <v>0</v>
      </c>
      <c r="J76" s="1181">
        <f t="shared" si="6"/>
        <v>0</v>
      </c>
      <c r="K76" s="1181">
        <f t="shared" si="7"/>
        <v>0</v>
      </c>
      <c r="L76" s="1181">
        <v>0</v>
      </c>
    </row>
    <row r="77" spans="1:12" s="1174" customFormat="1" ht="13.2" hidden="1" x14ac:dyDescent="0.25">
      <c r="A77" s="1176" t="s">
        <v>2181</v>
      </c>
      <c r="B77" s="1176"/>
      <c r="C77" s="1177">
        <f t="shared" si="4"/>
        <v>0</v>
      </c>
      <c r="D77" s="1178">
        <v>0</v>
      </c>
      <c r="E77" s="1178">
        <v>0</v>
      </c>
      <c r="F77" s="1178">
        <f t="array" ref="F77">SUM(IF('6. Class A Consumption Data'!J161:K161="B",'6. Class A Consumption Data'!J159:K159))</f>
        <v>0</v>
      </c>
      <c r="G77" s="1178">
        <f t="array" ref="G77">SUM(IF('6. Class A Consumption Data'!L161:M161="B",'6. Class A Consumption Data'!L159:M159))</f>
        <v>0</v>
      </c>
      <c r="H77" s="1178">
        <f t="array" ref="H77">SUM(IF('6. Class A Consumption Data'!N161:O161="B",'6. Class A Consumption Data'!N159:O159))</f>
        <v>0</v>
      </c>
      <c r="I77" s="1180">
        <f t="shared" si="5"/>
        <v>0</v>
      </c>
      <c r="J77" s="1181">
        <f t="shared" si="6"/>
        <v>0</v>
      </c>
      <c r="K77" s="1181">
        <f t="shared" si="7"/>
        <v>0</v>
      </c>
      <c r="L77" s="1181">
        <v>0</v>
      </c>
    </row>
    <row r="78" spans="1:12" s="1174" customFormat="1" ht="13.2" hidden="1" x14ac:dyDescent="0.25">
      <c r="A78" s="1176" t="s">
        <v>2182</v>
      </c>
      <c r="B78" s="1176"/>
      <c r="C78" s="1177">
        <f t="shared" si="4"/>
        <v>0</v>
      </c>
      <c r="D78" s="1178">
        <v>0</v>
      </c>
      <c r="E78" s="1178">
        <v>0</v>
      </c>
      <c r="F78" s="1178">
        <f t="array" ref="F78">SUM(IF('6. Class A Consumption Data'!J164:K164="B",'6. Class A Consumption Data'!J162:K162))</f>
        <v>0</v>
      </c>
      <c r="G78" s="1178">
        <f t="array" ref="G78">SUM(IF('6. Class A Consumption Data'!L164:M164="B",'6. Class A Consumption Data'!L162:M162))</f>
        <v>0</v>
      </c>
      <c r="H78" s="1178">
        <f t="array" ref="H78">SUM(IF('6. Class A Consumption Data'!N164:O164="B",'6. Class A Consumption Data'!N162:O162))</f>
        <v>0</v>
      </c>
      <c r="I78" s="1180">
        <f t="shared" si="5"/>
        <v>0</v>
      </c>
      <c r="J78" s="1181">
        <f t="shared" si="6"/>
        <v>0</v>
      </c>
      <c r="K78" s="1181">
        <f t="shared" si="7"/>
        <v>0</v>
      </c>
      <c r="L78" s="1181">
        <v>0</v>
      </c>
    </row>
    <row r="79" spans="1:12" s="1174" customFormat="1" ht="13.2" hidden="1" x14ac:dyDescent="0.25">
      <c r="A79" s="1176" t="s">
        <v>2183</v>
      </c>
      <c r="B79" s="1176"/>
      <c r="C79" s="1177">
        <f t="shared" si="4"/>
        <v>0</v>
      </c>
      <c r="D79" s="1178">
        <v>0</v>
      </c>
      <c r="E79" s="1178">
        <v>0</v>
      </c>
      <c r="F79" s="1178">
        <f t="array" ref="F79">SUM(IF('6. Class A Consumption Data'!J167:K167="B",'6. Class A Consumption Data'!J165:K165))</f>
        <v>0</v>
      </c>
      <c r="G79" s="1178">
        <f t="array" ref="G79">SUM(IF('6. Class A Consumption Data'!L167:M167="B",'6. Class A Consumption Data'!L165:M165))</f>
        <v>0</v>
      </c>
      <c r="H79" s="1178">
        <f t="array" ref="H79">SUM(IF('6. Class A Consumption Data'!N167:O167="B",'6. Class A Consumption Data'!N165:O165))</f>
        <v>0</v>
      </c>
      <c r="I79" s="1180">
        <f t="shared" si="5"/>
        <v>0</v>
      </c>
      <c r="J79" s="1181">
        <f t="shared" si="6"/>
        <v>0</v>
      </c>
      <c r="K79" s="1181">
        <f t="shared" si="7"/>
        <v>0</v>
      </c>
      <c r="L79" s="1181">
        <v>0</v>
      </c>
    </row>
    <row r="80" spans="1:12" s="1174" customFormat="1" ht="13.2" hidden="1" x14ac:dyDescent="0.25">
      <c r="A80" s="1176" t="s">
        <v>2184</v>
      </c>
      <c r="B80" s="1176"/>
      <c r="C80" s="1177">
        <f t="shared" si="4"/>
        <v>0</v>
      </c>
      <c r="D80" s="1178">
        <v>0</v>
      </c>
      <c r="E80" s="1178">
        <v>0</v>
      </c>
      <c r="F80" s="1178">
        <f t="array" ref="F80">SUM(IF('6. Class A Consumption Data'!J170:K170="B",'6. Class A Consumption Data'!J168:K168))</f>
        <v>0</v>
      </c>
      <c r="G80" s="1178">
        <f t="array" ref="G80">SUM(IF('6. Class A Consumption Data'!L170:M170="B",'6. Class A Consumption Data'!L168:M168))</f>
        <v>0</v>
      </c>
      <c r="H80" s="1178">
        <f t="array" ref="H80">SUM(IF('6. Class A Consumption Data'!N170:O170="B",'6. Class A Consumption Data'!N168:O168))</f>
        <v>0</v>
      </c>
      <c r="I80" s="1180">
        <f t="shared" si="5"/>
        <v>0</v>
      </c>
      <c r="J80" s="1181">
        <f t="shared" si="6"/>
        <v>0</v>
      </c>
      <c r="K80" s="1181">
        <f t="shared" si="7"/>
        <v>0</v>
      </c>
      <c r="L80" s="1181">
        <v>0</v>
      </c>
    </row>
    <row r="81" spans="1:12" s="1174" customFormat="1" ht="13.2" hidden="1" x14ac:dyDescent="0.25">
      <c r="A81" s="1176" t="s">
        <v>2185</v>
      </c>
      <c r="B81" s="1176"/>
      <c r="C81" s="1177">
        <f t="shared" si="4"/>
        <v>0</v>
      </c>
      <c r="D81" s="1178">
        <v>0</v>
      </c>
      <c r="E81" s="1178">
        <v>0</v>
      </c>
      <c r="F81" s="1178">
        <f t="array" ref="F81">SUM(IF('6. Class A Consumption Data'!J173:K173="B",'6. Class A Consumption Data'!J171:K171))</f>
        <v>0</v>
      </c>
      <c r="G81" s="1178">
        <f t="array" ref="G81">SUM(IF('6. Class A Consumption Data'!L173:M173="B",'6. Class A Consumption Data'!L171:M171))</f>
        <v>0</v>
      </c>
      <c r="H81" s="1178">
        <f t="array" ref="H81">SUM(IF('6. Class A Consumption Data'!N173:O173="B",'6. Class A Consumption Data'!N171:O171))</f>
        <v>0</v>
      </c>
      <c r="I81" s="1180">
        <f t="shared" si="5"/>
        <v>0</v>
      </c>
      <c r="J81" s="1181">
        <f t="shared" si="6"/>
        <v>0</v>
      </c>
      <c r="K81" s="1181">
        <f t="shared" si="7"/>
        <v>0</v>
      </c>
      <c r="L81" s="1181">
        <v>0</v>
      </c>
    </row>
    <row r="82" spans="1:12" s="1174" customFormat="1" ht="13.2" hidden="1" x14ac:dyDescent="0.25">
      <c r="A82" s="1176" t="s">
        <v>2186</v>
      </c>
      <c r="B82" s="1176"/>
      <c r="C82" s="1177">
        <f t="shared" si="4"/>
        <v>0</v>
      </c>
      <c r="D82" s="1178">
        <v>0</v>
      </c>
      <c r="E82" s="1178">
        <v>0</v>
      </c>
      <c r="F82" s="1178">
        <f t="array" ref="F82">SUM(IF('6. Class A Consumption Data'!J176:K176="B",'6. Class A Consumption Data'!J174:K174))</f>
        <v>0</v>
      </c>
      <c r="G82" s="1178">
        <f t="array" ref="G82">SUM(IF('6. Class A Consumption Data'!L176:M176="B",'6. Class A Consumption Data'!L174:M174))</f>
        <v>0</v>
      </c>
      <c r="H82" s="1178">
        <f t="array" ref="H82">SUM(IF('6. Class A Consumption Data'!N176:O176="B",'6. Class A Consumption Data'!N174:O174))</f>
        <v>0</v>
      </c>
      <c r="I82" s="1180">
        <f t="shared" si="5"/>
        <v>0</v>
      </c>
      <c r="J82" s="1181">
        <f t="shared" si="6"/>
        <v>0</v>
      </c>
      <c r="K82" s="1181">
        <f t="shared" si="7"/>
        <v>0</v>
      </c>
      <c r="L82" s="1181">
        <v>0</v>
      </c>
    </row>
    <row r="83" spans="1:12" s="1174" customFormat="1" ht="13.2" hidden="1" x14ac:dyDescent="0.25">
      <c r="A83" s="1176" t="s">
        <v>2187</v>
      </c>
      <c r="B83" s="1176"/>
      <c r="C83" s="1177">
        <f t="shared" si="4"/>
        <v>0</v>
      </c>
      <c r="D83" s="1178">
        <v>0</v>
      </c>
      <c r="E83" s="1178">
        <v>0</v>
      </c>
      <c r="F83" s="1178">
        <f t="array" ref="F83">SUM(IF('6. Class A Consumption Data'!J179:K179="B",'6. Class A Consumption Data'!J177:K177))</f>
        <v>0</v>
      </c>
      <c r="G83" s="1178">
        <f t="array" ref="G83">SUM(IF('6. Class A Consumption Data'!L179:M179="B",'6. Class A Consumption Data'!L177:M177))</f>
        <v>0</v>
      </c>
      <c r="H83" s="1178">
        <f t="array" ref="H83">SUM(IF('6. Class A Consumption Data'!N179:O179="B",'6. Class A Consumption Data'!N177:O177))</f>
        <v>0</v>
      </c>
      <c r="I83" s="1180">
        <f t="shared" si="5"/>
        <v>0</v>
      </c>
      <c r="J83" s="1181">
        <f t="shared" si="6"/>
        <v>0</v>
      </c>
      <c r="K83" s="1181">
        <f t="shared" si="7"/>
        <v>0</v>
      </c>
      <c r="L83" s="1181">
        <v>0</v>
      </c>
    </row>
    <row r="84" spans="1:12" s="1174" customFormat="1" ht="13.2" hidden="1" x14ac:dyDescent="0.25">
      <c r="A84" s="1176" t="s">
        <v>2188</v>
      </c>
      <c r="B84" s="1176"/>
      <c r="C84" s="1177">
        <f t="shared" si="4"/>
        <v>0</v>
      </c>
      <c r="D84" s="1178">
        <v>0</v>
      </c>
      <c r="E84" s="1178">
        <v>0</v>
      </c>
      <c r="F84" s="1178">
        <f t="array" ref="F84">SUM(IF('6. Class A Consumption Data'!J182:K182="B",'6. Class A Consumption Data'!J180:K180))</f>
        <v>0</v>
      </c>
      <c r="G84" s="1178">
        <f t="array" ref="G84">SUM(IF('6. Class A Consumption Data'!L182:M182="B",'6. Class A Consumption Data'!L180:M180))</f>
        <v>0</v>
      </c>
      <c r="H84" s="1178">
        <f t="array" ref="H84">SUM(IF('6. Class A Consumption Data'!N182:O182="B",'6. Class A Consumption Data'!N180:O180))</f>
        <v>0</v>
      </c>
      <c r="I84" s="1180">
        <f t="shared" si="5"/>
        <v>0</v>
      </c>
      <c r="J84" s="1181">
        <f t="shared" si="6"/>
        <v>0</v>
      </c>
      <c r="K84" s="1181">
        <f t="shared" si="7"/>
        <v>0</v>
      </c>
      <c r="L84" s="1181">
        <v>0</v>
      </c>
    </row>
    <row r="85" spans="1:12" s="1174" customFormat="1" ht="13.2" hidden="1" x14ac:dyDescent="0.25">
      <c r="A85" s="1176" t="s">
        <v>2189</v>
      </c>
      <c r="B85" s="1176"/>
      <c r="C85" s="1177">
        <f t="shared" si="4"/>
        <v>0</v>
      </c>
      <c r="D85" s="1178">
        <v>0</v>
      </c>
      <c r="E85" s="1178">
        <v>0</v>
      </c>
      <c r="F85" s="1178">
        <f t="array" ref="F85">SUM(IF('6. Class A Consumption Data'!J185:K185="B",'6. Class A Consumption Data'!J183:K183))</f>
        <v>0</v>
      </c>
      <c r="G85" s="1178">
        <f t="array" ref="G85">SUM(IF('6. Class A Consumption Data'!L185:M185="B",'6. Class A Consumption Data'!L183:M183))</f>
        <v>0</v>
      </c>
      <c r="H85" s="1178">
        <f t="array" ref="H85">SUM(IF('6. Class A Consumption Data'!N185:O185="B",'6. Class A Consumption Data'!N183:O183))</f>
        <v>0</v>
      </c>
      <c r="I85" s="1180">
        <f t="shared" si="5"/>
        <v>0</v>
      </c>
      <c r="J85" s="1181">
        <f t="shared" si="6"/>
        <v>0</v>
      </c>
      <c r="K85" s="1181">
        <f t="shared" si="7"/>
        <v>0</v>
      </c>
      <c r="L85" s="1181">
        <v>0</v>
      </c>
    </row>
    <row r="86" spans="1:12" s="1174" customFormat="1" ht="13.2" hidden="1" x14ac:dyDescent="0.25">
      <c r="A86" s="1176" t="s">
        <v>2190</v>
      </c>
      <c r="B86" s="1176"/>
      <c r="C86" s="1177">
        <f t="shared" si="4"/>
        <v>0</v>
      </c>
      <c r="D86" s="1178">
        <v>0</v>
      </c>
      <c r="E86" s="1178">
        <v>0</v>
      </c>
      <c r="F86" s="1178">
        <f t="array" ref="F86">SUM(IF('6. Class A Consumption Data'!J188:K188="B",'6. Class A Consumption Data'!J186:K186))</f>
        <v>0</v>
      </c>
      <c r="G86" s="1178">
        <f t="array" ref="G86">SUM(IF('6. Class A Consumption Data'!L188:M188="B",'6. Class A Consumption Data'!L186:M186))</f>
        <v>0</v>
      </c>
      <c r="H86" s="1178">
        <f t="array" ref="H86">SUM(IF('6. Class A Consumption Data'!N188:O188="B",'6. Class A Consumption Data'!N186:O186))</f>
        <v>0</v>
      </c>
      <c r="I86" s="1180">
        <f t="shared" si="5"/>
        <v>0</v>
      </c>
      <c r="J86" s="1181">
        <f t="shared" si="6"/>
        <v>0</v>
      </c>
      <c r="K86" s="1181">
        <f t="shared" si="7"/>
        <v>0</v>
      </c>
      <c r="L86" s="1181">
        <v>0</v>
      </c>
    </row>
    <row r="87" spans="1:12" s="1174" customFormat="1" ht="13.2" hidden="1" x14ac:dyDescent="0.25">
      <c r="A87" s="1176" t="s">
        <v>2191</v>
      </c>
      <c r="B87" s="1176"/>
      <c r="C87" s="1177">
        <f t="shared" si="4"/>
        <v>0</v>
      </c>
      <c r="D87" s="1178">
        <v>0</v>
      </c>
      <c r="E87" s="1178">
        <v>0</v>
      </c>
      <c r="F87" s="1178">
        <f t="array" ref="F87">SUM(IF('6. Class A Consumption Data'!J191:K191="B",'6. Class A Consumption Data'!J189:K189))</f>
        <v>0</v>
      </c>
      <c r="G87" s="1178">
        <f t="array" ref="G87">SUM(IF('6. Class A Consumption Data'!L191:M191="B",'6. Class A Consumption Data'!L189:M189))</f>
        <v>0</v>
      </c>
      <c r="H87" s="1178">
        <f t="array" ref="H87">SUM(IF('6. Class A Consumption Data'!N191:O191="B",'6. Class A Consumption Data'!N189:O189))</f>
        <v>0</v>
      </c>
      <c r="I87" s="1180">
        <f t="shared" si="5"/>
        <v>0</v>
      </c>
      <c r="J87" s="1181">
        <f t="shared" si="6"/>
        <v>0</v>
      </c>
      <c r="K87" s="1181">
        <f t="shared" si="7"/>
        <v>0</v>
      </c>
      <c r="L87" s="1181">
        <v>0</v>
      </c>
    </row>
    <row r="88" spans="1:12" s="1174" customFormat="1" ht="13.2" hidden="1" x14ac:dyDescent="0.25">
      <c r="A88" s="1176" t="s">
        <v>2192</v>
      </c>
      <c r="B88" s="1176"/>
      <c r="C88" s="1177">
        <f t="shared" si="4"/>
        <v>0</v>
      </c>
      <c r="D88" s="1178">
        <v>0</v>
      </c>
      <c r="E88" s="1178">
        <v>0</v>
      </c>
      <c r="F88" s="1178">
        <f t="array" ref="F88">SUM(IF('6. Class A Consumption Data'!J194:K194="B",'6. Class A Consumption Data'!J192:K192))</f>
        <v>0</v>
      </c>
      <c r="G88" s="1178">
        <f t="array" ref="G88">SUM(IF('6. Class A Consumption Data'!L194:M194="B",'6. Class A Consumption Data'!L192:M192))</f>
        <v>0</v>
      </c>
      <c r="H88" s="1178">
        <f t="array" ref="H88">SUM(IF('6. Class A Consumption Data'!N194:O194="B",'6. Class A Consumption Data'!N192:O192))</f>
        <v>0</v>
      </c>
      <c r="I88" s="1180">
        <f t="shared" si="5"/>
        <v>0</v>
      </c>
      <c r="J88" s="1181">
        <f t="shared" si="6"/>
        <v>0</v>
      </c>
      <c r="K88" s="1181">
        <f t="shared" si="7"/>
        <v>0</v>
      </c>
      <c r="L88" s="1181">
        <v>0</v>
      </c>
    </row>
    <row r="89" spans="1:12" s="1174" customFormat="1" ht="13.2" hidden="1" x14ac:dyDescent="0.25">
      <c r="A89" s="1176" t="s">
        <v>2193</v>
      </c>
      <c r="B89" s="1176"/>
      <c r="C89" s="1177">
        <f t="shared" si="4"/>
        <v>0</v>
      </c>
      <c r="D89" s="1178">
        <v>0</v>
      </c>
      <c r="E89" s="1178">
        <v>0</v>
      </c>
      <c r="F89" s="1178">
        <f t="array" ref="F89">SUM(IF('6. Class A Consumption Data'!J197:K197="B",'6. Class A Consumption Data'!J195:K195))</f>
        <v>0</v>
      </c>
      <c r="G89" s="1178">
        <f t="array" ref="G89">SUM(IF('6. Class A Consumption Data'!L197:M197="B",'6. Class A Consumption Data'!L195:M195))</f>
        <v>0</v>
      </c>
      <c r="H89" s="1178">
        <f t="array" ref="H89">SUM(IF('6. Class A Consumption Data'!N197:O197="B",'6. Class A Consumption Data'!N195:O195))</f>
        <v>0</v>
      </c>
      <c r="I89" s="1180">
        <f t="shared" si="5"/>
        <v>0</v>
      </c>
      <c r="J89" s="1181">
        <f t="shared" si="6"/>
        <v>0</v>
      </c>
      <c r="K89" s="1181">
        <f t="shared" si="7"/>
        <v>0</v>
      </c>
      <c r="L89" s="1181">
        <v>0</v>
      </c>
    </row>
    <row r="90" spans="1:12" s="1174" customFormat="1" ht="13.2" hidden="1" x14ac:dyDescent="0.25">
      <c r="A90" s="1176" t="s">
        <v>2194</v>
      </c>
      <c r="B90" s="1176"/>
      <c r="C90" s="1177">
        <f t="shared" si="4"/>
        <v>0</v>
      </c>
      <c r="D90" s="1178">
        <v>0</v>
      </c>
      <c r="E90" s="1178">
        <v>0</v>
      </c>
      <c r="F90" s="1178">
        <f t="array" ref="F90">SUM(IF('6. Class A Consumption Data'!J200:K200="B",'6. Class A Consumption Data'!J198:K198))</f>
        <v>0</v>
      </c>
      <c r="G90" s="1178">
        <f t="array" ref="G90">SUM(IF('6. Class A Consumption Data'!L200:M200="B",'6. Class A Consumption Data'!L198:M198))</f>
        <v>0</v>
      </c>
      <c r="H90" s="1178">
        <f t="array" ref="H90">SUM(IF('6. Class A Consumption Data'!N200:O200="B",'6. Class A Consumption Data'!N198:O198))</f>
        <v>0</v>
      </c>
      <c r="I90" s="1180">
        <f t="shared" si="5"/>
        <v>0</v>
      </c>
      <c r="J90" s="1181">
        <f t="shared" si="6"/>
        <v>0</v>
      </c>
      <c r="K90" s="1181">
        <f t="shared" si="7"/>
        <v>0</v>
      </c>
      <c r="L90" s="1181">
        <v>0</v>
      </c>
    </row>
    <row r="91" spans="1:12" s="1174" customFormat="1" ht="13.2" hidden="1" x14ac:dyDescent="0.25">
      <c r="A91" s="1176" t="s">
        <v>2195</v>
      </c>
      <c r="B91" s="1176"/>
      <c r="C91" s="1177">
        <f t="shared" si="4"/>
        <v>0</v>
      </c>
      <c r="D91" s="1178">
        <v>0</v>
      </c>
      <c r="E91" s="1178">
        <v>0</v>
      </c>
      <c r="F91" s="1178">
        <f t="array" ref="F91">SUM(IF('6. Class A Consumption Data'!J203:K203="B",'6. Class A Consumption Data'!J201:K201))</f>
        <v>0</v>
      </c>
      <c r="G91" s="1178">
        <f t="array" ref="G91">SUM(IF('6. Class A Consumption Data'!L203:M203="B",'6. Class A Consumption Data'!L201:M201))</f>
        <v>0</v>
      </c>
      <c r="H91" s="1178">
        <f t="array" ref="H91">SUM(IF('6. Class A Consumption Data'!N203:O203="B",'6. Class A Consumption Data'!N201:O201))</f>
        <v>0</v>
      </c>
      <c r="I91" s="1180">
        <f t="shared" si="5"/>
        <v>0</v>
      </c>
      <c r="J91" s="1181">
        <f t="shared" si="6"/>
        <v>0</v>
      </c>
      <c r="K91" s="1181">
        <f t="shared" si="7"/>
        <v>0</v>
      </c>
      <c r="L91" s="1181">
        <v>0</v>
      </c>
    </row>
    <row r="92" spans="1:12" s="1174" customFormat="1" ht="13.2" hidden="1" x14ac:dyDescent="0.25">
      <c r="A92" s="1176" t="s">
        <v>2196</v>
      </c>
      <c r="B92" s="1176"/>
      <c r="C92" s="1177">
        <f t="shared" si="4"/>
        <v>0</v>
      </c>
      <c r="D92" s="1178">
        <v>0</v>
      </c>
      <c r="E92" s="1178">
        <v>0</v>
      </c>
      <c r="F92" s="1178">
        <f t="array" ref="F92">SUM(IF('6. Class A Consumption Data'!J206:K206="B",'6. Class A Consumption Data'!J204:K204))</f>
        <v>0</v>
      </c>
      <c r="G92" s="1178">
        <f t="array" ref="G92">SUM(IF('6. Class A Consumption Data'!L206:M206="B",'6. Class A Consumption Data'!L204:M204))</f>
        <v>0</v>
      </c>
      <c r="H92" s="1178">
        <f t="array" ref="H92">SUM(IF('6. Class A Consumption Data'!N206:O206="B",'6. Class A Consumption Data'!N204:O204))</f>
        <v>0</v>
      </c>
      <c r="I92" s="1180">
        <f t="shared" si="5"/>
        <v>0</v>
      </c>
      <c r="J92" s="1181">
        <f t="shared" si="6"/>
        <v>0</v>
      </c>
      <c r="K92" s="1181">
        <f t="shared" si="7"/>
        <v>0</v>
      </c>
      <c r="L92" s="1181">
        <v>0</v>
      </c>
    </row>
    <row r="93" spans="1:12" s="1174" customFormat="1" ht="13.2" hidden="1" x14ac:dyDescent="0.25">
      <c r="A93" s="1176" t="s">
        <v>2197</v>
      </c>
      <c r="B93" s="1176"/>
      <c r="C93" s="1177">
        <f t="shared" si="4"/>
        <v>0</v>
      </c>
      <c r="D93" s="1178">
        <v>0</v>
      </c>
      <c r="E93" s="1178">
        <v>0</v>
      </c>
      <c r="F93" s="1178">
        <f t="array" ref="F93">SUM(IF('6. Class A Consumption Data'!J209:K209="B",'6. Class A Consumption Data'!J207:K207))</f>
        <v>0</v>
      </c>
      <c r="G93" s="1178">
        <f t="array" ref="G93">SUM(IF('6. Class A Consumption Data'!L209:M209="B",'6. Class A Consumption Data'!L207:M207))</f>
        <v>0</v>
      </c>
      <c r="H93" s="1178">
        <f t="array" ref="H93">SUM(IF('6. Class A Consumption Data'!N209:O209="B",'6. Class A Consumption Data'!N207:O207))</f>
        <v>0</v>
      </c>
      <c r="I93" s="1180">
        <f t="shared" si="5"/>
        <v>0</v>
      </c>
      <c r="J93" s="1181">
        <f t="shared" si="6"/>
        <v>0</v>
      </c>
      <c r="K93" s="1181">
        <f t="shared" si="7"/>
        <v>0</v>
      </c>
      <c r="L93" s="1181">
        <v>0</v>
      </c>
    </row>
    <row r="94" spans="1:12" s="1174" customFormat="1" ht="13.2" hidden="1" x14ac:dyDescent="0.25">
      <c r="A94" s="1176" t="s">
        <v>2198</v>
      </c>
      <c r="B94" s="1176"/>
      <c r="C94" s="1177">
        <f t="shared" si="4"/>
        <v>0</v>
      </c>
      <c r="D94" s="1178">
        <v>0</v>
      </c>
      <c r="E94" s="1178">
        <v>0</v>
      </c>
      <c r="F94" s="1178">
        <f t="array" ref="F94">SUM(IF('6. Class A Consumption Data'!J212:K212="B",'6. Class A Consumption Data'!J210:K210))</f>
        <v>0</v>
      </c>
      <c r="G94" s="1178">
        <f t="array" ref="G94">SUM(IF('6. Class A Consumption Data'!L212:M212="B",'6. Class A Consumption Data'!L210:M210))</f>
        <v>0</v>
      </c>
      <c r="H94" s="1178">
        <f t="array" ref="H94">SUM(IF('6. Class A Consumption Data'!N212:O212="B",'6. Class A Consumption Data'!N210:O210))</f>
        <v>0</v>
      </c>
      <c r="I94" s="1180">
        <f t="shared" si="5"/>
        <v>0</v>
      </c>
      <c r="J94" s="1181">
        <f t="shared" si="6"/>
        <v>0</v>
      </c>
      <c r="K94" s="1181">
        <f t="shared" si="7"/>
        <v>0</v>
      </c>
      <c r="L94" s="1181">
        <v>0</v>
      </c>
    </row>
    <row r="95" spans="1:12" s="1174" customFormat="1" ht="13.2" hidden="1" x14ac:dyDescent="0.25">
      <c r="A95" s="1176" t="s">
        <v>2199</v>
      </c>
      <c r="B95" s="1176"/>
      <c r="C95" s="1177">
        <f t="shared" si="4"/>
        <v>0</v>
      </c>
      <c r="D95" s="1178">
        <v>0</v>
      </c>
      <c r="E95" s="1178">
        <v>0</v>
      </c>
      <c r="F95" s="1178">
        <f t="array" ref="F95">SUM(IF('6. Class A Consumption Data'!J215:K215="B",'6. Class A Consumption Data'!J213:K213))</f>
        <v>0</v>
      </c>
      <c r="G95" s="1178">
        <f t="array" ref="G95">SUM(IF('6. Class A Consumption Data'!L215:M215="B",'6. Class A Consumption Data'!L213:M213))</f>
        <v>0</v>
      </c>
      <c r="H95" s="1178">
        <f t="array" ref="H95">SUM(IF('6. Class A Consumption Data'!N215:O215="B",'6. Class A Consumption Data'!N213:O213))</f>
        <v>0</v>
      </c>
      <c r="I95" s="1180">
        <f t="shared" si="5"/>
        <v>0</v>
      </c>
      <c r="J95" s="1181">
        <f t="shared" si="6"/>
        <v>0</v>
      </c>
      <c r="K95" s="1181">
        <f t="shared" si="7"/>
        <v>0</v>
      </c>
      <c r="L95" s="1181">
        <v>0</v>
      </c>
    </row>
    <row r="96" spans="1:12" s="1174" customFormat="1" ht="13.2" hidden="1" x14ac:dyDescent="0.25">
      <c r="A96" s="1176" t="s">
        <v>2200</v>
      </c>
      <c r="B96" s="1176"/>
      <c r="C96" s="1177">
        <f t="shared" si="4"/>
        <v>0</v>
      </c>
      <c r="D96" s="1178">
        <v>0</v>
      </c>
      <c r="E96" s="1178">
        <v>0</v>
      </c>
      <c r="F96" s="1178">
        <f t="array" ref="F96">SUM(IF('6. Class A Consumption Data'!J218:K218="B",'6. Class A Consumption Data'!J216:K216))</f>
        <v>0</v>
      </c>
      <c r="G96" s="1178">
        <f t="array" ref="G96">SUM(IF('6. Class A Consumption Data'!L218:M218="B",'6. Class A Consumption Data'!L216:M216))</f>
        <v>0</v>
      </c>
      <c r="H96" s="1178">
        <f t="array" ref="H96">SUM(IF('6. Class A Consumption Data'!N218:O218="B",'6. Class A Consumption Data'!N216:O216))</f>
        <v>0</v>
      </c>
      <c r="I96" s="1180">
        <f t="shared" si="5"/>
        <v>0</v>
      </c>
      <c r="J96" s="1181">
        <f t="shared" si="6"/>
        <v>0</v>
      </c>
      <c r="K96" s="1181">
        <f t="shared" si="7"/>
        <v>0</v>
      </c>
      <c r="L96" s="1181">
        <v>0</v>
      </c>
    </row>
    <row r="97" spans="1:12" s="1174" customFormat="1" ht="13.2" hidden="1" x14ac:dyDescent="0.25">
      <c r="A97" s="1176" t="s">
        <v>2201</v>
      </c>
      <c r="B97" s="1176"/>
      <c r="C97" s="1177">
        <f t="shared" si="4"/>
        <v>0</v>
      </c>
      <c r="D97" s="1178">
        <v>0</v>
      </c>
      <c r="E97" s="1178">
        <v>0</v>
      </c>
      <c r="F97" s="1178">
        <f t="array" ref="F97">SUM(IF('6. Class A Consumption Data'!J221:K221="B",'6. Class A Consumption Data'!J219:K219))</f>
        <v>0</v>
      </c>
      <c r="G97" s="1178">
        <f t="array" ref="G97">SUM(IF('6. Class A Consumption Data'!L221:M221="B",'6. Class A Consumption Data'!L219:M219))</f>
        <v>0</v>
      </c>
      <c r="H97" s="1178">
        <f t="array" ref="H97">SUM(IF('6. Class A Consumption Data'!N221:O221="B",'6. Class A Consumption Data'!N219:O219))</f>
        <v>0</v>
      </c>
      <c r="I97" s="1180">
        <f t="shared" si="5"/>
        <v>0</v>
      </c>
      <c r="J97" s="1181">
        <f t="shared" si="6"/>
        <v>0</v>
      </c>
      <c r="K97" s="1181">
        <f t="shared" si="7"/>
        <v>0</v>
      </c>
      <c r="L97" s="1181">
        <v>0</v>
      </c>
    </row>
    <row r="98" spans="1:12" s="1174" customFormat="1" ht="13.2" hidden="1" x14ac:dyDescent="0.25">
      <c r="A98" s="1176" t="s">
        <v>2202</v>
      </c>
      <c r="B98" s="1176"/>
      <c r="C98" s="1177">
        <f t="shared" ref="C98:C129" si="8">SUM(D98:E98)</f>
        <v>0</v>
      </c>
      <c r="D98" s="1178">
        <v>0</v>
      </c>
      <c r="E98" s="1178">
        <v>0</v>
      </c>
      <c r="F98" s="1178">
        <f t="array" ref="F98">SUM(IF('6. Class A Consumption Data'!J224:K224="B",'6. Class A Consumption Data'!J222:K222))</f>
        <v>0</v>
      </c>
      <c r="G98" s="1178">
        <f t="array" ref="G98">SUM(IF('6. Class A Consumption Data'!L224:M224="B",'6. Class A Consumption Data'!L222:M222))</f>
        <v>0</v>
      </c>
      <c r="H98" s="1178">
        <f t="array" ref="H98">SUM(IF('6. Class A Consumption Data'!N224:O224="B",'6. Class A Consumption Data'!N222:O222))</f>
        <v>0</v>
      </c>
      <c r="I98" s="1180">
        <f t="shared" ref="I98:I129" si="9">IFERROR(+C98/($C$184),0)</f>
        <v>0</v>
      </c>
      <c r="J98" s="1181">
        <f t="shared" ref="J98:J129" si="10">+I98*$C$28</f>
        <v>0</v>
      </c>
      <c r="K98" s="1181">
        <f t="shared" ref="K98:K129" si="11">+J98/12</f>
        <v>0</v>
      </c>
      <c r="L98" s="1181">
        <v>0</v>
      </c>
    </row>
    <row r="99" spans="1:12" s="1174" customFormat="1" ht="13.2" hidden="1" x14ac:dyDescent="0.25">
      <c r="A99" s="1176" t="s">
        <v>2203</v>
      </c>
      <c r="B99" s="1176"/>
      <c r="C99" s="1177">
        <f t="shared" si="8"/>
        <v>0</v>
      </c>
      <c r="D99" s="1178">
        <v>0</v>
      </c>
      <c r="E99" s="1178">
        <v>0</v>
      </c>
      <c r="F99" s="1178">
        <f t="array" ref="F99">SUM(IF('6. Class A Consumption Data'!J227:K227="B",'6. Class A Consumption Data'!J225:K225))</f>
        <v>0</v>
      </c>
      <c r="G99" s="1178">
        <f t="array" ref="G99">SUM(IF('6. Class A Consumption Data'!L227:M227="B",'6. Class A Consumption Data'!L225:M225))</f>
        <v>0</v>
      </c>
      <c r="H99" s="1178">
        <f t="array" ref="H99">SUM(IF('6. Class A Consumption Data'!N227:O227="B",'6. Class A Consumption Data'!N225:O225))</f>
        <v>0</v>
      </c>
      <c r="I99" s="1180">
        <f t="shared" si="9"/>
        <v>0</v>
      </c>
      <c r="J99" s="1181">
        <f t="shared" si="10"/>
        <v>0</v>
      </c>
      <c r="K99" s="1181">
        <f t="shared" si="11"/>
        <v>0</v>
      </c>
      <c r="L99" s="1181">
        <v>0</v>
      </c>
    </row>
    <row r="100" spans="1:12" s="1174" customFormat="1" ht="13.2" hidden="1" x14ac:dyDescent="0.25">
      <c r="A100" s="1176" t="s">
        <v>2204</v>
      </c>
      <c r="B100" s="1176"/>
      <c r="C100" s="1177">
        <f t="shared" si="8"/>
        <v>0</v>
      </c>
      <c r="D100" s="1178">
        <v>0</v>
      </c>
      <c r="E100" s="1178">
        <v>0</v>
      </c>
      <c r="F100" s="1178">
        <f t="array" ref="F100">SUM(IF('6. Class A Consumption Data'!J230:K230="B",'6. Class A Consumption Data'!J228:K228))</f>
        <v>0</v>
      </c>
      <c r="G100" s="1178">
        <f t="array" ref="G100">SUM(IF('6. Class A Consumption Data'!L230:M230="B",'6. Class A Consumption Data'!L228:M228))</f>
        <v>0</v>
      </c>
      <c r="H100" s="1178">
        <f t="array" ref="H100">SUM(IF('6. Class A Consumption Data'!N230:O230="B",'6. Class A Consumption Data'!N228:O228))</f>
        <v>0</v>
      </c>
      <c r="I100" s="1180">
        <f t="shared" si="9"/>
        <v>0</v>
      </c>
      <c r="J100" s="1181">
        <f t="shared" si="10"/>
        <v>0</v>
      </c>
      <c r="K100" s="1181">
        <f t="shared" si="11"/>
        <v>0</v>
      </c>
      <c r="L100" s="1181">
        <v>0</v>
      </c>
    </row>
    <row r="101" spans="1:12" s="1174" customFormat="1" ht="13.2" hidden="1" x14ac:dyDescent="0.25">
      <c r="A101" s="1176" t="s">
        <v>2205</v>
      </c>
      <c r="B101" s="1176"/>
      <c r="C101" s="1177">
        <f t="shared" si="8"/>
        <v>0</v>
      </c>
      <c r="D101" s="1178">
        <v>0</v>
      </c>
      <c r="E101" s="1178">
        <v>0</v>
      </c>
      <c r="F101" s="1178">
        <f t="array" ref="F101">SUM(IF('6. Class A Consumption Data'!J233:K233="B",'6. Class A Consumption Data'!J231:K231))</f>
        <v>0</v>
      </c>
      <c r="G101" s="1178">
        <f t="array" ref="G101">SUM(IF('6. Class A Consumption Data'!L233:M233="B",'6. Class A Consumption Data'!L231:M231))</f>
        <v>0</v>
      </c>
      <c r="H101" s="1178">
        <f t="array" ref="H101">SUM(IF('6. Class A Consumption Data'!N233:O233="B",'6. Class A Consumption Data'!N231:O231))</f>
        <v>0</v>
      </c>
      <c r="I101" s="1180">
        <f t="shared" si="9"/>
        <v>0</v>
      </c>
      <c r="J101" s="1181">
        <f t="shared" si="10"/>
        <v>0</v>
      </c>
      <c r="K101" s="1181">
        <f t="shared" si="11"/>
        <v>0</v>
      </c>
      <c r="L101" s="1181">
        <v>0</v>
      </c>
    </row>
    <row r="102" spans="1:12" s="1174" customFormat="1" ht="13.2" hidden="1" x14ac:dyDescent="0.25">
      <c r="A102" s="1176" t="s">
        <v>2206</v>
      </c>
      <c r="B102" s="1176"/>
      <c r="C102" s="1177">
        <f t="shared" si="8"/>
        <v>0</v>
      </c>
      <c r="D102" s="1178">
        <v>0</v>
      </c>
      <c r="E102" s="1178">
        <v>0</v>
      </c>
      <c r="F102" s="1178">
        <f t="array" ref="F102">SUM(IF('6. Class A Consumption Data'!J236:K236="B",'6. Class A Consumption Data'!J234:K234))</f>
        <v>0</v>
      </c>
      <c r="G102" s="1178">
        <f t="array" ref="G102">SUM(IF('6. Class A Consumption Data'!L236:M236="B",'6. Class A Consumption Data'!L234:M234))</f>
        <v>0</v>
      </c>
      <c r="H102" s="1178">
        <f t="array" ref="H102">SUM(IF('6. Class A Consumption Data'!N236:O236="B",'6. Class A Consumption Data'!N234:O234))</f>
        <v>0</v>
      </c>
      <c r="I102" s="1180">
        <f t="shared" si="9"/>
        <v>0</v>
      </c>
      <c r="J102" s="1181">
        <f t="shared" si="10"/>
        <v>0</v>
      </c>
      <c r="K102" s="1181">
        <f t="shared" si="11"/>
        <v>0</v>
      </c>
      <c r="L102" s="1181">
        <v>0</v>
      </c>
    </row>
    <row r="103" spans="1:12" s="1174" customFormat="1" ht="13.2" hidden="1" x14ac:dyDescent="0.25">
      <c r="A103" s="1176" t="s">
        <v>2207</v>
      </c>
      <c r="B103" s="1176"/>
      <c r="C103" s="1177">
        <f t="shared" si="8"/>
        <v>0</v>
      </c>
      <c r="D103" s="1178">
        <v>0</v>
      </c>
      <c r="E103" s="1178">
        <v>0</v>
      </c>
      <c r="F103" s="1178">
        <f t="array" ref="F103">SUM(IF('6. Class A Consumption Data'!J239:K239="B",'6. Class A Consumption Data'!J237:K237))</f>
        <v>0</v>
      </c>
      <c r="G103" s="1178">
        <f t="array" ref="G103">SUM(IF('6. Class A Consumption Data'!L239:M239="B",'6. Class A Consumption Data'!L237:M237))</f>
        <v>0</v>
      </c>
      <c r="H103" s="1178">
        <f t="array" ref="H103">SUM(IF('6. Class A Consumption Data'!N239:O239="B",'6. Class A Consumption Data'!N237:O237))</f>
        <v>0</v>
      </c>
      <c r="I103" s="1180">
        <f t="shared" si="9"/>
        <v>0</v>
      </c>
      <c r="J103" s="1181">
        <f t="shared" si="10"/>
        <v>0</v>
      </c>
      <c r="K103" s="1181">
        <f t="shared" si="11"/>
        <v>0</v>
      </c>
      <c r="L103" s="1181">
        <v>0</v>
      </c>
    </row>
    <row r="104" spans="1:12" s="1174" customFormat="1" ht="13.2" hidden="1" x14ac:dyDescent="0.25">
      <c r="A104" s="1176" t="s">
        <v>2208</v>
      </c>
      <c r="B104" s="1176"/>
      <c r="C104" s="1177">
        <f t="shared" si="8"/>
        <v>0</v>
      </c>
      <c r="D104" s="1178">
        <v>0</v>
      </c>
      <c r="E104" s="1178">
        <v>0</v>
      </c>
      <c r="F104" s="1178">
        <f t="array" ref="F104">SUM(IF('6. Class A Consumption Data'!J242:K242="B",'6. Class A Consumption Data'!J240:K240))</f>
        <v>0</v>
      </c>
      <c r="G104" s="1178">
        <f t="array" ref="G104">SUM(IF('6. Class A Consumption Data'!L242:M242="B",'6. Class A Consumption Data'!L240:M240))</f>
        <v>0</v>
      </c>
      <c r="H104" s="1178">
        <f t="array" ref="H104">SUM(IF('6. Class A Consumption Data'!N242:O242="B",'6. Class A Consumption Data'!N240:O240))</f>
        <v>0</v>
      </c>
      <c r="I104" s="1180">
        <f t="shared" si="9"/>
        <v>0</v>
      </c>
      <c r="J104" s="1181">
        <f t="shared" si="10"/>
        <v>0</v>
      </c>
      <c r="K104" s="1181">
        <f t="shared" si="11"/>
        <v>0</v>
      </c>
      <c r="L104" s="1181">
        <v>0</v>
      </c>
    </row>
    <row r="105" spans="1:12" s="1174" customFormat="1" ht="13.2" hidden="1" x14ac:dyDescent="0.25">
      <c r="A105" s="1176" t="s">
        <v>2209</v>
      </c>
      <c r="B105" s="1176"/>
      <c r="C105" s="1177">
        <f t="shared" si="8"/>
        <v>0</v>
      </c>
      <c r="D105" s="1178">
        <v>0</v>
      </c>
      <c r="E105" s="1178">
        <v>0</v>
      </c>
      <c r="F105" s="1178">
        <f t="array" ref="F105">SUM(IF('6. Class A Consumption Data'!J245:K245="B",'6. Class A Consumption Data'!J243:K243))</f>
        <v>0</v>
      </c>
      <c r="G105" s="1178">
        <f t="array" ref="G105">SUM(IF('6. Class A Consumption Data'!L245:M245="B",'6. Class A Consumption Data'!L243:M243))</f>
        <v>0</v>
      </c>
      <c r="H105" s="1178">
        <f t="array" ref="H105">SUM(IF('6. Class A Consumption Data'!N245:O245="B",'6. Class A Consumption Data'!N243:O243))</f>
        <v>0</v>
      </c>
      <c r="I105" s="1180">
        <f t="shared" si="9"/>
        <v>0</v>
      </c>
      <c r="J105" s="1181">
        <f t="shared" si="10"/>
        <v>0</v>
      </c>
      <c r="K105" s="1181">
        <f t="shared" si="11"/>
        <v>0</v>
      </c>
      <c r="L105" s="1181">
        <v>0</v>
      </c>
    </row>
    <row r="106" spans="1:12" s="1174" customFormat="1" ht="13.2" hidden="1" x14ac:dyDescent="0.25">
      <c r="A106" s="1176" t="s">
        <v>2210</v>
      </c>
      <c r="B106" s="1176"/>
      <c r="C106" s="1177">
        <f t="shared" si="8"/>
        <v>0</v>
      </c>
      <c r="D106" s="1178">
        <v>0</v>
      </c>
      <c r="E106" s="1178">
        <v>0</v>
      </c>
      <c r="F106" s="1178">
        <f t="array" ref="F106">SUM(IF('6. Class A Consumption Data'!J248:K248="B",'6. Class A Consumption Data'!J246:K246))</f>
        <v>0</v>
      </c>
      <c r="G106" s="1178">
        <f t="array" ref="G106">SUM(IF('6. Class A Consumption Data'!L248:M248="B",'6. Class A Consumption Data'!L246:M246))</f>
        <v>0</v>
      </c>
      <c r="H106" s="1178">
        <f t="array" ref="H106">SUM(IF('6. Class A Consumption Data'!N248:O248="B",'6. Class A Consumption Data'!N246:O246))</f>
        <v>0</v>
      </c>
      <c r="I106" s="1180">
        <f t="shared" si="9"/>
        <v>0</v>
      </c>
      <c r="J106" s="1181">
        <f t="shared" si="10"/>
        <v>0</v>
      </c>
      <c r="K106" s="1181">
        <f t="shared" si="11"/>
        <v>0</v>
      </c>
      <c r="L106" s="1181">
        <v>0</v>
      </c>
    </row>
    <row r="107" spans="1:12" s="1174" customFormat="1" ht="13.2" hidden="1" x14ac:dyDescent="0.25">
      <c r="A107" s="1176" t="s">
        <v>2211</v>
      </c>
      <c r="B107" s="1176"/>
      <c r="C107" s="1177">
        <f t="shared" si="8"/>
        <v>0</v>
      </c>
      <c r="D107" s="1178">
        <v>0</v>
      </c>
      <c r="E107" s="1178">
        <v>0</v>
      </c>
      <c r="F107" s="1178">
        <f t="array" ref="F107">SUM(IF('6. Class A Consumption Data'!J251:K251="B",'6. Class A Consumption Data'!J249:K249))</f>
        <v>0</v>
      </c>
      <c r="G107" s="1178">
        <f t="array" ref="G107">SUM(IF('6. Class A Consumption Data'!L251:M251="B",'6. Class A Consumption Data'!L249:M249))</f>
        <v>0</v>
      </c>
      <c r="H107" s="1178">
        <f t="array" ref="H107">SUM(IF('6. Class A Consumption Data'!N251:O251="B",'6. Class A Consumption Data'!N249:O249))</f>
        <v>0</v>
      </c>
      <c r="I107" s="1180">
        <f t="shared" si="9"/>
        <v>0</v>
      </c>
      <c r="J107" s="1181">
        <f t="shared" si="10"/>
        <v>0</v>
      </c>
      <c r="K107" s="1181">
        <f t="shared" si="11"/>
        <v>0</v>
      </c>
      <c r="L107" s="1181">
        <v>0</v>
      </c>
    </row>
    <row r="108" spans="1:12" s="1174" customFormat="1" ht="13.2" hidden="1" x14ac:dyDescent="0.25">
      <c r="A108" s="1176" t="s">
        <v>2212</v>
      </c>
      <c r="B108" s="1176"/>
      <c r="C108" s="1177">
        <f t="shared" si="8"/>
        <v>0</v>
      </c>
      <c r="D108" s="1178">
        <v>0</v>
      </c>
      <c r="E108" s="1178">
        <v>0</v>
      </c>
      <c r="F108" s="1178">
        <f t="array" ref="F108">SUM(IF('6. Class A Consumption Data'!J254:K254="B",'6. Class A Consumption Data'!J252:K252))</f>
        <v>0</v>
      </c>
      <c r="G108" s="1178">
        <f t="array" ref="G108">SUM(IF('6. Class A Consumption Data'!L254:M254="B",'6. Class A Consumption Data'!L252:M252))</f>
        <v>0</v>
      </c>
      <c r="H108" s="1178">
        <f t="array" ref="H108">SUM(IF('6. Class A Consumption Data'!N254:O254="B",'6. Class A Consumption Data'!N252:O252))</f>
        <v>0</v>
      </c>
      <c r="I108" s="1180">
        <f t="shared" si="9"/>
        <v>0</v>
      </c>
      <c r="J108" s="1181">
        <f t="shared" si="10"/>
        <v>0</v>
      </c>
      <c r="K108" s="1181">
        <f t="shared" si="11"/>
        <v>0</v>
      </c>
      <c r="L108" s="1181">
        <v>0</v>
      </c>
    </row>
    <row r="109" spans="1:12" s="1174" customFormat="1" ht="13.2" hidden="1" x14ac:dyDescent="0.25">
      <c r="A109" s="1176" t="s">
        <v>2213</v>
      </c>
      <c r="B109" s="1176"/>
      <c r="C109" s="1177">
        <f t="shared" si="8"/>
        <v>0</v>
      </c>
      <c r="D109" s="1178">
        <v>0</v>
      </c>
      <c r="E109" s="1178">
        <v>0</v>
      </c>
      <c r="F109" s="1178">
        <f t="array" ref="F109">SUM(IF('6. Class A Consumption Data'!J257:K257="B",'6. Class A Consumption Data'!J255:K255))</f>
        <v>0</v>
      </c>
      <c r="G109" s="1178">
        <f t="array" ref="G109">SUM(IF('6. Class A Consumption Data'!L257:M257="B",'6. Class A Consumption Data'!L255:M255))</f>
        <v>0</v>
      </c>
      <c r="H109" s="1178">
        <f t="array" ref="H109">SUM(IF('6. Class A Consumption Data'!N257:O257="B",'6. Class A Consumption Data'!N255:O255))</f>
        <v>0</v>
      </c>
      <c r="I109" s="1180">
        <f t="shared" si="9"/>
        <v>0</v>
      </c>
      <c r="J109" s="1181">
        <f t="shared" si="10"/>
        <v>0</v>
      </c>
      <c r="K109" s="1181">
        <f t="shared" si="11"/>
        <v>0</v>
      </c>
      <c r="L109" s="1181">
        <v>0</v>
      </c>
    </row>
    <row r="110" spans="1:12" s="1174" customFormat="1" ht="13.2" hidden="1" x14ac:dyDescent="0.25">
      <c r="A110" s="1176" t="s">
        <v>2214</v>
      </c>
      <c r="B110" s="1176"/>
      <c r="C110" s="1177">
        <f t="shared" si="8"/>
        <v>0</v>
      </c>
      <c r="D110" s="1178">
        <v>0</v>
      </c>
      <c r="E110" s="1178">
        <v>0</v>
      </c>
      <c r="F110" s="1178">
        <f t="array" ref="F110">SUM(IF('6. Class A Consumption Data'!J260:K260="B",'6. Class A Consumption Data'!J258:K258))</f>
        <v>0</v>
      </c>
      <c r="G110" s="1178">
        <f t="array" ref="G110">SUM(IF('6. Class A Consumption Data'!L260:M260="B",'6. Class A Consumption Data'!L258:M258))</f>
        <v>0</v>
      </c>
      <c r="H110" s="1178">
        <f t="array" ref="H110">SUM(IF('6. Class A Consumption Data'!N260:O260="B",'6. Class A Consumption Data'!N258:O258))</f>
        <v>0</v>
      </c>
      <c r="I110" s="1180">
        <f t="shared" si="9"/>
        <v>0</v>
      </c>
      <c r="J110" s="1181">
        <f t="shared" si="10"/>
        <v>0</v>
      </c>
      <c r="K110" s="1181">
        <f t="shared" si="11"/>
        <v>0</v>
      </c>
      <c r="L110" s="1181">
        <v>0</v>
      </c>
    </row>
    <row r="111" spans="1:12" s="1174" customFormat="1" ht="13.2" hidden="1" x14ac:dyDescent="0.25">
      <c r="A111" s="1176" t="s">
        <v>2215</v>
      </c>
      <c r="B111" s="1176"/>
      <c r="C111" s="1177">
        <f t="shared" si="8"/>
        <v>0</v>
      </c>
      <c r="D111" s="1178">
        <v>0</v>
      </c>
      <c r="E111" s="1178">
        <v>0</v>
      </c>
      <c r="F111" s="1178">
        <f t="array" ref="F111">SUM(IF('6. Class A Consumption Data'!J263:K263="B",'6. Class A Consumption Data'!J261:K261))</f>
        <v>0</v>
      </c>
      <c r="G111" s="1178">
        <f t="array" ref="G111">SUM(IF('6. Class A Consumption Data'!L263:M263="B",'6. Class A Consumption Data'!L261:M261))</f>
        <v>0</v>
      </c>
      <c r="H111" s="1178">
        <f t="array" ref="H111">SUM(IF('6. Class A Consumption Data'!N263:O263="B",'6. Class A Consumption Data'!N261:O261))</f>
        <v>0</v>
      </c>
      <c r="I111" s="1180">
        <f t="shared" si="9"/>
        <v>0</v>
      </c>
      <c r="J111" s="1181">
        <f t="shared" si="10"/>
        <v>0</v>
      </c>
      <c r="K111" s="1181">
        <f t="shared" si="11"/>
        <v>0</v>
      </c>
      <c r="L111" s="1181">
        <v>0</v>
      </c>
    </row>
    <row r="112" spans="1:12" s="1174" customFormat="1" ht="13.2" hidden="1" x14ac:dyDescent="0.25">
      <c r="A112" s="1176" t="s">
        <v>2216</v>
      </c>
      <c r="B112" s="1176"/>
      <c r="C112" s="1177">
        <f t="shared" si="8"/>
        <v>0</v>
      </c>
      <c r="D112" s="1178">
        <v>0</v>
      </c>
      <c r="E112" s="1178">
        <v>0</v>
      </c>
      <c r="F112" s="1178">
        <f t="array" ref="F112">SUM(IF('6. Class A Consumption Data'!J266:K266="B",'6. Class A Consumption Data'!J264:K264))</f>
        <v>0</v>
      </c>
      <c r="G112" s="1178">
        <f t="array" ref="G112">SUM(IF('6. Class A Consumption Data'!L266:M266="B",'6. Class A Consumption Data'!L264:M264))</f>
        <v>0</v>
      </c>
      <c r="H112" s="1178">
        <f t="array" ref="H112">SUM(IF('6. Class A Consumption Data'!N266:O266="B",'6. Class A Consumption Data'!N264:O264))</f>
        <v>0</v>
      </c>
      <c r="I112" s="1180">
        <f t="shared" si="9"/>
        <v>0</v>
      </c>
      <c r="J112" s="1181">
        <f t="shared" si="10"/>
        <v>0</v>
      </c>
      <c r="K112" s="1181">
        <f t="shared" si="11"/>
        <v>0</v>
      </c>
      <c r="L112" s="1181">
        <v>0</v>
      </c>
    </row>
    <row r="113" spans="1:12" s="1174" customFormat="1" ht="13.2" hidden="1" x14ac:dyDescent="0.25">
      <c r="A113" s="1176" t="s">
        <v>2217</v>
      </c>
      <c r="B113" s="1176"/>
      <c r="C113" s="1177">
        <f t="shared" si="8"/>
        <v>0</v>
      </c>
      <c r="D113" s="1178">
        <v>0</v>
      </c>
      <c r="E113" s="1178">
        <v>0</v>
      </c>
      <c r="F113" s="1178">
        <f t="array" ref="F113">SUM(IF('6. Class A Consumption Data'!J269:K269="B",'6. Class A Consumption Data'!J267:K267))</f>
        <v>0</v>
      </c>
      <c r="G113" s="1178">
        <f t="array" ref="G113">SUM(IF('6. Class A Consumption Data'!L269:M269="B",'6. Class A Consumption Data'!L267:M267))</f>
        <v>0</v>
      </c>
      <c r="H113" s="1178">
        <f t="array" ref="H113">SUM(IF('6. Class A Consumption Data'!N269:O269="B",'6. Class A Consumption Data'!N267:O267))</f>
        <v>0</v>
      </c>
      <c r="I113" s="1180">
        <f t="shared" si="9"/>
        <v>0</v>
      </c>
      <c r="J113" s="1181">
        <f t="shared" si="10"/>
        <v>0</v>
      </c>
      <c r="K113" s="1181">
        <f t="shared" si="11"/>
        <v>0</v>
      </c>
      <c r="L113" s="1181">
        <v>0</v>
      </c>
    </row>
    <row r="114" spans="1:12" s="1174" customFormat="1" ht="13.2" hidden="1" x14ac:dyDescent="0.25">
      <c r="A114" s="1176" t="s">
        <v>2218</v>
      </c>
      <c r="B114" s="1176"/>
      <c r="C114" s="1177">
        <f t="shared" si="8"/>
        <v>0</v>
      </c>
      <c r="D114" s="1178">
        <v>0</v>
      </c>
      <c r="E114" s="1178">
        <v>0</v>
      </c>
      <c r="F114" s="1178">
        <f t="array" ref="F114">SUM(IF('6. Class A Consumption Data'!J272:K272="B",'6. Class A Consumption Data'!J270:K270))</f>
        <v>0</v>
      </c>
      <c r="G114" s="1178">
        <f t="array" ref="G114">SUM(IF('6. Class A Consumption Data'!L272:M272="B",'6. Class A Consumption Data'!L270:M270))</f>
        <v>0</v>
      </c>
      <c r="H114" s="1178">
        <f t="array" ref="H114">SUM(IF('6. Class A Consumption Data'!N272:O272="B",'6. Class A Consumption Data'!N270:O270))</f>
        <v>0</v>
      </c>
      <c r="I114" s="1180">
        <f t="shared" si="9"/>
        <v>0</v>
      </c>
      <c r="J114" s="1181">
        <f t="shared" si="10"/>
        <v>0</v>
      </c>
      <c r="K114" s="1181">
        <f t="shared" si="11"/>
        <v>0</v>
      </c>
      <c r="L114" s="1181">
        <v>0</v>
      </c>
    </row>
    <row r="115" spans="1:12" s="1174" customFormat="1" ht="13.2" hidden="1" x14ac:dyDescent="0.25">
      <c r="A115" s="1176" t="s">
        <v>2219</v>
      </c>
      <c r="B115" s="1176"/>
      <c r="C115" s="1177">
        <f t="shared" si="8"/>
        <v>0</v>
      </c>
      <c r="D115" s="1178">
        <v>0</v>
      </c>
      <c r="E115" s="1178">
        <v>0</v>
      </c>
      <c r="F115" s="1178">
        <f t="array" ref="F115">SUM(IF('6. Class A Consumption Data'!J275:K275="B",'6. Class A Consumption Data'!J273:K273))</f>
        <v>0</v>
      </c>
      <c r="G115" s="1178">
        <f t="array" ref="G115">SUM(IF('6. Class A Consumption Data'!L275:M275="B",'6. Class A Consumption Data'!L273:M273))</f>
        <v>0</v>
      </c>
      <c r="H115" s="1178">
        <f t="array" ref="H115">SUM(IF('6. Class A Consumption Data'!N275:O275="B",'6. Class A Consumption Data'!N273:O273))</f>
        <v>0</v>
      </c>
      <c r="I115" s="1180">
        <f t="shared" si="9"/>
        <v>0</v>
      </c>
      <c r="J115" s="1181">
        <f t="shared" si="10"/>
        <v>0</v>
      </c>
      <c r="K115" s="1181">
        <f t="shared" si="11"/>
        <v>0</v>
      </c>
      <c r="L115" s="1181">
        <v>0</v>
      </c>
    </row>
    <row r="116" spans="1:12" s="1174" customFormat="1" ht="13.2" hidden="1" x14ac:dyDescent="0.25">
      <c r="A116" s="1176" t="s">
        <v>2220</v>
      </c>
      <c r="B116" s="1176"/>
      <c r="C116" s="1177">
        <f t="shared" si="8"/>
        <v>0</v>
      </c>
      <c r="D116" s="1178">
        <v>0</v>
      </c>
      <c r="E116" s="1178">
        <v>0</v>
      </c>
      <c r="F116" s="1178">
        <f t="array" ref="F116">SUM(IF('6. Class A Consumption Data'!J278:K278="B",'6. Class A Consumption Data'!J276:K276))</f>
        <v>0</v>
      </c>
      <c r="G116" s="1178">
        <f t="array" ref="G116">SUM(IF('6. Class A Consumption Data'!L278:M278="B",'6. Class A Consumption Data'!L276:M276))</f>
        <v>0</v>
      </c>
      <c r="H116" s="1178">
        <f t="array" ref="H116">SUM(IF('6. Class A Consumption Data'!N278:O278="B",'6. Class A Consumption Data'!N276:O276))</f>
        <v>0</v>
      </c>
      <c r="I116" s="1180">
        <f t="shared" si="9"/>
        <v>0</v>
      </c>
      <c r="J116" s="1181">
        <f t="shared" si="10"/>
        <v>0</v>
      </c>
      <c r="K116" s="1181">
        <f t="shared" si="11"/>
        <v>0</v>
      </c>
      <c r="L116" s="1181">
        <v>0</v>
      </c>
    </row>
    <row r="117" spans="1:12" s="1174" customFormat="1" ht="13.2" hidden="1" x14ac:dyDescent="0.25">
      <c r="A117" s="1176" t="s">
        <v>2221</v>
      </c>
      <c r="B117" s="1176"/>
      <c r="C117" s="1177">
        <f t="shared" si="8"/>
        <v>0</v>
      </c>
      <c r="D117" s="1178">
        <v>0</v>
      </c>
      <c r="E117" s="1178">
        <v>0</v>
      </c>
      <c r="F117" s="1178">
        <f t="array" ref="F117">SUM(IF('6. Class A Consumption Data'!J281:K281="B",'6. Class A Consumption Data'!J279:K279))</f>
        <v>0</v>
      </c>
      <c r="G117" s="1178">
        <f t="array" ref="G117">SUM(IF('6. Class A Consumption Data'!L281:M281="B",'6. Class A Consumption Data'!L279:M279))</f>
        <v>0</v>
      </c>
      <c r="H117" s="1178">
        <f t="array" ref="H117">SUM(IF('6. Class A Consumption Data'!N281:O281="B",'6. Class A Consumption Data'!N279:O279))</f>
        <v>0</v>
      </c>
      <c r="I117" s="1180">
        <f t="shared" si="9"/>
        <v>0</v>
      </c>
      <c r="J117" s="1181">
        <f t="shared" si="10"/>
        <v>0</v>
      </c>
      <c r="K117" s="1181">
        <f t="shared" si="11"/>
        <v>0</v>
      </c>
      <c r="L117" s="1181">
        <v>0</v>
      </c>
    </row>
    <row r="118" spans="1:12" s="1174" customFormat="1" ht="13.2" hidden="1" x14ac:dyDescent="0.25">
      <c r="A118" s="1176" t="s">
        <v>2222</v>
      </c>
      <c r="B118" s="1176"/>
      <c r="C118" s="1177">
        <f t="shared" si="8"/>
        <v>0</v>
      </c>
      <c r="D118" s="1178">
        <v>0</v>
      </c>
      <c r="E118" s="1178">
        <v>0</v>
      </c>
      <c r="F118" s="1178">
        <f t="array" ref="F118">SUM(IF('6. Class A Consumption Data'!J284:K284="B",'6. Class A Consumption Data'!J282:K282))</f>
        <v>0</v>
      </c>
      <c r="G118" s="1178">
        <f t="array" ref="G118">SUM(IF('6. Class A Consumption Data'!L284:M284="B",'6. Class A Consumption Data'!L282:M282))</f>
        <v>0</v>
      </c>
      <c r="H118" s="1178">
        <f t="array" ref="H118">SUM(IF('6. Class A Consumption Data'!N284:O284="B",'6. Class A Consumption Data'!N282:O282))</f>
        <v>0</v>
      </c>
      <c r="I118" s="1180">
        <f t="shared" si="9"/>
        <v>0</v>
      </c>
      <c r="J118" s="1181">
        <f t="shared" si="10"/>
        <v>0</v>
      </c>
      <c r="K118" s="1181">
        <f t="shared" si="11"/>
        <v>0</v>
      </c>
      <c r="L118" s="1181">
        <v>0</v>
      </c>
    </row>
    <row r="119" spans="1:12" s="1174" customFormat="1" ht="13.2" hidden="1" x14ac:dyDescent="0.25">
      <c r="A119" s="1176" t="s">
        <v>2223</v>
      </c>
      <c r="B119" s="1176"/>
      <c r="C119" s="1177">
        <f t="shared" si="8"/>
        <v>0</v>
      </c>
      <c r="D119" s="1178">
        <v>0</v>
      </c>
      <c r="E119" s="1178">
        <v>0</v>
      </c>
      <c r="F119" s="1178">
        <f t="array" ref="F119">SUM(IF('6. Class A Consumption Data'!J287:K287="B",'6. Class A Consumption Data'!J285:K285))</f>
        <v>0</v>
      </c>
      <c r="G119" s="1178">
        <f t="array" ref="G119">SUM(IF('6. Class A Consumption Data'!L287:M287="B",'6. Class A Consumption Data'!L285:M285))</f>
        <v>0</v>
      </c>
      <c r="H119" s="1178">
        <f t="array" ref="H119">SUM(IF('6. Class A Consumption Data'!N287:O287="B",'6. Class A Consumption Data'!N285:O285))</f>
        <v>0</v>
      </c>
      <c r="I119" s="1180">
        <f t="shared" si="9"/>
        <v>0</v>
      </c>
      <c r="J119" s="1181">
        <f t="shared" si="10"/>
        <v>0</v>
      </c>
      <c r="K119" s="1181">
        <f t="shared" si="11"/>
        <v>0</v>
      </c>
      <c r="L119" s="1181">
        <v>0</v>
      </c>
    </row>
    <row r="120" spans="1:12" s="1174" customFormat="1" ht="13.2" hidden="1" x14ac:dyDescent="0.25">
      <c r="A120" s="1176" t="s">
        <v>2224</v>
      </c>
      <c r="B120" s="1176"/>
      <c r="C120" s="1177">
        <f t="shared" si="8"/>
        <v>0</v>
      </c>
      <c r="D120" s="1178">
        <v>0</v>
      </c>
      <c r="E120" s="1178">
        <v>0</v>
      </c>
      <c r="F120" s="1178">
        <f t="array" ref="F120">SUM(IF('6. Class A Consumption Data'!J290:K290="B",'6. Class A Consumption Data'!J288:K288))</f>
        <v>0</v>
      </c>
      <c r="G120" s="1178">
        <f t="array" ref="G120">SUM(IF('6. Class A Consumption Data'!L290:M290="B",'6. Class A Consumption Data'!L288:M288))</f>
        <v>0</v>
      </c>
      <c r="H120" s="1178">
        <f t="array" ref="H120">SUM(IF('6. Class A Consumption Data'!N290:O290="B",'6. Class A Consumption Data'!N288:O288))</f>
        <v>0</v>
      </c>
      <c r="I120" s="1180">
        <f t="shared" si="9"/>
        <v>0</v>
      </c>
      <c r="J120" s="1181">
        <f t="shared" si="10"/>
        <v>0</v>
      </c>
      <c r="K120" s="1181">
        <f t="shared" si="11"/>
        <v>0</v>
      </c>
      <c r="L120" s="1181">
        <v>0</v>
      </c>
    </row>
    <row r="121" spans="1:12" s="1174" customFormat="1" ht="13.2" hidden="1" x14ac:dyDescent="0.25">
      <c r="A121" s="1176" t="s">
        <v>2225</v>
      </c>
      <c r="B121" s="1176"/>
      <c r="C121" s="1177">
        <f t="shared" si="8"/>
        <v>0</v>
      </c>
      <c r="D121" s="1178">
        <v>0</v>
      </c>
      <c r="E121" s="1178">
        <v>0</v>
      </c>
      <c r="F121" s="1178">
        <f t="array" ref="F121">SUM(IF('6. Class A Consumption Data'!J293:K293="B",'6. Class A Consumption Data'!J291:K291))</f>
        <v>0</v>
      </c>
      <c r="G121" s="1178">
        <f t="array" ref="G121">SUM(IF('6. Class A Consumption Data'!L293:M293="B",'6. Class A Consumption Data'!L291:M291))</f>
        <v>0</v>
      </c>
      <c r="H121" s="1178">
        <f t="array" ref="H121">SUM(IF('6. Class A Consumption Data'!N293:O293="B",'6. Class A Consumption Data'!N291:O291))</f>
        <v>0</v>
      </c>
      <c r="I121" s="1180">
        <f t="shared" si="9"/>
        <v>0</v>
      </c>
      <c r="J121" s="1181">
        <f t="shared" si="10"/>
        <v>0</v>
      </c>
      <c r="K121" s="1181">
        <f t="shared" si="11"/>
        <v>0</v>
      </c>
      <c r="L121" s="1181">
        <v>0</v>
      </c>
    </row>
    <row r="122" spans="1:12" s="1174" customFormat="1" ht="13.2" hidden="1" x14ac:dyDescent="0.25">
      <c r="A122" s="1176" t="s">
        <v>2226</v>
      </c>
      <c r="B122" s="1176"/>
      <c r="C122" s="1177">
        <f t="shared" si="8"/>
        <v>0</v>
      </c>
      <c r="D122" s="1178">
        <v>0</v>
      </c>
      <c r="E122" s="1178">
        <v>0</v>
      </c>
      <c r="F122" s="1178">
        <f t="array" ref="F122">SUM(IF('6. Class A Consumption Data'!J296:K296="B",'6. Class A Consumption Data'!J294:K294))</f>
        <v>0</v>
      </c>
      <c r="G122" s="1178">
        <f t="array" ref="G122">SUM(IF('6. Class A Consumption Data'!L296:M296="B",'6. Class A Consumption Data'!L294:M294))</f>
        <v>0</v>
      </c>
      <c r="H122" s="1178">
        <f t="array" ref="H122">SUM(IF('6. Class A Consumption Data'!N296:O296="B",'6. Class A Consumption Data'!N294:O294))</f>
        <v>0</v>
      </c>
      <c r="I122" s="1180">
        <f t="shared" si="9"/>
        <v>0</v>
      </c>
      <c r="J122" s="1181">
        <f t="shared" si="10"/>
        <v>0</v>
      </c>
      <c r="K122" s="1181">
        <f t="shared" si="11"/>
        <v>0</v>
      </c>
      <c r="L122" s="1181">
        <v>0</v>
      </c>
    </row>
    <row r="123" spans="1:12" s="1174" customFormat="1" ht="13.2" hidden="1" x14ac:dyDescent="0.25">
      <c r="A123" s="1176" t="s">
        <v>2227</v>
      </c>
      <c r="B123" s="1176"/>
      <c r="C123" s="1177">
        <f t="shared" si="8"/>
        <v>0</v>
      </c>
      <c r="D123" s="1178">
        <v>0</v>
      </c>
      <c r="E123" s="1178">
        <v>0</v>
      </c>
      <c r="F123" s="1178">
        <f t="array" ref="F123">SUM(IF('6. Class A Consumption Data'!J299:K299="B",'6. Class A Consumption Data'!J297:K297))</f>
        <v>0</v>
      </c>
      <c r="G123" s="1178">
        <f t="array" ref="G123">SUM(IF('6. Class A Consumption Data'!L299:M299="B",'6. Class A Consumption Data'!L297:M297))</f>
        <v>0</v>
      </c>
      <c r="H123" s="1178">
        <f t="array" ref="H123">SUM(IF('6. Class A Consumption Data'!N299:O299="B",'6. Class A Consumption Data'!N297:O297))</f>
        <v>0</v>
      </c>
      <c r="I123" s="1180">
        <f t="shared" si="9"/>
        <v>0</v>
      </c>
      <c r="J123" s="1181">
        <f t="shared" si="10"/>
        <v>0</v>
      </c>
      <c r="K123" s="1181">
        <f t="shared" si="11"/>
        <v>0</v>
      </c>
      <c r="L123" s="1181">
        <v>0</v>
      </c>
    </row>
    <row r="124" spans="1:12" s="1174" customFormat="1" ht="13.2" hidden="1" x14ac:dyDescent="0.25">
      <c r="A124" s="1176" t="s">
        <v>2228</v>
      </c>
      <c r="B124" s="1176"/>
      <c r="C124" s="1177">
        <f t="shared" si="8"/>
        <v>0</v>
      </c>
      <c r="D124" s="1178">
        <v>0</v>
      </c>
      <c r="E124" s="1178">
        <v>0</v>
      </c>
      <c r="F124" s="1178">
        <f t="array" ref="F124">SUM(IF('6. Class A Consumption Data'!J302:K302="B",'6. Class A Consumption Data'!J300:K300))</f>
        <v>0</v>
      </c>
      <c r="G124" s="1178">
        <f t="array" ref="G124">SUM(IF('6. Class A Consumption Data'!L302:M302="B",'6. Class A Consumption Data'!L300:M300))</f>
        <v>0</v>
      </c>
      <c r="H124" s="1178">
        <f t="array" ref="H124">SUM(IF('6. Class A Consumption Data'!N302:O302="B",'6. Class A Consumption Data'!N300:O300))</f>
        <v>0</v>
      </c>
      <c r="I124" s="1180">
        <f t="shared" si="9"/>
        <v>0</v>
      </c>
      <c r="J124" s="1181">
        <f t="shared" si="10"/>
        <v>0</v>
      </c>
      <c r="K124" s="1181">
        <f t="shared" si="11"/>
        <v>0</v>
      </c>
      <c r="L124" s="1181">
        <v>0</v>
      </c>
    </row>
    <row r="125" spans="1:12" s="1174" customFormat="1" ht="13.2" hidden="1" x14ac:dyDescent="0.25">
      <c r="A125" s="1176" t="s">
        <v>2229</v>
      </c>
      <c r="B125" s="1176"/>
      <c r="C125" s="1177">
        <f t="shared" si="8"/>
        <v>0</v>
      </c>
      <c r="D125" s="1178">
        <v>0</v>
      </c>
      <c r="E125" s="1178">
        <v>0</v>
      </c>
      <c r="F125" s="1178">
        <f t="array" ref="F125">SUM(IF('6. Class A Consumption Data'!J305:K305="B",'6. Class A Consumption Data'!J303:K303))</f>
        <v>0</v>
      </c>
      <c r="G125" s="1178">
        <f t="array" ref="G125">SUM(IF('6. Class A Consumption Data'!L305:M305="B",'6. Class A Consumption Data'!L303:M303))</f>
        <v>0</v>
      </c>
      <c r="H125" s="1178">
        <f t="array" ref="H125">SUM(IF('6. Class A Consumption Data'!N305:O305="B",'6. Class A Consumption Data'!N303:O303))</f>
        <v>0</v>
      </c>
      <c r="I125" s="1180">
        <f t="shared" si="9"/>
        <v>0</v>
      </c>
      <c r="J125" s="1181">
        <f t="shared" si="10"/>
        <v>0</v>
      </c>
      <c r="K125" s="1181">
        <f t="shared" si="11"/>
        <v>0</v>
      </c>
      <c r="L125" s="1181">
        <v>0</v>
      </c>
    </row>
    <row r="126" spans="1:12" s="1174" customFormat="1" ht="13.2" hidden="1" x14ac:dyDescent="0.25">
      <c r="A126" s="1176" t="s">
        <v>2230</v>
      </c>
      <c r="B126" s="1176"/>
      <c r="C126" s="1177">
        <f t="shared" si="8"/>
        <v>0</v>
      </c>
      <c r="D126" s="1178">
        <v>0</v>
      </c>
      <c r="E126" s="1178">
        <v>0</v>
      </c>
      <c r="F126" s="1178">
        <f t="array" ref="F126">SUM(IF('6. Class A Consumption Data'!J308:K308="B",'6. Class A Consumption Data'!J306:K306))</f>
        <v>0</v>
      </c>
      <c r="G126" s="1178">
        <f t="array" ref="G126">SUM(IF('6. Class A Consumption Data'!L308:M308="B",'6. Class A Consumption Data'!L306:M306))</f>
        <v>0</v>
      </c>
      <c r="H126" s="1178">
        <f t="array" ref="H126">SUM(IF('6. Class A Consumption Data'!N308:O308="B",'6. Class A Consumption Data'!N306:O306))</f>
        <v>0</v>
      </c>
      <c r="I126" s="1180">
        <f t="shared" si="9"/>
        <v>0</v>
      </c>
      <c r="J126" s="1181">
        <f t="shared" si="10"/>
        <v>0</v>
      </c>
      <c r="K126" s="1181">
        <f t="shared" si="11"/>
        <v>0</v>
      </c>
      <c r="L126" s="1181">
        <v>0</v>
      </c>
    </row>
    <row r="127" spans="1:12" s="1174" customFormat="1" ht="13.2" hidden="1" x14ac:dyDescent="0.25">
      <c r="A127" s="1176" t="s">
        <v>2231</v>
      </c>
      <c r="B127" s="1176"/>
      <c r="C127" s="1177">
        <f t="shared" si="8"/>
        <v>0</v>
      </c>
      <c r="D127" s="1178">
        <v>0</v>
      </c>
      <c r="E127" s="1178">
        <v>0</v>
      </c>
      <c r="F127" s="1178">
        <f t="array" ref="F127">SUM(IF('6. Class A Consumption Data'!J311:K311="B",'6. Class A Consumption Data'!J309:K309))</f>
        <v>0</v>
      </c>
      <c r="G127" s="1178">
        <f t="array" ref="G127">SUM(IF('6. Class A Consumption Data'!L311:M311="B",'6. Class A Consumption Data'!L309:M309))</f>
        <v>0</v>
      </c>
      <c r="H127" s="1178">
        <f t="array" ref="H127">SUM(IF('6. Class A Consumption Data'!N311:O311="B",'6. Class A Consumption Data'!N309:O309))</f>
        <v>0</v>
      </c>
      <c r="I127" s="1180">
        <f t="shared" si="9"/>
        <v>0</v>
      </c>
      <c r="J127" s="1181">
        <f t="shared" si="10"/>
        <v>0</v>
      </c>
      <c r="K127" s="1181">
        <f t="shared" si="11"/>
        <v>0</v>
      </c>
      <c r="L127" s="1181">
        <v>0</v>
      </c>
    </row>
    <row r="128" spans="1:12" s="1174" customFormat="1" ht="13.2" hidden="1" x14ac:dyDescent="0.25">
      <c r="A128" s="1176" t="s">
        <v>2232</v>
      </c>
      <c r="B128" s="1176"/>
      <c r="C128" s="1177">
        <f t="shared" si="8"/>
        <v>0</v>
      </c>
      <c r="D128" s="1178">
        <v>0</v>
      </c>
      <c r="E128" s="1178">
        <v>0</v>
      </c>
      <c r="F128" s="1178">
        <f t="array" ref="F128">SUM(IF('6. Class A Consumption Data'!J314:K314="B",'6. Class A Consumption Data'!J312:K312))</f>
        <v>0</v>
      </c>
      <c r="G128" s="1178">
        <f t="array" ref="G128">SUM(IF('6. Class A Consumption Data'!L314:M314="B",'6. Class A Consumption Data'!L312:M312))</f>
        <v>0</v>
      </c>
      <c r="H128" s="1178">
        <f t="array" ref="H128">SUM(IF('6. Class A Consumption Data'!N314:O314="B",'6. Class A Consumption Data'!N312:O312))</f>
        <v>0</v>
      </c>
      <c r="I128" s="1180">
        <f t="shared" si="9"/>
        <v>0</v>
      </c>
      <c r="J128" s="1181">
        <f t="shared" si="10"/>
        <v>0</v>
      </c>
      <c r="K128" s="1181">
        <f t="shared" si="11"/>
        <v>0</v>
      </c>
      <c r="L128" s="1181">
        <v>0</v>
      </c>
    </row>
    <row r="129" spans="1:12" s="1174" customFormat="1" ht="13.2" hidden="1" x14ac:dyDescent="0.25">
      <c r="A129" s="1176" t="s">
        <v>2233</v>
      </c>
      <c r="B129" s="1176"/>
      <c r="C129" s="1177">
        <f t="shared" si="8"/>
        <v>0</v>
      </c>
      <c r="D129" s="1178">
        <v>0</v>
      </c>
      <c r="E129" s="1178">
        <v>0</v>
      </c>
      <c r="F129" s="1178">
        <f t="array" ref="F129">SUM(IF('6. Class A Consumption Data'!J317:K317="B",'6. Class A Consumption Data'!J315:K315))</f>
        <v>0</v>
      </c>
      <c r="G129" s="1178">
        <f t="array" ref="G129">SUM(IF('6. Class A Consumption Data'!L317:M317="B",'6. Class A Consumption Data'!L315:M315))</f>
        <v>0</v>
      </c>
      <c r="H129" s="1178">
        <f t="array" ref="H129">SUM(IF('6. Class A Consumption Data'!N317:O317="B",'6. Class A Consumption Data'!N315:O315))</f>
        <v>0</v>
      </c>
      <c r="I129" s="1180">
        <f t="shared" si="9"/>
        <v>0</v>
      </c>
      <c r="J129" s="1181">
        <f t="shared" si="10"/>
        <v>0</v>
      </c>
      <c r="K129" s="1181">
        <f t="shared" si="11"/>
        <v>0</v>
      </c>
      <c r="L129" s="1181">
        <v>0</v>
      </c>
    </row>
    <row r="130" spans="1:12" s="1174" customFormat="1" ht="13.2" hidden="1" x14ac:dyDescent="0.25">
      <c r="A130" s="1176" t="s">
        <v>2234</v>
      </c>
      <c r="B130" s="1176"/>
      <c r="C130" s="1177">
        <f t="shared" ref="C130:C161" si="12">SUM(D130:E130)</f>
        <v>0</v>
      </c>
      <c r="D130" s="1178">
        <v>0</v>
      </c>
      <c r="E130" s="1178">
        <v>0</v>
      </c>
      <c r="F130" s="1178">
        <f t="array" ref="F130">SUM(IF('6. Class A Consumption Data'!J320:K320="B",'6. Class A Consumption Data'!J318:K318))</f>
        <v>0</v>
      </c>
      <c r="G130" s="1178">
        <f t="array" ref="G130">SUM(IF('6. Class A Consumption Data'!L320:M320="B",'6. Class A Consumption Data'!L318:M318))</f>
        <v>0</v>
      </c>
      <c r="H130" s="1178">
        <f t="array" ref="H130">SUM(IF('6. Class A Consumption Data'!N320:O320="B",'6. Class A Consumption Data'!N318:O318))</f>
        <v>0</v>
      </c>
      <c r="I130" s="1180">
        <f t="shared" ref="I130:I161" si="13">IFERROR(+C130/($C$184),0)</f>
        <v>0</v>
      </c>
      <c r="J130" s="1181">
        <f t="shared" ref="J130:J161" si="14">+I130*$C$28</f>
        <v>0</v>
      </c>
      <c r="K130" s="1181">
        <f t="shared" ref="K130:K161" si="15">+J130/12</f>
        <v>0</v>
      </c>
      <c r="L130" s="1181">
        <v>0</v>
      </c>
    </row>
    <row r="131" spans="1:12" s="1174" customFormat="1" ht="13.2" hidden="1" x14ac:dyDescent="0.25">
      <c r="A131" s="1176" t="s">
        <v>2235</v>
      </c>
      <c r="B131" s="1176"/>
      <c r="C131" s="1177">
        <f t="shared" si="12"/>
        <v>0</v>
      </c>
      <c r="D131" s="1178">
        <v>0</v>
      </c>
      <c r="E131" s="1178">
        <v>0</v>
      </c>
      <c r="F131" s="1178">
        <f t="array" ref="F131">SUM(IF('6. Class A Consumption Data'!J323:K323="B",'6. Class A Consumption Data'!J321:K321))</f>
        <v>0</v>
      </c>
      <c r="G131" s="1178">
        <f t="array" ref="G131">SUM(IF('6. Class A Consumption Data'!L323:M323="B",'6. Class A Consumption Data'!L321:M321))</f>
        <v>0</v>
      </c>
      <c r="H131" s="1178">
        <f t="array" ref="H131">SUM(IF('6. Class A Consumption Data'!N323:O323="B",'6. Class A Consumption Data'!N321:O321))</f>
        <v>0</v>
      </c>
      <c r="I131" s="1180">
        <f t="shared" si="13"/>
        <v>0</v>
      </c>
      <c r="J131" s="1181">
        <f t="shared" si="14"/>
        <v>0</v>
      </c>
      <c r="K131" s="1181">
        <f t="shared" si="15"/>
        <v>0</v>
      </c>
      <c r="L131" s="1181">
        <v>0</v>
      </c>
    </row>
    <row r="132" spans="1:12" s="1174" customFormat="1" ht="13.2" hidden="1" x14ac:dyDescent="0.25">
      <c r="A132" s="1176" t="s">
        <v>2236</v>
      </c>
      <c r="B132" s="1176"/>
      <c r="C132" s="1177">
        <f t="shared" si="12"/>
        <v>0</v>
      </c>
      <c r="D132" s="1178">
        <v>0</v>
      </c>
      <c r="E132" s="1178">
        <v>0</v>
      </c>
      <c r="F132" s="1178">
        <f t="array" ref="F132">SUM(IF('6. Class A Consumption Data'!J326:K326="B",'6. Class A Consumption Data'!J324:K324))</f>
        <v>0</v>
      </c>
      <c r="G132" s="1178">
        <f t="array" ref="G132">SUM(IF('6. Class A Consumption Data'!L326:M326="B",'6. Class A Consumption Data'!L324:M324))</f>
        <v>0</v>
      </c>
      <c r="H132" s="1178">
        <f t="array" ref="H132">SUM(IF('6. Class A Consumption Data'!N326:O326="B",'6. Class A Consumption Data'!N324:O324))</f>
        <v>0</v>
      </c>
      <c r="I132" s="1180">
        <f t="shared" si="13"/>
        <v>0</v>
      </c>
      <c r="J132" s="1181">
        <f t="shared" si="14"/>
        <v>0</v>
      </c>
      <c r="K132" s="1181">
        <f t="shared" si="15"/>
        <v>0</v>
      </c>
      <c r="L132" s="1181">
        <v>0</v>
      </c>
    </row>
    <row r="133" spans="1:12" s="1174" customFormat="1" ht="13.2" hidden="1" x14ac:dyDescent="0.25">
      <c r="A133" s="1176" t="s">
        <v>2237</v>
      </c>
      <c r="B133" s="1176"/>
      <c r="C133" s="1177">
        <f t="shared" si="12"/>
        <v>0</v>
      </c>
      <c r="D133" s="1178">
        <v>0</v>
      </c>
      <c r="E133" s="1178">
        <v>0</v>
      </c>
      <c r="F133" s="1178">
        <f t="array" ref="F133">SUM(IF('6. Class A Consumption Data'!J329:K329="B",'6. Class A Consumption Data'!J327:K327))</f>
        <v>0</v>
      </c>
      <c r="G133" s="1178">
        <f t="array" ref="G133">SUM(IF('6. Class A Consumption Data'!L329:M329="B",'6. Class A Consumption Data'!L327:M327))</f>
        <v>0</v>
      </c>
      <c r="H133" s="1178">
        <f t="array" ref="H133">SUM(IF('6. Class A Consumption Data'!N329:O329="B",'6. Class A Consumption Data'!N327:O327))</f>
        <v>0</v>
      </c>
      <c r="I133" s="1180">
        <f t="shared" si="13"/>
        <v>0</v>
      </c>
      <c r="J133" s="1181">
        <f t="shared" si="14"/>
        <v>0</v>
      </c>
      <c r="K133" s="1181">
        <f t="shared" si="15"/>
        <v>0</v>
      </c>
      <c r="L133" s="1181">
        <v>0</v>
      </c>
    </row>
    <row r="134" spans="1:12" s="1174" customFormat="1" ht="13.2" hidden="1" x14ac:dyDescent="0.25">
      <c r="A134" s="1176" t="s">
        <v>2238</v>
      </c>
      <c r="B134" s="1176"/>
      <c r="C134" s="1177">
        <f t="shared" si="12"/>
        <v>0</v>
      </c>
      <c r="D134" s="1178">
        <v>0</v>
      </c>
      <c r="E134" s="1178">
        <v>0</v>
      </c>
      <c r="F134" s="1178">
        <f t="array" ref="F134">SUM(IF('6. Class A Consumption Data'!J332:K332="B",'6. Class A Consumption Data'!J330:K330))</f>
        <v>0</v>
      </c>
      <c r="G134" s="1178">
        <f t="array" ref="G134">SUM(IF('6. Class A Consumption Data'!L332:M332="B",'6. Class A Consumption Data'!L330:M330))</f>
        <v>0</v>
      </c>
      <c r="H134" s="1178">
        <f t="array" ref="H134">SUM(IF('6. Class A Consumption Data'!N332:O332="B",'6. Class A Consumption Data'!N330:O330))</f>
        <v>0</v>
      </c>
      <c r="I134" s="1180">
        <f t="shared" si="13"/>
        <v>0</v>
      </c>
      <c r="J134" s="1181">
        <f t="shared" si="14"/>
        <v>0</v>
      </c>
      <c r="K134" s="1181">
        <f t="shared" si="15"/>
        <v>0</v>
      </c>
      <c r="L134" s="1181">
        <v>0</v>
      </c>
    </row>
    <row r="135" spans="1:12" s="1174" customFormat="1" ht="13.2" hidden="1" x14ac:dyDescent="0.25">
      <c r="A135" s="1176" t="s">
        <v>2239</v>
      </c>
      <c r="B135" s="1176"/>
      <c r="C135" s="1177">
        <f t="shared" si="12"/>
        <v>0</v>
      </c>
      <c r="D135" s="1178">
        <v>0</v>
      </c>
      <c r="E135" s="1178">
        <v>0</v>
      </c>
      <c r="F135" s="1178">
        <f t="array" ref="F135">SUM(IF('6. Class A Consumption Data'!J335:K335="B",'6. Class A Consumption Data'!J333:K333))</f>
        <v>0</v>
      </c>
      <c r="G135" s="1178">
        <f t="array" ref="G135">SUM(IF('6. Class A Consumption Data'!L335:M335="B",'6. Class A Consumption Data'!L333:M333))</f>
        <v>0</v>
      </c>
      <c r="H135" s="1178">
        <f t="array" ref="H135">SUM(IF('6. Class A Consumption Data'!N335:O335="B",'6. Class A Consumption Data'!N333:O333))</f>
        <v>0</v>
      </c>
      <c r="I135" s="1180">
        <f t="shared" si="13"/>
        <v>0</v>
      </c>
      <c r="J135" s="1181">
        <f t="shared" si="14"/>
        <v>0</v>
      </c>
      <c r="K135" s="1181">
        <f t="shared" si="15"/>
        <v>0</v>
      </c>
      <c r="L135" s="1181">
        <v>0</v>
      </c>
    </row>
    <row r="136" spans="1:12" s="1174" customFormat="1" ht="13.2" hidden="1" x14ac:dyDescent="0.25">
      <c r="A136" s="1176" t="s">
        <v>2240</v>
      </c>
      <c r="B136" s="1176"/>
      <c r="C136" s="1177">
        <f t="shared" si="12"/>
        <v>0</v>
      </c>
      <c r="D136" s="1178">
        <v>0</v>
      </c>
      <c r="E136" s="1178">
        <v>0</v>
      </c>
      <c r="F136" s="1178">
        <f t="array" ref="F136">SUM(IF('6. Class A Consumption Data'!J338:K338="B",'6. Class A Consumption Data'!J336:K336))</f>
        <v>0</v>
      </c>
      <c r="G136" s="1178">
        <f t="array" ref="G136">SUM(IF('6. Class A Consumption Data'!L338:M338="B",'6. Class A Consumption Data'!L336:M336))</f>
        <v>0</v>
      </c>
      <c r="H136" s="1178">
        <f t="array" ref="H136">SUM(IF('6. Class A Consumption Data'!N338:O338="B",'6. Class A Consumption Data'!N336:O336))</f>
        <v>0</v>
      </c>
      <c r="I136" s="1180">
        <f t="shared" si="13"/>
        <v>0</v>
      </c>
      <c r="J136" s="1181">
        <f t="shared" si="14"/>
        <v>0</v>
      </c>
      <c r="K136" s="1181">
        <f t="shared" si="15"/>
        <v>0</v>
      </c>
      <c r="L136" s="1181">
        <v>0</v>
      </c>
    </row>
    <row r="137" spans="1:12" s="1174" customFormat="1" ht="13.2" hidden="1" x14ac:dyDescent="0.25">
      <c r="A137" s="1176" t="s">
        <v>2241</v>
      </c>
      <c r="B137" s="1176"/>
      <c r="C137" s="1177">
        <f t="shared" si="12"/>
        <v>0</v>
      </c>
      <c r="D137" s="1178">
        <v>0</v>
      </c>
      <c r="E137" s="1178">
        <v>0</v>
      </c>
      <c r="F137" s="1178">
        <f t="array" ref="F137">SUM(IF('6. Class A Consumption Data'!J341:K341="B",'6. Class A Consumption Data'!J339:K339))</f>
        <v>0</v>
      </c>
      <c r="G137" s="1178">
        <f t="array" ref="G137">SUM(IF('6. Class A Consumption Data'!L341:M341="B",'6. Class A Consumption Data'!L339:M339))</f>
        <v>0</v>
      </c>
      <c r="H137" s="1178">
        <f t="array" ref="H137">SUM(IF('6. Class A Consumption Data'!N341:O341="B",'6. Class A Consumption Data'!N339:O339))</f>
        <v>0</v>
      </c>
      <c r="I137" s="1180">
        <f t="shared" si="13"/>
        <v>0</v>
      </c>
      <c r="J137" s="1181">
        <f t="shared" si="14"/>
        <v>0</v>
      </c>
      <c r="K137" s="1181">
        <f t="shared" si="15"/>
        <v>0</v>
      </c>
      <c r="L137" s="1181">
        <v>0</v>
      </c>
    </row>
    <row r="138" spans="1:12" s="1174" customFormat="1" ht="13.2" hidden="1" x14ac:dyDescent="0.25">
      <c r="A138" s="1176" t="s">
        <v>2242</v>
      </c>
      <c r="B138" s="1176"/>
      <c r="C138" s="1177">
        <f t="shared" si="12"/>
        <v>0</v>
      </c>
      <c r="D138" s="1178">
        <v>0</v>
      </c>
      <c r="E138" s="1178">
        <v>0</v>
      </c>
      <c r="F138" s="1178">
        <f t="array" ref="F138">SUM(IF('6. Class A Consumption Data'!J344:K344="B",'6. Class A Consumption Data'!J342:K342))</f>
        <v>0</v>
      </c>
      <c r="G138" s="1178">
        <f t="array" ref="G138">SUM(IF('6. Class A Consumption Data'!L344:M344="B",'6. Class A Consumption Data'!L342:M342))</f>
        <v>0</v>
      </c>
      <c r="H138" s="1178">
        <f t="array" ref="H138">SUM(IF('6. Class A Consumption Data'!N344:O344="B",'6. Class A Consumption Data'!N342:O342))</f>
        <v>0</v>
      </c>
      <c r="I138" s="1180">
        <f t="shared" si="13"/>
        <v>0</v>
      </c>
      <c r="J138" s="1181">
        <f t="shared" si="14"/>
        <v>0</v>
      </c>
      <c r="K138" s="1181">
        <f t="shared" si="15"/>
        <v>0</v>
      </c>
      <c r="L138" s="1181">
        <v>0</v>
      </c>
    </row>
    <row r="139" spans="1:12" s="1174" customFormat="1" ht="13.2" hidden="1" x14ac:dyDescent="0.25">
      <c r="A139" s="1176" t="s">
        <v>2243</v>
      </c>
      <c r="B139" s="1176"/>
      <c r="C139" s="1177">
        <f t="shared" si="12"/>
        <v>0</v>
      </c>
      <c r="D139" s="1178">
        <v>0</v>
      </c>
      <c r="E139" s="1178">
        <v>0</v>
      </c>
      <c r="F139" s="1178">
        <f t="array" ref="F139">SUM(IF('6. Class A Consumption Data'!J347:K347="B",'6. Class A Consumption Data'!J345:K345))</f>
        <v>0</v>
      </c>
      <c r="G139" s="1178">
        <f t="array" ref="G139">SUM(IF('6. Class A Consumption Data'!L347:M347="B",'6. Class A Consumption Data'!L345:M345))</f>
        <v>0</v>
      </c>
      <c r="H139" s="1178">
        <f t="array" ref="H139">SUM(IF('6. Class A Consumption Data'!N347:O347="B",'6. Class A Consumption Data'!N345:O345))</f>
        <v>0</v>
      </c>
      <c r="I139" s="1180">
        <f t="shared" si="13"/>
        <v>0</v>
      </c>
      <c r="J139" s="1181">
        <f t="shared" si="14"/>
        <v>0</v>
      </c>
      <c r="K139" s="1181">
        <f t="shared" si="15"/>
        <v>0</v>
      </c>
      <c r="L139" s="1181">
        <v>0</v>
      </c>
    </row>
    <row r="140" spans="1:12" s="1174" customFormat="1" ht="13.2" hidden="1" x14ac:dyDescent="0.25">
      <c r="A140" s="1176" t="s">
        <v>2244</v>
      </c>
      <c r="B140" s="1176"/>
      <c r="C140" s="1177">
        <f t="shared" si="12"/>
        <v>0</v>
      </c>
      <c r="D140" s="1178">
        <v>0</v>
      </c>
      <c r="E140" s="1178">
        <v>0</v>
      </c>
      <c r="F140" s="1178">
        <f t="array" ref="F140">SUM(IF('6. Class A Consumption Data'!J350:K350="B",'6. Class A Consumption Data'!J348:K348))</f>
        <v>0</v>
      </c>
      <c r="G140" s="1178">
        <f t="array" ref="G140">SUM(IF('6. Class A Consumption Data'!L350:M350="B",'6. Class A Consumption Data'!L348:M348))</f>
        <v>0</v>
      </c>
      <c r="H140" s="1178">
        <f t="array" ref="H140">SUM(IF('6. Class A Consumption Data'!N350:O350="B",'6. Class A Consumption Data'!N348:O348))</f>
        <v>0</v>
      </c>
      <c r="I140" s="1180">
        <f t="shared" si="13"/>
        <v>0</v>
      </c>
      <c r="J140" s="1181">
        <f t="shared" si="14"/>
        <v>0</v>
      </c>
      <c r="K140" s="1181">
        <f t="shared" si="15"/>
        <v>0</v>
      </c>
      <c r="L140" s="1181">
        <v>0</v>
      </c>
    </row>
    <row r="141" spans="1:12" s="1174" customFormat="1" ht="13.2" hidden="1" x14ac:dyDescent="0.25">
      <c r="A141" s="1176" t="s">
        <v>2245</v>
      </c>
      <c r="B141" s="1176"/>
      <c r="C141" s="1177">
        <f t="shared" si="12"/>
        <v>0</v>
      </c>
      <c r="D141" s="1178">
        <v>0</v>
      </c>
      <c r="E141" s="1178">
        <v>0</v>
      </c>
      <c r="F141" s="1178">
        <f t="array" ref="F141">SUM(IF('6. Class A Consumption Data'!J353:K353="B",'6. Class A Consumption Data'!J351:K351))</f>
        <v>0</v>
      </c>
      <c r="G141" s="1178">
        <f t="array" ref="G141">SUM(IF('6. Class A Consumption Data'!L353:M353="B",'6. Class A Consumption Data'!L351:M351))</f>
        <v>0</v>
      </c>
      <c r="H141" s="1178">
        <f t="array" ref="H141">SUM(IF('6. Class A Consumption Data'!N353:O353="B",'6. Class A Consumption Data'!N351:O351))</f>
        <v>0</v>
      </c>
      <c r="I141" s="1180">
        <f t="shared" si="13"/>
        <v>0</v>
      </c>
      <c r="J141" s="1181">
        <f t="shared" si="14"/>
        <v>0</v>
      </c>
      <c r="K141" s="1181">
        <f t="shared" si="15"/>
        <v>0</v>
      </c>
      <c r="L141" s="1181">
        <v>0</v>
      </c>
    </row>
    <row r="142" spans="1:12" s="1174" customFormat="1" ht="13.2" hidden="1" x14ac:dyDescent="0.25">
      <c r="A142" s="1176" t="s">
        <v>2246</v>
      </c>
      <c r="B142" s="1176"/>
      <c r="C142" s="1177">
        <f t="shared" si="12"/>
        <v>0</v>
      </c>
      <c r="D142" s="1178">
        <v>0</v>
      </c>
      <c r="E142" s="1178">
        <v>0</v>
      </c>
      <c r="F142" s="1178">
        <f t="array" ref="F142">SUM(IF('6. Class A Consumption Data'!J356:K356="B",'6. Class A Consumption Data'!J354:K354))</f>
        <v>0</v>
      </c>
      <c r="G142" s="1178">
        <f t="array" ref="G142">SUM(IF('6. Class A Consumption Data'!L356:M356="B",'6. Class A Consumption Data'!L354:M354))</f>
        <v>0</v>
      </c>
      <c r="H142" s="1178">
        <f t="array" ref="H142">SUM(IF('6. Class A Consumption Data'!N356:O356="B",'6. Class A Consumption Data'!N354:O354))</f>
        <v>0</v>
      </c>
      <c r="I142" s="1180">
        <f t="shared" si="13"/>
        <v>0</v>
      </c>
      <c r="J142" s="1181">
        <f t="shared" si="14"/>
        <v>0</v>
      </c>
      <c r="K142" s="1181">
        <f t="shared" si="15"/>
        <v>0</v>
      </c>
      <c r="L142" s="1181">
        <v>0</v>
      </c>
    </row>
    <row r="143" spans="1:12" s="1174" customFormat="1" ht="13.2" hidden="1" x14ac:dyDescent="0.25">
      <c r="A143" s="1176" t="s">
        <v>2247</v>
      </c>
      <c r="B143" s="1176"/>
      <c r="C143" s="1177">
        <f t="shared" si="12"/>
        <v>0</v>
      </c>
      <c r="D143" s="1178">
        <v>0</v>
      </c>
      <c r="E143" s="1178">
        <v>0</v>
      </c>
      <c r="F143" s="1178">
        <f t="array" ref="F143">SUM(IF('6. Class A Consumption Data'!J359:K359="B",'6. Class A Consumption Data'!J357:K357))</f>
        <v>0</v>
      </c>
      <c r="G143" s="1178">
        <f t="array" ref="G143">SUM(IF('6. Class A Consumption Data'!L359:M359="B",'6. Class A Consumption Data'!L357:M357))</f>
        <v>0</v>
      </c>
      <c r="H143" s="1178">
        <f t="array" ref="H143">SUM(IF('6. Class A Consumption Data'!N359:O359="B",'6. Class A Consumption Data'!N357:O357))</f>
        <v>0</v>
      </c>
      <c r="I143" s="1180">
        <f t="shared" si="13"/>
        <v>0</v>
      </c>
      <c r="J143" s="1181">
        <f t="shared" si="14"/>
        <v>0</v>
      </c>
      <c r="K143" s="1181">
        <f t="shared" si="15"/>
        <v>0</v>
      </c>
      <c r="L143" s="1181">
        <v>0</v>
      </c>
    </row>
    <row r="144" spans="1:12" s="1174" customFormat="1" ht="13.2" hidden="1" x14ac:dyDescent="0.25">
      <c r="A144" s="1176" t="s">
        <v>2248</v>
      </c>
      <c r="B144" s="1176"/>
      <c r="C144" s="1177">
        <f t="shared" si="12"/>
        <v>0</v>
      </c>
      <c r="D144" s="1178">
        <v>0</v>
      </c>
      <c r="E144" s="1178">
        <v>0</v>
      </c>
      <c r="F144" s="1178">
        <f t="array" ref="F144">SUM(IF('6. Class A Consumption Data'!J362:K362="B",'6. Class A Consumption Data'!J360:K360))</f>
        <v>0</v>
      </c>
      <c r="G144" s="1178">
        <f t="array" ref="G144">SUM(IF('6. Class A Consumption Data'!L362:M362="B",'6. Class A Consumption Data'!L360:M360))</f>
        <v>0</v>
      </c>
      <c r="H144" s="1178">
        <f t="array" ref="H144">SUM(IF('6. Class A Consumption Data'!N362:O362="B",'6. Class A Consumption Data'!N360:O360))</f>
        <v>0</v>
      </c>
      <c r="I144" s="1180">
        <f t="shared" si="13"/>
        <v>0</v>
      </c>
      <c r="J144" s="1181">
        <f t="shared" si="14"/>
        <v>0</v>
      </c>
      <c r="K144" s="1181">
        <f t="shared" si="15"/>
        <v>0</v>
      </c>
      <c r="L144" s="1181">
        <v>0</v>
      </c>
    </row>
    <row r="145" spans="1:12" s="1174" customFormat="1" ht="13.2" hidden="1" x14ac:dyDescent="0.25">
      <c r="A145" s="1176" t="s">
        <v>2249</v>
      </c>
      <c r="B145" s="1176"/>
      <c r="C145" s="1177">
        <f t="shared" si="12"/>
        <v>0</v>
      </c>
      <c r="D145" s="1178">
        <v>0</v>
      </c>
      <c r="E145" s="1178">
        <v>0</v>
      </c>
      <c r="F145" s="1178">
        <f t="array" ref="F145">SUM(IF('6. Class A Consumption Data'!J365:K365="B",'6. Class A Consumption Data'!J363:K363))</f>
        <v>0</v>
      </c>
      <c r="G145" s="1178">
        <f t="array" ref="G145">SUM(IF('6. Class A Consumption Data'!L365:M365="B",'6. Class A Consumption Data'!L363:M363))</f>
        <v>0</v>
      </c>
      <c r="H145" s="1178">
        <f t="array" ref="H145">SUM(IF('6. Class A Consumption Data'!N365:O365="B",'6. Class A Consumption Data'!N363:O363))</f>
        <v>0</v>
      </c>
      <c r="I145" s="1180">
        <f t="shared" si="13"/>
        <v>0</v>
      </c>
      <c r="J145" s="1181">
        <f t="shared" si="14"/>
        <v>0</v>
      </c>
      <c r="K145" s="1181">
        <f t="shared" si="15"/>
        <v>0</v>
      </c>
      <c r="L145" s="1181">
        <v>0</v>
      </c>
    </row>
    <row r="146" spans="1:12" s="1174" customFormat="1" ht="13.2" hidden="1" x14ac:dyDescent="0.25">
      <c r="A146" s="1176" t="s">
        <v>2250</v>
      </c>
      <c r="B146" s="1176"/>
      <c r="C146" s="1177">
        <f t="shared" si="12"/>
        <v>0</v>
      </c>
      <c r="D146" s="1178">
        <v>0</v>
      </c>
      <c r="E146" s="1178">
        <v>0</v>
      </c>
      <c r="F146" s="1178">
        <f t="array" ref="F146">SUM(IF('6. Class A Consumption Data'!J368:K368="B",'6. Class A Consumption Data'!J366:K366))</f>
        <v>0</v>
      </c>
      <c r="G146" s="1178">
        <f t="array" ref="G146">SUM(IF('6. Class A Consumption Data'!L368:M368="B",'6. Class A Consumption Data'!L366:M366))</f>
        <v>0</v>
      </c>
      <c r="H146" s="1178">
        <f t="array" ref="H146">SUM(IF('6. Class A Consumption Data'!N368:O368="B",'6. Class A Consumption Data'!N366:O366))</f>
        <v>0</v>
      </c>
      <c r="I146" s="1180">
        <f t="shared" si="13"/>
        <v>0</v>
      </c>
      <c r="J146" s="1181">
        <f t="shared" si="14"/>
        <v>0</v>
      </c>
      <c r="K146" s="1181">
        <f t="shared" si="15"/>
        <v>0</v>
      </c>
      <c r="L146" s="1181">
        <v>0</v>
      </c>
    </row>
    <row r="147" spans="1:12" s="1174" customFormat="1" ht="13.2" hidden="1" x14ac:dyDescent="0.25">
      <c r="A147" s="1176" t="s">
        <v>2251</v>
      </c>
      <c r="B147" s="1176"/>
      <c r="C147" s="1177">
        <f t="shared" si="12"/>
        <v>0</v>
      </c>
      <c r="D147" s="1178">
        <v>0</v>
      </c>
      <c r="E147" s="1178">
        <v>0</v>
      </c>
      <c r="F147" s="1178">
        <f t="array" ref="F147">SUM(IF('6. Class A Consumption Data'!J371:K371="B",'6. Class A Consumption Data'!J369:K369))</f>
        <v>0</v>
      </c>
      <c r="G147" s="1178">
        <f t="array" ref="G147">SUM(IF('6. Class A Consumption Data'!L371:M371="B",'6. Class A Consumption Data'!L369:M369))</f>
        <v>0</v>
      </c>
      <c r="H147" s="1178">
        <f t="array" ref="H147">SUM(IF('6. Class A Consumption Data'!N371:O371="B",'6. Class A Consumption Data'!N369:O369))</f>
        <v>0</v>
      </c>
      <c r="I147" s="1180">
        <f t="shared" si="13"/>
        <v>0</v>
      </c>
      <c r="J147" s="1181">
        <f t="shared" si="14"/>
        <v>0</v>
      </c>
      <c r="K147" s="1181">
        <f t="shared" si="15"/>
        <v>0</v>
      </c>
      <c r="L147" s="1181">
        <v>0</v>
      </c>
    </row>
    <row r="148" spans="1:12" s="1174" customFormat="1" ht="13.2" hidden="1" x14ac:dyDescent="0.25">
      <c r="A148" s="1176" t="s">
        <v>2252</v>
      </c>
      <c r="B148" s="1176"/>
      <c r="C148" s="1177">
        <f t="shared" si="12"/>
        <v>0</v>
      </c>
      <c r="D148" s="1178">
        <v>0</v>
      </c>
      <c r="E148" s="1178">
        <v>0</v>
      </c>
      <c r="F148" s="1178">
        <f t="array" ref="F148">SUM(IF('6. Class A Consumption Data'!J374:K374="B",'6. Class A Consumption Data'!J372:K372))</f>
        <v>0</v>
      </c>
      <c r="G148" s="1178">
        <f t="array" ref="G148">SUM(IF('6. Class A Consumption Data'!L374:M374="B",'6. Class A Consumption Data'!L372:M372))</f>
        <v>0</v>
      </c>
      <c r="H148" s="1178">
        <f t="array" ref="H148">SUM(IF('6. Class A Consumption Data'!N374:O374="B",'6. Class A Consumption Data'!N372:O372))</f>
        <v>0</v>
      </c>
      <c r="I148" s="1180">
        <f t="shared" si="13"/>
        <v>0</v>
      </c>
      <c r="J148" s="1181">
        <f t="shared" si="14"/>
        <v>0</v>
      </c>
      <c r="K148" s="1181">
        <f t="shared" si="15"/>
        <v>0</v>
      </c>
      <c r="L148" s="1181">
        <v>0</v>
      </c>
    </row>
    <row r="149" spans="1:12" s="1174" customFormat="1" ht="13.2" hidden="1" x14ac:dyDescent="0.25">
      <c r="A149" s="1176" t="s">
        <v>2253</v>
      </c>
      <c r="B149" s="1176"/>
      <c r="C149" s="1177">
        <f t="shared" si="12"/>
        <v>0</v>
      </c>
      <c r="D149" s="1178">
        <v>0</v>
      </c>
      <c r="E149" s="1178">
        <v>0</v>
      </c>
      <c r="F149" s="1178">
        <f t="array" ref="F149">SUM(IF('6. Class A Consumption Data'!J377:K377="B",'6. Class A Consumption Data'!J375:K375))</f>
        <v>0</v>
      </c>
      <c r="G149" s="1178">
        <f t="array" ref="G149">SUM(IF('6. Class A Consumption Data'!L377:M377="B",'6. Class A Consumption Data'!L375:M375))</f>
        <v>0</v>
      </c>
      <c r="H149" s="1178">
        <f t="array" ref="H149">SUM(IF('6. Class A Consumption Data'!N377:O377="B",'6. Class A Consumption Data'!N375:O375))</f>
        <v>0</v>
      </c>
      <c r="I149" s="1180">
        <f t="shared" si="13"/>
        <v>0</v>
      </c>
      <c r="J149" s="1181">
        <f t="shared" si="14"/>
        <v>0</v>
      </c>
      <c r="K149" s="1181">
        <f t="shared" si="15"/>
        <v>0</v>
      </c>
      <c r="L149" s="1181">
        <v>0</v>
      </c>
    </row>
    <row r="150" spans="1:12" s="1174" customFormat="1" ht="13.2" hidden="1" x14ac:dyDescent="0.25">
      <c r="A150" s="1176" t="s">
        <v>2254</v>
      </c>
      <c r="B150" s="1176"/>
      <c r="C150" s="1177">
        <f t="shared" si="12"/>
        <v>0</v>
      </c>
      <c r="D150" s="1178">
        <v>0</v>
      </c>
      <c r="E150" s="1178">
        <v>0</v>
      </c>
      <c r="F150" s="1178">
        <f t="array" ref="F150">SUM(IF('6. Class A Consumption Data'!J380:K380="B",'6. Class A Consumption Data'!J378:K378))</f>
        <v>0</v>
      </c>
      <c r="G150" s="1178">
        <f t="array" ref="G150">SUM(IF('6. Class A Consumption Data'!L380:M380="B",'6. Class A Consumption Data'!L378:M378))</f>
        <v>0</v>
      </c>
      <c r="H150" s="1178">
        <f t="array" ref="H150">SUM(IF('6. Class A Consumption Data'!N380:O380="B",'6. Class A Consumption Data'!N378:O378))</f>
        <v>0</v>
      </c>
      <c r="I150" s="1180">
        <f t="shared" si="13"/>
        <v>0</v>
      </c>
      <c r="J150" s="1181">
        <f t="shared" si="14"/>
        <v>0</v>
      </c>
      <c r="K150" s="1181">
        <f t="shared" si="15"/>
        <v>0</v>
      </c>
      <c r="L150" s="1181">
        <v>0</v>
      </c>
    </row>
    <row r="151" spans="1:12" s="1174" customFormat="1" ht="13.2" hidden="1" x14ac:dyDescent="0.25">
      <c r="A151" s="1176" t="s">
        <v>2255</v>
      </c>
      <c r="B151" s="1176"/>
      <c r="C151" s="1177">
        <f t="shared" si="12"/>
        <v>0</v>
      </c>
      <c r="D151" s="1178">
        <v>0</v>
      </c>
      <c r="E151" s="1178">
        <v>0</v>
      </c>
      <c r="F151" s="1178">
        <f t="array" ref="F151">SUM(IF('6. Class A Consumption Data'!J383:K383="B",'6. Class A Consumption Data'!J381:K381))</f>
        <v>0</v>
      </c>
      <c r="G151" s="1178">
        <f t="array" ref="G151">SUM(IF('6. Class A Consumption Data'!L383:M383="B",'6. Class A Consumption Data'!L381:M381))</f>
        <v>0</v>
      </c>
      <c r="H151" s="1178">
        <f t="array" ref="H151">SUM(IF('6. Class A Consumption Data'!N383:O383="B",'6. Class A Consumption Data'!N381:O381))</f>
        <v>0</v>
      </c>
      <c r="I151" s="1180">
        <f t="shared" si="13"/>
        <v>0</v>
      </c>
      <c r="J151" s="1181">
        <f t="shared" si="14"/>
        <v>0</v>
      </c>
      <c r="K151" s="1181">
        <f t="shared" si="15"/>
        <v>0</v>
      </c>
      <c r="L151" s="1181">
        <v>0</v>
      </c>
    </row>
    <row r="152" spans="1:12" s="1174" customFormat="1" ht="13.2" hidden="1" x14ac:dyDescent="0.25">
      <c r="A152" s="1176" t="s">
        <v>2256</v>
      </c>
      <c r="B152" s="1176"/>
      <c r="C152" s="1177">
        <f t="shared" si="12"/>
        <v>0</v>
      </c>
      <c r="D152" s="1178">
        <v>0</v>
      </c>
      <c r="E152" s="1178">
        <v>0</v>
      </c>
      <c r="F152" s="1178">
        <f t="array" ref="F152">SUM(IF('6. Class A Consumption Data'!J386:K386="B",'6. Class A Consumption Data'!J384:K384))</f>
        <v>0</v>
      </c>
      <c r="G152" s="1178">
        <f t="array" ref="G152">SUM(IF('6. Class A Consumption Data'!L386:M386="B",'6. Class A Consumption Data'!L384:M384))</f>
        <v>0</v>
      </c>
      <c r="H152" s="1178">
        <f t="array" ref="H152">SUM(IF('6. Class A Consumption Data'!N386:O386="B",'6. Class A Consumption Data'!N384:O384))</f>
        <v>0</v>
      </c>
      <c r="I152" s="1180">
        <f t="shared" si="13"/>
        <v>0</v>
      </c>
      <c r="J152" s="1181">
        <f t="shared" si="14"/>
        <v>0</v>
      </c>
      <c r="K152" s="1181">
        <f t="shared" si="15"/>
        <v>0</v>
      </c>
      <c r="L152" s="1181">
        <v>0</v>
      </c>
    </row>
    <row r="153" spans="1:12" s="1174" customFormat="1" ht="13.2" hidden="1" x14ac:dyDescent="0.25">
      <c r="A153" s="1176" t="s">
        <v>2257</v>
      </c>
      <c r="B153" s="1176"/>
      <c r="C153" s="1177">
        <f t="shared" si="12"/>
        <v>0</v>
      </c>
      <c r="D153" s="1178">
        <v>0</v>
      </c>
      <c r="E153" s="1178">
        <v>0</v>
      </c>
      <c r="F153" s="1178">
        <f t="array" ref="F153">SUM(IF('6. Class A Consumption Data'!J389:K389="B",'6. Class A Consumption Data'!J387:K387))</f>
        <v>0</v>
      </c>
      <c r="G153" s="1178">
        <f t="array" ref="G153">SUM(IF('6. Class A Consumption Data'!L389:M389="B",'6. Class A Consumption Data'!L387:M387))</f>
        <v>0</v>
      </c>
      <c r="H153" s="1178">
        <f t="array" ref="H153">SUM(IF('6. Class A Consumption Data'!N389:O389="B",'6. Class A Consumption Data'!N387:O387))</f>
        <v>0</v>
      </c>
      <c r="I153" s="1180">
        <f t="shared" si="13"/>
        <v>0</v>
      </c>
      <c r="J153" s="1181">
        <f t="shared" si="14"/>
        <v>0</v>
      </c>
      <c r="K153" s="1181">
        <f t="shared" si="15"/>
        <v>0</v>
      </c>
      <c r="L153" s="1181">
        <v>0</v>
      </c>
    </row>
    <row r="154" spans="1:12" s="1174" customFormat="1" ht="13.2" hidden="1" x14ac:dyDescent="0.25">
      <c r="A154" s="1176" t="s">
        <v>2258</v>
      </c>
      <c r="B154" s="1176"/>
      <c r="C154" s="1177">
        <f t="shared" si="12"/>
        <v>0</v>
      </c>
      <c r="D154" s="1178">
        <v>0</v>
      </c>
      <c r="E154" s="1178">
        <v>0</v>
      </c>
      <c r="F154" s="1178">
        <f t="array" ref="F154">SUM(IF('6. Class A Consumption Data'!J392:K392="B",'6. Class A Consumption Data'!J390:K390))</f>
        <v>0</v>
      </c>
      <c r="G154" s="1178">
        <f t="array" ref="G154">SUM(IF('6. Class A Consumption Data'!L392:M392="B",'6. Class A Consumption Data'!L390:M390))</f>
        <v>0</v>
      </c>
      <c r="H154" s="1178">
        <f t="array" ref="H154">SUM(IF('6. Class A Consumption Data'!N392:O392="B",'6. Class A Consumption Data'!N390:O390))</f>
        <v>0</v>
      </c>
      <c r="I154" s="1180">
        <f t="shared" si="13"/>
        <v>0</v>
      </c>
      <c r="J154" s="1181">
        <f t="shared" si="14"/>
        <v>0</v>
      </c>
      <c r="K154" s="1181">
        <f t="shared" si="15"/>
        <v>0</v>
      </c>
      <c r="L154" s="1181">
        <v>0</v>
      </c>
    </row>
    <row r="155" spans="1:12" s="1174" customFormat="1" ht="13.2" hidden="1" x14ac:dyDescent="0.25">
      <c r="A155" s="1176" t="s">
        <v>2259</v>
      </c>
      <c r="B155" s="1176"/>
      <c r="C155" s="1177">
        <f t="shared" si="12"/>
        <v>0</v>
      </c>
      <c r="D155" s="1178">
        <v>0</v>
      </c>
      <c r="E155" s="1178">
        <v>0</v>
      </c>
      <c r="F155" s="1178">
        <f t="array" ref="F155">SUM(IF('6. Class A Consumption Data'!J395:K395="B",'6. Class A Consumption Data'!J393:K393))</f>
        <v>0</v>
      </c>
      <c r="G155" s="1178">
        <f t="array" ref="G155">SUM(IF('6. Class A Consumption Data'!L395:M395="B",'6. Class A Consumption Data'!L393:M393))</f>
        <v>0</v>
      </c>
      <c r="H155" s="1178">
        <f t="array" ref="H155">SUM(IF('6. Class A Consumption Data'!N395:O395="B",'6. Class A Consumption Data'!N393:O393))</f>
        <v>0</v>
      </c>
      <c r="I155" s="1180">
        <f t="shared" si="13"/>
        <v>0</v>
      </c>
      <c r="J155" s="1181">
        <f t="shared" si="14"/>
        <v>0</v>
      </c>
      <c r="K155" s="1181">
        <f t="shared" si="15"/>
        <v>0</v>
      </c>
      <c r="L155" s="1181">
        <v>0</v>
      </c>
    </row>
    <row r="156" spans="1:12" s="1174" customFormat="1" ht="15" hidden="1" customHeight="1" x14ac:dyDescent="0.25">
      <c r="A156" s="1176" t="s">
        <v>2260</v>
      </c>
      <c r="B156" s="1176"/>
      <c r="C156" s="1177">
        <f t="shared" si="12"/>
        <v>0</v>
      </c>
      <c r="D156" s="1178">
        <v>0</v>
      </c>
      <c r="E156" s="1178">
        <v>0</v>
      </c>
      <c r="F156" s="1178">
        <f t="array" ref="F156">SUM(IF('6. Class A Consumption Data'!J398:K398="B",'6. Class A Consumption Data'!J396:K396))</f>
        <v>0</v>
      </c>
      <c r="G156" s="1178">
        <f t="array" ref="G156">SUM(IF('6. Class A Consumption Data'!L398:M398="B",'6. Class A Consumption Data'!L396:M396))</f>
        <v>0</v>
      </c>
      <c r="H156" s="1178">
        <f t="array" ref="H156">SUM(IF('6. Class A Consumption Data'!N398:O398="B",'6. Class A Consumption Data'!N396:O396))</f>
        <v>0</v>
      </c>
      <c r="I156" s="1180">
        <f t="shared" si="13"/>
        <v>0</v>
      </c>
      <c r="J156" s="1181">
        <f t="shared" si="14"/>
        <v>0</v>
      </c>
      <c r="K156" s="1181">
        <f t="shared" si="15"/>
        <v>0</v>
      </c>
      <c r="L156" s="1181">
        <v>0</v>
      </c>
    </row>
    <row r="157" spans="1:12" s="1174" customFormat="1" ht="13.2" hidden="1" x14ac:dyDescent="0.25">
      <c r="A157" s="1176" t="s">
        <v>2261</v>
      </c>
      <c r="B157" s="1176"/>
      <c r="C157" s="1177">
        <f t="shared" si="12"/>
        <v>0</v>
      </c>
      <c r="D157" s="1178">
        <v>0</v>
      </c>
      <c r="E157" s="1178">
        <v>0</v>
      </c>
      <c r="F157" s="1178">
        <f t="array" ref="F157">SUM(IF('6. Class A Consumption Data'!J401:K401="B",'6. Class A Consumption Data'!J399:K399))</f>
        <v>0</v>
      </c>
      <c r="G157" s="1178">
        <f t="array" ref="G157">SUM(IF('6. Class A Consumption Data'!L401:M401="B",'6. Class A Consumption Data'!L399:M399))</f>
        <v>0</v>
      </c>
      <c r="H157" s="1178">
        <f t="array" ref="H157">SUM(IF('6. Class A Consumption Data'!N401:O401="B",'6. Class A Consumption Data'!N399:O399))</f>
        <v>0</v>
      </c>
      <c r="I157" s="1180">
        <f t="shared" si="13"/>
        <v>0</v>
      </c>
      <c r="J157" s="1181">
        <f t="shared" si="14"/>
        <v>0</v>
      </c>
      <c r="K157" s="1181">
        <f t="shared" si="15"/>
        <v>0</v>
      </c>
      <c r="L157" s="1181">
        <v>0</v>
      </c>
    </row>
    <row r="158" spans="1:12" s="1174" customFormat="1" ht="13.2" hidden="1" x14ac:dyDescent="0.25">
      <c r="A158" s="1176" t="s">
        <v>2262</v>
      </c>
      <c r="B158" s="1176"/>
      <c r="C158" s="1177">
        <f t="shared" si="12"/>
        <v>0</v>
      </c>
      <c r="D158" s="1178">
        <v>0</v>
      </c>
      <c r="E158" s="1178">
        <v>0</v>
      </c>
      <c r="F158" s="1178">
        <f t="array" ref="F158">SUM(IF('6. Class A Consumption Data'!J404:K404="B",'6. Class A Consumption Data'!J402:K402))</f>
        <v>0</v>
      </c>
      <c r="G158" s="1178">
        <f t="array" ref="G158">SUM(IF('6. Class A Consumption Data'!L404:M404="B",'6. Class A Consumption Data'!L402:M402))</f>
        <v>0</v>
      </c>
      <c r="H158" s="1178">
        <f t="array" ref="H158">SUM(IF('6. Class A Consumption Data'!N404:O404="B",'6. Class A Consumption Data'!N402:O402))</f>
        <v>0</v>
      </c>
      <c r="I158" s="1180">
        <f t="shared" si="13"/>
        <v>0</v>
      </c>
      <c r="J158" s="1181">
        <f t="shared" si="14"/>
        <v>0</v>
      </c>
      <c r="K158" s="1181">
        <f t="shared" si="15"/>
        <v>0</v>
      </c>
      <c r="L158" s="1181">
        <v>0</v>
      </c>
    </row>
    <row r="159" spans="1:12" s="1174" customFormat="1" ht="13.2" hidden="1" x14ac:dyDescent="0.25">
      <c r="A159" s="1176" t="s">
        <v>2263</v>
      </c>
      <c r="B159" s="1176"/>
      <c r="C159" s="1177">
        <f t="shared" si="12"/>
        <v>0</v>
      </c>
      <c r="D159" s="1178">
        <v>0</v>
      </c>
      <c r="E159" s="1178">
        <v>0</v>
      </c>
      <c r="F159" s="1178">
        <f t="array" ref="F159">SUM(IF('6. Class A Consumption Data'!J407:K407="B",'6. Class A Consumption Data'!J405:K405))</f>
        <v>0</v>
      </c>
      <c r="G159" s="1178">
        <f t="array" ref="G159">SUM(IF('6. Class A Consumption Data'!L407:M407="B",'6. Class A Consumption Data'!L405:M405))</f>
        <v>0</v>
      </c>
      <c r="H159" s="1178">
        <f t="array" ref="H159">SUM(IF('6. Class A Consumption Data'!N407:O407="B",'6. Class A Consumption Data'!N405:O405))</f>
        <v>0</v>
      </c>
      <c r="I159" s="1180">
        <f t="shared" si="13"/>
        <v>0</v>
      </c>
      <c r="J159" s="1181">
        <f t="shared" si="14"/>
        <v>0</v>
      </c>
      <c r="K159" s="1181">
        <f t="shared" si="15"/>
        <v>0</v>
      </c>
      <c r="L159" s="1181">
        <v>0</v>
      </c>
    </row>
    <row r="160" spans="1:12" s="1174" customFormat="1" ht="13.2" hidden="1" x14ac:dyDescent="0.25">
      <c r="A160" s="1176" t="s">
        <v>2264</v>
      </c>
      <c r="B160" s="1176"/>
      <c r="C160" s="1177">
        <f t="shared" si="12"/>
        <v>0</v>
      </c>
      <c r="D160" s="1178">
        <v>0</v>
      </c>
      <c r="E160" s="1178">
        <v>0</v>
      </c>
      <c r="F160" s="1178">
        <f t="array" ref="F160">SUM(IF('6. Class A Consumption Data'!J410:K410="B",'6. Class A Consumption Data'!J408:K408))</f>
        <v>0</v>
      </c>
      <c r="G160" s="1178">
        <f t="array" ref="G160">SUM(IF('6. Class A Consumption Data'!L410:M410="B",'6. Class A Consumption Data'!L408:M408))</f>
        <v>0</v>
      </c>
      <c r="H160" s="1178">
        <f t="array" ref="H160">SUM(IF('6. Class A Consumption Data'!N410:O410="B",'6. Class A Consumption Data'!N408:O408))</f>
        <v>0</v>
      </c>
      <c r="I160" s="1180">
        <f t="shared" si="13"/>
        <v>0</v>
      </c>
      <c r="J160" s="1181">
        <f t="shared" si="14"/>
        <v>0</v>
      </c>
      <c r="K160" s="1181">
        <f t="shared" si="15"/>
        <v>0</v>
      </c>
      <c r="L160" s="1181">
        <v>0</v>
      </c>
    </row>
    <row r="161" spans="1:12" s="1174" customFormat="1" ht="13.2" hidden="1" x14ac:dyDescent="0.25">
      <c r="A161" s="1176" t="s">
        <v>2265</v>
      </c>
      <c r="B161" s="1176"/>
      <c r="C161" s="1177">
        <f t="shared" si="12"/>
        <v>0</v>
      </c>
      <c r="D161" s="1178">
        <v>0</v>
      </c>
      <c r="E161" s="1178">
        <v>0</v>
      </c>
      <c r="F161" s="1178">
        <f t="array" ref="F161">SUM(IF('6. Class A Consumption Data'!J413:K413="B",'6. Class A Consumption Data'!J411:K411))</f>
        <v>0</v>
      </c>
      <c r="G161" s="1178">
        <f t="array" ref="G161">SUM(IF('6. Class A Consumption Data'!L413:M413="B",'6. Class A Consumption Data'!L411:M411))</f>
        <v>0</v>
      </c>
      <c r="H161" s="1178">
        <f t="array" ref="H161">SUM(IF('6. Class A Consumption Data'!N413:O413="B",'6. Class A Consumption Data'!N411:O411))</f>
        <v>0</v>
      </c>
      <c r="I161" s="1180">
        <f t="shared" si="13"/>
        <v>0</v>
      </c>
      <c r="J161" s="1181">
        <f t="shared" si="14"/>
        <v>0</v>
      </c>
      <c r="K161" s="1181">
        <f t="shared" si="15"/>
        <v>0</v>
      </c>
      <c r="L161" s="1181">
        <v>0</v>
      </c>
    </row>
    <row r="162" spans="1:12" s="1174" customFormat="1" ht="13.2" hidden="1" x14ac:dyDescent="0.25">
      <c r="A162" s="1176" t="s">
        <v>2266</v>
      </c>
      <c r="B162" s="1176"/>
      <c r="C162" s="1177">
        <f t="shared" ref="C162:C183" si="16">SUM(D162:E162)</f>
        <v>0</v>
      </c>
      <c r="D162" s="1178">
        <v>0</v>
      </c>
      <c r="E162" s="1178">
        <v>0</v>
      </c>
      <c r="F162" s="1178">
        <f t="array" ref="F162">SUM(IF('6. Class A Consumption Data'!J416:K416="B",'6. Class A Consumption Data'!J414:K414))</f>
        <v>0</v>
      </c>
      <c r="G162" s="1178">
        <f t="array" ref="G162">SUM(IF('6. Class A Consumption Data'!L416:M416="B",'6. Class A Consumption Data'!L414:M414))</f>
        <v>0</v>
      </c>
      <c r="H162" s="1178">
        <f t="array" ref="H162">SUM(IF('6. Class A Consumption Data'!N416:O416="B",'6. Class A Consumption Data'!N414:O414))</f>
        <v>0</v>
      </c>
      <c r="I162" s="1180">
        <f t="shared" ref="I162:I183" si="17">IFERROR(+C162/($C$184),0)</f>
        <v>0</v>
      </c>
      <c r="J162" s="1181">
        <f t="shared" ref="J162:J183" si="18">+I162*$C$28</f>
        <v>0</v>
      </c>
      <c r="K162" s="1181">
        <f t="shared" ref="K162:K183" si="19">+J162/12</f>
        <v>0</v>
      </c>
      <c r="L162" s="1181">
        <v>0</v>
      </c>
    </row>
    <row r="163" spans="1:12" s="1174" customFormat="1" ht="13.2" hidden="1" x14ac:dyDescent="0.25">
      <c r="A163" s="1176" t="s">
        <v>2267</v>
      </c>
      <c r="B163" s="1176"/>
      <c r="C163" s="1177">
        <f t="shared" si="16"/>
        <v>0</v>
      </c>
      <c r="D163" s="1178">
        <v>0</v>
      </c>
      <c r="E163" s="1178">
        <v>0</v>
      </c>
      <c r="F163" s="1178">
        <f t="array" ref="F163">SUM(IF('6. Class A Consumption Data'!J419:K419="B",'6. Class A Consumption Data'!J417:K417))</f>
        <v>0</v>
      </c>
      <c r="G163" s="1178">
        <f t="array" ref="G163">SUM(IF('6. Class A Consumption Data'!L419:M419="B",'6. Class A Consumption Data'!L417:M417))</f>
        <v>0</v>
      </c>
      <c r="H163" s="1178">
        <f t="array" ref="H163">SUM(IF('6. Class A Consumption Data'!N419:O419="B",'6. Class A Consumption Data'!N417:O417))</f>
        <v>0</v>
      </c>
      <c r="I163" s="1180">
        <f t="shared" si="17"/>
        <v>0</v>
      </c>
      <c r="J163" s="1181">
        <f t="shared" si="18"/>
        <v>0</v>
      </c>
      <c r="K163" s="1181">
        <f t="shared" si="19"/>
        <v>0</v>
      </c>
      <c r="L163" s="1181">
        <v>0</v>
      </c>
    </row>
    <row r="164" spans="1:12" s="1174" customFormat="1" ht="13.2" hidden="1" x14ac:dyDescent="0.25">
      <c r="A164" s="1176" t="s">
        <v>2268</v>
      </c>
      <c r="B164" s="1176"/>
      <c r="C164" s="1177">
        <f t="shared" si="16"/>
        <v>0</v>
      </c>
      <c r="D164" s="1178">
        <v>0</v>
      </c>
      <c r="E164" s="1178">
        <v>0</v>
      </c>
      <c r="F164" s="1178">
        <f t="array" ref="F164">SUM(IF('6. Class A Consumption Data'!J422:K422="B",'6. Class A Consumption Data'!J420:K420))</f>
        <v>0</v>
      </c>
      <c r="G164" s="1178">
        <f t="array" ref="G164">SUM(IF('6. Class A Consumption Data'!L422:M422="B",'6. Class A Consumption Data'!L420:M420))</f>
        <v>0</v>
      </c>
      <c r="H164" s="1178">
        <f t="array" ref="H164">SUM(IF('6. Class A Consumption Data'!N422:O422="B",'6. Class A Consumption Data'!N420:O420))</f>
        <v>0</v>
      </c>
      <c r="I164" s="1180">
        <f t="shared" si="17"/>
        <v>0</v>
      </c>
      <c r="J164" s="1181">
        <f t="shared" si="18"/>
        <v>0</v>
      </c>
      <c r="K164" s="1181">
        <f t="shared" si="19"/>
        <v>0</v>
      </c>
      <c r="L164" s="1181">
        <v>0</v>
      </c>
    </row>
    <row r="165" spans="1:12" s="1174" customFormat="1" ht="13.2" hidden="1" x14ac:dyDescent="0.25">
      <c r="A165" s="1176" t="s">
        <v>2269</v>
      </c>
      <c r="B165" s="1176"/>
      <c r="C165" s="1177">
        <f t="shared" si="16"/>
        <v>0</v>
      </c>
      <c r="D165" s="1178">
        <v>0</v>
      </c>
      <c r="E165" s="1178">
        <v>0</v>
      </c>
      <c r="F165" s="1178">
        <f t="array" ref="F165">SUM(IF('6. Class A Consumption Data'!J425:K425="B",'6. Class A Consumption Data'!J423:K423))</f>
        <v>0</v>
      </c>
      <c r="G165" s="1178">
        <f t="array" ref="G165">SUM(IF('6. Class A Consumption Data'!L425:M425="B",'6. Class A Consumption Data'!L423:M423))</f>
        <v>0</v>
      </c>
      <c r="H165" s="1178">
        <f t="array" ref="H165">SUM(IF('6. Class A Consumption Data'!N425:O425="B",'6. Class A Consumption Data'!N423:O423))</f>
        <v>0</v>
      </c>
      <c r="I165" s="1180">
        <f t="shared" si="17"/>
        <v>0</v>
      </c>
      <c r="J165" s="1181">
        <f t="shared" si="18"/>
        <v>0</v>
      </c>
      <c r="K165" s="1181">
        <f t="shared" si="19"/>
        <v>0</v>
      </c>
      <c r="L165" s="1181">
        <v>0</v>
      </c>
    </row>
    <row r="166" spans="1:12" s="1174" customFormat="1" ht="13.2" hidden="1" x14ac:dyDescent="0.25">
      <c r="A166" s="1176" t="s">
        <v>2270</v>
      </c>
      <c r="B166" s="1176"/>
      <c r="C166" s="1177">
        <f t="shared" si="16"/>
        <v>0</v>
      </c>
      <c r="D166" s="1178">
        <v>0</v>
      </c>
      <c r="E166" s="1178">
        <v>0</v>
      </c>
      <c r="F166" s="1178">
        <f t="array" ref="F166">SUM(IF('6. Class A Consumption Data'!J428:K428="B",'6. Class A Consumption Data'!J426:K426))</f>
        <v>0</v>
      </c>
      <c r="G166" s="1178">
        <f t="array" ref="G166">SUM(IF('6. Class A Consumption Data'!L428:M428="B",'6. Class A Consumption Data'!L426:M426))</f>
        <v>0</v>
      </c>
      <c r="H166" s="1178">
        <f t="array" ref="H166">SUM(IF('6. Class A Consumption Data'!N428:O428="B",'6. Class A Consumption Data'!N426:O426))</f>
        <v>0</v>
      </c>
      <c r="I166" s="1180">
        <f t="shared" si="17"/>
        <v>0</v>
      </c>
      <c r="J166" s="1181">
        <f t="shared" si="18"/>
        <v>0</v>
      </c>
      <c r="K166" s="1181">
        <f t="shared" si="19"/>
        <v>0</v>
      </c>
      <c r="L166" s="1181">
        <v>0</v>
      </c>
    </row>
    <row r="167" spans="1:12" s="1174" customFormat="1" ht="13.2" hidden="1" x14ac:dyDescent="0.25">
      <c r="A167" s="1176" t="s">
        <v>2271</v>
      </c>
      <c r="B167" s="1176"/>
      <c r="C167" s="1177">
        <f t="shared" si="16"/>
        <v>0</v>
      </c>
      <c r="D167" s="1178">
        <v>0</v>
      </c>
      <c r="E167" s="1178">
        <v>0</v>
      </c>
      <c r="F167" s="1178">
        <f t="array" ref="F167">SUM(IF('6. Class A Consumption Data'!J431:K431="B",'6. Class A Consumption Data'!J429:K429))</f>
        <v>0</v>
      </c>
      <c r="G167" s="1178">
        <f t="array" ref="G167">SUM(IF('6. Class A Consumption Data'!L431:M431="B",'6. Class A Consumption Data'!L429:M429))</f>
        <v>0</v>
      </c>
      <c r="H167" s="1178">
        <f t="array" ref="H167">SUM(IF('6. Class A Consumption Data'!N431:O431="B",'6. Class A Consumption Data'!N429:O429))</f>
        <v>0</v>
      </c>
      <c r="I167" s="1180">
        <f t="shared" si="17"/>
        <v>0</v>
      </c>
      <c r="J167" s="1181">
        <f t="shared" si="18"/>
        <v>0</v>
      </c>
      <c r="K167" s="1181">
        <f t="shared" si="19"/>
        <v>0</v>
      </c>
      <c r="L167" s="1181">
        <v>0</v>
      </c>
    </row>
    <row r="168" spans="1:12" s="1174" customFormat="1" ht="13.2" hidden="1" x14ac:dyDescent="0.25">
      <c r="A168" s="1176" t="s">
        <v>2272</v>
      </c>
      <c r="B168" s="1176"/>
      <c r="C168" s="1177">
        <f t="shared" si="16"/>
        <v>0</v>
      </c>
      <c r="D168" s="1178">
        <v>0</v>
      </c>
      <c r="E168" s="1178">
        <v>0</v>
      </c>
      <c r="F168" s="1178">
        <f t="array" ref="F168">SUM(IF('6. Class A Consumption Data'!J434:K434="B",'6. Class A Consumption Data'!J432:K432))</f>
        <v>0</v>
      </c>
      <c r="G168" s="1178">
        <f t="array" ref="G168">SUM(IF('6. Class A Consumption Data'!L434:M434="B",'6. Class A Consumption Data'!L432:M432))</f>
        <v>0</v>
      </c>
      <c r="H168" s="1178">
        <f t="array" ref="H168">SUM(IF('6. Class A Consumption Data'!N434:O434="B",'6. Class A Consumption Data'!N432:O432))</f>
        <v>0</v>
      </c>
      <c r="I168" s="1180">
        <f t="shared" si="17"/>
        <v>0</v>
      </c>
      <c r="J168" s="1181">
        <f t="shared" si="18"/>
        <v>0</v>
      </c>
      <c r="K168" s="1181">
        <f t="shared" si="19"/>
        <v>0</v>
      </c>
      <c r="L168" s="1181">
        <v>0</v>
      </c>
    </row>
    <row r="169" spans="1:12" s="1174" customFormat="1" ht="13.2" hidden="1" x14ac:dyDescent="0.25">
      <c r="A169" s="1176" t="s">
        <v>2273</v>
      </c>
      <c r="B169" s="1176"/>
      <c r="C169" s="1177">
        <f t="shared" si="16"/>
        <v>0</v>
      </c>
      <c r="D169" s="1178">
        <v>0</v>
      </c>
      <c r="E169" s="1178">
        <v>0</v>
      </c>
      <c r="F169" s="1178">
        <f t="array" ref="F169">SUM(IF('6. Class A Consumption Data'!J437:K437="B",'6. Class A Consumption Data'!J435:K435))</f>
        <v>0</v>
      </c>
      <c r="G169" s="1178">
        <f t="array" ref="G169">SUM(IF('6. Class A Consumption Data'!L437:M437="B",'6. Class A Consumption Data'!L435:M435))</f>
        <v>0</v>
      </c>
      <c r="H169" s="1178">
        <f t="array" ref="H169">SUM(IF('6. Class A Consumption Data'!N437:O437="B",'6. Class A Consumption Data'!N435:O435))</f>
        <v>0</v>
      </c>
      <c r="I169" s="1180">
        <f t="shared" si="17"/>
        <v>0</v>
      </c>
      <c r="J169" s="1181">
        <f t="shared" si="18"/>
        <v>0</v>
      </c>
      <c r="K169" s="1181">
        <f t="shared" si="19"/>
        <v>0</v>
      </c>
      <c r="L169" s="1181">
        <v>0</v>
      </c>
    </row>
    <row r="170" spans="1:12" s="1174" customFormat="1" ht="13.2" hidden="1" x14ac:dyDescent="0.25">
      <c r="A170" s="1176" t="s">
        <v>2274</v>
      </c>
      <c r="B170" s="1176"/>
      <c r="C170" s="1177">
        <f t="shared" si="16"/>
        <v>0</v>
      </c>
      <c r="D170" s="1178">
        <v>0</v>
      </c>
      <c r="E170" s="1178">
        <v>0</v>
      </c>
      <c r="F170" s="1178">
        <f t="array" ref="F170">SUM(IF('6. Class A Consumption Data'!J440:K440="B",'6. Class A Consumption Data'!J438:K438))</f>
        <v>0</v>
      </c>
      <c r="G170" s="1178">
        <f t="array" ref="G170">SUM(IF('6. Class A Consumption Data'!L440:M440="B",'6. Class A Consumption Data'!L438:M438))</f>
        <v>0</v>
      </c>
      <c r="H170" s="1178">
        <f t="array" ref="H170">SUM(IF('6. Class A Consumption Data'!N440:O440="B",'6. Class A Consumption Data'!N438:O438))</f>
        <v>0</v>
      </c>
      <c r="I170" s="1180">
        <f t="shared" si="17"/>
        <v>0</v>
      </c>
      <c r="J170" s="1181">
        <f t="shared" si="18"/>
        <v>0</v>
      </c>
      <c r="K170" s="1181">
        <f t="shared" si="19"/>
        <v>0</v>
      </c>
      <c r="L170" s="1181">
        <v>0</v>
      </c>
    </row>
    <row r="171" spans="1:12" s="1174" customFormat="1" ht="13.2" hidden="1" x14ac:dyDescent="0.25">
      <c r="A171" s="1176" t="s">
        <v>2275</v>
      </c>
      <c r="B171" s="1176"/>
      <c r="C171" s="1177">
        <f t="shared" si="16"/>
        <v>0</v>
      </c>
      <c r="D171" s="1178">
        <v>0</v>
      </c>
      <c r="E171" s="1178">
        <v>0</v>
      </c>
      <c r="F171" s="1178">
        <f t="array" ref="F171">SUM(IF('6. Class A Consumption Data'!J443:K443="B",'6. Class A Consumption Data'!J441:K441))</f>
        <v>0</v>
      </c>
      <c r="G171" s="1178">
        <f t="array" ref="G171">SUM(IF('6. Class A Consumption Data'!L443:M443="B",'6. Class A Consumption Data'!L441:M441))</f>
        <v>0</v>
      </c>
      <c r="H171" s="1178">
        <f t="array" ref="H171">SUM(IF('6. Class A Consumption Data'!N443:O443="B",'6. Class A Consumption Data'!N441:O441))</f>
        <v>0</v>
      </c>
      <c r="I171" s="1180">
        <f t="shared" si="17"/>
        <v>0</v>
      </c>
      <c r="J171" s="1181">
        <f t="shared" si="18"/>
        <v>0</v>
      </c>
      <c r="K171" s="1181">
        <f t="shared" si="19"/>
        <v>0</v>
      </c>
      <c r="L171" s="1181">
        <v>0</v>
      </c>
    </row>
    <row r="172" spans="1:12" s="1174" customFormat="1" ht="13.2" hidden="1" x14ac:dyDescent="0.25">
      <c r="A172" s="1176" t="s">
        <v>2276</v>
      </c>
      <c r="B172" s="1176"/>
      <c r="C172" s="1177">
        <f t="shared" si="16"/>
        <v>0</v>
      </c>
      <c r="D172" s="1178">
        <v>0</v>
      </c>
      <c r="E172" s="1178">
        <v>0</v>
      </c>
      <c r="F172" s="1178">
        <f t="array" ref="F172">SUM(IF('6. Class A Consumption Data'!J446:K446="B",'6. Class A Consumption Data'!J444:K444))</f>
        <v>0</v>
      </c>
      <c r="G172" s="1178">
        <f t="array" ref="G172">SUM(IF('6. Class A Consumption Data'!L446:M446="B",'6. Class A Consumption Data'!L444:M444))</f>
        <v>0</v>
      </c>
      <c r="H172" s="1178">
        <f t="array" ref="H172">SUM(IF('6. Class A Consumption Data'!N446:O446="B",'6. Class A Consumption Data'!N444:O444))</f>
        <v>0</v>
      </c>
      <c r="I172" s="1180">
        <f t="shared" si="17"/>
        <v>0</v>
      </c>
      <c r="J172" s="1181">
        <f t="shared" si="18"/>
        <v>0</v>
      </c>
      <c r="K172" s="1181">
        <f t="shared" si="19"/>
        <v>0</v>
      </c>
      <c r="L172" s="1181">
        <v>0</v>
      </c>
    </row>
    <row r="173" spans="1:12" s="1174" customFormat="1" ht="13.2" hidden="1" x14ac:dyDescent="0.25">
      <c r="A173" s="1176" t="s">
        <v>2277</v>
      </c>
      <c r="B173" s="1176"/>
      <c r="C173" s="1177">
        <f t="shared" si="16"/>
        <v>0</v>
      </c>
      <c r="D173" s="1178">
        <v>0</v>
      </c>
      <c r="E173" s="1178">
        <v>0</v>
      </c>
      <c r="F173" s="1178">
        <f t="array" ref="F173">SUM(IF('6. Class A Consumption Data'!J449:K449="B",'6. Class A Consumption Data'!J447:K447))</f>
        <v>0</v>
      </c>
      <c r="G173" s="1178">
        <f t="array" ref="G173">SUM(IF('6. Class A Consumption Data'!L449:M449="B",'6. Class A Consumption Data'!L447:M447))</f>
        <v>0</v>
      </c>
      <c r="H173" s="1178">
        <f t="array" ref="H173">SUM(IF('6. Class A Consumption Data'!N449:O449="B",'6. Class A Consumption Data'!N447:O447))</f>
        <v>0</v>
      </c>
      <c r="I173" s="1180">
        <f t="shared" si="17"/>
        <v>0</v>
      </c>
      <c r="J173" s="1181">
        <f t="shared" si="18"/>
        <v>0</v>
      </c>
      <c r="K173" s="1181">
        <f t="shared" si="19"/>
        <v>0</v>
      </c>
      <c r="L173" s="1181">
        <v>0</v>
      </c>
    </row>
    <row r="174" spans="1:12" s="1174" customFormat="1" ht="13.2" hidden="1" x14ac:dyDescent="0.25">
      <c r="A174" s="1176" t="s">
        <v>2278</v>
      </c>
      <c r="B174" s="1176"/>
      <c r="C174" s="1177">
        <f t="shared" si="16"/>
        <v>0</v>
      </c>
      <c r="D174" s="1178">
        <v>0</v>
      </c>
      <c r="E174" s="1178">
        <v>0</v>
      </c>
      <c r="F174" s="1178">
        <f t="array" ref="F174">SUM(IF('6. Class A Consumption Data'!J452:K452="B",'6. Class A Consumption Data'!J450:K450))</f>
        <v>0</v>
      </c>
      <c r="G174" s="1178">
        <f t="array" ref="G174">SUM(IF('6. Class A Consumption Data'!L452:M452="B",'6. Class A Consumption Data'!L450:M450))</f>
        <v>0</v>
      </c>
      <c r="H174" s="1178">
        <f t="array" ref="H174">SUM(IF('6. Class A Consumption Data'!N452:O452="B",'6. Class A Consumption Data'!N450:O450))</f>
        <v>0</v>
      </c>
      <c r="I174" s="1180">
        <f t="shared" si="17"/>
        <v>0</v>
      </c>
      <c r="J174" s="1181">
        <f t="shared" si="18"/>
        <v>0</v>
      </c>
      <c r="K174" s="1181">
        <f t="shared" si="19"/>
        <v>0</v>
      </c>
      <c r="L174" s="1181">
        <v>0</v>
      </c>
    </row>
    <row r="175" spans="1:12" s="1174" customFormat="1" ht="13.2" hidden="1" x14ac:dyDescent="0.25">
      <c r="A175" s="1176" t="s">
        <v>2279</v>
      </c>
      <c r="B175" s="1176"/>
      <c r="C175" s="1177">
        <f t="shared" si="16"/>
        <v>0</v>
      </c>
      <c r="D175" s="1178">
        <v>0</v>
      </c>
      <c r="E175" s="1178">
        <v>0</v>
      </c>
      <c r="F175" s="1178">
        <f t="array" ref="F175">SUM(IF('6. Class A Consumption Data'!J455:K455="B",'6. Class A Consumption Data'!J453:K453))</f>
        <v>0</v>
      </c>
      <c r="G175" s="1178">
        <f t="array" ref="G175">SUM(IF('6. Class A Consumption Data'!L455:M455="B",'6. Class A Consumption Data'!L453:M453))</f>
        <v>0</v>
      </c>
      <c r="H175" s="1178">
        <f t="array" ref="H175">SUM(IF('6. Class A Consumption Data'!N455:O455="B",'6. Class A Consumption Data'!N453:O453))</f>
        <v>0</v>
      </c>
      <c r="I175" s="1180">
        <f t="shared" si="17"/>
        <v>0</v>
      </c>
      <c r="J175" s="1181">
        <f t="shared" si="18"/>
        <v>0</v>
      </c>
      <c r="K175" s="1181">
        <f t="shared" si="19"/>
        <v>0</v>
      </c>
      <c r="L175" s="1181">
        <v>0</v>
      </c>
    </row>
    <row r="176" spans="1:12" s="1174" customFormat="1" ht="13.2" hidden="1" x14ac:dyDescent="0.25">
      <c r="A176" s="1176" t="s">
        <v>2280</v>
      </c>
      <c r="B176" s="1176"/>
      <c r="C176" s="1177">
        <f t="shared" si="16"/>
        <v>0</v>
      </c>
      <c r="D176" s="1178">
        <v>0</v>
      </c>
      <c r="E176" s="1178">
        <v>0</v>
      </c>
      <c r="F176" s="1178">
        <f t="array" ref="F176">SUM(IF('6. Class A Consumption Data'!J458:K458="B",'6. Class A Consumption Data'!J456:K456))</f>
        <v>0</v>
      </c>
      <c r="G176" s="1178">
        <f t="array" ref="G176">SUM(IF('6. Class A Consumption Data'!L458:M458="B",'6. Class A Consumption Data'!L456:M456))</f>
        <v>0</v>
      </c>
      <c r="H176" s="1178">
        <f t="array" ref="H176">SUM(IF('6. Class A Consumption Data'!N458:O458="B",'6. Class A Consumption Data'!N456:O456))</f>
        <v>0</v>
      </c>
      <c r="I176" s="1180">
        <f t="shared" si="17"/>
        <v>0</v>
      </c>
      <c r="J176" s="1181">
        <f t="shared" si="18"/>
        <v>0</v>
      </c>
      <c r="K176" s="1181">
        <f t="shared" si="19"/>
        <v>0</v>
      </c>
      <c r="L176" s="1181">
        <v>0</v>
      </c>
    </row>
    <row r="177" spans="1:12" s="1174" customFormat="1" ht="13.2" hidden="1" x14ac:dyDescent="0.25">
      <c r="A177" s="1176" t="s">
        <v>2281</v>
      </c>
      <c r="B177" s="1176"/>
      <c r="C177" s="1177">
        <f t="shared" si="16"/>
        <v>0</v>
      </c>
      <c r="D177" s="1178">
        <v>0</v>
      </c>
      <c r="E177" s="1178">
        <v>0</v>
      </c>
      <c r="F177" s="1178">
        <f t="array" ref="F177">SUM(IF('6. Class A Consumption Data'!J461:K461="B",'6. Class A Consumption Data'!J459:K459))</f>
        <v>0</v>
      </c>
      <c r="G177" s="1178">
        <f t="array" ref="G177">SUM(IF('6. Class A Consumption Data'!L461:M461="B",'6. Class A Consumption Data'!L459:M459))</f>
        <v>0</v>
      </c>
      <c r="H177" s="1178">
        <f t="array" ref="H177">SUM(IF('6. Class A Consumption Data'!N461:O461="B",'6. Class A Consumption Data'!N459:O459))</f>
        <v>0</v>
      </c>
      <c r="I177" s="1180">
        <f t="shared" si="17"/>
        <v>0</v>
      </c>
      <c r="J177" s="1181">
        <f t="shared" si="18"/>
        <v>0</v>
      </c>
      <c r="K177" s="1181">
        <f t="shared" si="19"/>
        <v>0</v>
      </c>
      <c r="L177" s="1181">
        <v>0</v>
      </c>
    </row>
    <row r="178" spans="1:12" s="1174" customFormat="1" ht="13.2" hidden="1" x14ac:dyDescent="0.25">
      <c r="A178" s="1176" t="s">
        <v>2282</v>
      </c>
      <c r="B178" s="1176"/>
      <c r="C178" s="1177">
        <f t="shared" si="16"/>
        <v>0</v>
      </c>
      <c r="D178" s="1178">
        <v>0</v>
      </c>
      <c r="E178" s="1178">
        <v>0</v>
      </c>
      <c r="F178" s="1178">
        <f t="array" ref="F178">SUM(IF('6. Class A Consumption Data'!J464:K464="B",'6. Class A Consumption Data'!J462:K462))</f>
        <v>0</v>
      </c>
      <c r="G178" s="1178">
        <f t="array" ref="G178">SUM(IF('6. Class A Consumption Data'!L464:M464="B",'6. Class A Consumption Data'!L462:M462))</f>
        <v>0</v>
      </c>
      <c r="H178" s="1178">
        <f t="array" ref="H178">SUM(IF('6. Class A Consumption Data'!N464:O464="B",'6. Class A Consumption Data'!N462:O462))</f>
        <v>0</v>
      </c>
      <c r="I178" s="1180">
        <f t="shared" si="17"/>
        <v>0</v>
      </c>
      <c r="J178" s="1181">
        <f t="shared" si="18"/>
        <v>0</v>
      </c>
      <c r="K178" s="1181">
        <f t="shared" si="19"/>
        <v>0</v>
      </c>
      <c r="L178" s="1181">
        <v>0</v>
      </c>
    </row>
    <row r="179" spans="1:12" s="1174" customFormat="1" ht="13.2" hidden="1" x14ac:dyDescent="0.25">
      <c r="A179" s="1176" t="s">
        <v>2283</v>
      </c>
      <c r="B179" s="1176"/>
      <c r="C179" s="1177">
        <f t="shared" si="16"/>
        <v>0</v>
      </c>
      <c r="D179" s="1178">
        <v>0</v>
      </c>
      <c r="E179" s="1178">
        <v>0</v>
      </c>
      <c r="F179" s="1178">
        <f t="array" ref="F179">SUM(IF('6. Class A Consumption Data'!J467:K467="B",'6. Class A Consumption Data'!J465:K465))</f>
        <v>0</v>
      </c>
      <c r="G179" s="1178">
        <f t="array" ref="G179">SUM(IF('6. Class A Consumption Data'!L467:M467="B",'6. Class A Consumption Data'!L465:M465))</f>
        <v>0</v>
      </c>
      <c r="H179" s="1178">
        <f t="array" ref="H179">SUM(IF('6. Class A Consumption Data'!N467:O467="B",'6. Class A Consumption Data'!N465:O465))</f>
        <v>0</v>
      </c>
      <c r="I179" s="1180">
        <f t="shared" si="17"/>
        <v>0</v>
      </c>
      <c r="J179" s="1181">
        <f t="shared" si="18"/>
        <v>0</v>
      </c>
      <c r="K179" s="1181">
        <f t="shared" si="19"/>
        <v>0</v>
      </c>
      <c r="L179" s="1181">
        <v>0</v>
      </c>
    </row>
    <row r="180" spans="1:12" s="1174" customFormat="1" ht="13.2" hidden="1" x14ac:dyDescent="0.25">
      <c r="A180" s="1176" t="s">
        <v>2284</v>
      </c>
      <c r="B180" s="1176"/>
      <c r="C180" s="1177">
        <f t="shared" si="16"/>
        <v>0</v>
      </c>
      <c r="D180" s="1178">
        <v>0</v>
      </c>
      <c r="E180" s="1178">
        <v>0</v>
      </c>
      <c r="F180" s="1178">
        <f t="array" ref="F180">SUM(IF('6. Class A Consumption Data'!J470:K470="B",'6. Class A Consumption Data'!J468:K468))</f>
        <v>0</v>
      </c>
      <c r="G180" s="1178">
        <f t="array" ref="G180">SUM(IF('6. Class A Consumption Data'!L470:M470="B",'6. Class A Consumption Data'!L468:M468))</f>
        <v>0</v>
      </c>
      <c r="H180" s="1178">
        <f t="array" ref="H180">SUM(IF('6. Class A Consumption Data'!N470:O470="B",'6. Class A Consumption Data'!N468:O468))</f>
        <v>0</v>
      </c>
      <c r="I180" s="1180">
        <f t="shared" si="17"/>
        <v>0</v>
      </c>
      <c r="J180" s="1181">
        <f t="shared" si="18"/>
        <v>0</v>
      </c>
      <c r="K180" s="1181">
        <f t="shared" si="19"/>
        <v>0</v>
      </c>
      <c r="L180" s="1181">
        <v>0</v>
      </c>
    </row>
    <row r="181" spans="1:12" s="1174" customFormat="1" ht="13.2" hidden="1" x14ac:dyDescent="0.25">
      <c r="A181" s="1176" t="s">
        <v>2285</v>
      </c>
      <c r="B181" s="1176"/>
      <c r="C181" s="1177">
        <f t="shared" si="16"/>
        <v>0</v>
      </c>
      <c r="D181" s="1178">
        <v>0</v>
      </c>
      <c r="E181" s="1178">
        <v>0</v>
      </c>
      <c r="F181" s="1178">
        <f t="array" ref="F181">SUM(IF('6. Class A Consumption Data'!J473:K473="B",'6. Class A Consumption Data'!J471:K471))</f>
        <v>0</v>
      </c>
      <c r="G181" s="1178">
        <f t="array" ref="G181">SUM(IF('6. Class A Consumption Data'!L473:M473="B",'6. Class A Consumption Data'!L471:M471))</f>
        <v>0</v>
      </c>
      <c r="H181" s="1178">
        <f t="array" ref="H181">SUM(IF('6. Class A Consumption Data'!N473:O473="B",'6. Class A Consumption Data'!N471:O471))</f>
        <v>0</v>
      </c>
      <c r="I181" s="1180">
        <f t="shared" si="17"/>
        <v>0</v>
      </c>
      <c r="J181" s="1181">
        <f t="shared" si="18"/>
        <v>0</v>
      </c>
      <c r="K181" s="1181">
        <f t="shared" si="19"/>
        <v>0</v>
      </c>
      <c r="L181" s="1181">
        <v>0</v>
      </c>
    </row>
    <row r="182" spans="1:12" s="1174" customFormat="1" ht="13.2" hidden="1" x14ac:dyDescent="0.25">
      <c r="A182" s="1176" t="s">
        <v>2286</v>
      </c>
      <c r="B182" s="1176"/>
      <c r="C182" s="1177">
        <f t="shared" si="16"/>
        <v>0</v>
      </c>
      <c r="D182" s="1178">
        <v>0</v>
      </c>
      <c r="E182" s="1178">
        <v>0</v>
      </c>
      <c r="F182" s="1178">
        <f t="array" ref="F182">SUM(IF('6. Class A Consumption Data'!J476:K476="B",'6. Class A Consumption Data'!J474:K474))</f>
        <v>0</v>
      </c>
      <c r="G182" s="1178">
        <f t="array" ref="G182">SUM(IF('6. Class A Consumption Data'!L476:M476="B",'6. Class A Consumption Data'!L474:M474))</f>
        <v>0</v>
      </c>
      <c r="H182" s="1178">
        <f t="array" ref="H182">SUM(IF('6. Class A Consumption Data'!N476:O476="B",'6. Class A Consumption Data'!N474:O474))</f>
        <v>0</v>
      </c>
      <c r="I182" s="1180">
        <f t="shared" si="17"/>
        <v>0</v>
      </c>
      <c r="J182" s="1181">
        <f t="shared" si="18"/>
        <v>0</v>
      </c>
      <c r="K182" s="1181">
        <f t="shared" si="19"/>
        <v>0</v>
      </c>
      <c r="L182" s="1181">
        <v>0</v>
      </c>
    </row>
    <row r="183" spans="1:12" s="1174" customFormat="1" ht="13.2" hidden="1" x14ac:dyDescent="0.25">
      <c r="A183" s="1176" t="s">
        <v>2287</v>
      </c>
      <c r="B183" s="1176"/>
      <c r="C183" s="1177">
        <f t="shared" si="16"/>
        <v>0</v>
      </c>
      <c r="D183" s="1178">
        <v>0</v>
      </c>
      <c r="E183" s="1178">
        <v>0</v>
      </c>
      <c r="F183" s="1178">
        <f t="array" ref="F183">SUM(IF('6. Class A Consumption Data'!J479:K479="B",'6. Class A Consumption Data'!J477:K477))</f>
        <v>0</v>
      </c>
      <c r="G183" s="1178">
        <f t="array" ref="G183">SUM(IF('6. Class A Consumption Data'!L479:M479="B",'6. Class A Consumption Data'!L477:M477))</f>
        <v>0</v>
      </c>
      <c r="H183" s="1178">
        <f t="array" ref="H183">SUM(IF('6. Class A Consumption Data'!N479:O479="B",'6. Class A Consumption Data'!N477:O477))</f>
        <v>0</v>
      </c>
      <c r="I183" s="1180">
        <f t="shared" si="17"/>
        <v>0</v>
      </c>
      <c r="J183" s="1181">
        <f t="shared" si="18"/>
        <v>0</v>
      </c>
      <c r="K183" s="1181">
        <f t="shared" si="19"/>
        <v>0</v>
      </c>
      <c r="L183" s="1181">
        <v>0</v>
      </c>
    </row>
    <row r="184" spans="1:12" s="1174" customFormat="1" ht="13.2" x14ac:dyDescent="0.25">
      <c r="A184" s="1183" t="s">
        <v>47</v>
      </c>
      <c r="B184" s="1183"/>
      <c r="C184" s="1177">
        <f t="shared" ref="C184:K184" si="20">SUM(C34:C183)</f>
        <v>0</v>
      </c>
      <c r="D184" s="1177">
        <f t="shared" si="20"/>
        <v>0</v>
      </c>
      <c r="E184" s="1177">
        <f t="shared" si="20"/>
        <v>0</v>
      </c>
      <c r="F184" s="1177">
        <f t="shared" si="20"/>
        <v>0</v>
      </c>
      <c r="G184" s="1177">
        <f t="shared" si="20"/>
        <v>0</v>
      </c>
      <c r="H184" s="1177">
        <f t="shared" si="20"/>
        <v>0</v>
      </c>
      <c r="I184" s="1184">
        <f t="shared" si="20"/>
        <v>0</v>
      </c>
      <c r="J184" s="1185">
        <f t="shared" si="20"/>
        <v>0</v>
      </c>
      <c r="K184" s="1181">
        <f t="shared" si="20"/>
        <v>0</v>
      </c>
      <c r="L184" s="1181">
        <v>0</v>
      </c>
    </row>
  </sheetData>
  <sheetProtection algorithmName="SHA-512" hashValue="NJE2RXjRcX6BMO06HWzhmHPKJKKYmNNID6PIuPKD7yETXEdHaqDanStogu1mLdA414OMtb5HZnLRzkxcV20M9A==" saltValue="lp5OYh9ZETg4wC61p6vvrQ==" spinCount="100000" sheet="1" objects="1" scenarios="1"/>
  <mergeCells count="6">
    <mergeCell ref="N33:T33"/>
    <mergeCell ref="A14:E14"/>
    <mergeCell ref="C16:G16"/>
    <mergeCell ref="A26:C26"/>
    <mergeCell ref="A31:D31"/>
    <mergeCell ref="A17:F17"/>
  </mergeCells>
  <pageMargins left="0.7" right="0.7" top="0.75" bottom="0.75" header="0.3" footer="0.3"/>
  <pageSetup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pageSetUpPr fitToPage="1"/>
  </sheetPr>
  <dimension ref="A1:Z30"/>
  <sheetViews>
    <sheetView showGridLines="0" topLeftCell="E1" workbookViewId="0">
      <selection activeCell="B16" sqref="B16"/>
    </sheetView>
  </sheetViews>
  <sheetFormatPr defaultColWidth="9.33203125" defaultRowHeight="14.4" x14ac:dyDescent="0.3"/>
  <cols>
    <col min="1" max="1" width="56" style="636" bestFit="1" customWidth="1"/>
    <col min="2" max="2" width="14.6640625" style="636" customWidth="1"/>
    <col min="3" max="3" width="17.6640625" style="636" customWidth="1"/>
    <col min="4" max="4" width="11" style="636" customWidth="1"/>
    <col min="5" max="5" width="22" style="636" customWidth="1"/>
    <col min="6" max="6" width="14.5546875" style="636" customWidth="1"/>
    <col min="7" max="7" width="24.33203125" style="636" customWidth="1"/>
    <col min="8" max="8" width="18.5546875" style="636" customWidth="1"/>
    <col min="9" max="9" width="26.33203125" style="636" customWidth="1"/>
    <col min="10" max="10" width="17.33203125" style="636" customWidth="1"/>
    <col min="11" max="11" width="18.5546875" style="636" customWidth="1"/>
    <col min="12" max="12" width="19.5546875" style="636" customWidth="1"/>
    <col min="13" max="13" width="18.33203125" style="636" customWidth="1"/>
    <col min="14" max="14" width="9.33203125" style="448" customWidth="1"/>
    <col min="15" max="16384" width="9.33203125" style="636"/>
  </cols>
  <sheetData>
    <row r="1" spans="1:26" x14ac:dyDescent="0.3">
      <c r="A1" s="1193"/>
      <c r="B1" s="1193"/>
      <c r="C1" s="1193"/>
      <c r="D1" s="1193"/>
      <c r="E1" s="1193"/>
      <c r="F1" s="1193"/>
      <c r="G1" s="1193"/>
      <c r="H1" s="1193"/>
      <c r="I1" s="1193"/>
      <c r="J1" s="1193"/>
      <c r="K1" s="1193"/>
      <c r="L1" s="1193"/>
      <c r="M1" s="1193"/>
      <c r="N1" s="1617"/>
      <c r="O1" s="1193"/>
      <c r="P1" s="1193"/>
      <c r="Q1" s="1193"/>
      <c r="R1" s="1193"/>
      <c r="S1" s="1193"/>
      <c r="T1" s="1193"/>
      <c r="U1" s="1193"/>
      <c r="V1" s="1193"/>
      <c r="W1" s="1193"/>
      <c r="X1" s="1193"/>
      <c r="Y1" s="1193"/>
      <c r="Z1" s="1193"/>
    </row>
    <row r="2" spans="1:26" x14ac:dyDescent="0.3">
      <c r="A2" s="1193"/>
      <c r="B2" s="1612" t="b">
        <v>0</v>
      </c>
      <c r="C2" s="1193" t="b">
        <v>1</v>
      </c>
      <c r="D2" s="1193"/>
      <c r="E2" s="1193"/>
      <c r="F2" s="1193"/>
      <c r="G2" s="1193"/>
      <c r="H2" s="1193"/>
      <c r="I2" s="1193"/>
      <c r="J2" s="1193"/>
      <c r="K2" s="1193"/>
      <c r="L2" s="1193"/>
      <c r="M2" s="1193"/>
      <c r="N2" s="1617"/>
      <c r="O2" s="1193"/>
      <c r="P2" s="1193"/>
      <c r="Q2" s="1193"/>
      <c r="R2" s="1193"/>
      <c r="S2" s="1193"/>
      <c r="T2" s="1193"/>
      <c r="U2" s="1193"/>
      <c r="V2" s="1193"/>
      <c r="W2" s="1193"/>
      <c r="X2" s="1193"/>
      <c r="Y2" s="1193"/>
      <c r="Z2" s="1193"/>
    </row>
    <row r="3" spans="1:26" x14ac:dyDescent="0.3">
      <c r="A3" s="1193"/>
      <c r="B3" s="1193"/>
      <c r="C3" s="1193"/>
      <c r="D3" s="1193"/>
      <c r="E3" s="1193"/>
      <c r="F3" s="1193"/>
      <c r="G3" s="1193"/>
      <c r="H3" s="1193"/>
      <c r="I3" s="1193"/>
      <c r="J3" s="1193"/>
      <c r="K3" s="1193"/>
      <c r="L3" s="1193"/>
      <c r="M3" s="1193"/>
      <c r="N3" s="1617"/>
      <c r="O3" s="1193"/>
      <c r="P3" s="1193"/>
      <c r="Q3" s="1193"/>
      <c r="R3" s="1193"/>
      <c r="S3" s="1193"/>
      <c r="T3" s="1193"/>
      <c r="U3" s="1193"/>
      <c r="V3" s="1193"/>
      <c r="W3" s="1193"/>
      <c r="X3" s="1193"/>
      <c r="Y3" s="1193"/>
      <c r="Z3" s="1193"/>
    </row>
    <row r="4" spans="1:26" x14ac:dyDescent="0.3">
      <c r="A4" s="1193"/>
      <c r="B4" s="1193"/>
      <c r="C4" s="1193"/>
      <c r="D4" s="1193"/>
      <c r="E4" s="1193"/>
      <c r="F4" s="1193"/>
      <c r="G4" s="1193"/>
      <c r="H4" s="1193"/>
      <c r="I4" s="1193"/>
      <c r="J4" s="1193"/>
      <c r="K4" s="1193"/>
      <c r="L4" s="1193"/>
      <c r="M4" s="1193"/>
      <c r="N4" s="1617"/>
      <c r="O4" s="1193"/>
      <c r="P4" s="1193"/>
      <c r="Q4" s="1193"/>
      <c r="R4" s="1193"/>
      <c r="S4" s="1193"/>
      <c r="T4" s="1193"/>
      <c r="U4" s="1193"/>
      <c r="V4" s="1193"/>
      <c r="W4" s="1193"/>
      <c r="X4" s="1193"/>
      <c r="Y4" s="1193"/>
      <c r="Z4" s="1193"/>
    </row>
    <row r="5" spans="1:26" x14ac:dyDescent="0.3">
      <c r="A5" s="1193"/>
      <c r="B5" s="1193"/>
      <c r="C5" s="1193"/>
      <c r="D5" s="1193"/>
      <c r="E5" s="1193"/>
      <c r="F5" s="1193"/>
      <c r="G5" s="1193"/>
      <c r="H5" s="1193"/>
      <c r="I5" s="1193"/>
      <c r="J5" s="1193"/>
      <c r="K5" s="1193"/>
      <c r="L5" s="1193"/>
      <c r="M5" s="1193"/>
      <c r="N5" s="1617"/>
      <c r="O5" s="1193"/>
      <c r="P5" s="1193"/>
      <c r="Q5" s="1193"/>
      <c r="R5" s="1193"/>
      <c r="S5" s="1193"/>
      <c r="T5" s="1193"/>
      <c r="U5" s="1193"/>
      <c r="V5" s="1193"/>
      <c r="W5" s="1193"/>
      <c r="X5" s="1193"/>
      <c r="Y5" s="1193"/>
      <c r="Z5" s="1193"/>
    </row>
    <row r="6" spans="1:26" x14ac:dyDescent="0.3">
      <c r="A6" s="1193"/>
      <c r="B6" s="1193" t="s">
        <v>47</v>
      </c>
      <c r="C6" s="1193"/>
      <c r="D6" s="1193"/>
      <c r="E6" s="1193"/>
      <c r="F6" s="1193"/>
      <c r="G6" s="1193"/>
      <c r="H6" s="1193"/>
      <c r="I6" s="1193"/>
      <c r="J6" s="1193"/>
      <c r="K6" s="1193"/>
      <c r="L6" s="1193"/>
      <c r="M6" s="1193"/>
      <c r="N6" s="1617"/>
      <c r="O6" s="1193"/>
      <c r="P6" s="1193"/>
      <c r="Q6" s="1193"/>
      <c r="R6" s="1193"/>
      <c r="S6" s="1193"/>
      <c r="T6" s="1193"/>
      <c r="U6" s="1193"/>
      <c r="V6" s="1193"/>
      <c r="W6" s="1193"/>
      <c r="X6" s="1193"/>
      <c r="Y6" s="1193"/>
      <c r="Z6" s="1193"/>
    </row>
    <row r="7" spans="1:26" x14ac:dyDescent="0.3">
      <c r="A7" s="1193"/>
      <c r="B7" s="1193"/>
      <c r="C7" s="1193"/>
      <c r="D7" s="1193"/>
      <c r="E7" s="1193"/>
      <c r="F7" s="1193"/>
      <c r="G7" s="1193"/>
      <c r="H7" s="1193"/>
      <c r="I7" s="1193"/>
      <c r="J7" s="1193"/>
      <c r="K7" s="1193"/>
      <c r="L7" s="1193"/>
      <c r="M7" s="1193"/>
      <c r="N7" s="1617"/>
      <c r="O7" s="1193"/>
      <c r="P7" s="1193"/>
      <c r="Q7" s="1193"/>
      <c r="R7" s="1193"/>
      <c r="S7" s="1193"/>
      <c r="T7" s="1193"/>
      <c r="U7" s="1193"/>
      <c r="V7" s="1193"/>
      <c r="W7" s="1193"/>
      <c r="X7" s="1193"/>
      <c r="Y7" s="1193"/>
      <c r="Z7" s="1193"/>
    </row>
    <row r="8" spans="1:26" x14ac:dyDescent="0.3">
      <c r="A8" s="1193"/>
      <c r="B8" s="1193"/>
      <c r="C8" s="1193"/>
      <c r="D8" s="1193"/>
      <c r="E8" s="1193"/>
      <c r="F8" s="1193"/>
      <c r="G8" s="1193"/>
      <c r="H8" s="1193"/>
      <c r="I8" s="1193"/>
      <c r="J8" s="1193"/>
      <c r="K8" s="1193"/>
      <c r="L8" s="1193"/>
      <c r="M8" s="1193"/>
      <c r="N8" s="1617"/>
      <c r="O8" s="1193"/>
      <c r="P8" s="1193"/>
      <c r="Q8" s="1193"/>
      <c r="R8" s="1193"/>
      <c r="S8" s="1193"/>
      <c r="T8" s="1193"/>
      <c r="U8" s="1193"/>
      <c r="V8" s="1193"/>
      <c r="W8" s="1193"/>
      <c r="X8" s="1193"/>
      <c r="Y8" s="1193"/>
      <c r="Z8" s="1193"/>
    </row>
    <row r="9" spans="1:26" x14ac:dyDescent="0.3">
      <c r="A9" s="1193"/>
      <c r="B9" s="1193"/>
      <c r="C9" s="1193"/>
      <c r="D9" s="1193"/>
      <c r="E9" s="1193"/>
      <c r="F9" s="1193"/>
      <c r="G9" s="1193"/>
      <c r="H9" s="1193"/>
      <c r="I9" s="1193"/>
      <c r="J9" s="1193"/>
      <c r="K9" s="1193"/>
      <c r="L9" s="1193"/>
      <c r="M9" s="1193"/>
      <c r="N9" s="1617"/>
      <c r="O9" s="1193"/>
      <c r="P9" s="1193"/>
      <c r="Q9" s="1193"/>
      <c r="R9" s="1193"/>
      <c r="S9" s="1193"/>
      <c r="T9" s="1193"/>
      <c r="U9" s="1193"/>
      <c r="V9" s="1193"/>
      <c r="W9" s="1193"/>
      <c r="X9" s="1193"/>
      <c r="Y9" s="1193"/>
      <c r="Z9" s="1193"/>
    </row>
    <row r="10" spans="1:26" x14ac:dyDescent="0.3">
      <c r="A10" s="1193"/>
      <c r="B10" s="1193"/>
      <c r="C10" s="1193"/>
      <c r="D10" s="1193"/>
      <c r="E10" s="1193"/>
      <c r="F10" s="1193"/>
      <c r="G10" s="1193"/>
      <c r="H10" s="1193"/>
      <c r="I10" s="1193"/>
      <c r="J10" s="1193"/>
      <c r="K10" s="1193"/>
      <c r="L10" s="1193"/>
      <c r="M10" s="1193"/>
      <c r="N10" s="1617"/>
      <c r="O10" s="1193"/>
      <c r="P10" s="1193"/>
      <c r="Q10" s="1193"/>
      <c r="R10" s="1193"/>
      <c r="S10" s="1193"/>
      <c r="T10" s="1193"/>
      <c r="U10" s="1193"/>
      <c r="V10" s="1193"/>
      <c r="W10" s="1193"/>
      <c r="X10" s="1193"/>
      <c r="Y10" s="1193"/>
      <c r="Z10" s="1193"/>
    </row>
    <row r="11" spans="1:26" x14ac:dyDescent="0.3">
      <c r="A11" s="1193"/>
      <c r="B11" s="1193"/>
      <c r="C11" s="1193"/>
      <c r="D11" s="1193"/>
      <c r="E11" s="1193"/>
      <c r="F11" s="1193"/>
      <c r="G11" s="1193"/>
      <c r="H11" s="1193"/>
      <c r="I11" s="1193"/>
      <c r="J11" s="1193"/>
      <c r="K11" s="1193"/>
      <c r="L11" s="1193"/>
      <c r="M11" s="1193"/>
      <c r="N11" s="1617"/>
      <c r="O11" s="1193"/>
      <c r="P11" s="1193"/>
      <c r="Q11" s="1193"/>
      <c r="R11" s="1193"/>
      <c r="S11" s="1193"/>
      <c r="T11" s="1193"/>
      <c r="U11" s="1193"/>
      <c r="V11" s="1193"/>
      <c r="W11" s="1193"/>
      <c r="X11" s="1193"/>
      <c r="Y11" s="1193"/>
      <c r="Z11" s="1193"/>
    </row>
    <row r="12" spans="1:26" s="603" customFormat="1" ht="35.25" customHeight="1" x14ac:dyDescent="0.3">
      <c r="A12" s="1902" t="s">
        <v>5473</v>
      </c>
      <c r="B12" s="1903"/>
      <c r="C12" s="1903"/>
      <c r="D12" s="1903"/>
      <c r="E12" s="1903"/>
      <c r="F12" s="1903"/>
      <c r="G12" s="1903"/>
      <c r="H12" s="798"/>
      <c r="I12" s="1193"/>
      <c r="J12" s="1193"/>
      <c r="K12" s="1193"/>
      <c r="L12" s="1193"/>
      <c r="M12" s="1193"/>
      <c r="N12" s="1193"/>
      <c r="O12" s="1615"/>
      <c r="P12" s="1615"/>
      <c r="Q12" s="1615"/>
      <c r="R12" s="1615"/>
      <c r="S12" s="1615"/>
      <c r="T12" s="1615"/>
      <c r="U12" s="1615"/>
      <c r="V12" s="1615"/>
      <c r="W12" s="1615"/>
      <c r="X12" s="1615"/>
      <c r="Y12" s="1615"/>
      <c r="Z12" s="1615"/>
    </row>
    <row r="13" spans="1:26" ht="31.5" customHeight="1" x14ac:dyDescent="0.3">
      <c r="A13" s="1613" t="s">
        <v>5469</v>
      </c>
      <c r="B13" s="1191">
        <f>IF('1. Information Sheet'!F42&lt;2015,"Never Disposed",'1. Information Sheet'!F42)</f>
        <v>2017</v>
      </c>
      <c r="C13" s="1875"/>
      <c r="D13" s="1863"/>
      <c r="E13" s="1863"/>
      <c r="F13" s="1863"/>
      <c r="G13" s="1863"/>
      <c r="H13" s="1193"/>
      <c r="I13" s="1193"/>
      <c r="J13" s="1193"/>
      <c r="K13" s="1193"/>
      <c r="L13" s="1193"/>
      <c r="M13" s="1193"/>
      <c r="N13" s="1193"/>
      <c r="O13" s="1193"/>
      <c r="P13" s="1193"/>
      <c r="Q13" s="1193"/>
      <c r="R13" s="1193"/>
      <c r="S13" s="1193"/>
      <c r="T13" s="1193"/>
      <c r="U13" s="1193"/>
      <c r="V13" s="1193"/>
      <c r="W13" s="1193"/>
      <c r="X13" s="1193"/>
      <c r="Y13" s="1193"/>
      <c r="Z13" s="1193"/>
    </row>
    <row r="14" spans="1:26" s="364" customFormat="1" ht="63" customHeight="1" x14ac:dyDescent="0.3">
      <c r="A14" s="692"/>
      <c r="B14" s="693"/>
      <c r="C14" s="1905" t="s">
        <v>6828</v>
      </c>
      <c r="D14" s="1905"/>
      <c r="E14" s="1904" t="s">
        <v>6829</v>
      </c>
      <c r="F14" s="1904"/>
      <c r="G14" s="1904" t="s">
        <v>6830</v>
      </c>
      <c r="H14" s="1904"/>
      <c r="I14" s="1904" t="s">
        <v>2134</v>
      </c>
      <c r="J14" s="1904"/>
      <c r="K14" s="695" t="s">
        <v>1570</v>
      </c>
      <c r="L14" s="1616" t="s">
        <v>2133</v>
      </c>
      <c r="M14" s="1616" t="s">
        <v>2132</v>
      </c>
      <c r="N14" s="699" t="s">
        <v>49</v>
      </c>
      <c r="O14" s="692"/>
      <c r="P14" s="692"/>
      <c r="Q14" s="692"/>
      <c r="R14" s="692"/>
      <c r="S14" s="692"/>
      <c r="T14" s="692"/>
      <c r="U14" s="692"/>
      <c r="V14" s="692"/>
      <c r="W14" s="692"/>
      <c r="X14" s="692"/>
      <c r="Y14" s="692"/>
      <c r="Z14" s="692"/>
    </row>
    <row r="15" spans="1:26" s="448" customFormat="1" x14ac:dyDescent="0.3">
      <c r="A15" s="1617"/>
      <c r="B15" s="1617"/>
      <c r="C15" s="696" t="s">
        <v>154</v>
      </c>
      <c r="D15" s="696" t="s">
        <v>155</v>
      </c>
      <c r="E15" s="696" t="s">
        <v>154</v>
      </c>
      <c r="F15" s="696" t="s">
        <v>155</v>
      </c>
      <c r="G15" s="696" t="s">
        <v>154</v>
      </c>
      <c r="H15" s="696" t="s">
        <v>155</v>
      </c>
      <c r="I15" s="696" t="s">
        <v>154</v>
      </c>
      <c r="J15" s="696" t="s">
        <v>155</v>
      </c>
      <c r="K15" s="1617"/>
      <c r="L15" s="1617"/>
      <c r="M15" s="1617"/>
      <c r="N15" s="1617"/>
      <c r="O15" s="1617"/>
      <c r="P15" s="1617"/>
      <c r="Q15" s="1617"/>
      <c r="R15" s="1617"/>
      <c r="S15" s="1617"/>
      <c r="T15" s="1617"/>
      <c r="U15" s="1617"/>
      <c r="V15" s="1617"/>
      <c r="W15" s="1617"/>
      <c r="X15" s="1617"/>
      <c r="Y15" s="1617"/>
      <c r="Z15" s="1617"/>
    </row>
    <row r="16" spans="1:26" ht="15" thickBot="1" x14ac:dyDescent="0.35">
      <c r="A16" s="1193"/>
      <c r="B16" s="1193"/>
      <c r="C16" s="1193"/>
      <c r="D16" s="1193"/>
      <c r="E16" s="1193"/>
      <c r="F16" s="1193"/>
      <c r="G16" s="1193"/>
      <c r="H16" s="1193"/>
      <c r="I16" s="1193"/>
      <c r="J16" s="1193"/>
      <c r="K16" s="1193"/>
      <c r="L16" s="1193"/>
      <c r="M16" s="1193"/>
      <c r="N16" s="1617"/>
      <c r="O16" s="1193"/>
      <c r="P16" s="1193"/>
      <c r="Q16" s="1193"/>
      <c r="R16" s="1193"/>
      <c r="S16" s="1193"/>
      <c r="T16" s="1193"/>
      <c r="U16" s="1193"/>
      <c r="V16" s="1193"/>
      <c r="W16" s="1193"/>
      <c r="X16" s="1193"/>
      <c r="Y16" s="1193"/>
      <c r="Z16" s="1193"/>
    </row>
    <row r="17" spans="1:26" ht="15.75" customHeight="1" x14ac:dyDescent="0.3">
      <c r="A17" s="1614" t="s">
        <v>427</v>
      </c>
      <c r="B17" s="697" t="s">
        <v>154</v>
      </c>
      <c r="C17" s="1544">
        <v>45878451</v>
      </c>
      <c r="D17" s="1544">
        <v>0</v>
      </c>
      <c r="E17" s="1547">
        <f t="array" ref="E17">SUM(IF('6. Class A Consumption Data'!D492:D791=A17,'6. Class A Consumption Data'!F492:F791))</f>
        <v>0</v>
      </c>
      <c r="F17" s="1544">
        <f t="array" ref="F17">SUM(IF('6. Class A Consumption Data'!D492:D791=A17&amp;"kW",'6. Class A Consumption Data'!F492:F791))</f>
        <v>0</v>
      </c>
      <c r="G17" s="1547">
        <f t="array" ref="G17">SUM(IF(('6. Class A Consumption Data'!D30:D479=A17)*('6. Class A Consumption Data'!B30:B479= "2018 - kwh"),'6. Class A Consumption Data'!F30:G479))</f>
        <v>0</v>
      </c>
      <c r="H17" s="1544">
        <f t="array" ref="H17">SUM(IF(('6. Class A Consumption Data'!D30:D479=A17&amp;"kW")*('6. Class A Consumption Data'!B30:B479= "2018 - kw"),'6. Class A Consumption Data'!F30:G479))</f>
        <v>0</v>
      </c>
      <c r="I17" s="1544">
        <f t="shared" ref="I17:I23" si="0">ROUND((C17-E17-G17),0)</f>
        <v>45878451</v>
      </c>
      <c r="J17" s="1544">
        <f t="shared" ref="J17:J23" si="1">(D17-F17-H17)</f>
        <v>0</v>
      </c>
      <c r="K17" s="1512">
        <f>(I17/I24)</f>
        <v>0.3337229469339249</v>
      </c>
      <c r="L17" s="1545">
        <f t="shared" ref="L17:L23" si="2">ROUND((-2470.4939*K17),0)</f>
        <v>-824</v>
      </c>
      <c r="M17" s="1546">
        <v>0</v>
      </c>
      <c r="N17" s="1617" t="s">
        <v>154</v>
      </c>
      <c r="O17" s="1893" t="s">
        <v>7365</v>
      </c>
      <c r="P17" s="1894"/>
      <c r="Q17" s="1894"/>
      <c r="R17" s="1894"/>
      <c r="S17" s="1894"/>
      <c r="T17" s="1894"/>
      <c r="U17" s="1895"/>
      <c r="V17" s="1193"/>
      <c r="W17" s="1193"/>
      <c r="X17" s="1193"/>
      <c r="Y17" s="1193"/>
      <c r="Z17" s="1193"/>
    </row>
    <row r="18" spans="1:26" ht="15.75" customHeight="1" x14ac:dyDescent="0.3">
      <c r="A18" s="1614" t="s">
        <v>2522</v>
      </c>
      <c r="B18" s="697" t="s">
        <v>154</v>
      </c>
      <c r="C18" s="1544">
        <v>22669052</v>
      </c>
      <c r="D18" s="1544">
        <v>0</v>
      </c>
      <c r="E18" s="1547">
        <f t="array" ref="E18">SUM(IF('6. Class A Consumption Data'!D492:D791=A18,'6. Class A Consumption Data'!F492:F791))</f>
        <v>0</v>
      </c>
      <c r="F18" s="1544">
        <f t="array" ref="F18">SUM(IF('6. Class A Consumption Data'!D492:D791=A18&amp;"kW",'6. Class A Consumption Data'!F492:F791))</f>
        <v>0</v>
      </c>
      <c r="G18" s="1547">
        <f t="array" ref="G18">SUM(IF(('6. Class A Consumption Data'!D30:D479=A18)*('6. Class A Consumption Data'!B30:B479= "2018 - kwh"),'6. Class A Consumption Data'!F30:G479))</f>
        <v>0</v>
      </c>
      <c r="H18" s="1544">
        <f t="array" ref="H18">SUM(IF(('6. Class A Consumption Data'!D30:D479=A18&amp;"kW")*('6. Class A Consumption Data'!B30:B479= "2018 - kw"),'6. Class A Consumption Data'!F30:G479))</f>
        <v>0</v>
      </c>
      <c r="I18" s="1544">
        <f t="shared" si="0"/>
        <v>22669052</v>
      </c>
      <c r="J18" s="1544">
        <f t="shared" si="1"/>
        <v>0</v>
      </c>
      <c r="K18" s="1512">
        <f>(I18/I24)</f>
        <v>0.16489621320559372</v>
      </c>
      <c r="L18" s="1545">
        <f t="shared" si="2"/>
        <v>-407</v>
      </c>
      <c r="M18" s="1546">
        <v>0</v>
      </c>
      <c r="N18" s="1617" t="s">
        <v>154</v>
      </c>
      <c r="O18" s="1896"/>
      <c r="P18" s="1897"/>
      <c r="Q18" s="1897"/>
      <c r="R18" s="1897"/>
      <c r="S18" s="1897"/>
      <c r="T18" s="1897"/>
      <c r="U18" s="1898"/>
      <c r="V18" s="1193"/>
      <c r="W18" s="1193"/>
      <c r="X18" s="1193"/>
      <c r="Y18" s="1193"/>
      <c r="Z18" s="1193"/>
    </row>
    <row r="19" spans="1:26" ht="15.75" customHeight="1" x14ac:dyDescent="0.3">
      <c r="A19" s="1614" t="s">
        <v>611</v>
      </c>
      <c r="B19" s="697" t="s">
        <v>155</v>
      </c>
      <c r="C19" s="1544">
        <v>49687502</v>
      </c>
      <c r="D19" s="1544">
        <v>138840</v>
      </c>
      <c r="E19" s="1547">
        <f t="array" ref="E19">SUM(IF('6. Class A Consumption Data'!D492:D791=A19,'6. Class A Consumption Data'!F492:F791))</f>
        <v>0</v>
      </c>
      <c r="F19" s="1544">
        <f t="array" ref="F19">SUM(IF('6. Class A Consumption Data'!D492:D791=A19&amp;"kW",'6. Class A Consumption Data'!F492:F791))</f>
        <v>0</v>
      </c>
      <c r="G19" s="1547">
        <f t="array" ref="G19">SUM(IF(('6. Class A Consumption Data'!D30:D479=A19)*('6. Class A Consumption Data'!B30:B479= "2018 - kwh"),'6. Class A Consumption Data'!F30:G479))</f>
        <v>0</v>
      </c>
      <c r="H19" s="1544">
        <f t="array" ref="H19">SUM(IF(('6. Class A Consumption Data'!D30:D479=A19&amp;"kW")*('6. Class A Consumption Data'!B30:B479= "2018 - kw"),'6. Class A Consumption Data'!F30:G479))</f>
        <v>0</v>
      </c>
      <c r="I19" s="1544">
        <f t="shared" si="0"/>
        <v>49687502</v>
      </c>
      <c r="J19" s="1544">
        <f t="shared" si="1"/>
        <v>138840</v>
      </c>
      <c r="K19" s="1512">
        <f>(I19/I24)</f>
        <v>0.36143024081665898</v>
      </c>
      <c r="L19" s="1545">
        <f t="shared" si="2"/>
        <v>-893</v>
      </c>
      <c r="M19" s="1546">
        <v>0</v>
      </c>
      <c r="N19" s="1617" t="s">
        <v>155</v>
      </c>
      <c r="O19" s="1896"/>
      <c r="P19" s="1897"/>
      <c r="Q19" s="1897"/>
      <c r="R19" s="1897"/>
      <c r="S19" s="1897"/>
      <c r="T19" s="1897"/>
      <c r="U19" s="1898"/>
      <c r="V19" s="1193"/>
      <c r="W19" s="1193"/>
      <c r="X19" s="1193"/>
      <c r="Y19" s="1193"/>
      <c r="Z19" s="1193"/>
    </row>
    <row r="20" spans="1:26" ht="15.75" customHeight="1" x14ac:dyDescent="0.3">
      <c r="A20" s="1614" t="s">
        <v>612</v>
      </c>
      <c r="B20" s="697" t="s">
        <v>155</v>
      </c>
      <c r="C20" s="1544">
        <v>18101354</v>
      </c>
      <c r="D20" s="1544">
        <v>42600</v>
      </c>
      <c r="E20" s="1547">
        <f t="array" ref="E20">SUM(IF('6. Class A Consumption Data'!D492:D791=A20,'6. Class A Consumption Data'!F492:F791))</f>
        <v>0</v>
      </c>
      <c r="F20" s="1544">
        <f t="array" ref="F20">SUM(IF('6. Class A Consumption Data'!D492:D791=A20&amp;"kW",'6. Class A Consumption Data'!F492:F791))</f>
        <v>0</v>
      </c>
      <c r="G20" s="1547">
        <f t="array" ref="G20">SUM(IF(('6. Class A Consumption Data'!D30:D479=A20)*('6. Class A Consumption Data'!B30:B479= "2018 - kwh"),'6. Class A Consumption Data'!F30:G479))</f>
        <v>0</v>
      </c>
      <c r="H20" s="1544">
        <f t="array" ref="H20">SUM(IF(('6. Class A Consumption Data'!D30:D479=A20&amp;"kW")*('6. Class A Consumption Data'!B30:B479= "2018 - kw"),'6. Class A Consumption Data'!F30:G479))</f>
        <v>0</v>
      </c>
      <c r="I20" s="1544">
        <f t="shared" si="0"/>
        <v>18101354</v>
      </c>
      <c r="J20" s="1544">
        <f t="shared" si="1"/>
        <v>42600</v>
      </c>
      <c r="K20" s="1512">
        <f>(I20/I24)</f>
        <v>0.13167046987646094</v>
      </c>
      <c r="L20" s="1545">
        <f t="shared" si="2"/>
        <v>-325</v>
      </c>
      <c r="M20" s="1546">
        <v>0</v>
      </c>
      <c r="N20" s="1617" t="s">
        <v>155</v>
      </c>
      <c r="O20" s="1896"/>
      <c r="P20" s="1897"/>
      <c r="Q20" s="1897"/>
      <c r="R20" s="1897"/>
      <c r="S20" s="1897"/>
      <c r="T20" s="1897"/>
      <c r="U20" s="1898"/>
      <c r="V20" s="1193"/>
      <c r="W20" s="1193"/>
      <c r="X20" s="1193"/>
      <c r="Y20" s="1193"/>
      <c r="Z20" s="1193"/>
    </row>
    <row r="21" spans="1:26" ht="15.75" customHeight="1" x14ac:dyDescent="0.3">
      <c r="A21" s="1614" t="s">
        <v>592</v>
      </c>
      <c r="B21" s="697" t="s">
        <v>154</v>
      </c>
      <c r="C21" s="1544">
        <v>585041</v>
      </c>
      <c r="D21" s="1544">
        <v>0</v>
      </c>
      <c r="E21" s="1547">
        <f t="array" ref="E21">SUM(IF('6. Class A Consumption Data'!D492:D791=A21,'6. Class A Consumption Data'!F492:F791))</f>
        <v>0</v>
      </c>
      <c r="F21" s="1544">
        <f t="array" ref="F21">SUM(IF('6. Class A Consumption Data'!D492:D791=A21&amp;"kW",'6. Class A Consumption Data'!F492:F791))</f>
        <v>0</v>
      </c>
      <c r="G21" s="1547">
        <f t="array" ref="G21">SUM(IF(('6. Class A Consumption Data'!D30:D479=A21)*('6. Class A Consumption Data'!B30:B479= "2018 - kwh"),'6. Class A Consumption Data'!F30:G479))</f>
        <v>0</v>
      </c>
      <c r="H21" s="1544">
        <f t="array" ref="H21">SUM(IF(('6. Class A Consumption Data'!D30:D479=A21&amp;"kW")*('6. Class A Consumption Data'!B30:B479= "2018 - kw"),'6. Class A Consumption Data'!F30:G479))</f>
        <v>0</v>
      </c>
      <c r="I21" s="1544">
        <f t="shared" si="0"/>
        <v>585041</v>
      </c>
      <c r="J21" s="1544">
        <f t="shared" si="1"/>
        <v>0</v>
      </c>
      <c r="K21" s="1512">
        <f>(I21/I24)</f>
        <v>4.255627693209833E-3</v>
      </c>
      <c r="L21" s="1545">
        <f t="shared" si="2"/>
        <v>-11</v>
      </c>
      <c r="M21" s="1546">
        <v>0</v>
      </c>
      <c r="N21" s="1617" t="s">
        <v>154</v>
      </c>
      <c r="O21" s="1896"/>
      <c r="P21" s="1897"/>
      <c r="Q21" s="1897"/>
      <c r="R21" s="1897"/>
      <c r="S21" s="1897"/>
      <c r="T21" s="1897"/>
      <c r="U21" s="1898"/>
      <c r="V21" s="1193"/>
      <c r="W21" s="1193"/>
      <c r="X21" s="1193"/>
      <c r="Y21" s="1193"/>
      <c r="Z21" s="1193"/>
    </row>
    <row r="22" spans="1:26" ht="15.75" customHeight="1" x14ac:dyDescent="0.3">
      <c r="A22" s="1614" t="s">
        <v>604</v>
      </c>
      <c r="B22" s="697" t="s">
        <v>155</v>
      </c>
      <c r="C22" s="1544">
        <v>35563</v>
      </c>
      <c r="D22" s="1544">
        <v>99</v>
      </c>
      <c r="E22" s="1547">
        <f t="array" ref="E22">SUM(IF('6. Class A Consumption Data'!D492:D791=A22,'6. Class A Consumption Data'!F492:F791))</f>
        <v>0</v>
      </c>
      <c r="F22" s="1544">
        <f t="array" ref="F22">SUM(IF('6. Class A Consumption Data'!D492:D791=A22&amp;"kW",'6. Class A Consumption Data'!F492:F791))</f>
        <v>0</v>
      </c>
      <c r="G22" s="1547">
        <f t="array" ref="G22">SUM(IF(('6. Class A Consumption Data'!D30:D479=A22)*('6. Class A Consumption Data'!B30:B479= "2018 - kwh"),'6. Class A Consumption Data'!F30:G479))</f>
        <v>0</v>
      </c>
      <c r="H22" s="1544">
        <f t="array" ref="H22">SUM(IF(('6. Class A Consumption Data'!D30:D479=A22&amp;"kW")*('6. Class A Consumption Data'!B30:B479= "2018 - kw"),'6. Class A Consumption Data'!F30:G479))</f>
        <v>0</v>
      </c>
      <c r="I22" s="1544">
        <f t="shared" si="0"/>
        <v>35563</v>
      </c>
      <c r="J22" s="1544">
        <f t="shared" si="1"/>
        <v>99</v>
      </c>
      <c r="K22" s="1512">
        <f>(I22/I24)</f>
        <v>2.5868766061459163E-4</v>
      </c>
      <c r="L22" s="1545">
        <f t="shared" si="2"/>
        <v>-1</v>
      </c>
      <c r="M22" s="1546">
        <v>0</v>
      </c>
      <c r="N22" s="1617" t="s">
        <v>155</v>
      </c>
      <c r="O22" s="1896"/>
      <c r="P22" s="1897"/>
      <c r="Q22" s="1897"/>
      <c r="R22" s="1897"/>
      <c r="S22" s="1897"/>
      <c r="T22" s="1897"/>
      <c r="U22" s="1898"/>
      <c r="V22" s="1193"/>
      <c r="W22" s="1193"/>
      <c r="X22" s="1193"/>
      <c r="Y22" s="1193"/>
      <c r="Z22" s="1193"/>
    </row>
    <row r="23" spans="1:26" ht="15.75" customHeight="1" thickBot="1" x14ac:dyDescent="0.35">
      <c r="A23" s="1614" t="s">
        <v>590</v>
      </c>
      <c r="B23" s="697" t="s">
        <v>155</v>
      </c>
      <c r="C23" s="1544">
        <v>517704</v>
      </c>
      <c r="D23" s="1544">
        <v>1429</v>
      </c>
      <c r="E23" s="1547">
        <f t="array" ref="E23">SUM(IF('6. Class A Consumption Data'!D492:D791=A23,'6. Class A Consumption Data'!F492:F791))</f>
        <v>0</v>
      </c>
      <c r="F23" s="1544">
        <f t="array" ref="F23">SUM(IF('6. Class A Consumption Data'!D492:D791=A23&amp;"kW",'6. Class A Consumption Data'!F492:F791))</f>
        <v>0</v>
      </c>
      <c r="G23" s="1547">
        <f t="array" ref="G23">SUM(IF(('6. Class A Consumption Data'!D30:D479=A23)*('6. Class A Consumption Data'!B30:B479= "2018 - kwh"),'6. Class A Consumption Data'!F30:G479))</f>
        <v>0</v>
      </c>
      <c r="H23" s="1544">
        <f t="array" ref="H23">SUM(IF(('6. Class A Consumption Data'!D30:D479=A23&amp;"kW")*('6. Class A Consumption Data'!B30:B479= "2018 - kw"),'6. Class A Consumption Data'!F30:G479))</f>
        <v>0</v>
      </c>
      <c r="I23" s="1544">
        <f t="shared" si="0"/>
        <v>517704</v>
      </c>
      <c r="J23" s="1544">
        <f t="shared" si="1"/>
        <v>1429</v>
      </c>
      <c r="K23" s="1512">
        <f>(I23/I24)</f>
        <v>3.7658138135370062E-3</v>
      </c>
      <c r="L23" s="1545">
        <f t="shared" si="2"/>
        <v>-9</v>
      </c>
      <c r="M23" s="1546">
        <v>0</v>
      </c>
      <c r="N23" s="1617" t="s">
        <v>155</v>
      </c>
      <c r="O23" s="1896"/>
      <c r="P23" s="1897"/>
      <c r="Q23" s="1897"/>
      <c r="R23" s="1897"/>
      <c r="S23" s="1897"/>
      <c r="T23" s="1897"/>
      <c r="U23" s="1898"/>
      <c r="V23" s="1193"/>
      <c r="W23" s="1193"/>
      <c r="X23" s="1193"/>
      <c r="Y23" s="1193"/>
      <c r="Z23" s="1193"/>
    </row>
    <row r="24" spans="1:26" ht="15" thickBot="1" x14ac:dyDescent="0.35">
      <c r="A24" s="1193"/>
      <c r="B24" s="1619" t="s">
        <v>47</v>
      </c>
      <c r="C24" s="1620">
        <v>137474667</v>
      </c>
      <c r="D24" s="1620">
        <v>182968</v>
      </c>
      <c r="E24" s="1625">
        <f t="shared" ref="E24:L24" si="3">SUM(E17:E23)</f>
        <v>0</v>
      </c>
      <c r="F24" s="1620">
        <f t="shared" si="3"/>
        <v>0</v>
      </c>
      <c r="G24" s="1625">
        <f t="shared" si="3"/>
        <v>0</v>
      </c>
      <c r="H24" s="1620">
        <f t="shared" si="3"/>
        <v>0</v>
      </c>
      <c r="I24" s="1620">
        <f t="shared" si="3"/>
        <v>137474667</v>
      </c>
      <c r="J24" s="1620">
        <f t="shared" si="3"/>
        <v>182968</v>
      </c>
      <c r="K24" s="1622">
        <f t="shared" si="3"/>
        <v>1</v>
      </c>
      <c r="L24" s="1623">
        <f t="shared" si="3"/>
        <v>-2470</v>
      </c>
      <c r="M24" s="1624">
        <v>0</v>
      </c>
      <c r="N24" s="1617"/>
      <c r="O24" s="1899"/>
      <c r="P24" s="1900"/>
      <c r="Q24" s="1900"/>
      <c r="R24" s="1900"/>
      <c r="S24" s="1900"/>
      <c r="T24" s="1900"/>
      <c r="U24" s="1901"/>
      <c r="V24" s="1193"/>
      <c r="W24" s="1193"/>
      <c r="X24" s="1193"/>
      <c r="Y24" s="1193"/>
      <c r="Z24" s="1193"/>
    </row>
    <row r="25" spans="1:26" x14ac:dyDescent="0.3">
      <c r="A25" s="1193"/>
      <c r="B25" s="1193"/>
      <c r="C25" s="1193"/>
      <c r="D25" s="1193"/>
      <c r="E25" s="1544"/>
      <c r="F25" s="1544"/>
      <c r="G25" s="1544"/>
      <c r="H25" s="1193"/>
      <c r="I25" s="1193"/>
      <c r="J25" s="1193"/>
      <c r="K25" s="1193"/>
      <c r="L25" s="1193"/>
      <c r="M25" s="1193"/>
      <c r="N25" s="1617"/>
      <c r="O25" s="1193"/>
      <c r="P25" s="1193"/>
      <c r="Q25" s="1193"/>
      <c r="R25" s="1193"/>
      <c r="S25" s="1193"/>
      <c r="T25" s="1193"/>
      <c r="U25" s="1193"/>
      <c r="V25" s="1193"/>
      <c r="W25" s="1193"/>
      <c r="X25" s="1193"/>
      <c r="Y25" s="1193"/>
      <c r="Z25" s="1193"/>
    </row>
    <row r="26" spans="1:26" x14ac:dyDescent="0.3">
      <c r="A26" s="1193"/>
      <c r="B26" s="1193"/>
      <c r="C26" s="1193"/>
      <c r="D26" s="1193"/>
      <c r="E26" s="1193"/>
      <c r="F26" s="1193"/>
      <c r="G26" s="1193"/>
      <c r="H26" s="1193"/>
      <c r="I26" s="1193"/>
      <c r="J26" s="1193"/>
      <c r="K26" s="1193"/>
      <c r="L26" s="1193"/>
      <c r="M26" s="1193"/>
      <c r="N26" s="1617"/>
      <c r="O26" s="1193"/>
      <c r="P26" s="1193"/>
      <c r="Q26" s="1193"/>
      <c r="R26" s="1193"/>
      <c r="S26" s="1193"/>
      <c r="T26" s="1193"/>
      <c r="U26" s="1193"/>
      <c r="V26" s="1193"/>
      <c r="W26" s="1193"/>
      <c r="X26" s="1193"/>
      <c r="Y26" s="1193"/>
      <c r="Z26" s="1193"/>
    </row>
    <row r="27" spans="1:26" x14ac:dyDescent="0.3">
      <c r="A27" s="1193"/>
      <c r="B27" s="1193"/>
      <c r="C27" s="1193"/>
      <c r="D27" s="1193"/>
      <c r="E27" s="1193"/>
      <c r="F27" s="1193"/>
      <c r="G27" s="1193"/>
      <c r="H27" s="1193"/>
      <c r="I27" s="1193"/>
      <c r="J27" s="1193"/>
      <c r="K27" s="1193"/>
      <c r="L27" s="1193"/>
      <c r="M27" s="1193"/>
      <c r="N27" s="1617"/>
      <c r="O27" s="1193"/>
      <c r="P27" s="1193"/>
      <c r="Q27" s="1193"/>
      <c r="R27" s="1193"/>
      <c r="S27" s="1193"/>
      <c r="T27" s="1193"/>
      <c r="U27" s="1193"/>
      <c r="V27" s="1193"/>
      <c r="W27" s="1193"/>
      <c r="X27" s="1193"/>
      <c r="Y27" s="1193"/>
      <c r="Z27" s="1193"/>
    </row>
    <row r="28" spans="1:26" x14ac:dyDescent="0.3">
      <c r="A28" s="1193"/>
      <c r="B28" s="1193"/>
      <c r="C28" s="1193"/>
      <c r="D28" s="1193"/>
      <c r="E28" s="1193"/>
      <c r="F28" s="1193"/>
      <c r="G28" s="1193"/>
      <c r="H28" s="1193"/>
      <c r="I28" s="1193"/>
      <c r="J28" s="1193"/>
      <c r="K28" s="1193"/>
      <c r="L28" s="1193"/>
      <c r="M28" s="1193"/>
      <c r="N28" s="1617"/>
      <c r="O28" s="1193"/>
      <c r="P28" s="1193"/>
      <c r="Q28" s="1193"/>
      <c r="R28" s="1193"/>
      <c r="S28" s="1193"/>
      <c r="T28" s="1193"/>
      <c r="U28" s="1193"/>
      <c r="V28" s="1193"/>
      <c r="W28" s="1193"/>
      <c r="X28" s="1193"/>
      <c r="Y28" s="1193"/>
      <c r="Z28" s="1193"/>
    </row>
    <row r="29" spans="1:26" x14ac:dyDescent="0.3">
      <c r="A29" s="1193"/>
      <c r="B29" s="1193"/>
      <c r="C29" s="1193"/>
      <c r="D29" s="1193"/>
      <c r="E29" s="1193"/>
      <c r="F29" s="1193"/>
      <c r="G29" s="1193"/>
      <c r="H29" s="1193"/>
      <c r="I29" s="1193"/>
      <c r="J29" s="1193"/>
      <c r="K29" s="1193"/>
      <c r="L29" s="1193"/>
      <c r="M29" s="1193"/>
      <c r="N29" s="1617"/>
      <c r="O29" s="1193"/>
      <c r="P29" s="1193"/>
      <c r="Q29" s="1193"/>
      <c r="R29" s="1193"/>
      <c r="S29" s="1193"/>
      <c r="T29" s="1193"/>
      <c r="U29" s="1193"/>
      <c r="V29" s="1193"/>
      <c r="W29" s="1193"/>
      <c r="X29" s="1193"/>
      <c r="Y29" s="1193"/>
      <c r="Z29" s="1193"/>
    </row>
    <row r="30" spans="1:26" x14ac:dyDescent="0.3">
      <c r="A30" s="1193"/>
      <c r="B30" s="1193"/>
      <c r="C30" s="1193"/>
      <c r="D30" s="1193"/>
      <c r="E30" s="1193"/>
      <c r="F30" s="1193"/>
      <c r="G30" s="1193"/>
      <c r="H30" s="1193"/>
      <c r="I30" s="1193"/>
      <c r="J30" s="1193"/>
      <c r="K30" s="1193"/>
      <c r="L30" s="1193"/>
      <c r="M30" s="1193"/>
      <c r="N30" s="1617"/>
      <c r="O30" s="1193"/>
      <c r="P30" s="1193"/>
      <c r="Q30" s="1193"/>
      <c r="R30" s="1193"/>
      <c r="S30" s="1193"/>
      <c r="T30" s="1193"/>
      <c r="U30" s="1193"/>
      <c r="V30" s="1193"/>
      <c r="W30" s="1193"/>
      <c r="X30" s="1193"/>
      <c r="Y30" s="1193"/>
      <c r="Z30" s="1193"/>
    </row>
  </sheetData>
  <sheetProtection algorithmName="SHA-512" hashValue="RcndtTGCAm2LtT+B3u4GaxWqz+7ouKquODySP3Tlui03sLauH5uCrFKUd+KUMjHD1s7/g39IbxM8otcDQHaXcQ==" saltValue="+4B0aTaiULz/P6m5U5wAlg==" spinCount="100000" sheet="1" objects="1" scenarios="1"/>
  <mergeCells count="7">
    <mergeCell ref="O17:U24"/>
    <mergeCell ref="A12:G12"/>
    <mergeCell ref="E14:F14"/>
    <mergeCell ref="G14:H14"/>
    <mergeCell ref="C14:D14"/>
    <mergeCell ref="I14:J14"/>
    <mergeCell ref="C13:G13"/>
  </mergeCells>
  <pageMargins left="0.7" right="0.7" top="0.75" bottom="0.75" header="0.3" footer="0.3"/>
  <pageSetup scale="3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N31"/>
  <sheetViews>
    <sheetView showGridLines="0" view="pageBreakPreview" zoomScale="60" zoomScaleNormal="100" workbookViewId="0"/>
  </sheetViews>
  <sheetFormatPr defaultColWidth="9.33203125" defaultRowHeight="14.4" x14ac:dyDescent="0.3"/>
  <cols>
    <col min="1" max="1" width="56.6640625" style="1193" bestFit="1" customWidth="1"/>
    <col min="2" max="2" width="9.33203125" style="1193"/>
    <col min="3" max="6" width="14.33203125" style="1193" customWidth="1"/>
    <col min="7" max="8" width="22.5546875" style="1193" customWidth="1"/>
    <col min="9" max="9" width="16.6640625" style="1193" customWidth="1"/>
    <col min="10" max="10" width="21.33203125" style="1193" customWidth="1"/>
    <col min="11" max="11" width="13.5546875" style="1193" customWidth="1"/>
    <col min="12" max="12" width="17.6640625" style="1193" hidden="1" customWidth="1"/>
    <col min="13" max="13" width="20.33203125" style="1193" hidden="1" customWidth="1"/>
    <col min="14" max="14" width="15.33203125" style="1193" bestFit="1" customWidth="1"/>
    <col min="15" max="16384" width="9.33203125" style="1193"/>
  </cols>
  <sheetData>
    <row r="1" spans="1:14" x14ac:dyDescent="0.3">
      <c r="A1" s="1193" t="s">
        <v>1891</v>
      </c>
    </row>
    <row r="11" spans="1:14" ht="39.75" customHeight="1" x14ac:dyDescent="0.3">
      <c r="A11" s="1850" t="s">
        <v>4482</v>
      </c>
      <c r="B11" s="1850"/>
      <c r="C11" s="1850"/>
      <c r="D11" s="1850"/>
      <c r="E11" s="1850"/>
      <c r="F11" s="1850"/>
      <c r="G11" s="1850"/>
      <c r="H11" s="1850"/>
      <c r="I11" s="1850"/>
      <c r="J11" s="1850"/>
    </row>
    <row r="12" spans="1:14" ht="15" customHeight="1" x14ac:dyDescent="0.3">
      <c r="A12" s="1912" t="s">
        <v>1412</v>
      </c>
      <c r="B12" s="1913"/>
      <c r="C12" s="698">
        <v>12</v>
      </c>
      <c r="D12" s="638"/>
      <c r="E12" s="638"/>
      <c r="F12" s="638"/>
      <c r="G12" s="638"/>
      <c r="H12" s="638"/>
      <c r="I12" s="638"/>
      <c r="J12" s="638"/>
      <c r="K12" s="1664"/>
    </row>
    <row r="13" spans="1:14" x14ac:dyDescent="0.3">
      <c r="A13" s="1912" t="s">
        <v>3739</v>
      </c>
      <c r="B13" s="1913"/>
      <c r="C13" s="829">
        <v>12</v>
      </c>
      <c r="D13" s="639" t="str">
        <f>IF(C13&gt;0, "Rate Rider Recovery to be used below", "If no rate rider recovery period is proposed then the default recovery period of 12 months will be used")</f>
        <v>Rate Rider Recovery to be used below</v>
      </c>
      <c r="E13" s="639"/>
      <c r="F13" s="639"/>
      <c r="K13" s="1664"/>
    </row>
    <row r="14" spans="1:14" ht="15" customHeight="1" x14ac:dyDescent="0.3">
      <c r="A14" s="1912" t="s">
        <v>3740</v>
      </c>
      <c r="B14" s="1913"/>
      <c r="C14" s="829">
        <v>12</v>
      </c>
      <c r="D14" s="639" t="str">
        <f>IF(C14&gt;0, "Rate Rider Recovery to be used below", "If no rate rider recovery period is proposed then the default recovery period of 12 months will be used")</f>
        <v>Rate Rider Recovery to be used below</v>
      </c>
      <c r="G14" s="697"/>
      <c r="H14" s="697"/>
    </row>
    <row r="15" spans="1:14" ht="42" customHeight="1" x14ac:dyDescent="0.3">
      <c r="A15" s="1073"/>
      <c r="B15" s="640"/>
      <c r="C15" s="1911" t="s">
        <v>1416</v>
      </c>
      <c r="D15" s="1910" t="s">
        <v>1414</v>
      </c>
      <c r="E15" s="1910" t="s">
        <v>1409</v>
      </c>
      <c r="F15" s="1910" t="s">
        <v>1410</v>
      </c>
      <c r="G15" s="1915" t="s">
        <v>2006</v>
      </c>
      <c r="H15" s="1915" t="s">
        <v>2007</v>
      </c>
      <c r="I15" s="1914" t="s">
        <v>2008</v>
      </c>
      <c r="J15" s="1914" t="s">
        <v>2009</v>
      </c>
      <c r="K15" s="1914" t="s">
        <v>510</v>
      </c>
      <c r="M15" s="1665"/>
    </row>
    <row r="16" spans="1:14" ht="27" customHeight="1" x14ac:dyDescent="0.3">
      <c r="A16" s="641" t="s">
        <v>48</v>
      </c>
      <c r="B16" s="699" t="s">
        <v>49</v>
      </c>
      <c r="C16" s="1911"/>
      <c r="D16" s="1910"/>
      <c r="E16" s="1910"/>
      <c r="F16" s="1910"/>
      <c r="G16" s="1915"/>
      <c r="H16" s="1915"/>
      <c r="I16" s="1914"/>
      <c r="J16" s="1914"/>
      <c r="K16" s="1914"/>
      <c r="L16" s="1908" t="s">
        <v>1611</v>
      </c>
      <c r="M16" s="1909"/>
      <c r="N16" s="692" t="s">
        <v>2005</v>
      </c>
    </row>
    <row r="17" spans="1:14" ht="15.75" customHeight="1" x14ac:dyDescent="0.3">
      <c r="A17" s="1667" t="s">
        <v>427</v>
      </c>
      <c r="B17" s="1557" t="s">
        <v>154</v>
      </c>
      <c r="C17" s="1558">
        <v>45878451</v>
      </c>
      <c r="D17" s="1558">
        <v>0</v>
      </c>
      <c r="E17" s="1558">
        <v>45878451</v>
      </c>
      <c r="F17" s="1558">
        <v>0</v>
      </c>
      <c r="G17" s="1559">
        <v>0</v>
      </c>
      <c r="I17" s="1560">
        <f>ROUND(IF(ISERROR(G17/C17),0,IF(OR(ISBLANK(C13), OR(C13=0, C13="")), G17/C17/(C12/12), G17/C17/(C13/12))),4)</f>
        <v>0</v>
      </c>
      <c r="J17" s="1560">
        <f>ROUND(IF(ISERROR(H17/E17),0,IF(OR(ISBLANK(C13), OR(C13=0, C13="")), H17/E17/(C12/12), H17/E17/(C13/12))),4)</f>
        <v>0</v>
      </c>
      <c r="K17" s="1560">
        <f>ROUND(IF(ISERROR(0/C17), 0, IF(OR(ISBLANK(C14), OR(C14=0, C14="")), (0/C17)/(C12/12), (0/C17)/(C14/12))),4)</f>
        <v>0</v>
      </c>
      <c r="L17" s="1562">
        <f>C17*I17*(C13/12)</f>
        <v>0</v>
      </c>
      <c r="M17" s="1562">
        <f>E17*J17</f>
        <v>0</v>
      </c>
    </row>
    <row r="18" spans="1:14" ht="15.75" customHeight="1" x14ac:dyDescent="0.3">
      <c r="A18" s="1667" t="s">
        <v>2522</v>
      </c>
      <c r="B18" s="1557" t="s">
        <v>154</v>
      </c>
      <c r="C18" s="1558">
        <v>22669052</v>
      </c>
      <c r="D18" s="1558">
        <v>0</v>
      </c>
      <c r="E18" s="1558">
        <v>22669052</v>
      </c>
      <c r="F18" s="1558">
        <v>0</v>
      </c>
      <c r="G18" s="1559">
        <v>0</v>
      </c>
      <c r="I18" s="1560">
        <f>ROUND(IF(ISERROR(G18/C18),0,IF(OR(ISBLANK(C13), OR(C13=0, C13="")), G18/C18/(C12/12), G18/C18/(C13/12))),4)</f>
        <v>0</v>
      </c>
      <c r="J18" s="1560">
        <f>ROUND(IF(ISERROR(H18/E18),0,IF(OR(ISBLANK(C13), OR(C13=0, C13="")), H18/E18/(C12/12), H18/E18/(C13/12))),4)</f>
        <v>0</v>
      </c>
      <c r="K18" s="1560">
        <f>ROUND(IF(ISERROR(0/C18), 0, IF(OR(ISBLANK(C14), OR(C14=0, C14="")), (0/C18)/(C12/12), (0/C18)/(C14/12))),4)</f>
        <v>0</v>
      </c>
      <c r="L18" s="1562">
        <f>C18*I18*(C13/12)</f>
        <v>0</v>
      </c>
      <c r="M18" s="1562">
        <f>E18*J18</f>
        <v>0</v>
      </c>
    </row>
    <row r="19" spans="1:14" ht="15.75" customHeight="1" x14ac:dyDescent="0.3">
      <c r="A19" s="1667" t="s">
        <v>611</v>
      </c>
      <c r="B19" s="1557" t="s">
        <v>155</v>
      </c>
      <c r="C19" s="1558">
        <v>52423807</v>
      </c>
      <c r="D19" s="1558">
        <v>143971</v>
      </c>
      <c r="E19" s="1558">
        <v>49687502</v>
      </c>
      <c r="F19" s="1558">
        <v>138840</v>
      </c>
      <c r="G19" s="1559">
        <v>0</v>
      </c>
      <c r="I19" s="1560">
        <f>ROUND(IF(ISERROR(G19/D19),0,IF(OR(ISBLANK(C13), OR(C13=0, C13="")), G19/D19/(C12/12), G19/D19/(C13/12))),4)</f>
        <v>0</v>
      </c>
      <c r="J19" s="1560">
        <f>ROUND(IF(ISERROR(H19/F19),0,IF(OR(ISBLANK(C13), OR(C13=0, C13="")), H19/F19/(C12/12), H19/F19/(C13/12))),4)</f>
        <v>0</v>
      </c>
      <c r="K19" s="1560">
        <f>ROUND(IF(ISERROR(0/D19), 0, IF(OR(ISBLANK(C14), OR(C14=0, C14="")), (0/D19)/(C12/12), (0/D19)/(C14/12))),4)</f>
        <v>0</v>
      </c>
      <c r="L19" s="1562">
        <f>D19*I19*(C13/12)</f>
        <v>0</v>
      </c>
      <c r="M19" s="1562">
        <f>F19*J19</f>
        <v>0</v>
      </c>
    </row>
    <row r="20" spans="1:14" ht="15.75" customHeight="1" x14ac:dyDescent="0.3">
      <c r="A20" s="1667" t="s">
        <v>612</v>
      </c>
      <c r="B20" s="1557" t="s">
        <v>155</v>
      </c>
      <c r="C20" s="1558">
        <v>18101354</v>
      </c>
      <c r="D20" s="1558">
        <v>42600</v>
      </c>
      <c r="E20" s="1558">
        <v>18101354</v>
      </c>
      <c r="F20" s="1558">
        <v>42600</v>
      </c>
      <c r="G20" s="1559">
        <v>0</v>
      </c>
      <c r="I20" s="1560">
        <f>ROUND(IF(ISERROR(G20/D20),0,IF(OR(ISBLANK(C13), OR(C13=0, C13="")), G20/D20/(C12/12), G20/D20/(C13/12))),4)</f>
        <v>0</v>
      </c>
      <c r="J20" s="1560">
        <f>ROUND(IF(ISERROR(H20/F20),0,IF(OR(ISBLANK(C13), OR(C13=0, C13="")), H20/F20/(C12/12), H20/F20/(C13/12))),4)</f>
        <v>0</v>
      </c>
      <c r="K20" s="1560">
        <f>ROUND(IF(ISERROR(0/D20), 0, IF(OR(ISBLANK(C14), OR(C14=0, C14="")), (0/D20)/(C12/12), (0/D20)/(C14/12))),4)</f>
        <v>0</v>
      </c>
      <c r="L20" s="1562">
        <f>D20*I20*(C13/12)</f>
        <v>0</v>
      </c>
      <c r="M20" s="1562">
        <f>F20*J20</f>
        <v>0</v>
      </c>
    </row>
    <row r="21" spans="1:14" ht="15.75" customHeight="1" x14ac:dyDescent="0.3">
      <c r="A21" s="1667" t="s">
        <v>592</v>
      </c>
      <c r="B21" s="1557" t="s">
        <v>154</v>
      </c>
      <c r="C21" s="1558">
        <v>585041</v>
      </c>
      <c r="D21" s="1558">
        <v>0</v>
      </c>
      <c r="E21" s="1558">
        <v>585041</v>
      </c>
      <c r="F21" s="1558">
        <v>0</v>
      </c>
      <c r="G21" s="1559">
        <v>0</v>
      </c>
      <c r="I21" s="1560">
        <f>ROUND(IF(ISERROR(G21/C21),0,IF(OR(ISBLANK(C13), OR(C13=0, C13="")), G21/C21/(C12/12), G21/C21/(C13/12))),4)</f>
        <v>0</v>
      </c>
      <c r="J21" s="1560">
        <f>ROUND(IF(ISERROR(H21/E21),0,IF(OR(ISBLANK(C13), OR(C13=0, C13="")), H21/E21/(C12/12), H21/E21/(C13/12))),4)</f>
        <v>0</v>
      </c>
      <c r="K21" s="1560">
        <f>ROUND(IF(ISERROR(0/C21), 0, IF(OR(ISBLANK(C14), OR(C14=0, C14="")), (0/C21)/(C12/12), (0/C21)/(C14/12))),4)</f>
        <v>0</v>
      </c>
      <c r="L21" s="1562">
        <f>C21*I21*(C13/12)</f>
        <v>0</v>
      </c>
      <c r="M21" s="1562">
        <f>E21*J21</f>
        <v>0</v>
      </c>
    </row>
    <row r="22" spans="1:14" ht="15.75" customHeight="1" x14ac:dyDescent="0.3">
      <c r="A22" s="1667" t="s">
        <v>604</v>
      </c>
      <c r="B22" s="1557" t="s">
        <v>155</v>
      </c>
      <c r="C22" s="1558">
        <v>35563</v>
      </c>
      <c r="D22" s="1558">
        <v>99</v>
      </c>
      <c r="E22" s="1558">
        <v>35563</v>
      </c>
      <c r="F22" s="1558">
        <v>99</v>
      </c>
      <c r="G22" s="1559">
        <v>0</v>
      </c>
      <c r="I22" s="1560">
        <f>ROUND(IF(ISERROR(G22/D22),0,IF(OR(ISBLANK(C13), OR(C13=0, C13="")), G22/D22/(C12/12), G22/D22/(C13/12))),4)</f>
        <v>0</v>
      </c>
      <c r="J22" s="1560">
        <f>ROUND(IF(ISERROR(H22/F22),0,IF(OR(ISBLANK(C13), OR(C13=0, C13="")), H22/F22/(C12/12), H22/F22/(C13/12))),4)</f>
        <v>0</v>
      </c>
      <c r="K22" s="1560">
        <f>ROUND(IF(ISERROR(0/D22), 0, IF(OR(ISBLANK(C14), OR(C14=0, C14="")), (0/D22)/(C12/12), (0/D22)/(C14/12))),4)</f>
        <v>0</v>
      </c>
      <c r="L22" s="1562">
        <f>D22*I22*(C13/12)</f>
        <v>0</v>
      </c>
      <c r="M22" s="1562">
        <f>F22*J22</f>
        <v>0</v>
      </c>
    </row>
    <row r="23" spans="1:14" ht="15.75" customHeight="1" x14ac:dyDescent="0.3">
      <c r="A23" s="1667" t="s">
        <v>590</v>
      </c>
      <c r="B23" s="1557" t="s">
        <v>155</v>
      </c>
      <c r="C23" s="1558">
        <v>517704</v>
      </c>
      <c r="D23" s="1558">
        <v>1429</v>
      </c>
      <c r="E23" s="1558">
        <v>517704</v>
      </c>
      <c r="F23" s="1558">
        <v>1429</v>
      </c>
      <c r="G23" s="1559">
        <v>0</v>
      </c>
      <c r="I23" s="1560">
        <f>ROUND(IF(ISERROR(G23/D23),0,IF(OR(ISBLANK(C13), OR(C13=0, C13="")), G23/D23/(C12/12), G23/D23/(C13/12))),4)</f>
        <v>0</v>
      </c>
      <c r="J23" s="1560">
        <f>ROUND(IF(ISERROR(H23/F23),0,IF(OR(ISBLANK(C13), OR(C13=0, C13="")), H23/F23/(C12/12), H23/F23/(C13/12))),4)</f>
        <v>0</v>
      </c>
      <c r="K23" s="1560">
        <f>ROUND(IF(ISERROR(0/D23), 0, IF(OR(ISBLANK(C14), OR(C14=0, C14="")), (0/D23)/(C12/12), (0/D23)/(C14/12))),4)</f>
        <v>0</v>
      </c>
      <c r="L23" s="1562">
        <f>D23*I23*(C13/12)</f>
        <v>0</v>
      </c>
      <c r="M23" s="1562">
        <f>F23*J23</f>
        <v>0</v>
      </c>
    </row>
    <row r="24" spans="1:14" x14ac:dyDescent="0.3">
      <c r="L24" s="1561">
        <f>SUM(L17:L23)</f>
        <v>0</v>
      </c>
      <c r="M24" s="1561">
        <f>SUM(M17:M23)</f>
        <v>0</v>
      </c>
      <c r="N24" s="1561">
        <f>SUM(L24:M24)</f>
        <v>0</v>
      </c>
    </row>
    <row r="30" spans="1:14" ht="16.2" x14ac:dyDescent="0.3">
      <c r="A30" s="1478" t="s">
        <v>7366</v>
      </c>
    </row>
    <row r="31" spans="1:14" ht="30" customHeight="1" x14ac:dyDescent="0.3">
      <c r="A31" s="1906" t="s">
        <v>7367</v>
      </c>
      <c r="B31" s="1907"/>
      <c r="C31" s="1907"/>
      <c r="D31" s="1907"/>
      <c r="E31" s="1907"/>
      <c r="F31" s="1907"/>
      <c r="G31" s="1907"/>
      <c r="H31" s="1907"/>
      <c r="I31" s="1907"/>
      <c r="J31" s="1907"/>
      <c r="K31" s="1907"/>
    </row>
  </sheetData>
  <sheetProtection algorithmName="SHA-512" hashValue="+ovZ0nlXpVk+HjiA0tmH08nZLp0WklCDyk9xCGwt2wbWX+9FsVyYQ3t7ocCcq2KwKt3r6cGoMov78Ns9tmJPfA==" saltValue="VkCjik6W/ztmKFC0g26mdw==" spinCount="100000" sheet="1" objects="1" scenarios="1"/>
  <mergeCells count="15">
    <mergeCell ref="A31:K31"/>
    <mergeCell ref="L16:M16"/>
    <mergeCell ref="D15:D16"/>
    <mergeCell ref="C15:C16"/>
    <mergeCell ref="A11:J11"/>
    <mergeCell ref="A12:B12"/>
    <mergeCell ref="A13:B13"/>
    <mergeCell ref="E15:E16"/>
    <mergeCell ref="F15:F16"/>
    <mergeCell ref="K15:K16"/>
    <mergeCell ref="G15:G16"/>
    <mergeCell ref="I15:I16"/>
    <mergeCell ref="H15:H16"/>
    <mergeCell ref="J15:J16"/>
    <mergeCell ref="A14:B14"/>
  </mergeCells>
  <pageMargins left="0.25" right="0.25" top="0.75" bottom="0.75" header="0.3" footer="0.3"/>
  <pageSetup scale="43" orientation="portrait" r:id="rId1"/>
  <headerFooter>
    <oddFooter>&amp;C&amp;A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Q57"/>
  <sheetViews>
    <sheetView showGridLines="0" view="pageBreakPreview" zoomScale="60" zoomScaleNormal="100" workbookViewId="0">
      <selection activeCell="H27" sqref="H27"/>
    </sheetView>
  </sheetViews>
  <sheetFormatPr defaultColWidth="9.33203125" defaultRowHeight="14.4" x14ac:dyDescent="0.3"/>
  <cols>
    <col min="1" max="1" width="21.33203125" style="22" customWidth="1"/>
    <col min="2" max="2" width="9.33203125" style="22"/>
    <col min="3" max="7" width="9.6640625" style="22" customWidth="1"/>
    <col min="8" max="8" width="17" style="22" customWidth="1"/>
    <col min="9" max="9" width="4.33203125" style="22" customWidth="1"/>
    <col min="10" max="10" width="16.33203125" style="22" customWidth="1"/>
    <col min="11" max="15" width="9.33203125" style="22"/>
    <col min="16" max="18" width="0" style="22" hidden="1" customWidth="1"/>
    <col min="19" max="16384" width="9.33203125" style="22"/>
  </cols>
  <sheetData>
    <row r="1" spans="1:17" x14ac:dyDescent="0.3">
      <c r="A1" s="1193"/>
      <c r="B1" s="1193"/>
      <c r="C1" s="1193"/>
      <c r="D1" s="1193"/>
      <c r="E1" s="1193"/>
      <c r="F1" s="1193"/>
      <c r="G1" s="1193"/>
      <c r="H1" s="1193"/>
      <c r="I1" s="1193"/>
      <c r="J1" s="1193"/>
      <c r="K1" s="1193"/>
      <c r="L1" s="1193"/>
      <c r="M1" s="1193"/>
      <c r="N1" s="1193"/>
    </row>
    <row r="2" spans="1:17" x14ac:dyDescent="0.3">
      <c r="A2" s="1193"/>
      <c r="B2" s="1193"/>
      <c r="C2" s="1193"/>
      <c r="D2" s="1193"/>
      <c r="E2" s="1193"/>
      <c r="F2" s="1193"/>
      <c r="G2" s="1193"/>
      <c r="H2" s="1193"/>
      <c r="I2" s="1193"/>
      <c r="J2" s="1193"/>
      <c r="K2" s="1193"/>
      <c r="L2" s="1193"/>
      <c r="M2" s="1193"/>
      <c r="N2" s="1193"/>
    </row>
    <row r="3" spans="1:17" x14ac:dyDescent="0.3">
      <c r="A3" s="1193"/>
      <c r="B3" s="1193"/>
      <c r="C3" s="1193"/>
      <c r="D3" s="1193"/>
      <c r="E3" s="1193"/>
      <c r="F3" s="1193"/>
      <c r="G3" s="1193"/>
      <c r="H3" s="1193"/>
      <c r="I3" s="1193"/>
      <c r="J3" s="1193"/>
      <c r="K3" s="1193"/>
      <c r="L3" s="1193"/>
      <c r="M3" s="1193"/>
      <c r="N3" s="1193"/>
    </row>
    <row r="4" spans="1:17" x14ac:dyDescent="0.3">
      <c r="A4" s="1193"/>
      <c r="B4" s="1193"/>
      <c r="C4" s="1193"/>
      <c r="D4" s="1193"/>
      <c r="E4" s="1193"/>
      <c r="F4" s="1193"/>
      <c r="G4" s="1193"/>
      <c r="H4" s="1193"/>
      <c r="I4" s="1193"/>
      <c r="J4" s="1193"/>
      <c r="K4" s="1193"/>
      <c r="L4" s="1193"/>
      <c r="M4" s="1193"/>
      <c r="N4" s="1193"/>
    </row>
    <row r="5" spans="1:17" x14ac:dyDescent="0.3">
      <c r="A5" s="1193"/>
      <c r="B5" s="1193"/>
      <c r="C5" s="1193"/>
      <c r="D5" s="1193"/>
      <c r="E5" s="1193"/>
      <c r="F5" s="1193"/>
      <c r="G5" s="1193"/>
      <c r="H5" s="1193"/>
      <c r="I5" s="1193"/>
      <c r="J5" s="1193"/>
      <c r="K5" s="1193"/>
      <c r="L5" s="1193"/>
      <c r="M5" s="1193"/>
      <c r="N5" s="1193"/>
    </row>
    <row r="6" spans="1:17" x14ac:dyDescent="0.3">
      <c r="A6" s="1193"/>
      <c r="B6" s="1193"/>
      <c r="C6" s="1193"/>
      <c r="D6" s="1193"/>
      <c r="E6" s="1193"/>
      <c r="F6" s="1193"/>
      <c r="G6" s="1193"/>
      <c r="H6" s="1193"/>
      <c r="I6" s="1193"/>
      <c r="J6" s="1193"/>
      <c r="K6" s="1193"/>
      <c r="L6" s="1193"/>
      <c r="M6" s="1193"/>
      <c r="N6" s="1193"/>
    </row>
    <row r="7" spans="1:17" x14ac:dyDescent="0.3">
      <c r="A7" s="1193"/>
      <c r="B7" s="1193"/>
      <c r="C7" s="1193"/>
      <c r="D7" s="1193"/>
      <c r="E7" s="1193"/>
      <c r="F7" s="1193"/>
      <c r="G7" s="1193"/>
      <c r="H7" s="1193"/>
      <c r="I7" s="1193"/>
      <c r="J7" s="1193"/>
      <c r="K7" s="1193"/>
      <c r="L7" s="1193"/>
      <c r="M7" s="1193"/>
      <c r="N7" s="1193"/>
    </row>
    <row r="8" spans="1:17" x14ac:dyDescent="0.3">
      <c r="A8" s="1193"/>
      <c r="B8" s="1193"/>
      <c r="C8" s="1193"/>
      <c r="D8" s="1193"/>
      <c r="E8" s="1193"/>
      <c r="F8" s="1193"/>
      <c r="G8" s="1193"/>
      <c r="H8" s="1193"/>
      <c r="I8" s="1193"/>
      <c r="J8" s="1193"/>
      <c r="K8" s="1193"/>
      <c r="L8" s="1193"/>
      <c r="M8" s="1193"/>
      <c r="N8" s="1193"/>
    </row>
    <row r="9" spans="1:17" x14ac:dyDescent="0.3">
      <c r="A9" s="1193"/>
      <c r="B9" s="1193"/>
      <c r="C9" s="1193"/>
      <c r="D9" s="1193"/>
      <c r="E9" s="1193"/>
      <c r="F9" s="1193"/>
      <c r="G9" s="1193"/>
      <c r="H9" s="1193"/>
      <c r="I9" s="1193"/>
      <c r="J9" s="1193"/>
      <c r="K9" s="1193"/>
      <c r="L9" s="1193"/>
      <c r="M9" s="1193"/>
      <c r="N9" s="1193"/>
    </row>
    <row r="10" spans="1:17" x14ac:dyDescent="0.3">
      <c r="A10" s="1193"/>
      <c r="B10" s="1193"/>
      <c r="C10" s="1193"/>
      <c r="D10" s="1193"/>
      <c r="E10" s="1193"/>
      <c r="F10" s="1193"/>
      <c r="G10" s="1193"/>
      <c r="H10" s="1193"/>
      <c r="I10" s="1193"/>
      <c r="J10" s="1193"/>
      <c r="K10" s="1193"/>
      <c r="L10" s="1193"/>
      <c r="M10" s="1193"/>
      <c r="N10" s="1193"/>
    </row>
    <row r="11" spans="1:17" x14ac:dyDescent="0.3">
      <c r="A11" s="1193"/>
      <c r="B11" s="1193"/>
      <c r="C11" s="1193"/>
      <c r="D11" s="1193"/>
      <c r="E11" s="1193"/>
      <c r="F11" s="1193"/>
      <c r="G11" s="1193"/>
      <c r="H11" s="1193"/>
      <c r="I11" s="1193"/>
      <c r="J11" s="1193"/>
      <c r="K11" s="1193"/>
      <c r="L11" s="1193"/>
      <c r="M11" s="1193"/>
      <c r="N11" s="1193"/>
    </row>
    <row r="12" spans="1:17" s="779" customFormat="1" ht="17.399999999999999" x14ac:dyDescent="0.3">
      <c r="A12" s="784" t="s">
        <v>511</v>
      </c>
      <c r="B12" s="31"/>
      <c r="C12" s="31"/>
      <c r="D12" s="31"/>
      <c r="E12" s="31"/>
      <c r="F12" s="31"/>
      <c r="G12" s="31"/>
      <c r="H12" s="31"/>
      <c r="I12" s="31"/>
      <c r="J12" s="31"/>
      <c r="K12" s="1193"/>
      <c r="L12" s="1193"/>
      <c r="M12" s="1193"/>
      <c r="N12" s="1193"/>
    </row>
    <row r="13" spans="1:17" s="779" customFormat="1" ht="17.399999999999999" x14ac:dyDescent="0.3">
      <c r="A13" s="784"/>
      <c r="B13" s="31"/>
      <c r="C13" s="31"/>
      <c r="D13" s="31"/>
      <c r="E13" s="31"/>
      <c r="F13" s="31"/>
      <c r="G13" s="31"/>
      <c r="H13" s="31"/>
      <c r="I13" s="31"/>
      <c r="J13" s="31"/>
      <c r="K13" s="1193"/>
      <c r="L13" s="1193"/>
      <c r="M13" s="1193"/>
      <c r="N13" s="1193"/>
    </row>
    <row r="14" spans="1:17" s="981" customFormat="1" ht="27.75" customHeight="1" x14ac:dyDescent="0.25">
      <c r="A14" s="993"/>
      <c r="B14" s="994"/>
      <c r="C14" s="994"/>
      <c r="D14" s="994"/>
      <c r="E14" s="994"/>
      <c r="F14" s="994"/>
      <c r="G14" s="994"/>
      <c r="H14" s="995">
        <f>'1. Information Sheet'!F30</f>
        <v>2018</v>
      </c>
      <c r="I14" s="996"/>
      <c r="J14" s="995">
        <v>2021</v>
      </c>
      <c r="K14" s="1637"/>
      <c r="L14" s="1637"/>
      <c r="M14" s="1637"/>
      <c r="N14" s="1637"/>
      <c r="P14" s="112" t="s">
        <v>1417</v>
      </c>
      <c r="Q14" s="113">
        <v>0.105</v>
      </c>
    </row>
    <row r="15" spans="1:17" s="981" customFormat="1" x14ac:dyDescent="0.25">
      <c r="A15" s="997"/>
      <c r="B15" s="998"/>
      <c r="C15" s="998"/>
      <c r="D15" s="998"/>
      <c r="E15" s="998"/>
      <c r="F15" s="998"/>
      <c r="G15" s="998"/>
      <c r="H15" s="999"/>
      <c r="I15" s="998"/>
      <c r="J15" s="999"/>
      <c r="K15" s="1637"/>
      <c r="L15" s="1637"/>
      <c r="M15" s="1637"/>
      <c r="N15" s="1637"/>
      <c r="P15" s="112"/>
      <c r="Q15" s="113"/>
    </row>
    <row r="16" spans="1:17" s="779" customFormat="1" ht="15.75" customHeight="1" x14ac:dyDescent="0.3">
      <c r="A16" s="1636" t="s">
        <v>5047</v>
      </c>
      <c r="B16" s="31"/>
      <c r="C16" s="31"/>
      <c r="D16" s="31"/>
      <c r="E16" s="31"/>
      <c r="F16" s="31"/>
      <c r="G16" s="31"/>
      <c r="H16" s="1022">
        <v>0</v>
      </c>
      <c r="I16" s="31"/>
      <c r="J16" s="1000">
        <f>H16</f>
        <v>0</v>
      </c>
      <c r="K16" s="1193"/>
      <c r="L16" s="1193"/>
      <c r="M16" s="1193"/>
      <c r="N16" s="1193"/>
    </row>
    <row r="17" spans="1:14" s="779" customFormat="1" ht="15.75" customHeight="1" x14ac:dyDescent="0.3">
      <c r="A17" s="1001"/>
      <c r="B17" s="31"/>
      <c r="C17" s="31"/>
      <c r="D17" s="31"/>
      <c r="E17" s="31"/>
      <c r="F17" s="31"/>
      <c r="G17" s="31"/>
      <c r="H17" s="31"/>
      <c r="I17" s="31"/>
      <c r="J17" s="1002"/>
      <c r="K17" s="1193"/>
      <c r="L17" s="1193"/>
      <c r="M17" s="1193"/>
      <c r="N17" s="1193"/>
    </row>
    <row r="18" spans="1:14" s="781" customFormat="1" ht="15" x14ac:dyDescent="0.25">
      <c r="A18" s="1636" t="s">
        <v>5048</v>
      </c>
      <c r="B18" s="1003"/>
      <c r="C18" s="31"/>
      <c r="D18" s="31"/>
      <c r="E18" s="31"/>
      <c r="F18" s="31"/>
      <c r="G18" s="31"/>
      <c r="H18" s="1022">
        <v>0</v>
      </c>
      <c r="I18" s="31"/>
      <c r="J18" s="1000">
        <f>H18</f>
        <v>0</v>
      </c>
    </row>
    <row r="19" spans="1:14" s="781" customFormat="1" ht="15" x14ac:dyDescent="0.25">
      <c r="A19" s="1003"/>
      <c r="B19" s="1003"/>
      <c r="C19" s="31"/>
      <c r="D19" s="31"/>
      <c r="E19" s="31"/>
      <c r="F19" s="31"/>
      <c r="G19" s="31"/>
      <c r="H19" s="31"/>
      <c r="I19" s="31"/>
      <c r="J19" s="1002"/>
    </row>
    <row r="20" spans="1:14" s="781" customFormat="1" ht="18" customHeight="1" x14ac:dyDescent="0.25">
      <c r="A20" s="1003" t="s">
        <v>5049</v>
      </c>
      <c r="B20" s="1003"/>
      <c r="C20" s="31"/>
      <c r="D20" s="31"/>
      <c r="E20" s="31"/>
      <c r="F20" s="31"/>
      <c r="G20" s="31"/>
      <c r="H20" s="1004"/>
      <c r="I20" s="31"/>
      <c r="J20" s="1005">
        <v>0.15</v>
      </c>
    </row>
    <row r="21" spans="1:14" s="781" customFormat="1" ht="18" customHeight="1" x14ac:dyDescent="0.25">
      <c r="A21" s="1003" t="s">
        <v>5050</v>
      </c>
      <c r="B21" s="1003"/>
      <c r="C21" s="31"/>
      <c r="D21" s="31"/>
      <c r="E21" s="31"/>
      <c r="F21" s="31"/>
      <c r="G21" s="31"/>
      <c r="H21" s="1004"/>
      <c r="I21" s="31"/>
      <c r="J21" s="1005">
        <v>0.09</v>
      </c>
    </row>
    <row r="22" spans="1:14" s="781" customFormat="1" ht="18" customHeight="1" x14ac:dyDescent="0.25">
      <c r="A22" s="1003" t="s">
        <v>5051</v>
      </c>
      <c r="B22" s="1003"/>
      <c r="C22" s="31"/>
      <c r="D22" s="31"/>
      <c r="E22" s="31"/>
      <c r="F22" s="31"/>
      <c r="G22" s="31"/>
      <c r="H22" s="1004"/>
      <c r="I22" s="31"/>
      <c r="J22" s="1004">
        <f>IF(J16&lt;=10000000, J21, IF(J16&gt;=15000000, J20, IF(AND(J16&gt;10000000, J16&lt;15000000), J21+ (J16 - 10000000)*(J20 - J21)/(15000000-10000000))))</f>
        <v>0.09</v>
      </c>
    </row>
    <row r="23" spans="1:14" s="781" customFormat="1" ht="18" customHeight="1" x14ac:dyDescent="0.25">
      <c r="A23" s="1003" t="s">
        <v>5052</v>
      </c>
      <c r="B23" s="1003"/>
      <c r="C23" s="31"/>
      <c r="D23" s="31"/>
      <c r="E23" s="31"/>
      <c r="F23" s="31"/>
      <c r="G23" s="31"/>
      <c r="H23" s="1004"/>
      <c r="I23" s="31"/>
      <c r="J23" s="1005">
        <v>0.115</v>
      </c>
    </row>
    <row r="24" spans="1:14" s="781" customFormat="1" ht="18" customHeight="1" x14ac:dyDescent="0.25">
      <c r="A24" s="1003" t="s">
        <v>5053</v>
      </c>
      <c r="B24" s="1003"/>
      <c r="C24" s="31"/>
      <c r="D24" s="31"/>
      <c r="E24" s="31"/>
      <c r="F24" s="31"/>
      <c r="G24" s="31"/>
      <c r="H24" s="1004"/>
      <c r="I24" s="31"/>
      <c r="J24" s="1005">
        <v>3.2000000000000001E-2</v>
      </c>
    </row>
    <row r="25" spans="1:14" s="781" customFormat="1" ht="18" customHeight="1" x14ac:dyDescent="0.25">
      <c r="A25" s="1003" t="s">
        <v>5054</v>
      </c>
      <c r="B25" s="1003"/>
      <c r="C25" s="31"/>
      <c r="D25" s="31"/>
      <c r="E25" s="31"/>
      <c r="F25" s="31"/>
      <c r="G25" s="31"/>
      <c r="H25" s="1004"/>
      <c r="I25" s="31"/>
      <c r="J25" s="1004">
        <f>IF(J16&lt;=10000000, J24, IF(J16&gt;=15000000, J23, IF(AND(J16&gt;10000000, J16&lt;15000000), J24+ (J16 - 10000000)*(J23 - J24)/(15000000-10000000))))</f>
        <v>3.2000000000000001E-2</v>
      </c>
    </row>
    <row r="26" spans="1:14" s="781" customFormat="1" ht="15" x14ac:dyDescent="0.25">
      <c r="A26" s="1003"/>
      <c r="B26" s="1003"/>
      <c r="C26" s="31"/>
      <c r="D26" s="31"/>
      <c r="E26" s="31"/>
      <c r="F26" s="31"/>
      <c r="G26" s="31"/>
      <c r="H26" s="1006"/>
      <c r="I26" s="31"/>
      <c r="J26" s="1000"/>
    </row>
    <row r="27" spans="1:14" s="781" customFormat="1" ht="15" x14ac:dyDescent="0.25">
      <c r="A27" s="1003" t="s">
        <v>5055</v>
      </c>
      <c r="B27" s="1003"/>
      <c r="C27" s="31"/>
      <c r="D27" s="31"/>
      <c r="E27" s="31"/>
      <c r="F27" s="31"/>
      <c r="G27" s="31"/>
      <c r="H27" s="1007"/>
      <c r="I27" s="31"/>
      <c r="J27" s="1000">
        <v>500000</v>
      </c>
    </row>
    <row r="28" spans="1:14" s="781" customFormat="1" ht="15" x14ac:dyDescent="0.25">
      <c r="A28" s="1003" t="s">
        <v>5056</v>
      </c>
      <c r="B28" s="1003"/>
      <c r="C28" s="31"/>
      <c r="D28" s="31"/>
      <c r="E28" s="31"/>
      <c r="F28" s="31"/>
      <c r="G28" s="31"/>
      <c r="H28" s="1007"/>
      <c r="I28" s="31"/>
      <c r="J28" s="1000">
        <v>500000</v>
      </c>
    </row>
    <row r="29" spans="1:14" s="781" customFormat="1" ht="15" x14ac:dyDescent="0.25">
      <c r="A29" s="1003"/>
      <c r="B29" s="1003"/>
      <c r="C29" s="31"/>
      <c r="D29" s="31"/>
      <c r="E29" s="31"/>
      <c r="F29" s="31"/>
      <c r="G29" s="31"/>
      <c r="H29" s="1006"/>
      <c r="I29" s="31"/>
      <c r="J29" s="1000"/>
    </row>
    <row r="30" spans="1:14" s="781" customFormat="1" ht="15" x14ac:dyDescent="0.25">
      <c r="A30" s="1003" t="s">
        <v>5057</v>
      </c>
      <c r="B30" s="1003"/>
      <c r="C30" s="31"/>
      <c r="D30" s="31"/>
      <c r="E30" s="31"/>
      <c r="F30" s="31"/>
      <c r="G30" s="31"/>
      <c r="H30" s="1008"/>
      <c r="I30" s="31"/>
      <c r="J30" s="1008">
        <f>IF(J18&lt;500000,J18,500000)*J22+IF(J18&gt;500000,J18-500000,0)*J20</f>
        <v>0</v>
      </c>
    </row>
    <row r="31" spans="1:14" s="781" customFormat="1" ht="15" x14ac:dyDescent="0.25">
      <c r="A31" s="1003" t="s">
        <v>5058</v>
      </c>
      <c r="B31" s="1003"/>
      <c r="C31" s="31"/>
      <c r="D31" s="31"/>
      <c r="E31" s="31"/>
      <c r="F31" s="31"/>
      <c r="G31" s="31"/>
      <c r="H31" s="1008"/>
      <c r="I31" s="31"/>
      <c r="J31" s="1008">
        <f>IF(J18&lt;J28,J18,J28)*J25+IF(J18&gt;J28,J18-J28,0)*J23</f>
        <v>0</v>
      </c>
    </row>
    <row r="32" spans="1:14" s="781" customFormat="1" ht="15" x14ac:dyDescent="0.25">
      <c r="A32" s="1003"/>
      <c r="B32" s="1003"/>
      <c r="C32" s="31"/>
      <c r="D32" s="31"/>
      <c r="E32" s="31"/>
      <c r="F32" s="31"/>
      <c r="G32" s="31"/>
      <c r="H32" s="31"/>
      <c r="I32" s="31"/>
      <c r="J32" s="1002"/>
    </row>
    <row r="33" spans="1:14" s="781" customFormat="1" ht="15" x14ac:dyDescent="0.25">
      <c r="A33" s="1003" t="s">
        <v>5059</v>
      </c>
      <c r="B33" s="1003"/>
      <c r="C33" s="31"/>
      <c r="D33" s="31"/>
      <c r="E33" s="31"/>
      <c r="F33" s="31"/>
      <c r="G33" s="31"/>
      <c r="H33" s="1009"/>
      <c r="I33" s="1010"/>
      <c r="J33" s="1009">
        <f>IFERROR(J30/J18,0)</f>
        <v>0</v>
      </c>
    </row>
    <row r="34" spans="1:14" s="781" customFormat="1" ht="15" x14ac:dyDescent="0.25">
      <c r="A34" s="1003" t="s">
        <v>5060</v>
      </c>
      <c r="B34" s="1003"/>
      <c r="C34" s="31"/>
      <c r="D34" s="31"/>
      <c r="E34" s="31"/>
      <c r="F34" s="31"/>
      <c r="G34" s="31"/>
      <c r="H34" s="1009"/>
      <c r="I34" s="1011"/>
      <c r="J34" s="1012">
        <f>IFERROR(J31/J18,0)</f>
        <v>0</v>
      </c>
    </row>
    <row r="35" spans="1:14" s="781" customFormat="1" ht="15" x14ac:dyDescent="0.25">
      <c r="A35" s="1003"/>
      <c r="B35" s="1003"/>
      <c r="C35" s="31"/>
      <c r="D35" s="31"/>
      <c r="E35" s="31"/>
      <c r="F35" s="31"/>
      <c r="G35" s="31"/>
      <c r="H35" s="1009"/>
      <c r="I35" s="31"/>
      <c r="J35" s="1009"/>
    </row>
    <row r="36" spans="1:14" s="781" customFormat="1" ht="15" x14ac:dyDescent="0.25">
      <c r="A36" s="1003" t="s">
        <v>5061</v>
      </c>
      <c r="B36" s="1003"/>
      <c r="C36" s="31"/>
      <c r="D36" s="31"/>
      <c r="E36" s="31"/>
      <c r="F36" s="31"/>
      <c r="G36" s="31"/>
      <c r="H36" s="1023">
        <v>0</v>
      </c>
      <c r="I36" s="31"/>
      <c r="J36" s="1013">
        <f>SUM(J33:J34)</f>
        <v>0</v>
      </c>
    </row>
    <row r="37" spans="1:14" s="781" customFormat="1" ht="15" x14ac:dyDescent="0.25">
      <c r="A37" s="1003"/>
      <c r="B37" s="1003"/>
      <c r="C37" s="31"/>
      <c r="D37" s="31"/>
      <c r="E37" s="31"/>
      <c r="F37" s="31"/>
      <c r="G37" s="31"/>
      <c r="H37" s="31"/>
      <c r="I37" s="31"/>
      <c r="J37" s="1002"/>
    </row>
    <row r="38" spans="1:14" s="781" customFormat="1" ht="15" x14ac:dyDescent="0.25">
      <c r="A38" s="1003" t="s">
        <v>5062</v>
      </c>
      <c r="B38" s="1003"/>
      <c r="C38" s="31"/>
      <c r="D38" s="31"/>
      <c r="E38" s="31"/>
      <c r="F38" s="31"/>
      <c r="G38" s="31"/>
      <c r="H38" s="1014">
        <f>H18*H36</f>
        <v>0</v>
      </c>
      <c r="I38" s="31"/>
      <c r="J38" s="1000">
        <f>J18*J36</f>
        <v>0</v>
      </c>
    </row>
    <row r="39" spans="1:14" s="781" customFormat="1" ht="15" x14ac:dyDescent="0.25">
      <c r="A39" s="1003"/>
      <c r="B39" s="1003"/>
      <c r="C39" s="31"/>
      <c r="D39" s="31"/>
      <c r="E39" s="31"/>
      <c r="F39" s="31"/>
      <c r="G39" s="31"/>
      <c r="H39" s="1014"/>
      <c r="I39" s="31"/>
      <c r="J39" s="1000"/>
    </row>
    <row r="40" spans="1:14" s="781" customFormat="1" ht="15" x14ac:dyDescent="0.25">
      <c r="A40" s="1003" t="s">
        <v>5063</v>
      </c>
      <c r="B40" s="1003"/>
      <c r="C40" s="31"/>
      <c r="D40" s="31"/>
      <c r="E40" s="31"/>
      <c r="F40" s="31"/>
      <c r="G40" s="31"/>
      <c r="H40" s="1022">
        <v>0</v>
      </c>
      <c r="I40" s="31"/>
      <c r="J40" s="1000">
        <f>H40</f>
        <v>0</v>
      </c>
    </row>
    <row r="41" spans="1:14" s="781" customFormat="1" ht="15" x14ac:dyDescent="0.25">
      <c r="A41" s="1003"/>
      <c r="B41" s="1003"/>
      <c r="C41" s="31"/>
      <c r="D41" s="31"/>
      <c r="E41" s="31"/>
      <c r="F41" s="31"/>
      <c r="G41" s="31"/>
      <c r="H41" s="1014"/>
      <c r="I41" s="31"/>
      <c r="J41" s="1000"/>
    </row>
    <row r="42" spans="1:14" s="781" customFormat="1" ht="15" x14ac:dyDescent="0.25">
      <c r="A42" s="1636" t="s">
        <v>5064</v>
      </c>
      <c r="B42" s="1003"/>
      <c r="C42" s="31"/>
      <c r="D42" s="31"/>
      <c r="E42" s="31"/>
      <c r="F42" s="31"/>
      <c r="G42" s="31"/>
      <c r="H42" s="1014">
        <f>IF(H38-H40&lt;0,0,H38-H40)</f>
        <v>0</v>
      </c>
      <c r="I42" s="31"/>
      <c r="J42" s="1014">
        <f>IF(J38-J40&lt;0,0,J38-J40)</f>
        <v>0</v>
      </c>
    </row>
    <row r="43" spans="1:14" s="781" customFormat="1" ht="15" x14ac:dyDescent="0.25">
      <c r="A43" s="705"/>
      <c r="B43" s="31"/>
      <c r="C43" s="31"/>
      <c r="D43" s="31"/>
      <c r="E43" s="31"/>
      <c r="F43" s="31"/>
      <c r="G43" s="31"/>
      <c r="H43" s="31"/>
      <c r="I43" s="31"/>
      <c r="J43" s="1002"/>
    </row>
    <row r="44" spans="1:14" s="779" customFormat="1" x14ac:dyDescent="0.3">
      <c r="A44" s="1015" t="s">
        <v>5065</v>
      </c>
      <c r="B44" s="31"/>
      <c r="C44" s="31"/>
      <c r="D44" s="31"/>
      <c r="E44" s="31"/>
      <c r="F44" s="31"/>
      <c r="G44" s="31"/>
      <c r="H44" s="1014">
        <f>H42/(1-H36)</f>
        <v>0</v>
      </c>
      <c r="I44" s="31"/>
      <c r="J44" s="1014">
        <f>J42/(1-J36)</f>
        <v>0</v>
      </c>
      <c r="K44" s="1193"/>
      <c r="L44" s="1193"/>
      <c r="M44" s="1193"/>
      <c r="N44" s="1193"/>
    </row>
    <row r="45" spans="1:14" s="781" customFormat="1" ht="15" x14ac:dyDescent="0.25">
      <c r="A45" s="1003"/>
      <c r="B45" s="31"/>
      <c r="C45" s="31"/>
      <c r="D45" s="31"/>
      <c r="E45" s="31"/>
      <c r="F45" s="31"/>
      <c r="G45" s="31"/>
      <c r="H45" s="31"/>
      <c r="I45" s="31"/>
      <c r="J45" s="1002"/>
    </row>
    <row r="46" spans="1:14" s="781" customFormat="1" ht="15" x14ac:dyDescent="0.25">
      <c r="A46" s="1636" t="s">
        <v>5066</v>
      </c>
      <c r="B46" s="31"/>
      <c r="C46" s="31"/>
      <c r="D46" s="31"/>
      <c r="E46" s="31"/>
      <c r="F46" s="31"/>
      <c r="G46" s="31"/>
      <c r="H46" s="31"/>
      <c r="I46" s="31"/>
      <c r="J46" s="1000">
        <f>J44-H44</f>
        <v>0</v>
      </c>
    </row>
    <row r="47" spans="1:14" s="781" customFormat="1" ht="15" x14ac:dyDescent="0.25">
      <c r="A47" s="1003"/>
      <c r="B47" s="31"/>
      <c r="C47" s="31"/>
      <c r="D47" s="31"/>
      <c r="E47" s="31"/>
      <c r="F47" s="31"/>
      <c r="G47" s="31"/>
      <c r="H47" s="31"/>
      <c r="I47" s="31"/>
      <c r="J47" s="1002"/>
    </row>
    <row r="48" spans="1:14" s="781" customFormat="1" ht="15" x14ac:dyDescent="0.25">
      <c r="A48" s="1016" t="s">
        <v>1418</v>
      </c>
      <c r="B48" s="1017"/>
      <c r="C48" s="1017"/>
      <c r="D48" s="1017"/>
      <c r="E48" s="1017"/>
      <c r="F48" s="1017"/>
      <c r="G48" s="1017"/>
      <c r="H48" s="1017"/>
      <c r="I48" s="1017"/>
      <c r="J48" s="1018">
        <f>0.5*J46</f>
        <v>0</v>
      </c>
    </row>
    <row r="49" spans="1:14" s="781" customFormat="1" ht="15" x14ac:dyDescent="0.25"/>
    <row r="50" spans="1:14" s="779" customFormat="1" ht="18" x14ac:dyDescent="0.35">
      <c r="A50" s="1019" t="s">
        <v>5067</v>
      </c>
      <c r="B50" s="1193"/>
      <c r="C50" s="1193"/>
      <c r="D50" s="1193"/>
      <c r="E50" s="1193"/>
      <c r="F50" s="1193"/>
      <c r="G50" s="1193"/>
      <c r="H50" s="786"/>
      <c r="I50" s="786"/>
      <c r="J50" s="786"/>
      <c r="K50" s="1193"/>
      <c r="L50" s="1193"/>
      <c r="M50" s="1193"/>
      <c r="N50" s="1193"/>
    </row>
    <row r="51" spans="1:14" s="779" customFormat="1" x14ac:dyDescent="0.3"/>
    <row r="52" spans="1:14" s="779" customFormat="1" x14ac:dyDescent="0.3">
      <c r="A52" s="1020" t="s">
        <v>5068</v>
      </c>
    </row>
    <row r="53" spans="1:14" s="779" customFormat="1" x14ac:dyDescent="0.3">
      <c r="A53" s="1021" t="s">
        <v>5069</v>
      </c>
    </row>
    <row r="54" spans="1:14" s="779" customFormat="1" x14ac:dyDescent="0.3">
      <c r="A54" s="1021" t="s">
        <v>5070</v>
      </c>
    </row>
    <row r="55" spans="1:14" s="779" customFormat="1" x14ac:dyDescent="0.3">
      <c r="A55" s="1021" t="s">
        <v>5071</v>
      </c>
    </row>
    <row r="56" spans="1:14" s="779" customFormat="1" x14ac:dyDescent="0.3">
      <c r="A56" s="1021"/>
    </row>
    <row r="57" spans="1:14" s="779" customFormat="1" x14ac:dyDescent="0.3">
      <c r="A57" s="1020" t="s">
        <v>5072</v>
      </c>
    </row>
  </sheetData>
  <sheetProtection algorithmName="SHA-512" hashValue="0Vfyv/zLysqDKRJf2SYgcfFUjByDyUYvqUd3z+ue/fsfhgqN3G55b9KgtxH7u7vb97RyCSScs5D71om7/oMN5g==" saltValue="zHE8tOcDHRly/NImyM4Nhw==" spinCount="100000" sheet="1" objects="1" scenarios="1"/>
  <pageMargins left="0.25" right="0.25" top="0.75" bottom="0.75" header="0.3" footer="0.3"/>
  <pageSetup scale="62" orientation="portrait" r:id="rId1"/>
  <headerFooter>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2:X39"/>
  <sheetViews>
    <sheetView showGridLines="0" view="pageBreakPreview" zoomScale="60" zoomScaleNormal="100" workbookViewId="0">
      <selection activeCell="B2" sqref="B2"/>
    </sheetView>
  </sheetViews>
  <sheetFormatPr defaultColWidth="9.33203125" defaultRowHeight="14.4" x14ac:dyDescent="0.3"/>
  <cols>
    <col min="1" max="1" width="61.5546875" style="1193" bestFit="1" customWidth="1"/>
    <col min="2" max="2" width="9.33203125" style="1193"/>
    <col min="3" max="3" width="23.5546875" style="1193" customWidth="1"/>
    <col min="4" max="5" width="16" style="1193" bestFit="1" customWidth="1"/>
    <col min="6" max="6" width="12.6640625" style="1193" bestFit="1" customWidth="1"/>
    <col min="7" max="7" width="16.5546875" style="1193" bestFit="1" customWidth="1"/>
    <col min="8" max="9" width="16.6640625" style="1193" bestFit="1" customWidth="1"/>
    <col min="10" max="10" width="19.6640625" style="1193" customWidth="1"/>
    <col min="11" max="11" width="15.33203125" style="1193" bestFit="1" customWidth="1"/>
    <col min="12" max="13" width="16.6640625" style="1193" bestFit="1" customWidth="1"/>
    <col min="14" max="14" width="19.33203125" style="1193" bestFit="1" customWidth="1"/>
    <col min="15" max="15" width="23.33203125" style="1193" customWidth="1"/>
    <col min="16" max="16" width="17.6640625" style="1193" bestFit="1" customWidth="1"/>
    <col min="17" max="18" width="19.33203125" style="1193" bestFit="1" customWidth="1"/>
    <col min="19" max="19" width="17.5546875" style="1193" bestFit="1" customWidth="1"/>
    <col min="20" max="16384" width="9.33203125" style="1193"/>
  </cols>
  <sheetData>
    <row r="2" spans="1:16" x14ac:dyDescent="0.3">
      <c r="B2" s="791"/>
    </row>
    <row r="12" spans="1:16" ht="33" customHeight="1" x14ac:dyDescent="0.3">
      <c r="A12" s="1916" t="s">
        <v>5928</v>
      </c>
      <c r="B12" s="1871"/>
      <c r="C12" s="1871"/>
      <c r="D12" s="1871"/>
      <c r="E12" s="1871"/>
      <c r="F12" s="1871"/>
      <c r="G12" s="1871"/>
      <c r="H12" s="1871"/>
    </row>
    <row r="13" spans="1:16" ht="30" customHeight="1" x14ac:dyDescent="0.3">
      <c r="A13" s="782" t="s">
        <v>2032</v>
      </c>
    </row>
    <row r="15" spans="1:16" s="790" customFormat="1" ht="52.8" x14ac:dyDescent="0.25">
      <c r="A15" s="788" t="s">
        <v>48</v>
      </c>
      <c r="B15" s="789"/>
      <c r="C15" s="789" t="s">
        <v>1892</v>
      </c>
      <c r="D15" s="789" t="s">
        <v>1893</v>
      </c>
      <c r="E15" s="789" t="s">
        <v>1894</v>
      </c>
      <c r="F15" s="789" t="s">
        <v>2302</v>
      </c>
      <c r="G15" s="789" t="s">
        <v>1895</v>
      </c>
      <c r="H15" s="789" t="s">
        <v>1896</v>
      </c>
      <c r="I15" s="789" t="s">
        <v>1897</v>
      </c>
      <c r="J15" s="789" t="s">
        <v>1898</v>
      </c>
      <c r="K15" s="789" t="s">
        <v>1899</v>
      </c>
      <c r="L15" s="789" t="s">
        <v>1900</v>
      </c>
      <c r="M15" s="789" t="s">
        <v>1901</v>
      </c>
      <c r="N15" s="789" t="s">
        <v>1902</v>
      </c>
      <c r="O15" s="789" t="s">
        <v>1903</v>
      </c>
      <c r="P15" s="789" t="s">
        <v>1904</v>
      </c>
    </row>
    <row r="17" spans="1:24" ht="15.75" customHeight="1" thickBot="1" x14ac:dyDescent="0.35">
      <c r="A17" s="1663" t="s">
        <v>427</v>
      </c>
      <c r="B17" s="1193" t="s">
        <v>154</v>
      </c>
      <c r="C17" s="1563"/>
      <c r="D17" s="1564"/>
      <c r="E17" s="1564"/>
      <c r="F17" s="1569"/>
      <c r="G17" s="1572"/>
      <c r="H17" s="1573"/>
      <c r="I17" s="1527">
        <f t="shared" ref="I17:I23" si="0">F17*C17*12</f>
        <v>0</v>
      </c>
      <c r="J17" s="1527">
        <f t="shared" ref="J17:K23" si="1">D17*G17</f>
        <v>0</v>
      </c>
      <c r="K17" s="1527">
        <f t="shared" si="1"/>
        <v>0</v>
      </c>
      <c r="L17" s="1527">
        <f t="shared" ref="L17:L23" si="2">I17+J17+K17</f>
        <v>0</v>
      </c>
      <c r="M17" s="1579">
        <f t="shared" ref="M17:M23" si="3">IF(ISERROR(I17/L17),0,I17/L17)</f>
        <v>0</v>
      </c>
      <c r="N17" s="1579">
        <f t="shared" ref="N17:N23" si="4">IF(ISERROR(J17/L17),0,J17/L17)</f>
        <v>0</v>
      </c>
      <c r="O17" s="1579">
        <f t="shared" ref="O17:O23" si="5">IF(ISERROR(K17/L17),0,K17/L17)</f>
        <v>0</v>
      </c>
      <c r="P17" s="1579">
        <f>IF(ISERROR(L17/L24),0,L17/L24)</f>
        <v>0</v>
      </c>
    </row>
    <row r="18" spans="1:24" ht="15.75" customHeight="1" thickBot="1" x14ac:dyDescent="0.35">
      <c r="A18" s="1663" t="s">
        <v>2522</v>
      </c>
      <c r="B18" s="1193" t="s">
        <v>154</v>
      </c>
      <c r="C18" s="1565"/>
      <c r="D18" s="1566"/>
      <c r="E18" s="1566"/>
      <c r="F18" s="1570"/>
      <c r="G18" s="1574"/>
      <c r="H18" s="1575"/>
      <c r="I18" s="1527">
        <f t="shared" si="0"/>
        <v>0</v>
      </c>
      <c r="J18" s="1527">
        <f t="shared" si="1"/>
        <v>0</v>
      </c>
      <c r="K18" s="1527">
        <f t="shared" si="1"/>
        <v>0</v>
      </c>
      <c r="L18" s="1527">
        <f t="shared" si="2"/>
        <v>0</v>
      </c>
      <c r="M18" s="1579">
        <f t="shared" si="3"/>
        <v>0</v>
      </c>
      <c r="N18" s="1579">
        <f t="shared" si="4"/>
        <v>0</v>
      </c>
      <c r="O18" s="1579">
        <f t="shared" si="5"/>
        <v>0</v>
      </c>
      <c r="P18" s="1579">
        <f>IF(ISERROR(L18/L24),0,L18/L24)</f>
        <v>0</v>
      </c>
    </row>
    <row r="19" spans="1:24" ht="15.75" customHeight="1" thickBot="1" x14ac:dyDescent="0.35">
      <c r="A19" s="1663" t="s">
        <v>611</v>
      </c>
      <c r="B19" s="1193" t="s">
        <v>155</v>
      </c>
      <c r="C19" s="1565"/>
      <c r="D19" s="1566"/>
      <c r="E19" s="1566"/>
      <c r="F19" s="1570"/>
      <c r="G19" s="1574"/>
      <c r="H19" s="1575"/>
      <c r="I19" s="1527">
        <f t="shared" si="0"/>
        <v>0</v>
      </c>
      <c r="J19" s="1527">
        <f t="shared" si="1"/>
        <v>0</v>
      </c>
      <c r="K19" s="1527">
        <f t="shared" si="1"/>
        <v>0</v>
      </c>
      <c r="L19" s="1527">
        <f t="shared" si="2"/>
        <v>0</v>
      </c>
      <c r="M19" s="1579">
        <f t="shared" si="3"/>
        <v>0</v>
      </c>
      <c r="N19" s="1579">
        <f t="shared" si="4"/>
        <v>0</v>
      </c>
      <c r="O19" s="1579">
        <f t="shared" si="5"/>
        <v>0</v>
      </c>
      <c r="P19" s="1579">
        <f>IF(ISERROR(L19/L24),0,L19/L24)</f>
        <v>0</v>
      </c>
    </row>
    <row r="20" spans="1:24" ht="15.75" customHeight="1" thickBot="1" x14ac:dyDescent="0.35">
      <c r="A20" s="1663" t="s">
        <v>612</v>
      </c>
      <c r="B20" s="1193" t="s">
        <v>155</v>
      </c>
      <c r="C20" s="1565"/>
      <c r="D20" s="1566"/>
      <c r="E20" s="1566"/>
      <c r="F20" s="1570"/>
      <c r="G20" s="1574"/>
      <c r="H20" s="1575"/>
      <c r="I20" s="1527">
        <f t="shared" si="0"/>
        <v>0</v>
      </c>
      <c r="J20" s="1527">
        <f t="shared" si="1"/>
        <v>0</v>
      </c>
      <c r="K20" s="1527">
        <f t="shared" si="1"/>
        <v>0</v>
      </c>
      <c r="L20" s="1527">
        <f t="shared" si="2"/>
        <v>0</v>
      </c>
      <c r="M20" s="1579">
        <f t="shared" si="3"/>
        <v>0</v>
      </c>
      <c r="N20" s="1579">
        <f t="shared" si="4"/>
        <v>0</v>
      </c>
      <c r="O20" s="1579">
        <f t="shared" si="5"/>
        <v>0</v>
      </c>
      <c r="P20" s="1579">
        <f>IF(ISERROR(L20/L24),0,L20/L24)</f>
        <v>0</v>
      </c>
    </row>
    <row r="21" spans="1:24" ht="15.75" customHeight="1" thickBot="1" x14ac:dyDescent="0.35">
      <c r="A21" s="1663" t="s">
        <v>592</v>
      </c>
      <c r="B21" s="1193" t="s">
        <v>154</v>
      </c>
      <c r="C21" s="1565"/>
      <c r="D21" s="1566"/>
      <c r="E21" s="1566"/>
      <c r="F21" s="1570"/>
      <c r="G21" s="1574"/>
      <c r="H21" s="1575"/>
      <c r="I21" s="1527">
        <f t="shared" si="0"/>
        <v>0</v>
      </c>
      <c r="J21" s="1527">
        <f t="shared" si="1"/>
        <v>0</v>
      </c>
      <c r="K21" s="1527">
        <f t="shared" si="1"/>
        <v>0</v>
      </c>
      <c r="L21" s="1527">
        <f t="shared" si="2"/>
        <v>0</v>
      </c>
      <c r="M21" s="1579">
        <f t="shared" si="3"/>
        <v>0</v>
      </c>
      <c r="N21" s="1579">
        <f t="shared" si="4"/>
        <v>0</v>
      </c>
      <c r="O21" s="1579">
        <f t="shared" si="5"/>
        <v>0</v>
      </c>
      <c r="P21" s="1579">
        <f>IF(ISERROR(L21/L24),0,L21/L24)</f>
        <v>0</v>
      </c>
    </row>
    <row r="22" spans="1:24" ht="15.75" customHeight="1" thickBot="1" x14ac:dyDescent="0.35">
      <c r="A22" s="1663" t="s">
        <v>604</v>
      </c>
      <c r="B22" s="1193" t="s">
        <v>155</v>
      </c>
      <c r="C22" s="1565"/>
      <c r="D22" s="1566"/>
      <c r="E22" s="1566"/>
      <c r="F22" s="1570"/>
      <c r="G22" s="1574"/>
      <c r="H22" s="1575"/>
      <c r="I22" s="1527">
        <f t="shared" si="0"/>
        <v>0</v>
      </c>
      <c r="J22" s="1527">
        <f t="shared" si="1"/>
        <v>0</v>
      </c>
      <c r="K22" s="1527">
        <f t="shared" si="1"/>
        <v>0</v>
      </c>
      <c r="L22" s="1527">
        <f t="shared" si="2"/>
        <v>0</v>
      </c>
      <c r="M22" s="1579">
        <f t="shared" si="3"/>
        <v>0</v>
      </c>
      <c r="N22" s="1579">
        <f t="shared" si="4"/>
        <v>0</v>
      </c>
      <c r="O22" s="1579">
        <f t="shared" si="5"/>
        <v>0</v>
      </c>
      <c r="P22" s="1579">
        <f>IF(ISERROR(L22/L24),0,L22/L24)</f>
        <v>0</v>
      </c>
    </row>
    <row r="23" spans="1:24" ht="15.75" customHeight="1" thickBot="1" x14ac:dyDescent="0.35">
      <c r="A23" s="1471" t="s">
        <v>590</v>
      </c>
      <c r="B23" s="383" t="s">
        <v>155</v>
      </c>
      <c r="C23" s="1567"/>
      <c r="D23" s="1568"/>
      <c r="E23" s="1568"/>
      <c r="F23" s="1571"/>
      <c r="G23" s="1576"/>
      <c r="H23" s="1577"/>
      <c r="I23" s="1528">
        <f t="shared" si="0"/>
        <v>0</v>
      </c>
      <c r="J23" s="1528">
        <f t="shared" si="1"/>
        <v>0</v>
      </c>
      <c r="K23" s="1528">
        <f t="shared" si="1"/>
        <v>0</v>
      </c>
      <c r="L23" s="1528">
        <f t="shared" si="2"/>
        <v>0</v>
      </c>
      <c r="M23" s="1580">
        <f t="shared" si="3"/>
        <v>0</v>
      </c>
      <c r="N23" s="1580">
        <f t="shared" si="4"/>
        <v>0</v>
      </c>
      <c r="O23" s="1580">
        <f t="shared" si="5"/>
        <v>0</v>
      </c>
      <c r="P23" s="1580">
        <f>IF(ISERROR(L23/L24),0,L23/L24)</f>
        <v>0</v>
      </c>
      <c r="Q23" s="110"/>
      <c r="R23" s="110"/>
      <c r="S23" s="110"/>
      <c r="T23" s="110"/>
      <c r="U23" s="110"/>
      <c r="V23" s="110"/>
      <c r="W23" s="110"/>
      <c r="X23" s="110"/>
    </row>
    <row r="24" spans="1:24" x14ac:dyDescent="0.3">
      <c r="A24" s="1195" t="s">
        <v>47</v>
      </c>
      <c r="C24" s="1578">
        <f>SUM(C17:C23)</f>
        <v>0</v>
      </c>
      <c r="D24" s="1578">
        <f>SUM(D17:D23)</f>
        <v>0</v>
      </c>
      <c r="E24" s="1578">
        <f>SUM(E17:E23)</f>
        <v>0</v>
      </c>
      <c r="I24" s="1527">
        <f>SUM(I17:I23)</f>
        <v>0</v>
      </c>
      <c r="J24" s="1527">
        <f>SUM(J17:J23)</f>
        <v>0</v>
      </c>
      <c r="K24" s="1527">
        <f>SUM(K17:K23)</f>
        <v>0</v>
      </c>
      <c r="L24" s="1527">
        <f>SUM(L17:L23)</f>
        <v>0</v>
      </c>
      <c r="P24" s="1529">
        <f>SUM(P17:P23)</f>
        <v>0</v>
      </c>
    </row>
    <row r="27" spans="1:24" ht="39.6" x14ac:dyDescent="0.3">
      <c r="A27" s="1149" t="s">
        <v>48</v>
      </c>
      <c r="B27" s="1526"/>
      <c r="C27" s="1526" t="s">
        <v>7368</v>
      </c>
      <c r="D27" s="1526" t="s">
        <v>7369</v>
      </c>
      <c r="E27" s="1526" t="s">
        <v>7370</v>
      </c>
      <c r="F27" s="1526" t="s">
        <v>7371</v>
      </c>
      <c r="G27" s="1526"/>
      <c r="H27" s="1526"/>
      <c r="I27" s="1526"/>
    </row>
    <row r="28" spans="1:24" ht="15.75" customHeight="1" x14ac:dyDescent="0.3">
      <c r="A28" s="1663" t="s">
        <v>427</v>
      </c>
      <c r="B28" s="1193" t="s">
        <v>154</v>
      </c>
      <c r="C28" s="1581">
        <v>45878451</v>
      </c>
      <c r="D28" s="1581">
        <v>0</v>
      </c>
      <c r="E28" s="1527">
        <f>P17*E35</f>
        <v>0</v>
      </c>
      <c r="F28" s="1583">
        <f>IF(ISERROR(E28/6324), 0,ROUND(E28/6324/12, 2))</f>
        <v>0</v>
      </c>
      <c r="G28" s="1193" t="s">
        <v>7372</v>
      </c>
    </row>
    <row r="29" spans="1:24" ht="15.75" customHeight="1" x14ac:dyDescent="0.3">
      <c r="A29" s="1663" t="s">
        <v>2522</v>
      </c>
      <c r="B29" s="1193" t="s">
        <v>154</v>
      </c>
      <c r="C29" s="1581">
        <v>22669052</v>
      </c>
      <c r="D29" s="1581">
        <v>0</v>
      </c>
      <c r="E29" s="1527">
        <f>P18*E35</f>
        <v>0</v>
      </c>
      <c r="F29" s="1584">
        <f>IF(ISERROR(E29/C29), 0,E29/C29)</f>
        <v>0</v>
      </c>
      <c r="G29" s="1193" t="s">
        <v>154</v>
      </c>
    </row>
    <row r="30" spans="1:24" ht="15.75" customHeight="1" x14ac:dyDescent="0.3">
      <c r="A30" s="1663" t="s">
        <v>611</v>
      </c>
      <c r="B30" s="1193" t="s">
        <v>155</v>
      </c>
      <c r="C30" s="1581">
        <v>52423807</v>
      </c>
      <c r="D30" s="1581">
        <v>143971</v>
      </c>
      <c r="E30" s="1527">
        <f>P19*E35</f>
        <v>0</v>
      </c>
      <c r="F30" s="1584">
        <f>IF(ISERROR(E30/D30), 0,E30/D30)</f>
        <v>0</v>
      </c>
      <c r="G30" s="1193" t="s">
        <v>155</v>
      </c>
    </row>
    <row r="31" spans="1:24" ht="15.75" customHeight="1" x14ac:dyDescent="0.3">
      <c r="A31" s="1663" t="s">
        <v>612</v>
      </c>
      <c r="B31" s="1193" t="s">
        <v>155</v>
      </c>
      <c r="C31" s="1581">
        <v>18101354</v>
      </c>
      <c r="D31" s="1581">
        <v>42600</v>
      </c>
      <c r="E31" s="1527">
        <f>P20*E35</f>
        <v>0</v>
      </c>
      <c r="F31" s="1584">
        <f>IF(ISERROR(E31/D31), 0,E31/D31)</f>
        <v>0</v>
      </c>
      <c r="G31" s="1193" t="s">
        <v>155</v>
      </c>
    </row>
    <row r="32" spans="1:24" ht="15.75" customHeight="1" x14ac:dyDescent="0.3">
      <c r="A32" s="1663" t="s">
        <v>592</v>
      </c>
      <c r="B32" s="1193" t="s">
        <v>154</v>
      </c>
      <c r="C32" s="1581">
        <v>585041</v>
      </c>
      <c r="D32" s="1581">
        <v>0</v>
      </c>
      <c r="E32" s="1527">
        <f>P21*E35</f>
        <v>0</v>
      </c>
      <c r="F32" s="1584">
        <f>IF(ISERROR(E32/C32), 0,E32/C32)</f>
        <v>0</v>
      </c>
      <c r="G32" s="1193" t="s">
        <v>154</v>
      </c>
    </row>
    <row r="33" spans="1:7" ht="15.75" customHeight="1" x14ac:dyDescent="0.3">
      <c r="A33" s="1663" t="s">
        <v>604</v>
      </c>
      <c r="B33" s="1193" t="s">
        <v>155</v>
      </c>
      <c r="C33" s="1581">
        <v>35563</v>
      </c>
      <c r="D33" s="1581">
        <v>99</v>
      </c>
      <c r="E33" s="1527">
        <f>P22*E35</f>
        <v>0</v>
      </c>
      <c r="F33" s="1584">
        <f>IF(ISERROR(E33/D33), 0,E33/D33)</f>
        <v>0</v>
      </c>
      <c r="G33" s="1193" t="s">
        <v>155</v>
      </c>
    </row>
    <row r="34" spans="1:7" ht="15.75" customHeight="1" thickBot="1" x14ac:dyDescent="0.35">
      <c r="A34" s="1471" t="s">
        <v>590</v>
      </c>
      <c r="B34" s="383" t="s">
        <v>155</v>
      </c>
      <c r="C34" s="1582">
        <v>517704</v>
      </c>
      <c r="D34" s="1582">
        <v>1429</v>
      </c>
      <c r="E34" s="1528">
        <f>P23*E35</f>
        <v>0</v>
      </c>
      <c r="F34" s="1585">
        <f>IF(ISERROR(E34/D34), 0,E34/D34)</f>
        <v>0</v>
      </c>
      <c r="G34" s="383" t="s">
        <v>155</v>
      </c>
    </row>
    <row r="35" spans="1:7" x14ac:dyDescent="0.3">
      <c r="A35" s="1195" t="s">
        <v>47</v>
      </c>
      <c r="C35" s="1581">
        <f>SUM(C28:C34)</f>
        <v>140210972</v>
      </c>
      <c r="D35" s="1581">
        <f>SUM(D28:D34)</f>
        <v>188099</v>
      </c>
      <c r="E35" s="1635">
        <f>ROUND('8. STS - Tax Change'!J48,2)</f>
        <v>0</v>
      </c>
      <c r="F35" s="1584"/>
    </row>
    <row r="39" spans="1:7" ht="15.6" x14ac:dyDescent="0.3">
      <c r="A39" s="1586"/>
    </row>
  </sheetData>
  <sheetProtection algorithmName="SHA-512" hashValue="mVGLMEgZgGdLnObZ2S4ZFmUHxvIPa2pGOYwP9MWJNOqY4OjSLKlCn1FxHh2PvNgH1fn0vl1BJ4K4is+2Sf5r1A==" saltValue="867pXf8WNKrH735Osd/fBQ==" spinCount="100000" sheet="1" objects="1" scenarios="1"/>
  <mergeCells count="1">
    <mergeCell ref="A12:H12"/>
  </mergeCells>
  <pageMargins left="0.25" right="0.25" top="0.75" bottom="0.75" header="0.3" footer="0.3"/>
  <pageSetup scale="32" orientation="portrait" r:id="rId1"/>
  <headerFooter>
    <oddFooter>&amp;C&amp;A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pageSetUpPr fitToPage="1"/>
  </sheetPr>
  <dimension ref="A13:L50"/>
  <sheetViews>
    <sheetView showGridLines="0" view="pageBreakPreview" zoomScale="60" zoomScaleNormal="100" workbookViewId="0">
      <selection activeCell="H27" sqref="H27"/>
    </sheetView>
  </sheetViews>
  <sheetFormatPr defaultColWidth="13.6640625" defaultRowHeight="13.2" x14ac:dyDescent="0.25"/>
  <cols>
    <col min="1" max="1" width="65.33203125" style="1196" customWidth="1"/>
    <col min="2" max="2" width="76" style="1196" bestFit="1" customWidth="1"/>
    <col min="3" max="3" width="6.33203125" style="1196" bestFit="1" customWidth="1"/>
    <col min="4" max="4" width="10.5546875" style="1196" customWidth="1"/>
    <col min="5" max="5" width="18.33203125" style="1196" customWidth="1"/>
    <col min="6" max="6" width="14" style="1196" customWidth="1"/>
    <col min="7" max="7" width="13.6640625" style="1196"/>
    <col min="8" max="8" width="14.5546875" style="1196" customWidth="1"/>
    <col min="9" max="16384" width="13.6640625" style="1196"/>
  </cols>
  <sheetData>
    <row r="13" spans="1:12" ht="33" customHeight="1" x14ac:dyDescent="0.25">
      <c r="A13" s="1813" t="s">
        <v>4387</v>
      </c>
      <c r="B13" s="1813"/>
      <c r="C13" s="1813"/>
      <c r="D13" s="1813"/>
      <c r="E13" s="1813"/>
      <c r="F13" s="1813"/>
      <c r="G13" s="1813"/>
      <c r="H13" s="1813"/>
      <c r="I13" s="233"/>
      <c r="J13" s="233"/>
      <c r="K13" s="233"/>
      <c r="L13" s="233"/>
    </row>
    <row r="15" spans="1:12" ht="41.4" x14ac:dyDescent="0.25">
      <c r="A15" s="4" t="s">
        <v>48</v>
      </c>
      <c r="B15" s="4" t="s">
        <v>144</v>
      </c>
      <c r="C15" s="234" t="s">
        <v>49</v>
      </c>
      <c r="D15" s="235" t="s">
        <v>343</v>
      </c>
      <c r="E15" s="236" t="s">
        <v>433</v>
      </c>
      <c r="F15" s="236" t="s">
        <v>434</v>
      </c>
      <c r="G15" s="237" t="s">
        <v>1458</v>
      </c>
      <c r="H15" s="238" t="s">
        <v>435</v>
      </c>
      <c r="I15" s="238"/>
    </row>
    <row r="16" spans="1:12" x14ac:dyDescent="0.25">
      <c r="D16" s="240"/>
      <c r="E16" s="239"/>
      <c r="F16" s="239"/>
      <c r="G16" s="240"/>
    </row>
    <row r="17" spans="1:8" x14ac:dyDescent="0.25">
      <c r="A17" s="1196" t="s">
        <v>7329</v>
      </c>
      <c r="B17" s="1196" t="s">
        <v>213</v>
      </c>
      <c r="C17" s="241" t="s">
        <v>20</v>
      </c>
      <c r="D17" s="1504">
        <v>6.6E-3</v>
      </c>
      <c r="E17" s="1505">
        <v>45878451</v>
      </c>
      <c r="F17" s="1505">
        <v>0</v>
      </c>
      <c r="G17" s="1503">
        <v>1.0452999999999999</v>
      </c>
      <c r="H17" s="239">
        <f>E17*G17</f>
        <v>47956744.830299996</v>
      </c>
    </row>
    <row r="18" spans="1:8" x14ac:dyDescent="0.25">
      <c r="A18" s="1196" t="s">
        <v>7329</v>
      </c>
      <c r="B18" s="1196" t="s">
        <v>209</v>
      </c>
      <c r="C18" s="241" t="s">
        <v>20</v>
      </c>
      <c r="D18" s="1504">
        <v>5.5999999999999999E-3</v>
      </c>
      <c r="E18" s="1505">
        <v>45878451</v>
      </c>
      <c r="F18" s="1505">
        <v>0</v>
      </c>
      <c r="G18" s="1503">
        <v>1.0452999999999999</v>
      </c>
      <c r="H18" s="239">
        <f>E18*G18</f>
        <v>47956744.830299996</v>
      </c>
    </row>
    <row r="19" spans="1:8" x14ac:dyDescent="0.25">
      <c r="A19" s="1196" t="s">
        <v>7333</v>
      </c>
      <c r="B19" s="1196" t="s">
        <v>213</v>
      </c>
      <c r="C19" s="241" t="s">
        <v>20</v>
      </c>
      <c r="D19" s="1504">
        <v>6.1000000000000004E-3</v>
      </c>
      <c r="E19" s="1505">
        <v>22669052</v>
      </c>
      <c r="F19" s="1505">
        <v>0</v>
      </c>
      <c r="G19" s="1503">
        <v>1.0452999999999999</v>
      </c>
      <c r="H19" s="239">
        <f>E19*G19</f>
        <v>23695960.055599999</v>
      </c>
    </row>
    <row r="20" spans="1:8" x14ac:dyDescent="0.25">
      <c r="A20" s="1196" t="s">
        <v>7333</v>
      </c>
      <c r="B20" s="1196" t="s">
        <v>209</v>
      </c>
      <c r="C20" s="241" t="s">
        <v>20</v>
      </c>
      <c r="D20" s="1504">
        <v>5.1000000000000004E-3</v>
      </c>
      <c r="E20" s="1505">
        <v>22669052</v>
      </c>
      <c r="F20" s="1505">
        <v>0</v>
      </c>
      <c r="G20" s="1503">
        <v>1.0452999999999999</v>
      </c>
      <c r="H20" s="239">
        <f>E20*G20</f>
        <v>23695960.055599999</v>
      </c>
    </row>
    <row r="21" spans="1:8" x14ac:dyDescent="0.25">
      <c r="A21" s="1196" t="s">
        <v>7334</v>
      </c>
      <c r="B21" s="1196" t="s">
        <v>213</v>
      </c>
      <c r="C21" s="241" t="s">
        <v>29</v>
      </c>
      <c r="D21" s="1504">
        <v>2.4415</v>
      </c>
      <c r="E21" s="1505">
        <v>52423807</v>
      </c>
      <c r="F21" s="1505">
        <v>143971</v>
      </c>
      <c r="G21" s="240"/>
    </row>
    <row r="22" spans="1:8" x14ac:dyDescent="0.25">
      <c r="A22" s="1196" t="s">
        <v>7334</v>
      </c>
      <c r="B22" s="1196" t="s">
        <v>209</v>
      </c>
      <c r="C22" s="241" t="s">
        <v>29</v>
      </c>
      <c r="D22" s="1504">
        <v>2.0007000000000001</v>
      </c>
      <c r="E22" s="1505">
        <v>52423807</v>
      </c>
      <c r="F22" s="1505">
        <v>143971</v>
      </c>
      <c r="G22" s="240"/>
    </row>
    <row r="23" spans="1:8" x14ac:dyDescent="0.25">
      <c r="A23" s="1196" t="s">
        <v>7335</v>
      </c>
      <c r="B23" s="1196" t="s">
        <v>213</v>
      </c>
      <c r="C23" s="241" t="s">
        <v>29</v>
      </c>
      <c r="D23" s="1504">
        <v>2.7305000000000001</v>
      </c>
      <c r="E23" s="1505">
        <v>18101354</v>
      </c>
      <c r="F23" s="1505">
        <v>42600</v>
      </c>
      <c r="G23" s="240"/>
    </row>
    <row r="24" spans="1:8" x14ac:dyDescent="0.25">
      <c r="A24" s="1196" t="s">
        <v>7335</v>
      </c>
      <c r="B24" s="1196" t="s">
        <v>209</v>
      </c>
      <c r="C24" s="241" t="s">
        <v>29</v>
      </c>
      <c r="D24" s="1504">
        <v>2.3595000000000002</v>
      </c>
      <c r="E24" s="1505">
        <v>18101354</v>
      </c>
      <c r="F24" s="1505">
        <v>42600</v>
      </c>
      <c r="G24" s="240"/>
    </row>
    <row r="25" spans="1:8" x14ac:dyDescent="0.25">
      <c r="A25" s="1196" t="s">
        <v>7330</v>
      </c>
      <c r="B25" s="1196" t="s">
        <v>213</v>
      </c>
      <c r="C25" s="241" t="s">
        <v>20</v>
      </c>
      <c r="D25" s="1504">
        <v>6.1000000000000004E-3</v>
      </c>
      <c r="E25" s="1505">
        <v>585041</v>
      </c>
      <c r="F25" s="1505">
        <v>0</v>
      </c>
      <c r="G25" s="1503">
        <v>1.0452999999999999</v>
      </c>
      <c r="H25" s="239">
        <f>E25*G25</f>
        <v>611543.35729999992</v>
      </c>
    </row>
    <row r="26" spans="1:8" x14ac:dyDescent="0.25">
      <c r="A26" s="1196" t="s">
        <v>7330</v>
      </c>
      <c r="B26" s="1196" t="s">
        <v>209</v>
      </c>
      <c r="C26" s="241" t="s">
        <v>20</v>
      </c>
      <c r="D26" s="1504">
        <v>5.1000000000000004E-3</v>
      </c>
      <c r="E26" s="1505">
        <v>585041</v>
      </c>
      <c r="F26" s="1505">
        <v>0</v>
      </c>
      <c r="G26" s="1503">
        <v>1.0452999999999999</v>
      </c>
      <c r="H26" s="239">
        <f>E26*G26</f>
        <v>611543.35729999992</v>
      </c>
    </row>
    <row r="27" spans="1:8" x14ac:dyDescent="0.25">
      <c r="A27" s="1196" t="s">
        <v>7331</v>
      </c>
      <c r="B27" s="1196" t="s">
        <v>213</v>
      </c>
      <c r="C27" s="241" t="s">
        <v>29</v>
      </c>
      <c r="D27" s="1504">
        <v>1.8505</v>
      </c>
      <c r="E27" s="1505">
        <v>35563</v>
      </c>
      <c r="F27" s="1505">
        <v>99</v>
      </c>
      <c r="G27" s="240"/>
    </row>
    <row r="28" spans="1:8" x14ac:dyDescent="0.25">
      <c r="A28" s="1196" t="s">
        <v>7331</v>
      </c>
      <c r="B28" s="1196" t="s">
        <v>209</v>
      </c>
      <c r="C28" s="241" t="s">
        <v>29</v>
      </c>
      <c r="D28" s="1504">
        <v>1.5789</v>
      </c>
      <c r="E28" s="1505">
        <v>35563</v>
      </c>
      <c r="F28" s="1505">
        <v>99</v>
      </c>
      <c r="G28" s="240"/>
    </row>
    <row r="29" spans="1:8" x14ac:dyDescent="0.25">
      <c r="A29" s="1196" t="s">
        <v>7332</v>
      </c>
      <c r="B29" s="1196" t="s">
        <v>213</v>
      </c>
      <c r="C29" s="241" t="s">
        <v>29</v>
      </c>
      <c r="D29" s="1504">
        <v>1.8411999999999999</v>
      </c>
      <c r="E29" s="1505">
        <v>517704</v>
      </c>
      <c r="F29" s="1505">
        <v>1429</v>
      </c>
      <c r="G29" s="240"/>
    </row>
    <row r="30" spans="1:8" x14ac:dyDescent="0.25">
      <c r="A30" s="1196" t="s">
        <v>7332</v>
      </c>
      <c r="B30" s="1196" t="s">
        <v>209</v>
      </c>
      <c r="C30" s="241" t="s">
        <v>29</v>
      </c>
      <c r="D30" s="1504">
        <v>1.5467</v>
      </c>
      <c r="E30" s="1505">
        <v>517704</v>
      </c>
      <c r="F30" s="1505">
        <v>1429</v>
      </c>
      <c r="G30" s="240"/>
    </row>
    <row r="31" spans="1:8" x14ac:dyDescent="0.25">
      <c r="C31" s="241"/>
      <c r="D31" s="241"/>
    </row>
    <row r="32" spans="1:8" x14ac:dyDescent="0.25">
      <c r="C32" s="241"/>
      <c r="D32" s="241"/>
    </row>
    <row r="33" spans="3:4" x14ac:dyDescent="0.25">
      <c r="C33" s="241"/>
      <c r="D33" s="241"/>
    </row>
    <row r="34" spans="3:4" x14ac:dyDescent="0.25">
      <c r="C34" s="241"/>
      <c r="D34" s="241"/>
    </row>
    <row r="35" spans="3:4" x14ac:dyDescent="0.25">
      <c r="C35" s="241"/>
      <c r="D35" s="241"/>
    </row>
    <row r="36" spans="3:4" x14ac:dyDescent="0.25">
      <c r="C36" s="241"/>
      <c r="D36" s="241"/>
    </row>
    <row r="37" spans="3:4" x14ac:dyDescent="0.25">
      <c r="C37" s="241"/>
      <c r="D37" s="241"/>
    </row>
    <row r="38" spans="3:4" x14ac:dyDescent="0.25">
      <c r="C38" s="241"/>
      <c r="D38" s="241"/>
    </row>
    <row r="39" spans="3:4" x14ac:dyDescent="0.25">
      <c r="C39" s="241"/>
      <c r="D39" s="241"/>
    </row>
    <row r="40" spans="3:4" x14ac:dyDescent="0.25">
      <c r="C40" s="241"/>
      <c r="D40" s="241"/>
    </row>
    <row r="41" spans="3:4" x14ac:dyDescent="0.25">
      <c r="C41" s="241"/>
      <c r="D41" s="241"/>
    </row>
    <row r="42" spans="3:4" x14ac:dyDescent="0.25">
      <c r="C42" s="241"/>
      <c r="D42" s="241"/>
    </row>
    <row r="43" spans="3:4" x14ac:dyDescent="0.25">
      <c r="C43" s="241"/>
      <c r="D43" s="241"/>
    </row>
    <row r="44" spans="3:4" x14ac:dyDescent="0.25">
      <c r="C44" s="241"/>
      <c r="D44" s="241"/>
    </row>
    <row r="45" spans="3:4" x14ac:dyDescent="0.25">
      <c r="C45" s="241"/>
      <c r="D45" s="241"/>
    </row>
    <row r="46" spans="3:4" x14ac:dyDescent="0.25">
      <c r="C46" s="241"/>
      <c r="D46" s="241"/>
    </row>
    <row r="47" spans="3:4" x14ac:dyDescent="0.25">
      <c r="C47" s="241"/>
      <c r="D47" s="241"/>
    </row>
    <row r="48" spans="3:4" x14ac:dyDescent="0.25">
      <c r="C48" s="241"/>
      <c r="D48" s="241"/>
    </row>
    <row r="49" spans="3:4" x14ac:dyDescent="0.25">
      <c r="C49" s="241"/>
      <c r="D49" s="241"/>
    </row>
    <row r="50" spans="3:4" x14ac:dyDescent="0.25">
      <c r="C50" s="241"/>
      <c r="D50" s="241"/>
    </row>
  </sheetData>
  <sheetProtection algorithmName="SHA-512" hashValue="oMqEVC4Wmr7mkG2fTiTNgS5GJHCoJ040eM7jRcZgzdZmSPmxyYoDAzBFTnBMaCDKnbpeyF+xC6dZ9PJjMbzOwA==" saltValue="a1f7bOltE9sKtqP72mgKPA==" spinCount="100000" sheet="1" objects="1" scenarios="1"/>
  <mergeCells count="1">
    <mergeCell ref="A13:H13"/>
  </mergeCells>
  <pageMargins left="0.25" right="0.25" top="0.75" bottom="0.75" header="0.3" footer="0.3"/>
  <pageSetup scale="46" orientation="portrait" r:id="rId1"/>
  <headerFooter>
    <oddFooter>&amp;C&amp;A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pageSetUpPr fitToPage="1"/>
  </sheetPr>
  <dimension ref="B15:L76"/>
  <sheetViews>
    <sheetView showGridLines="0" view="pageBreakPreview" topLeftCell="A28" zoomScale="60" zoomScaleNormal="85" workbookViewId="0">
      <selection activeCell="H27" sqref="H27"/>
    </sheetView>
  </sheetViews>
  <sheetFormatPr defaultColWidth="9.33203125" defaultRowHeight="13.2" x14ac:dyDescent="0.25"/>
  <cols>
    <col min="1" max="1" width="11.6640625" style="59" customWidth="1"/>
    <col min="2" max="2" width="69" style="59" customWidth="1"/>
    <col min="3" max="3" width="15.33203125" style="59" customWidth="1"/>
    <col min="4" max="4" width="2.88671875" style="59" customWidth="1"/>
    <col min="5" max="5" width="25" style="59" customWidth="1"/>
    <col min="6" max="6" width="22.109375" style="59" customWidth="1"/>
    <col min="7" max="7" width="2.88671875" style="59" customWidth="1"/>
    <col min="8" max="8" width="14.5546875" style="59" customWidth="1"/>
    <col min="9" max="9" width="5.33203125" style="59" customWidth="1"/>
    <col min="10" max="10" width="5.109375" style="59" customWidth="1"/>
    <col min="11" max="11" width="2.88671875" style="59" customWidth="1"/>
    <col min="12" max="12" width="24.5546875" style="59" customWidth="1"/>
    <col min="13" max="16384" width="9.33203125" style="59"/>
  </cols>
  <sheetData>
    <row r="15" spans="2:12" x14ac:dyDescent="0.25">
      <c r="B15" s="242"/>
      <c r="C15" s="243"/>
      <c r="D15" s="83"/>
      <c r="E15" s="83"/>
      <c r="F15" s="243"/>
      <c r="G15" s="83"/>
      <c r="H15" s="243"/>
      <c r="I15" s="83"/>
      <c r="J15" s="83"/>
      <c r="K15" s="83"/>
      <c r="L15" s="243"/>
    </row>
    <row r="17" spans="2:12" ht="15.6" x14ac:dyDescent="0.3">
      <c r="B17" s="84"/>
      <c r="C17" s="84"/>
      <c r="D17" s="85"/>
      <c r="E17" s="85"/>
      <c r="F17" s="86"/>
      <c r="G17" s="84"/>
      <c r="H17" s="86"/>
      <c r="I17" s="84"/>
      <c r="J17" s="84"/>
      <c r="K17" s="84"/>
    </row>
    <row r="18" spans="2:12" ht="29.25" customHeight="1" x14ac:dyDescent="0.3">
      <c r="B18" s="244" t="s">
        <v>436</v>
      </c>
      <c r="C18" s="245" t="s">
        <v>49</v>
      </c>
      <c r="D18" s="116"/>
      <c r="E18" s="1239" t="s">
        <v>5931</v>
      </c>
      <c r="F18" s="1239" t="s">
        <v>5932</v>
      </c>
      <c r="G18" s="116"/>
      <c r="H18" s="1917">
        <v>2020</v>
      </c>
      <c r="I18" s="1918"/>
      <c r="J18" s="1918"/>
      <c r="K18" s="781"/>
      <c r="L18" s="245">
        <v>2021</v>
      </c>
    </row>
    <row r="19" spans="2:12" ht="15" x14ac:dyDescent="0.25">
      <c r="B19" s="116"/>
      <c r="C19" s="116"/>
      <c r="D19" s="116"/>
      <c r="E19" s="781"/>
      <c r="F19" s="781"/>
      <c r="G19" s="116"/>
      <c r="H19" s="116"/>
      <c r="I19" s="116"/>
      <c r="J19" s="781"/>
      <c r="K19" s="781"/>
      <c r="L19" s="116"/>
    </row>
    <row r="20" spans="2:12" ht="15.6" x14ac:dyDescent="0.3">
      <c r="B20" s="121" t="s">
        <v>144</v>
      </c>
      <c r="C20" s="121"/>
      <c r="D20" s="115"/>
      <c r="E20" s="1240" t="s">
        <v>343</v>
      </c>
      <c r="F20" s="1240" t="s">
        <v>343</v>
      </c>
      <c r="G20" s="115"/>
      <c r="H20" s="1919" t="s">
        <v>343</v>
      </c>
      <c r="I20" s="1918"/>
      <c r="J20" s="1918"/>
      <c r="K20" s="115"/>
      <c r="L20" s="104" t="s">
        <v>343</v>
      </c>
    </row>
    <row r="21" spans="2:12" ht="15" customHeight="1" x14ac:dyDescent="0.25">
      <c r="B21" s="116"/>
      <c r="C21" s="116"/>
      <c r="D21" s="116"/>
      <c r="E21" s="781"/>
      <c r="F21" s="781"/>
      <c r="G21" s="116"/>
      <c r="H21" s="116"/>
      <c r="I21" s="116"/>
      <c r="J21" s="781"/>
      <c r="K21" s="781"/>
      <c r="L21" s="116"/>
    </row>
    <row r="22" spans="2:12" ht="15.45" customHeight="1" x14ac:dyDescent="0.3">
      <c r="B22" s="124" t="s">
        <v>437</v>
      </c>
      <c r="C22" s="125" t="s">
        <v>155</v>
      </c>
      <c r="D22" s="118"/>
      <c r="E22" s="1245">
        <v>3.71</v>
      </c>
      <c r="F22" s="1245">
        <v>3.83</v>
      </c>
      <c r="G22" s="118"/>
      <c r="H22" s="1920">
        <v>3.92</v>
      </c>
      <c r="I22" s="1920"/>
      <c r="J22" s="1920"/>
      <c r="K22" s="115"/>
      <c r="L22" s="117">
        <f>H22</f>
        <v>3.92</v>
      </c>
    </row>
    <row r="23" spans="2:12" ht="15.6" x14ac:dyDescent="0.3">
      <c r="B23" s="118"/>
      <c r="C23" s="118"/>
      <c r="D23" s="118"/>
      <c r="E23" s="87"/>
      <c r="F23" s="87"/>
      <c r="G23" s="118"/>
      <c r="H23" s="778"/>
      <c r="I23" s="115"/>
      <c r="J23" s="87"/>
      <c r="K23" s="115"/>
      <c r="L23" s="87"/>
    </row>
    <row r="24" spans="2:12" ht="15.45" customHeight="1" x14ac:dyDescent="0.3">
      <c r="B24" s="124" t="s">
        <v>438</v>
      </c>
      <c r="C24" s="125" t="s">
        <v>155</v>
      </c>
      <c r="D24" s="118"/>
      <c r="E24" s="1245">
        <v>0.94</v>
      </c>
      <c r="F24" s="1245">
        <v>0.96</v>
      </c>
      <c r="G24" s="118"/>
      <c r="H24" s="1920">
        <v>0.97</v>
      </c>
      <c r="I24" s="1920"/>
      <c r="J24" s="1920"/>
      <c r="K24" s="115"/>
      <c r="L24" s="117">
        <f>H24</f>
        <v>0.97</v>
      </c>
    </row>
    <row r="25" spans="2:12" ht="15.6" x14ac:dyDescent="0.3">
      <c r="B25" s="118"/>
      <c r="C25" s="118"/>
      <c r="D25" s="118"/>
      <c r="E25" s="87"/>
      <c r="F25" s="87"/>
      <c r="G25" s="118"/>
      <c r="H25" s="778"/>
      <c r="I25" s="115"/>
      <c r="J25" s="87"/>
      <c r="K25" s="115"/>
      <c r="L25" s="87"/>
    </row>
    <row r="26" spans="2:12" ht="15.45" customHeight="1" x14ac:dyDescent="0.3">
      <c r="B26" s="124" t="s">
        <v>439</v>
      </c>
      <c r="C26" s="125" t="s">
        <v>155</v>
      </c>
      <c r="D26" s="118"/>
      <c r="E26" s="1245">
        <v>2.25</v>
      </c>
      <c r="F26" s="1245">
        <v>2.2999999999999998</v>
      </c>
      <c r="G26" s="118"/>
      <c r="H26" s="1920">
        <v>2.33</v>
      </c>
      <c r="I26" s="1920"/>
      <c r="J26" s="1920"/>
      <c r="K26" s="115"/>
      <c r="L26" s="117">
        <f>H26</f>
        <v>2.33</v>
      </c>
    </row>
    <row r="27" spans="2:12" ht="15" x14ac:dyDescent="0.25">
      <c r="B27" s="116"/>
      <c r="C27" s="116"/>
      <c r="D27" s="116"/>
      <c r="E27" s="781"/>
      <c r="F27" s="781"/>
      <c r="G27" s="116"/>
      <c r="H27" s="116"/>
      <c r="I27" s="116"/>
      <c r="J27" s="781"/>
      <c r="K27" s="781"/>
      <c r="L27" s="116"/>
    </row>
    <row r="28" spans="2:12" ht="15" x14ac:dyDescent="0.25">
      <c r="B28" s="116"/>
      <c r="C28" s="116"/>
      <c r="D28" s="116"/>
      <c r="E28" s="781"/>
      <c r="F28" s="781"/>
      <c r="G28" s="116"/>
      <c r="H28" s="116"/>
      <c r="I28" s="116"/>
      <c r="J28" s="781"/>
      <c r="K28" s="781"/>
      <c r="L28" s="116"/>
    </row>
    <row r="29" spans="2:12" ht="28.5" customHeight="1" x14ac:dyDescent="0.3">
      <c r="B29" s="244" t="s">
        <v>440</v>
      </c>
      <c r="C29" s="245" t="s">
        <v>49</v>
      </c>
      <c r="D29" s="116"/>
      <c r="E29" s="1239" t="s">
        <v>5931</v>
      </c>
      <c r="F29" s="1239" t="s">
        <v>5932</v>
      </c>
      <c r="G29" s="781"/>
      <c r="H29" s="1917">
        <v>2020</v>
      </c>
      <c r="I29" s="1918"/>
      <c r="J29" s="1918"/>
      <c r="K29" s="781"/>
      <c r="L29" s="1074">
        <v>2021</v>
      </c>
    </row>
    <row r="30" spans="2:12" ht="15.75" customHeight="1" x14ac:dyDescent="0.3">
      <c r="B30" s="105"/>
      <c r="C30" s="126"/>
      <c r="D30" s="116"/>
      <c r="E30" s="1243"/>
      <c r="F30" s="1243"/>
      <c r="G30" s="394"/>
      <c r="H30" s="552"/>
      <c r="I30" s="119"/>
      <c r="J30" s="781"/>
      <c r="K30" s="119"/>
      <c r="L30" s="116"/>
    </row>
    <row r="31" spans="2:12" ht="3" customHeight="1" x14ac:dyDescent="0.3">
      <c r="B31" s="119"/>
      <c r="C31" s="126"/>
      <c r="D31" s="116"/>
      <c r="E31" s="781"/>
      <c r="F31" s="119"/>
      <c r="G31" s="119"/>
      <c r="H31" s="108"/>
      <c r="I31" s="119"/>
      <c r="J31" s="781"/>
      <c r="K31" s="119"/>
      <c r="L31" s="116"/>
    </row>
    <row r="32" spans="2:12" ht="3" customHeight="1" x14ac:dyDescent="0.25">
      <c r="B32" s="116"/>
      <c r="C32" s="116"/>
      <c r="D32" s="116"/>
      <c r="E32" s="781"/>
      <c r="F32" s="119"/>
      <c r="G32" s="116"/>
      <c r="H32" s="116"/>
      <c r="I32" s="116"/>
      <c r="J32" s="781"/>
      <c r="K32" s="781"/>
      <c r="L32" s="116"/>
    </row>
    <row r="33" spans="2:12" ht="15.6" x14ac:dyDescent="0.3">
      <c r="B33" s="121" t="s">
        <v>144</v>
      </c>
      <c r="C33" s="121"/>
      <c r="D33" s="115"/>
      <c r="E33" s="1240" t="s">
        <v>343</v>
      </c>
      <c r="F33" s="1240" t="s">
        <v>343</v>
      </c>
      <c r="G33" s="115"/>
      <c r="H33" s="1919" t="s">
        <v>343</v>
      </c>
      <c r="I33" s="1918"/>
      <c r="J33" s="1918"/>
      <c r="K33" s="781"/>
      <c r="L33" s="104" t="s">
        <v>343</v>
      </c>
    </row>
    <row r="34" spans="2:12" ht="15" x14ac:dyDescent="0.25">
      <c r="B34" s="116"/>
      <c r="C34" s="116"/>
      <c r="D34" s="116"/>
      <c r="E34" s="781"/>
      <c r="F34" s="781"/>
      <c r="G34" s="116"/>
      <c r="H34" s="116"/>
      <c r="I34" s="116"/>
      <c r="J34" s="781"/>
      <c r="K34" s="781"/>
      <c r="L34" s="116"/>
    </row>
    <row r="35" spans="2:12" ht="15.45" customHeight="1" x14ac:dyDescent="0.3">
      <c r="B35" s="124" t="s">
        <v>437</v>
      </c>
      <c r="C35" s="125" t="s">
        <v>155</v>
      </c>
      <c r="D35" s="118"/>
      <c r="E35" s="1244">
        <v>3.1941999999999999</v>
      </c>
      <c r="F35" s="1244">
        <v>3.2915000000000001</v>
      </c>
      <c r="G35" s="118"/>
      <c r="H35" s="1921">
        <v>3.3980000000000001</v>
      </c>
      <c r="I35" s="1921"/>
      <c r="J35" s="1921"/>
      <c r="K35" s="119"/>
      <c r="L35" s="120">
        <f>H35</f>
        <v>3.3980000000000001</v>
      </c>
    </row>
    <row r="36" spans="2:12" ht="15.6" x14ac:dyDescent="0.3">
      <c r="B36" s="119"/>
      <c r="C36" s="119"/>
      <c r="D36" s="119"/>
      <c r="E36" s="395"/>
      <c r="F36" s="395"/>
      <c r="G36" s="119"/>
      <c r="H36" s="88"/>
      <c r="I36" s="119"/>
      <c r="J36" s="88"/>
      <c r="K36" s="119"/>
      <c r="L36" s="88"/>
    </row>
    <row r="37" spans="2:12" ht="15.45" customHeight="1" x14ac:dyDescent="0.3">
      <c r="B37" s="124" t="s">
        <v>438</v>
      </c>
      <c r="C37" s="125" t="s">
        <v>155</v>
      </c>
      <c r="D37" s="118"/>
      <c r="E37" s="1244">
        <v>0.77100000000000002</v>
      </c>
      <c r="F37" s="1244">
        <v>0.78769999999999996</v>
      </c>
      <c r="G37" s="118"/>
      <c r="H37" s="1921">
        <v>0.80449999999999999</v>
      </c>
      <c r="I37" s="1921"/>
      <c r="J37" s="1921"/>
      <c r="K37" s="119"/>
      <c r="L37" s="120">
        <f>H37</f>
        <v>0.80449999999999999</v>
      </c>
    </row>
    <row r="38" spans="2:12" ht="15.6" x14ac:dyDescent="0.3">
      <c r="B38" s="119"/>
      <c r="C38" s="119"/>
      <c r="D38" s="119"/>
      <c r="E38" s="395"/>
      <c r="F38" s="395"/>
      <c r="G38" s="119"/>
      <c r="H38" s="88"/>
      <c r="I38" s="119"/>
      <c r="J38" s="88"/>
      <c r="K38" s="119"/>
      <c r="L38" s="88"/>
    </row>
    <row r="39" spans="2:12" ht="15.45" customHeight="1" x14ac:dyDescent="0.3">
      <c r="B39" s="124" t="s">
        <v>439</v>
      </c>
      <c r="C39" s="125" t="s">
        <v>155</v>
      </c>
      <c r="D39" s="118"/>
      <c r="E39" s="1244">
        <v>1.7493000000000001</v>
      </c>
      <c r="F39" s="1244">
        <v>1.9755</v>
      </c>
      <c r="G39" s="118"/>
      <c r="H39" s="1921">
        <v>2.0194000000000001</v>
      </c>
      <c r="I39" s="1921"/>
      <c r="J39" s="1921"/>
      <c r="K39" s="119"/>
      <c r="L39" s="120">
        <f>H39</f>
        <v>2.0194000000000001</v>
      </c>
    </row>
    <row r="40" spans="2:12" ht="15.6" x14ac:dyDescent="0.3">
      <c r="B40" s="119"/>
      <c r="C40" s="119"/>
      <c r="D40" s="119"/>
      <c r="E40" s="395"/>
      <c r="F40" s="395"/>
      <c r="G40" s="119"/>
      <c r="H40" s="87"/>
      <c r="I40" s="119"/>
      <c r="J40" s="88"/>
      <c r="K40" s="119"/>
      <c r="L40" s="88"/>
    </row>
    <row r="41" spans="2:12" ht="15.45" customHeight="1" x14ac:dyDescent="0.3">
      <c r="B41" s="124" t="s">
        <v>441</v>
      </c>
      <c r="C41" s="125" t="s">
        <v>155</v>
      </c>
      <c r="D41" s="118"/>
      <c r="E41" s="1244">
        <f>SUM(E37,E39)</f>
        <v>2.5203000000000002</v>
      </c>
      <c r="F41" s="1244">
        <f>SUM(F37,F39)</f>
        <v>2.7631999999999999</v>
      </c>
      <c r="G41" s="118"/>
      <c r="H41" s="1921">
        <v>2.8239000000000001</v>
      </c>
      <c r="I41" s="1921"/>
      <c r="J41" s="1921"/>
      <c r="K41" s="119"/>
      <c r="L41" s="120">
        <f>L37+L39</f>
        <v>2.8239000000000001</v>
      </c>
    </row>
    <row r="42" spans="2:12" ht="15.6" x14ac:dyDescent="0.3">
      <c r="B42" s="107"/>
      <c r="C42" s="107"/>
      <c r="D42" s="22"/>
      <c r="E42" s="1193"/>
      <c r="F42" s="87"/>
      <c r="G42" s="22"/>
      <c r="H42" s="87"/>
      <c r="I42" s="22"/>
      <c r="J42" s="779"/>
      <c r="K42" s="779"/>
      <c r="L42" s="88"/>
    </row>
    <row r="43" spans="2:12" ht="14.4" x14ac:dyDescent="0.3">
      <c r="B43" s="22"/>
      <c r="C43" s="22"/>
      <c r="D43" s="22"/>
      <c r="E43" s="1193"/>
      <c r="F43" s="1193"/>
      <c r="G43" s="22"/>
      <c r="H43" s="22"/>
      <c r="I43" s="22"/>
      <c r="J43" s="779"/>
      <c r="K43" s="779"/>
      <c r="L43" s="22"/>
    </row>
    <row r="44" spans="2:12" ht="26.25" customHeight="1" x14ac:dyDescent="0.3">
      <c r="B44" s="246" t="s">
        <v>1449</v>
      </c>
      <c r="C44" s="247" t="s">
        <v>49</v>
      </c>
      <c r="D44" s="22"/>
      <c r="E44" s="1241" t="s">
        <v>5931</v>
      </c>
      <c r="F44" s="1241" t="s">
        <v>5932</v>
      </c>
      <c r="G44" s="22"/>
      <c r="H44" s="1922">
        <v>2020</v>
      </c>
      <c r="I44" s="1922"/>
      <c r="J44" s="1922"/>
      <c r="K44" s="779"/>
      <c r="L44" s="247">
        <v>2021</v>
      </c>
    </row>
    <row r="45" spans="2:12" ht="15.6" x14ac:dyDescent="0.3">
      <c r="B45" s="105"/>
      <c r="C45" s="106"/>
      <c r="D45" s="22"/>
      <c r="E45" s="1193"/>
      <c r="F45" s="107"/>
      <c r="G45" s="107"/>
      <c r="H45" s="107"/>
      <c r="I45" s="107"/>
      <c r="J45" s="107"/>
      <c r="K45" s="107"/>
      <c r="L45" s="22"/>
    </row>
    <row r="46" spans="2:12" ht="3" customHeight="1" x14ac:dyDescent="0.3">
      <c r="B46" s="107"/>
      <c r="C46" s="106"/>
      <c r="D46" s="22"/>
      <c r="E46" s="1193"/>
      <c r="F46" s="108"/>
      <c r="G46" s="107"/>
      <c r="H46" s="108"/>
      <c r="I46" s="107"/>
      <c r="J46" s="107"/>
      <c r="K46" s="107"/>
      <c r="L46" s="22"/>
    </row>
    <row r="47" spans="2:12" ht="3" customHeight="1" x14ac:dyDescent="0.3">
      <c r="B47" s="22"/>
      <c r="C47" s="22"/>
      <c r="D47" s="22"/>
      <c r="E47" s="1193"/>
      <c r="F47" s="1193"/>
      <c r="G47" s="22"/>
      <c r="H47" s="22"/>
      <c r="I47" s="22"/>
      <c r="J47" s="779"/>
      <c r="K47" s="779"/>
      <c r="L47" s="22"/>
    </row>
    <row r="48" spans="2:12" ht="15.6" x14ac:dyDescent="0.3">
      <c r="B48" s="121" t="s">
        <v>144</v>
      </c>
      <c r="C48" s="121"/>
      <c r="D48" s="248"/>
      <c r="E48" s="1240" t="s">
        <v>343</v>
      </c>
      <c r="F48" s="1240" t="s">
        <v>343</v>
      </c>
      <c r="G48" s="115"/>
      <c r="H48" s="1919" t="s">
        <v>343</v>
      </c>
      <c r="I48" s="1918"/>
      <c r="J48" s="1918"/>
      <c r="K48" s="781"/>
      <c r="L48" s="104" t="s">
        <v>343</v>
      </c>
    </row>
    <row r="49" spans="2:12" ht="15" x14ac:dyDescent="0.25">
      <c r="B49" s="31"/>
      <c r="C49" s="31"/>
      <c r="D49" s="31"/>
      <c r="E49" s="31"/>
      <c r="F49" s="31"/>
      <c r="G49" s="116"/>
      <c r="H49" s="116"/>
      <c r="I49" s="116"/>
      <c r="J49" s="781"/>
      <c r="K49" s="781"/>
      <c r="L49" s="116"/>
    </row>
    <row r="50" spans="2:12" ht="16.8" x14ac:dyDescent="0.3">
      <c r="B50" s="122" t="s">
        <v>437</v>
      </c>
      <c r="C50" s="123" t="s">
        <v>155</v>
      </c>
      <c r="D50" s="249"/>
      <c r="E50" s="1242"/>
      <c r="F50" s="1242"/>
      <c r="G50" s="118"/>
      <c r="H50" s="1923"/>
      <c r="I50" s="1923"/>
      <c r="J50" s="1923"/>
      <c r="K50" s="119"/>
      <c r="L50" s="117"/>
    </row>
    <row r="51" spans="2:12" ht="15.6" x14ac:dyDescent="0.3">
      <c r="B51" s="114"/>
      <c r="C51" s="114"/>
      <c r="D51" s="114"/>
      <c r="E51" s="114"/>
      <c r="F51" s="114"/>
      <c r="G51" s="119"/>
      <c r="H51" s="87"/>
      <c r="I51" s="119"/>
      <c r="J51" s="119"/>
      <c r="K51" s="119"/>
      <c r="L51" s="87"/>
    </row>
    <row r="52" spans="2:12" ht="16.8" x14ac:dyDescent="0.3">
      <c r="B52" s="122" t="s">
        <v>438</v>
      </c>
      <c r="C52" s="123" t="s">
        <v>155</v>
      </c>
      <c r="D52" s="249"/>
      <c r="E52" s="1242"/>
      <c r="F52" s="1242"/>
      <c r="G52" s="118"/>
      <c r="H52" s="1923"/>
      <c r="I52" s="1923"/>
      <c r="J52" s="1923"/>
      <c r="K52" s="119"/>
      <c r="L52" s="117"/>
    </row>
    <row r="53" spans="2:12" ht="15.6" x14ac:dyDescent="0.3">
      <c r="B53" s="114"/>
      <c r="C53" s="114"/>
      <c r="D53" s="114"/>
      <c r="E53" s="114"/>
      <c r="F53" s="114"/>
      <c r="G53" s="119"/>
      <c r="H53" s="87"/>
      <c r="I53" s="119"/>
      <c r="J53" s="119"/>
      <c r="K53" s="119"/>
      <c r="L53" s="87"/>
    </row>
    <row r="54" spans="2:12" ht="16.8" x14ac:dyDescent="0.3">
      <c r="B54" s="122" t="s">
        <v>439</v>
      </c>
      <c r="C54" s="123" t="s">
        <v>155</v>
      </c>
      <c r="D54" s="249"/>
      <c r="E54" s="1242"/>
      <c r="F54" s="1242"/>
      <c r="G54" s="118"/>
      <c r="H54" s="1923"/>
      <c r="I54" s="1923"/>
      <c r="J54" s="1923"/>
      <c r="K54" s="119"/>
      <c r="L54" s="117"/>
    </row>
    <row r="55" spans="2:12" ht="15.6" x14ac:dyDescent="0.3">
      <c r="B55" s="114"/>
      <c r="C55" s="114"/>
      <c r="D55" s="114"/>
      <c r="E55" s="114"/>
      <c r="F55" s="114"/>
      <c r="G55" s="119"/>
      <c r="H55" s="87"/>
      <c r="I55" s="119"/>
      <c r="J55" s="119"/>
      <c r="K55" s="119"/>
      <c r="L55" s="87"/>
    </row>
    <row r="56" spans="2:12" ht="16.8" x14ac:dyDescent="0.3">
      <c r="B56" s="122" t="s">
        <v>441</v>
      </c>
      <c r="C56" s="123" t="s">
        <v>155</v>
      </c>
      <c r="D56" s="249"/>
      <c r="E56" s="1245">
        <f>E54+E52</f>
        <v>0</v>
      </c>
      <c r="F56" s="1245">
        <f>F54+F52</f>
        <v>0</v>
      </c>
      <c r="G56" s="118"/>
      <c r="H56" s="1924">
        <f>H54+H52</f>
        <v>0</v>
      </c>
      <c r="I56" s="1924"/>
      <c r="J56" s="1924"/>
      <c r="K56" s="119"/>
      <c r="L56" s="87">
        <f>L54+L52</f>
        <v>0</v>
      </c>
    </row>
    <row r="57" spans="2:12" ht="15.6" x14ac:dyDescent="0.3">
      <c r="B57" s="107"/>
      <c r="C57" s="107"/>
      <c r="D57" s="22"/>
      <c r="E57" s="1193"/>
      <c r="F57" s="87"/>
      <c r="G57" s="22"/>
      <c r="H57" s="87"/>
      <c r="I57" s="22"/>
      <c r="J57" s="779"/>
      <c r="K57" s="779"/>
      <c r="L57" s="22"/>
    </row>
    <row r="58" spans="2:12" ht="14.4" x14ac:dyDescent="0.3">
      <c r="B58" s="22"/>
      <c r="C58" s="22"/>
      <c r="D58" s="22"/>
      <c r="E58" s="1193"/>
      <c r="F58" s="1193"/>
      <c r="G58" s="22"/>
      <c r="H58" s="22"/>
      <c r="I58" s="22"/>
      <c r="J58" s="779"/>
      <c r="K58" s="779"/>
      <c r="L58" s="22"/>
    </row>
    <row r="59" spans="2:12" ht="27" customHeight="1" x14ac:dyDescent="0.3">
      <c r="B59" s="246" t="s">
        <v>1448</v>
      </c>
      <c r="C59" s="247" t="s">
        <v>49</v>
      </c>
      <c r="D59" s="22"/>
      <c r="E59" s="1241" t="s">
        <v>5931</v>
      </c>
      <c r="F59" s="1241" t="s">
        <v>5932</v>
      </c>
      <c r="G59" s="22"/>
      <c r="H59" s="1922">
        <v>2020</v>
      </c>
      <c r="I59" s="1922"/>
      <c r="J59" s="1922"/>
      <c r="K59" s="779"/>
      <c r="L59" s="247">
        <v>2021</v>
      </c>
    </row>
    <row r="60" spans="2:12" ht="15.6" x14ac:dyDescent="0.3">
      <c r="B60" s="105"/>
      <c r="C60" s="106"/>
      <c r="D60" s="22"/>
      <c r="E60" s="1193"/>
      <c r="F60" s="107"/>
      <c r="G60" s="107"/>
      <c r="H60" s="107"/>
      <c r="I60" s="107"/>
      <c r="J60" s="107"/>
      <c r="K60" s="107"/>
      <c r="L60" s="22"/>
    </row>
    <row r="61" spans="2:12" ht="3" customHeight="1" x14ac:dyDescent="0.3">
      <c r="B61" s="107"/>
      <c r="C61" s="106"/>
      <c r="D61" s="22"/>
      <c r="E61" s="1193"/>
      <c r="F61" s="108"/>
      <c r="G61" s="107"/>
      <c r="H61" s="108"/>
      <c r="I61" s="107"/>
      <c r="J61" s="107"/>
      <c r="K61" s="107"/>
      <c r="L61" s="22"/>
    </row>
    <row r="62" spans="2:12" ht="3" customHeight="1" x14ac:dyDescent="0.3">
      <c r="B62" s="22"/>
      <c r="C62" s="22"/>
      <c r="D62" s="22"/>
      <c r="E62" s="1193"/>
      <c r="F62" s="1193"/>
      <c r="G62" s="22"/>
      <c r="H62" s="22"/>
      <c r="I62" s="22"/>
      <c r="J62" s="779"/>
      <c r="K62" s="779"/>
      <c r="L62" s="22"/>
    </row>
    <row r="63" spans="2:12" ht="15.6" x14ac:dyDescent="0.3">
      <c r="B63" s="121" t="s">
        <v>144</v>
      </c>
      <c r="C63" s="121"/>
      <c r="D63" s="115"/>
      <c r="E63" s="1240" t="s">
        <v>343</v>
      </c>
      <c r="F63" s="1240" t="s">
        <v>343</v>
      </c>
      <c r="G63" s="115"/>
      <c r="H63" s="1919" t="s">
        <v>343</v>
      </c>
      <c r="I63" s="1918"/>
      <c r="J63" s="1918"/>
      <c r="K63" s="781"/>
      <c r="L63" s="104" t="s">
        <v>343</v>
      </c>
    </row>
    <row r="64" spans="2:12" ht="15" x14ac:dyDescent="0.25">
      <c r="B64" s="116"/>
      <c r="C64" s="116"/>
      <c r="D64" s="116"/>
      <c r="E64" s="781"/>
      <c r="F64" s="781"/>
      <c r="G64" s="116"/>
      <c r="H64" s="116"/>
      <c r="I64" s="116"/>
      <c r="J64" s="781"/>
      <c r="K64" s="781"/>
      <c r="L64" s="116"/>
    </row>
    <row r="65" spans="2:12" ht="15.6" x14ac:dyDescent="0.3">
      <c r="B65" s="124" t="s">
        <v>437</v>
      </c>
      <c r="C65" s="125" t="s">
        <v>155</v>
      </c>
      <c r="D65" s="118"/>
      <c r="E65" s="1242"/>
      <c r="F65" s="1242"/>
      <c r="G65" s="118"/>
      <c r="H65" s="1923"/>
      <c r="I65" s="1923"/>
      <c r="J65" s="1923"/>
      <c r="K65" s="119"/>
      <c r="L65" s="117"/>
    </row>
    <row r="66" spans="2:12" ht="15.6" x14ac:dyDescent="0.3">
      <c r="B66" s="119"/>
      <c r="C66" s="119"/>
      <c r="D66" s="119"/>
      <c r="E66" s="119"/>
      <c r="F66" s="119"/>
      <c r="G66" s="119"/>
      <c r="H66" s="87"/>
      <c r="I66" s="119"/>
      <c r="J66" s="119"/>
      <c r="K66" s="119"/>
      <c r="L66" s="87"/>
    </row>
    <row r="67" spans="2:12" ht="15.6" x14ac:dyDescent="0.3">
      <c r="B67" s="124" t="s">
        <v>438</v>
      </c>
      <c r="C67" s="125" t="s">
        <v>155</v>
      </c>
      <c r="D67" s="118"/>
      <c r="E67" s="1242"/>
      <c r="F67" s="1242"/>
      <c r="G67" s="118"/>
      <c r="H67" s="1923"/>
      <c r="I67" s="1923"/>
      <c r="J67" s="1923"/>
      <c r="K67" s="119"/>
      <c r="L67" s="117"/>
    </row>
    <row r="68" spans="2:12" ht="15.6" x14ac:dyDescent="0.3">
      <c r="B68" s="119"/>
      <c r="C68" s="119"/>
      <c r="D68" s="119"/>
      <c r="E68" s="119"/>
      <c r="F68" s="119"/>
      <c r="G68" s="119"/>
      <c r="H68" s="87"/>
      <c r="I68" s="119"/>
      <c r="J68" s="119"/>
      <c r="K68" s="119"/>
      <c r="L68" s="87"/>
    </row>
    <row r="69" spans="2:12" ht="15.6" x14ac:dyDescent="0.3">
      <c r="B69" s="124" t="s">
        <v>439</v>
      </c>
      <c r="C69" s="125" t="s">
        <v>155</v>
      </c>
      <c r="D69" s="118"/>
      <c r="E69" s="1242"/>
      <c r="F69" s="1242"/>
      <c r="G69" s="118"/>
      <c r="H69" s="1923"/>
      <c r="I69" s="1923"/>
      <c r="J69" s="1923"/>
      <c r="K69" s="119"/>
      <c r="L69" s="117"/>
    </row>
    <row r="70" spans="2:12" ht="15.6" x14ac:dyDescent="0.3">
      <c r="B70" s="119"/>
      <c r="C70" s="119"/>
      <c r="D70" s="119"/>
      <c r="E70" s="119"/>
      <c r="F70" s="119"/>
      <c r="G70" s="119"/>
      <c r="H70" s="87"/>
      <c r="I70" s="119"/>
      <c r="J70" s="119"/>
      <c r="K70" s="119"/>
      <c r="L70" s="87"/>
    </row>
    <row r="71" spans="2:12" ht="15.6" x14ac:dyDescent="0.3">
      <c r="B71" s="124" t="s">
        <v>441</v>
      </c>
      <c r="C71" s="125" t="s">
        <v>155</v>
      </c>
      <c r="D71" s="118"/>
      <c r="E71" s="1245">
        <f>E69+E67</f>
        <v>0</v>
      </c>
      <c r="F71" s="1245">
        <f>F69+F67</f>
        <v>0</v>
      </c>
      <c r="G71" s="118"/>
      <c r="H71" s="1924">
        <f>H69+H67</f>
        <v>0</v>
      </c>
      <c r="I71" s="1924"/>
      <c r="J71" s="1924"/>
      <c r="K71" s="119"/>
      <c r="L71" s="87">
        <f>L69+L67</f>
        <v>0</v>
      </c>
    </row>
    <row r="72" spans="2:12" ht="15.6" x14ac:dyDescent="0.3">
      <c r="B72" s="107"/>
      <c r="C72" s="107"/>
      <c r="D72" s="22"/>
      <c r="E72" s="1193"/>
      <c r="F72" s="87"/>
      <c r="G72" s="22"/>
      <c r="H72" s="87"/>
      <c r="I72" s="22"/>
      <c r="J72" s="779"/>
      <c r="K72" s="779"/>
      <c r="L72" s="22"/>
    </row>
    <row r="73" spans="2:12" s="83" customFormat="1" ht="15.6" x14ac:dyDescent="0.25">
      <c r="B73" s="365"/>
      <c r="C73" s="365"/>
      <c r="D73" s="365"/>
      <c r="E73" s="1247" t="s">
        <v>5929</v>
      </c>
      <c r="F73" s="1247"/>
      <c r="G73" s="366"/>
      <c r="H73" s="1925" t="s">
        <v>6881</v>
      </c>
      <c r="I73" s="1925"/>
      <c r="J73" s="1925"/>
      <c r="K73" s="1186"/>
      <c r="L73" s="366" t="s">
        <v>5930</v>
      </c>
    </row>
    <row r="74" spans="2:12" s="83" customFormat="1" ht="31.2" x14ac:dyDescent="0.3">
      <c r="B74" s="367" t="s">
        <v>1588</v>
      </c>
      <c r="C74" s="368" t="s">
        <v>19</v>
      </c>
      <c r="D74" s="365"/>
      <c r="E74" s="1246"/>
      <c r="F74" s="1246"/>
      <c r="G74" s="369"/>
      <c r="H74" s="1926"/>
      <c r="I74" s="1926"/>
      <c r="J74" s="1926"/>
      <c r="K74" s="369"/>
      <c r="L74" s="370"/>
    </row>
    <row r="75" spans="2:12" s="83" customFormat="1" x14ac:dyDescent="0.25"/>
    <row r="76" spans="2:12" s="83" customFormat="1" x14ac:dyDescent="0.25"/>
  </sheetData>
  <sheetProtection algorithmName="SHA-512" hashValue="NDqx4b/jNeoM/freixRo1pAtXu9DNGOU+W43Frbb8IUUydp8q3tf1eORQ58AvLVss4vOQqMx7cd/bwCJKk61Qg==" saltValue="e9cokKsf80UGqsD8x6S2Mg==" spinCount="100000" sheet="1" objects="1" scenarios="1"/>
  <mergeCells count="25">
    <mergeCell ref="H69:J69"/>
    <mergeCell ref="H71:J71"/>
    <mergeCell ref="H73:J73"/>
    <mergeCell ref="H74:J74"/>
    <mergeCell ref="H56:J56"/>
    <mergeCell ref="H59:J59"/>
    <mergeCell ref="H63:J63"/>
    <mergeCell ref="H65:J65"/>
    <mergeCell ref="H67:J67"/>
    <mergeCell ref="H44:J44"/>
    <mergeCell ref="H48:J48"/>
    <mergeCell ref="H50:J50"/>
    <mergeCell ref="H52:J52"/>
    <mergeCell ref="H54:J54"/>
    <mergeCell ref="H33:J33"/>
    <mergeCell ref="H35:J35"/>
    <mergeCell ref="H37:J37"/>
    <mergeCell ref="H39:J39"/>
    <mergeCell ref="H41:J41"/>
    <mergeCell ref="H18:J18"/>
    <mergeCell ref="H29:J29"/>
    <mergeCell ref="H20:J20"/>
    <mergeCell ref="H22:J22"/>
    <mergeCell ref="H24:J24"/>
    <mergeCell ref="H26:J26"/>
  </mergeCells>
  <pageMargins left="0.25" right="0.25" top="0.75" bottom="0.75" header="0.3" footer="0.3"/>
  <pageSetup scale="50" orientation="portrait" r:id="rId1"/>
  <headerFooter>
    <oddFooter>&amp;C&amp;A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pageSetUpPr fitToPage="1"/>
  </sheetPr>
  <dimension ref="A13:Q112"/>
  <sheetViews>
    <sheetView showGridLines="0" view="pageBreakPreview" topLeftCell="B14" zoomScale="60" zoomScaleNormal="100" workbookViewId="0">
      <selection activeCell="Y66" sqref="Y66"/>
    </sheetView>
  </sheetViews>
  <sheetFormatPr defaultColWidth="9.33203125" defaultRowHeight="13.2" x14ac:dyDescent="0.25"/>
  <cols>
    <col min="1" max="1" width="11.6640625" style="59" hidden="1" customWidth="1"/>
    <col min="2" max="2" width="30.33203125" style="59" customWidth="1"/>
    <col min="3" max="3" width="3.6640625" style="59" customWidth="1"/>
    <col min="4" max="4" width="13.33203125" style="59" customWidth="1"/>
    <col min="5" max="5" width="15.33203125" style="59" customWidth="1"/>
    <col min="6" max="6" width="13.33203125" style="59" customWidth="1"/>
    <col min="7" max="7" width="2.6640625" style="59" customWidth="1"/>
    <col min="8" max="8" width="13.33203125" style="59" customWidth="1"/>
    <col min="9" max="9" width="9.33203125" style="59" bestFit="1" customWidth="1"/>
    <col min="10" max="10" width="13.33203125" style="59" customWidth="1"/>
    <col min="11" max="11" width="3.33203125" style="59" customWidth="1"/>
    <col min="12" max="12" width="13.33203125" style="59" customWidth="1"/>
    <col min="13" max="13" width="9.33203125" style="59" bestFit="1" customWidth="1"/>
    <col min="14" max="14" width="13.33203125" style="59" customWidth="1"/>
    <col min="15" max="15" width="3.6640625" style="59" customWidth="1"/>
    <col min="16" max="16" width="17.5546875" style="59" customWidth="1"/>
    <col min="17" max="16384" width="9.33203125" style="59"/>
  </cols>
  <sheetData>
    <row r="13" spans="2:17" ht="68.25" customHeight="1" x14ac:dyDescent="0.3">
      <c r="B13" s="1928" t="s">
        <v>5776</v>
      </c>
      <c r="C13" s="1907"/>
      <c r="D13" s="1907"/>
      <c r="E13" s="1907"/>
      <c r="F13" s="1907"/>
      <c r="G13" s="1907"/>
      <c r="H13" s="1907"/>
      <c r="I13" s="1907"/>
      <c r="J13" s="1907"/>
      <c r="K13" s="1907"/>
      <c r="L13" s="1907"/>
      <c r="M13" s="1907"/>
      <c r="N13" s="1907"/>
      <c r="O13" s="1907"/>
      <c r="P13" s="1907"/>
    </row>
    <row r="16" spans="2:17" ht="15.6" x14ac:dyDescent="0.3">
      <c r="B16" s="230" t="s">
        <v>442</v>
      </c>
      <c r="C16" s="127"/>
      <c r="D16" s="1927" t="s">
        <v>443</v>
      </c>
      <c r="E16" s="1927"/>
      <c r="F16" s="1927"/>
      <c r="G16" s="127"/>
      <c r="H16" s="1927" t="s">
        <v>444</v>
      </c>
      <c r="I16" s="1927"/>
      <c r="J16" s="1927"/>
      <c r="K16" s="127"/>
      <c r="L16" s="1927" t="s">
        <v>445</v>
      </c>
      <c r="M16" s="1927"/>
      <c r="N16" s="1927"/>
      <c r="O16" s="127"/>
      <c r="P16" s="230" t="s">
        <v>2360</v>
      </c>
      <c r="Q16" s="89"/>
    </row>
    <row r="17" spans="2:17" ht="13.8" x14ac:dyDescent="0.3">
      <c r="B17" s="232" t="s">
        <v>446</v>
      </c>
      <c r="C17" s="90"/>
      <c r="D17" s="128" t="s">
        <v>447</v>
      </c>
      <c r="E17" s="128" t="s">
        <v>343</v>
      </c>
      <c r="F17" s="128" t="s">
        <v>145</v>
      </c>
      <c r="G17" s="90"/>
      <c r="H17" s="128" t="s">
        <v>447</v>
      </c>
      <c r="I17" s="128" t="s">
        <v>343</v>
      </c>
      <c r="J17" s="128" t="s">
        <v>145</v>
      </c>
      <c r="K17" s="90"/>
      <c r="L17" s="128" t="s">
        <v>447</v>
      </c>
      <c r="M17" s="128" t="s">
        <v>343</v>
      </c>
      <c r="N17" s="128" t="s">
        <v>145</v>
      </c>
      <c r="O17" s="90"/>
      <c r="P17" s="128" t="s">
        <v>145</v>
      </c>
      <c r="Q17" s="84"/>
    </row>
    <row r="18" spans="2:17" x14ac:dyDescent="0.25">
      <c r="C18" s="129"/>
      <c r="D18" s="129"/>
      <c r="E18" s="129"/>
      <c r="F18" s="129"/>
      <c r="G18" s="129"/>
      <c r="H18" s="129"/>
      <c r="I18" s="129"/>
      <c r="J18" s="129"/>
      <c r="K18" s="129"/>
      <c r="L18" s="129"/>
      <c r="M18" s="129"/>
      <c r="N18" s="129"/>
      <c r="O18" s="129"/>
      <c r="P18" s="129"/>
      <c r="Q18" s="84"/>
    </row>
    <row r="19" spans="2:17" x14ac:dyDescent="0.25">
      <c r="B19" s="132" t="s">
        <v>30</v>
      </c>
      <c r="C19" s="129"/>
      <c r="D19" s="91"/>
      <c r="E19" s="505">
        <f t="shared" ref="E19:E30" si="0">IF(D19&lt;&gt;0,F19/D19,0)</f>
        <v>0</v>
      </c>
      <c r="F19" s="92"/>
      <c r="G19" s="129"/>
      <c r="H19" s="91"/>
      <c r="I19" s="505">
        <f t="shared" ref="I19:I30" si="1">IF(H19&lt;&gt;0,J19/H19,0)</f>
        <v>0</v>
      </c>
      <c r="J19" s="723"/>
      <c r="K19" s="129"/>
      <c r="L19" s="91"/>
      <c r="M19" s="505">
        <f t="shared" ref="M19:M30" si="2">IF(L19&lt;&gt;0,N19/L19,0)</f>
        <v>0</v>
      </c>
      <c r="N19" s="92"/>
      <c r="O19" s="129"/>
      <c r="P19" s="93">
        <f t="shared" ref="P19:P30" si="3">J19+N19</f>
        <v>0</v>
      </c>
      <c r="Q19" s="84"/>
    </row>
    <row r="20" spans="2:17" x14ac:dyDescent="0.25">
      <c r="B20" s="132" t="s">
        <v>31</v>
      </c>
      <c r="C20" s="129"/>
      <c r="D20" s="91"/>
      <c r="E20" s="505">
        <f t="shared" si="0"/>
        <v>0</v>
      </c>
      <c r="F20" s="92"/>
      <c r="G20" s="129"/>
      <c r="H20" s="91"/>
      <c r="I20" s="505">
        <f t="shared" si="1"/>
        <v>0</v>
      </c>
      <c r="J20" s="723"/>
      <c r="K20" s="129"/>
      <c r="L20" s="91"/>
      <c r="M20" s="505">
        <f t="shared" si="2"/>
        <v>0</v>
      </c>
      <c r="N20" s="92"/>
      <c r="O20" s="129"/>
      <c r="P20" s="93">
        <f t="shared" si="3"/>
        <v>0</v>
      </c>
      <c r="Q20" s="84"/>
    </row>
    <row r="21" spans="2:17" x14ac:dyDescent="0.25">
      <c r="B21" s="132" t="s">
        <v>32</v>
      </c>
      <c r="C21" s="129"/>
      <c r="D21" s="91"/>
      <c r="E21" s="505">
        <f t="shared" si="0"/>
        <v>0</v>
      </c>
      <c r="F21" s="92"/>
      <c r="G21" s="129"/>
      <c r="H21" s="91"/>
      <c r="I21" s="505">
        <f t="shared" si="1"/>
        <v>0</v>
      </c>
      <c r="J21" s="723"/>
      <c r="K21" s="129"/>
      <c r="L21" s="91"/>
      <c r="M21" s="505">
        <f t="shared" si="2"/>
        <v>0</v>
      </c>
      <c r="N21" s="92"/>
      <c r="O21" s="129"/>
      <c r="P21" s="93">
        <f t="shared" si="3"/>
        <v>0</v>
      </c>
      <c r="Q21" s="84"/>
    </row>
    <row r="22" spans="2:17" x14ac:dyDescent="0.25">
      <c r="B22" s="132" t="s">
        <v>33</v>
      </c>
      <c r="C22" s="129"/>
      <c r="D22" s="91"/>
      <c r="E22" s="505">
        <f t="shared" si="0"/>
        <v>0</v>
      </c>
      <c r="F22" s="92"/>
      <c r="G22" s="129"/>
      <c r="H22" s="91"/>
      <c r="I22" s="505">
        <f t="shared" si="1"/>
        <v>0</v>
      </c>
      <c r="J22" s="723"/>
      <c r="K22" s="129"/>
      <c r="L22" s="91"/>
      <c r="M22" s="505">
        <f t="shared" si="2"/>
        <v>0</v>
      </c>
      <c r="N22" s="92"/>
      <c r="O22" s="129"/>
      <c r="P22" s="93">
        <f t="shared" si="3"/>
        <v>0</v>
      </c>
      <c r="Q22" s="84"/>
    </row>
    <row r="23" spans="2:17" x14ac:dyDescent="0.25">
      <c r="B23" s="132" t="s">
        <v>34</v>
      </c>
      <c r="C23" s="129"/>
      <c r="D23" s="91"/>
      <c r="E23" s="505">
        <f t="shared" si="0"/>
        <v>0</v>
      </c>
      <c r="F23" s="92"/>
      <c r="G23" s="129"/>
      <c r="H23" s="91"/>
      <c r="I23" s="505">
        <f t="shared" si="1"/>
        <v>0</v>
      </c>
      <c r="J23" s="723"/>
      <c r="K23" s="129"/>
      <c r="L23" s="91"/>
      <c r="M23" s="505">
        <f t="shared" si="2"/>
        <v>0</v>
      </c>
      <c r="N23" s="92"/>
      <c r="O23" s="129"/>
      <c r="P23" s="93">
        <f t="shared" si="3"/>
        <v>0</v>
      </c>
      <c r="Q23" s="84"/>
    </row>
    <row r="24" spans="2:17" x14ac:dyDescent="0.25">
      <c r="B24" s="132" t="s">
        <v>35</v>
      </c>
      <c r="C24" s="129"/>
      <c r="D24" s="91"/>
      <c r="E24" s="505">
        <f t="shared" si="0"/>
        <v>0</v>
      </c>
      <c r="F24" s="92"/>
      <c r="G24" s="129"/>
      <c r="H24" s="91"/>
      <c r="I24" s="505">
        <f t="shared" si="1"/>
        <v>0</v>
      </c>
      <c r="J24" s="723"/>
      <c r="K24" s="129"/>
      <c r="L24" s="91"/>
      <c r="M24" s="505">
        <f t="shared" si="2"/>
        <v>0</v>
      </c>
      <c r="N24" s="92"/>
      <c r="O24" s="129"/>
      <c r="P24" s="93">
        <f t="shared" si="3"/>
        <v>0</v>
      </c>
      <c r="Q24" s="84"/>
    </row>
    <row r="25" spans="2:17" x14ac:dyDescent="0.25">
      <c r="B25" s="132" t="s">
        <v>36</v>
      </c>
      <c r="C25" s="129"/>
      <c r="D25" s="91"/>
      <c r="E25" s="505">
        <f t="shared" si="0"/>
        <v>0</v>
      </c>
      <c r="F25" s="92"/>
      <c r="G25" s="129"/>
      <c r="H25" s="91"/>
      <c r="I25" s="505">
        <f t="shared" si="1"/>
        <v>0</v>
      </c>
      <c r="J25" s="723"/>
      <c r="K25" s="129"/>
      <c r="L25" s="91"/>
      <c r="M25" s="505">
        <f t="shared" si="2"/>
        <v>0</v>
      </c>
      <c r="N25" s="92"/>
      <c r="O25" s="129"/>
      <c r="P25" s="93">
        <f t="shared" si="3"/>
        <v>0</v>
      </c>
      <c r="Q25" s="84"/>
    </row>
    <row r="26" spans="2:17" x14ac:dyDescent="0.25">
      <c r="B26" s="132" t="s">
        <v>37</v>
      </c>
      <c r="C26" s="129"/>
      <c r="D26" s="91"/>
      <c r="E26" s="505">
        <f t="shared" si="0"/>
        <v>0</v>
      </c>
      <c r="F26" s="92"/>
      <c r="G26" s="129"/>
      <c r="H26" s="91"/>
      <c r="I26" s="505">
        <f t="shared" si="1"/>
        <v>0</v>
      </c>
      <c r="J26" s="723"/>
      <c r="K26" s="129"/>
      <c r="L26" s="91"/>
      <c r="M26" s="505">
        <f t="shared" si="2"/>
        <v>0</v>
      </c>
      <c r="N26" s="92"/>
      <c r="O26" s="129"/>
      <c r="P26" s="93">
        <f t="shared" si="3"/>
        <v>0</v>
      </c>
      <c r="Q26" s="84"/>
    </row>
    <row r="27" spans="2:17" x14ac:dyDescent="0.25">
      <c r="B27" s="132" t="s">
        <v>38</v>
      </c>
      <c r="C27" s="129"/>
      <c r="D27" s="91"/>
      <c r="E27" s="505">
        <f t="shared" si="0"/>
        <v>0</v>
      </c>
      <c r="F27" s="92"/>
      <c r="G27" s="129"/>
      <c r="H27" s="91"/>
      <c r="I27" s="505">
        <f t="shared" si="1"/>
        <v>0</v>
      </c>
      <c r="J27" s="723"/>
      <c r="K27" s="129"/>
      <c r="L27" s="91"/>
      <c r="M27" s="505">
        <f t="shared" si="2"/>
        <v>0</v>
      </c>
      <c r="N27" s="92"/>
      <c r="O27" s="129"/>
      <c r="P27" s="93">
        <f t="shared" si="3"/>
        <v>0</v>
      </c>
      <c r="Q27" s="84"/>
    </row>
    <row r="28" spans="2:17" x14ac:dyDescent="0.25">
      <c r="B28" s="132" t="s">
        <v>39</v>
      </c>
      <c r="C28" s="129"/>
      <c r="D28" s="91"/>
      <c r="E28" s="505">
        <f t="shared" si="0"/>
        <v>0</v>
      </c>
      <c r="F28" s="92"/>
      <c r="G28" s="129"/>
      <c r="H28" s="91"/>
      <c r="I28" s="505">
        <f t="shared" si="1"/>
        <v>0</v>
      </c>
      <c r="J28" s="723"/>
      <c r="K28" s="129"/>
      <c r="L28" s="91"/>
      <c r="M28" s="505">
        <f t="shared" si="2"/>
        <v>0</v>
      </c>
      <c r="N28" s="92"/>
      <c r="O28" s="129"/>
      <c r="P28" s="93">
        <f t="shared" si="3"/>
        <v>0</v>
      </c>
      <c r="Q28" s="84"/>
    </row>
    <row r="29" spans="2:17" x14ac:dyDescent="0.25">
      <c r="B29" s="132" t="s">
        <v>40</v>
      </c>
      <c r="C29" s="129"/>
      <c r="D29" s="91"/>
      <c r="E29" s="505">
        <f t="shared" si="0"/>
        <v>0</v>
      </c>
      <c r="F29" s="92"/>
      <c r="G29" s="129"/>
      <c r="H29" s="91"/>
      <c r="I29" s="505">
        <f t="shared" si="1"/>
        <v>0</v>
      </c>
      <c r="J29" s="723"/>
      <c r="K29" s="129"/>
      <c r="L29" s="91"/>
      <c r="M29" s="505">
        <f t="shared" si="2"/>
        <v>0</v>
      </c>
      <c r="N29" s="92"/>
      <c r="O29" s="129"/>
      <c r="P29" s="93">
        <f t="shared" si="3"/>
        <v>0</v>
      </c>
      <c r="Q29" s="84"/>
    </row>
    <row r="30" spans="2:17" x14ac:dyDescent="0.25">
      <c r="B30" s="132" t="s">
        <v>41</v>
      </c>
      <c r="C30" s="129"/>
      <c r="D30" s="91"/>
      <c r="E30" s="505">
        <f t="shared" si="0"/>
        <v>0</v>
      </c>
      <c r="F30" s="92"/>
      <c r="G30" s="129"/>
      <c r="H30" s="91"/>
      <c r="I30" s="505">
        <f t="shared" si="1"/>
        <v>0</v>
      </c>
      <c r="J30" s="723"/>
      <c r="K30" s="129"/>
      <c r="L30" s="91"/>
      <c r="M30" s="505">
        <f t="shared" si="2"/>
        <v>0</v>
      </c>
      <c r="N30" s="92"/>
      <c r="O30" s="129"/>
      <c r="P30" s="93">
        <f t="shared" si="3"/>
        <v>0</v>
      </c>
      <c r="Q30" s="84"/>
    </row>
    <row r="31" spans="2:17" x14ac:dyDescent="0.25">
      <c r="B31" s="129"/>
      <c r="C31" s="129"/>
      <c r="D31" s="129"/>
      <c r="E31" s="129"/>
      <c r="F31" s="129"/>
      <c r="G31" s="129"/>
      <c r="H31" s="129"/>
      <c r="I31" s="129"/>
      <c r="J31" s="129"/>
      <c r="K31" s="129"/>
      <c r="L31" s="129"/>
      <c r="M31" s="129"/>
      <c r="N31" s="129"/>
      <c r="O31" s="129"/>
      <c r="P31" s="129"/>
      <c r="Q31" s="84"/>
    </row>
    <row r="32" spans="2:17" ht="13.8" thickBot="1" x14ac:dyDescent="0.3">
      <c r="B32" s="232" t="s">
        <v>47</v>
      </c>
      <c r="C32" s="129"/>
      <c r="D32" s="94">
        <f>SUM(D19:D30)</f>
        <v>0</v>
      </c>
      <c r="E32" s="95">
        <f>IF(D32&lt;&gt;0,F32/D32,0)</f>
        <v>0</v>
      </c>
      <c r="F32" s="96">
        <f>SUM(F19:F30)</f>
        <v>0</v>
      </c>
      <c r="G32" s="129"/>
      <c r="H32" s="94">
        <f>SUM(H19:H30)</f>
        <v>0</v>
      </c>
      <c r="I32" s="95">
        <f>IF(H32&lt;&gt;0,J32/H32,0)</f>
        <v>0</v>
      </c>
      <c r="J32" s="96">
        <f>SUM(J19:J30)</f>
        <v>0</v>
      </c>
      <c r="K32" s="129"/>
      <c r="L32" s="94">
        <f>SUM(L19:L30)</f>
        <v>0</v>
      </c>
      <c r="M32" s="95">
        <f>IF(L32&lt;&gt;0,N32/L32,0)</f>
        <v>0</v>
      </c>
      <c r="N32" s="96">
        <f>SUM(N19:N30)</f>
        <v>0</v>
      </c>
      <c r="O32" s="129"/>
      <c r="P32" s="96">
        <f>SUM(P19:P30)</f>
        <v>0</v>
      </c>
      <c r="Q32" s="84"/>
    </row>
    <row r="33" spans="2:17" x14ac:dyDescent="0.25">
      <c r="B33" s="129"/>
      <c r="C33" s="129"/>
      <c r="D33" s="129"/>
      <c r="E33" s="129"/>
      <c r="F33" s="129"/>
      <c r="G33" s="129"/>
      <c r="H33" s="129"/>
      <c r="I33" s="129"/>
      <c r="J33" s="129"/>
      <c r="K33" s="129"/>
      <c r="L33" s="129"/>
      <c r="M33" s="129"/>
      <c r="N33" s="129"/>
      <c r="O33" s="129"/>
      <c r="P33" s="129"/>
      <c r="Q33" s="84"/>
    </row>
    <row r="34" spans="2:17" x14ac:dyDescent="0.25">
      <c r="B34" s="230" t="s">
        <v>448</v>
      </c>
      <c r="C34" s="127"/>
      <c r="D34" s="1927" t="s">
        <v>443</v>
      </c>
      <c r="E34" s="1927"/>
      <c r="F34" s="1927"/>
      <c r="G34" s="127"/>
      <c r="H34" s="1927" t="s">
        <v>444</v>
      </c>
      <c r="I34" s="1927"/>
      <c r="J34" s="1927"/>
      <c r="K34" s="127"/>
      <c r="L34" s="1927" t="s">
        <v>445</v>
      </c>
      <c r="M34" s="1927"/>
      <c r="N34" s="1927"/>
      <c r="O34" s="127"/>
      <c r="P34" s="774" t="s">
        <v>2360</v>
      </c>
      <c r="Q34" s="84"/>
    </row>
    <row r="35" spans="2:17" ht="13.8" x14ac:dyDescent="0.3">
      <c r="B35" s="232"/>
      <c r="C35" s="90"/>
      <c r="D35" s="128"/>
      <c r="E35" s="128"/>
      <c r="F35" s="128"/>
      <c r="G35" s="90"/>
      <c r="H35" s="128"/>
      <c r="I35" s="128"/>
      <c r="J35" s="128"/>
      <c r="K35" s="90"/>
      <c r="L35" s="128"/>
      <c r="M35" s="128"/>
      <c r="N35" s="128"/>
      <c r="O35" s="90"/>
      <c r="P35" s="128"/>
      <c r="Q35" s="84"/>
    </row>
    <row r="36" spans="2:17" ht="13.8" x14ac:dyDescent="0.3">
      <c r="B36" s="232" t="s">
        <v>446</v>
      </c>
      <c r="C36" s="90"/>
      <c r="D36" s="128" t="s">
        <v>447</v>
      </c>
      <c r="E36" s="128" t="s">
        <v>343</v>
      </c>
      <c r="F36" s="128" t="s">
        <v>145</v>
      </c>
      <c r="G36" s="90"/>
      <c r="H36" s="128" t="s">
        <v>447</v>
      </c>
      <c r="I36" s="128" t="s">
        <v>343</v>
      </c>
      <c r="J36" s="128" t="s">
        <v>145</v>
      </c>
      <c r="K36" s="90"/>
      <c r="L36" s="128" t="s">
        <v>447</v>
      </c>
      <c r="M36" s="128" t="s">
        <v>343</v>
      </c>
      <c r="N36" s="128" t="s">
        <v>145</v>
      </c>
      <c r="O36" s="90"/>
      <c r="P36" s="128" t="s">
        <v>145</v>
      </c>
      <c r="Q36" s="84"/>
    </row>
    <row r="37" spans="2:17" x14ac:dyDescent="0.25">
      <c r="B37" s="129"/>
      <c r="C37" s="129"/>
      <c r="D37" s="129"/>
      <c r="E37" s="129"/>
      <c r="F37" s="129"/>
      <c r="G37" s="129"/>
      <c r="H37" s="129"/>
      <c r="I37" s="129"/>
      <c r="J37" s="129"/>
      <c r="K37" s="129"/>
      <c r="L37" s="129"/>
      <c r="M37" s="129"/>
      <c r="N37" s="129"/>
      <c r="O37" s="129"/>
      <c r="P37" s="129"/>
      <c r="Q37" s="84"/>
    </row>
    <row r="38" spans="2:17" x14ac:dyDescent="0.25">
      <c r="B38" s="132" t="s">
        <v>30</v>
      </c>
      <c r="C38" s="129"/>
      <c r="D38" s="91">
        <v>24974.560000000001</v>
      </c>
      <c r="E38" s="1543">
        <v>3.1941999999999999</v>
      </c>
      <c r="F38" s="92">
        <f>+D38*E38</f>
        <v>79773.739551999999</v>
      </c>
      <c r="G38" s="129"/>
      <c r="H38" s="91">
        <v>24974.560000000001</v>
      </c>
      <c r="I38" s="1543">
        <v>0.77100000000000002</v>
      </c>
      <c r="J38" s="92">
        <f>+H38*I38</f>
        <v>19255.385760000001</v>
      </c>
      <c r="K38" s="129"/>
      <c r="L38" s="91">
        <v>24974.560000000001</v>
      </c>
      <c r="M38" s="1543">
        <v>1.7493000000000001</v>
      </c>
      <c r="N38" s="92">
        <f>+L38*M38</f>
        <v>43687.997808000007</v>
      </c>
      <c r="O38" s="129"/>
      <c r="P38" s="93">
        <f>J38+N38</f>
        <v>62943.383568000005</v>
      </c>
      <c r="Q38" s="84"/>
    </row>
    <row r="39" spans="2:17" x14ac:dyDescent="0.25">
      <c r="B39" s="132" t="s">
        <v>31</v>
      </c>
      <c r="C39" s="129"/>
      <c r="D39" s="91">
        <v>22954.92</v>
      </c>
      <c r="E39" s="1543">
        <f t="shared" ref="E39:E49" si="4">IF(D39&lt;&gt;0,F39/D39,0)</f>
        <v>3.1941997619682407</v>
      </c>
      <c r="F39" s="92">
        <v>73322.600000000006</v>
      </c>
      <c r="G39" s="129"/>
      <c r="H39" s="91">
        <v>22954.92</v>
      </c>
      <c r="I39" s="1543">
        <f t="shared" ref="I39:I49" si="5">IF(H39&lt;&gt;0,J39/H39,0)</f>
        <v>0.77099985536869664</v>
      </c>
      <c r="J39" s="92">
        <v>17698.240000000002</v>
      </c>
      <c r="K39" s="129"/>
      <c r="L39" s="91">
        <v>22954.92</v>
      </c>
      <c r="M39" s="1543">
        <f t="shared" ref="M39:M49" si="6">IF(L39&lt;&gt;0,N39/L39,0)</f>
        <v>1.7492999322149676</v>
      </c>
      <c r="N39" s="92">
        <v>40155.040000000001</v>
      </c>
      <c r="O39" s="129"/>
      <c r="P39" s="93">
        <f t="shared" ref="P39:P49" si="7">J39+N39</f>
        <v>57853.279999999999</v>
      </c>
      <c r="Q39" s="84"/>
    </row>
    <row r="40" spans="2:17" x14ac:dyDescent="0.25">
      <c r="B40" s="132" t="s">
        <v>32</v>
      </c>
      <c r="C40" s="129"/>
      <c r="D40" s="91">
        <v>22807.66</v>
      </c>
      <c r="E40" s="1543">
        <f t="shared" si="4"/>
        <v>3.1941992295570878</v>
      </c>
      <c r="F40" s="92">
        <v>72852.210000000006</v>
      </c>
      <c r="G40" s="129"/>
      <c r="H40" s="91">
        <v>23410.07</v>
      </c>
      <c r="I40" s="1543">
        <f t="shared" si="5"/>
        <v>0.77099983041485998</v>
      </c>
      <c r="J40" s="92">
        <v>18049.16</v>
      </c>
      <c r="K40" s="129"/>
      <c r="L40" s="91">
        <v>23410.07</v>
      </c>
      <c r="M40" s="1543">
        <f t="shared" si="6"/>
        <v>1.7492997671514867</v>
      </c>
      <c r="N40" s="92">
        <v>40951.230000000003</v>
      </c>
      <c r="O40" s="129"/>
      <c r="P40" s="93">
        <f t="shared" si="7"/>
        <v>59000.39</v>
      </c>
      <c r="Q40" s="84"/>
    </row>
    <row r="41" spans="2:17" x14ac:dyDescent="0.25">
      <c r="B41" s="132" t="s">
        <v>33</v>
      </c>
      <c r="C41" s="129"/>
      <c r="D41" s="91">
        <v>20132.599999999999</v>
      </c>
      <c r="E41" s="1543">
        <f t="shared" si="4"/>
        <v>3.1941999543029715</v>
      </c>
      <c r="F41" s="92">
        <v>64307.55</v>
      </c>
      <c r="G41" s="129"/>
      <c r="H41" s="91">
        <v>20132.599999999999</v>
      </c>
      <c r="I41" s="1543">
        <f t="shared" si="5"/>
        <v>0.77099977151485655</v>
      </c>
      <c r="J41" s="92">
        <v>15522.23</v>
      </c>
      <c r="K41" s="129"/>
      <c r="L41" s="91">
        <v>20132.599999999999</v>
      </c>
      <c r="M41" s="1543">
        <f t="shared" si="6"/>
        <v>1.7493001400713273</v>
      </c>
      <c r="N41" s="92">
        <v>35217.96</v>
      </c>
      <c r="O41" s="129"/>
      <c r="P41" s="93">
        <f t="shared" si="7"/>
        <v>50740.19</v>
      </c>
      <c r="Q41" s="84"/>
    </row>
    <row r="42" spans="2:17" x14ac:dyDescent="0.25">
      <c r="B42" s="132" t="s">
        <v>34</v>
      </c>
      <c r="C42" s="129"/>
      <c r="D42" s="91">
        <v>19511.900000000001</v>
      </c>
      <c r="E42" s="1543">
        <f t="shared" si="4"/>
        <v>3.1941994372664886</v>
      </c>
      <c r="F42" s="92">
        <v>62324.9</v>
      </c>
      <c r="G42" s="129"/>
      <c r="H42" s="91">
        <v>19511.900000000001</v>
      </c>
      <c r="I42" s="1543">
        <f t="shared" si="5"/>
        <v>0.7709997488712016</v>
      </c>
      <c r="J42" s="92">
        <v>15043.67</v>
      </c>
      <c r="K42" s="129"/>
      <c r="L42" s="91">
        <v>19511.900000000001</v>
      </c>
      <c r="M42" s="1543">
        <f t="shared" si="6"/>
        <v>1.7492996581573297</v>
      </c>
      <c r="N42" s="92">
        <v>34132.160000000003</v>
      </c>
      <c r="O42" s="129"/>
      <c r="P42" s="93">
        <f t="shared" si="7"/>
        <v>49175.83</v>
      </c>
      <c r="Q42" s="84"/>
    </row>
    <row r="43" spans="2:17" x14ac:dyDescent="0.25">
      <c r="B43" s="132" t="s">
        <v>35</v>
      </c>
      <c r="C43" s="129"/>
      <c r="D43" s="91">
        <v>20614.04</v>
      </c>
      <c r="E43" s="1543">
        <f t="shared" si="4"/>
        <v>3.1941996813822033</v>
      </c>
      <c r="F43" s="92">
        <v>65845.36</v>
      </c>
      <c r="G43" s="129"/>
      <c r="H43" s="91">
        <v>20614.04</v>
      </c>
      <c r="I43" s="1543">
        <f t="shared" si="5"/>
        <v>0.77099976520856661</v>
      </c>
      <c r="J43" s="92">
        <v>15893.42</v>
      </c>
      <c r="K43" s="129"/>
      <c r="L43" s="91">
        <v>20614.04</v>
      </c>
      <c r="M43" s="1543">
        <f t="shared" si="6"/>
        <v>1.749299991656172</v>
      </c>
      <c r="N43" s="92">
        <v>36060.14</v>
      </c>
      <c r="O43" s="129"/>
      <c r="P43" s="93">
        <f t="shared" si="7"/>
        <v>51953.56</v>
      </c>
      <c r="Q43" s="84"/>
    </row>
    <row r="44" spans="2:17" x14ac:dyDescent="0.25">
      <c r="B44" s="132" t="s">
        <v>36</v>
      </c>
      <c r="C44" s="129"/>
      <c r="D44" s="91">
        <v>25509.439999999999</v>
      </c>
      <c r="E44" s="1543">
        <f t="shared" si="4"/>
        <v>3.2914995389941919</v>
      </c>
      <c r="F44" s="92">
        <v>83964.31</v>
      </c>
      <c r="G44" s="129"/>
      <c r="H44" s="91">
        <v>25509.439999999999</v>
      </c>
      <c r="I44" s="1543">
        <f t="shared" si="5"/>
        <v>0.78769976918348661</v>
      </c>
      <c r="J44" s="92">
        <v>20093.78</v>
      </c>
      <c r="K44" s="129"/>
      <c r="L44" s="91">
        <v>25509.439999999999</v>
      </c>
      <c r="M44" s="1543">
        <f t="shared" si="6"/>
        <v>1.9754996581657616</v>
      </c>
      <c r="N44" s="92">
        <v>50393.89</v>
      </c>
      <c r="O44" s="129"/>
      <c r="P44" s="93">
        <f t="shared" si="7"/>
        <v>70487.67</v>
      </c>
      <c r="Q44" s="84"/>
    </row>
    <row r="45" spans="2:17" x14ac:dyDescent="0.25">
      <c r="B45" s="132" t="s">
        <v>37</v>
      </c>
      <c r="C45" s="129"/>
      <c r="D45" s="91">
        <v>25152.14</v>
      </c>
      <c r="E45" s="1543">
        <f t="shared" si="4"/>
        <v>3.2915000473120779</v>
      </c>
      <c r="F45" s="92">
        <v>82788.27</v>
      </c>
      <c r="G45" s="129"/>
      <c r="H45" s="91">
        <v>25152.14</v>
      </c>
      <c r="I45" s="1543">
        <f t="shared" si="5"/>
        <v>0.78769997304404316</v>
      </c>
      <c r="J45" s="92">
        <v>19812.34</v>
      </c>
      <c r="K45" s="129"/>
      <c r="L45" s="91">
        <v>25152.14</v>
      </c>
      <c r="M45" s="1543">
        <f t="shared" si="6"/>
        <v>1.9754998978218157</v>
      </c>
      <c r="N45" s="92">
        <v>49688.05</v>
      </c>
      <c r="O45" s="129"/>
      <c r="P45" s="93">
        <f t="shared" si="7"/>
        <v>69500.39</v>
      </c>
      <c r="Q45" s="84"/>
    </row>
    <row r="46" spans="2:17" x14ac:dyDescent="0.25">
      <c r="B46" s="132" t="s">
        <v>38</v>
      </c>
      <c r="C46" s="129"/>
      <c r="D46" s="91">
        <v>22218.84</v>
      </c>
      <c r="E46" s="1543">
        <f t="shared" si="4"/>
        <v>3.2915003663557596</v>
      </c>
      <c r="F46" s="92">
        <v>73133.320000000007</v>
      </c>
      <c r="G46" s="129"/>
      <c r="H46" s="91">
        <v>22218.84</v>
      </c>
      <c r="I46" s="1543">
        <f t="shared" si="5"/>
        <v>0.78769998793816409</v>
      </c>
      <c r="J46" s="92">
        <v>17501.78</v>
      </c>
      <c r="K46" s="129"/>
      <c r="L46" s="91">
        <v>22218.84</v>
      </c>
      <c r="M46" s="1543">
        <f t="shared" si="6"/>
        <v>1.975500071110823</v>
      </c>
      <c r="N46" s="92">
        <v>43893.32</v>
      </c>
      <c r="O46" s="129"/>
      <c r="P46" s="93">
        <f t="shared" si="7"/>
        <v>61395.1</v>
      </c>
      <c r="Q46" s="84"/>
    </row>
    <row r="47" spans="2:17" x14ac:dyDescent="0.25">
      <c r="B47" s="132" t="s">
        <v>39</v>
      </c>
      <c r="C47" s="129"/>
      <c r="D47" s="91">
        <v>21460.66</v>
      </c>
      <c r="E47" s="1543">
        <f t="shared" si="4"/>
        <v>3.2914994226645407</v>
      </c>
      <c r="F47" s="92">
        <v>70637.75</v>
      </c>
      <c r="G47" s="129"/>
      <c r="H47" s="91">
        <v>21460.66</v>
      </c>
      <c r="I47" s="1543">
        <f t="shared" si="5"/>
        <v>0.7876999123046543</v>
      </c>
      <c r="J47" s="92">
        <v>16904.560000000001</v>
      </c>
      <c r="K47" s="129"/>
      <c r="L47" s="91">
        <v>21460.66</v>
      </c>
      <c r="M47" s="1543">
        <f t="shared" si="6"/>
        <v>1.9754998215339137</v>
      </c>
      <c r="N47" s="92">
        <v>42395.53</v>
      </c>
      <c r="O47" s="129"/>
      <c r="P47" s="93">
        <f t="shared" si="7"/>
        <v>59300.09</v>
      </c>
      <c r="Q47" s="84"/>
    </row>
    <row r="48" spans="2:17" x14ac:dyDescent="0.25">
      <c r="B48" s="132" t="s">
        <v>40</v>
      </c>
      <c r="C48" s="129"/>
      <c r="D48" s="91">
        <v>22087.759999999998</v>
      </c>
      <c r="E48" s="1543">
        <f t="shared" si="4"/>
        <v>3.2915003603805908</v>
      </c>
      <c r="F48" s="92">
        <v>72701.87</v>
      </c>
      <c r="G48" s="129"/>
      <c r="H48" s="91">
        <v>22087.759999999998</v>
      </c>
      <c r="I48" s="1543">
        <f t="shared" si="5"/>
        <v>0.78770006555667027</v>
      </c>
      <c r="J48" s="92">
        <v>17398.53</v>
      </c>
      <c r="K48" s="129"/>
      <c r="L48" s="91">
        <v>22087.759999999998</v>
      </c>
      <c r="M48" s="1543">
        <f t="shared" si="6"/>
        <v>1.975500458172309</v>
      </c>
      <c r="N48" s="92">
        <v>43634.38</v>
      </c>
      <c r="O48" s="129"/>
      <c r="P48" s="93">
        <f t="shared" si="7"/>
        <v>61032.909999999996</v>
      </c>
      <c r="Q48" s="84"/>
    </row>
    <row r="49" spans="2:17" x14ac:dyDescent="0.25">
      <c r="B49" s="132" t="s">
        <v>41</v>
      </c>
      <c r="C49" s="129"/>
      <c r="D49" s="91">
        <v>22780.54</v>
      </c>
      <c r="E49" s="1543">
        <f t="shared" si="4"/>
        <v>3.2914996747223726</v>
      </c>
      <c r="F49" s="92">
        <v>74982.14</v>
      </c>
      <c r="G49" s="129"/>
      <c r="H49" s="91">
        <v>22780.54</v>
      </c>
      <c r="I49" s="1543">
        <f t="shared" si="5"/>
        <v>0.78769994038771685</v>
      </c>
      <c r="J49" s="92">
        <v>17944.23</v>
      </c>
      <c r="K49" s="129"/>
      <c r="L49" s="91">
        <v>22780.54</v>
      </c>
      <c r="M49" s="1543">
        <f t="shared" si="6"/>
        <v>1.9754997028165264</v>
      </c>
      <c r="N49" s="92">
        <v>45002.95</v>
      </c>
      <c r="O49" s="129"/>
      <c r="P49" s="93">
        <f t="shared" si="7"/>
        <v>62947.179999999993</v>
      </c>
      <c r="Q49" s="84"/>
    </row>
    <row r="50" spans="2:17" x14ac:dyDescent="0.25">
      <c r="B50" s="129"/>
      <c r="C50" s="129"/>
      <c r="D50" s="129"/>
      <c r="E50" s="129"/>
      <c r="F50" s="129"/>
      <c r="G50" s="129"/>
      <c r="H50" s="129"/>
      <c r="I50" s="129"/>
      <c r="J50" s="129"/>
      <c r="K50" s="129"/>
      <c r="L50" s="129"/>
      <c r="M50" s="129"/>
      <c r="N50" s="129"/>
      <c r="O50" s="129"/>
      <c r="P50" s="129"/>
      <c r="Q50" s="84"/>
    </row>
    <row r="51" spans="2:17" ht="13.8" thickBot="1" x14ac:dyDescent="0.3">
      <c r="B51" s="232" t="s">
        <v>47</v>
      </c>
      <c r="C51" s="129"/>
      <c r="D51" s="94">
        <f>SUM(D38:D49)</f>
        <v>270205.06</v>
      </c>
      <c r="E51" s="757">
        <f>IF(D51&lt;&gt;0,F51/D51,0)</f>
        <v>3.2443286574722179</v>
      </c>
      <c r="F51" s="96">
        <f>SUM(F38:F49)</f>
        <v>876634.0195520001</v>
      </c>
      <c r="G51" s="129"/>
      <c r="H51" s="94">
        <f>SUM(H38:H49)</f>
        <v>270807.46999999997</v>
      </c>
      <c r="I51" s="757">
        <f>IF(H51&lt;&gt;0,J51/H51,0)</f>
        <v>0.77958457261167879</v>
      </c>
      <c r="J51" s="96">
        <f>SUM(J38:J49)</f>
        <v>211117.32576000001</v>
      </c>
      <c r="K51" s="129"/>
      <c r="L51" s="94">
        <f>SUM(L38:L49)</f>
        <v>270807.46999999997</v>
      </c>
      <c r="M51" s="757">
        <f>IF(L51&lt;&gt;0,N51/L51,0)</f>
        <v>1.8655786999080937</v>
      </c>
      <c r="N51" s="96">
        <f>SUM(N38:N49)</f>
        <v>505212.64780800004</v>
      </c>
      <c r="O51" s="129"/>
      <c r="P51" s="96">
        <f>SUM(P38:P49)</f>
        <v>716329.9735679999</v>
      </c>
      <c r="Q51" s="84"/>
    </row>
    <row r="52" spans="2:17" x14ac:dyDescent="0.25">
      <c r="B52" s="129"/>
      <c r="C52" s="129"/>
      <c r="D52" s="129"/>
      <c r="E52" s="129"/>
      <c r="F52" s="129"/>
      <c r="G52" s="129"/>
      <c r="H52" s="129"/>
      <c r="I52" s="129"/>
      <c r="J52" s="129"/>
      <c r="K52" s="129"/>
      <c r="L52" s="129"/>
      <c r="M52" s="129"/>
      <c r="N52" s="129"/>
      <c r="O52" s="129"/>
      <c r="P52" s="129"/>
      <c r="Q52" s="84"/>
    </row>
    <row r="53" spans="2:17" x14ac:dyDescent="0.25">
      <c r="B53" s="1427" t="s">
        <v>449</v>
      </c>
      <c r="C53" s="127"/>
      <c r="D53" s="1927" t="s">
        <v>443</v>
      </c>
      <c r="E53" s="1927"/>
      <c r="F53" s="1927"/>
      <c r="G53" s="127"/>
      <c r="H53" s="1927" t="s">
        <v>444</v>
      </c>
      <c r="I53" s="1927"/>
      <c r="J53" s="1927"/>
      <c r="K53" s="127"/>
      <c r="L53" s="1927" t="s">
        <v>445</v>
      </c>
      <c r="M53" s="1927"/>
      <c r="N53" s="1927"/>
      <c r="O53" s="127"/>
      <c r="P53" s="774" t="s">
        <v>2360</v>
      </c>
      <c r="Q53" s="84"/>
    </row>
    <row r="54" spans="2:17" ht="13.8" x14ac:dyDescent="0.3">
      <c r="B54" s="133" t="s">
        <v>450</v>
      </c>
      <c r="C54" s="90"/>
      <c r="D54" s="128"/>
      <c r="E54" s="128"/>
      <c r="F54" s="128"/>
      <c r="G54" s="90"/>
      <c r="H54" s="128"/>
      <c r="I54" s="128"/>
      <c r="J54" s="128"/>
      <c r="K54" s="90"/>
      <c r="L54" s="128"/>
      <c r="M54" s="128"/>
      <c r="N54" s="128"/>
      <c r="O54" s="90"/>
      <c r="P54" s="128"/>
      <c r="Q54" s="84"/>
    </row>
    <row r="55" spans="2:17" ht="13.8" x14ac:dyDescent="0.3">
      <c r="B55" s="232" t="s">
        <v>446</v>
      </c>
      <c r="C55" s="90"/>
      <c r="D55" s="128" t="s">
        <v>447</v>
      </c>
      <c r="E55" s="128" t="s">
        <v>343</v>
      </c>
      <c r="F55" s="128" t="s">
        <v>145</v>
      </c>
      <c r="G55" s="90"/>
      <c r="H55" s="128" t="s">
        <v>447</v>
      </c>
      <c r="I55" s="128" t="s">
        <v>343</v>
      </c>
      <c r="J55" s="128" t="s">
        <v>145</v>
      </c>
      <c r="K55" s="90"/>
      <c r="L55" s="128" t="s">
        <v>447</v>
      </c>
      <c r="M55" s="128" t="s">
        <v>343</v>
      </c>
      <c r="N55" s="128" t="s">
        <v>145</v>
      </c>
      <c r="O55" s="90"/>
      <c r="P55" s="128" t="s">
        <v>145</v>
      </c>
      <c r="Q55" s="84"/>
    </row>
    <row r="56" spans="2:17" x14ac:dyDescent="0.25">
      <c r="B56" s="129"/>
      <c r="C56" s="129"/>
      <c r="D56" s="129"/>
      <c r="E56" s="129"/>
      <c r="F56" s="129"/>
      <c r="G56" s="129"/>
      <c r="H56" s="129"/>
      <c r="I56" s="129"/>
      <c r="J56" s="129"/>
      <c r="K56" s="129"/>
      <c r="L56" s="129"/>
      <c r="M56" s="129"/>
      <c r="N56" s="129"/>
      <c r="O56" s="129"/>
      <c r="P56" s="129"/>
      <c r="Q56" s="84"/>
    </row>
    <row r="57" spans="2:17" ht="13.8" x14ac:dyDescent="0.3">
      <c r="B57" s="132" t="s">
        <v>30</v>
      </c>
      <c r="C57" s="129"/>
      <c r="D57" s="91"/>
      <c r="E57" s="441">
        <f t="shared" ref="E57:E68" si="8">IF(D57&lt;&gt;0,F57/D57,0)</f>
        <v>0</v>
      </c>
      <c r="F57" s="92"/>
      <c r="G57" s="129"/>
      <c r="H57" s="91"/>
      <c r="I57" s="441">
        <f t="shared" ref="I57:I68" si="9">IF(H57&lt;&gt;0,J57/H57,0)</f>
        <v>0</v>
      </c>
      <c r="J57" s="130"/>
      <c r="K57" s="129"/>
      <c r="L57" s="91"/>
      <c r="M57" s="441">
        <f t="shared" ref="M57:M68" si="10">IF(L57&lt;&gt;0,N57/L57,0)</f>
        <v>0</v>
      </c>
      <c r="N57" s="92"/>
      <c r="O57" s="129"/>
      <c r="P57" s="93">
        <f t="shared" ref="P57:P68" si="11">J57+N57</f>
        <v>0</v>
      </c>
      <c r="Q57" s="84"/>
    </row>
    <row r="58" spans="2:17" ht="13.8" x14ac:dyDescent="0.3">
      <c r="B58" s="132" t="s">
        <v>31</v>
      </c>
      <c r="C58" s="129"/>
      <c r="D58" s="91"/>
      <c r="E58" s="441">
        <f t="shared" si="8"/>
        <v>0</v>
      </c>
      <c r="F58" s="92"/>
      <c r="G58" s="129"/>
      <c r="H58" s="91"/>
      <c r="I58" s="441">
        <f t="shared" si="9"/>
        <v>0</v>
      </c>
      <c r="J58" s="130"/>
      <c r="K58" s="129"/>
      <c r="L58" s="91"/>
      <c r="M58" s="441">
        <f t="shared" si="10"/>
        <v>0</v>
      </c>
      <c r="N58" s="92"/>
      <c r="O58" s="129"/>
      <c r="P58" s="93">
        <f t="shared" si="11"/>
        <v>0</v>
      </c>
      <c r="Q58" s="84"/>
    </row>
    <row r="59" spans="2:17" ht="13.8" x14ac:dyDescent="0.3">
      <c r="B59" s="132" t="s">
        <v>32</v>
      </c>
      <c r="C59" s="129"/>
      <c r="D59" s="91"/>
      <c r="E59" s="441">
        <f t="shared" si="8"/>
        <v>0</v>
      </c>
      <c r="F59" s="92"/>
      <c r="G59" s="129"/>
      <c r="H59" s="91"/>
      <c r="I59" s="441">
        <f t="shared" si="9"/>
        <v>0</v>
      </c>
      <c r="J59" s="130"/>
      <c r="K59" s="129"/>
      <c r="L59" s="91"/>
      <c r="M59" s="441">
        <f t="shared" si="10"/>
        <v>0</v>
      </c>
      <c r="N59" s="92"/>
      <c r="O59" s="129"/>
      <c r="P59" s="93">
        <f t="shared" si="11"/>
        <v>0</v>
      </c>
      <c r="Q59" s="84"/>
    </row>
    <row r="60" spans="2:17" ht="13.8" x14ac:dyDescent="0.3">
      <c r="B60" s="132" t="s">
        <v>33</v>
      </c>
      <c r="C60" s="129"/>
      <c r="D60" s="91"/>
      <c r="E60" s="441">
        <f t="shared" si="8"/>
        <v>0</v>
      </c>
      <c r="F60" s="92"/>
      <c r="G60" s="129"/>
      <c r="H60" s="91"/>
      <c r="I60" s="441">
        <f t="shared" si="9"/>
        <v>0</v>
      </c>
      <c r="J60" s="130"/>
      <c r="K60" s="129"/>
      <c r="L60" s="91"/>
      <c r="M60" s="441">
        <f t="shared" si="10"/>
        <v>0</v>
      </c>
      <c r="N60" s="92"/>
      <c r="O60" s="129"/>
      <c r="P60" s="93">
        <f t="shared" si="11"/>
        <v>0</v>
      </c>
      <c r="Q60" s="84"/>
    </row>
    <row r="61" spans="2:17" ht="13.8" x14ac:dyDescent="0.3">
      <c r="B61" s="132" t="s">
        <v>34</v>
      </c>
      <c r="C61" s="129"/>
      <c r="D61" s="91"/>
      <c r="E61" s="441">
        <f t="shared" si="8"/>
        <v>0</v>
      </c>
      <c r="F61" s="92"/>
      <c r="G61" s="129"/>
      <c r="H61" s="91"/>
      <c r="I61" s="441">
        <f t="shared" si="9"/>
        <v>0</v>
      </c>
      <c r="J61" s="130"/>
      <c r="K61" s="129"/>
      <c r="L61" s="91"/>
      <c r="M61" s="441">
        <f t="shared" si="10"/>
        <v>0</v>
      </c>
      <c r="N61" s="92"/>
      <c r="O61" s="129"/>
      <c r="P61" s="93">
        <f t="shared" si="11"/>
        <v>0</v>
      </c>
      <c r="Q61" s="84"/>
    </row>
    <row r="62" spans="2:17" ht="13.8" x14ac:dyDescent="0.3">
      <c r="B62" s="132" t="s">
        <v>35</v>
      </c>
      <c r="C62" s="129"/>
      <c r="D62" s="91"/>
      <c r="E62" s="441">
        <f t="shared" si="8"/>
        <v>0</v>
      </c>
      <c r="F62" s="92"/>
      <c r="G62" s="129"/>
      <c r="H62" s="91"/>
      <c r="I62" s="441">
        <f t="shared" si="9"/>
        <v>0</v>
      </c>
      <c r="J62" s="130"/>
      <c r="K62" s="129"/>
      <c r="L62" s="91"/>
      <c r="M62" s="441">
        <f t="shared" si="10"/>
        <v>0</v>
      </c>
      <c r="N62" s="92"/>
      <c r="O62" s="129"/>
      <c r="P62" s="93">
        <f t="shared" si="11"/>
        <v>0</v>
      </c>
      <c r="Q62" s="84"/>
    </row>
    <row r="63" spans="2:17" ht="13.8" x14ac:dyDescent="0.3">
      <c r="B63" s="132" t="s">
        <v>36</v>
      </c>
      <c r="C63" s="129"/>
      <c r="D63" s="91"/>
      <c r="E63" s="441">
        <f t="shared" si="8"/>
        <v>0</v>
      </c>
      <c r="F63" s="92"/>
      <c r="G63" s="129"/>
      <c r="H63" s="91"/>
      <c r="I63" s="441">
        <f t="shared" si="9"/>
        <v>0</v>
      </c>
      <c r="J63" s="130"/>
      <c r="K63" s="129"/>
      <c r="L63" s="91"/>
      <c r="M63" s="441">
        <f t="shared" si="10"/>
        <v>0</v>
      </c>
      <c r="N63" s="92"/>
      <c r="O63" s="129"/>
      <c r="P63" s="93">
        <f t="shared" si="11"/>
        <v>0</v>
      </c>
      <c r="Q63" s="84"/>
    </row>
    <row r="64" spans="2:17" ht="13.8" x14ac:dyDescent="0.3">
      <c r="B64" s="132" t="s">
        <v>37</v>
      </c>
      <c r="C64" s="129"/>
      <c r="D64" s="91"/>
      <c r="E64" s="441">
        <f t="shared" si="8"/>
        <v>0</v>
      </c>
      <c r="F64" s="92"/>
      <c r="G64" s="129"/>
      <c r="H64" s="91"/>
      <c r="I64" s="441">
        <f t="shared" si="9"/>
        <v>0</v>
      </c>
      <c r="J64" s="130"/>
      <c r="K64" s="129"/>
      <c r="L64" s="91"/>
      <c r="M64" s="441">
        <f t="shared" si="10"/>
        <v>0</v>
      </c>
      <c r="N64" s="92"/>
      <c r="O64" s="129"/>
      <c r="P64" s="93">
        <f t="shared" si="11"/>
        <v>0</v>
      </c>
      <c r="Q64" s="84"/>
    </row>
    <row r="65" spans="2:17" ht="13.8" x14ac:dyDescent="0.3">
      <c r="B65" s="132" t="s">
        <v>38</v>
      </c>
      <c r="C65" s="129"/>
      <c r="D65" s="91"/>
      <c r="E65" s="441">
        <f t="shared" si="8"/>
        <v>0</v>
      </c>
      <c r="F65" s="92"/>
      <c r="G65" s="129"/>
      <c r="H65" s="91"/>
      <c r="I65" s="441">
        <f t="shared" si="9"/>
        <v>0</v>
      </c>
      <c r="J65" s="130"/>
      <c r="K65" s="129"/>
      <c r="L65" s="91"/>
      <c r="M65" s="441">
        <f t="shared" si="10"/>
        <v>0</v>
      </c>
      <c r="N65" s="92"/>
      <c r="O65" s="129"/>
      <c r="P65" s="93">
        <f t="shared" si="11"/>
        <v>0</v>
      </c>
      <c r="Q65" s="84"/>
    </row>
    <row r="66" spans="2:17" ht="13.8" x14ac:dyDescent="0.3">
      <c r="B66" s="132" t="s">
        <v>39</v>
      </c>
      <c r="C66" s="129"/>
      <c r="D66" s="91"/>
      <c r="E66" s="441">
        <f t="shared" si="8"/>
        <v>0</v>
      </c>
      <c r="F66" s="92"/>
      <c r="G66" s="129"/>
      <c r="H66" s="91"/>
      <c r="I66" s="441">
        <f t="shared" si="9"/>
        <v>0</v>
      </c>
      <c r="J66" s="130"/>
      <c r="K66" s="129"/>
      <c r="L66" s="91"/>
      <c r="M66" s="441">
        <f t="shared" si="10"/>
        <v>0</v>
      </c>
      <c r="N66" s="92"/>
      <c r="O66" s="129"/>
      <c r="P66" s="93">
        <f t="shared" si="11"/>
        <v>0</v>
      </c>
      <c r="Q66" s="84"/>
    </row>
    <row r="67" spans="2:17" ht="13.8" x14ac:dyDescent="0.3">
      <c r="B67" s="132" t="s">
        <v>40</v>
      </c>
      <c r="C67" s="129"/>
      <c r="D67" s="91"/>
      <c r="E67" s="441">
        <f t="shared" si="8"/>
        <v>0</v>
      </c>
      <c r="F67" s="92"/>
      <c r="G67" s="129"/>
      <c r="H67" s="91"/>
      <c r="I67" s="441">
        <f t="shared" si="9"/>
        <v>0</v>
      </c>
      <c r="J67" s="130"/>
      <c r="K67" s="129"/>
      <c r="L67" s="91"/>
      <c r="M67" s="441">
        <f t="shared" si="10"/>
        <v>0</v>
      </c>
      <c r="N67" s="92"/>
      <c r="O67" s="129"/>
      <c r="P67" s="93">
        <f t="shared" si="11"/>
        <v>0</v>
      </c>
      <c r="Q67" s="84"/>
    </row>
    <row r="68" spans="2:17" ht="13.8" x14ac:dyDescent="0.3">
      <c r="B68" s="132" t="s">
        <v>41</v>
      </c>
      <c r="C68" s="129"/>
      <c r="D68" s="91"/>
      <c r="E68" s="441">
        <f t="shared" si="8"/>
        <v>0</v>
      </c>
      <c r="F68" s="92"/>
      <c r="G68" s="129"/>
      <c r="H68" s="91"/>
      <c r="I68" s="441">
        <f t="shared" si="9"/>
        <v>0</v>
      </c>
      <c r="J68" s="130"/>
      <c r="K68" s="129"/>
      <c r="L68" s="91"/>
      <c r="M68" s="441">
        <f t="shared" si="10"/>
        <v>0</v>
      </c>
      <c r="N68" s="92"/>
      <c r="O68" s="129"/>
      <c r="P68" s="93">
        <f t="shared" si="11"/>
        <v>0</v>
      </c>
      <c r="Q68" s="84"/>
    </row>
    <row r="69" spans="2:17" x14ac:dyDescent="0.25">
      <c r="B69" s="129"/>
      <c r="C69" s="129"/>
      <c r="D69" s="129"/>
      <c r="E69" s="129"/>
      <c r="F69" s="129"/>
      <c r="G69" s="129"/>
      <c r="H69" s="129"/>
      <c r="I69" s="129"/>
      <c r="J69" s="129"/>
      <c r="K69" s="129"/>
      <c r="L69" s="129"/>
      <c r="M69" s="129"/>
      <c r="N69" s="129"/>
      <c r="O69" s="129"/>
      <c r="P69" s="129"/>
      <c r="Q69" s="84"/>
    </row>
    <row r="70" spans="2:17" ht="13.8" thickBot="1" x14ac:dyDescent="0.3">
      <c r="B70" s="232" t="s">
        <v>47</v>
      </c>
      <c r="C70" s="129"/>
      <c r="D70" s="94">
        <f>SUM(D57:D68)</f>
        <v>0</v>
      </c>
      <c r="E70" s="95">
        <f>IF(D70&lt;&gt;0,F70/D70,0)</f>
        <v>0</v>
      </c>
      <c r="F70" s="96">
        <f>SUM(F57:F68)</f>
        <v>0</v>
      </c>
      <c r="G70" s="129"/>
      <c r="H70" s="94">
        <f>SUM(H57:H68)</f>
        <v>0</v>
      </c>
      <c r="I70" s="95">
        <f>IF(H70&lt;&gt;0,J70/H70,0)</f>
        <v>0</v>
      </c>
      <c r="J70" s="96">
        <f>SUM(J57:J68)</f>
        <v>0</v>
      </c>
      <c r="K70" s="129"/>
      <c r="L70" s="94">
        <f>SUM(L57:L68)</f>
        <v>0</v>
      </c>
      <c r="M70" s="95">
        <f>IF(L70&lt;&gt;0,N70/L70,0)</f>
        <v>0</v>
      </c>
      <c r="N70" s="96">
        <f>SUM(N57:N68)</f>
        <v>0</v>
      </c>
      <c r="O70" s="129"/>
      <c r="P70" s="96">
        <f>SUM(P57:P68)</f>
        <v>0</v>
      </c>
      <c r="Q70" s="84"/>
    </row>
    <row r="71" spans="2:17" x14ac:dyDescent="0.25">
      <c r="B71" s="129"/>
      <c r="C71" s="129"/>
      <c r="D71" s="129"/>
      <c r="E71" s="129"/>
      <c r="F71" s="129"/>
      <c r="G71" s="129"/>
      <c r="H71" s="129"/>
      <c r="I71" s="129"/>
      <c r="J71" s="129"/>
      <c r="K71" s="129"/>
      <c r="L71" s="129"/>
      <c r="M71" s="129"/>
      <c r="N71" s="129"/>
      <c r="O71" s="129"/>
      <c r="P71" s="129"/>
      <c r="Q71" s="84"/>
    </row>
    <row r="72" spans="2:17" x14ac:dyDescent="0.25">
      <c r="B72" s="1427" t="s">
        <v>451</v>
      </c>
      <c r="C72" s="127"/>
      <c r="D72" s="1927" t="s">
        <v>443</v>
      </c>
      <c r="E72" s="1927"/>
      <c r="F72" s="1927"/>
      <c r="G72" s="127"/>
      <c r="H72" s="1927" t="s">
        <v>444</v>
      </c>
      <c r="I72" s="1927"/>
      <c r="J72" s="1927"/>
      <c r="K72" s="127"/>
      <c r="L72" s="1927" t="s">
        <v>445</v>
      </c>
      <c r="M72" s="1927"/>
      <c r="N72" s="1927"/>
      <c r="O72" s="127"/>
      <c r="P72" s="774" t="s">
        <v>2360</v>
      </c>
      <c r="Q72" s="84"/>
    </row>
    <row r="73" spans="2:17" ht="13.8" x14ac:dyDescent="0.3">
      <c r="B73" s="133" t="s">
        <v>450</v>
      </c>
      <c r="C73" s="90"/>
      <c r="D73" s="128"/>
      <c r="E73" s="128"/>
      <c r="F73" s="128"/>
      <c r="G73" s="90"/>
      <c r="H73" s="128"/>
      <c r="I73" s="128"/>
      <c r="J73" s="128"/>
      <c r="K73" s="90"/>
      <c r="L73" s="128"/>
      <c r="M73" s="128"/>
      <c r="N73" s="128"/>
      <c r="O73" s="90"/>
      <c r="P73" s="128"/>
      <c r="Q73" s="84"/>
    </row>
    <row r="74" spans="2:17" ht="13.8" x14ac:dyDescent="0.3">
      <c r="B74" s="232" t="s">
        <v>446</v>
      </c>
      <c r="C74" s="90"/>
      <c r="D74" s="128" t="s">
        <v>447</v>
      </c>
      <c r="E74" s="128" t="s">
        <v>343</v>
      </c>
      <c r="F74" s="128" t="s">
        <v>145</v>
      </c>
      <c r="G74" s="90"/>
      <c r="H74" s="128" t="s">
        <v>447</v>
      </c>
      <c r="I74" s="128" t="s">
        <v>343</v>
      </c>
      <c r="J74" s="128" t="s">
        <v>145</v>
      </c>
      <c r="K74" s="90"/>
      <c r="L74" s="128" t="s">
        <v>447</v>
      </c>
      <c r="M74" s="128" t="s">
        <v>343</v>
      </c>
      <c r="N74" s="128" t="s">
        <v>145</v>
      </c>
      <c r="O74" s="90"/>
      <c r="P74" s="128" t="s">
        <v>145</v>
      </c>
      <c r="Q74" s="84"/>
    </row>
    <row r="75" spans="2:17" x14ac:dyDescent="0.25">
      <c r="B75" s="129"/>
      <c r="C75" s="129"/>
      <c r="D75" s="129"/>
      <c r="E75" s="129"/>
      <c r="F75" s="129"/>
      <c r="G75" s="129"/>
      <c r="H75" s="129"/>
      <c r="I75" s="129"/>
      <c r="J75" s="129"/>
      <c r="K75" s="129"/>
      <c r="L75" s="129"/>
      <c r="M75" s="129"/>
      <c r="N75" s="129"/>
      <c r="O75" s="129"/>
      <c r="P75" s="129"/>
      <c r="Q75" s="84"/>
    </row>
    <row r="76" spans="2:17" ht="13.8" x14ac:dyDescent="0.3">
      <c r="B76" s="132" t="s">
        <v>30</v>
      </c>
      <c r="C76" s="129"/>
      <c r="D76" s="91"/>
      <c r="E76" s="441">
        <f t="shared" ref="E76:E87" si="12">IF(D76&lt;&gt;0,F76/D76,0)</f>
        <v>0</v>
      </c>
      <c r="F76" s="92"/>
      <c r="G76" s="129"/>
      <c r="H76" s="91"/>
      <c r="I76" s="441">
        <f t="shared" ref="I76:I87" si="13">IF(H76&lt;&gt;0,J76/H76,0)</f>
        <v>0</v>
      </c>
      <c r="J76" s="130"/>
      <c r="K76" s="129"/>
      <c r="L76" s="91"/>
      <c r="M76" s="441">
        <f t="shared" ref="M76:M87" si="14">IF(L76&lt;&gt;0,N76/L76,0)</f>
        <v>0</v>
      </c>
      <c r="N76" s="92"/>
      <c r="O76" s="129"/>
      <c r="P76" s="93">
        <f t="shared" ref="P76:P87" si="15">J76+N76</f>
        <v>0</v>
      </c>
      <c r="Q76" s="84"/>
    </row>
    <row r="77" spans="2:17" ht="13.8" x14ac:dyDescent="0.3">
      <c r="B77" s="132" t="s">
        <v>31</v>
      </c>
      <c r="C77" s="129"/>
      <c r="D77" s="91"/>
      <c r="E77" s="441">
        <f t="shared" si="12"/>
        <v>0</v>
      </c>
      <c r="F77" s="92"/>
      <c r="G77" s="129"/>
      <c r="H77" s="91"/>
      <c r="I77" s="441">
        <f t="shared" si="13"/>
        <v>0</v>
      </c>
      <c r="J77" s="130"/>
      <c r="K77" s="129"/>
      <c r="L77" s="91"/>
      <c r="M77" s="441">
        <f t="shared" si="14"/>
        <v>0</v>
      </c>
      <c r="N77" s="92"/>
      <c r="O77" s="129"/>
      <c r="P77" s="93">
        <f t="shared" si="15"/>
        <v>0</v>
      </c>
      <c r="Q77" s="84"/>
    </row>
    <row r="78" spans="2:17" ht="13.8" x14ac:dyDescent="0.3">
      <c r="B78" s="132" t="s">
        <v>32</v>
      </c>
      <c r="C78" s="129"/>
      <c r="D78" s="91"/>
      <c r="E78" s="441">
        <f t="shared" si="12"/>
        <v>0</v>
      </c>
      <c r="F78" s="92"/>
      <c r="G78" s="129"/>
      <c r="H78" s="91"/>
      <c r="I78" s="441">
        <f t="shared" si="13"/>
        <v>0</v>
      </c>
      <c r="J78" s="130"/>
      <c r="K78" s="129"/>
      <c r="L78" s="91"/>
      <c r="M78" s="441">
        <f t="shared" si="14"/>
        <v>0</v>
      </c>
      <c r="N78" s="92"/>
      <c r="O78" s="129"/>
      <c r="P78" s="93">
        <f t="shared" si="15"/>
        <v>0</v>
      </c>
      <c r="Q78" s="84"/>
    </row>
    <row r="79" spans="2:17" ht="13.8" x14ac:dyDescent="0.3">
      <c r="B79" s="132" t="s">
        <v>33</v>
      </c>
      <c r="C79" s="129"/>
      <c r="D79" s="91"/>
      <c r="E79" s="441">
        <f t="shared" si="12"/>
        <v>0</v>
      </c>
      <c r="F79" s="92"/>
      <c r="G79" s="129"/>
      <c r="H79" s="91"/>
      <c r="I79" s="441">
        <f t="shared" si="13"/>
        <v>0</v>
      </c>
      <c r="J79" s="130"/>
      <c r="K79" s="129"/>
      <c r="L79" s="91"/>
      <c r="M79" s="441">
        <f t="shared" si="14"/>
        <v>0</v>
      </c>
      <c r="N79" s="92"/>
      <c r="O79" s="129"/>
      <c r="P79" s="93">
        <f t="shared" si="15"/>
        <v>0</v>
      </c>
      <c r="Q79" s="84"/>
    </row>
    <row r="80" spans="2:17" ht="13.8" x14ac:dyDescent="0.3">
      <c r="B80" s="132" t="s">
        <v>34</v>
      </c>
      <c r="C80" s="129"/>
      <c r="D80" s="91"/>
      <c r="E80" s="441">
        <f t="shared" si="12"/>
        <v>0</v>
      </c>
      <c r="F80" s="92"/>
      <c r="G80" s="129"/>
      <c r="H80" s="91"/>
      <c r="I80" s="441">
        <f t="shared" si="13"/>
        <v>0</v>
      </c>
      <c r="J80" s="130"/>
      <c r="K80" s="129"/>
      <c r="L80" s="91"/>
      <c r="M80" s="441">
        <f t="shared" si="14"/>
        <v>0</v>
      </c>
      <c r="N80" s="92"/>
      <c r="O80" s="129"/>
      <c r="P80" s="93">
        <f t="shared" si="15"/>
        <v>0</v>
      </c>
      <c r="Q80" s="84"/>
    </row>
    <row r="81" spans="2:17" ht="13.8" x14ac:dyDescent="0.3">
      <c r="B81" s="132" t="s">
        <v>35</v>
      </c>
      <c r="C81" s="129"/>
      <c r="D81" s="91"/>
      <c r="E81" s="441">
        <f t="shared" si="12"/>
        <v>0</v>
      </c>
      <c r="F81" s="92"/>
      <c r="G81" s="129"/>
      <c r="H81" s="91"/>
      <c r="I81" s="441">
        <f t="shared" si="13"/>
        <v>0</v>
      </c>
      <c r="J81" s="130"/>
      <c r="K81" s="129"/>
      <c r="L81" s="91"/>
      <c r="M81" s="441">
        <f t="shared" si="14"/>
        <v>0</v>
      </c>
      <c r="N81" s="92"/>
      <c r="O81" s="129"/>
      <c r="P81" s="93">
        <f t="shared" si="15"/>
        <v>0</v>
      </c>
      <c r="Q81" s="84"/>
    </row>
    <row r="82" spans="2:17" ht="13.8" x14ac:dyDescent="0.3">
      <c r="B82" s="132" t="s">
        <v>36</v>
      </c>
      <c r="C82" s="129"/>
      <c r="D82" s="91"/>
      <c r="E82" s="441">
        <f t="shared" si="12"/>
        <v>0</v>
      </c>
      <c r="F82" s="92"/>
      <c r="G82" s="129"/>
      <c r="H82" s="91"/>
      <c r="I82" s="441">
        <f t="shared" si="13"/>
        <v>0</v>
      </c>
      <c r="J82" s="130"/>
      <c r="K82" s="129"/>
      <c r="L82" s="91"/>
      <c r="M82" s="441">
        <f t="shared" si="14"/>
        <v>0</v>
      </c>
      <c r="N82" s="92"/>
      <c r="O82" s="129"/>
      <c r="P82" s="93">
        <f t="shared" si="15"/>
        <v>0</v>
      </c>
      <c r="Q82" s="84"/>
    </row>
    <row r="83" spans="2:17" ht="13.8" x14ac:dyDescent="0.3">
      <c r="B83" s="132" t="s">
        <v>37</v>
      </c>
      <c r="C83" s="129"/>
      <c r="D83" s="91"/>
      <c r="E83" s="441">
        <f t="shared" si="12"/>
        <v>0</v>
      </c>
      <c r="F83" s="92"/>
      <c r="G83" s="129"/>
      <c r="H83" s="91"/>
      <c r="I83" s="441">
        <f t="shared" si="13"/>
        <v>0</v>
      </c>
      <c r="J83" s="130"/>
      <c r="K83" s="129"/>
      <c r="L83" s="91"/>
      <c r="M83" s="441">
        <f t="shared" si="14"/>
        <v>0</v>
      </c>
      <c r="N83" s="92"/>
      <c r="O83" s="129"/>
      <c r="P83" s="93">
        <f t="shared" si="15"/>
        <v>0</v>
      </c>
      <c r="Q83" s="84"/>
    </row>
    <row r="84" spans="2:17" ht="13.8" x14ac:dyDescent="0.3">
      <c r="B84" s="132" t="s">
        <v>38</v>
      </c>
      <c r="C84" s="129"/>
      <c r="D84" s="91"/>
      <c r="E84" s="441">
        <f t="shared" si="12"/>
        <v>0</v>
      </c>
      <c r="F84" s="92"/>
      <c r="G84" s="129"/>
      <c r="H84" s="91"/>
      <c r="I84" s="441">
        <f t="shared" si="13"/>
        <v>0</v>
      </c>
      <c r="J84" s="130"/>
      <c r="K84" s="129"/>
      <c r="L84" s="91"/>
      <c r="M84" s="441">
        <f t="shared" si="14"/>
        <v>0</v>
      </c>
      <c r="N84" s="92"/>
      <c r="O84" s="129"/>
      <c r="P84" s="93">
        <f t="shared" si="15"/>
        <v>0</v>
      </c>
      <c r="Q84" s="84"/>
    </row>
    <row r="85" spans="2:17" ht="13.8" x14ac:dyDescent="0.3">
      <c r="B85" s="132" t="s">
        <v>39</v>
      </c>
      <c r="C85" s="129"/>
      <c r="D85" s="91"/>
      <c r="E85" s="441">
        <f t="shared" si="12"/>
        <v>0</v>
      </c>
      <c r="F85" s="92"/>
      <c r="G85" s="129"/>
      <c r="H85" s="91"/>
      <c r="I85" s="441">
        <f t="shared" si="13"/>
        <v>0</v>
      </c>
      <c r="J85" s="130"/>
      <c r="K85" s="129"/>
      <c r="L85" s="91"/>
      <c r="M85" s="441">
        <f t="shared" si="14"/>
        <v>0</v>
      </c>
      <c r="N85" s="92"/>
      <c r="O85" s="129"/>
      <c r="P85" s="93">
        <f t="shared" si="15"/>
        <v>0</v>
      </c>
      <c r="Q85" s="84"/>
    </row>
    <row r="86" spans="2:17" ht="13.8" x14ac:dyDescent="0.3">
      <c r="B86" s="132" t="s">
        <v>40</v>
      </c>
      <c r="C86" s="129"/>
      <c r="D86" s="91"/>
      <c r="E86" s="441">
        <f t="shared" si="12"/>
        <v>0</v>
      </c>
      <c r="F86" s="92"/>
      <c r="G86" s="129"/>
      <c r="H86" s="91"/>
      <c r="I86" s="441">
        <f t="shared" si="13"/>
        <v>0</v>
      </c>
      <c r="J86" s="130"/>
      <c r="K86" s="129"/>
      <c r="L86" s="91"/>
      <c r="M86" s="441">
        <f t="shared" si="14"/>
        <v>0</v>
      </c>
      <c r="N86" s="92"/>
      <c r="O86" s="129"/>
      <c r="P86" s="93">
        <f t="shared" si="15"/>
        <v>0</v>
      </c>
      <c r="Q86" s="84"/>
    </row>
    <row r="87" spans="2:17" ht="13.8" x14ac:dyDescent="0.3">
      <c r="B87" s="132" t="s">
        <v>41</v>
      </c>
      <c r="C87" s="129"/>
      <c r="D87" s="91"/>
      <c r="E87" s="441">
        <f t="shared" si="12"/>
        <v>0</v>
      </c>
      <c r="F87" s="92"/>
      <c r="G87" s="129"/>
      <c r="H87" s="91"/>
      <c r="I87" s="441">
        <f t="shared" si="13"/>
        <v>0</v>
      </c>
      <c r="J87" s="130"/>
      <c r="K87" s="129"/>
      <c r="L87" s="91"/>
      <c r="M87" s="441">
        <f t="shared" si="14"/>
        <v>0</v>
      </c>
      <c r="N87" s="92"/>
      <c r="O87" s="129"/>
      <c r="P87" s="93">
        <f t="shared" si="15"/>
        <v>0</v>
      </c>
      <c r="Q87" s="84"/>
    </row>
    <row r="88" spans="2:17" x14ac:dyDescent="0.25">
      <c r="B88" s="129"/>
      <c r="C88" s="129"/>
      <c r="D88" s="129"/>
      <c r="E88" s="129"/>
      <c r="F88" s="129"/>
      <c r="G88" s="129"/>
      <c r="H88" s="129"/>
      <c r="I88" s="129"/>
      <c r="J88" s="129"/>
      <c r="K88" s="129"/>
      <c r="L88" s="129"/>
      <c r="M88" s="129"/>
      <c r="N88" s="129"/>
      <c r="O88" s="129"/>
      <c r="P88" s="129"/>
      <c r="Q88" s="84"/>
    </row>
    <row r="89" spans="2:17" ht="13.8" thickBot="1" x14ac:dyDescent="0.3">
      <c r="B89" s="232" t="s">
        <v>47</v>
      </c>
      <c r="C89" s="129"/>
      <c r="D89" s="94">
        <f>SUM(D76:D87)</f>
        <v>0</v>
      </c>
      <c r="E89" s="95">
        <f>IF(D89&lt;&gt;0,F89/D89,0)</f>
        <v>0</v>
      </c>
      <c r="F89" s="96">
        <f>SUM(F76:F87)</f>
        <v>0</v>
      </c>
      <c r="G89" s="129"/>
      <c r="H89" s="94">
        <f>SUM(H76:H87)</f>
        <v>0</v>
      </c>
      <c r="I89" s="95">
        <f>IF(H89&lt;&gt;0,J89/H89,0)</f>
        <v>0</v>
      </c>
      <c r="J89" s="96">
        <f>SUM(J76:J87)</f>
        <v>0</v>
      </c>
      <c r="K89" s="129"/>
      <c r="L89" s="94">
        <f>SUM(L76:L87)</f>
        <v>0</v>
      </c>
      <c r="M89" s="95">
        <f>IF(L89&lt;&gt;0,N89/L89,0)</f>
        <v>0</v>
      </c>
      <c r="N89" s="96">
        <f>SUM(N76:N87)</f>
        <v>0</v>
      </c>
      <c r="O89" s="129"/>
      <c r="P89" s="96">
        <f>SUM(P76:P87)</f>
        <v>0</v>
      </c>
      <c r="Q89" s="84"/>
    </row>
    <row r="90" spans="2:17" x14ac:dyDescent="0.25">
      <c r="B90" s="129"/>
      <c r="C90" s="129"/>
      <c r="D90" s="129"/>
      <c r="E90" s="129"/>
      <c r="F90" s="129"/>
      <c r="G90" s="129"/>
      <c r="H90" s="129"/>
      <c r="I90" s="129"/>
      <c r="J90" s="129"/>
      <c r="K90" s="129"/>
      <c r="L90" s="129"/>
      <c r="M90" s="129"/>
      <c r="N90" s="129"/>
      <c r="O90" s="129"/>
      <c r="P90" s="129"/>
      <c r="Q90" s="84"/>
    </row>
    <row r="91" spans="2:17" x14ac:dyDescent="0.25">
      <c r="B91" s="230" t="s">
        <v>47</v>
      </c>
      <c r="C91" s="127"/>
      <c r="D91" s="1927" t="s">
        <v>443</v>
      </c>
      <c r="E91" s="1927"/>
      <c r="F91" s="1927"/>
      <c r="G91" s="127"/>
      <c r="H91" s="1927" t="s">
        <v>444</v>
      </c>
      <c r="I91" s="1927"/>
      <c r="J91" s="1927"/>
      <c r="K91" s="127"/>
      <c r="L91" s="1927" t="s">
        <v>445</v>
      </c>
      <c r="M91" s="1927"/>
      <c r="N91" s="1927"/>
      <c r="O91" s="127"/>
      <c r="P91" s="774" t="s">
        <v>2360</v>
      </c>
      <c r="Q91" s="84"/>
    </row>
    <row r="92" spans="2:17" x14ac:dyDescent="0.25">
      <c r="B92" s="129"/>
      <c r="C92" s="129"/>
      <c r="D92" s="1929"/>
      <c r="E92" s="1929"/>
      <c r="F92" s="1929"/>
      <c r="G92" s="131"/>
      <c r="H92" s="1929"/>
      <c r="I92" s="1929"/>
      <c r="J92" s="1929"/>
      <c r="K92" s="131"/>
      <c r="L92" s="1929"/>
      <c r="M92" s="1929"/>
      <c r="N92" s="1929"/>
      <c r="O92" s="131"/>
      <c r="P92" s="231"/>
      <c r="Q92" s="84"/>
    </row>
    <row r="93" spans="2:17" ht="13.8" x14ac:dyDescent="0.3">
      <c r="B93" s="232" t="s">
        <v>446</v>
      </c>
      <c r="C93" s="129"/>
      <c r="D93" s="128" t="s">
        <v>447</v>
      </c>
      <c r="E93" s="128" t="s">
        <v>343</v>
      </c>
      <c r="F93" s="128" t="s">
        <v>145</v>
      </c>
      <c r="G93" s="90"/>
      <c r="H93" s="128" t="s">
        <v>447</v>
      </c>
      <c r="I93" s="128" t="s">
        <v>343</v>
      </c>
      <c r="J93" s="128" t="s">
        <v>145</v>
      </c>
      <c r="K93" s="90"/>
      <c r="L93" s="128" t="s">
        <v>447</v>
      </c>
      <c r="M93" s="128" t="s">
        <v>343</v>
      </c>
      <c r="N93" s="128" t="s">
        <v>145</v>
      </c>
      <c r="O93" s="90"/>
      <c r="P93" s="128" t="s">
        <v>145</v>
      </c>
      <c r="Q93" s="84"/>
    </row>
    <row r="94" spans="2:17" x14ac:dyDescent="0.25">
      <c r="B94" s="129"/>
      <c r="C94" s="129"/>
      <c r="D94" s="129"/>
      <c r="E94" s="129"/>
      <c r="F94" s="129"/>
      <c r="G94" s="129"/>
      <c r="H94" s="129"/>
      <c r="I94" s="129"/>
      <c r="J94" s="129"/>
      <c r="K94" s="129"/>
      <c r="L94" s="129"/>
      <c r="M94" s="129"/>
      <c r="N94" s="129"/>
      <c r="O94" s="129"/>
      <c r="P94" s="129"/>
      <c r="Q94" s="84"/>
    </row>
    <row r="95" spans="2:17" x14ac:dyDescent="0.25">
      <c r="B95" s="132" t="s">
        <v>30</v>
      </c>
      <c r="C95" s="129"/>
      <c r="D95" s="97">
        <f>D19+D38+D57+D76</f>
        <v>24974.560000000001</v>
      </c>
      <c r="E95" s="101">
        <f t="shared" ref="E95:E106" si="16">IF(D95&lt;&gt;0,F95/D95,0)</f>
        <v>3.1941999999999999</v>
      </c>
      <c r="F95" s="93">
        <f>F19+F38+F57+F76</f>
        <v>79773.739551999999</v>
      </c>
      <c r="G95" s="129"/>
      <c r="H95" s="97">
        <f>H19+H38+H57+H76</f>
        <v>24974.560000000001</v>
      </c>
      <c r="I95" s="101">
        <f t="shared" ref="I95:I106" si="17">IF(H95&lt;&gt;0,J95/H95,0)</f>
        <v>0.77100000000000002</v>
      </c>
      <c r="J95" s="93">
        <f>J19+J38+J57+J76</f>
        <v>19255.385760000001</v>
      </c>
      <c r="K95" s="129"/>
      <c r="L95" s="97">
        <f>L19+L38+L57+L76</f>
        <v>24974.560000000001</v>
      </c>
      <c r="M95" s="101">
        <f t="shared" ref="M95:M106" si="18">IF(L95&lt;&gt;0,N95/L95,0)</f>
        <v>1.7493000000000003</v>
      </c>
      <c r="N95" s="93">
        <f>N19+N38+N57+N76</f>
        <v>43687.997808000007</v>
      </c>
      <c r="O95" s="129"/>
      <c r="P95" s="93">
        <f t="shared" ref="P95:P106" si="19">J95+N95</f>
        <v>62943.383568000005</v>
      </c>
      <c r="Q95" s="84"/>
    </row>
    <row r="96" spans="2:17" x14ac:dyDescent="0.25">
      <c r="B96" s="132" t="s">
        <v>31</v>
      </c>
      <c r="C96" s="129"/>
      <c r="D96" s="97">
        <f t="shared" ref="D96:D106" si="20">D20+D39+D58+D77</f>
        <v>22954.92</v>
      </c>
      <c r="E96" s="101">
        <f t="shared" si="16"/>
        <v>3.1941997619682407</v>
      </c>
      <c r="F96" s="93">
        <f t="shared" ref="F96:F106" si="21">F20+F39+F58+F77</f>
        <v>73322.600000000006</v>
      </c>
      <c r="G96" s="129"/>
      <c r="H96" s="97">
        <f t="shared" ref="H96:H106" si="22">H20+H39+H58+H77</f>
        <v>22954.92</v>
      </c>
      <c r="I96" s="101">
        <f t="shared" si="17"/>
        <v>0.77099985536869664</v>
      </c>
      <c r="J96" s="93">
        <f t="shared" ref="J96:J106" si="23">J20+J39+J58+J77</f>
        <v>17698.240000000002</v>
      </c>
      <c r="K96" s="129"/>
      <c r="L96" s="97">
        <f t="shared" ref="L96:L106" si="24">L20+L39+L58+L77</f>
        <v>22954.92</v>
      </c>
      <c r="M96" s="101">
        <f t="shared" si="18"/>
        <v>1.7492999322149676</v>
      </c>
      <c r="N96" s="93">
        <f t="shared" ref="N96:N106" si="25">N20+N39+N58+N77</f>
        <v>40155.040000000001</v>
      </c>
      <c r="O96" s="129"/>
      <c r="P96" s="93">
        <f t="shared" si="19"/>
        <v>57853.279999999999</v>
      </c>
      <c r="Q96" s="84"/>
    </row>
    <row r="97" spans="2:17" x14ac:dyDescent="0.25">
      <c r="B97" s="132" t="s">
        <v>32</v>
      </c>
      <c r="C97" s="129"/>
      <c r="D97" s="97">
        <f t="shared" si="20"/>
        <v>22807.66</v>
      </c>
      <c r="E97" s="101">
        <f t="shared" si="16"/>
        <v>3.1941992295570878</v>
      </c>
      <c r="F97" s="93">
        <f t="shared" si="21"/>
        <v>72852.210000000006</v>
      </c>
      <c r="G97" s="129"/>
      <c r="H97" s="97">
        <f t="shared" si="22"/>
        <v>23410.07</v>
      </c>
      <c r="I97" s="101">
        <f t="shared" si="17"/>
        <v>0.77099983041485998</v>
      </c>
      <c r="J97" s="93">
        <f t="shared" si="23"/>
        <v>18049.16</v>
      </c>
      <c r="K97" s="129"/>
      <c r="L97" s="97">
        <f t="shared" si="24"/>
        <v>23410.07</v>
      </c>
      <c r="M97" s="101">
        <f t="shared" si="18"/>
        <v>1.7492997671514867</v>
      </c>
      <c r="N97" s="93">
        <f t="shared" si="25"/>
        <v>40951.230000000003</v>
      </c>
      <c r="O97" s="129"/>
      <c r="P97" s="93">
        <f t="shared" si="19"/>
        <v>59000.39</v>
      </c>
      <c r="Q97" s="84"/>
    </row>
    <row r="98" spans="2:17" x14ac:dyDescent="0.25">
      <c r="B98" s="132" t="s">
        <v>33</v>
      </c>
      <c r="C98" s="129"/>
      <c r="D98" s="97">
        <f t="shared" si="20"/>
        <v>20132.599999999999</v>
      </c>
      <c r="E98" s="101">
        <f t="shared" si="16"/>
        <v>3.1941999543029715</v>
      </c>
      <c r="F98" s="93">
        <f t="shared" si="21"/>
        <v>64307.55</v>
      </c>
      <c r="G98" s="129"/>
      <c r="H98" s="97">
        <f t="shared" si="22"/>
        <v>20132.599999999999</v>
      </c>
      <c r="I98" s="101">
        <f t="shared" si="17"/>
        <v>0.77099977151485655</v>
      </c>
      <c r="J98" s="93">
        <f t="shared" si="23"/>
        <v>15522.23</v>
      </c>
      <c r="K98" s="129"/>
      <c r="L98" s="97">
        <f t="shared" si="24"/>
        <v>20132.599999999999</v>
      </c>
      <c r="M98" s="101">
        <f t="shared" si="18"/>
        <v>1.7493001400713273</v>
      </c>
      <c r="N98" s="93">
        <f t="shared" si="25"/>
        <v>35217.96</v>
      </c>
      <c r="O98" s="129"/>
      <c r="P98" s="93">
        <f t="shared" si="19"/>
        <v>50740.19</v>
      </c>
      <c r="Q98" s="84"/>
    </row>
    <row r="99" spans="2:17" x14ac:dyDescent="0.25">
      <c r="B99" s="132" t="s">
        <v>34</v>
      </c>
      <c r="C99" s="129"/>
      <c r="D99" s="97">
        <f t="shared" si="20"/>
        <v>19511.900000000001</v>
      </c>
      <c r="E99" s="101">
        <f t="shared" si="16"/>
        <v>3.1941994372664886</v>
      </c>
      <c r="F99" s="93">
        <f t="shared" si="21"/>
        <v>62324.9</v>
      </c>
      <c r="G99" s="129"/>
      <c r="H99" s="97">
        <f t="shared" si="22"/>
        <v>19511.900000000001</v>
      </c>
      <c r="I99" s="101">
        <f t="shared" si="17"/>
        <v>0.7709997488712016</v>
      </c>
      <c r="J99" s="93">
        <f t="shared" si="23"/>
        <v>15043.67</v>
      </c>
      <c r="K99" s="129"/>
      <c r="L99" s="97">
        <f t="shared" si="24"/>
        <v>19511.900000000001</v>
      </c>
      <c r="M99" s="101">
        <f t="shared" si="18"/>
        <v>1.7492996581573297</v>
      </c>
      <c r="N99" s="93">
        <f t="shared" si="25"/>
        <v>34132.160000000003</v>
      </c>
      <c r="O99" s="129"/>
      <c r="P99" s="93">
        <f t="shared" si="19"/>
        <v>49175.83</v>
      </c>
      <c r="Q99" s="84"/>
    </row>
    <row r="100" spans="2:17" x14ac:dyDescent="0.25">
      <c r="B100" s="132" t="s">
        <v>35</v>
      </c>
      <c r="C100" s="129"/>
      <c r="D100" s="97">
        <f t="shared" si="20"/>
        <v>20614.04</v>
      </c>
      <c r="E100" s="101">
        <f t="shared" si="16"/>
        <v>3.1941996813822033</v>
      </c>
      <c r="F100" s="93">
        <f t="shared" si="21"/>
        <v>65845.36</v>
      </c>
      <c r="G100" s="129"/>
      <c r="H100" s="97">
        <f t="shared" si="22"/>
        <v>20614.04</v>
      </c>
      <c r="I100" s="101">
        <f t="shared" si="17"/>
        <v>0.77099976520856661</v>
      </c>
      <c r="J100" s="93">
        <f t="shared" si="23"/>
        <v>15893.42</v>
      </c>
      <c r="K100" s="129"/>
      <c r="L100" s="97">
        <f t="shared" si="24"/>
        <v>20614.04</v>
      </c>
      <c r="M100" s="101">
        <f t="shared" si="18"/>
        <v>1.749299991656172</v>
      </c>
      <c r="N100" s="93">
        <f t="shared" si="25"/>
        <v>36060.14</v>
      </c>
      <c r="O100" s="129"/>
      <c r="P100" s="93">
        <f t="shared" si="19"/>
        <v>51953.56</v>
      </c>
      <c r="Q100" s="84"/>
    </row>
    <row r="101" spans="2:17" x14ac:dyDescent="0.25">
      <c r="B101" s="132" t="s">
        <v>36</v>
      </c>
      <c r="C101" s="129"/>
      <c r="D101" s="97">
        <f t="shared" si="20"/>
        <v>25509.439999999999</v>
      </c>
      <c r="E101" s="101">
        <f t="shared" si="16"/>
        <v>3.2914995389941919</v>
      </c>
      <c r="F101" s="93">
        <f t="shared" si="21"/>
        <v>83964.31</v>
      </c>
      <c r="G101" s="129"/>
      <c r="H101" s="97">
        <f t="shared" si="22"/>
        <v>25509.439999999999</v>
      </c>
      <c r="I101" s="101">
        <f t="shared" si="17"/>
        <v>0.78769976918348661</v>
      </c>
      <c r="J101" s="93">
        <f t="shared" si="23"/>
        <v>20093.78</v>
      </c>
      <c r="K101" s="129"/>
      <c r="L101" s="97">
        <f t="shared" si="24"/>
        <v>25509.439999999999</v>
      </c>
      <c r="M101" s="101">
        <f t="shared" si="18"/>
        <v>1.9754996581657616</v>
      </c>
      <c r="N101" s="93">
        <f t="shared" si="25"/>
        <v>50393.89</v>
      </c>
      <c r="O101" s="129"/>
      <c r="P101" s="93">
        <f t="shared" si="19"/>
        <v>70487.67</v>
      </c>
      <c r="Q101" s="84"/>
    </row>
    <row r="102" spans="2:17" x14ac:dyDescent="0.25">
      <c r="B102" s="132" t="s">
        <v>37</v>
      </c>
      <c r="C102" s="129"/>
      <c r="D102" s="97">
        <f t="shared" si="20"/>
        <v>25152.14</v>
      </c>
      <c r="E102" s="101">
        <f t="shared" si="16"/>
        <v>3.2915000473120779</v>
      </c>
      <c r="F102" s="93">
        <f t="shared" si="21"/>
        <v>82788.27</v>
      </c>
      <c r="G102" s="129"/>
      <c r="H102" s="97">
        <f t="shared" si="22"/>
        <v>25152.14</v>
      </c>
      <c r="I102" s="101">
        <f t="shared" si="17"/>
        <v>0.78769997304404316</v>
      </c>
      <c r="J102" s="93">
        <f t="shared" si="23"/>
        <v>19812.34</v>
      </c>
      <c r="K102" s="129"/>
      <c r="L102" s="97">
        <f t="shared" si="24"/>
        <v>25152.14</v>
      </c>
      <c r="M102" s="101">
        <f t="shared" si="18"/>
        <v>1.9754998978218157</v>
      </c>
      <c r="N102" s="93">
        <f t="shared" si="25"/>
        <v>49688.05</v>
      </c>
      <c r="O102" s="129"/>
      <c r="P102" s="93">
        <f t="shared" si="19"/>
        <v>69500.39</v>
      </c>
      <c r="Q102" s="84"/>
    </row>
    <row r="103" spans="2:17" x14ac:dyDescent="0.25">
      <c r="B103" s="132" t="s">
        <v>38</v>
      </c>
      <c r="C103" s="129"/>
      <c r="D103" s="97">
        <f t="shared" si="20"/>
        <v>22218.84</v>
      </c>
      <c r="E103" s="101">
        <f t="shared" si="16"/>
        <v>3.2915003663557596</v>
      </c>
      <c r="F103" s="93">
        <f t="shared" si="21"/>
        <v>73133.320000000007</v>
      </c>
      <c r="G103" s="129"/>
      <c r="H103" s="97">
        <f t="shared" si="22"/>
        <v>22218.84</v>
      </c>
      <c r="I103" s="101">
        <f t="shared" si="17"/>
        <v>0.78769998793816409</v>
      </c>
      <c r="J103" s="93">
        <f t="shared" si="23"/>
        <v>17501.78</v>
      </c>
      <c r="K103" s="129"/>
      <c r="L103" s="97">
        <f t="shared" si="24"/>
        <v>22218.84</v>
      </c>
      <c r="M103" s="101">
        <f t="shared" si="18"/>
        <v>1.975500071110823</v>
      </c>
      <c r="N103" s="93">
        <f t="shared" si="25"/>
        <v>43893.32</v>
      </c>
      <c r="O103" s="129"/>
      <c r="P103" s="93">
        <f t="shared" si="19"/>
        <v>61395.1</v>
      </c>
      <c r="Q103" s="84"/>
    </row>
    <row r="104" spans="2:17" x14ac:dyDescent="0.25">
      <c r="B104" s="132" t="s">
        <v>39</v>
      </c>
      <c r="C104" s="129"/>
      <c r="D104" s="97">
        <f t="shared" si="20"/>
        <v>21460.66</v>
      </c>
      <c r="E104" s="101">
        <f t="shared" si="16"/>
        <v>3.2914994226645407</v>
      </c>
      <c r="F104" s="93">
        <f t="shared" si="21"/>
        <v>70637.75</v>
      </c>
      <c r="G104" s="129"/>
      <c r="H104" s="97">
        <f t="shared" si="22"/>
        <v>21460.66</v>
      </c>
      <c r="I104" s="101">
        <f t="shared" si="17"/>
        <v>0.7876999123046543</v>
      </c>
      <c r="J104" s="93">
        <f t="shared" si="23"/>
        <v>16904.560000000001</v>
      </c>
      <c r="K104" s="129"/>
      <c r="L104" s="97">
        <f t="shared" si="24"/>
        <v>21460.66</v>
      </c>
      <c r="M104" s="101">
        <f t="shared" si="18"/>
        <v>1.9754998215339137</v>
      </c>
      <c r="N104" s="93">
        <f t="shared" si="25"/>
        <v>42395.53</v>
      </c>
      <c r="O104" s="129"/>
      <c r="P104" s="93">
        <f t="shared" si="19"/>
        <v>59300.09</v>
      </c>
      <c r="Q104" s="84"/>
    </row>
    <row r="105" spans="2:17" x14ac:dyDescent="0.25">
      <c r="B105" s="132" t="s">
        <v>40</v>
      </c>
      <c r="C105" s="129"/>
      <c r="D105" s="97">
        <f t="shared" si="20"/>
        <v>22087.759999999998</v>
      </c>
      <c r="E105" s="101">
        <f t="shared" si="16"/>
        <v>3.2915003603805908</v>
      </c>
      <c r="F105" s="93">
        <f t="shared" si="21"/>
        <v>72701.87</v>
      </c>
      <c r="G105" s="129"/>
      <c r="H105" s="97">
        <f t="shared" si="22"/>
        <v>22087.759999999998</v>
      </c>
      <c r="I105" s="101">
        <f t="shared" si="17"/>
        <v>0.78770006555667027</v>
      </c>
      <c r="J105" s="93">
        <f t="shared" si="23"/>
        <v>17398.53</v>
      </c>
      <c r="K105" s="129"/>
      <c r="L105" s="97">
        <f t="shared" si="24"/>
        <v>22087.759999999998</v>
      </c>
      <c r="M105" s="101">
        <f t="shared" si="18"/>
        <v>1.975500458172309</v>
      </c>
      <c r="N105" s="93">
        <f t="shared" si="25"/>
        <v>43634.38</v>
      </c>
      <c r="O105" s="129"/>
      <c r="P105" s="93">
        <f t="shared" si="19"/>
        <v>61032.909999999996</v>
      </c>
      <c r="Q105" s="84"/>
    </row>
    <row r="106" spans="2:17" x14ac:dyDescent="0.25">
      <c r="B106" s="132" t="s">
        <v>41</v>
      </c>
      <c r="C106" s="129"/>
      <c r="D106" s="97">
        <f t="shared" si="20"/>
        <v>22780.54</v>
      </c>
      <c r="E106" s="101">
        <f t="shared" si="16"/>
        <v>3.2914996747223726</v>
      </c>
      <c r="F106" s="93">
        <f t="shared" si="21"/>
        <v>74982.14</v>
      </c>
      <c r="G106" s="129"/>
      <c r="H106" s="97">
        <f t="shared" si="22"/>
        <v>22780.54</v>
      </c>
      <c r="I106" s="101">
        <f t="shared" si="17"/>
        <v>0.78769994038771685</v>
      </c>
      <c r="J106" s="93">
        <f t="shared" si="23"/>
        <v>17944.23</v>
      </c>
      <c r="K106" s="129"/>
      <c r="L106" s="97">
        <f t="shared" si="24"/>
        <v>22780.54</v>
      </c>
      <c r="M106" s="101">
        <f t="shared" si="18"/>
        <v>1.9754997028165264</v>
      </c>
      <c r="N106" s="93">
        <f t="shared" si="25"/>
        <v>45002.95</v>
      </c>
      <c r="O106" s="129"/>
      <c r="P106" s="93">
        <f t="shared" si="19"/>
        <v>62947.179999999993</v>
      </c>
      <c r="Q106" s="84"/>
    </row>
    <row r="107" spans="2:17" x14ac:dyDescent="0.25">
      <c r="B107" s="129"/>
      <c r="C107" s="129"/>
      <c r="D107" s="129"/>
      <c r="E107" s="129"/>
      <c r="F107" s="129"/>
      <c r="G107" s="129"/>
      <c r="H107" s="129"/>
      <c r="I107" s="129"/>
      <c r="J107" s="129"/>
      <c r="K107" s="129"/>
      <c r="L107" s="129"/>
      <c r="M107" s="129"/>
      <c r="N107" s="129"/>
      <c r="O107" s="129"/>
      <c r="P107" s="93"/>
      <c r="Q107" s="84"/>
    </row>
    <row r="108" spans="2:17" ht="13.8" thickBot="1" x14ac:dyDescent="0.3">
      <c r="B108" s="232" t="s">
        <v>47</v>
      </c>
      <c r="C108" s="129"/>
      <c r="D108" s="94">
        <f>SUM(D95:D106)</f>
        <v>270205.06</v>
      </c>
      <c r="E108" s="95">
        <f>IF(D108&lt;&gt;0,F108/D108,0)</f>
        <v>3.2443286574722179</v>
      </c>
      <c r="F108" s="96">
        <f>SUM(F95:F106)</f>
        <v>876634.0195520001</v>
      </c>
      <c r="G108" s="129"/>
      <c r="H108" s="94">
        <f>SUM(H95:H106)</f>
        <v>270807.46999999997</v>
      </c>
      <c r="I108" s="95">
        <f>IF(H108&lt;&gt;0,J108/H108,0)</f>
        <v>0.77958457261167879</v>
      </c>
      <c r="J108" s="96">
        <f>SUM(J95:J106)</f>
        <v>211117.32576000001</v>
      </c>
      <c r="K108" s="129"/>
      <c r="L108" s="94">
        <f>SUM(L95:L106)</f>
        <v>270807.46999999997</v>
      </c>
      <c r="M108" s="95">
        <f>IF(L108&lt;&gt;0,N108/L108,0)</f>
        <v>1.8655786999080937</v>
      </c>
      <c r="N108" s="96">
        <f>SUM(N95:N106)</f>
        <v>505212.64780800004</v>
      </c>
      <c r="O108" s="129"/>
      <c r="P108" s="96">
        <f>SUM(P95:P106)</f>
        <v>716329.9735679999</v>
      </c>
      <c r="Q108" s="84"/>
    </row>
    <row r="109" spans="2:17" x14ac:dyDescent="0.25">
      <c r="B109" s="6"/>
      <c r="C109" s="6"/>
      <c r="D109" s="6"/>
      <c r="E109" s="6"/>
      <c r="F109" s="6"/>
      <c r="G109" s="6"/>
      <c r="H109" s="6"/>
      <c r="I109" s="6"/>
      <c r="J109" s="6"/>
      <c r="K109" s="6"/>
      <c r="L109" s="6"/>
      <c r="M109" s="6"/>
      <c r="N109" s="6"/>
      <c r="O109" s="6"/>
      <c r="P109" s="93"/>
    </row>
    <row r="110" spans="2:17" x14ac:dyDescent="0.25">
      <c r="B110" s="6"/>
      <c r="C110" s="6"/>
      <c r="D110" s="6"/>
      <c r="E110" s="6"/>
      <c r="F110" s="6"/>
      <c r="G110" s="6"/>
      <c r="H110" s="6"/>
      <c r="I110" s="6"/>
      <c r="J110" s="6"/>
      <c r="K110" s="6"/>
      <c r="L110" s="6"/>
      <c r="M110" s="74"/>
      <c r="N110" s="98" t="s">
        <v>1883</v>
      </c>
      <c r="O110" s="6"/>
      <c r="P110" s="99">
        <f>'11. RTSR - UTRs &amp; Sub-Tx'!E74</f>
        <v>0</v>
      </c>
    </row>
    <row r="111" spans="2:17" x14ac:dyDescent="0.25">
      <c r="B111" s="6"/>
      <c r="C111" s="6"/>
      <c r="D111" s="6"/>
      <c r="E111" s="6"/>
      <c r="F111" s="6"/>
      <c r="G111" s="6"/>
      <c r="H111" s="6"/>
      <c r="I111" s="6"/>
      <c r="J111" s="6"/>
      <c r="K111" s="6"/>
      <c r="L111" s="6"/>
      <c r="M111" s="6"/>
      <c r="N111" s="6"/>
      <c r="O111" s="6"/>
      <c r="P111" s="6"/>
    </row>
    <row r="112" spans="2:17" ht="13.8" thickBot="1" x14ac:dyDescent="0.3">
      <c r="B112" s="6"/>
      <c r="C112" s="6"/>
      <c r="D112" s="6"/>
      <c r="E112" s="6"/>
      <c r="F112" s="6"/>
      <c r="G112" s="6"/>
      <c r="H112" s="6"/>
      <c r="I112" s="6"/>
      <c r="J112" s="6"/>
      <c r="K112" s="6"/>
      <c r="L112" s="6"/>
      <c r="M112" s="6"/>
      <c r="N112" s="61" t="s">
        <v>1884</v>
      </c>
      <c r="O112" s="6"/>
      <c r="P112" s="96">
        <f>P108+P110</f>
        <v>716329.9735679999</v>
      </c>
    </row>
  </sheetData>
  <sheetProtection algorithmName="SHA-512" hashValue="i4D8np/Z0LUaugKRXmP71uFPjJg2N4xw7jHMsqB58eZ66fDz+33MDkTOZP3YiSO4/XJcbaGwGQq7kOczKK35pw==" saltValue="ew6B1ONmCyH1rYAgwutPBg==" spinCount="100000" sheet="1" objects="1" scenarios="1"/>
  <mergeCells count="19">
    <mergeCell ref="B13:P13"/>
    <mergeCell ref="D92:F92"/>
    <mergeCell ref="H92:J92"/>
    <mergeCell ref="L92:N92"/>
    <mergeCell ref="D53:F53"/>
    <mergeCell ref="H53:J53"/>
    <mergeCell ref="L53:N53"/>
    <mergeCell ref="D72:F72"/>
    <mergeCell ref="H72:J72"/>
    <mergeCell ref="L72:N72"/>
    <mergeCell ref="D34:F34"/>
    <mergeCell ref="H34:J34"/>
    <mergeCell ref="L34:N34"/>
    <mergeCell ref="D91:F91"/>
    <mergeCell ref="H91:J91"/>
    <mergeCell ref="L91:N91"/>
    <mergeCell ref="D16:F16"/>
    <mergeCell ref="H16:J16"/>
    <mergeCell ref="L16:N16"/>
  </mergeCells>
  <pageMargins left="0.25" right="0.25" top="0.75" bottom="0.75" header="0.3" footer="0.3"/>
  <pageSetup scale="37" orientation="portrait" r:id="rId1"/>
  <headerFooter>
    <oddFooter>&amp;C&amp;A</oddFooter>
  </headerFooter>
  <colBreaks count="1" manualBreakCount="1">
    <brk id="24" max="72"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U78"/>
  <sheetViews>
    <sheetView showGridLines="0" topLeftCell="A47" zoomScaleNormal="100" workbookViewId="0">
      <selection activeCell="H27" sqref="H27"/>
    </sheetView>
  </sheetViews>
  <sheetFormatPr defaultColWidth="9.33203125" defaultRowHeight="14.4" x14ac:dyDescent="0.3"/>
  <cols>
    <col min="1" max="1" width="13.33203125" style="779" customWidth="1"/>
    <col min="2" max="2" width="3.33203125" style="779" customWidth="1"/>
    <col min="3" max="4" width="9.33203125" style="779"/>
    <col min="5" max="5" width="51.33203125" style="779" customWidth="1"/>
    <col min="6" max="7" width="9.33203125" style="779"/>
    <col min="8" max="8" width="16" style="779" customWidth="1"/>
    <col min="9" max="10" width="9.33203125" style="779"/>
    <col min="11" max="11" width="11.33203125" style="779" bestFit="1" customWidth="1"/>
    <col min="12" max="12" width="9.33203125" style="779"/>
    <col min="13" max="13" width="13.33203125" style="779" customWidth="1"/>
    <col min="14" max="26" width="9.33203125" style="779"/>
    <col min="27" max="27" width="9.33203125" style="779" customWidth="1"/>
    <col min="28" max="16384" width="9.33203125" style="779"/>
  </cols>
  <sheetData>
    <row r="1" spans="2:21" x14ac:dyDescent="0.3">
      <c r="U1" s="1106" t="s">
        <v>426</v>
      </c>
    </row>
    <row r="2" spans="2:21" x14ac:dyDescent="0.3">
      <c r="C2" s="779" t="b">
        <v>0</v>
      </c>
    </row>
    <row r="3" spans="2:21" x14ac:dyDescent="0.3">
      <c r="C3" s="779" t="b">
        <v>0</v>
      </c>
    </row>
    <row r="11" spans="2:21" x14ac:dyDescent="0.3">
      <c r="G11" s="23"/>
    </row>
    <row r="12" spans="2:21" x14ac:dyDescent="0.3">
      <c r="B12" s="1119"/>
      <c r="C12" s="1119"/>
      <c r="D12" s="1119"/>
      <c r="E12" s="1119"/>
      <c r="F12" s="1119"/>
      <c r="G12" s="23"/>
      <c r="M12" s="692" t="s">
        <v>0</v>
      </c>
      <c r="N12" s="1105">
        <v>1</v>
      </c>
    </row>
    <row r="13" spans="2:21" ht="15" thickBot="1" x14ac:dyDescent="0.35">
      <c r="G13" s="23"/>
    </row>
    <row r="14" spans="2:21" ht="16.5" customHeight="1" thickTop="1" thickBot="1" x14ac:dyDescent="0.35">
      <c r="E14" s="1100" t="s">
        <v>1</v>
      </c>
      <c r="F14" s="1727" t="s">
        <v>171</v>
      </c>
      <c r="G14" s="1728"/>
      <c r="H14" s="1728"/>
      <c r="I14" s="1728"/>
      <c r="J14" s="1728"/>
      <c r="K14" s="1728"/>
      <c r="L14" s="1729"/>
    </row>
    <row r="15" spans="2:21" ht="15" hidden="1" thickBot="1" x14ac:dyDescent="0.35">
      <c r="E15" s="1101"/>
      <c r="F15" s="1116"/>
      <c r="G15" s="1120"/>
      <c r="H15" s="1116"/>
      <c r="I15" s="1116"/>
      <c r="J15" s="1116"/>
    </row>
    <row r="16" spans="2:21" ht="15.6" hidden="1" thickTop="1" thickBot="1" x14ac:dyDescent="0.35">
      <c r="E16" s="1102" t="s">
        <v>6</v>
      </c>
      <c r="F16" s="1730"/>
      <c r="G16" s="1731"/>
      <c r="H16" s="1731"/>
      <c r="I16" s="1731"/>
      <c r="J16" s="1732"/>
    </row>
    <row r="17" spans="1:13" ht="15" thickBot="1" x14ac:dyDescent="0.35">
      <c r="E17" s="31"/>
    </row>
    <row r="18" spans="1:13" ht="15.6" thickTop="1" thickBot="1" x14ac:dyDescent="0.35">
      <c r="E18" s="1102" t="s">
        <v>5022</v>
      </c>
      <c r="F18" s="1736" t="s">
        <v>7318</v>
      </c>
      <c r="G18" s="1737"/>
      <c r="H18" s="1737"/>
    </row>
    <row r="19" spans="1:13" ht="15" thickBot="1" x14ac:dyDescent="0.35">
      <c r="E19" s="31"/>
    </row>
    <row r="20" spans="1:13" ht="15.6" thickTop="1" thickBot="1" x14ac:dyDescent="0.35">
      <c r="E20" s="1102" t="s">
        <v>5023</v>
      </c>
      <c r="F20" s="1736" t="s">
        <v>7319</v>
      </c>
      <c r="G20" s="1737"/>
      <c r="H20" s="1737"/>
      <c r="I20" s="1737"/>
      <c r="J20" s="1737"/>
      <c r="K20" s="1737"/>
      <c r="M20" s="1118"/>
    </row>
    <row r="21" spans="1:13" ht="15" thickBot="1" x14ac:dyDescent="0.35">
      <c r="E21" s="1103"/>
      <c r="F21" s="1116"/>
      <c r="G21" s="1120"/>
      <c r="H21" s="1116"/>
      <c r="I21" s="1116"/>
      <c r="J21" s="1116"/>
    </row>
    <row r="22" spans="1:13" ht="15.6" thickTop="1" thickBot="1" x14ac:dyDescent="0.35">
      <c r="E22" s="1100" t="s">
        <v>5024</v>
      </c>
      <c r="F22" s="1736" t="s">
        <v>7320</v>
      </c>
      <c r="G22" s="1737"/>
      <c r="H22" s="1737"/>
    </row>
    <row r="23" spans="1:13" ht="15" thickBot="1" x14ac:dyDescent="0.35">
      <c r="E23" s="1103"/>
      <c r="F23" s="1116"/>
      <c r="G23" s="1120"/>
      <c r="H23" s="1116"/>
      <c r="I23" s="1116"/>
      <c r="J23" s="1116"/>
    </row>
    <row r="24" spans="1:13" ht="15.6" thickTop="1" thickBot="1" x14ac:dyDescent="0.35">
      <c r="E24" s="1100" t="s">
        <v>5025</v>
      </c>
      <c r="F24" s="1733" t="s">
        <v>7336</v>
      </c>
      <c r="G24" s="1734"/>
      <c r="H24" s="1734"/>
      <c r="I24" s="1734"/>
      <c r="J24" s="1735"/>
    </row>
    <row r="25" spans="1:13" ht="15" thickBot="1" x14ac:dyDescent="0.35">
      <c r="E25" s="1103"/>
      <c r="F25" s="1116"/>
      <c r="G25" s="1120"/>
      <c r="H25" s="1116"/>
      <c r="I25" s="1116"/>
      <c r="J25" s="1116"/>
    </row>
    <row r="26" spans="1:13" ht="16.5" customHeight="1" thickTop="1" thickBot="1" x14ac:dyDescent="0.35">
      <c r="E26" s="1100" t="s">
        <v>5026</v>
      </c>
      <c r="F26" s="1738">
        <v>44197</v>
      </c>
      <c r="G26" s="1739"/>
      <c r="H26" s="1739"/>
      <c r="K26" s="1121"/>
    </row>
    <row r="27" spans="1:13" ht="15" thickBot="1" x14ac:dyDescent="0.35">
      <c r="K27" s="1117"/>
    </row>
    <row r="28" spans="1:13" ht="15.6" thickTop="1" thickBot="1" x14ac:dyDescent="0.35">
      <c r="E28" s="1104" t="s">
        <v>5027</v>
      </c>
      <c r="F28" s="1712" t="s">
        <v>7317</v>
      </c>
      <c r="G28" s="1713"/>
      <c r="H28" s="1714"/>
    </row>
    <row r="29" spans="1:13" ht="15" thickBot="1" x14ac:dyDescent="0.35"/>
    <row r="30" spans="1:13" ht="28.5" customHeight="1" thickTop="1" thickBot="1" x14ac:dyDescent="0.35">
      <c r="A30" s="1709" t="s">
        <v>6889</v>
      </c>
      <c r="B30" s="1709"/>
      <c r="C30" s="1709"/>
      <c r="D30" s="1709"/>
      <c r="E30" s="1710"/>
      <c r="F30" s="1712">
        <v>2018</v>
      </c>
      <c r="G30" s="1713"/>
      <c r="H30" s="1714"/>
    </row>
    <row r="31" spans="1:13" ht="15" customHeight="1" thickBot="1" x14ac:dyDescent="0.35">
      <c r="A31" s="1404"/>
      <c r="B31" s="1404"/>
      <c r="C31" s="1404"/>
      <c r="D31" s="1404"/>
      <c r="E31" s="1404"/>
    </row>
    <row r="32" spans="1:13" ht="30.75" customHeight="1" thickTop="1" thickBot="1" x14ac:dyDescent="0.35">
      <c r="A32" s="1709" t="s">
        <v>6890</v>
      </c>
      <c r="B32" s="1709"/>
      <c r="C32" s="1709"/>
      <c r="D32" s="1709"/>
      <c r="E32" s="1710"/>
      <c r="F32" s="1402">
        <v>2017</v>
      </c>
      <c r="G32" s="1401"/>
      <c r="H32" s="1401"/>
    </row>
    <row r="33" spans="1:10" ht="6.75" customHeight="1" thickTop="1" thickBot="1" x14ac:dyDescent="0.35">
      <c r="A33" s="1405"/>
      <c r="B33" s="1405"/>
      <c r="C33" s="1405"/>
      <c r="D33" s="1405"/>
      <c r="E33" s="1406"/>
    </row>
    <row r="34" spans="1:10" ht="45" customHeight="1" thickTop="1" x14ac:dyDescent="0.3">
      <c r="A34" s="1709" t="s">
        <v>6882</v>
      </c>
      <c r="B34" s="1709"/>
      <c r="C34" s="1709"/>
      <c r="D34" s="1709"/>
      <c r="E34" s="1711"/>
      <c r="F34" s="1716">
        <v>2017</v>
      </c>
      <c r="G34" s="1400"/>
      <c r="H34" s="1400"/>
      <c r="I34" s="1193"/>
      <c r="J34" s="1193"/>
    </row>
    <row r="35" spans="1:10" s="1193" customFormat="1" ht="30.45" customHeight="1" x14ac:dyDescent="0.3">
      <c r="A35" s="1709" t="s">
        <v>6883</v>
      </c>
      <c r="B35" s="1709"/>
      <c r="C35" s="1709"/>
      <c r="D35" s="1709"/>
      <c r="E35" s="1709"/>
      <c r="F35" s="1717"/>
      <c r="G35" s="1400"/>
      <c r="H35" s="1400"/>
    </row>
    <row r="36" spans="1:10" s="1193" customFormat="1" ht="76.5" customHeight="1" x14ac:dyDescent="0.3">
      <c r="A36" s="1715" t="s">
        <v>6885</v>
      </c>
      <c r="B36" s="1715"/>
      <c r="C36" s="1715"/>
      <c r="D36" s="1715"/>
      <c r="E36" s="1715"/>
      <c r="F36" s="1717"/>
      <c r="G36" s="1400"/>
      <c r="H36" s="1400"/>
    </row>
    <row r="37" spans="1:10" s="1193" customFormat="1" ht="30.75" customHeight="1" thickBot="1" x14ac:dyDescent="0.35">
      <c r="A37" s="1709" t="s">
        <v>6892</v>
      </c>
      <c r="B37" s="1709"/>
      <c r="C37" s="1709"/>
      <c r="D37" s="1709"/>
      <c r="E37" s="1709"/>
      <c r="F37" s="1718"/>
      <c r="G37" s="1400"/>
      <c r="H37" s="1400"/>
    </row>
    <row r="38" spans="1:10" s="1193" customFormat="1" ht="30.75" customHeight="1" thickTop="1" x14ac:dyDescent="0.3">
      <c r="A38" s="1405"/>
      <c r="B38" s="1405"/>
      <c r="C38" s="1405"/>
      <c r="D38" s="1405"/>
      <c r="E38" s="1406"/>
      <c r="F38" s="1400"/>
      <c r="G38" s="1400"/>
      <c r="H38" s="1400"/>
    </row>
    <row r="39" spans="1:10" s="1193" customFormat="1" ht="17.25" customHeight="1" thickBot="1" x14ac:dyDescent="0.35">
      <c r="A39" s="1709" t="s">
        <v>6894</v>
      </c>
      <c r="B39" s="1709"/>
      <c r="C39" s="1709"/>
      <c r="D39" s="1709"/>
      <c r="E39" s="1709"/>
      <c r="F39" s="1400"/>
      <c r="G39" s="1400"/>
      <c r="H39" s="1400"/>
    </row>
    <row r="40" spans="1:10" s="1193" customFormat="1" ht="15" customHeight="1" thickTop="1" thickBot="1" x14ac:dyDescent="0.35">
      <c r="A40" s="1709"/>
      <c r="B40" s="1709"/>
      <c r="C40" s="1709"/>
      <c r="D40" s="1709"/>
      <c r="E40" s="1709"/>
      <c r="F40" s="1402">
        <v>2017</v>
      </c>
      <c r="G40" s="1400"/>
      <c r="H40" s="1400"/>
    </row>
    <row r="41" spans="1:10" s="1193" customFormat="1" ht="6.45" customHeight="1" thickTop="1" thickBot="1" x14ac:dyDescent="0.35">
      <c r="A41" s="1405"/>
      <c r="B41" s="1405"/>
      <c r="C41" s="1405"/>
      <c r="D41" s="1405"/>
      <c r="E41" s="1405"/>
      <c r="F41" s="1401"/>
      <c r="G41" s="1400"/>
      <c r="H41" s="1400"/>
    </row>
    <row r="42" spans="1:10" s="1193" customFormat="1" ht="45.75" customHeight="1" thickTop="1" x14ac:dyDescent="0.3">
      <c r="A42" s="1709" t="s">
        <v>7250</v>
      </c>
      <c r="B42" s="1709"/>
      <c r="C42" s="1709"/>
      <c r="D42" s="1709"/>
      <c r="E42" s="1709"/>
      <c r="F42" s="1716">
        <v>2017</v>
      </c>
      <c r="G42" s="1400"/>
      <c r="H42" s="1400"/>
    </row>
    <row r="43" spans="1:10" s="1193" customFormat="1" ht="18.75" customHeight="1" x14ac:dyDescent="0.3">
      <c r="A43" s="1709" t="s">
        <v>6883</v>
      </c>
      <c r="B43" s="1709"/>
      <c r="C43" s="1709"/>
      <c r="D43" s="1709"/>
      <c r="E43" s="1709"/>
      <c r="F43" s="1717"/>
      <c r="G43" s="1400"/>
      <c r="H43" s="1400"/>
    </row>
    <row r="44" spans="1:10" s="1193" customFormat="1" ht="46.5" customHeight="1" x14ac:dyDescent="0.3">
      <c r="A44" s="1715" t="s">
        <v>6884</v>
      </c>
      <c r="B44" s="1715"/>
      <c r="C44" s="1715"/>
      <c r="D44" s="1715"/>
      <c r="E44" s="1715"/>
      <c r="F44" s="1717"/>
      <c r="G44" s="1400"/>
      <c r="H44" s="1400"/>
    </row>
    <row r="45" spans="1:10" s="1193" customFormat="1" ht="31.95" customHeight="1" thickBot="1" x14ac:dyDescent="0.35">
      <c r="A45" s="1715" t="s">
        <v>6886</v>
      </c>
      <c r="B45" s="1715"/>
      <c r="C45" s="1715"/>
      <c r="D45" s="1715"/>
      <c r="E45" s="1715"/>
      <c r="F45" s="1718"/>
      <c r="G45" s="1400"/>
      <c r="H45" s="1400"/>
    </row>
    <row r="46" spans="1:10" s="1193" customFormat="1" ht="7.35" customHeight="1" thickTop="1" thickBot="1" x14ac:dyDescent="0.35">
      <c r="A46" s="1405"/>
      <c r="B46" s="1405"/>
      <c r="C46" s="1405"/>
      <c r="D46" s="1405"/>
      <c r="E46" s="1405"/>
      <c r="F46" s="1400"/>
      <c r="G46" s="1400"/>
      <c r="H46" s="1400"/>
    </row>
    <row r="47" spans="1:10" ht="24" customHeight="1" thickTop="1" thickBot="1" x14ac:dyDescent="0.35">
      <c r="A47" s="1711" t="s">
        <v>6891</v>
      </c>
      <c r="B47" s="1711"/>
      <c r="C47" s="1711"/>
      <c r="D47" s="1711"/>
      <c r="E47" s="1711"/>
      <c r="F47" s="1403">
        <v>2017</v>
      </c>
      <c r="G47" s="1400"/>
      <c r="H47" s="1400"/>
    </row>
    <row r="48" spans="1:10" ht="44.25" customHeight="1" thickTop="1" thickBot="1" x14ac:dyDescent="0.35">
      <c r="A48" s="1720" t="s">
        <v>6893</v>
      </c>
      <c r="B48" s="1720"/>
      <c r="C48" s="1720"/>
      <c r="D48" s="1720"/>
      <c r="E48" s="1720"/>
    </row>
    <row r="49" spans="1:19" ht="44.25" customHeight="1" thickTop="1" thickBot="1" x14ac:dyDescent="0.35">
      <c r="A49" s="1711" t="s">
        <v>6931</v>
      </c>
      <c r="B49" s="1711"/>
      <c r="C49" s="1711"/>
      <c r="D49" s="1711"/>
      <c r="E49" s="1711"/>
      <c r="F49" s="1403" t="s">
        <v>5033</v>
      </c>
      <c r="G49" s="1400"/>
      <c r="H49" s="1400"/>
    </row>
    <row r="50" spans="1:19" ht="11.25" customHeight="1" thickTop="1" thickBot="1" x14ac:dyDescent="0.35">
      <c r="A50" s="1711"/>
      <c r="B50" s="1711"/>
      <c r="C50" s="1711"/>
      <c r="D50" s="1711"/>
      <c r="E50" s="1711"/>
    </row>
    <row r="51" spans="1:19" ht="60.75" customHeight="1" thickTop="1" thickBot="1" x14ac:dyDescent="0.35">
      <c r="A51" s="1711" t="s">
        <v>6932</v>
      </c>
      <c r="B51" s="1711"/>
      <c r="C51" s="1711"/>
      <c r="D51" s="1711"/>
      <c r="E51" s="1711"/>
      <c r="F51" s="1403" t="s">
        <v>5033</v>
      </c>
      <c r="G51" s="1400"/>
      <c r="H51" s="1400"/>
    </row>
    <row r="52" spans="1:19" ht="11.25" customHeight="1" thickTop="1" thickBot="1" x14ac:dyDescent="0.35">
      <c r="A52" s="1405"/>
      <c r="B52" s="1405"/>
      <c r="C52" s="1405"/>
      <c r="D52" s="1405"/>
      <c r="E52" s="1406"/>
    </row>
    <row r="53" spans="1:19" ht="23.25" customHeight="1" thickTop="1" thickBot="1" x14ac:dyDescent="0.35">
      <c r="A53" s="1709" t="str">
        <f>"7. Retail Transmission Service Rates:    " &amp; LDCNAME1 &amp; " is:"</f>
        <v>7. Retail Transmission Service Rates:    Centre Wellington Hydro Ltd. is:</v>
      </c>
      <c r="B53" s="1709"/>
      <c r="C53" s="1709"/>
      <c r="D53" s="1709"/>
      <c r="E53" s="1710"/>
      <c r="F53" s="1712" t="s">
        <v>7321</v>
      </c>
      <c r="G53" s="1713"/>
      <c r="H53" s="1714"/>
      <c r="I53" s="692" t="str">
        <f>IF(F53="Partially Embedded","Within","")</f>
        <v/>
      </c>
      <c r="J53" s="1719"/>
      <c r="K53" s="1719"/>
      <c r="L53" s="1719"/>
      <c r="M53" s="1719"/>
      <c r="N53" s="1719"/>
      <c r="O53" s="1719"/>
      <c r="P53" s="1719"/>
      <c r="Q53" s="1719"/>
      <c r="R53" s="1719"/>
      <c r="S53" s="692" t="str">
        <f>IF(F53="Partially Embedded","Distribution System(s)","")</f>
        <v/>
      </c>
    </row>
    <row r="54" spans="1:19" ht="13.5" customHeight="1" thickBot="1" x14ac:dyDescent="0.35">
      <c r="A54" s="1404"/>
      <c r="B54" s="1404"/>
      <c r="C54" s="1404"/>
      <c r="D54" s="1404"/>
      <c r="E54" s="1404"/>
      <c r="J54" s="1107" t="str">
        <f>IF(F53="Partially Embedded","(If necessary, enter all host-distributors' names in the above green shaded cell.)","")</f>
        <v/>
      </c>
    </row>
    <row r="55" spans="1:19" ht="24" customHeight="1" thickTop="1" thickBot="1" x14ac:dyDescent="0.35">
      <c r="A55" s="1711" t="s">
        <v>5476</v>
      </c>
      <c r="B55" s="1711"/>
      <c r="C55" s="1711"/>
      <c r="D55" s="1711"/>
      <c r="E55" s="1711"/>
      <c r="F55" s="1712" t="s">
        <v>5033</v>
      </c>
      <c r="G55" s="1713"/>
      <c r="H55" s="1714"/>
    </row>
    <row r="56" spans="1:19" ht="3.75" customHeight="1" x14ac:dyDescent="0.3">
      <c r="A56" s="1091"/>
      <c r="B56" s="1091"/>
      <c r="C56" s="1091"/>
      <c r="D56" s="1091"/>
      <c r="E56" s="1092"/>
    </row>
    <row r="57" spans="1:19" ht="11.25" customHeight="1" x14ac:dyDescent="0.3">
      <c r="A57" s="1091"/>
      <c r="B57" s="1091"/>
      <c r="C57" s="1091"/>
      <c r="D57" s="1091"/>
      <c r="E57" s="1092"/>
    </row>
    <row r="58" spans="1:19" ht="11.25" customHeight="1" x14ac:dyDescent="0.3">
      <c r="A58" s="1091"/>
      <c r="B58" s="1091"/>
      <c r="C58" s="1091"/>
      <c r="D58" s="1091"/>
      <c r="E58" s="1092"/>
    </row>
    <row r="59" spans="1:19" ht="11.25" customHeight="1" x14ac:dyDescent="0.3">
      <c r="A59" s="1091"/>
      <c r="B59" s="1091"/>
      <c r="C59" s="1091"/>
      <c r="D59" s="1091"/>
      <c r="E59" s="1092"/>
    </row>
    <row r="60" spans="1:19" ht="11.25" customHeight="1" x14ac:dyDescent="0.3">
      <c r="A60" s="1091"/>
      <c r="B60" s="1091"/>
      <c r="C60" s="1091"/>
      <c r="D60" s="1091"/>
      <c r="E60" s="1092"/>
    </row>
    <row r="61" spans="1:19" ht="11.25" customHeight="1" x14ac:dyDescent="0.3">
      <c r="A61" s="1091"/>
      <c r="B61" s="1091"/>
      <c r="C61" s="1091"/>
      <c r="D61" s="1091"/>
      <c r="E61" s="1092"/>
    </row>
    <row r="62" spans="1:19" ht="9.75" customHeight="1" x14ac:dyDescent="0.3"/>
    <row r="63" spans="1:19" ht="21.75" customHeight="1" x14ac:dyDescent="0.3">
      <c r="B63" s="1093" t="s">
        <v>5028</v>
      </c>
    </row>
    <row r="64" spans="1:19" ht="15" thickBot="1" x14ac:dyDescent="0.35"/>
    <row r="65" spans="1:14" ht="15" thickBot="1" x14ac:dyDescent="0.35">
      <c r="B65" s="1094"/>
      <c r="C65" s="1722" t="s">
        <v>5029</v>
      </c>
      <c r="D65" s="1722"/>
      <c r="E65" s="1722"/>
      <c r="F65" s="1722"/>
      <c r="G65" s="1722"/>
      <c r="H65" s="1722"/>
      <c r="I65" s="1722"/>
      <c r="J65" s="1722"/>
      <c r="K65" s="1722"/>
      <c r="L65" s="1722"/>
    </row>
    <row r="66" spans="1:14" ht="15" thickBot="1" x14ac:dyDescent="0.35">
      <c r="C66" s="1095"/>
      <c r="D66" s="1095"/>
      <c r="E66" s="1095"/>
      <c r="F66" s="1095"/>
      <c r="G66" s="1095"/>
      <c r="H66" s="1095"/>
      <c r="I66" s="1095"/>
      <c r="J66" s="1095"/>
      <c r="K66" s="1095"/>
      <c r="L66" s="1095"/>
    </row>
    <row r="67" spans="1:14" ht="15" customHeight="1" thickBot="1" x14ac:dyDescent="0.35">
      <c r="B67" s="1096"/>
      <c r="C67" s="1723" t="s">
        <v>5030</v>
      </c>
      <c r="D67" s="1724"/>
      <c r="E67" s="1724"/>
      <c r="F67" s="1724"/>
      <c r="G67" s="1724"/>
      <c r="H67" s="1724"/>
      <c r="I67" s="1724"/>
      <c r="J67" s="1724"/>
      <c r="K67" s="1724"/>
      <c r="L67" s="1724"/>
      <c r="M67" s="1724"/>
      <c r="N67" s="1724"/>
    </row>
    <row r="68" spans="1:14" ht="15" thickBot="1" x14ac:dyDescent="0.35"/>
    <row r="69" spans="1:14" ht="15" thickBot="1" x14ac:dyDescent="0.35">
      <c r="B69" s="1097"/>
      <c r="C69" s="1723" t="s">
        <v>5910</v>
      </c>
      <c r="D69" s="1724"/>
      <c r="E69" s="1724"/>
      <c r="F69" s="1724"/>
      <c r="G69" s="1724"/>
      <c r="H69" s="1724"/>
      <c r="I69" s="1724"/>
      <c r="J69" s="1724"/>
      <c r="K69" s="1724"/>
      <c r="L69" s="1724"/>
      <c r="M69" s="1724"/>
      <c r="N69" s="1724"/>
    </row>
    <row r="70" spans="1:14" ht="15" thickBot="1" x14ac:dyDescent="0.35">
      <c r="B70" s="510"/>
      <c r="C70" s="1114"/>
      <c r="D70" s="1114"/>
      <c r="E70" s="1114"/>
      <c r="F70" s="1114"/>
      <c r="G70" s="1114"/>
      <c r="H70" s="1114"/>
      <c r="I70" s="1114"/>
      <c r="J70" s="1114"/>
      <c r="K70" s="1114"/>
      <c r="L70" s="1114"/>
      <c r="M70" s="1114"/>
      <c r="N70" s="1114"/>
    </row>
    <row r="71" spans="1:14" ht="15" thickBot="1" x14ac:dyDescent="0.35">
      <c r="B71" s="1098"/>
      <c r="C71" s="1723" t="s">
        <v>5911</v>
      </c>
      <c r="D71" s="1724"/>
      <c r="E71" s="1724"/>
      <c r="F71" s="1724"/>
      <c r="G71" s="1724"/>
      <c r="H71" s="1724"/>
      <c r="I71" s="1724"/>
      <c r="J71" s="1724"/>
      <c r="K71" s="1724"/>
      <c r="L71" s="1724"/>
      <c r="M71" s="1114"/>
      <c r="N71" s="1114"/>
    </row>
    <row r="72" spans="1:14" ht="15.75" customHeight="1" thickBot="1" x14ac:dyDescent="0.35">
      <c r="B72" s="1115"/>
    </row>
    <row r="73" spans="1:14" ht="15" thickBot="1" x14ac:dyDescent="0.35">
      <c r="B73" s="1099"/>
      <c r="C73" s="1725" t="s">
        <v>5031</v>
      </c>
      <c r="D73" s="1726"/>
      <c r="E73" s="1726"/>
      <c r="F73" s="1726"/>
      <c r="G73" s="1726"/>
      <c r="H73" s="1726"/>
      <c r="I73" s="1726"/>
      <c r="J73" s="1726"/>
      <c r="K73" s="1726"/>
      <c r="L73" s="1726"/>
      <c r="M73" s="1726"/>
    </row>
    <row r="74" spans="1:14" ht="15.75" customHeight="1" x14ac:dyDescent="0.3"/>
    <row r="75" spans="1:14" ht="4.5" customHeight="1" x14ac:dyDescent="0.3"/>
    <row r="76" spans="1:14" ht="25.5" customHeight="1" x14ac:dyDescent="0.3">
      <c r="A76" s="1721"/>
      <c r="B76" s="1721"/>
      <c r="C76" s="1721"/>
      <c r="D76" s="1721"/>
      <c r="E76" s="1721"/>
      <c r="F76" s="1721"/>
      <c r="G76" s="1721"/>
    </row>
    <row r="77" spans="1:14" ht="8.25" customHeight="1" x14ac:dyDescent="0.3">
      <c r="A77" s="1721"/>
      <c r="B77" s="1721"/>
      <c r="C77" s="1721"/>
      <c r="D77" s="1721"/>
      <c r="E77" s="1721"/>
      <c r="F77" s="1721"/>
      <c r="G77" s="1721"/>
    </row>
    <row r="78" spans="1:14" ht="5.25" customHeight="1" x14ac:dyDescent="0.3"/>
  </sheetData>
  <sheetProtection algorithmName="SHA-512" hashValue="FH/5uRF2HfnA5EmcXPFiVUVesnphiyhhMmOaQqwf2YPUj1CRDcaDOseIfv9XFcKaZx3ETTlRfebI+h2rIX5OYg==" saltValue="jTlv3sSvrW0PrYtbewBXNQ==" spinCount="100000" sheet="1" objects="1" scenarios="1"/>
  <mergeCells count="39">
    <mergeCell ref="A30:E30"/>
    <mergeCell ref="F18:H18"/>
    <mergeCell ref="F20:K20"/>
    <mergeCell ref="F22:H22"/>
    <mergeCell ref="F26:H26"/>
    <mergeCell ref="F14:L14"/>
    <mergeCell ref="F16:J16"/>
    <mergeCell ref="F24:J24"/>
    <mergeCell ref="F28:H28"/>
    <mergeCell ref="F30:H30"/>
    <mergeCell ref="A77:G77"/>
    <mergeCell ref="C65:L65"/>
    <mergeCell ref="C69:N69"/>
    <mergeCell ref="C71:L71"/>
    <mergeCell ref="C73:M73"/>
    <mergeCell ref="A76:G76"/>
    <mergeCell ref="C67:N67"/>
    <mergeCell ref="J53:R53"/>
    <mergeCell ref="A34:E34"/>
    <mergeCell ref="A47:E47"/>
    <mergeCell ref="A50:E50"/>
    <mergeCell ref="A48:E48"/>
    <mergeCell ref="A49:E49"/>
    <mergeCell ref="A42:E42"/>
    <mergeCell ref="A43:E43"/>
    <mergeCell ref="A44:E44"/>
    <mergeCell ref="A45:E45"/>
    <mergeCell ref="F42:F45"/>
    <mergeCell ref="A32:E32"/>
    <mergeCell ref="A55:E55"/>
    <mergeCell ref="F55:H55"/>
    <mergeCell ref="A51:E51"/>
    <mergeCell ref="F53:H53"/>
    <mergeCell ref="A53:E53"/>
    <mergeCell ref="A35:E35"/>
    <mergeCell ref="A36:E36"/>
    <mergeCell ref="A37:E37"/>
    <mergeCell ref="F34:F37"/>
    <mergeCell ref="A39:E40"/>
  </mergeCells>
  <conditionalFormatting sqref="J53">
    <cfRule type="expression" dxfId="8" priority="1">
      <formula>$F$53="Partially Embedded"</formula>
    </cfRule>
  </conditionalFormatting>
  <dataValidations count="10">
    <dataValidation allowBlank="1" showInputMessage="1" showErrorMessage="1" prompt="First and last name, title" sqref="F20" xr:uid="{00000000-0002-0000-0100-000000000000}"/>
    <dataValidation type="list" showErrorMessage="1" errorTitle="Selection Needed" error="Please select an option from the drop-down list." prompt="Use the following format eg: January 1, 2013" sqref="F28:H28" xr:uid="{00000000-0002-0000-0100-000001000000}">
      <formula1>"Price Cap IR, Annual IR Index"</formula1>
    </dataValidation>
    <dataValidation type="list" errorTitle="Selection Needed" error="Please select an option from the drop-down list." prompt="Use the following format eg: January 1, 2013" sqref="F30:H30" xr:uid="{00000000-0002-0000-0100-000002000000}">
      <formula1>"2013, 2014, 2015, 2016, 2017, 2018, 2019,2020"</formula1>
    </dataValidation>
    <dataValidation type="list" allowBlank="1" showInputMessage="1" showErrorMessage="1" sqref="F14:L14" xr:uid="{00000000-0002-0000-0100-000003000000}">
      <formula1>LDCList</formula1>
    </dataValidation>
    <dataValidation type="list" errorTitle="Selection Needed" error="Please select an option from the drop-down list." prompt="Use the following format eg: January 1, 2013" sqref="F55:H55 F49 F51" xr:uid="{00000000-0002-0000-0100-000004000000}">
      <formula1>"Yes,No"</formula1>
    </dataValidation>
    <dataValidation type="list" errorTitle="Selection Needed" error="Please select an option from the drop-down list." prompt="Use the following format eg: January 1, 2013" sqref="F47" xr:uid="{00000000-0002-0000-0100-000005000000}">
      <formula1>"2013, 2014, 2015, 2016, 2017,2018"</formula1>
    </dataValidation>
    <dataValidation type="list" showErrorMessage="1" errorTitle="Selection Needed" error="Please select an option from the drop-down list." prompt="Use the following format eg: January 1, 2013" sqref="F53:H53" xr:uid="{00000000-0002-0000-0100-000006000000}">
      <formula1>"Transmission Connected, Partially Embedded, Fully Embedded"</formula1>
    </dataValidation>
    <dataValidation type="list" errorTitle="Selection Needed" error="Please select an option from the drop-down list." prompt="Use the following format eg: January 1, 2013" sqref="F34 F42" xr:uid="{00000000-0002-0000-0100-000007000000}">
      <formula1>"2014, 2015, 2016, 2017,2018"</formula1>
    </dataValidation>
    <dataValidation errorTitle="Selection Needed" error="Please select an option from the drop-down list." prompt="Use the following format eg: January 1, 2013" sqref="F38:F39 G34:H42 G47:H47 G49:H49 G51:H51" xr:uid="{00000000-0002-0000-0100-000008000000}"/>
    <dataValidation type="list" allowBlank="1" showInputMessage="1" showErrorMessage="1" sqref="F16:J16" xr:uid="{00000000-0002-0000-0100-000009000000}">
      <formula1>ERTH_SA</formula1>
    </dataValidation>
  </dataValidations>
  <pageMargins left="0.25" right="0.25" top="0.75" bottom="0.75" header="0.3" footer="0.3"/>
  <pageSetup scale="36" orientation="portrait" r:id="rId1"/>
  <headerFooter>
    <oddFooter>&amp;C&amp;A</oddFooter>
  </headerFooter>
  <ignoredErrors>
    <ignoredError sqref="I5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loadCalendar">
                <anchor moveWithCells="1" sizeWithCells="1">
                  <from>
                    <xdr:col>8</xdr:col>
                    <xdr:colOff>60960</xdr:colOff>
                    <xdr:row>25</xdr:row>
                    <xdr:rowOff>0</xdr:rowOff>
                  </from>
                  <to>
                    <xdr:col>8</xdr:col>
                    <xdr:colOff>396240</xdr:colOff>
                    <xdr:row>25</xdr:row>
                    <xdr:rowOff>304800</xdr:rowOff>
                  </to>
                </anchor>
              </controlPr>
            </control>
          </mc:Choice>
        </mc:AlternateContent>
        <mc:AlternateContent xmlns:mc="http://schemas.openxmlformats.org/markup-compatibility/2006">
          <mc:Choice Requires="x14">
            <control shapeId="1029" r:id="rId5" name="Check Box 5">
              <controlPr defaultSize="0" autoFill="0" autoLine="0" autoPict="0" macro="[0]!CheckBox5_Click">
                <anchor moveWithCells="1">
                  <from>
                    <xdr:col>19</xdr:col>
                    <xdr:colOff>274320</xdr:colOff>
                    <xdr:row>27</xdr:row>
                    <xdr:rowOff>30480</xdr:rowOff>
                  </from>
                  <to>
                    <xdr:col>20</xdr:col>
                    <xdr:colOff>137160</xdr:colOff>
                    <xdr:row>28</xdr:row>
                    <xdr:rowOff>53340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pageSetUpPr fitToPage="1"/>
  </sheetPr>
  <dimension ref="A13:Q113"/>
  <sheetViews>
    <sheetView showGridLines="0" view="pageBreakPreview" topLeftCell="B1" zoomScale="60" zoomScaleNormal="100" workbookViewId="0">
      <selection activeCell="H27" sqref="H27"/>
    </sheetView>
  </sheetViews>
  <sheetFormatPr defaultColWidth="9.33203125" defaultRowHeight="13.2" x14ac:dyDescent="0.25"/>
  <cols>
    <col min="1" max="1" width="11.6640625" style="59" hidden="1" customWidth="1"/>
    <col min="2" max="2" width="30.33203125" style="59" customWidth="1"/>
    <col min="3" max="3" width="3.6640625" style="59" customWidth="1"/>
    <col min="4" max="4" width="13.6640625" style="59" customWidth="1"/>
    <col min="5" max="5" width="15.33203125" style="59" customWidth="1"/>
    <col min="6" max="6" width="13.6640625" style="59" customWidth="1"/>
    <col min="7" max="7" width="2.6640625" style="59" customWidth="1"/>
    <col min="8" max="8" width="13.6640625" style="59" customWidth="1"/>
    <col min="9" max="9" width="10.33203125" style="59" bestFit="1" customWidth="1"/>
    <col min="10" max="10" width="13.6640625" style="59" customWidth="1"/>
    <col min="11" max="11" width="3.33203125" style="59" customWidth="1"/>
    <col min="12" max="12" width="13.6640625" style="59" customWidth="1"/>
    <col min="13" max="13" width="9.33203125" style="59" bestFit="1" customWidth="1"/>
    <col min="14" max="14" width="13.6640625" style="59" customWidth="1"/>
    <col min="15" max="15" width="3.6640625" style="59" customWidth="1"/>
    <col min="16" max="16" width="18.33203125" style="59" customWidth="1"/>
    <col min="17" max="16384" width="9.33203125" style="59"/>
  </cols>
  <sheetData>
    <row r="13" spans="2:17" ht="18.75" customHeight="1" x14ac:dyDescent="0.3">
      <c r="B13" s="1930" t="s">
        <v>5933</v>
      </c>
      <c r="C13" s="1907"/>
      <c r="D13" s="1907"/>
      <c r="E13" s="1907"/>
      <c r="F13" s="1907"/>
      <c r="G13" s="1907"/>
      <c r="H13" s="1907"/>
      <c r="I13" s="1907"/>
      <c r="J13" s="1907"/>
      <c r="K13" s="1907"/>
      <c r="L13" s="1907"/>
      <c r="M13" s="1907"/>
      <c r="N13" s="1907"/>
      <c r="O13" s="1907"/>
      <c r="P13" s="1907"/>
    </row>
    <row r="16" spans="2:17" x14ac:dyDescent="0.25">
      <c r="B16" s="230" t="s">
        <v>442</v>
      </c>
      <c r="C16" s="127"/>
      <c r="D16" s="1927" t="s">
        <v>443</v>
      </c>
      <c r="E16" s="1927"/>
      <c r="F16" s="1927"/>
      <c r="G16" s="127"/>
      <c r="H16" s="1927" t="s">
        <v>444</v>
      </c>
      <c r="I16" s="1927"/>
      <c r="J16" s="1927"/>
      <c r="K16" s="127"/>
      <c r="L16" s="1927" t="s">
        <v>445</v>
      </c>
      <c r="M16" s="1927"/>
      <c r="N16" s="1927"/>
      <c r="O16" s="127"/>
      <c r="P16" s="230" t="s">
        <v>2360</v>
      </c>
      <c r="Q16" s="84"/>
    </row>
    <row r="17" spans="2:17" ht="15.6" x14ac:dyDescent="0.3">
      <c r="B17" s="129"/>
      <c r="C17" s="129"/>
      <c r="D17" s="1929"/>
      <c r="E17" s="1929"/>
      <c r="F17" s="1929"/>
      <c r="G17" s="131"/>
      <c r="H17" s="1929"/>
      <c r="I17" s="1929"/>
      <c r="J17" s="1929"/>
      <c r="K17" s="131"/>
      <c r="L17" s="1929"/>
      <c r="M17" s="1929"/>
      <c r="N17" s="1929"/>
      <c r="O17" s="129"/>
      <c r="P17" s="231"/>
      <c r="Q17" s="89"/>
    </row>
    <row r="18" spans="2:17" x14ac:dyDescent="0.25">
      <c r="B18" s="232" t="s">
        <v>446</v>
      </c>
      <c r="C18" s="129"/>
      <c r="D18" s="134" t="s">
        <v>447</v>
      </c>
      <c r="E18" s="134" t="s">
        <v>343</v>
      </c>
      <c r="F18" s="134" t="s">
        <v>145</v>
      </c>
      <c r="G18" s="129"/>
      <c r="H18" s="134" t="s">
        <v>447</v>
      </c>
      <c r="I18" s="134" t="s">
        <v>343</v>
      </c>
      <c r="J18" s="134" t="s">
        <v>145</v>
      </c>
      <c r="K18" s="129"/>
      <c r="L18" s="134" t="s">
        <v>447</v>
      </c>
      <c r="M18" s="134" t="s">
        <v>343</v>
      </c>
      <c r="N18" s="134" t="s">
        <v>145</v>
      </c>
      <c r="O18" s="129"/>
      <c r="P18" s="134" t="s">
        <v>145</v>
      </c>
      <c r="Q18" s="84"/>
    </row>
    <row r="19" spans="2:17" x14ac:dyDescent="0.25">
      <c r="B19" s="129"/>
      <c r="C19" s="129"/>
      <c r="D19" s="129"/>
      <c r="E19" s="129"/>
      <c r="F19" s="129"/>
      <c r="G19" s="129"/>
      <c r="H19" s="129"/>
      <c r="I19" s="129"/>
      <c r="J19" s="129"/>
      <c r="K19" s="129"/>
      <c r="L19" s="129"/>
      <c r="M19" s="129"/>
      <c r="N19" s="129"/>
      <c r="O19" s="129"/>
      <c r="P19" s="129"/>
      <c r="Q19" s="84"/>
    </row>
    <row r="20" spans="2:17" x14ac:dyDescent="0.25">
      <c r="B20" s="132" t="s">
        <v>30</v>
      </c>
      <c r="C20" s="129"/>
      <c r="D20" s="100">
        <f>'12. RTSR - Historical Wholesale'!D19</f>
        <v>0</v>
      </c>
      <c r="E20" s="101">
        <f>'11. RTSR - UTRs &amp; Sub-Tx'!H22</f>
        <v>3.92</v>
      </c>
      <c r="F20" s="102">
        <f>D20*E20</f>
        <v>0</v>
      </c>
      <c r="G20" s="129"/>
      <c r="H20" s="100">
        <f>'12. RTSR - Historical Wholesale'!H19</f>
        <v>0</v>
      </c>
      <c r="I20" s="101">
        <f>'11. RTSR - UTRs &amp; Sub-Tx'!H24</f>
        <v>0.97</v>
      </c>
      <c r="J20" s="102">
        <f>H20*I20</f>
        <v>0</v>
      </c>
      <c r="K20" s="129"/>
      <c r="L20" s="100">
        <f>'12. RTSR - Historical Wholesale'!L19</f>
        <v>0</v>
      </c>
      <c r="M20" s="101">
        <f>'11. RTSR - UTRs &amp; Sub-Tx'!H26</f>
        <v>2.33</v>
      </c>
      <c r="N20" s="102">
        <f>L20*M20</f>
        <v>0</v>
      </c>
      <c r="O20" s="129"/>
      <c r="P20" s="93">
        <f t="shared" ref="P20:P31" si="0">J20+N20</f>
        <v>0</v>
      </c>
      <c r="Q20" s="84"/>
    </row>
    <row r="21" spans="2:17" x14ac:dyDescent="0.25">
      <c r="B21" s="132" t="s">
        <v>31</v>
      </c>
      <c r="C21" s="129"/>
      <c r="D21" s="100">
        <f>'12. RTSR - Historical Wholesale'!D20</f>
        <v>0</v>
      </c>
      <c r="E21" s="101">
        <f>E20</f>
        <v>3.92</v>
      </c>
      <c r="F21" s="102">
        <f t="shared" ref="F21:F31" si="1">D21*E21</f>
        <v>0</v>
      </c>
      <c r="G21" s="129"/>
      <c r="H21" s="100">
        <f>'12. RTSR - Historical Wholesale'!H20</f>
        <v>0</v>
      </c>
      <c r="I21" s="101">
        <f>I20</f>
        <v>0.97</v>
      </c>
      <c r="J21" s="102">
        <f t="shared" ref="J21:J31" si="2">H21*I21</f>
        <v>0</v>
      </c>
      <c r="K21" s="129"/>
      <c r="L21" s="100">
        <f>'12. RTSR - Historical Wholesale'!L20</f>
        <v>0</v>
      </c>
      <c r="M21" s="101">
        <f>M20</f>
        <v>2.33</v>
      </c>
      <c r="N21" s="102">
        <f t="shared" ref="N21:N31" si="3">L21*M21</f>
        <v>0</v>
      </c>
      <c r="O21" s="129"/>
      <c r="P21" s="93">
        <f t="shared" si="0"/>
        <v>0</v>
      </c>
      <c r="Q21" s="84"/>
    </row>
    <row r="22" spans="2:17" x14ac:dyDescent="0.25">
      <c r="B22" s="132" t="s">
        <v>32</v>
      </c>
      <c r="C22" s="129"/>
      <c r="D22" s="100">
        <f>'12. RTSR - Historical Wholesale'!D21</f>
        <v>0</v>
      </c>
      <c r="E22" s="101">
        <f t="shared" ref="E22:E31" si="4">E21</f>
        <v>3.92</v>
      </c>
      <c r="F22" s="102">
        <f t="shared" si="1"/>
        <v>0</v>
      </c>
      <c r="G22" s="129"/>
      <c r="H22" s="100">
        <f>'12. RTSR - Historical Wholesale'!H21</f>
        <v>0</v>
      </c>
      <c r="I22" s="101">
        <f t="shared" ref="I22:I31" si="5">I21</f>
        <v>0.97</v>
      </c>
      <c r="J22" s="102">
        <f t="shared" si="2"/>
        <v>0</v>
      </c>
      <c r="K22" s="129"/>
      <c r="L22" s="100">
        <f>'12. RTSR - Historical Wholesale'!L21</f>
        <v>0</v>
      </c>
      <c r="M22" s="101">
        <f t="shared" ref="M22:M31" si="6">M21</f>
        <v>2.33</v>
      </c>
      <c r="N22" s="102">
        <f t="shared" si="3"/>
        <v>0</v>
      </c>
      <c r="O22" s="129"/>
      <c r="P22" s="93">
        <f t="shared" si="0"/>
        <v>0</v>
      </c>
      <c r="Q22" s="84"/>
    </row>
    <row r="23" spans="2:17" x14ac:dyDescent="0.25">
      <c r="B23" s="132" t="s">
        <v>33</v>
      </c>
      <c r="C23" s="129"/>
      <c r="D23" s="100">
        <f>'12. RTSR - Historical Wholesale'!D22</f>
        <v>0</v>
      </c>
      <c r="E23" s="101">
        <f t="shared" si="4"/>
        <v>3.92</v>
      </c>
      <c r="F23" s="102">
        <f t="shared" si="1"/>
        <v>0</v>
      </c>
      <c r="G23" s="129"/>
      <c r="H23" s="100">
        <f>'12. RTSR - Historical Wholesale'!H22</f>
        <v>0</v>
      </c>
      <c r="I23" s="101">
        <f t="shared" si="5"/>
        <v>0.97</v>
      </c>
      <c r="J23" s="102">
        <f t="shared" si="2"/>
        <v>0</v>
      </c>
      <c r="K23" s="129"/>
      <c r="L23" s="100">
        <f>'12. RTSR - Historical Wholesale'!L22</f>
        <v>0</v>
      </c>
      <c r="M23" s="101">
        <f t="shared" si="6"/>
        <v>2.33</v>
      </c>
      <c r="N23" s="102">
        <f t="shared" si="3"/>
        <v>0</v>
      </c>
      <c r="O23" s="129"/>
      <c r="P23" s="93">
        <f t="shared" si="0"/>
        <v>0</v>
      </c>
      <c r="Q23" s="84"/>
    </row>
    <row r="24" spans="2:17" x14ac:dyDescent="0.25">
      <c r="B24" s="132" t="s">
        <v>34</v>
      </c>
      <c r="C24" s="129"/>
      <c r="D24" s="100">
        <f>'12. RTSR - Historical Wholesale'!D23</f>
        <v>0</v>
      </c>
      <c r="E24" s="101">
        <f t="shared" si="4"/>
        <v>3.92</v>
      </c>
      <c r="F24" s="102">
        <f t="shared" si="1"/>
        <v>0</v>
      </c>
      <c r="G24" s="129"/>
      <c r="H24" s="100">
        <f>'12. RTSR - Historical Wholesale'!H23</f>
        <v>0</v>
      </c>
      <c r="I24" s="101">
        <f t="shared" si="5"/>
        <v>0.97</v>
      </c>
      <c r="J24" s="102">
        <f t="shared" si="2"/>
        <v>0</v>
      </c>
      <c r="K24" s="129"/>
      <c r="L24" s="100">
        <f>'12. RTSR - Historical Wholesale'!L23</f>
        <v>0</v>
      </c>
      <c r="M24" s="101">
        <f t="shared" si="6"/>
        <v>2.33</v>
      </c>
      <c r="N24" s="102">
        <f t="shared" si="3"/>
        <v>0</v>
      </c>
      <c r="O24" s="129"/>
      <c r="P24" s="93">
        <f t="shared" si="0"/>
        <v>0</v>
      </c>
      <c r="Q24" s="84"/>
    </row>
    <row r="25" spans="2:17" x14ac:dyDescent="0.25">
      <c r="B25" s="132" t="s">
        <v>35</v>
      </c>
      <c r="C25" s="129"/>
      <c r="D25" s="100">
        <f>'12. RTSR - Historical Wholesale'!D24</f>
        <v>0</v>
      </c>
      <c r="E25" s="101">
        <f t="shared" si="4"/>
        <v>3.92</v>
      </c>
      <c r="F25" s="102">
        <f t="shared" si="1"/>
        <v>0</v>
      </c>
      <c r="G25" s="129"/>
      <c r="H25" s="100">
        <f>'12. RTSR - Historical Wholesale'!H24</f>
        <v>0</v>
      </c>
      <c r="I25" s="101">
        <f t="shared" si="5"/>
        <v>0.97</v>
      </c>
      <c r="J25" s="102">
        <f t="shared" si="2"/>
        <v>0</v>
      </c>
      <c r="K25" s="129"/>
      <c r="L25" s="100">
        <f>'12. RTSR - Historical Wholesale'!L24</f>
        <v>0</v>
      </c>
      <c r="M25" s="101">
        <f t="shared" si="6"/>
        <v>2.33</v>
      </c>
      <c r="N25" s="102">
        <f t="shared" si="3"/>
        <v>0</v>
      </c>
      <c r="O25" s="129"/>
      <c r="P25" s="93">
        <f t="shared" si="0"/>
        <v>0</v>
      </c>
      <c r="Q25" s="84"/>
    </row>
    <row r="26" spans="2:17" x14ac:dyDescent="0.25">
      <c r="B26" s="132" t="s">
        <v>36</v>
      </c>
      <c r="C26" s="129"/>
      <c r="D26" s="100">
        <f>'12. RTSR - Historical Wholesale'!D25</f>
        <v>0</v>
      </c>
      <c r="E26" s="101">
        <f t="shared" si="4"/>
        <v>3.92</v>
      </c>
      <c r="F26" s="102">
        <f t="shared" si="1"/>
        <v>0</v>
      </c>
      <c r="G26" s="129"/>
      <c r="H26" s="100">
        <f>'12. RTSR - Historical Wholesale'!H25</f>
        <v>0</v>
      </c>
      <c r="I26" s="101">
        <f t="shared" si="5"/>
        <v>0.97</v>
      </c>
      <c r="J26" s="102">
        <f t="shared" si="2"/>
        <v>0</v>
      </c>
      <c r="K26" s="129"/>
      <c r="L26" s="100">
        <f>'12. RTSR - Historical Wholesale'!L25</f>
        <v>0</v>
      </c>
      <c r="M26" s="101">
        <f t="shared" si="6"/>
        <v>2.33</v>
      </c>
      <c r="N26" s="102">
        <f t="shared" si="3"/>
        <v>0</v>
      </c>
      <c r="O26" s="129"/>
      <c r="P26" s="93">
        <f t="shared" si="0"/>
        <v>0</v>
      </c>
      <c r="Q26" s="84"/>
    </row>
    <row r="27" spans="2:17" x14ac:dyDescent="0.25">
      <c r="B27" s="132" t="s">
        <v>37</v>
      </c>
      <c r="C27" s="129"/>
      <c r="D27" s="100">
        <f>'12. RTSR - Historical Wholesale'!D26</f>
        <v>0</v>
      </c>
      <c r="E27" s="101">
        <f t="shared" si="4"/>
        <v>3.92</v>
      </c>
      <c r="F27" s="102">
        <f t="shared" si="1"/>
        <v>0</v>
      </c>
      <c r="G27" s="129"/>
      <c r="H27" s="100">
        <f>'12. RTSR - Historical Wholesale'!H26</f>
        <v>0</v>
      </c>
      <c r="I27" s="101">
        <f t="shared" si="5"/>
        <v>0.97</v>
      </c>
      <c r="J27" s="102">
        <f t="shared" si="2"/>
        <v>0</v>
      </c>
      <c r="K27" s="129"/>
      <c r="L27" s="100">
        <f>'12. RTSR - Historical Wholesale'!L26</f>
        <v>0</v>
      </c>
      <c r="M27" s="101">
        <f t="shared" si="6"/>
        <v>2.33</v>
      </c>
      <c r="N27" s="102">
        <f t="shared" si="3"/>
        <v>0</v>
      </c>
      <c r="O27" s="129"/>
      <c r="P27" s="93">
        <f t="shared" si="0"/>
        <v>0</v>
      </c>
      <c r="Q27" s="84"/>
    </row>
    <row r="28" spans="2:17" x14ac:dyDescent="0.25">
      <c r="B28" s="132" t="s">
        <v>38</v>
      </c>
      <c r="C28" s="129"/>
      <c r="D28" s="100">
        <f>'12. RTSR - Historical Wholesale'!D27</f>
        <v>0</v>
      </c>
      <c r="E28" s="101">
        <f t="shared" si="4"/>
        <v>3.92</v>
      </c>
      <c r="F28" s="102">
        <f t="shared" si="1"/>
        <v>0</v>
      </c>
      <c r="G28" s="129"/>
      <c r="H28" s="100">
        <f>'12. RTSR - Historical Wholesale'!H27</f>
        <v>0</v>
      </c>
      <c r="I28" s="101">
        <f t="shared" si="5"/>
        <v>0.97</v>
      </c>
      <c r="J28" s="102">
        <f t="shared" si="2"/>
        <v>0</v>
      </c>
      <c r="K28" s="129"/>
      <c r="L28" s="100">
        <f>'12. RTSR - Historical Wholesale'!L27</f>
        <v>0</v>
      </c>
      <c r="M28" s="101">
        <f t="shared" si="6"/>
        <v>2.33</v>
      </c>
      <c r="N28" s="102">
        <f t="shared" si="3"/>
        <v>0</v>
      </c>
      <c r="O28" s="129"/>
      <c r="P28" s="93">
        <f t="shared" si="0"/>
        <v>0</v>
      </c>
      <c r="Q28" s="84"/>
    </row>
    <row r="29" spans="2:17" x14ac:dyDescent="0.25">
      <c r="B29" s="132" t="s">
        <v>39</v>
      </c>
      <c r="C29" s="129"/>
      <c r="D29" s="100">
        <f>'12. RTSR - Historical Wholesale'!D28</f>
        <v>0</v>
      </c>
      <c r="E29" s="101">
        <f t="shared" si="4"/>
        <v>3.92</v>
      </c>
      <c r="F29" s="102">
        <f t="shared" si="1"/>
        <v>0</v>
      </c>
      <c r="G29" s="129"/>
      <c r="H29" s="100">
        <f>'12. RTSR - Historical Wholesale'!H28</f>
        <v>0</v>
      </c>
      <c r="I29" s="101">
        <f t="shared" si="5"/>
        <v>0.97</v>
      </c>
      <c r="J29" s="102">
        <f t="shared" si="2"/>
        <v>0</v>
      </c>
      <c r="K29" s="129"/>
      <c r="L29" s="100">
        <f>'12. RTSR - Historical Wholesale'!L28</f>
        <v>0</v>
      </c>
      <c r="M29" s="101">
        <f t="shared" si="6"/>
        <v>2.33</v>
      </c>
      <c r="N29" s="102">
        <f t="shared" si="3"/>
        <v>0</v>
      </c>
      <c r="O29" s="129"/>
      <c r="P29" s="93">
        <f t="shared" si="0"/>
        <v>0</v>
      </c>
      <c r="Q29" s="84"/>
    </row>
    <row r="30" spans="2:17" x14ac:dyDescent="0.25">
      <c r="B30" s="132" t="s">
        <v>40</v>
      </c>
      <c r="C30" s="129"/>
      <c r="D30" s="100">
        <f>'12. RTSR - Historical Wholesale'!D29</f>
        <v>0</v>
      </c>
      <c r="E30" s="101">
        <f t="shared" si="4"/>
        <v>3.92</v>
      </c>
      <c r="F30" s="102">
        <f t="shared" si="1"/>
        <v>0</v>
      </c>
      <c r="G30" s="129"/>
      <c r="H30" s="100">
        <f>'12. RTSR - Historical Wholesale'!H29</f>
        <v>0</v>
      </c>
      <c r="I30" s="101">
        <f t="shared" si="5"/>
        <v>0.97</v>
      </c>
      <c r="J30" s="102">
        <f t="shared" si="2"/>
        <v>0</v>
      </c>
      <c r="K30" s="129"/>
      <c r="L30" s="100">
        <f>'12. RTSR - Historical Wholesale'!L29</f>
        <v>0</v>
      </c>
      <c r="M30" s="101">
        <f t="shared" si="6"/>
        <v>2.33</v>
      </c>
      <c r="N30" s="102">
        <f t="shared" si="3"/>
        <v>0</v>
      </c>
      <c r="O30" s="129"/>
      <c r="P30" s="93">
        <f t="shared" si="0"/>
        <v>0</v>
      </c>
      <c r="Q30" s="84"/>
    </row>
    <row r="31" spans="2:17" x14ac:dyDescent="0.25">
      <c r="B31" s="132" t="s">
        <v>41</v>
      </c>
      <c r="C31" s="129"/>
      <c r="D31" s="100">
        <f>'12. RTSR - Historical Wholesale'!D30</f>
        <v>0</v>
      </c>
      <c r="E31" s="101">
        <f t="shared" si="4"/>
        <v>3.92</v>
      </c>
      <c r="F31" s="102">
        <f t="shared" si="1"/>
        <v>0</v>
      </c>
      <c r="G31" s="129"/>
      <c r="H31" s="100">
        <f>'12. RTSR - Historical Wholesale'!H30</f>
        <v>0</v>
      </c>
      <c r="I31" s="101">
        <f t="shared" si="5"/>
        <v>0.97</v>
      </c>
      <c r="J31" s="102">
        <f t="shared" si="2"/>
        <v>0</v>
      </c>
      <c r="K31" s="129"/>
      <c r="L31" s="100">
        <f>'12. RTSR - Historical Wholesale'!L30</f>
        <v>0</v>
      </c>
      <c r="M31" s="101">
        <f t="shared" si="6"/>
        <v>2.33</v>
      </c>
      <c r="N31" s="102">
        <f t="shared" si="3"/>
        <v>0</v>
      </c>
      <c r="O31" s="129"/>
      <c r="P31" s="93">
        <f t="shared" si="0"/>
        <v>0</v>
      </c>
      <c r="Q31" s="84"/>
    </row>
    <row r="32" spans="2:17" x14ac:dyDescent="0.25">
      <c r="B32" s="129"/>
      <c r="C32" s="129"/>
      <c r="D32" s="129"/>
      <c r="E32" s="129"/>
      <c r="F32" s="129"/>
      <c r="G32" s="129"/>
      <c r="H32" s="129"/>
      <c r="I32" s="129"/>
      <c r="J32" s="129"/>
      <c r="K32" s="129"/>
      <c r="L32" s="129"/>
      <c r="M32" s="129"/>
      <c r="N32" s="129"/>
      <c r="O32" s="129"/>
      <c r="P32" s="129"/>
      <c r="Q32" s="84"/>
    </row>
    <row r="33" spans="2:17" ht="13.8" thickBot="1" x14ac:dyDescent="0.3">
      <c r="B33" s="232" t="s">
        <v>47</v>
      </c>
      <c r="C33" s="129"/>
      <c r="D33" s="94">
        <f>SUM(D20:D31)</f>
        <v>0</v>
      </c>
      <c r="E33" s="95">
        <f>IF(D33&lt;&gt;0,F33/D33,0)</f>
        <v>0</v>
      </c>
      <c r="F33" s="96">
        <f>SUM(F20:F31)</f>
        <v>0</v>
      </c>
      <c r="G33" s="129"/>
      <c r="H33" s="94">
        <f>SUM(H20:H31)</f>
        <v>0</v>
      </c>
      <c r="I33" s="95">
        <f>IF(H33&lt;&gt;0,J33/H33,0)</f>
        <v>0</v>
      </c>
      <c r="J33" s="96">
        <f>SUM(J20:J31)</f>
        <v>0</v>
      </c>
      <c r="K33" s="129"/>
      <c r="L33" s="94">
        <f>SUM(L20:L31)</f>
        <v>0</v>
      </c>
      <c r="M33" s="95">
        <f>IF(L33&lt;&gt;0,N33/L33,0)</f>
        <v>0</v>
      </c>
      <c r="N33" s="96">
        <f>SUM(N20:N31)</f>
        <v>0</v>
      </c>
      <c r="O33" s="129"/>
      <c r="P33" s="96">
        <f>SUM(P20:P31)</f>
        <v>0</v>
      </c>
      <c r="Q33" s="84"/>
    </row>
    <row r="34" spans="2:17" x14ac:dyDescent="0.25">
      <c r="B34" s="129"/>
      <c r="C34" s="129"/>
      <c r="D34" s="129"/>
      <c r="E34" s="129"/>
      <c r="F34" s="129"/>
      <c r="G34" s="129"/>
      <c r="H34" s="129"/>
      <c r="I34" s="129"/>
      <c r="J34" s="129"/>
      <c r="K34" s="129"/>
      <c r="L34" s="129"/>
      <c r="M34" s="129"/>
      <c r="N34" s="129"/>
      <c r="O34" s="129"/>
      <c r="P34" s="129"/>
      <c r="Q34" s="84"/>
    </row>
    <row r="35" spans="2:17" x14ac:dyDescent="0.25">
      <c r="B35" s="230" t="s">
        <v>448</v>
      </c>
      <c r="C35" s="127"/>
      <c r="D35" s="1927" t="s">
        <v>443</v>
      </c>
      <c r="E35" s="1927"/>
      <c r="F35" s="1927"/>
      <c r="G35" s="127"/>
      <c r="H35" s="1927" t="s">
        <v>444</v>
      </c>
      <c r="I35" s="1927"/>
      <c r="J35" s="1927"/>
      <c r="K35" s="127"/>
      <c r="L35" s="1927" t="s">
        <v>445</v>
      </c>
      <c r="M35" s="1927"/>
      <c r="N35" s="1927"/>
      <c r="O35" s="127"/>
      <c r="P35" s="774" t="s">
        <v>2360</v>
      </c>
      <c r="Q35" s="84"/>
    </row>
    <row r="36" spans="2:17" x14ac:dyDescent="0.25">
      <c r="B36" s="232"/>
      <c r="C36" s="129"/>
      <c r="D36" s="134"/>
      <c r="E36" s="134"/>
      <c r="F36" s="134"/>
      <c r="G36" s="129"/>
      <c r="H36" s="134"/>
      <c r="I36" s="134"/>
      <c r="J36" s="134"/>
      <c r="K36" s="129"/>
      <c r="L36" s="134"/>
      <c r="M36" s="134"/>
      <c r="N36" s="134"/>
      <c r="O36" s="129"/>
      <c r="P36" s="134"/>
      <c r="Q36" s="84"/>
    </row>
    <row r="37" spans="2:17" x14ac:dyDescent="0.25">
      <c r="B37" s="232" t="s">
        <v>446</v>
      </c>
      <c r="C37" s="129"/>
      <c r="D37" s="134" t="s">
        <v>447</v>
      </c>
      <c r="E37" s="134" t="s">
        <v>343</v>
      </c>
      <c r="F37" s="134" t="s">
        <v>145</v>
      </c>
      <c r="G37" s="129"/>
      <c r="H37" s="134" t="s">
        <v>447</v>
      </c>
      <c r="I37" s="134" t="s">
        <v>343</v>
      </c>
      <c r="J37" s="134" t="s">
        <v>145</v>
      </c>
      <c r="K37" s="129"/>
      <c r="L37" s="134" t="s">
        <v>447</v>
      </c>
      <c r="M37" s="134" t="s">
        <v>343</v>
      </c>
      <c r="N37" s="134" t="s">
        <v>145</v>
      </c>
      <c r="O37" s="129"/>
      <c r="P37" s="134" t="s">
        <v>145</v>
      </c>
      <c r="Q37" s="84"/>
    </row>
    <row r="38" spans="2:17" x14ac:dyDescent="0.25">
      <c r="B38" s="129"/>
      <c r="C38" s="129"/>
      <c r="D38" s="129"/>
      <c r="E38" s="129"/>
      <c r="F38" s="129"/>
      <c r="G38" s="129"/>
      <c r="H38" s="129"/>
      <c r="I38" s="129"/>
      <c r="J38" s="129"/>
      <c r="K38" s="129"/>
      <c r="L38" s="129"/>
      <c r="M38" s="129"/>
      <c r="N38" s="129"/>
      <c r="O38" s="129"/>
      <c r="P38" s="129"/>
      <c r="Q38" s="84"/>
    </row>
    <row r="39" spans="2:17" x14ac:dyDescent="0.25">
      <c r="B39" s="132" t="s">
        <v>30</v>
      </c>
      <c r="C39" s="129"/>
      <c r="D39" s="100">
        <f>'12. RTSR - Historical Wholesale'!D38</f>
        <v>24974.560000000001</v>
      </c>
      <c r="E39" s="101">
        <f>'11. RTSR - UTRs &amp; Sub-Tx'!H35</f>
        <v>3.3980000000000001</v>
      </c>
      <c r="F39" s="102">
        <f>D39*E39</f>
        <v>84863.554880000011</v>
      </c>
      <c r="G39" s="129"/>
      <c r="H39" s="100">
        <f>'12. RTSR - Historical Wholesale'!H38</f>
        <v>24974.560000000001</v>
      </c>
      <c r="I39" s="101">
        <f>'11. RTSR - UTRs &amp; Sub-Tx'!H37</f>
        <v>0.80449999999999999</v>
      </c>
      <c r="J39" s="102">
        <f>H39*I39</f>
        <v>20092.033520000001</v>
      </c>
      <c r="K39" s="129"/>
      <c r="L39" s="100">
        <f>'12. RTSR - Historical Wholesale'!L38</f>
        <v>24974.560000000001</v>
      </c>
      <c r="M39" s="101">
        <f>'11. RTSR - UTRs &amp; Sub-Tx'!H39</f>
        <v>2.0194000000000001</v>
      </c>
      <c r="N39" s="102">
        <f>L39*M39</f>
        <v>50433.626464000008</v>
      </c>
      <c r="O39" s="129"/>
      <c r="P39" s="93">
        <f t="shared" ref="P39:P50" si="7">J39+N39</f>
        <v>70525.659984000013</v>
      </c>
      <c r="Q39" s="84"/>
    </row>
    <row r="40" spans="2:17" x14ac:dyDescent="0.25">
      <c r="B40" s="132" t="s">
        <v>31</v>
      </c>
      <c r="C40" s="129"/>
      <c r="D40" s="100">
        <f>'12. RTSR - Historical Wholesale'!D39</f>
        <v>22954.92</v>
      </c>
      <c r="E40" s="101">
        <f t="shared" ref="E40:E50" si="8">E39</f>
        <v>3.3980000000000001</v>
      </c>
      <c r="F40" s="102">
        <f t="shared" ref="F40:F50" si="9">D40*E40</f>
        <v>78000.818159999995</v>
      </c>
      <c r="G40" s="129"/>
      <c r="H40" s="100">
        <f>'12. RTSR - Historical Wholesale'!H39</f>
        <v>22954.92</v>
      </c>
      <c r="I40" s="101">
        <f t="shared" ref="I40:I50" si="10">I39</f>
        <v>0.80449999999999999</v>
      </c>
      <c r="J40" s="102">
        <f t="shared" ref="J40:J50" si="11">H40*I40</f>
        <v>18467.233139999997</v>
      </c>
      <c r="K40" s="129"/>
      <c r="L40" s="100">
        <f>'12. RTSR - Historical Wholesale'!L39</f>
        <v>22954.92</v>
      </c>
      <c r="M40" s="101">
        <f t="shared" ref="M40:M50" si="12">M39</f>
        <v>2.0194000000000001</v>
      </c>
      <c r="N40" s="102">
        <f t="shared" ref="N40:N50" si="13">L40*M40</f>
        <v>46355.165448</v>
      </c>
      <c r="O40" s="129"/>
      <c r="P40" s="93">
        <f t="shared" si="7"/>
        <v>64822.398587999996</v>
      </c>
      <c r="Q40" s="84"/>
    </row>
    <row r="41" spans="2:17" x14ac:dyDescent="0.25">
      <c r="B41" s="132" t="s">
        <v>32</v>
      </c>
      <c r="C41" s="129"/>
      <c r="D41" s="100">
        <f>'12. RTSR - Historical Wholesale'!D40</f>
        <v>22807.66</v>
      </c>
      <c r="E41" s="101">
        <f t="shared" si="8"/>
        <v>3.3980000000000001</v>
      </c>
      <c r="F41" s="102">
        <f t="shared" si="9"/>
        <v>77500.428679999997</v>
      </c>
      <c r="G41" s="129"/>
      <c r="H41" s="100">
        <f>'12. RTSR - Historical Wholesale'!H40</f>
        <v>23410.07</v>
      </c>
      <c r="I41" s="101">
        <f t="shared" si="10"/>
        <v>0.80449999999999999</v>
      </c>
      <c r="J41" s="102">
        <f t="shared" si="11"/>
        <v>18833.401314999999</v>
      </c>
      <c r="K41" s="129"/>
      <c r="L41" s="100">
        <f>'12. RTSR - Historical Wholesale'!L40</f>
        <v>23410.07</v>
      </c>
      <c r="M41" s="101">
        <f t="shared" si="12"/>
        <v>2.0194000000000001</v>
      </c>
      <c r="N41" s="102">
        <f t="shared" si="13"/>
        <v>47274.295358000003</v>
      </c>
      <c r="O41" s="129"/>
      <c r="P41" s="93">
        <f t="shared" si="7"/>
        <v>66107.696672999999</v>
      </c>
      <c r="Q41" s="84"/>
    </row>
    <row r="42" spans="2:17" x14ac:dyDescent="0.25">
      <c r="B42" s="132" t="s">
        <v>33</v>
      </c>
      <c r="C42" s="129"/>
      <c r="D42" s="100">
        <f>'12. RTSR - Historical Wholesale'!D41</f>
        <v>20132.599999999999</v>
      </c>
      <c r="E42" s="101">
        <f t="shared" si="8"/>
        <v>3.3980000000000001</v>
      </c>
      <c r="F42" s="102">
        <f t="shared" si="9"/>
        <v>68410.574800000002</v>
      </c>
      <c r="G42" s="129"/>
      <c r="H42" s="100">
        <f>'12. RTSR - Historical Wholesale'!H41</f>
        <v>20132.599999999999</v>
      </c>
      <c r="I42" s="101">
        <f t="shared" si="10"/>
        <v>0.80449999999999999</v>
      </c>
      <c r="J42" s="102">
        <f t="shared" si="11"/>
        <v>16196.676699999998</v>
      </c>
      <c r="K42" s="129"/>
      <c r="L42" s="100">
        <f>'12. RTSR - Historical Wholesale'!L41</f>
        <v>20132.599999999999</v>
      </c>
      <c r="M42" s="101">
        <f t="shared" si="12"/>
        <v>2.0194000000000001</v>
      </c>
      <c r="N42" s="102">
        <f t="shared" si="13"/>
        <v>40655.772440000001</v>
      </c>
      <c r="O42" s="129"/>
      <c r="P42" s="93">
        <f t="shared" si="7"/>
        <v>56852.449139999997</v>
      </c>
      <c r="Q42" s="84"/>
    </row>
    <row r="43" spans="2:17" x14ac:dyDescent="0.25">
      <c r="B43" s="132" t="s">
        <v>34</v>
      </c>
      <c r="C43" s="129"/>
      <c r="D43" s="100">
        <f>'12. RTSR - Historical Wholesale'!D42</f>
        <v>19511.900000000001</v>
      </c>
      <c r="E43" s="101">
        <f t="shared" si="8"/>
        <v>3.3980000000000001</v>
      </c>
      <c r="F43" s="102">
        <f t="shared" si="9"/>
        <v>66301.436200000011</v>
      </c>
      <c r="G43" s="129"/>
      <c r="H43" s="100">
        <f>'12. RTSR - Historical Wholesale'!H42</f>
        <v>19511.900000000001</v>
      </c>
      <c r="I43" s="101">
        <f t="shared" si="10"/>
        <v>0.80449999999999999</v>
      </c>
      <c r="J43" s="102">
        <f t="shared" si="11"/>
        <v>15697.323550000001</v>
      </c>
      <c r="K43" s="129"/>
      <c r="L43" s="100">
        <f>'12. RTSR - Historical Wholesale'!L42</f>
        <v>19511.900000000001</v>
      </c>
      <c r="M43" s="101">
        <f t="shared" si="12"/>
        <v>2.0194000000000001</v>
      </c>
      <c r="N43" s="102">
        <f t="shared" si="13"/>
        <v>39402.330860000002</v>
      </c>
      <c r="O43" s="129"/>
      <c r="P43" s="93">
        <f t="shared" si="7"/>
        <v>55099.654410000003</v>
      </c>
      <c r="Q43" s="84"/>
    </row>
    <row r="44" spans="2:17" x14ac:dyDescent="0.25">
      <c r="B44" s="132" t="s">
        <v>35</v>
      </c>
      <c r="C44" s="129"/>
      <c r="D44" s="100">
        <f>'12. RTSR - Historical Wholesale'!D43</f>
        <v>20614.04</v>
      </c>
      <c r="E44" s="101">
        <f t="shared" si="8"/>
        <v>3.3980000000000001</v>
      </c>
      <c r="F44" s="102">
        <f t="shared" si="9"/>
        <v>70046.507920000004</v>
      </c>
      <c r="G44" s="129"/>
      <c r="H44" s="100">
        <f>'12. RTSR - Historical Wholesale'!H43</f>
        <v>20614.04</v>
      </c>
      <c r="I44" s="101">
        <f t="shared" si="10"/>
        <v>0.80449999999999999</v>
      </c>
      <c r="J44" s="102">
        <f t="shared" si="11"/>
        <v>16583.995180000002</v>
      </c>
      <c r="K44" s="129"/>
      <c r="L44" s="100">
        <f>'12. RTSR - Historical Wholesale'!L43</f>
        <v>20614.04</v>
      </c>
      <c r="M44" s="101">
        <f t="shared" si="12"/>
        <v>2.0194000000000001</v>
      </c>
      <c r="N44" s="102">
        <f t="shared" si="13"/>
        <v>41627.992376000002</v>
      </c>
      <c r="O44" s="129"/>
      <c r="P44" s="93">
        <f t="shared" si="7"/>
        <v>58211.987556000007</v>
      </c>
      <c r="Q44" s="84"/>
    </row>
    <row r="45" spans="2:17" x14ac:dyDescent="0.25">
      <c r="B45" s="132" t="s">
        <v>36</v>
      </c>
      <c r="C45" s="129"/>
      <c r="D45" s="100">
        <f>'12. RTSR - Historical Wholesale'!D44</f>
        <v>25509.439999999999</v>
      </c>
      <c r="E45" s="101">
        <f t="shared" si="8"/>
        <v>3.3980000000000001</v>
      </c>
      <c r="F45" s="102">
        <f t="shared" si="9"/>
        <v>86681.077120000002</v>
      </c>
      <c r="G45" s="129"/>
      <c r="H45" s="100">
        <f>'12. RTSR - Historical Wholesale'!H44</f>
        <v>25509.439999999999</v>
      </c>
      <c r="I45" s="101">
        <f t="shared" si="10"/>
        <v>0.80449999999999999</v>
      </c>
      <c r="J45" s="102">
        <f t="shared" si="11"/>
        <v>20522.34448</v>
      </c>
      <c r="K45" s="129"/>
      <c r="L45" s="100">
        <f>'12. RTSR - Historical Wholesale'!L44</f>
        <v>25509.439999999999</v>
      </c>
      <c r="M45" s="101">
        <f t="shared" si="12"/>
        <v>2.0194000000000001</v>
      </c>
      <c r="N45" s="102">
        <f t="shared" si="13"/>
        <v>51513.763136000001</v>
      </c>
      <c r="O45" s="129"/>
      <c r="P45" s="93">
        <f t="shared" si="7"/>
        <v>72036.107615999994</v>
      </c>
      <c r="Q45" s="84"/>
    </row>
    <row r="46" spans="2:17" x14ac:dyDescent="0.25">
      <c r="B46" s="132" t="s">
        <v>37</v>
      </c>
      <c r="C46" s="129"/>
      <c r="D46" s="100">
        <f>'12. RTSR - Historical Wholesale'!D45</f>
        <v>25152.14</v>
      </c>
      <c r="E46" s="101">
        <f t="shared" si="8"/>
        <v>3.3980000000000001</v>
      </c>
      <c r="F46" s="102">
        <f t="shared" si="9"/>
        <v>85466.971720000001</v>
      </c>
      <c r="G46" s="129"/>
      <c r="H46" s="100">
        <f>'12. RTSR - Historical Wholesale'!H45</f>
        <v>25152.14</v>
      </c>
      <c r="I46" s="101">
        <f t="shared" si="10"/>
        <v>0.80449999999999999</v>
      </c>
      <c r="J46" s="102">
        <f t="shared" si="11"/>
        <v>20234.896629999999</v>
      </c>
      <c r="K46" s="129"/>
      <c r="L46" s="100">
        <f>'12. RTSR - Historical Wholesale'!L45</f>
        <v>25152.14</v>
      </c>
      <c r="M46" s="101">
        <f t="shared" si="12"/>
        <v>2.0194000000000001</v>
      </c>
      <c r="N46" s="102">
        <f t="shared" si="13"/>
        <v>50792.231516</v>
      </c>
      <c r="O46" s="129"/>
      <c r="P46" s="93">
        <f t="shared" si="7"/>
        <v>71027.128146000003</v>
      </c>
      <c r="Q46" s="84"/>
    </row>
    <row r="47" spans="2:17" x14ac:dyDescent="0.25">
      <c r="B47" s="132" t="s">
        <v>38</v>
      </c>
      <c r="C47" s="129"/>
      <c r="D47" s="100">
        <f>'12. RTSR - Historical Wholesale'!D46</f>
        <v>22218.84</v>
      </c>
      <c r="E47" s="101">
        <f t="shared" si="8"/>
        <v>3.3980000000000001</v>
      </c>
      <c r="F47" s="102">
        <f t="shared" si="9"/>
        <v>75499.618320000009</v>
      </c>
      <c r="G47" s="129"/>
      <c r="H47" s="100">
        <f>'12. RTSR - Historical Wholesale'!H46</f>
        <v>22218.84</v>
      </c>
      <c r="I47" s="101">
        <f t="shared" si="10"/>
        <v>0.80449999999999999</v>
      </c>
      <c r="J47" s="102">
        <f t="shared" si="11"/>
        <v>17875.056779999999</v>
      </c>
      <c r="K47" s="129"/>
      <c r="L47" s="100">
        <f>'12. RTSR - Historical Wholesale'!L46</f>
        <v>22218.84</v>
      </c>
      <c r="M47" s="101">
        <f t="shared" si="12"/>
        <v>2.0194000000000001</v>
      </c>
      <c r="N47" s="102">
        <f t="shared" si="13"/>
        <v>44868.725495999999</v>
      </c>
      <c r="O47" s="129"/>
      <c r="P47" s="93">
        <f t="shared" si="7"/>
        <v>62743.782275999998</v>
      </c>
      <c r="Q47" s="84"/>
    </row>
    <row r="48" spans="2:17" x14ac:dyDescent="0.25">
      <c r="B48" s="132" t="s">
        <v>39</v>
      </c>
      <c r="C48" s="129"/>
      <c r="D48" s="100">
        <f>'12. RTSR - Historical Wholesale'!D47</f>
        <v>21460.66</v>
      </c>
      <c r="E48" s="101">
        <f t="shared" si="8"/>
        <v>3.3980000000000001</v>
      </c>
      <c r="F48" s="102">
        <f t="shared" si="9"/>
        <v>72923.322679999997</v>
      </c>
      <c r="G48" s="129"/>
      <c r="H48" s="100">
        <f>'12. RTSR - Historical Wholesale'!H47</f>
        <v>21460.66</v>
      </c>
      <c r="I48" s="101">
        <f t="shared" si="10"/>
        <v>0.80449999999999999</v>
      </c>
      <c r="J48" s="102">
        <f t="shared" si="11"/>
        <v>17265.10097</v>
      </c>
      <c r="K48" s="129"/>
      <c r="L48" s="100">
        <f>'12. RTSR - Historical Wholesale'!L47</f>
        <v>21460.66</v>
      </c>
      <c r="M48" s="101">
        <f t="shared" si="12"/>
        <v>2.0194000000000001</v>
      </c>
      <c r="N48" s="102">
        <f t="shared" si="13"/>
        <v>43337.656803999998</v>
      </c>
      <c r="O48" s="129"/>
      <c r="P48" s="93">
        <f t="shared" si="7"/>
        <v>60602.757773999998</v>
      </c>
      <c r="Q48" s="84"/>
    </row>
    <row r="49" spans="2:17" x14ac:dyDescent="0.25">
      <c r="B49" s="132" t="s">
        <v>40</v>
      </c>
      <c r="C49" s="129"/>
      <c r="D49" s="100">
        <f>'12. RTSR - Historical Wholesale'!D48</f>
        <v>22087.759999999998</v>
      </c>
      <c r="E49" s="101">
        <f t="shared" si="8"/>
        <v>3.3980000000000001</v>
      </c>
      <c r="F49" s="102">
        <f t="shared" si="9"/>
        <v>75054.208480000001</v>
      </c>
      <c r="G49" s="129"/>
      <c r="H49" s="100">
        <f>'12. RTSR - Historical Wholesale'!H48</f>
        <v>22087.759999999998</v>
      </c>
      <c r="I49" s="101">
        <f t="shared" si="10"/>
        <v>0.80449999999999999</v>
      </c>
      <c r="J49" s="102">
        <f t="shared" si="11"/>
        <v>17769.602919999998</v>
      </c>
      <c r="K49" s="129"/>
      <c r="L49" s="100">
        <f>'12. RTSR - Historical Wholesale'!L48</f>
        <v>22087.759999999998</v>
      </c>
      <c r="M49" s="101">
        <f t="shared" si="12"/>
        <v>2.0194000000000001</v>
      </c>
      <c r="N49" s="102">
        <f t="shared" si="13"/>
        <v>44604.022543999999</v>
      </c>
      <c r="O49" s="129"/>
      <c r="P49" s="93">
        <f t="shared" si="7"/>
        <v>62373.625463999997</v>
      </c>
      <c r="Q49" s="84"/>
    </row>
    <row r="50" spans="2:17" x14ac:dyDescent="0.25">
      <c r="B50" s="132" t="s">
        <v>41</v>
      </c>
      <c r="C50" s="129"/>
      <c r="D50" s="100">
        <f>'12. RTSR - Historical Wholesale'!D49</f>
        <v>22780.54</v>
      </c>
      <c r="E50" s="101">
        <f t="shared" si="8"/>
        <v>3.3980000000000001</v>
      </c>
      <c r="F50" s="102">
        <f t="shared" si="9"/>
        <v>77408.274920000011</v>
      </c>
      <c r="G50" s="129"/>
      <c r="H50" s="100">
        <f>'12. RTSR - Historical Wholesale'!H49</f>
        <v>22780.54</v>
      </c>
      <c r="I50" s="101">
        <f t="shared" si="10"/>
        <v>0.80449999999999999</v>
      </c>
      <c r="J50" s="102">
        <f t="shared" si="11"/>
        <v>18326.94443</v>
      </c>
      <c r="K50" s="129"/>
      <c r="L50" s="100">
        <f>'12. RTSR - Historical Wholesale'!L49</f>
        <v>22780.54</v>
      </c>
      <c r="M50" s="101">
        <f t="shared" si="12"/>
        <v>2.0194000000000001</v>
      </c>
      <c r="N50" s="102">
        <f t="shared" si="13"/>
        <v>46003.022476000006</v>
      </c>
      <c r="O50" s="129"/>
      <c r="P50" s="93">
        <f t="shared" si="7"/>
        <v>64329.966906000001</v>
      </c>
      <c r="Q50" s="84"/>
    </row>
    <row r="51" spans="2:17" x14ac:dyDescent="0.25">
      <c r="B51" s="129"/>
      <c r="C51" s="129"/>
      <c r="D51" s="129"/>
      <c r="E51" s="129"/>
      <c r="F51" s="129"/>
      <c r="G51" s="129"/>
      <c r="H51" s="129"/>
      <c r="I51" s="129"/>
      <c r="J51" s="129"/>
      <c r="K51" s="129"/>
      <c r="L51" s="129"/>
      <c r="M51" s="129"/>
      <c r="N51" s="129"/>
      <c r="O51" s="129"/>
      <c r="P51" s="129"/>
      <c r="Q51" s="84"/>
    </row>
    <row r="52" spans="2:17" ht="13.8" thickBot="1" x14ac:dyDescent="0.3">
      <c r="B52" s="232" t="s">
        <v>47</v>
      </c>
      <c r="C52" s="129"/>
      <c r="D52" s="94">
        <f>SUM(D39:D50)</f>
        <v>270205.06</v>
      </c>
      <c r="E52" s="95">
        <f>IF(D52&lt;&gt;0,F52/D52,0)</f>
        <v>3.3980000000000001</v>
      </c>
      <c r="F52" s="96">
        <f>SUM(F39:F50)</f>
        <v>918156.79388000001</v>
      </c>
      <c r="G52" s="129"/>
      <c r="H52" s="94">
        <f>SUM(H39:H50)</f>
        <v>270807.46999999997</v>
      </c>
      <c r="I52" s="95">
        <f>IF(H52&lt;&gt;0,J52/H52,0)</f>
        <v>0.8045000000000001</v>
      </c>
      <c r="J52" s="96">
        <f>SUM(J39:J50)</f>
        <v>217864.60961499999</v>
      </c>
      <c r="K52" s="129"/>
      <c r="L52" s="94">
        <f>SUM(L39:L50)</f>
        <v>270807.46999999997</v>
      </c>
      <c r="M52" s="95">
        <f>IF(L52&lt;&gt;0,N52/L52,0)</f>
        <v>2.0194000000000005</v>
      </c>
      <c r="N52" s="96">
        <f>SUM(N39:N50)</f>
        <v>546868.60491800006</v>
      </c>
      <c r="O52" s="129"/>
      <c r="P52" s="96">
        <f>SUM(P39:P50)</f>
        <v>764733.21453300014</v>
      </c>
      <c r="Q52" s="84"/>
    </row>
    <row r="53" spans="2:17" x14ac:dyDescent="0.25">
      <c r="B53" s="129"/>
      <c r="C53" s="129"/>
      <c r="D53" s="129"/>
      <c r="E53" s="129"/>
      <c r="F53" s="129"/>
      <c r="G53" s="129"/>
      <c r="H53" s="129"/>
      <c r="I53" s="129"/>
      <c r="J53" s="129"/>
      <c r="K53" s="129"/>
      <c r="L53" s="129"/>
      <c r="M53" s="129"/>
      <c r="N53" s="129"/>
      <c r="O53" s="129"/>
      <c r="P53" s="129"/>
      <c r="Q53" s="84"/>
    </row>
    <row r="54" spans="2:17" x14ac:dyDescent="0.25">
      <c r="B54" s="230" t="str">
        <f>'12. RTSR - Historical Wholesale'!B53</f>
        <v>Add Extra Host Here (I)</v>
      </c>
      <c r="C54" s="127"/>
      <c r="D54" s="1927" t="s">
        <v>443</v>
      </c>
      <c r="E54" s="1927"/>
      <c r="F54" s="1927"/>
      <c r="G54" s="127"/>
      <c r="H54" s="1927" t="s">
        <v>444</v>
      </c>
      <c r="I54" s="1927"/>
      <c r="J54" s="1927"/>
      <c r="K54" s="127"/>
      <c r="L54" s="1927" t="s">
        <v>445</v>
      </c>
      <c r="M54" s="1927"/>
      <c r="N54" s="1927"/>
      <c r="O54" s="127"/>
      <c r="P54" s="774" t="s">
        <v>2360</v>
      </c>
      <c r="Q54" s="84"/>
    </row>
    <row r="55" spans="2:17" x14ac:dyDescent="0.25">
      <c r="B55" s="232"/>
      <c r="C55" s="129"/>
      <c r="D55" s="134"/>
      <c r="E55" s="134"/>
      <c r="F55" s="134"/>
      <c r="G55" s="129"/>
      <c r="H55" s="134"/>
      <c r="I55" s="134"/>
      <c r="J55" s="134"/>
      <c r="K55" s="129"/>
      <c r="L55" s="134"/>
      <c r="M55" s="134"/>
      <c r="N55" s="134"/>
      <c r="O55" s="129"/>
      <c r="P55" s="134"/>
      <c r="Q55" s="84"/>
    </row>
    <row r="56" spans="2:17" x14ac:dyDescent="0.25">
      <c r="B56" s="232" t="s">
        <v>446</v>
      </c>
      <c r="C56" s="129"/>
      <c r="D56" s="134" t="s">
        <v>447</v>
      </c>
      <c r="E56" s="134" t="s">
        <v>343</v>
      </c>
      <c r="F56" s="134" t="s">
        <v>145</v>
      </c>
      <c r="G56" s="129"/>
      <c r="H56" s="134" t="s">
        <v>447</v>
      </c>
      <c r="I56" s="134" t="s">
        <v>343</v>
      </c>
      <c r="J56" s="134" t="s">
        <v>145</v>
      </c>
      <c r="K56" s="129"/>
      <c r="L56" s="134" t="s">
        <v>447</v>
      </c>
      <c r="M56" s="134" t="s">
        <v>343</v>
      </c>
      <c r="N56" s="134" t="s">
        <v>145</v>
      </c>
      <c r="O56" s="129"/>
      <c r="P56" s="134" t="s">
        <v>145</v>
      </c>
      <c r="Q56" s="84"/>
    </row>
    <row r="57" spans="2:17" x14ac:dyDescent="0.25">
      <c r="B57" s="129"/>
      <c r="C57" s="129"/>
      <c r="D57" s="129"/>
      <c r="E57" s="129"/>
      <c r="F57" s="129"/>
      <c r="G57" s="129"/>
      <c r="H57" s="129"/>
      <c r="I57" s="129"/>
      <c r="J57" s="129"/>
      <c r="K57" s="129"/>
      <c r="L57" s="129"/>
      <c r="M57" s="129"/>
      <c r="N57" s="129"/>
      <c r="O57" s="129"/>
      <c r="P57" s="129"/>
      <c r="Q57" s="84"/>
    </row>
    <row r="58" spans="2:17" x14ac:dyDescent="0.25">
      <c r="B58" s="132" t="s">
        <v>30</v>
      </c>
      <c r="C58" s="129"/>
      <c r="D58" s="100">
        <f>'12. RTSR - Historical Wholesale'!D57</f>
        <v>0</v>
      </c>
      <c r="E58" s="101">
        <f>'11. RTSR - UTRs &amp; Sub-Tx'!H50</f>
        <v>0</v>
      </c>
      <c r="F58" s="102">
        <f>D58*E58</f>
        <v>0</v>
      </c>
      <c r="G58" s="129"/>
      <c r="H58" s="100">
        <f>'12. RTSR - Historical Wholesale'!H57</f>
        <v>0</v>
      </c>
      <c r="I58" s="101">
        <f>'11. RTSR - UTRs &amp; Sub-Tx'!H52</f>
        <v>0</v>
      </c>
      <c r="J58" s="102">
        <f>H58*I58</f>
        <v>0</v>
      </c>
      <c r="K58" s="129"/>
      <c r="L58" s="100">
        <f>'12. RTSR - Historical Wholesale'!L57</f>
        <v>0</v>
      </c>
      <c r="M58" s="101">
        <f>'11. RTSR - UTRs &amp; Sub-Tx'!H54</f>
        <v>0</v>
      </c>
      <c r="N58" s="102">
        <f>L58*M58</f>
        <v>0</v>
      </c>
      <c r="O58" s="129"/>
      <c r="P58" s="93">
        <f t="shared" ref="P58:P69" si="14">J58+N58</f>
        <v>0</v>
      </c>
      <c r="Q58" s="84"/>
    </row>
    <row r="59" spans="2:17" x14ac:dyDescent="0.25">
      <c r="B59" s="132" t="s">
        <v>31</v>
      </c>
      <c r="C59" s="129"/>
      <c r="D59" s="100">
        <f>'12. RTSR - Historical Wholesale'!D58</f>
        <v>0</v>
      </c>
      <c r="E59" s="101">
        <f>E58</f>
        <v>0</v>
      </c>
      <c r="F59" s="102">
        <f t="shared" ref="F59:F69" si="15">D59*E59</f>
        <v>0</v>
      </c>
      <c r="G59" s="129"/>
      <c r="H59" s="100">
        <f>'12. RTSR - Historical Wholesale'!H58</f>
        <v>0</v>
      </c>
      <c r="I59" s="101">
        <f>I58</f>
        <v>0</v>
      </c>
      <c r="J59" s="102">
        <f t="shared" ref="J59:J69" si="16">H59*I59</f>
        <v>0</v>
      </c>
      <c r="K59" s="129"/>
      <c r="L59" s="100">
        <f>'12. RTSR - Historical Wholesale'!L58</f>
        <v>0</v>
      </c>
      <c r="M59" s="101">
        <f>M58</f>
        <v>0</v>
      </c>
      <c r="N59" s="102">
        <f t="shared" ref="N59:N69" si="17">L59*M59</f>
        <v>0</v>
      </c>
      <c r="O59" s="129"/>
      <c r="P59" s="93">
        <f t="shared" si="14"/>
        <v>0</v>
      </c>
      <c r="Q59" s="84"/>
    </row>
    <row r="60" spans="2:17" x14ac:dyDescent="0.25">
      <c r="B60" s="132" t="s">
        <v>32</v>
      </c>
      <c r="C60" s="129"/>
      <c r="D60" s="100">
        <f>'12. RTSR - Historical Wholesale'!D59</f>
        <v>0</v>
      </c>
      <c r="E60" s="101">
        <f t="shared" ref="E60:E69" si="18">E59</f>
        <v>0</v>
      </c>
      <c r="F60" s="102">
        <f t="shared" si="15"/>
        <v>0</v>
      </c>
      <c r="G60" s="129"/>
      <c r="H60" s="100">
        <f>'12. RTSR - Historical Wholesale'!H59</f>
        <v>0</v>
      </c>
      <c r="I60" s="101">
        <f t="shared" ref="I60:I69" si="19">I59</f>
        <v>0</v>
      </c>
      <c r="J60" s="102">
        <f t="shared" si="16"/>
        <v>0</v>
      </c>
      <c r="K60" s="129"/>
      <c r="L60" s="100">
        <f>'12. RTSR - Historical Wholesale'!L59</f>
        <v>0</v>
      </c>
      <c r="M60" s="101">
        <f>M59</f>
        <v>0</v>
      </c>
      <c r="N60" s="102">
        <f t="shared" si="17"/>
        <v>0</v>
      </c>
      <c r="O60" s="129"/>
      <c r="P60" s="93">
        <f t="shared" si="14"/>
        <v>0</v>
      </c>
      <c r="Q60" s="84"/>
    </row>
    <row r="61" spans="2:17" x14ac:dyDescent="0.25">
      <c r="B61" s="132" t="s">
        <v>33</v>
      </c>
      <c r="C61" s="129"/>
      <c r="D61" s="100">
        <f>'12. RTSR - Historical Wholesale'!D60</f>
        <v>0</v>
      </c>
      <c r="E61" s="101">
        <f t="shared" si="18"/>
        <v>0</v>
      </c>
      <c r="F61" s="102">
        <f t="shared" si="15"/>
        <v>0</v>
      </c>
      <c r="G61" s="129"/>
      <c r="H61" s="100">
        <f>'12. RTSR - Historical Wholesale'!H60</f>
        <v>0</v>
      </c>
      <c r="I61" s="101">
        <f t="shared" si="19"/>
        <v>0</v>
      </c>
      <c r="J61" s="102">
        <f t="shared" si="16"/>
        <v>0</v>
      </c>
      <c r="K61" s="129"/>
      <c r="L61" s="100">
        <f>'12. RTSR - Historical Wholesale'!L60</f>
        <v>0</v>
      </c>
      <c r="M61" s="101">
        <f t="shared" ref="M61:M69" si="20">M60</f>
        <v>0</v>
      </c>
      <c r="N61" s="102">
        <f t="shared" si="17"/>
        <v>0</v>
      </c>
      <c r="O61" s="129"/>
      <c r="P61" s="93">
        <f t="shared" si="14"/>
        <v>0</v>
      </c>
      <c r="Q61" s="84"/>
    </row>
    <row r="62" spans="2:17" x14ac:dyDescent="0.25">
      <c r="B62" s="132" t="s">
        <v>34</v>
      </c>
      <c r="C62" s="129"/>
      <c r="D62" s="100">
        <f>'12. RTSR - Historical Wholesale'!D61</f>
        <v>0</v>
      </c>
      <c r="E62" s="101">
        <f t="shared" si="18"/>
        <v>0</v>
      </c>
      <c r="F62" s="102">
        <f t="shared" si="15"/>
        <v>0</v>
      </c>
      <c r="G62" s="129"/>
      <c r="H62" s="100">
        <f>'12. RTSR - Historical Wholesale'!H61</f>
        <v>0</v>
      </c>
      <c r="I62" s="101">
        <f t="shared" si="19"/>
        <v>0</v>
      </c>
      <c r="J62" s="102">
        <f t="shared" si="16"/>
        <v>0</v>
      </c>
      <c r="K62" s="129"/>
      <c r="L62" s="100">
        <f>'12. RTSR - Historical Wholesale'!L61</f>
        <v>0</v>
      </c>
      <c r="M62" s="101">
        <f t="shared" si="20"/>
        <v>0</v>
      </c>
      <c r="N62" s="102">
        <f t="shared" si="17"/>
        <v>0</v>
      </c>
      <c r="O62" s="129"/>
      <c r="P62" s="93">
        <f t="shared" si="14"/>
        <v>0</v>
      </c>
      <c r="Q62" s="84"/>
    </row>
    <row r="63" spans="2:17" x14ac:dyDescent="0.25">
      <c r="B63" s="132" t="s">
        <v>35</v>
      </c>
      <c r="C63" s="129"/>
      <c r="D63" s="100">
        <f>'12. RTSR - Historical Wholesale'!D62</f>
        <v>0</v>
      </c>
      <c r="E63" s="101">
        <f t="shared" si="18"/>
        <v>0</v>
      </c>
      <c r="F63" s="102">
        <f t="shared" si="15"/>
        <v>0</v>
      </c>
      <c r="G63" s="129"/>
      <c r="H63" s="100">
        <f>'12. RTSR - Historical Wholesale'!H62</f>
        <v>0</v>
      </c>
      <c r="I63" s="101">
        <f t="shared" si="19"/>
        <v>0</v>
      </c>
      <c r="J63" s="102">
        <f t="shared" si="16"/>
        <v>0</v>
      </c>
      <c r="K63" s="129"/>
      <c r="L63" s="100">
        <f>'12. RTSR - Historical Wholesale'!L62</f>
        <v>0</v>
      </c>
      <c r="M63" s="101">
        <f t="shared" si="20"/>
        <v>0</v>
      </c>
      <c r="N63" s="102">
        <f t="shared" si="17"/>
        <v>0</v>
      </c>
      <c r="O63" s="129"/>
      <c r="P63" s="93">
        <f t="shared" si="14"/>
        <v>0</v>
      </c>
      <c r="Q63" s="84"/>
    </row>
    <row r="64" spans="2:17" x14ac:dyDescent="0.25">
      <c r="B64" s="132" t="s">
        <v>36</v>
      </c>
      <c r="C64" s="129"/>
      <c r="D64" s="100">
        <f>'12. RTSR - Historical Wholesale'!D63</f>
        <v>0</v>
      </c>
      <c r="E64" s="101">
        <f t="shared" si="18"/>
        <v>0</v>
      </c>
      <c r="F64" s="102">
        <f t="shared" si="15"/>
        <v>0</v>
      </c>
      <c r="G64" s="129"/>
      <c r="H64" s="100">
        <f>'12. RTSR - Historical Wholesale'!H63</f>
        <v>0</v>
      </c>
      <c r="I64" s="101">
        <f t="shared" si="19"/>
        <v>0</v>
      </c>
      <c r="J64" s="102">
        <f t="shared" si="16"/>
        <v>0</v>
      </c>
      <c r="K64" s="129"/>
      <c r="L64" s="100">
        <f>'12. RTSR - Historical Wholesale'!L63</f>
        <v>0</v>
      </c>
      <c r="M64" s="101">
        <f t="shared" si="20"/>
        <v>0</v>
      </c>
      <c r="N64" s="102">
        <f t="shared" si="17"/>
        <v>0</v>
      </c>
      <c r="O64" s="129"/>
      <c r="P64" s="93">
        <f t="shared" si="14"/>
        <v>0</v>
      </c>
      <c r="Q64" s="84"/>
    </row>
    <row r="65" spans="2:17" x14ac:dyDescent="0.25">
      <c r="B65" s="132" t="s">
        <v>37</v>
      </c>
      <c r="C65" s="129"/>
      <c r="D65" s="100">
        <f>'12. RTSR - Historical Wholesale'!D64</f>
        <v>0</v>
      </c>
      <c r="E65" s="101">
        <f t="shared" si="18"/>
        <v>0</v>
      </c>
      <c r="F65" s="102">
        <f t="shared" si="15"/>
        <v>0</v>
      </c>
      <c r="G65" s="129"/>
      <c r="H65" s="100">
        <f>'12. RTSR - Historical Wholesale'!H64</f>
        <v>0</v>
      </c>
      <c r="I65" s="101">
        <f t="shared" si="19"/>
        <v>0</v>
      </c>
      <c r="J65" s="102">
        <f t="shared" si="16"/>
        <v>0</v>
      </c>
      <c r="K65" s="129"/>
      <c r="L65" s="100">
        <f>'12. RTSR - Historical Wholesale'!L64</f>
        <v>0</v>
      </c>
      <c r="M65" s="101">
        <f t="shared" si="20"/>
        <v>0</v>
      </c>
      <c r="N65" s="102">
        <f t="shared" si="17"/>
        <v>0</v>
      </c>
      <c r="O65" s="129"/>
      <c r="P65" s="93">
        <f t="shared" si="14"/>
        <v>0</v>
      </c>
      <c r="Q65" s="84"/>
    </row>
    <row r="66" spans="2:17" x14ac:dyDescent="0.25">
      <c r="B66" s="132" t="s">
        <v>38</v>
      </c>
      <c r="C66" s="129"/>
      <c r="D66" s="100">
        <f>'12. RTSR - Historical Wholesale'!D65</f>
        <v>0</v>
      </c>
      <c r="E66" s="101">
        <f t="shared" si="18"/>
        <v>0</v>
      </c>
      <c r="F66" s="102">
        <f t="shared" si="15"/>
        <v>0</v>
      </c>
      <c r="G66" s="129"/>
      <c r="H66" s="100">
        <f>'12. RTSR - Historical Wholesale'!H65</f>
        <v>0</v>
      </c>
      <c r="I66" s="101">
        <f t="shared" si="19"/>
        <v>0</v>
      </c>
      <c r="J66" s="102">
        <f t="shared" si="16"/>
        <v>0</v>
      </c>
      <c r="K66" s="129"/>
      <c r="L66" s="100">
        <f>'12. RTSR - Historical Wholesale'!L65</f>
        <v>0</v>
      </c>
      <c r="M66" s="101">
        <f t="shared" si="20"/>
        <v>0</v>
      </c>
      <c r="N66" s="102">
        <f t="shared" si="17"/>
        <v>0</v>
      </c>
      <c r="O66" s="129"/>
      <c r="P66" s="93">
        <f t="shared" si="14"/>
        <v>0</v>
      </c>
      <c r="Q66" s="84"/>
    </row>
    <row r="67" spans="2:17" x14ac:dyDescent="0.25">
      <c r="B67" s="132" t="s">
        <v>39</v>
      </c>
      <c r="C67" s="129"/>
      <c r="D67" s="100">
        <f>'12. RTSR - Historical Wholesale'!D66</f>
        <v>0</v>
      </c>
      <c r="E67" s="101">
        <f t="shared" si="18"/>
        <v>0</v>
      </c>
      <c r="F67" s="102">
        <f t="shared" si="15"/>
        <v>0</v>
      </c>
      <c r="G67" s="129"/>
      <c r="H67" s="100">
        <f>'12. RTSR - Historical Wholesale'!H66</f>
        <v>0</v>
      </c>
      <c r="I67" s="101">
        <f t="shared" si="19"/>
        <v>0</v>
      </c>
      <c r="J67" s="102">
        <f t="shared" si="16"/>
        <v>0</v>
      </c>
      <c r="K67" s="129"/>
      <c r="L67" s="100">
        <f>'12. RTSR - Historical Wholesale'!L66</f>
        <v>0</v>
      </c>
      <c r="M67" s="101">
        <f t="shared" si="20"/>
        <v>0</v>
      </c>
      <c r="N67" s="102">
        <f t="shared" si="17"/>
        <v>0</v>
      </c>
      <c r="O67" s="129"/>
      <c r="P67" s="93">
        <f t="shared" si="14"/>
        <v>0</v>
      </c>
      <c r="Q67" s="84"/>
    </row>
    <row r="68" spans="2:17" x14ac:dyDescent="0.25">
      <c r="B68" s="132" t="s">
        <v>40</v>
      </c>
      <c r="C68" s="129"/>
      <c r="D68" s="100">
        <f>'12. RTSR - Historical Wholesale'!D67</f>
        <v>0</v>
      </c>
      <c r="E68" s="101">
        <f t="shared" si="18"/>
        <v>0</v>
      </c>
      <c r="F68" s="102">
        <f t="shared" si="15"/>
        <v>0</v>
      </c>
      <c r="G68" s="129"/>
      <c r="H68" s="100">
        <f>'12. RTSR - Historical Wholesale'!H67</f>
        <v>0</v>
      </c>
      <c r="I68" s="101">
        <f t="shared" si="19"/>
        <v>0</v>
      </c>
      <c r="J68" s="102">
        <f t="shared" si="16"/>
        <v>0</v>
      </c>
      <c r="K68" s="129"/>
      <c r="L68" s="100">
        <f>'12. RTSR - Historical Wholesale'!L67</f>
        <v>0</v>
      </c>
      <c r="M68" s="101">
        <f t="shared" si="20"/>
        <v>0</v>
      </c>
      <c r="N68" s="102">
        <f t="shared" si="17"/>
        <v>0</v>
      </c>
      <c r="O68" s="129"/>
      <c r="P68" s="93">
        <f t="shared" si="14"/>
        <v>0</v>
      </c>
      <c r="Q68" s="84"/>
    </row>
    <row r="69" spans="2:17" x14ac:dyDescent="0.25">
      <c r="B69" s="132" t="s">
        <v>41</v>
      </c>
      <c r="C69" s="129"/>
      <c r="D69" s="100">
        <f>'12. RTSR - Historical Wholesale'!D68</f>
        <v>0</v>
      </c>
      <c r="E69" s="101">
        <f t="shared" si="18"/>
        <v>0</v>
      </c>
      <c r="F69" s="102">
        <f t="shared" si="15"/>
        <v>0</v>
      </c>
      <c r="G69" s="129"/>
      <c r="H69" s="100">
        <f>'12. RTSR - Historical Wholesale'!H68</f>
        <v>0</v>
      </c>
      <c r="I69" s="101">
        <f t="shared" si="19"/>
        <v>0</v>
      </c>
      <c r="J69" s="102">
        <f t="shared" si="16"/>
        <v>0</v>
      </c>
      <c r="K69" s="129"/>
      <c r="L69" s="100">
        <f>'12. RTSR - Historical Wholesale'!L68</f>
        <v>0</v>
      </c>
      <c r="M69" s="101">
        <f t="shared" si="20"/>
        <v>0</v>
      </c>
      <c r="N69" s="102">
        <f t="shared" si="17"/>
        <v>0</v>
      </c>
      <c r="O69" s="129"/>
      <c r="P69" s="93">
        <f t="shared" si="14"/>
        <v>0</v>
      </c>
      <c r="Q69" s="84"/>
    </row>
    <row r="70" spans="2:17" x14ac:dyDescent="0.25">
      <c r="B70" s="129"/>
      <c r="C70" s="129"/>
      <c r="D70" s="129"/>
      <c r="E70" s="129"/>
      <c r="F70" s="129"/>
      <c r="G70" s="129"/>
      <c r="H70" s="129"/>
      <c r="I70" s="129"/>
      <c r="J70" s="129"/>
      <c r="K70" s="129"/>
      <c r="L70" s="129"/>
      <c r="M70" s="129"/>
      <c r="N70" s="129"/>
      <c r="O70" s="129"/>
      <c r="P70" s="129"/>
      <c r="Q70" s="84"/>
    </row>
    <row r="71" spans="2:17" ht="13.8" thickBot="1" x14ac:dyDescent="0.3">
      <c r="B71" s="232" t="s">
        <v>47</v>
      </c>
      <c r="C71" s="129"/>
      <c r="D71" s="94">
        <f>SUM(D58:D69)</f>
        <v>0</v>
      </c>
      <c r="E71" s="95">
        <f>IF(D71&lt;&gt;0,F71/D71,0)</f>
        <v>0</v>
      </c>
      <c r="F71" s="96">
        <f>SUM(F58:F69)</f>
        <v>0</v>
      </c>
      <c r="G71" s="129"/>
      <c r="H71" s="94">
        <f>SUM(H58:H69)</f>
        <v>0</v>
      </c>
      <c r="I71" s="95">
        <f>IF(H71&lt;&gt;0,J71/H71,0)</f>
        <v>0</v>
      </c>
      <c r="J71" s="96">
        <f>SUM(J58:J69)</f>
        <v>0</v>
      </c>
      <c r="K71" s="129"/>
      <c r="L71" s="94">
        <f>SUM(L58:L69)</f>
        <v>0</v>
      </c>
      <c r="M71" s="95">
        <f>IF(L71&lt;&gt;0,N71/L71,0)</f>
        <v>0</v>
      </c>
      <c r="N71" s="96">
        <f>SUM(N58:N69)</f>
        <v>0</v>
      </c>
      <c r="O71" s="129"/>
      <c r="P71" s="96">
        <f>SUM(P58:P69)</f>
        <v>0</v>
      </c>
      <c r="Q71" s="84"/>
    </row>
    <row r="72" spans="2:17" x14ac:dyDescent="0.25">
      <c r="B72" s="129"/>
      <c r="C72" s="129"/>
      <c r="D72" s="129"/>
      <c r="E72" s="129"/>
      <c r="F72" s="129"/>
      <c r="G72" s="129"/>
      <c r="H72" s="129"/>
      <c r="I72" s="129"/>
      <c r="J72" s="129"/>
      <c r="K72" s="129"/>
      <c r="L72" s="129"/>
      <c r="M72" s="129"/>
      <c r="N72" s="129"/>
      <c r="O72" s="129"/>
      <c r="P72" s="129"/>
      <c r="Q72" s="84"/>
    </row>
    <row r="73" spans="2:17" x14ac:dyDescent="0.25">
      <c r="B73" s="230" t="str">
        <f>'12. RTSR - Historical Wholesale'!B72</f>
        <v>Add Extra Host Here (II)</v>
      </c>
      <c r="C73" s="127"/>
      <c r="D73" s="1927" t="s">
        <v>443</v>
      </c>
      <c r="E73" s="1927"/>
      <c r="F73" s="1927"/>
      <c r="G73" s="127"/>
      <c r="H73" s="1927" t="s">
        <v>444</v>
      </c>
      <c r="I73" s="1927"/>
      <c r="J73" s="1927"/>
      <c r="K73" s="127"/>
      <c r="L73" s="1927" t="s">
        <v>445</v>
      </c>
      <c r="M73" s="1927"/>
      <c r="N73" s="1927"/>
      <c r="O73" s="127"/>
      <c r="P73" s="774" t="s">
        <v>2360</v>
      </c>
      <c r="Q73" s="84"/>
    </row>
    <row r="74" spans="2:17" x14ac:dyDescent="0.25">
      <c r="B74" s="232"/>
      <c r="C74" s="129"/>
      <c r="D74" s="134"/>
      <c r="E74" s="134"/>
      <c r="F74" s="134"/>
      <c r="G74" s="129"/>
      <c r="H74" s="134"/>
      <c r="I74" s="134"/>
      <c r="J74" s="134"/>
      <c r="K74" s="129"/>
      <c r="L74" s="134"/>
      <c r="M74" s="134"/>
      <c r="N74" s="134"/>
      <c r="O74" s="129"/>
      <c r="P74" s="134"/>
      <c r="Q74" s="84"/>
    </row>
    <row r="75" spans="2:17" x14ac:dyDescent="0.25">
      <c r="B75" s="232" t="s">
        <v>446</v>
      </c>
      <c r="C75" s="129"/>
      <c r="D75" s="134" t="s">
        <v>447</v>
      </c>
      <c r="E75" s="134" t="s">
        <v>343</v>
      </c>
      <c r="F75" s="134" t="s">
        <v>145</v>
      </c>
      <c r="G75" s="129"/>
      <c r="H75" s="134" t="s">
        <v>447</v>
      </c>
      <c r="I75" s="134" t="s">
        <v>343</v>
      </c>
      <c r="J75" s="134" t="s">
        <v>145</v>
      </c>
      <c r="K75" s="129"/>
      <c r="L75" s="134" t="s">
        <v>447</v>
      </c>
      <c r="M75" s="134" t="s">
        <v>343</v>
      </c>
      <c r="N75" s="134" t="s">
        <v>145</v>
      </c>
      <c r="O75" s="129"/>
      <c r="P75" s="134" t="s">
        <v>145</v>
      </c>
      <c r="Q75" s="84"/>
    </row>
    <row r="76" spans="2:17" x14ac:dyDescent="0.25">
      <c r="B76" s="129"/>
      <c r="C76" s="129"/>
      <c r="D76" s="129"/>
      <c r="E76" s="129"/>
      <c r="F76" s="129"/>
      <c r="G76" s="129"/>
      <c r="H76" s="129"/>
      <c r="I76" s="129"/>
      <c r="J76" s="129"/>
      <c r="K76" s="129"/>
      <c r="L76" s="129"/>
      <c r="M76" s="129"/>
      <c r="N76" s="129"/>
      <c r="O76" s="129"/>
      <c r="P76" s="129"/>
      <c r="Q76" s="84"/>
    </row>
    <row r="77" spans="2:17" x14ac:dyDescent="0.25">
      <c r="B77" s="132" t="s">
        <v>30</v>
      </c>
      <c r="C77" s="129"/>
      <c r="D77" s="100">
        <f>'12. RTSR - Historical Wholesale'!D76</f>
        <v>0</v>
      </c>
      <c r="E77" s="101">
        <f>'11. RTSR - UTRs &amp; Sub-Tx'!H65</f>
        <v>0</v>
      </c>
      <c r="F77" s="102">
        <f>D77*E77</f>
        <v>0</v>
      </c>
      <c r="G77" s="129"/>
      <c r="H77" s="100">
        <f>'12. RTSR - Historical Wholesale'!H76</f>
        <v>0</v>
      </c>
      <c r="I77" s="101">
        <f>'11. RTSR - UTRs &amp; Sub-Tx'!H67</f>
        <v>0</v>
      </c>
      <c r="J77" s="102">
        <f>H77*I77</f>
        <v>0</v>
      </c>
      <c r="K77" s="129"/>
      <c r="L77" s="100">
        <f>'12. RTSR - Historical Wholesale'!L76</f>
        <v>0</v>
      </c>
      <c r="M77" s="101">
        <f>'11. RTSR - UTRs &amp; Sub-Tx'!H69</f>
        <v>0</v>
      </c>
      <c r="N77" s="102">
        <f>L77*M77</f>
        <v>0</v>
      </c>
      <c r="O77" s="129"/>
      <c r="P77" s="93">
        <f t="shared" ref="P77:P88" si="21">J77+N77</f>
        <v>0</v>
      </c>
      <c r="Q77" s="84"/>
    </row>
    <row r="78" spans="2:17" x14ac:dyDescent="0.25">
      <c r="B78" s="132" t="s">
        <v>31</v>
      </c>
      <c r="C78" s="129"/>
      <c r="D78" s="100">
        <f>'12. RTSR - Historical Wholesale'!D77</f>
        <v>0</v>
      </c>
      <c r="E78" s="101">
        <f>E77</f>
        <v>0</v>
      </c>
      <c r="F78" s="102">
        <f t="shared" ref="F78:F88" si="22">D78*E78</f>
        <v>0</v>
      </c>
      <c r="G78" s="129"/>
      <c r="H78" s="100">
        <f>'12. RTSR - Historical Wholesale'!H77</f>
        <v>0</v>
      </c>
      <c r="I78" s="101">
        <f>I77</f>
        <v>0</v>
      </c>
      <c r="J78" s="102">
        <f t="shared" ref="J78:J88" si="23">H78*I78</f>
        <v>0</v>
      </c>
      <c r="K78" s="129"/>
      <c r="L78" s="100">
        <f>'12. RTSR - Historical Wholesale'!L77</f>
        <v>0</v>
      </c>
      <c r="M78" s="101">
        <f>M77</f>
        <v>0</v>
      </c>
      <c r="N78" s="102">
        <f t="shared" ref="N78:N88" si="24">L78*M78</f>
        <v>0</v>
      </c>
      <c r="O78" s="129"/>
      <c r="P78" s="93">
        <f t="shared" si="21"/>
        <v>0</v>
      </c>
      <c r="Q78" s="84"/>
    </row>
    <row r="79" spans="2:17" x14ac:dyDescent="0.25">
      <c r="B79" s="132" t="s">
        <v>32</v>
      </c>
      <c r="C79" s="129"/>
      <c r="D79" s="100">
        <f>'12. RTSR - Historical Wholesale'!D78</f>
        <v>0</v>
      </c>
      <c r="E79" s="101">
        <f t="shared" ref="E79:E88" si="25">E78</f>
        <v>0</v>
      </c>
      <c r="F79" s="102">
        <f t="shared" si="22"/>
        <v>0</v>
      </c>
      <c r="G79" s="129"/>
      <c r="H79" s="100">
        <f>'12. RTSR - Historical Wholesale'!H78</f>
        <v>0</v>
      </c>
      <c r="I79" s="101">
        <f t="shared" ref="I79:I88" si="26">I78</f>
        <v>0</v>
      </c>
      <c r="J79" s="102">
        <f t="shared" si="23"/>
        <v>0</v>
      </c>
      <c r="K79" s="129"/>
      <c r="L79" s="100">
        <f>'12. RTSR - Historical Wholesale'!L78</f>
        <v>0</v>
      </c>
      <c r="M79" s="101">
        <f>M78</f>
        <v>0</v>
      </c>
      <c r="N79" s="102">
        <f t="shared" si="24"/>
        <v>0</v>
      </c>
      <c r="O79" s="129"/>
      <c r="P79" s="93">
        <f t="shared" si="21"/>
        <v>0</v>
      </c>
      <c r="Q79" s="84"/>
    </row>
    <row r="80" spans="2:17" x14ac:dyDescent="0.25">
      <c r="B80" s="132" t="s">
        <v>33</v>
      </c>
      <c r="C80" s="129"/>
      <c r="D80" s="100">
        <f>'12. RTSR - Historical Wholesale'!D79</f>
        <v>0</v>
      </c>
      <c r="E80" s="101">
        <f t="shared" si="25"/>
        <v>0</v>
      </c>
      <c r="F80" s="102">
        <f t="shared" si="22"/>
        <v>0</v>
      </c>
      <c r="G80" s="129"/>
      <c r="H80" s="100">
        <f>'12. RTSR - Historical Wholesale'!H79</f>
        <v>0</v>
      </c>
      <c r="I80" s="101">
        <f t="shared" si="26"/>
        <v>0</v>
      </c>
      <c r="J80" s="102">
        <f t="shared" si="23"/>
        <v>0</v>
      </c>
      <c r="K80" s="129"/>
      <c r="L80" s="100">
        <f>'12. RTSR - Historical Wholesale'!L79</f>
        <v>0</v>
      </c>
      <c r="M80" s="101">
        <f t="shared" ref="M80:M88" si="27">M79</f>
        <v>0</v>
      </c>
      <c r="N80" s="102">
        <f t="shared" si="24"/>
        <v>0</v>
      </c>
      <c r="O80" s="129"/>
      <c r="P80" s="93">
        <f t="shared" si="21"/>
        <v>0</v>
      </c>
      <c r="Q80" s="84"/>
    </row>
    <row r="81" spans="2:17" x14ac:dyDescent="0.25">
      <c r="B81" s="132" t="s">
        <v>34</v>
      </c>
      <c r="C81" s="129"/>
      <c r="D81" s="100">
        <f>'12. RTSR - Historical Wholesale'!D80</f>
        <v>0</v>
      </c>
      <c r="E81" s="101">
        <f t="shared" si="25"/>
        <v>0</v>
      </c>
      <c r="F81" s="102">
        <f t="shared" si="22"/>
        <v>0</v>
      </c>
      <c r="G81" s="129"/>
      <c r="H81" s="100">
        <f>'12. RTSR - Historical Wholesale'!H80</f>
        <v>0</v>
      </c>
      <c r="I81" s="101">
        <f t="shared" si="26"/>
        <v>0</v>
      </c>
      <c r="J81" s="102">
        <f t="shared" si="23"/>
        <v>0</v>
      </c>
      <c r="K81" s="129"/>
      <c r="L81" s="100">
        <f>'12. RTSR - Historical Wholesale'!L80</f>
        <v>0</v>
      </c>
      <c r="M81" s="101">
        <f t="shared" si="27"/>
        <v>0</v>
      </c>
      <c r="N81" s="102">
        <f t="shared" si="24"/>
        <v>0</v>
      </c>
      <c r="O81" s="129"/>
      <c r="P81" s="93">
        <f t="shared" si="21"/>
        <v>0</v>
      </c>
      <c r="Q81" s="84"/>
    </row>
    <row r="82" spans="2:17" x14ac:dyDescent="0.25">
      <c r="B82" s="132" t="s">
        <v>35</v>
      </c>
      <c r="C82" s="129"/>
      <c r="D82" s="100">
        <f>'12. RTSR - Historical Wholesale'!D81</f>
        <v>0</v>
      </c>
      <c r="E82" s="101">
        <f t="shared" si="25"/>
        <v>0</v>
      </c>
      <c r="F82" s="102">
        <f t="shared" si="22"/>
        <v>0</v>
      </c>
      <c r="G82" s="129"/>
      <c r="H82" s="100">
        <f>'12. RTSR - Historical Wholesale'!H81</f>
        <v>0</v>
      </c>
      <c r="I82" s="101">
        <f t="shared" si="26"/>
        <v>0</v>
      </c>
      <c r="J82" s="102">
        <f t="shared" si="23"/>
        <v>0</v>
      </c>
      <c r="K82" s="129"/>
      <c r="L82" s="100">
        <f>'12. RTSR - Historical Wholesale'!L81</f>
        <v>0</v>
      </c>
      <c r="M82" s="101">
        <f t="shared" si="27"/>
        <v>0</v>
      </c>
      <c r="N82" s="102">
        <f t="shared" si="24"/>
        <v>0</v>
      </c>
      <c r="O82" s="129"/>
      <c r="P82" s="93">
        <f t="shared" si="21"/>
        <v>0</v>
      </c>
      <c r="Q82" s="84"/>
    </row>
    <row r="83" spans="2:17" x14ac:dyDescent="0.25">
      <c r="B83" s="132" t="s">
        <v>36</v>
      </c>
      <c r="C83" s="129"/>
      <c r="D83" s="100">
        <f>'12. RTSR - Historical Wholesale'!D82</f>
        <v>0</v>
      </c>
      <c r="E83" s="101">
        <f t="shared" si="25"/>
        <v>0</v>
      </c>
      <c r="F83" s="102">
        <f t="shared" si="22"/>
        <v>0</v>
      </c>
      <c r="G83" s="129"/>
      <c r="H83" s="100">
        <f>'12. RTSR - Historical Wholesale'!H82</f>
        <v>0</v>
      </c>
      <c r="I83" s="101">
        <f t="shared" si="26"/>
        <v>0</v>
      </c>
      <c r="J83" s="102">
        <f t="shared" si="23"/>
        <v>0</v>
      </c>
      <c r="K83" s="129"/>
      <c r="L83" s="100">
        <f>'12. RTSR - Historical Wholesale'!L82</f>
        <v>0</v>
      </c>
      <c r="M83" s="101">
        <f t="shared" si="27"/>
        <v>0</v>
      </c>
      <c r="N83" s="102">
        <f t="shared" si="24"/>
        <v>0</v>
      </c>
      <c r="O83" s="129"/>
      <c r="P83" s="93">
        <f t="shared" si="21"/>
        <v>0</v>
      </c>
      <c r="Q83" s="84"/>
    </row>
    <row r="84" spans="2:17" x14ac:dyDescent="0.25">
      <c r="B84" s="132" t="s">
        <v>37</v>
      </c>
      <c r="C84" s="129"/>
      <c r="D84" s="100">
        <f>'12. RTSR - Historical Wholesale'!D83</f>
        <v>0</v>
      </c>
      <c r="E84" s="101">
        <f t="shared" si="25"/>
        <v>0</v>
      </c>
      <c r="F84" s="102">
        <f t="shared" si="22"/>
        <v>0</v>
      </c>
      <c r="G84" s="129"/>
      <c r="H84" s="100">
        <f>'12. RTSR - Historical Wholesale'!H83</f>
        <v>0</v>
      </c>
      <c r="I84" s="101">
        <f t="shared" si="26"/>
        <v>0</v>
      </c>
      <c r="J84" s="102">
        <f t="shared" si="23"/>
        <v>0</v>
      </c>
      <c r="K84" s="129"/>
      <c r="L84" s="100">
        <f>'12. RTSR - Historical Wholesale'!L83</f>
        <v>0</v>
      </c>
      <c r="M84" s="101">
        <f t="shared" si="27"/>
        <v>0</v>
      </c>
      <c r="N84" s="102">
        <f t="shared" si="24"/>
        <v>0</v>
      </c>
      <c r="O84" s="129"/>
      <c r="P84" s="93">
        <f t="shared" si="21"/>
        <v>0</v>
      </c>
      <c r="Q84" s="84"/>
    </row>
    <row r="85" spans="2:17" x14ac:dyDescent="0.25">
      <c r="B85" s="132" t="s">
        <v>38</v>
      </c>
      <c r="C85" s="129"/>
      <c r="D85" s="100">
        <f>'12. RTSR - Historical Wholesale'!D84</f>
        <v>0</v>
      </c>
      <c r="E85" s="101">
        <f t="shared" si="25"/>
        <v>0</v>
      </c>
      <c r="F85" s="102">
        <f t="shared" si="22"/>
        <v>0</v>
      </c>
      <c r="G85" s="129"/>
      <c r="H85" s="100">
        <f>'12. RTSR - Historical Wholesale'!H84</f>
        <v>0</v>
      </c>
      <c r="I85" s="101">
        <f t="shared" si="26"/>
        <v>0</v>
      </c>
      <c r="J85" s="102">
        <f t="shared" si="23"/>
        <v>0</v>
      </c>
      <c r="K85" s="129"/>
      <c r="L85" s="100">
        <f>'12. RTSR - Historical Wholesale'!L84</f>
        <v>0</v>
      </c>
      <c r="M85" s="101">
        <f t="shared" si="27"/>
        <v>0</v>
      </c>
      <c r="N85" s="102">
        <f t="shared" si="24"/>
        <v>0</v>
      </c>
      <c r="O85" s="129"/>
      <c r="P85" s="93">
        <f t="shared" si="21"/>
        <v>0</v>
      </c>
      <c r="Q85" s="84"/>
    </row>
    <row r="86" spans="2:17" x14ac:dyDescent="0.25">
      <c r="B86" s="132" t="s">
        <v>39</v>
      </c>
      <c r="C86" s="129"/>
      <c r="D86" s="100">
        <f>'12. RTSR - Historical Wholesale'!D85</f>
        <v>0</v>
      </c>
      <c r="E86" s="101">
        <f t="shared" si="25"/>
        <v>0</v>
      </c>
      <c r="F86" s="102">
        <f t="shared" si="22"/>
        <v>0</v>
      </c>
      <c r="G86" s="129"/>
      <c r="H86" s="100">
        <f>'12. RTSR - Historical Wholesale'!H85</f>
        <v>0</v>
      </c>
      <c r="I86" s="101">
        <f t="shared" si="26"/>
        <v>0</v>
      </c>
      <c r="J86" s="102">
        <f t="shared" si="23"/>
        <v>0</v>
      </c>
      <c r="K86" s="129"/>
      <c r="L86" s="100">
        <f>'12. RTSR - Historical Wholesale'!L85</f>
        <v>0</v>
      </c>
      <c r="M86" s="101">
        <f t="shared" si="27"/>
        <v>0</v>
      </c>
      <c r="N86" s="102">
        <f t="shared" si="24"/>
        <v>0</v>
      </c>
      <c r="O86" s="129"/>
      <c r="P86" s="93">
        <f t="shared" si="21"/>
        <v>0</v>
      </c>
      <c r="Q86" s="84"/>
    </row>
    <row r="87" spans="2:17" x14ac:dyDescent="0.25">
      <c r="B87" s="132" t="s">
        <v>40</v>
      </c>
      <c r="C87" s="129"/>
      <c r="D87" s="100">
        <f>'12. RTSR - Historical Wholesale'!D86</f>
        <v>0</v>
      </c>
      <c r="E87" s="101">
        <f t="shared" si="25"/>
        <v>0</v>
      </c>
      <c r="F87" s="102">
        <f t="shared" si="22"/>
        <v>0</v>
      </c>
      <c r="G87" s="129"/>
      <c r="H87" s="100">
        <f>'12. RTSR - Historical Wholesale'!H86</f>
        <v>0</v>
      </c>
      <c r="I87" s="101">
        <f t="shared" si="26"/>
        <v>0</v>
      </c>
      <c r="J87" s="102">
        <f t="shared" si="23"/>
        <v>0</v>
      </c>
      <c r="K87" s="129"/>
      <c r="L87" s="100">
        <f>'12. RTSR - Historical Wholesale'!L86</f>
        <v>0</v>
      </c>
      <c r="M87" s="101">
        <f t="shared" si="27"/>
        <v>0</v>
      </c>
      <c r="N87" s="102">
        <f t="shared" si="24"/>
        <v>0</v>
      </c>
      <c r="O87" s="129"/>
      <c r="P87" s="93">
        <f t="shared" si="21"/>
        <v>0</v>
      </c>
      <c r="Q87" s="84"/>
    </row>
    <row r="88" spans="2:17" x14ac:dyDescent="0.25">
      <c r="B88" s="132" t="s">
        <v>41</v>
      </c>
      <c r="C88" s="129"/>
      <c r="D88" s="100">
        <f>'12. RTSR - Historical Wholesale'!D87</f>
        <v>0</v>
      </c>
      <c r="E88" s="101">
        <f t="shared" si="25"/>
        <v>0</v>
      </c>
      <c r="F88" s="102">
        <f t="shared" si="22"/>
        <v>0</v>
      </c>
      <c r="G88" s="129"/>
      <c r="H88" s="100">
        <f>'12. RTSR - Historical Wholesale'!H87</f>
        <v>0</v>
      </c>
      <c r="I88" s="101">
        <f t="shared" si="26"/>
        <v>0</v>
      </c>
      <c r="J88" s="102">
        <f t="shared" si="23"/>
        <v>0</v>
      </c>
      <c r="K88" s="129"/>
      <c r="L88" s="100">
        <f>'12. RTSR - Historical Wholesale'!L87</f>
        <v>0</v>
      </c>
      <c r="M88" s="101">
        <f t="shared" si="27"/>
        <v>0</v>
      </c>
      <c r="N88" s="102">
        <f t="shared" si="24"/>
        <v>0</v>
      </c>
      <c r="O88" s="129"/>
      <c r="P88" s="93">
        <f t="shared" si="21"/>
        <v>0</v>
      </c>
      <c r="Q88" s="84"/>
    </row>
    <row r="89" spans="2:17" x14ac:dyDescent="0.25">
      <c r="B89" s="129"/>
      <c r="C89" s="129"/>
      <c r="D89" s="129"/>
      <c r="E89" s="129"/>
      <c r="F89" s="129"/>
      <c r="G89" s="129"/>
      <c r="H89" s="129"/>
      <c r="I89" s="129"/>
      <c r="J89" s="129"/>
      <c r="K89" s="129"/>
      <c r="L89" s="129"/>
      <c r="M89" s="129"/>
      <c r="N89" s="129"/>
      <c r="O89" s="129"/>
      <c r="P89" s="129"/>
      <c r="Q89" s="84"/>
    </row>
    <row r="90" spans="2:17" ht="13.8" thickBot="1" x14ac:dyDescent="0.3">
      <c r="B90" s="232" t="s">
        <v>47</v>
      </c>
      <c r="C90" s="129"/>
      <c r="D90" s="94">
        <f>SUM(D77:D88)</f>
        <v>0</v>
      </c>
      <c r="E90" s="95">
        <f>IF(D90&lt;&gt;0,F90/D90,0)</f>
        <v>0</v>
      </c>
      <c r="F90" s="96">
        <f>SUM(F77:F88)</f>
        <v>0</v>
      </c>
      <c r="G90" s="129"/>
      <c r="H90" s="94">
        <f>SUM(H77:H88)</f>
        <v>0</v>
      </c>
      <c r="I90" s="95">
        <f>IF(H90&lt;&gt;0,J90/H90,0)</f>
        <v>0</v>
      </c>
      <c r="J90" s="96">
        <f>SUM(J77:J88)</f>
        <v>0</v>
      </c>
      <c r="K90" s="129"/>
      <c r="L90" s="94">
        <f>SUM(L77:L88)</f>
        <v>0</v>
      </c>
      <c r="M90" s="95">
        <f>IF(L90&lt;&gt;0,N90/L90,0)</f>
        <v>0</v>
      </c>
      <c r="N90" s="96">
        <f>SUM(N77:N88)</f>
        <v>0</v>
      </c>
      <c r="O90" s="129"/>
      <c r="P90" s="96">
        <f>SUM(P77:P88)</f>
        <v>0</v>
      </c>
      <c r="Q90" s="84"/>
    </row>
    <row r="91" spans="2:17" x14ac:dyDescent="0.25">
      <c r="B91" s="129"/>
      <c r="C91" s="129"/>
      <c r="D91" s="129"/>
      <c r="E91" s="129"/>
      <c r="F91" s="129"/>
      <c r="G91" s="129"/>
      <c r="H91" s="129"/>
      <c r="I91" s="129"/>
      <c r="J91" s="129"/>
      <c r="K91" s="129"/>
      <c r="L91" s="129"/>
      <c r="M91" s="129"/>
      <c r="N91" s="129"/>
      <c r="O91" s="129"/>
      <c r="P91" s="129"/>
      <c r="Q91" s="84"/>
    </row>
    <row r="92" spans="2:17" x14ac:dyDescent="0.25">
      <c r="B92" s="230" t="s">
        <v>47</v>
      </c>
      <c r="C92" s="127"/>
      <c r="D92" s="1927" t="s">
        <v>443</v>
      </c>
      <c r="E92" s="1927"/>
      <c r="F92" s="1927"/>
      <c r="G92" s="127"/>
      <c r="H92" s="1927" t="s">
        <v>444</v>
      </c>
      <c r="I92" s="1927"/>
      <c r="J92" s="1927"/>
      <c r="K92" s="127"/>
      <c r="L92" s="1927" t="s">
        <v>445</v>
      </c>
      <c r="M92" s="1927"/>
      <c r="N92" s="1927"/>
      <c r="O92" s="127"/>
      <c r="P92" s="774" t="s">
        <v>2360</v>
      </c>
      <c r="Q92" s="84"/>
    </row>
    <row r="93" spans="2:17" x14ac:dyDescent="0.25">
      <c r="B93" s="129"/>
      <c r="C93" s="129"/>
      <c r="D93" s="1929"/>
      <c r="E93" s="1929"/>
      <c r="F93" s="1929"/>
      <c r="G93" s="131"/>
      <c r="H93" s="1929"/>
      <c r="I93" s="1929"/>
      <c r="J93" s="1929"/>
      <c r="K93" s="131"/>
      <c r="L93" s="1929"/>
      <c r="M93" s="1929"/>
      <c r="N93" s="1929"/>
      <c r="O93" s="131"/>
      <c r="P93" s="231"/>
      <c r="Q93" s="84"/>
    </row>
    <row r="94" spans="2:17" x14ac:dyDescent="0.25">
      <c r="B94" s="232" t="s">
        <v>446</v>
      </c>
      <c r="C94" s="129"/>
      <c r="D94" s="134" t="s">
        <v>447</v>
      </c>
      <c r="E94" s="134" t="s">
        <v>343</v>
      </c>
      <c r="F94" s="134" t="s">
        <v>145</v>
      </c>
      <c r="G94" s="129"/>
      <c r="H94" s="134" t="s">
        <v>447</v>
      </c>
      <c r="I94" s="134" t="s">
        <v>343</v>
      </c>
      <c r="J94" s="134" t="s">
        <v>145</v>
      </c>
      <c r="K94" s="129"/>
      <c r="L94" s="134" t="s">
        <v>447</v>
      </c>
      <c r="M94" s="134" t="s">
        <v>343</v>
      </c>
      <c r="N94" s="134" t="s">
        <v>145</v>
      </c>
      <c r="O94" s="129"/>
      <c r="P94" s="134" t="s">
        <v>145</v>
      </c>
      <c r="Q94" s="84"/>
    </row>
    <row r="95" spans="2:17" x14ac:dyDescent="0.25">
      <c r="B95" s="129"/>
      <c r="C95" s="129"/>
      <c r="D95" s="129"/>
      <c r="E95" s="129"/>
      <c r="F95" s="129"/>
      <c r="G95" s="129"/>
      <c r="H95" s="129"/>
      <c r="I95" s="129"/>
      <c r="J95" s="129"/>
      <c r="K95" s="129"/>
      <c r="L95" s="129"/>
      <c r="M95" s="129"/>
      <c r="N95" s="129"/>
      <c r="O95" s="129"/>
      <c r="P95" s="129"/>
      <c r="Q95" s="84"/>
    </row>
    <row r="96" spans="2:17" x14ac:dyDescent="0.25">
      <c r="B96" s="132" t="s">
        <v>30</v>
      </c>
      <c r="C96" s="129"/>
      <c r="D96" s="97">
        <f>D20+D39+D58+D77</f>
        <v>24974.560000000001</v>
      </c>
      <c r="E96" s="101">
        <f t="shared" ref="E96:E107" si="28">IF(D96&lt;&gt;0,F96/D96,0)</f>
        <v>3.3980000000000001</v>
      </c>
      <c r="F96" s="93">
        <f>F20+F39+F58+F77</f>
        <v>84863.554880000011</v>
      </c>
      <c r="G96" s="129"/>
      <c r="H96" s="97">
        <f>H20+H39+H58+H77</f>
        <v>24974.560000000001</v>
      </c>
      <c r="I96" s="101">
        <f t="shared" ref="I96:I107" si="29">IF(H96&lt;&gt;0,J96/H96,0)</f>
        <v>0.80449999999999999</v>
      </c>
      <c r="J96" s="93">
        <f>J20+J39+J58+J77</f>
        <v>20092.033520000001</v>
      </c>
      <c r="K96" s="129"/>
      <c r="L96" s="97">
        <f>L20+L39+L58+L77</f>
        <v>24974.560000000001</v>
      </c>
      <c r="M96" s="101">
        <f t="shared" ref="M96:M107" si="30">IF(L96&lt;&gt;0,N96/L96,0)</f>
        <v>2.0194000000000001</v>
      </c>
      <c r="N96" s="93">
        <f>N20+N39+N58+N77</f>
        <v>50433.626464000008</v>
      </c>
      <c r="O96" s="129"/>
      <c r="P96" s="93">
        <f t="shared" ref="P96:P107" si="31">J96+N96</f>
        <v>70525.659984000013</v>
      </c>
      <c r="Q96" s="84"/>
    </row>
    <row r="97" spans="2:17" x14ac:dyDescent="0.25">
      <c r="B97" s="132" t="s">
        <v>31</v>
      </c>
      <c r="C97" s="129"/>
      <c r="D97" s="97">
        <f t="shared" ref="D97:D107" si="32">D21+D40+D59+D78</f>
        <v>22954.92</v>
      </c>
      <c r="E97" s="101">
        <f t="shared" si="28"/>
        <v>3.3980000000000001</v>
      </c>
      <c r="F97" s="93">
        <f t="shared" ref="F97:F107" si="33">F21+F40+F59+F78</f>
        <v>78000.818159999995</v>
      </c>
      <c r="G97" s="129"/>
      <c r="H97" s="97">
        <f t="shared" ref="H97:H107" si="34">H21+H40+H59+H78</f>
        <v>22954.92</v>
      </c>
      <c r="I97" s="101">
        <f t="shared" si="29"/>
        <v>0.80449999999999988</v>
      </c>
      <c r="J97" s="93">
        <f t="shared" ref="J97:J107" si="35">J21+J40+J59+J78</f>
        <v>18467.233139999997</v>
      </c>
      <c r="K97" s="129"/>
      <c r="L97" s="97">
        <f t="shared" ref="L97:L107" si="36">L21+L40+L59+L78</f>
        <v>22954.92</v>
      </c>
      <c r="M97" s="101">
        <f t="shared" si="30"/>
        <v>2.0194000000000001</v>
      </c>
      <c r="N97" s="93">
        <f t="shared" ref="N97:N107" si="37">N21+N40+N59+N78</f>
        <v>46355.165448</v>
      </c>
      <c r="O97" s="129"/>
      <c r="P97" s="93">
        <f t="shared" si="31"/>
        <v>64822.398587999996</v>
      </c>
      <c r="Q97" s="84"/>
    </row>
    <row r="98" spans="2:17" x14ac:dyDescent="0.25">
      <c r="B98" s="132" t="s">
        <v>32</v>
      </c>
      <c r="C98" s="129"/>
      <c r="D98" s="97">
        <f t="shared" si="32"/>
        <v>22807.66</v>
      </c>
      <c r="E98" s="101">
        <f t="shared" si="28"/>
        <v>3.3979999999999997</v>
      </c>
      <c r="F98" s="93">
        <f t="shared" si="33"/>
        <v>77500.428679999997</v>
      </c>
      <c r="G98" s="129"/>
      <c r="H98" s="97">
        <f t="shared" si="34"/>
        <v>23410.07</v>
      </c>
      <c r="I98" s="101">
        <f t="shared" si="29"/>
        <v>0.80449999999999999</v>
      </c>
      <c r="J98" s="93">
        <f t="shared" si="35"/>
        <v>18833.401314999999</v>
      </c>
      <c r="K98" s="129"/>
      <c r="L98" s="97">
        <f t="shared" si="36"/>
        <v>23410.07</v>
      </c>
      <c r="M98" s="101">
        <f t="shared" si="30"/>
        <v>2.0194000000000001</v>
      </c>
      <c r="N98" s="93">
        <f t="shared" si="37"/>
        <v>47274.295358000003</v>
      </c>
      <c r="O98" s="129"/>
      <c r="P98" s="93">
        <f t="shared" si="31"/>
        <v>66107.696672999999</v>
      </c>
      <c r="Q98" s="84"/>
    </row>
    <row r="99" spans="2:17" x14ac:dyDescent="0.25">
      <c r="B99" s="132" t="s">
        <v>33</v>
      </c>
      <c r="C99" s="129"/>
      <c r="D99" s="97">
        <f t="shared" si="32"/>
        <v>20132.599999999999</v>
      </c>
      <c r="E99" s="101">
        <f t="shared" si="28"/>
        <v>3.3980000000000001</v>
      </c>
      <c r="F99" s="93">
        <f t="shared" si="33"/>
        <v>68410.574800000002</v>
      </c>
      <c r="G99" s="129"/>
      <c r="H99" s="97">
        <f t="shared" si="34"/>
        <v>20132.599999999999</v>
      </c>
      <c r="I99" s="101">
        <f t="shared" si="29"/>
        <v>0.80449999999999999</v>
      </c>
      <c r="J99" s="93">
        <f t="shared" si="35"/>
        <v>16196.676699999998</v>
      </c>
      <c r="K99" s="129"/>
      <c r="L99" s="97">
        <f t="shared" si="36"/>
        <v>20132.599999999999</v>
      </c>
      <c r="M99" s="101">
        <f t="shared" si="30"/>
        <v>2.0194000000000001</v>
      </c>
      <c r="N99" s="93">
        <f t="shared" si="37"/>
        <v>40655.772440000001</v>
      </c>
      <c r="O99" s="129"/>
      <c r="P99" s="93">
        <f t="shared" si="31"/>
        <v>56852.449139999997</v>
      </c>
      <c r="Q99" s="84"/>
    </row>
    <row r="100" spans="2:17" x14ac:dyDescent="0.25">
      <c r="B100" s="132" t="s">
        <v>34</v>
      </c>
      <c r="C100" s="129"/>
      <c r="D100" s="97">
        <f t="shared" si="32"/>
        <v>19511.900000000001</v>
      </c>
      <c r="E100" s="101">
        <f t="shared" si="28"/>
        <v>3.3980000000000001</v>
      </c>
      <c r="F100" s="93">
        <f t="shared" si="33"/>
        <v>66301.436200000011</v>
      </c>
      <c r="G100" s="129"/>
      <c r="H100" s="97">
        <f t="shared" si="34"/>
        <v>19511.900000000001</v>
      </c>
      <c r="I100" s="101">
        <f t="shared" si="29"/>
        <v>0.80449999999999999</v>
      </c>
      <c r="J100" s="93">
        <f t="shared" si="35"/>
        <v>15697.323550000001</v>
      </c>
      <c r="K100" s="129"/>
      <c r="L100" s="97">
        <f t="shared" si="36"/>
        <v>19511.900000000001</v>
      </c>
      <c r="M100" s="101">
        <f t="shared" si="30"/>
        <v>2.0194000000000001</v>
      </c>
      <c r="N100" s="93">
        <f t="shared" si="37"/>
        <v>39402.330860000002</v>
      </c>
      <c r="O100" s="129"/>
      <c r="P100" s="93">
        <f t="shared" si="31"/>
        <v>55099.654410000003</v>
      </c>
      <c r="Q100" s="84"/>
    </row>
    <row r="101" spans="2:17" x14ac:dyDescent="0.25">
      <c r="B101" s="132" t="s">
        <v>35</v>
      </c>
      <c r="C101" s="129"/>
      <c r="D101" s="97">
        <f t="shared" si="32"/>
        <v>20614.04</v>
      </c>
      <c r="E101" s="101">
        <f t="shared" si="28"/>
        <v>3.3980000000000001</v>
      </c>
      <c r="F101" s="93">
        <f t="shared" si="33"/>
        <v>70046.507920000004</v>
      </c>
      <c r="G101" s="129"/>
      <c r="H101" s="97">
        <f t="shared" si="34"/>
        <v>20614.04</v>
      </c>
      <c r="I101" s="101">
        <f t="shared" si="29"/>
        <v>0.8045000000000001</v>
      </c>
      <c r="J101" s="93">
        <f t="shared" si="35"/>
        <v>16583.995180000002</v>
      </c>
      <c r="K101" s="129"/>
      <c r="L101" s="97">
        <f t="shared" si="36"/>
        <v>20614.04</v>
      </c>
      <c r="M101" s="101">
        <f t="shared" si="30"/>
        <v>2.0194000000000001</v>
      </c>
      <c r="N101" s="93">
        <f t="shared" si="37"/>
        <v>41627.992376000002</v>
      </c>
      <c r="O101" s="129"/>
      <c r="P101" s="93">
        <f t="shared" si="31"/>
        <v>58211.987556000007</v>
      </c>
      <c r="Q101" s="84"/>
    </row>
    <row r="102" spans="2:17" x14ac:dyDescent="0.25">
      <c r="B102" s="132" t="s">
        <v>36</v>
      </c>
      <c r="C102" s="129"/>
      <c r="D102" s="97">
        <f t="shared" si="32"/>
        <v>25509.439999999999</v>
      </c>
      <c r="E102" s="101">
        <f t="shared" si="28"/>
        <v>3.3980000000000001</v>
      </c>
      <c r="F102" s="93">
        <f t="shared" si="33"/>
        <v>86681.077120000002</v>
      </c>
      <c r="G102" s="129"/>
      <c r="H102" s="97">
        <f t="shared" si="34"/>
        <v>25509.439999999999</v>
      </c>
      <c r="I102" s="101">
        <f t="shared" si="29"/>
        <v>0.80449999999999999</v>
      </c>
      <c r="J102" s="93">
        <f t="shared" si="35"/>
        <v>20522.34448</v>
      </c>
      <c r="K102" s="129"/>
      <c r="L102" s="97">
        <f t="shared" si="36"/>
        <v>25509.439999999999</v>
      </c>
      <c r="M102" s="101">
        <f t="shared" si="30"/>
        <v>2.0194000000000001</v>
      </c>
      <c r="N102" s="93">
        <f t="shared" si="37"/>
        <v>51513.763136000001</v>
      </c>
      <c r="O102" s="129"/>
      <c r="P102" s="93">
        <f t="shared" si="31"/>
        <v>72036.107615999994</v>
      </c>
      <c r="Q102" s="84"/>
    </row>
    <row r="103" spans="2:17" x14ac:dyDescent="0.25">
      <c r="B103" s="132" t="s">
        <v>37</v>
      </c>
      <c r="C103" s="129"/>
      <c r="D103" s="97">
        <f t="shared" si="32"/>
        <v>25152.14</v>
      </c>
      <c r="E103" s="101">
        <f t="shared" si="28"/>
        <v>3.3980000000000001</v>
      </c>
      <c r="F103" s="93">
        <f t="shared" si="33"/>
        <v>85466.971720000001</v>
      </c>
      <c r="G103" s="129"/>
      <c r="H103" s="97">
        <f t="shared" si="34"/>
        <v>25152.14</v>
      </c>
      <c r="I103" s="101">
        <f t="shared" si="29"/>
        <v>0.80449999999999999</v>
      </c>
      <c r="J103" s="93">
        <f t="shared" si="35"/>
        <v>20234.896629999999</v>
      </c>
      <c r="K103" s="129"/>
      <c r="L103" s="97">
        <f t="shared" si="36"/>
        <v>25152.14</v>
      </c>
      <c r="M103" s="101">
        <f t="shared" si="30"/>
        <v>2.0194000000000001</v>
      </c>
      <c r="N103" s="93">
        <f t="shared" si="37"/>
        <v>50792.231516</v>
      </c>
      <c r="O103" s="129"/>
      <c r="P103" s="93">
        <f t="shared" si="31"/>
        <v>71027.128146000003</v>
      </c>
      <c r="Q103" s="84"/>
    </row>
    <row r="104" spans="2:17" x14ac:dyDescent="0.25">
      <c r="B104" s="132" t="s">
        <v>38</v>
      </c>
      <c r="C104" s="129"/>
      <c r="D104" s="97">
        <f t="shared" si="32"/>
        <v>22218.84</v>
      </c>
      <c r="E104" s="101">
        <f t="shared" si="28"/>
        <v>3.3980000000000006</v>
      </c>
      <c r="F104" s="93">
        <f t="shared" si="33"/>
        <v>75499.618320000009</v>
      </c>
      <c r="G104" s="129"/>
      <c r="H104" s="97">
        <f t="shared" si="34"/>
        <v>22218.84</v>
      </c>
      <c r="I104" s="101">
        <f t="shared" si="29"/>
        <v>0.80449999999999999</v>
      </c>
      <c r="J104" s="93">
        <f t="shared" si="35"/>
        <v>17875.056779999999</v>
      </c>
      <c r="K104" s="129"/>
      <c r="L104" s="97">
        <f t="shared" si="36"/>
        <v>22218.84</v>
      </c>
      <c r="M104" s="101">
        <f t="shared" si="30"/>
        <v>2.0194000000000001</v>
      </c>
      <c r="N104" s="93">
        <f t="shared" si="37"/>
        <v>44868.725495999999</v>
      </c>
      <c r="O104" s="129"/>
      <c r="P104" s="93">
        <f t="shared" si="31"/>
        <v>62743.782275999998</v>
      </c>
      <c r="Q104" s="84"/>
    </row>
    <row r="105" spans="2:17" x14ac:dyDescent="0.25">
      <c r="B105" s="132" t="s">
        <v>39</v>
      </c>
      <c r="C105" s="129"/>
      <c r="D105" s="97">
        <f t="shared" si="32"/>
        <v>21460.66</v>
      </c>
      <c r="E105" s="101">
        <f t="shared" si="28"/>
        <v>3.3979999999999997</v>
      </c>
      <c r="F105" s="93">
        <f t="shared" si="33"/>
        <v>72923.322679999997</v>
      </c>
      <c r="G105" s="129"/>
      <c r="H105" s="97">
        <f t="shared" si="34"/>
        <v>21460.66</v>
      </c>
      <c r="I105" s="101">
        <f t="shared" si="29"/>
        <v>0.80449999999999999</v>
      </c>
      <c r="J105" s="93">
        <f t="shared" si="35"/>
        <v>17265.10097</v>
      </c>
      <c r="K105" s="129"/>
      <c r="L105" s="97">
        <f t="shared" si="36"/>
        <v>21460.66</v>
      </c>
      <c r="M105" s="101">
        <f t="shared" si="30"/>
        <v>2.0194000000000001</v>
      </c>
      <c r="N105" s="93">
        <f t="shared" si="37"/>
        <v>43337.656803999998</v>
      </c>
      <c r="O105" s="129"/>
      <c r="P105" s="93">
        <f t="shared" si="31"/>
        <v>60602.757773999998</v>
      </c>
      <c r="Q105" s="84"/>
    </row>
    <row r="106" spans="2:17" x14ac:dyDescent="0.25">
      <c r="B106" s="132" t="s">
        <v>40</v>
      </c>
      <c r="C106" s="129"/>
      <c r="D106" s="97">
        <f t="shared" si="32"/>
        <v>22087.759999999998</v>
      </c>
      <c r="E106" s="101">
        <f t="shared" si="28"/>
        <v>3.3980000000000001</v>
      </c>
      <c r="F106" s="93">
        <f t="shared" si="33"/>
        <v>75054.208480000001</v>
      </c>
      <c r="G106" s="129"/>
      <c r="H106" s="97">
        <f t="shared" si="34"/>
        <v>22087.759999999998</v>
      </c>
      <c r="I106" s="101">
        <f t="shared" si="29"/>
        <v>0.80449999999999999</v>
      </c>
      <c r="J106" s="93">
        <f t="shared" si="35"/>
        <v>17769.602919999998</v>
      </c>
      <c r="K106" s="129"/>
      <c r="L106" s="97">
        <f t="shared" si="36"/>
        <v>22087.759999999998</v>
      </c>
      <c r="M106" s="101">
        <f t="shared" si="30"/>
        <v>2.0194000000000001</v>
      </c>
      <c r="N106" s="93">
        <f t="shared" si="37"/>
        <v>44604.022543999999</v>
      </c>
      <c r="O106" s="129"/>
      <c r="P106" s="93">
        <f t="shared" si="31"/>
        <v>62373.625463999997</v>
      </c>
      <c r="Q106" s="84"/>
    </row>
    <row r="107" spans="2:17" x14ac:dyDescent="0.25">
      <c r="B107" s="132" t="s">
        <v>41</v>
      </c>
      <c r="C107" s="129"/>
      <c r="D107" s="97">
        <f t="shared" si="32"/>
        <v>22780.54</v>
      </c>
      <c r="E107" s="101">
        <f t="shared" si="28"/>
        <v>3.3980000000000001</v>
      </c>
      <c r="F107" s="93">
        <f t="shared" si="33"/>
        <v>77408.274920000011</v>
      </c>
      <c r="G107" s="129"/>
      <c r="H107" s="97">
        <f t="shared" si="34"/>
        <v>22780.54</v>
      </c>
      <c r="I107" s="101">
        <f t="shared" si="29"/>
        <v>0.80449999999999999</v>
      </c>
      <c r="J107" s="93">
        <f t="shared" si="35"/>
        <v>18326.94443</v>
      </c>
      <c r="K107" s="129"/>
      <c r="L107" s="97">
        <f t="shared" si="36"/>
        <v>22780.54</v>
      </c>
      <c r="M107" s="101">
        <f t="shared" si="30"/>
        <v>2.0194000000000001</v>
      </c>
      <c r="N107" s="93">
        <f t="shared" si="37"/>
        <v>46003.022476000006</v>
      </c>
      <c r="O107" s="129"/>
      <c r="P107" s="93">
        <f t="shared" si="31"/>
        <v>64329.966906000001</v>
      </c>
      <c r="Q107" s="84"/>
    </row>
    <row r="108" spans="2:17" x14ac:dyDescent="0.25">
      <c r="B108" s="129"/>
      <c r="C108" s="129"/>
      <c r="D108" s="129"/>
      <c r="E108" s="129"/>
      <c r="F108" s="129"/>
      <c r="G108" s="129"/>
      <c r="H108" s="129"/>
      <c r="I108" s="129"/>
      <c r="J108" s="129"/>
      <c r="K108" s="129"/>
      <c r="L108" s="129"/>
      <c r="M108" s="129"/>
      <c r="N108" s="129"/>
      <c r="O108" s="129"/>
      <c r="P108" s="93"/>
      <c r="Q108" s="84"/>
    </row>
    <row r="109" spans="2:17" ht="13.8" thickBot="1" x14ac:dyDescent="0.3">
      <c r="B109" s="232" t="s">
        <v>47</v>
      </c>
      <c r="C109" s="129"/>
      <c r="D109" s="94">
        <f>SUM(D96:D107)</f>
        <v>270205.06</v>
      </c>
      <c r="E109" s="95">
        <f>IF(D109&lt;&gt;0,F109/D109,0)</f>
        <v>3.3980000000000001</v>
      </c>
      <c r="F109" s="96">
        <f>SUM(F96:F107)</f>
        <v>918156.79388000001</v>
      </c>
      <c r="G109" s="129"/>
      <c r="H109" s="94">
        <f>SUM(H96:H107)</f>
        <v>270807.46999999997</v>
      </c>
      <c r="I109" s="95">
        <f>IF(H109&lt;&gt;0,J109/H109,0)</f>
        <v>0.8045000000000001</v>
      </c>
      <c r="J109" s="96">
        <f>SUM(J96:J107)</f>
        <v>217864.60961499999</v>
      </c>
      <c r="K109" s="129"/>
      <c r="L109" s="94">
        <f>SUM(L96:L107)</f>
        <v>270807.46999999997</v>
      </c>
      <c r="M109" s="95">
        <f>IF(L109&lt;&gt;0,N109/L109,0)</f>
        <v>2.0194000000000005</v>
      </c>
      <c r="N109" s="96">
        <f>SUM(N96:N107)</f>
        <v>546868.60491800006</v>
      </c>
      <c r="O109" s="129"/>
      <c r="P109" s="96">
        <f>SUM(P96:P107)</f>
        <v>764733.21453300014</v>
      </c>
      <c r="Q109" s="84"/>
    </row>
    <row r="110" spans="2:17" x14ac:dyDescent="0.25">
      <c r="B110" s="6"/>
      <c r="C110" s="6"/>
      <c r="D110" s="6"/>
      <c r="E110" s="6"/>
      <c r="F110" s="6"/>
      <c r="G110" s="6"/>
      <c r="H110" s="6"/>
      <c r="I110" s="6"/>
      <c r="J110" s="6"/>
      <c r="K110" s="6"/>
      <c r="L110" s="6"/>
      <c r="M110" s="6"/>
      <c r="N110" s="6"/>
      <c r="O110" s="6"/>
      <c r="P110" s="6"/>
    </row>
    <row r="111" spans="2:17" x14ac:dyDescent="0.25">
      <c r="B111" s="6"/>
      <c r="C111" s="6"/>
      <c r="D111" s="6"/>
      <c r="E111" s="6"/>
      <c r="F111" s="6"/>
      <c r="G111" s="6"/>
      <c r="H111" s="6"/>
      <c r="I111" s="6"/>
      <c r="J111" s="6"/>
      <c r="K111" s="6"/>
      <c r="L111" s="6"/>
      <c r="M111" s="6"/>
      <c r="N111" s="98" t="s">
        <v>1883</v>
      </c>
      <c r="O111" s="6"/>
      <c r="P111" s="99">
        <f>'11. RTSR - UTRs &amp; Sub-Tx'!H74</f>
        <v>0</v>
      </c>
    </row>
    <row r="112" spans="2:17" x14ac:dyDescent="0.25">
      <c r="B112" s="6"/>
      <c r="C112" s="6"/>
      <c r="D112" s="6"/>
      <c r="E112" s="6"/>
      <c r="F112" s="6"/>
      <c r="G112" s="6"/>
      <c r="H112" s="6"/>
      <c r="I112" s="6"/>
      <c r="J112" s="6"/>
      <c r="K112" s="6"/>
      <c r="L112" s="6"/>
      <c r="M112" s="6"/>
      <c r="N112" s="6"/>
      <c r="O112" s="6"/>
      <c r="P112" s="6"/>
    </row>
    <row r="113" spans="2:16" ht="13.8" thickBot="1" x14ac:dyDescent="0.3">
      <c r="B113" s="6"/>
      <c r="C113" s="6"/>
      <c r="D113" s="6"/>
      <c r="E113" s="6"/>
      <c r="F113" s="6"/>
      <c r="G113" s="6"/>
      <c r="H113" s="6"/>
      <c r="I113" s="6"/>
      <c r="J113" s="6"/>
      <c r="K113" s="6"/>
      <c r="L113" s="6"/>
      <c r="M113" s="6"/>
      <c r="N113" s="61" t="s">
        <v>1884</v>
      </c>
      <c r="O113" s="6"/>
      <c r="P113" s="96">
        <f>P109+P111</f>
        <v>764733.21453300014</v>
      </c>
    </row>
  </sheetData>
  <sheetProtection algorithmName="SHA-512" hashValue="gzIt+J1QQ33atXmsl/dPzBrwVrDeDGHMN3hFJ4vifTXlLPhYdgsFQRw7U6NeRGkdGccmMxZpFhjkSHNd9EPVGw==" saltValue="dhf7v5PSwr7OJVxzoiAZ3A==" spinCount="100000" sheet="1" objects="1" scenarios="1"/>
  <mergeCells count="22">
    <mergeCell ref="D35:F35"/>
    <mergeCell ref="H35:J35"/>
    <mergeCell ref="L35:N35"/>
    <mergeCell ref="D54:F54"/>
    <mergeCell ref="H54:J54"/>
    <mergeCell ref="L54:N54"/>
    <mergeCell ref="D93:F93"/>
    <mergeCell ref="H93:J93"/>
    <mergeCell ref="L93:N93"/>
    <mergeCell ref="D73:F73"/>
    <mergeCell ref="H73:J73"/>
    <mergeCell ref="L73:N73"/>
    <mergeCell ref="D92:F92"/>
    <mergeCell ref="H92:J92"/>
    <mergeCell ref="L92:N92"/>
    <mergeCell ref="B13:P13"/>
    <mergeCell ref="D16:F16"/>
    <mergeCell ref="H16:J16"/>
    <mergeCell ref="L16:N16"/>
    <mergeCell ref="D17:F17"/>
    <mergeCell ref="H17:J17"/>
    <mergeCell ref="L17:N17"/>
  </mergeCells>
  <pageMargins left="0.25" right="0.25" top="0.75" bottom="0.75" header="0.3" footer="0.3"/>
  <pageSetup scale="40" orientation="portrait" r:id="rId1"/>
  <headerFooter>
    <oddFooter>&amp;C&amp;A</oddFooter>
  </headerFooter>
  <rowBreaks count="1" manualBreakCount="1">
    <brk id="72" max="15" man="1"/>
  </rowBreaks>
  <colBreaks count="1" manualBreakCount="1">
    <brk id="24" max="7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pageSetUpPr fitToPage="1"/>
  </sheetPr>
  <dimension ref="A12:Q113"/>
  <sheetViews>
    <sheetView showGridLines="0" view="pageBreakPreview" topLeftCell="B10" zoomScale="60" zoomScaleNormal="100" workbookViewId="0">
      <selection activeCell="H27" sqref="H27"/>
    </sheetView>
  </sheetViews>
  <sheetFormatPr defaultColWidth="9.33203125" defaultRowHeight="13.2" x14ac:dyDescent="0.25"/>
  <cols>
    <col min="1" max="1" width="11.6640625" style="59" hidden="1" customWidth="1"/>
    <col min="2" max="2" width="30.33203125" style="59" customWidth="1"/>
    <col min="3" max="3" width="3.6640625" style="59" customWidth="1"/>
    <col min="4" max="4" width="14.33203125" style="59" customWidth="1"/>
    <col min="5" max="5" width="10.33203125" style="59" bestFit="1" customWidth="1"/>
    <col min="6" max="6" width="14.33203125" style="59" customWidth="1"/>
    <col min="7" max="7" width="2.6640625" style="59" customWidth="1"/>
    <col min="8" max="8" width="14.33203125" style="59" customWidth="1"/>
    <col min="9" max="9" width="9.6640625" style="59" bestFit="1" customWidth="1"/>
    <col min="10" max="10" width="14.33203125" style="59" customWidth="1"/>
    <col min="11" max="11" width="3.33203125" style="59" customWidth="1"/>
    <col min="12" max="12" width="14.33203125" style="59" customWidth="1"/>
    <col min="13" max="13" width="9.6640625" style="59" bestFit="1" customWidth="1"/>
    <col min="14" max="14" width="14.33203125" style="59" customWidth="1"/>
    <col min="15" max="15" width="3.6640625" style="59" customWidth="1"/>
    <col min="16" max="16" width="16.5546875" style="59" customWidth="1"/>
    <col min="17" max="16384" width="9.33203125" style="59"/>
  </cols>
  <sheetData>
    <row r="12" spans="2:17" ht="12.75" customHeight="1" x14ac:dyDescent="0.25"/>
    <row r="13" spans="2:17" ht="22.5" customHeight="1" x14ac:dyDescent="0.3">
      <c r="B13" s="1931" t="s">
        <v>6880</v>
      </c>
      <c r="C13" s="1918"/>
      <c r="D13" s="1918"/>
      <c r="E13" s="1918"/>
      <c r="F13" s="1918"/>
      <c r="G13" s="1918"/>
      <c r="H13" s="1918"/>
      <c r="I13" s="1918"/>
      <c r="J13" s="1918"/>
      <c r="K13" s="1918"/>
      <c r="L13" s="1918"/>
      <c r="M13" s="1918"/>
      <c r="N13" s="1918"/>
      <c r="O13" s="1918"/>
      <c r="P13" s="1918"/>
    </row>
    <row r="14" spans="2:17" x14ac:dyDescent="0.25">
      <c r="B14" s="6"/>
      <c r="C14" s="6"/>
      <c r="D14" s="6"/>
      <c r="E14" s="6"/>
      <c r="F14" s="6"/>
      <c r="G14" s="6"/>
      <c r="H14" s="6"/>
      <c r="I14" s="6"/>
      <c r="J14" s="6"/>
      <c r="K14" s="6"/>
      <c r="L14" s="6"/>
      <c r="M14" s="6"/>
      <c r="N14" s="6"/>
      <c r="O14" s="6"/>
      <c r="P14" s="6"/>
    </row>
    <row r="15" spans="2:17" ht="14.25" customHeight="1" x14ac:dyDescent="0.25">
      <c r="B15" s="6"/>
      <c r="C15" s="6"/>
      <c r="D15" s="6"/>
      <c r="E15" s="6"/>
      <c r="F15" s="6"/>
      <c r="G15" s="6"/>
      <c r="H15" s="6"/>
      <c r="I15" s="6"/>
      <c r="J15" s="6"/>
      <c r="K15" s="6"/>
      <c r="L15" s="6"/>
      <c r="M15" s="6"/>
      <c r="N15" s="6"/>
      <c r="O15" s="6"/>
      <c r="P15" s="6"/>
    </row>
    <row r="16" spans="2:17" x14ac:dyDescent="0.25">
      <c r="B16" s="230" t="s">
        <v>442</v>
      </c>
      <c r="C16" s="127"/>
      <c r="D16" s="1927" t="s">
        <v>443</v>
      </c>
      <c r="E16" s="1927"/>
      <c r="F16" s="1927"/>
      <c r="G16" s="127"/>
      <c r="H16" s="1927" t="s">
        <v>444</v>
      </c>
      <c r="I16" s="1927"/>
      <c r="J16" s="1927"/>
      <c r="K16" s="127"/>
      <c r="L16" s="1927" t="s">
        <v>445</v>
      </c>
      <c r="M16" s="1927"/>
      <c r="N16" s="1927"/>
      <c r="O16" s="127"/>
      <c r="P16" s="230" t="s">
        <v>2360</v>
      </c>
      <c r="Q16" s="84"/>
    </row>
    <row r="17" spans="2:17" ht="15.6" x14ac:dyDescent="0.3">
      <c r="B17" s="129"/>
      <c r="C17" s="129"/>
      <c r="D17" s="1929"/>
      <c r="E17" s="1929"/>
      <c r="F17" s="1929"/>
      <c r="G17" s="131"/>
      <c r="H17" s="1929"/>
      <c r="I17" s="1929"/>
      <c r="J17" s="1929"/>
      <c r="K17" s="131"/>
      <c r="L17" s="1929"/>
      <c r="M17" s="1929"/>
      <c r="N17" s="1929"/>
      <c r="O17" s="129"/>
      <c r="P17" s="231"/>
      <c r="Q17" s="89"/>
    </row>
    <row r="18" spans="2:17" x14ac:dyDescent="0.25">
      <c r="B18" s="232" t="s">
        <v>446</v>
      </c>
      <c r="C18" s="129"/>
      <c r="D18" s="134" t="s">
        <v>447</v>
      </c>
      <c r="E18" s="134" t="s">
        <v>343</v>
      </c>
      <c r="F18" s="134" t="s">
        <v>145</v>
      </c>
      <c r="G18" s="129"/>
      <c r="H18" s="134" t="s">
        <v>447</v>
      </c>
      <c r="I18" s="134" t="s">
        <v>343</v>
      </c>
      <c r="J18" s="134" t="s">
        <v>145</v>
      </c>
      <c r="K18" s="129"/>
      <c r="L18" s="134" t="s">
        <v>447</v>
      </c>
      <c r="M18" s="134" t="s">
        <v>343</v>
      </c>
      <c r="N18" s="134" t="s">
        <v>145</v>
      </c>
      <c r="O18" s="129"/>
      <c r="P18" s="134" t="s">
        <v>145</v>
      </c>
      <c r="Q18" s="84"/>
    </row>
    <row r="19" spans="2:17" x14ac:dyDescent="0.25">
      <c r="B19" s="129"/>
      <c r="C19" s="129"/>
      <c r="D19" s="129"/>
      <c r="E19" s="129"/>
      <c r="F19" s="129"/>
      <c r="G19" s="129"/>
      <c r="H19" s="129"/>
      <c r="I19" s="129"/>
      <c r="J19" s="129"/>
      <c r="K19" s="129"/>
      <c r="L19" s="129"/>
      <c r="M19" s="129"/>
      <c r="N19" s="129"/>
      <c r="O19" s="129"/>
      <c r="P19" s="129"/>
      <c r="Q19" s="84"/>
    </row>
    <row r="20" spans="2:17" x14ac:dyDescent="0.25">
      <c r="B20" s="132" t="s">
        <v>30</v>
      </c>
      <c r="C20" s="129"/>
      <c r="D20" s="100">
        <f>'12. RTSR - Historical Wholesale'!D19</f>
        <v>0</v>
      </c>
      <c r="E20" s="101">
        <f>'11. RTSR - UTRs &amp; Sub-Tx'!L22</f>
        <v>3.92</v>
      </c>
      <c r="F20" s="102">
        <f t="shared" ref="F20:F31" si="0">D20*E20</f>
        <v>0</v>
      </c>
      <c r="G20" s="129"/>
      <c r="H20" s="100">
        <f>'12. RTSR - Historical Wholesale'!H19</f>
        <v>0</v>
      </c>
      <c r="I20" s="101">
        <f>'11. RTSR - UTRs &amp; Sub-Tx'!L24</f>
        <v>0.97</v>
      </c>
      <c r="J20" s="102">
        <f t="shared" ref="J20:J31" si="1">H20*I20</f>
        <v>0</v>
      </c>
      <c r="K20" s="129"/>
      <c r="L20" s="100">
        <f>'12. RTSR - Historical Wholesale'!L19</f>
        <v>0</v>
      </c>
      <c r="M20" s="101">
        <f>'11. RTSR - UTRs &amp; Sub-Tx'!L26</f>
        <v>2.33</v>
      </c>
      <c r="N20" s="102">
        <f t="shared" ref="N20:N31" si="2">L20*M20</f>
        <v>0</v>
      </c>
      <c r="O20" s="129"/>
      <c r="P20" s="93">
        <f t="shared" ref="P20:P31" si="3">J20+N20</f>
        <v>0</v>
      </c>
      <c r="Q20" s="84"/>
    </row>
    <row r="21" spans="2:17" x14ac:dyDescent="0.25">
      <c r="B21" s="132" t="s">
        <v>31</v>
      </c>
      <c r="C21" s="129"/>
      <c r="D21" s="100">
        <f>'12. RTSR - Historical Wholesale'!D20</f>
        <v>0</v>
      </c>
      <c r="E21" s="101">
        <f t="shared" ref="E21:E31" si="4">E20</f>
        <v>3.92</v>
      </c>
      <c r="F21" s="102">
        <f t="shared" si="0"/>
        <v>0</v>
      </c>
      <c r="G21" s="129"/>
      <c r="H21" s="100">
        <f>'12. RTSR - Historical Wholesale'!H20</f>
        <v>0</v>
      </c>
      <c r="I21" s="101">
        <f t="shared" ref="I21:I31" si="5">I20</f>
        <v>0.97</v>
      </c>
      <c r="J21" s="102">
        <f t="shared" si="1"/>
        <v>0</v>
      </c>
      <c r="K21" s="129"/>
      <c r="L21" s="100">
        <f>'12. RTSR - Historical Wholesale'!L20</f>
        <v>0</v>
      </c>
      <c r="M21" s="101">
        <f t="shared" ref="M21:M31" si="6">M20</f>
        <v>2.33</v>
      </c>
      <c r="N21" s="102">
        <f t="shared" si="2"/>
        <v>0</v>
      </c>
      <c r="O21" s="129"/>
      <c r="P21" s="93">
        <f t="shared" si="3"/>
        <v>0</v>
      </c>
      <c r="Q21" s="84"/>
    </row>
    <row r="22" spans="2:17" x14ac:dyDescent="0.25">
      <c r="B22" s="132" t="s">
        <v>32</v>
      </c>
      <c r="C22" s="129"/>
      <c r="D22" s="100">
        <f>'12. RTSR - Historical Wholesale'!D21</f>
        <v>0</v>
      </c>
      <c r="E22" s="101">
        <f t="shared" si="4"/>
        <v>3.92</v>
      </c>
      <c r="F22" s="102">
        <f t="shared" si="0"/>
        <v>0</v>
      </c>
      <c r="G22" s="129"/>
      <c r="H22" s="100">
        <f>'12. RTSR - Historical Wholesale'!H21</f>
        <v>0</v>
      </c>
      <c r="I22" s="101">
        <f t="shared" si="5"/>
        <v>0.97</v>
      </c>
      <c r="J22" s="102">
        <f t="shared" si="1"/>
        <v>0</v>
      </c>
      <c r="K22" s="129"/>
      <c r="L22" s="100">
        <f>'12. RTSR - Historical Wholesale'!L21</f>
        <v>0</v>
      </c>
      <c r="M22" s="101">
        <f t="shared" si="6"/>
        <v>2.33</v>
      </c>
      <c r="N22" s="102">
        <f t="shared" si="2"/>
        <v>0</v>
      </c>
      <c r="O22" s="129"/>
      <c r="P22" s="93">
        <f t="shared" si="3"/>
        <v>0</v>
      </c>
      <c r="Q22" s="84"/>
    </row>
    <row r="23" spans="2:17" x14ac:dyDescent="0.25">
      <c r="B23" s="132" t="s">
        <v>33</v>
      </c>
      <c r="C23" s="129"/>
      <c r="D23" s="100">
        <f>'12. RTSR - Historical Wholesale'!D22</f>
        <v>0</v>
      </c>
      <c r="E23" s="101">
        <f t="shared" si="4"/>
        <v>3.92</v>
      </c>
      <c r="F23" s="102">
        <f t="shared" si="0"/>
        <v>0</v>
      </c>
      <c r="G23" s="129"/>
      <c r="H23" s="100">
        <f>'12. RTSR - Historical Wholesale'!H22</f>
        <v>0</v>
      </c>
      <c r="I23" s="101">
        <f t="shared" si="5"/>
        <v>0.97</v>
      </c>
      <c r="J23" s="102">
        <f t="shared" si="1"/>
        <v>0</v>
      </c>
      <c r="K23" s="129"/>
      <c r="L23" s="100">
        <f>'12. RTSR - Historical Wholesale'!L22</f>
        <v>0</v>
      </c>
      <c r="M23" s="101">
        <f t="shared" si="6"/>
        <v>2.33</v>
      </c>
      <c r="N23" s="102">
        <f t="shared" si="2"/>
        <v>0</v>
      </c>
      <c r="O23" s="129"/>
      <c r="P23" s="93">
        <f t="shared" si="3"/>
        <v>0</v>
      </c>
      <c r="Q23" s="84"/>
    </row>
    <row r="24" spans="2:17" x14ac:dyDescent="0.25">
      <c r="B24" s="132" t="s">
        <v>34</v>
      </c>
      <c r="C24" s="129"/>
      <c r="D24" s="100">
        <f>'12. RTSR - Historical Wholesale'!D23</f>
        <v>0</v>
      </c>
      <c r="E24" s="101">
        <f t="shared" si="4"/>
        <v>3.92</v>
      </c>
      <c r="F24" s="102">
        <f t="shared" si="0"/>
        <v>0</v>
      </c>
      <c r="G24" s="129"/>
      <c r="H24" s="100">
        <f>'12. RTSR - Historical Wholesale'!H23</f>
        <v>0</v>
      </c>
      <c r="I24" s="101">
        <f t="shared" si="5"/>
        <v>0.97</v>
      </c>
      <c r="J24" s="102">
        <f t="shared" si="1"/>
        <v>0</v>
      </c>
      <c r="K24" s="129"/>
      <c r="L24" s="100">
        <f>'12. RTSR - Historical Wholesale'!L23</f>
        <v>0</v>
      </c>
      <c r="M24" s="101">
        <f t="shared" si="6"/>
        <v>2.33</v>
      </c>
      <c r="N24" s="102">
        <f t="shared" si="2"/>
        <v>0</v>
      </c>
      <c r="O24" s="129"/>
      <c r="P24" s="93">
        <f t="shared" si="3"/>
        <v>0</v>
      </c>
      <c r="Q24" s="84"/>
    </row>
    <row r="25" spans="2:17" x14ac:dyDescent="0.25">
      <c r="B25" s="132" t="s">
        <v>35</v>
      </c>
      <c r="C25" s="129"/>
      <c r="D25" s="100">
        <f>'12. RTSR - Historical Wholesale'!D24</f>
        <v>0</v>
      </c>
      <c r="E25" s="101">
        <f t="shared" si="4"/>
        <v>3.92</v>
      </c>
      <c r="F25" s="102">
        <f t="shared" si="0"/>
        <v>0</v>
      </c>
      <c r="G25" s="129"/>
      <c r="H25" s="100">
        <f>'12. RTSR - Historical Wholesale'!H24</f>
        <v>0</v>
      </c>
      <c r="I25" s="101">
        <f t="shared" si="5"/>
        <v>0.97</v>
      </c>
      <c r="J25" s="102">
        <f t="shared" si="1"/>
        <v>0</v>
      </c>
      <c r="K25" s="129"/>
      <c r="L25" s="100">
        <f>'12. RTSR - Historical Wholesale'!L24</f>
        <v>0</v>
      </c>
      <c r="M25" s="101">
        <f t="shared" si="6"/>
        <v>2.33</v>
      </c>
      <c r="N25" s="102">
        <f t="shared" si="2"/>
        <v>0</v>
      </c>
      <c r="O25" s="129"/>
      <c r="P25" s="93">
        <f t="shared" si="3"/>
        <v>0</v>
      </c>
      <c r="Q25" s="84"/>
    </row>
    <row r="26" spans="2:17" x14ac:dyDescent="0.25">
      <c r="B26" s="132" t="s">
        <v>36</v>
      </c>
      <c r="C26" s="129"/>
      <c r="D26" s="100">
        <f>'12. RTSR - Historical Wholesale'!D25</f>
        <v>0</v>
      </c>
      <c r="E26" s="101">
        <f t="shared" si="4"/>
        <v>3.92</v>
      </c>
      <c r="F26" s="102">
        <f t="shared" si="0"/>
        <v>0</v>
      </c>
      <c r="G26" s="129"/>
      <c r="H26" s="100">
        <f>'12. RTSR - Historical Wholesale'!H25</f>
        <v>0</v>
      </c>
      <c r="I26" s="101">
        <f t="shared" si="5"/>
        <v>0.97</v>
      </c>
      <c r="J26" s="102">
        <f t="shared" si="1"/>
        <v>0</v>
      </c>
      <c r="K26" s="129"/>
      <c r="L26" s="100">
        <f>'12. RTSR - Historical Wholesale'!L25</f>
        <v>0</v>
      </c>
      <c r="M26" s="101">
        <f t="shared" si="6"/>
        <v>2.33</v>
      </c>
      <c r="N26" s="102">
        <f t="shared" si="2"/>
        <v>0</v>
      </c>
      <c r="O26" s="129"/>
      <c r="P26" s="93">
        <f t="shared" si="3"/>
        <v>0</v>
      </c>
      <c r="Q26" s="84"/>
    </row>
    <row r="27" spans="2:17" x14ac:dyDescent="0.25">
      <c r="B27" s="132" t="s">
        <v>37</v>
      </c>
      <c r="C27" s="129"/>
      <c r="D27" s="100">
        <f>'12. RTSR - Historical Wholesale'!D26</f>
        <v>0</v>
      </c>
      <c r="E27" s="101">
        <f t="shared" si="4"/>
        <v>3.92</v>
      </c>
      <c r="F27" s="102">
        <f t="shared" si="0"/>
        <v>0</v>
      </c>
      <c r="G27" s="129"/>
      <c r="H27" s="100">
        <f>'12. RTSR - Historical Wholesale'!H26</f>
        <v>0</v>
      </c>
      <c r="I27" s="101">
        <f t="shared" si="5"/>
        <v>0.97</v>
      </c>
      <c r="J27" s="102">
        <f t="shared" si="1"/>
        <v>0</v>
      </c>
      <c r="K27" s="129"/>
      <c r="L27" s="100">
        <f>'12. RTSR - Historical Wholesale'!L26</f>
        <v>0</v>
      </c>
      <c r="M27" s="101">
        <f t="shared" si="6"/>
        <v>2.33</v>
      </c>
      <c r="N27" s="102">
        <f t="shared" si="2"/>
        <v>0</v>
      </c>
      <c r="O27" s="129"/>
      <c r="P27" s="93">
        <f t="shared" si="3"/>
        <v>0</v>
      </c>
      <c r="Q27" s="84"/>
    </row>
    <row r="28" spans="2:17" x14ac:dyDescent="0.25">
      <c r="B28" s="132" t="s">
        <v>38</v>
      </c>
      <c r="C28" s="129"/>
      <c r="D28" s="100">
        <f>'12. RTSR - Historical Wholesale'!D27</f>
        <v>0</v>
      </c>
      <c r="E28" s="101">
        <f t="shared" si="4"/>
        <v>3.92</v>
      </c>
      <c r="F28" s="102">
        <f t="shared" si="0"/>
        <v>0</v>
      </c>
      <c r="G28" s="129"/>
      <c r="H28" s="100">
        <f>'12. RTSR - Historical Wholesale'!H27</f>
        <v>0</v>
      </c>
      <c r="I28" s="101">
        <f t="shared" si="5"/>
        <v>0.97</v>
      </c>
      <c r="J28" s="102">
        <f t="shared" si="1"/>
        <v>0</v>
      </c>
      <c r="K28" s="129"/>
      <c r="L28" s="100">
        <f>'12. RTSR - Historical Wholesale'!L27</f>
        <v>0</v>
      </c>
      <c r="M28" s="101">
        <f t="shared" si="6"/>
        <v>2.33</v>
      </c>
      <c r="N28" s="102">
        <f t="shared" si="2"/>
        <v>0</v>
      </c>
      <c r="O28" s="129"/>
      <c r="P28" s="93">
        <f t="shared" si="3"/>
        <v>0</v>
      </c>
      <c r="Q28" s="84"/>
    </row>
    <row r="29" spans="2:17" x14ac:dyDescent="0.25">
      <c r="B29" s="132" t="s">
        <v>39</v>
      </c>
      <c r="C29" s="129"/>
      <c r="D29" s="100">
        <f>'12. RTSR - Historical Wholesale'!D28</f>
        <v>0</v>
      </c>
      <c r="E29" s="101">
        <f t="shared" si="4"/>
        <v>3.92</v>
      </c>
      <c r="F29" s="102">
        <f t="shared" si="0"/>
        <v>0</v>
      </c>
      <c r="G29" s="129"/>
      <c r="H29" s="100">
        <f>'12. RTSR - Historical Wholesale'!H28</f>
        <v>0</v>
      </c>
      <c r="I29" s="101">
        <f t="shared" si="5"/>
        <v>0.97</v>
      </c>
      <c r="J29" s="102">
        <f t="shared" si="1"/>
        <v>0</v>
      </c>
      <c r="K29" s="129"/>
      <c r="L29" s="100">
        <f>'12. RTSR - Historical Wholesale'!L28</f>
        <v>0</v>
      </c>
      <c r="M29" s="101">
        <f t="shared" si="6"/>
        <v>2.33</v>
      </c>
      <c r="N29" s="102">
        <f t="shared" si="2"/>
        <v>0</v>
      </c>
      <c r="O29" s="129"/>
      <c r="P29" s="93">
        <f t="shared" si="3"/>
        <v>0</v>
      </c>
      <c r="Q29" s="84"/>
    </row>
    <row r="30" spans="2:17" x14ac:dyDescent="0.25">
      <c r="B30" s="132" t="s">
        <v>40</v>
      </c>
      <c r="C30" s="129"/>
      <c r="D30" s="100">
        <f>'12. RTSR - Historical Wholesale'!D29</f>
        <v>0</v>
      </c>
      <c r="E30" s="101">
        <f t="shared" si="4"/>
        <v>3.92</v>
      </c>
      <c r="F30" s="102">
        <f t="shared" si="0"/>
        <v>0</v>
      </c>
      <c r="G30" s="129"/>
      <c r="H30" s="100">
        <f>'12. RTSR - Historical Wholesale'!H29</f>
        <v>0</v>
      </c>
      <c r="I30" s="101">
        <f t="shared" si="5"/>
        <v>0.97</v>
      </c>
      <c r="J30" s="102">
        <f t="shared" si="1"/>
        <v>0</v>
      </c>
      <c r="K30" s="129"/>
      <c r="L30" s="100">
        <f>'12. RTSR - Historical Wholesale'!L29</f>
        <v>0</v>
      </c>
      <c r="M30" s="101">
        <f t="shared" si="6"/>
        <v>2.33</v>
      </c>
      <c r="N30" s="102">
        <f t="shared" si="2"/>
        <v>0</v>
      </c>
      <c r="O30" s="129"/>
      <c r="P30" s="93">
        <f t="shared" si="3"/>
        <v>0</v>
      </c>
      <c r="Q30" s="84"/>
    </row>
    <row r="31" spans="2:17" x14ac:dyDescent="0.25">
      <c r="B31" s="132" t="s">
        <v>41</v>
      </c>
      <c r="C31" s="129"/>
      <c r="D31" s="100">
        <f>'12. RTSR - Historical Wholesale'!D30</f>
        <v>0</v>
      </c>
      <c r="E31" s="101">
        <f t="shared" si="4"/>
        <v>3.92</v>
      </c>
      <c r="F31" s="102">
        <f t="shared" si="0"/>
        <v>0</v>
      </c>
      <c r="G31" s="129"/>
      <c r="H31" s="100">
        <f>'12. RTSR - Historical Wholesale'!H30</f>
        <v>0</v>
      </c>
      <c r="I31" s="101">
        <f t="shared" si="5"/>
        <v>0.97</v>
      </c>
      <c r="J31" s="102">
        <f t="shared" si="1"/>
        <v>0</v>
      </c>
      <c r="K31" s="129"/>
      <c r="L31" s="100">
        <f>'12. RTSR - Historical Wholesale'!L30</f>
        <v>0</v>
      </c>
      <c r="M31" s="101">
        <f t="shared" si="6"/>
        <v>2.33</v>
      </c>
      <c r="N31" s="102">
        <f t="shared" si="2"/>
        <v>0</v>
      </c>
      <c r="O31" s="129"/>
      <c r="P31" s="93">
        <f t="shared" si="3"/>
        <v>0</v>
      </c>
      <c r="Q31" s="84"/>
    </row>
    <row r="32" spans="2:17" x14ac:dyDescent="0.25">
      <c r="B32" s="129"/>
      <c r="C32" s="129"/>
      <c r="D32" s="129"/>
      <c r="E32" s="129"/>
      <c r="F32" s="129"/>
      <c r="G32" s="129"/>
      <c r="H32" s="129"/>
      <c r="I32" s="129"/>
      <c r="J32" s="129"/>
      <c r="K32" s="129"/>
      <c r="L32" s="129"/>
      <c r="M32" s="129"/>
      <c r="N32" s="129"/>
      <c r="O32" s="129"/>
      <c r="P32" s="129"/>
      <c r="Q32" s="84"/>
    </row>
    <row r="33" spans="2:17" ht="13.8" thickBot="1" x14ac:dyDescent="0.3">
      <c r="B33" s="232" t="s">
        <v>47</v>
      </c>
      <c r="C33" s="129"/>
      <c r="D33" s="94">
        <f>SUM(D20:D31)</f>
        <v>0</v>
      </c>
      <c r="E33" s="95">
        <f>IF(D33&lt;&gt;0,F33/D33,0)</f>
        <v>0</v>
      </c>
      <c r="F33" s="96">
        <f>SUM(F20:F31)</f>
        <v>0</v>
      </c>
      <c r="G33" s="129"/>
      <c r="H33" s="94">
        <f>SUM(H20:H31)</f>
        <v>0</v>
      </c>
      <c r="I33" s="95">
        <f>IF(H33&lt;&gt;0,J33/H33,0)</f>
        <v>0</v>
      </c>
      <c r="J33" s="96">
        <f>SUM(J20:J31)</f>
        <v>0</v>
      </c>
      <c r="K33" s="129"/>
      <c r="L33" s="94">
        <f>SUM(L20:L31)</f>
        <v>0</v>
      </c>
      <c r="M33" s="95">
        <f>IF(L33&lt;&gt;0,N33/L33,0)</f>
        <v>0</v>
      </c>
      <c r="N33" s="96">
        <f>SUM(N20:N31)</f>
        <v>0</v>
      </c>
      <c r="O33" s="129"/>
      <c r="P33" s="96">
        <f>SUM(P20:P31)</f>
        <v>0</v>
      </c>
      <c r="Q33" s="84"/>
    </row>
    <row r="34" spans="2:17" x14ac:dyDescent="0.25">
      <c r="B34" s="129"/>
      <c r="C34" s="129"/>
      <c r="D34" s="129"/>
      <c r="E34" s="129"/>
      <c r="F34" s="129"/>
      <c r="G34" s="129"/>
      <c r="H34" s="129"/>
      <c r="I34" s="129"/>
      <c r="J34" s="129"/>
      <c r="K34" s="129"/>
      <c r="L34" s="129"/>
      <c r="M34" s="129"/>
      <c r="N34" s="129"/>
      <c r="O34" s="129"/>
      <c r="P34" s="129"/>
      <c r="Q34" s="84"/>
    </row>
    <row r="35" spans="2:17" x14ac:dyDescent="0.25">
      <c r="B35" s="230" t="s">
        <v>448</v>
      </c>
      <c r="C35" s="129"/>
      <c r="D35" s="1927" t="s">
        <v>443</v>
      </c>
      <c r="E35" s="1927"/>
      <c r="F35" s="1927"/>
      <c r="G35" s="127"/>
      <c r="H35" s="1927" t="s">
        <v>444</v>
      </c>
      <c r="I35" s="1927"/>
      <c r="J35" s="1927"/>
      <c r="K35" s="127"/>
      <c r="L35" s="1927" t="s">
        <v>445</v>
      </c>
      <c r="M35" s="1927"/>
      <c r="N35" s="1927"/>
      <c r="O35" s="127"/>
      <c r="P35" s="774" t="s">
        <v>2360</v>
      </c>
      <c r="Q35" s="84"/>
    </row>
    <row r="36" spans="2:17" x14ac:dyDescent="0.25">
      <c r="B36" s="232"/>
      <c r="C36" s="129"/>
      <c r="D36" s="134"/>
      <c r="E36" s="134"/>
      <c r="F36" s="134"/>
      <c r="G36" s="129"/>
      <c r="H36" s="134"/>
      <c r="I36" s="134"/>
      <c r="J36" s="134"/>
      <c r="K36" s="129"/>
      <c r="L36" s="134"/>
      <c r="M36" s="134"/>
      <c r="N36" s="134"/>
      <c r="O36" s="129"/>
      <c r="P36" s="134"/>
      <c r="Q36" s="84"/>
    </row>
    <row r="37" spans="2:17" x14ac:dyDescent="0.25">
      <c r="B37" s="232" t="s">
        <v>446</v>
      </c>
      <c r="C37" s="129"/>
      <c r="D37" s="134" t="s">
        <v>447</v>
      </c>
      <c r="E37" s="134" t="s">
        <v>343</v>
      </c>
      <c r="F37" s="134" t="s">
        <v>145</v>
      </c>
      <c r="G37" s="129"/>
      <c r="H37" s="134" t="s">
        <v>447</v>
      </c>
      <c r="I37" s="134" t="s">
        <v>343</v>
      </c>
      <c r="J37" s="134" t="s">
        <v>145</v>
      </c>
      <c r="K37" s="129"/>
      <c r="L37" s="134" t="s">
        <v>447</v>
      </c>
      <c r="M37" s="134" t="s">
        <v>343</v>
      </c>
      <c r="N37" s="134" t="s">
        <v>145</v>
      </c>
      <c r="O37" s="129"/>
      <c r="P37" s="134" t="s">
        <v>145</v>
      </c>
      <c r="Q37" s="84"/>
    </row>
    <row r="38" spans="2:17" x14ac:dyDescent="0.25">
      <c r="B38" s="129"/>
      <c r="C38" s="129"/>
      <c r="D38" s="129"/>
      <c r="E38" s="129"/>
      <c r="F38" s="129"/>
      <c r="G38" s="129"/>
      <c r="H38" s="129"/>
      <c r="I38" s="129"/>
      <c r="J38" s="129"/>
      <c r="K38" s="129"/>
      <c r="L38" s="129"/>
      <c r="M38" s="129"/>
      <c r="N38" s="129"/>
      <c r="O38" s="129"/>
      <c r="P38" s="129"/>
      <c r="Q38" s="84"/>
    </row>
    <row r="39" spans="2:17" x14ac:dyDescent="0.25">
      <c r="B39" s="132" t="s">
        <v>30</v>
      </c>
      <c r="C39" s="129"/>
      <c r="D39" s="100">
        <f>'12. RTSR - Historical Wholesale'!D38</f>
        <v>24974.560000000001</v>
      </c>
      <c r="E39" s="101">
        <f>'11. RTSR - UTRs &amp; Sub-Tx'!L35</f>
        <v>3.3980000000000001</v>
      </c>
      <c r="F39" s="102">
        <f t="shared" ref="F39:F50" si="7">D39*E39</f>
        <v>84863.554880000011</v>
      </c>
      <c r="G39" s="129"/>
      <c r="H39" s="100">
        <f>'12. RTSR - Historical Wholesale'!H38</f>
        <v>24974.560000000001</v>
      </c>
      <c r="I39" s="101">
        <f>'11. RTSR - UTRs &amp; Sub-Tx'!L37</f>
        <v>0.80449999999999999</v>
      </c>
      <c r="J39" s="102">
        <f t="shared" ref="J39:J50" si="8">H39*I39</f>
        <v>20092.033520000001</v>
      </c>
      <c r="K39" s="129"/>
      <c r="L39" s="100">
        <f>'12. RTSR - Historical Wholesale'!L38</f>
        <v>24974.560000000001</v>
      </c>
      <c r="M39" s="101">
        <f>'11. RTSR - UTRs &amp; Sub-Tx'!L39</f>
        <v>2.0194000000000001</v>
      </c>
      <c r="N39" s="102">
        <f t="shared" ref="N39:N50" si="9">L39*M39</f>
        <v>50433.626464000008</v>
      </c>
      <c r="O39" s="129"/>
      <c r="P39" s="93">
        <f t="shared" ref="P39:P50" si="10">J39+N39</f>
        <v>70525.659984000013</v>
      </c>
      <c r="Q39" s="84"/>
    </row>
    <row r="40" spans="2:17" x14ac:dyDescent="0.25">
      <c r="B40" s="132" t="s">
        <v>31</v>
      </c>
      <c r="C40" s="129"/>
      <c r="D40" s="100">
        <f>'12. RTSR - Historical Wholesale'!D39</f>
        <v>22954.92</v>
      </c>
      <c r="E40" s="101">
        <f t="shared" ref="E40:E50" si="11">E39</f>
        <v>3.3980000000000001</v>
      </c>
      <c r="F40" s="102">
        <f t="shared" si="7"/>
        <v>78000.818159999995</v>
      </c>
      <c r="G40" s="129"/>
      <c r="H40" s="100">
        <f>'12. RTSR - Historical Wholesale'!H39</f>
        <v>22954.92</v>
      </c>
      <c r="I40" s="101">
        <f t="shared" ref="I40:I50" si="12">I39</f>
        <v>0.80449999999999999</v>
      </c>
      <c r="J40" s="102">
        <f t="shared" si="8"/>
        <v>18467.233139999997</v>
      </c>
      <c r="K40" s="129"/>
      <c r="L40" s="100">
        <f>'12. RTSR - Historical Wholesale'!L39</f>
        <v>22954.92</v>
      </c>
      <c r="M40" s="101">
        <f t="shared" ref="M40:M50" si="13">M39</f>
        <v>2.0194000000000001</v>
      </c>
      <c r="N40" s="102">
        <f t="shared" si="9"/>
        <v>46355.165448</v>
      </c>
      <c r="O40" s="129"/>
      <c r="P40" s="93">
        <f t="shared" si="10"/>
        <v>64822.398587999996</v>
      </c>
      <c r="Q40" s="84"/>
    </row>
    <row r="41" spans="2:17" x14ac:dyDescent="0.25">
      <c r="B41" s="132" t="s">
        <v>32</v>
      </c>
      <c r="C41" s="129"/>
      <c r="D41" s="100">
        <f>'12. RTSR - Historical Wholesale'!D40</f>
        <v>22807.66</v>
      </c>
      <c r="E41" s="101">
        <f t="shared" si="11"/>
        <v>3.3980000000000001</v>
      </c>
      <c r="F41" s="102">
        <f t="shared" si="7"/>
        <v>77500.428679999997</v>
      </c>
      <c r="G41" s="129"/>
      <c r="H41" s="100">
        <f>'12. RTSR - Historical Wholesale'!H40</f>
        <v>23410.07</v>
      </c>
      <c r="I41" s="101">
        <f t="shared" si="12"/>
        <v>0.80449999999999999</v>
      </c>
      <c r="J41" s="102">
        <f t="shared" si="8"/>
        <v>18833.401314999999</v>
      </c>
      <c r="K41" s="129"/>
      <c r="L41" s="100">
        <f>'12. RTSR - Historical Wholesale'!L40</f>
        <v>23410.07</v>
      </c>
      <c r="M41" s="101">
        <f t="shared" si="13"/>
        <v>2.0194000000000001</v>
      </c>
      <c r="N41" s="102">
        <f t="shared" si="9"/>
        <v>47274.295358000003</v>
      </c>
      <c r="O41" s="129"/>
      <c r="P41" s="93">
        <f t="shared" si="10"/>
        <v>66107.696672999999</v>
      </c>
      <c r="Q41" s="84"/>
    </row>
    <row r="42" spans="2:17" x14ac:dyDescent="0.25">
      <c r="B42" s="132" t="s">
        <v>33</v>
      </c>
      <c r="C42" s="129"/>
      <c r="D42" s="100">
        <f>'12. RTSR - Historical Wholesale'!D41</f>
        <v>20132.599999999999</v>
      </c>
      <c r="E42" s="101">
        <f t="shared" si="11"/>
        <v>3.3980000000000001</v>
      </c>
      <c r="F42" s="102">
        <f t="shared" si="7"/>
        <v>68410.574800000002</v>
      </c>
      <c r="G42" s="129"/>
      <c r="H42" s="100">
        <f>'12. RTSR - Historical Wholesale'!H41</f>
        <v>20132.599999999999</v>
      </c>
      <c r="I42" s="101">
        <f t="shared" si="12"/>
        <v>0.80449999999999999</v>
      </c>
      <c r="J42" s="102">
        <f t="shared" si="8"/>
        <v>16196.676699999998</v>
      </c>
      <c r="K42" s="129"/>
      <c r="L42" s="100">
        <f>'12. RTSR - Historical Wholesale'!L41</f>
        <v>20132.599999999999</v>
      </c>
      <c r="M42" s="101">
        <f t="shared" si="13"/>
        <v>2.0194000000000001</v>
      </c>
      <c r="N42" s="102">
        <f t="shared" si="9"/>
        <v>40655.772440000001</v>
      </c>
      <c r="O42" s="129"/>
      <c r="P42" s="93">
        <f t="shared" si="10"/>
        <v>56852.449139999997</v>
      </c>
      <c r="Q42" s="84"/>
    </row>
    <row r="43" spans="2:17" x14ac:dyDescent="0.25">
      <c r="B43" s="132" t="s">
        <v>34</v>
      </c>
      <c r="C43" s="129"/>
      <c r="D43" s="100">
        <f>'12. RTSR - Historical Wholesale'!D42</f>
        <v>19511.900000000001</v>
      </c>
      <c r="E43" s="101">
        <f t="shared" si="11"/>
        <v>3.3980000000000001</v>
      </c>
      <c r="F43" s="102">
        <f t="shared" si="7"/>
        <v>66301.436200000011</v>
      </c>
      <c r="G43" s="129"/>
      <c r="H43" s="100">
        <f>'12. RTSR - Historical Wholesale'!H42</f>
        <v>19511.900000000001</v>
      </c>
      <c r="I43" s="101">
        <f t="shared" si="12"/>
        <v>0.80449999999999999</v>
      </c>
      <c r="J43" s="102">
        <f t="shared" si="8"/>
        <v>15697.323550000001</v>
      </c>
      <c r="K43" s="129"/>
      <c r="L43" s="100">
        <f>'12. RTSR - Historical Wholesale'!L42</f>
        <v>19511.900000000001</v>
      </c>
      <c r="M43" s="101">
        <f t="shared" si="13"/>
        <v>2.0194000000000001</v>
      </c>
      <c r="N43" s="102">
        <f t="shared" si="9"/>
        <v>39402.330860000002</v>
      </c>
      <c r="O43" s="129"/>
      <c r="P43" s="93">
        <f t="shared" si="10"/>
        <v>55099.654410000003</v>
      </c>
      <c r="Q43" s="84"/>
    </row>
    <row r="44" spans="2:17" x14ac:dyDescent="0.25">
      <c r="B44" s="132" t="s">
        <v>35</v>
      </c>
      <c r="C44" s="129"/>
      <c r="D44" s="100">
        <f>'12. RTSR - Historical Wholesale'!D43</f>
        <v>20614.04</v>
      </c>
      <c r="E44" s="101">
        <f t="shared" si="11"/>
        <v>3.3980000000000001</v>
      </c>
      <c r="F44" s="102">
        <f t="shared" si="7"/>
        <v>70046.507920000004</v>
      </c>
      <c r="G44" s="129"/>
      <c r="H44" s="100">
        <f>'12. RTSR - Historical Wholesale'!H43</f>
        <v>20614.04</v>
      </c>
      <c r="I44" s="101">
        <f t="shared" si="12"/>
        <v>0.80449999999999999</v>
      </c>
      <c r="J44" s="102">
        <f t="shared" si="8"/>
        <v>16583.995180000002</v>
      </c>
      <c r="K44" s="129"/>
      <c r="L44" s="100">
        <f>'12. RTSR - Historical Wholesale'!L43</f>
        <v>20614.04</v>
      </c>
      <c r="M44" s="101">
        <f t="shared" si="13"/>
        <v>2.0194000000000001</v>
      </c>
      <c r="N44" s="102">
        <f t="shared" si="9"/>
        <v>41627.992376000002</v>
      </c>
      <c r="O44" s="129"/>
      <c r="P44" s="93">
        <f t="shared" si="10"/>
        <v>58211.987556000007</v>
      </c>
      <c r="Q44" s="84"/>
    </row>
    <row r="45" spans="2:17" x14ac:dyDescent="0.25">
      <c r="B45" s="132" t="s">
        <v>36</v>
      </c>
      <c r="C45" s="129"/>
      <c r="D45" s="100">
        <f>'12. RTSR - Historical Wholesale'!D44</f>
        <v>25509.439999999999</v>
      </c>
      <c r="E45" s="101">
        <f t="shared" si="11"/>
        <v>3.3980000000000001</v>
      </c>
      <c r="F45" s="102">
        <f t="shared" si="7"/>
        <v>86681.077120000002</v>
      </c>
      <c r="G45" s="129"/>
      <c r="H45" s="100">
        <f>'12. RTSR - Historical Wholesale'!H44</f>
        <v>25509.439999999999</v>
      </c>
      <c r="I45" s="101">
        <f t="shared" si="12"/>
        <v>0.80449999999999999</v>
      </c>
      <c r="J45" s="102">
        <f t="shared" si="8"/>
        <v>20522.34448</v>
      </c>
      <c r="K45" s="129"/>
      <c r="L45" s="100">
        <f>'12. RTSR - Historical Wholesale'!L44</f>
        <v>25509.439999999999</v>
      </c>
      <c r="M45" s="101">
        <f t="shared" si="13"/>
        <v>2.0194000000000001</v>
      </c>
      <c r="N45" s="102">
        <f t="shared" si="9"/>
        <v>51513.763136000001</v>
      </c>
      <c r="O45" s="129"/>
      <c r="P45" s="93">
        <f t="shared" si="10"/>
        <v>72036.107615999994</v>
      </c>
      <c r="Q45" s="84"/>
    </row>
    <row r="46" spans="2:17" x14ac:dyDescent="0.25">
      <c r="B46" s="132" t="s">
        <v>37</v>
      </c>
      <c r="C46" s="129"/>
      <c r="D46" s="100">
        <f>'12. RTSR - Historical Wholesale'!D45</f>
        <v>25152.14</v>
      </c>
      <c r="E46" s="101">
        <f t="shared" si="11"/>
        <v>3.3980000000000001</v>
      </c>
      <c r="F46" s="102">
        <f t="shared" si="7"/>
        <v>85466.971720000001</v>
      </c>
      <c r="G46" s="129"/>
      <c r="H46" s="100">
        <f>'12. RTSR - Historical Wholesale'!H45</f>
        <v>25152.14</v>
      </c>
      <c r="I46" s="101">
        <f t="shared" si="12"/>
        <v>0.80449999999999999</v>
      </c>
      <c r="J46" s="102">
        <f t="shared" si="8"/>
        <v>20234.896629999999</v>
      </c>
      <c r="K46" s="129"/>
      <c r="L46" s="100">
        <f>'12. RTSR - Historical Wholesale'!L45</f>
        <v>25152.14</v>
      </c>
      <c r="M46" s="101">
        <f t="shared" si="13"/>
        <v>2.0194000000000001</v>
      </c>
      <c r="N46" s="102">
        <f t="shared" si="9"/>
        <v>50792.231516</v>
      </c>
      <c r="O46" s="129"/>
      <c r="P46" s="93">
        <f t="shared" si="10"/>
        <v>71027.128146000003</v>
      </c>
      <c r="Q46" s="84"/>
    </row>
    <row r="47" spans="2:17" x14ac:dyDescent="0.25">
      <c r="B47" s="132" t="s">
        <v>38</v>
      </c>
      <c r="C47" s="129"/>
      <c r="D47" s="100">
        <f>'12. RTSR - Historical Wholesale'!D46</f>
        <v>22218.84</v>
      </c>
      <c r="E47" s="101">
        <f t="shared" si="11"/>
        <v>3.3980000000000001</v>
      </c>
      <c r="F47" s="102">
        <f t="shared" si="7"/>
        <v>75499.618320000009</v>
      </c>
      <c r="G47" s="129"/>
      <c r="H47" s="100">
        <f>'12. RTSR - Historical Wholesale'!H46</f>
        <v>22218.84</v>
      </c>
      <c r="I47" s="101">
        <f t="shared" si="12"/>
        <v>0.80449999999999999</v>
      </c>
      <c r="J47" s="102">
        <f t="shared" si="8"/>
        <v>17875.056779999999</v>
      </c>
      <c r="K47" s="129"/>
      <c r="L47" s="100">
        <f>'12. RTSR - Historical Wholesale'!L46</f>
        <v>22218.84</v>
      </c>
      <c r="M47" s="101">
        <f t="shared" si="13"/>
        <v>2.0194000000000001</v>
      </c>
      <c r="N47" s="102">
        <f t="shared" si="9"/>
        <v>44868.725495999999</v>
      </c>
      <c r="O47" s="129"/>
      <c r="P47" s="93">
        <f t="shared" si="10"/>
        <v>62743.782275999998</v>
      </c>
      <c r="Q47" s="84"/>
    </row>
    <row r="48" spans="2:17" x14ac:dyDescent="0.25">
      <c r="B48" s="132" t="s">
        <v>39</v>
      </c>
      <c r="C48" s="129"/>
      <c r="D48" s="100">
        <f>'12. RTSR - Historical Wholesale'!D47</f>
        <v>21460.66</v>
      </c>
      <c r="E48" s="101">
        <f t="shared" si="11"/>
        <v>3.3980000000000001</v>
      </c>
      <c r="F48" s="102">
        <f t="shared" si="7"/>
        <v>72923.322679999997</v>
      </c>
      <c r="G48" s="129"/>
      <c r="H48" s="100">
        <f>'12. RTSR - Historical Wholesale'!H47</f>
        <v>21460.66</v>
      </c>
      <c r="I48" s="101">
        <f t="shared" si="12"/>
        <v>0.80449999999999999</v>
      </c>
      <c r="J48" s="102">
        <f t="shared" si="8"/>
        <v>17265.10097</v>
      </c>
      <c r="K48" s="129"/>
      <c r="L48" s="100">
        <f>'12. RTSR - Historical Wholesale'!L47</f>
        <v>21460.66</v>
      </c>
      <c r="M48" s="101">
        <f t="shared" si="13"/>
        <v>2.0194000000000001</v>
      </c>
      <c r="N48" s="102">
        <f t="shared" si="9"/>
        <v>43337.656803999998</v>
      </c>
      <c r="O48" s="129"/>
      <c r="P48" s="93">
        <f t="shared" si="10"/>
        <v>60602.757773999998</v>
      </c>
      <c r="Q48" s="84"/>
    </row>
    <row r="49" spans="2:17" x14ac:dyDescent="0.25">
      <c r="B49" s="132" t="s">
        <v>40</v>
      </c>
      <c r="C49" s="129"/>
      <c r="D49" s="100">
        <f>'12. RTSR - Historical Wholesale'!D48</f>
        <v>22087.759999999998</v>
      </c>
      <c r="E49" s="101">
        <f t="shared" si="11"/>
        <v>3.3980000000000001</v>
      </c>
      <c r="F49" s="102">
        <f t="shared" si="7"/>
        <v>75054.208480000001</v>
      </c>
      <c r="G49" s="129"/>
      <c r="H49" s="100">
        <f>'12. RTSR - Historical Wholesale'!H48</f>
        <v>22087.759999999998</v>
      </c>
      <c r="I49" s="101">
        <f t="shared" si="12"/>
        <v>0.80449999999999999</v>
      </c>
      <c r="J49" s="102">
        <f t="shared" si="8"/>
        <v>17769.602919999998</v>
      </c>
      <c r="K49" s="129"/>
      <c r="L49" s="100">
        <f>'12. RTSR - Historical Wholesale'!L48</f>
        <v>22087.759999999998</v>
      </c>
      <c r="M49" s="101">
        <f t="shared" si="13"/>
        <v>2.0194000000000001</v>
      </c>
      <c r="N49" s="102">
        <f t="shared" si="9"/>
        <v>44604.022543999999</v>
      </c>
      <c r="O49" s="129"/>
      <c r="P49" s="93">
        <f t="shared" si="10"/>
        <v>62373.625463999997</v>
      </c>
      <c r="Q49" s="84"/>
    </row>
    <row r="50" spans="2:17" x14ac:dyDescent="0.25">
      <c r="B50" s="132" t="s">
        <v>41</v>
      </c>
      <c r="C50" s="129"/>
      <c r="D50" s="100">
        <f>'12. RTSR - Historical Wholesale'!D49</f>
        <v>22780.54</v>
      </c>
      <c r="E50" s="101">
        <f t="shared" si="11"/>
        <v>3.3980000000000001</v>
      </c>
      <c r="F50" s="102">
        <f t="shared" si="7"/>
        <v>77408.274920000011</v>
      </c>
      <c r="G50" s="129"/>
      <c r="H50" s="100">
        <f>'12. RTSR - Historical Wholesale'!H49</f>
        <v>22780.54</v>
      </c>
      <c r="I50" s="101">
        <f t="shared" si="12"/>
        <v>0.80449999999999999</v>
      </c>
      <c r="J50" s="102">
        <f t="shared" si="8"/>
        <v>18326.94443</v>
      </c>
      <c r="K50" s="129"/>
      <c r="L50" s="100">
        <f>'12. RTSR - Historical Wholesale'!L49</f>
        <v>22780.54</v>
      </c>
      <c r="M50" s="101">
        <f t="shared" si="13"/>
        <v>2.0194000000000001</v>
      </c>
      <c r="N50" s="102">
        <f t="shared" si="9"/>
        <v>46003.022476000006</v>
      </c>
      <c r="O50" s="129"/>
      <c r="P50" s="93">
        <f t="shared" si="10"/>
        <v>64329.966906000001</v>
      </c>
      <c r="Q50" s="84"/>
    </row>
    <row r="51" spans="2:17" x14ac:dyDescent="0.25">
      <c r="B51" s="129"/>
      <c r="C51" s="129"/>
      <c r="D51" s="129"/>
      <c r="E51" s="129"/>
      <c r="F51" s="129"/>
      <c r="G51" s="129"/>
      <c r="H51" s="129"/>
      <c r="I51" s="129"/>
      <c r="J51" s="129"/>
      <c r="K51" s="129"/>
      <c r="L51" s="129"/>
      <c r="M51" s="129"/>
      <c r="N51" s="129"/>
      <c r="O51" s="129"/>
      <c r="P51" s="129"/>
      <c r="Q51" s="84"/>
    </row>
    <row r="52" spans="2:17" ht="13.8" thickBot="1" x14ac:dyDescent="0.3">
      <c r="B52" s="232" t="s">
        <v>47</v>
      </c>
      <c r="C52" s="129"/>
      <c r="D52" s="94">
        <f>SUM(D39:D50)</f>
        <v>270205.06</v>
      </c>
      <c r="E52" s="95">
        <f>IF(D52&lt;&gt;0,F52/D52,0)</f>
        <v>3.3980000000000001</v>
      </c>
      <c r="F52" s="96">
        <f>SUM(F39:F50)</f>
        <v>918156.79388000001</v>
      </c>
      <c r="G52" s="129"/>
      <c r="H52" s="94">
        <f>SUM(H39:H50)</f>
        <v>270807.46999999997</v>
      </c>
      <c r="I52" s="95">
        <f>IF(H52&lt;&gt;0,J52/H52,0)</f>
        <v>0.8045000000000001</v>
      </c>
      <c r="J52" s="96">
        <f>SUM(J39:J50)</f>
        <v>217864.60961499999</v>
      </c>
      <c r="K52" s="129"/>
      <c r="L52" s="94">
        <f>SUM(L39:L50)</f>
        <v>270807.46999999997</v>
      </c>
      <c r="M52" s="95">
        <f>IF(L52&lt;&gt;0,N52/L52,0)</f>
        <v>2.0194000000000005</v>
      </c>
      <c r="N52" s="96">
        <f>SUM(N39:N50)</f>
        <v>546868.60491800006</v>
      </c>
      <c r="O52" s="129"/>
      <c r="P52" s="96">
        <f>SUM(P39:P50)</f>
        <v>764733.21453300014</v>
      </c>
      <c r="Q52" s="84"/>
    </row>
    <row r="53" spans="2:17" x14ac:dyDescent="0.25">
      <c r="B53" s="129"/>
      <c r="C53" s="129"/>
      <c r="D53" s="129"/>
      <c r="E53" s="129"/>
      <c r="F53" s="129"/>
      <c r="G53" s="129"/>
      <c r="H53" s="129"/>
      <c r="I53" s="129"/>
      <c r="J53" s="129"/>
      <c r="K53" s="129"/>
      <c r="L53" s="129"/>
      <c r="M53" s="129"/>
      <c r="N53" s="129"/>
      <c r="O53" s="129"/>
      <c r="P53" s="129"/>
      <c r="Q53" s="84"/>
    </row>
    <row r="54" spans="2:17" x14ac:dyDescent="0.25">
      <c r="B54" s="230" t="str">
        <f>'12. RTSR - Historical Wholesale'!B53</f>
        <v>Add Extra Host Here (I)</v>
      </c>
      <c r="C54" s="129"/>
      <c r="D54" s="1927" t="s">
        <v>443</v>
      </c>
      <c r="E54" s="1927"/>
      <c r="F54" s="1927"/>
      <c r="G54" s="127"/>
      <c r="H54" s="1927" t="s">
        <v>444</v>
      </c>
      <c r="I54" s="1927"/>
      <c r="J54" s="1927"/>
      <c r="K54" s="127"/>
      <c r="L54" s="1927" t="s">
        <v>445</v>
      </c>
      <c r="M54" s="1927"/>
      <c r="N54" s="1927"/>
      <c r="O54" s="127"/>
      <c r="P54" s="774" t="s">
        <v>2360</v>
      </c>
      <c r="Q54" s="84"/>
    </row>
    <row r="55" spans="2:17" x14ac:dyDescent="0.25">
      <c r="B55" s="232"/>
      <c r="C55" s="129"/>
      <c r="D55" s="134"/>
      <c r="E55" s="134"/>
      <c r="F55" s="134"/>
      <c r="G55" s="129"/>
      <c r="H55" s="134"/>
      <c r="I55" s="134"/>
      <c r="J55" s="134"/>
      <c r="K55" s="129"/>
      <c r="L55" s="134"/>
      <c r="M55" s="134"/>
      <c r="N55" s="134"/>
      <c r="O55" s="129"/>
      <c r="P55" s="134"/>
      <c r="Q55" s="84"/>
    </row>
    <row r="56" spans="2:17" x14ac:dyDescent="0.25">
      <c r="B56" s="232" t="s">
        <v>446</v>
      </c>
      <c r="C56" s="129"/>
      <c r="D56" s="134" t="s">
        <v>447</v>
      </c>
      <c r="E56" s="134" t="s">
        <v>343</v>
      </c>
      <c r="F56" s="134" t="s">
        <v>145</v>
      </c>
      <c r="G56" s="129"/>
      <c r="H56" s="134" t="s">
        <v>447</v>
      </c>
      <c r="I56" s="134" t="s">
        <v>343</v>
      </c>
      <c r="J56" s="134" t="s">
        <v>145</v>
      </c>
      <c r="K56" s="129"/>
      <c r="L56" s="134" t="s">
        <v>447</v>
      </c>
      <c r="M56" s="134" t="s">
        <v>343</v>
      </c>
      <c r="N56" s="134" t="s">
        <v>145</v>
      </c>
      <c r="O56" s="129"/>
      <c r="P56" s="134" t="s">
        <v>145</v>
      </c>
      <c r="Q56" s="84"/>
    </row>
    <row r="57" spans="2:17" x14ac:dyDescent="0.25">
      <c r="B57" s="129"/>
      <c r="C57" s="129"/>
      <c r="D57" s="129"/>
      <c r="E57" s="129"/>
      <c r="F57" s="129"/>
      <c r="G57" s="129"/>
      <c r="H57" s="129"/>
      <c r="I57" s="129"/>
      <c r="J57" s="129"/>
      <c r="K57" s="129"/>
      <c r="L57" s="129"/>
      <c r="M57" s="129"/>
      <c r="N57" s="129"/>
      <c r="O57" s="129"/>
      <c r="P57" s="129"/>
      <c r="Q57" s="84"/>
    </row>
    <row r="58" spans="2:17" x14ac:dyDescent="0.25">
      <c r="B58" s="132" t="s">
        <v>30</v>
      </c>
      <c r="C58" s="129"/>
      <c r="D58" s="100">
        <f>'12. RTSR - Historical Wholesale'!D57</f>
        <v>0</v>
      </c>
      <c r="E58" s="101">
        <f>'11. RTSR - UTRs &amp; Sub-Tx'!L50</f>
        <v>0</v>
      </c>
      <c r="F58" s="102">
        <f t="shared" ref="F58:F69" si="14">D58*E58</f>
        <v>0</v>
      </c>
      <c r="G58" s="129"/>
      <c r="H58" s="100">
        <f>'12. RTSR - Historical Wholesale'!H57</f>
        <v>0</v>
      </c>
      <c r="I58" s="101">
        <f>'11. RTSR - UTRs &amp; Sub-Tx'!L52</f>
        <v>0</v>
      </c>
      <c r="J58" s="102">
        <f t="shared" ref="J58:J69" si="15">H58*I58</f>
        <v>0</v>
      </c>
      <c r="K58" s="129"/>
      <c r="L58" s="100">
        <f>'12. RTSR - Historical Wholesale'!L57</f>
        <v>0</v>
      </c>
      <c r="M58" s="101">
        <f>'11. RTSR - UTRs &amp; Sub-Tx'!L54</f>
        <v>0</v>
      </c>
      <c r="N58" s="102">
        <f t="shared" ref="N58:N69" si="16">L58*M58</f>
        <v>0</v>
      </c>
      <c r="O58" s="129"/>
      <c r="P58" s="93">
        <f t="shared" ref="P58:P69" si="17">J58+N58</f>
        <v>0</v>
      </c>
      <c r="Q58" s="84"/>
    </row>
    <row r="59" spans="2:17" x14ac:dyDescent="0.25">
      <c r="B59" s="132" t="s">
        <v>31</v>
      </c>
      <c r="C59" s="129"/>
      <c r="D59" s="100">
        <f>'12. RTSR - Historical Wholesale'!D58</f>
        <v>0</v>
      </c>
      <c r="E59" s="101">
        <f t="shared" ref="E59:E69" si="18">E58</f>
        <v>0</v>
      </c>
      <c r="F59" s="102">
        <f t="shared" si="14"/>
        <v>0</v>
      </c>
      <c r="G59" s="129"/>
      <c r="H59" s="100">
        <f>'12. RTSR - Historical Wholesale'!H58</f>
        <v>0</v>
      </c>
      <c r="I59" s="101">
        <f t="shared" ref="I59:I69" si="19">I58</f>
        <v>0</v>
      </c>
      <c r="J59" s="102">
        <f t="shared" si="15"/>
        <v>0</v>
      </c>
      <c r="K59" s="129"/>
      <c r="L59" s="100">
        <f>'12. RTSR - Historical Wholesale'!L58</f>
        <v>0</v>
      </c>
      <c r="M59" s="101">
        <f t="shared" ref="M59:M69" si="20">M58</f>
        <v>0</v>
      </c>
      <c r="N59" s="102">
        <f t="shared" si="16"/>
        <v>0</v>
      </c>
      <c r="O59" s="129"/>
      <c r="P59" s="93">
        <f t="shared" si="17"/>
        <v>0</v>
      </c>
      <c r="Q59" s="84"/>
    </row>
    <row r="60" spans="2:17" x14ac:dyDescent="0.25">
      <c r="B60" s="132" t="s">
        <v>32</v>
      </c>
      <c r="C60" s="129"/>
      <c r="D60" s="100">
        <f>'12. RTSR - Historical Wholesale'!D59</f>
        <v>0</v>
      </c>
      <c r="E60" s="101">
        <f t="shared" si="18"/>
        <v>0</v>
      </c>
      <c r="F60" s="102">
        <f t="shared" si="14"/>
        <v>0</v>
      </c>
      <c r="G60" s="129"/>
      <c r="H60" s="100">
        <f>'12. RTSR - Historical Wholesale'!H59</f>
        <v>0</v>
      </c>
      <c r="I60" s="101">
        <f t="shared" si="19"/>
        <v>0</v>
      </c>
      <c r="J60" s="102">
        <f t="shared" si="15"/>
        <v>0</v>
      </c>
      <c r="K60" s="129"/>
      <c r="L60" s="100">
        <f>'12. RTSR - Historical Wholesale'!L59</f>
        <v>0</v>
      </c>
      <c r="M60" s="101">
        <f t="shared" si="20"/>
        <v>0</v>
      </c>
      <c r="N60" s="102">
        <f t="shared" si="16"/>
        <v>0</v>
      </c>
      <c r="O60" s="129"/>
      <c r="P60" s="93">
        <f t="shared" si="17"/>
        <v>0</v>
      </c>
      <c r="Q60" s="84"/>
    </row>
    <row r="61" spans="2:17" x14ac:dyDescent="0.25">
      <c r="B61" s="132" t="s">
        <v>33</v>
      </c>
      <c r="C61" s="129"/>
      <c r="D61" s="100">
        <f>'12. RTSR - Historical Wholesale'!D60</f>
        <v>0</v>
      </c>
      <c r="E61" s="101">
        <f t="shared" si="18"/>
        <v>0</v>
      </c>
      <c r="F61" s="102">
        <f t="shared" si="14"/>
        <v>0</v>
      </c>
      <c r="G61" s="129"/>
      <c r="H61" s="100">
        <f>'12. RTSR - Historical Wholesale'!H60</f>
        <v>0</v>
      </c>
      <c r="I61" s="101">
        <f t="shared" si="19"/>
        <v>0</v>
      </c>
      <c r="J61" s="102">
        <f t="shared" si="15"/>
        <v>0</v>
      </c>
      <c r="K61" s="129"/>
      <c r="L61" s="100">
        <f>'12. RTSR - Historical Wholesale'!L60</f>
        <v>0</v>
      </c>
      <c r="M61" s="101">
        <f t="shared" si="20"/>
        <v>0</v>
      </c>
      <c r="N61" s="102">
        <f t="shared" si="16"/>
        <v>0</v>
      </c>
      <c r="O61" s="129"/>
      <c r="P61" s="93">
        <f t="shared" si="17"/>
        <v>0</v>
      </c>
      <c r="Q61" s="84"/>
    </row>
    <row r="62" spans="2:17" x14ac:dyDescent="0.25">
      <c r="B62" s="132" t="s">
        <v>34</v>
      </c>
      <c r="C62" s="129"/>
      <c r="D62" s="100">
        <f>'12. RTSR - Historical Wholesale'!D61</f>
        <v>0</v>
      </c>
      <c r="E62" s="101">
        <f t="shared" si="18"/>
        <v>0</v>
      </c>
      <c r="F62" s="102">
        <f t="shared" si="14"/>
        <v>0</v>
      </c>
      <c r="G62" s="129"/>
      <c r="H62" s="100">
        <f>'12. RTSR - Historical Wholesale'!H61</f>
        <v>0</v>
      </c>
      <c r="I62" s="101">
        <f t="shared" si="19"/>
        <v>0</v>
      </c>
      <c r="J62" s="102">
        <f t="shared" si="15"/>
        <v>0</v>
      </c>
      <c r="K62" s="129"/>
      <c r="L62" s="100">
        <f>'12. RTSR - Historical Wholesale'!L61</f>
        <v>0</v>
      </c>
      <c r="M62" s="101">
        <f t="shared" si="20"/>
        <v>0</v>
      </c>
      <c r="N62" s="102">
        <f t="shared" si="16"/>
        <v>0</v>
      </c>
      <c r="O62" s="129"/>
      <c r="P62" s="93">
        <f t="shared" si="17"/>
        <v>0</v>
      </c>
      <c r="Q62" s="84"/>
    </row>
    <row r="63" spans="2:17" x14ac:dyDescent="0.25">
      <c r="B63" s="132" t="s">
        <v>35</v>
      </c>
      <c r="C63" s="129"/>
      <c r="D63" s="100">
        <f>'12. RTSR - Historical Wholesale'!D62</f>
        <v>0</v>
      </c>
      <c r="E63" s="101">
        <f t="shared" si="18"/>
        <v>0</v>
      </c>
      <c r="F63" s="102">
        <f t="shared" si="14"/>
        <v>0</v>
      </c>
      <c r="G63" s="129"/>
      <c r="H63" s="100">
        <f>'12. RTSR - Historical Wholesale'!H62</f>
        <v>0</v>
      </c>
      <c r="I63" s="101">
        <f t="shared" si="19"/>
        <v>0</v>
      </c>
      <c r="J63" s="102">
        <f t="shared" si="15"/>
        <v>0</v>
      </c>
      <c r="K63" s="129"/>
      <c r="L63" s="100">
        <f>'12. RTSR - Historical Wholesale'!L62</f>
        <v>0</v>
      </c>
      <c r="M63" s="101">
        <f t="shared" si="20"/>
        <v>0</v>
      </c>
      <c r="N63" s="102">
        <f t="shared" si="16"/>
        <v>0</v>
      </c>
      <c r="O63" s="129"/>
      <c r="P63" s="93">
        <f t="shared" si="17"/>
        <v>0</v>
      </c>
      <c r="Q63" s="84"/>
    </row>
    <row r="64" spans="2:17" x14ac:dyDescent="0.25">
      <c r="B64" s="132" t="s">
        <v>36</v>
      </c>
      <c r="C64" s="129"/>
      <c r="D64" s="100">
        <f>'12. RTSR - Historical Wholesale'!D63</f>
        <v>0</v>
      </c>
      <c r="E64" s="101">
        <f t="shared" si="18"/>
        <v>0</v>
      </c>
      <c r="F64" s="102">
        <f t="shared" si="14"/>
        <v>0</v>
      </c>
      <c r="G64" s="129"/>
      <c r="H64" s="100">
        <f>'12. RTSR - Historical Wholesale'!H63</f>
        <v>0</v>
      </c>
      <c r="I64" s="101">
        <f t="shared" si="19"/>
        <v>0</v>
      </c>
      <c r="J64" s="102">
        <f t="shared" si="15"/>
        <v>0</v>
      </c>
      <c r="K64" s="129"/>
      <c r="L64" s="100">
        <f>'12. RTSR - Historical Wholesale'!L63</f>
        <v>0</v>
      </c>
      <c r="M64" s="101">
        <f t="shared" si="20"/>
        <v>0</v>
      </c>
      <c r="N64" s="102">
        <f t="shared" si="16"/>
        <v>0</v>
      </c>
      <c r="O64" s="129"/>
      <c r="P64" s="93">
        <f t="shared" si="17"/>
        <v>0</v>
      </c>
      <c r="Q64" s="84"/>
    </row>
    <row r="65" spans="2:17" x14ac:dyDescent="0.25">
      <c r="B65" s="132" t="s">
        <v>37</v>
      </c>
      <c r="C65" s="129"/>
      <c r="D65" s="100">
        <f>'12. RTSR - Historical Wholesale'!D64</f>
        <v>0</v>
      </c>
      <c r="E65" s="101">
        <f t="shared" si="18"/>
        <v>0</v>
      </c>
      <c r="F65" s="102">
        <f t="shared" si="14"/>
        <v>0</v>
      </c>
      <c r="G65" s="129"/>
      <c r="H65" s="100">
        <f>'12. RTSR - Historical Wholesale'!H64</f>
        <v>0</v>
      </c>
      <c r="I65" s="101">
        <f t="shared" si="19"/>
        <v>0</v>
      </c>
      <c r="J65" s="102">
        <f t="shared" si="15"/>
        <v>0</v>
      </c>
      <c r="K65" s="129"/>
      <c r="L65" s="100">
        <f>'12. RTSR - Historical Wholesale'!L64</f>
        <v>0</v>
      </c>
      <c r="M65" s="101">
        <f t="shared" si="20"/>
        <v>0</v>
      </c>
      <c r="N65" s="102">
        <f t="shared" si="16"/>
        <v>0</v>
      </c>
      <c r="O65" s="129"/>
      <c r="P65" s="93">
        <f t="shared" si="17"/>
        <v>0</v>
      </c>
      <c r="Q65" s="84"/>
    </row>
    <row r="66" spans="2:17" x14ac:dyDescent="0.25">
      <c r="B66" s="132" t="s">
        <v>38</v>
      </c>
      <c r="C66" s="129"/>
      <c r="D66" s="100">
        <f>'12. RTSR - Historical Wholesale'!D65</f>
        <v>0</v>
      </c>
      <c r="E66" s="101">
        <f t="shared" si="18"/>
        <v>0</v>
      </c>
      <c r="F66" s="102">
        <f t="shared" si="14"/>
        <v>0</v>
      </c>
      <c r="G66" s="129"/>
      <c r="H66" s="100">
        <f>'12. RTSR - Historical Wholesale'!H65</f>
        <v>0</v>
      </c>
      <c r="I66" s="101">
        <f t="shared" si="19"/>
        <v>0</v>
      </c>
      <c r="J66" s="102">
        <f t="shared" si="15"/>
        <v>0</v>
      </c>
      <c r="K66" s="129"/>
      <c r="L66" s="100">
        <f>'12. RTSR - Historical Wholesale'!L65</f>
        <v>0</v>
      </c>
      <c r="M66" s="101">
        <f t="shared" si="20"/>
        <v>0</v>
      </c>
      <c r="N66" s="102">
        <f t="shared" si="16"/>
        <v>0</v>
      </c>
      <c r="O66" s="129"/>
      <c r="P66" s="93">
        <f t="shared" si="17"/>
        <v>0</v>
      </c>
      <c r="Q66" s="84"/>
    </row>
    <row r="67" spans="2:17" x14ac:dyDescent="0.25">
      <c r="B67" s="132" t="s">
        <v>39</v>
      </c>
      <c r="C67" s="129"/>
      <c r="D67" s="100">
        <f>'12. RTSR - Historical Wholesale'!D66</f>
        <v>0</v>
      </c>
      <c r="E67" s="101">
        <f t="shared" si="18"/>
        <v>0</v>
      </c>
      <c r="F67" s="102">
        <f t="shared" si="14"/>
        <v>0</v>
      </c>
      <c r="G67" s="129"/>
      <c r="H67" s="100">
        <f>'12. RTSR - Historical Wholesale'!H66</f>
        <v>0</v>
      </c>
      <c r="I67" s="101">
        <f t="shared" si="19"/>
        <v>0</v>
      </c>
      <c r="J67" s="102">
        <f t="shared" si="15"/>
        <v>0</v>
      </c>
      <c r="K67" s="129"/>
      <c r="L67" s="100">
        <f>'12. RTSR - Historical Wholesale'!L66</f>
        <v>0</v>
      </c>
      <c r="M67" s="101">
        <f t="shared" si="20"/>
        <v>0</v>
      </c>
      <c r="N67" s="102">
        <f t="shared" si="16"/>
        <v>0</v>
      </c>
      <c r="O67" s="129"/>
      <c r="P67" s="93">
        <f t="shared" si="17"/>
        <v>0</v>
      </c>
      <c r="Q67" s="84"/>
    </row>
    <row r="68" spans="2:17" x14ac:dyDescent="0.25">
      <c r="B68" s="132" t="s">
        <v>40</v>
      </c>
      <c r="C68" s="129"/>
      <c r="D68" s="100">
        <f>'12. RTSR - Historical Wholesale'!D67</f>
        <v>0</v>
      </c>
      <c r="E68" s="101">
        <f t="shared" si="18"/>
        <v>0</v>
      </c>
      <c r="F68" s="102">
        <f t="shared" si="14"/>
        <v>0</v>
      </c>
      <c r="G68" s="129"/>
      <c r="H68" s="100">
        <f>'12. RTSR - Historical Wholesale'!H67</f>
        <v>0</v>
      </c>
      <c r="I68" s="101">
        <f t="shared" si="19"/>
        <v>0</v>
      </c>
      <c r="J68" s="102">
        <f t="shared" si="15"/>
        <v>0</v>
      </c>
      <c r="K68" s="129"/>
      <c r="L68" s="100">
        <f>'12. RTSR - Historical Wholesale'!L67</f>
        <v>0</v>
      </c>
      <c r="M68" s="101">
        <f t="shared" si="20"/>
        <v>0</v>
      </c>
      <c r="N68" s="102">
        <f t="shared" si="16"/>
        <v>0</v>
      </c>
      <c r="O68" s="129"/>
      <c r="P68" s="93">
        <f t="shared" si="17"/>
        <v>0</v>
      </c>
      <c r="Q68" s="84"/>
    </row>
    <row r="69" spans="2:17" x14ac:dyDescent="0.25">
      <c r="B69" s="132" t="s">
        <v>41</v>
      </c>
      <c r="C69" s="129"/>
      <c r="D69" s="100">
        <f>'12. RTSR - Historical Wholesale'!D68</f>
        <v>0</v>
      </c>
      <c r="E69" s="101">
        <f t="shared" si="18"/>
        <v>0</v>
      </c>
      <c r="F69" s="102">
        <f t="shared" si="14"/>
        <v>0</v>
      </c>
      <c r="G69" s="129"/>
      <c r="H69" s="100">
        <f>'12. RTSR - Historical Wholesale'!H68</f>
        <v>0</v>
      </c>
      <c r="I69" s="101">
        <f t="shared" si="19"/>
        <v>0</v>
      </c>
      <c r="J69" s="102">
        <f t="shared" si="15"/>
        <v>0</v>
      </c>
      <c r="K69" s="129"/>
      <c r="L69" s="100">
        <f>'12. RTSR - Historical Wholesale'!L68</f>
        <v>0</v>
      </c>
      <c r="M69" s="101">
        <f t="shared" si="20"/>
        <v>0</v>
      </c>
      <c r="N69" s="102">
        <f t="shared" si="16"/>
        <v>0</v>
      </c>
      <c r="O69" s="129"/>
      <c r="P69" s="93">
        <f t="shared" si="17"/>
        <v>0</v>
      </c>
      <c r="Q69" s="84"/>
    </row>
    <row r="70" spans="2:17" x14ac:dyDescent="0.25">
      <c r="B70" s="129"/>
      <c r="C70" s="129"/>
      <c r="D70" s="129"/>
      <c r="E70" s="129"/>
      <c r="F70" s="129"/>
      <c r="G70" s="129"/>
      <c r="H70" s="129"/>
      <c r="I70" s="129"/>
      <c r="J70" s="129"/>
      <c r="K70" s="129"/>
      <c r="L70" s="129"/>
      <c r="M70" s="129"/>
      <c r="N70" s="129"/>
      <c r="O70" s="129"/>
      <c r="P70" s="129"/>
      <c r="Q70" s="84"/>
    </row>
    <row r="71" spans="2:17" ht="13.8" thickBot="1" x14ac:dyDescent="0.3">
      <c r="B71" s="232" t="s">
        <v>47</v>
      </c>
      <c r="C71" s="129"/>
      <c r="D71" s="94">
        <f>SUM(D58:D69)</f>
        <v>0</v>
      </c>
      <c r="E71" s="95">
        <f>IF(D71&lt;&gt;0,F71/D71,0)</f>
        <v>0</v>
      </c>
      <c r="F71" s="96">
        <f>SUM(F58:F69)</f>
        <v>0</v>
      </c>
      <c r="G71" s="129"/>
      <c r="H71" s="94">
        <f>SUM(H58:H69)</f>
        <v>0</v>
      </c>
      <c r="I71" s="95">
        <f>IF(H71&lt;&gt;0,J71/H71,0)</f>
        <v>0</v>
      </c>
      <c r="J71" s="96">
        <f>SUM(J58:J69)</f>
        <v>0</v>
      </c>
      <c r="K71" s="129"/>
      <c r="L71" s="94">
        <f>SUM(L58:L69)</f>
        <v>0</v>
      </c>
      <c r="M71" s="95">
        <f>IF(L71&lt;&gt;0,N71/L71,0)</f>
        <v>0</v>
      </c>
      <c r="N71" s="96">
        <f>SUM(N58:N69)</f>
        <v>0</v>
      </c>
      <c r="O71" s="129"/>
      <c r="P71" s="96">
        <f>SUM(P58:P69)</f>
        <v>0</v>
      </c>
      <c r="Q71" s="84"/>
    </row>
    <row r="72" spans="2:17" x14ac:dyDescent="0.25">
      <c r="B72" s="129"/>
      <c r="C72" s="129"/>
      <c r="D72" s="129"/>
      <c r="E72" s="129"/>
      <c r="F72" s="129"/>
      <c r="G72" s="129"/>
      <c r="H72" s="129"/>
      <c r="I72" s="129"/>
      <c r="J72" s="129"/>
      <c r="K72" s="129"/>
      <c r="L72" s="129"/>
      <c r="M72" s="129"/>
      <c r="N72" s="129"/>
      <c r="O72" s="129"/>
      <c r="P72" s="129"/>
      <c r="Q72" s="84"/>
    </row>
    <row r="73" spans="2:17" x14ac:dyDescent="0.25">
      <c r="B73" s="230" t="str">
        <f>'12. RTSR - Historical Wholesale'!B72</f>
        <v>Add Extra Host Here (II)</v>
      </c>
      <c r="C73" s="129"/>
      <c r="D73" s="1927" t="s">
        <v>443</v>
      </c>
      <c r="E73" s="1927"/>
      <c r="F73" s="1927"/>
      <c r="G73" s="127"/>
      <c r="H73" s="1927" t="s">
        <v>444</v>
      </c>
      <c r="I73" s="1927"/>
      <c r="J73" s="1927"/>
      <c r="K73" s="127"/>
      <c r="L73" s="1927" t="s">
        <v>445</v>
      </c>
      <c r="M73" s="1927"/>
      <c r="N73" s="1927"/>
      <c r="O73" s="127"/>
      <c r="P73" s="774" t="s">
        <v>2360</v>
      </c>
      <c r="Q73" s="84"/>
    </row>
    <row r="74" spans="2:17" x14ac:dyDescent="0.25">
      <c r="B74" s="232"/>
      <c r="C74" s="129"/>
      <c r="D74" s="134"/>
      <c r="E74" s="134"/>
      <c r="F74" s="134"/>
      <c r="G74" s="129"/>
      <c r="H74" s="134"/>
      <c r="I74" s="134"/>
      <c r="J74" s="134"/>
      <c r="K74" s="129"/>
      <c r="L74" s="134"/>
      <c r="M74" s="134"/>
      <c r="N74" s="134"/>
      <c r="O74" s="129"/>
      <c r="P74" s="134"/>
      <c r="Q74" s="84"/>
    </row>
    <row r="75" spans="2:17" x14ac:dyDescent="0.25">
      <c r="B75" s="232" t="s">
        <v>446</v>
      </c>
      <c r="C75" s="129"/>
      <c r="D75" s="134" t="s">
        <v>447</v>
      </c>
      <c r="E75" s="134" t="s">
        <v>343</v>
      </c>
      <c r="F75" s="134" t="s">
        <v>145</v>
      </c>
      <c r="G75" s="129"/>
      <c r="H75" s="134" t="s">
        <v>447</v>
      </c>
      <c r="I75" s="134" t="s">
        <v>343</v>
      </c>
      <c r="J75" s="134" t="s">
        <v>145</v>
      </c>
      <c r="K75" s="129"/>
      <c r="L75" s="134" t="s">
        <v>447</v>
      </c>
      <c r="M75" s="134" t="s">
        <v>343</v>
      </c>
      <c r="N75" s="134" t="s">
        <v>145</v>
      </c>
      <c r="O75" s="129"/>
      <c r="P75" s="134" t="s">
        <v>145</v>
      </c>
      <c r="Q75" s="84"/>
    </row>
    <row r="76" spans="2:17" x14ac:dyDescent="0.25">
      <c r="B76" s="129"/>
      <c r="C76" s="129"/>
      <c r="D76" s="129"/>
      <c r="E76" s="129"/>
      <c r="F76" s="129"/>
      <c r="G76" s="129"/>
      <c r="H76" s="129"/>
      <c r="I76" s="129"/>
      <c r="J76" s="129"/>
      <c r="K76" s="129"/>
      <c r="L76" s="129"/>
      <c r="M76" s="129"/>
      <c r="N76" s="129"/>
      <c r="O76" s="129"/>
      <c r="P76" s="129"/>
      <c r="Q76" s="84"/>
    </row>
    <row r="77" spans="2:17" x14ac:dyDescent="0.25">
      <c r="B77" s="132" t="s">
        <v>30</v>
      </c>
      <c r="C77" s="129"/>
      <c r="D77" s="100">
        <f>'12. RTSR - Historical Wholesale'!D76</f>
        <v>0</v>
      </c>
      <c r="E77" s="101">
        <f>'11. RTSR - UTRs &amp; Sub-Tx'!L65</f>
        <v>0</v>
      </c>
      <c r="F77" s="102">
        <f t="shared" ref="F77:F88" si="21">D77*E77</f>
        <v>0</v>
      </c>
      <c r="G77" s="129"/>
      <c r="H77" s="100">
        <f>'12. RTSR - Historical Wholesale'!H76</f>
        <v>0</v>
      </c>
      <c r="I77" s="101">
        <f>'11. RTSR - UTRs &amp; Sub-Tx'!L67</f>
        <v>0</v>
      </c>
      <c r="J77" s="102">
        <f t="shared" ref="J77:J88" si="22">H77*I77</f>
        <v>0</v>
      </c>
      <c r="K77" s="129"/>
      <c r="L77" s="100">
        <f>'12. RTSR - Historical Wholesale'!L76</f>
        <v>0</v>
      </c>
      <c r="M77" s="101">
        <f>'11. RTSR - UTRs &amp; Sub-Tx'!L69</f>
        <v>0</v>
      </c>
      <c r="N77" s="102">
        <f t="shared" ref="N77:N88" si="23">L77*M77</f>
        <v>0</v>
      </c>
      <c r="O77" s="129"/>
      <c r="P77" s="93">
        <f t="shared" ref="P77:P88" si="24">J77+N77</f>
        <v>0</v>
      </c>
      <c r="Q77" s="84"/>
    </row>
    <row r="78" spans="2:17" x14ac:dyDescent="0.25">
      <c r="B78" s="132" t="s">
        <v>31</v>
      </c>
      <c r="C78" s="129"/>
      <c r="D78" s="100">
        <f>'12. RTSR - Historical Wholesale'!D77</f>
        <v>0</v>
      </c>
      <c r="E78" s="101">
        <f t="shared" ref="E78:E88" si="25">E77</f>
        <v>0</v>
      </c>
      <c r="F78" s="102">
        <f t="shared" si="21"/>
        <v>0</v>
      </c>
      <c r="G78" s="129"/>
      <c r="H78" s="100">
        <f>'12. RTSR - Historical Wholesale'!H77</f>
        <v>0</v>
      </c>
      <c r="I78" s="101">
        <f t="shared" ref="I78:I88" si="26">I77</f>
        <v>0</v>
      </c>
      <c r="J78" s="102">
        <f t="shared" si="22"/>
        <v>0</v>
      </c>
      <c r="K78" s="129"/>
      <c r="L78" s="100">
        <f>'12. RTSR - Historical Wholesale'!L77</f>
        <v>0</v>
      </c>
      <c r="M78" s="101">
        <f t="shared" ref="M78:M88" si="27">M77</f>
        <v>0</v>
      </c>
      <c r="N78" s="102">
        <f t="shared" si="23"/>
        <v>0</v>
      </c>
      <c r="O78" s="129"/>
      <c r="P78" s="93">
        <f t="shared" si="24"/>
        <v>0</v>
      </c>
      <c r="Q78" s="84"/>
    </row>
    <row r="79" spans="2:17" x14ac:dyDescent="0.25">
      <c r="B79" s="132" t="s">
        <v>32</v>
      </c>
      <c r="C79" s="129"/>
      <c r="D79" s="100">
        <f>'12. RTSR - Historical Wholesale'!D78</f>
        <v>0</v>
      </c>
      <c r="E79" s="101">
        <f t="shared" si="25"/>
        <v>0</v>
      </c>
      <c r="F79" s="102">
        <f t="shared" si="21"/>
        <v>0</v>
      </c>
      <c r="G79" s="129"/>
      <c r="H79" s="100">
        <f>'12. RTSR - Historical Wholesale'!H78</f>
        <v>0</v>
      </c>
      <c r="I79" s="101">
        <f t="shared" si="26"/>
        <v>0</v>
      </c>
      <c r="J79" s="102">
        <f t="shared" si="22"/>
        <v>0</v>
      </c>
      <c r="K79" s="129"/>
      <c r="L79" s="100">
        <f>'12. RTSR - Historical Wholesale'!L78</f>
        <v>0</v>
      </c>
      <c r="M79" s="101">
        <f t="shared" si="27"/>
        <v>0</v>
      </c>
      <c r="N79" s="102">
        <f t="shared" si="23"/>
        <v>0</v>
      </c>
      <c r="O79" s="129"/>
      <c r="P79" s="93">
        <f t="shared" si="24"/>
        <v>0</v>
      </c>
      <c r="Q79" s="84"/>
    </row>
    <row r="80" spans="2:17" x14ac:dyDescent="0.25">
      <c r="B80" s="132" t="s">
        <v>33</v>
      </c>
      <c r="C80" s="129"/>
      <c r="D80" s="100">
        <f>'12. RTSR - Historical Wholesale'!D79</f>
        <v>0</v>
      </c>
      <c r="E80" s="101">
        <f t="shared" si="25"/>
        <v>0</v>
      </c>
      <c r="F80" s="102">
        <f t="shared" si="21"/>
        <v>0</v>
      </c>
      <c r="G80" s="129"/>
      <c r="H80" s="100">
        <f>'12. RTSR - Historical Wholesale'!H79</f>
        <v>0</v>
      </c>
      <c r="I80" s="101">
        <f t="shared" si="26"/>
        <v>0</v>
      </c>
      <c r="J80" s="102">
        <f t="shared" si="22"/>
        <v>0</v>
      </c>
      <c r="K80" s="129"/>
      <c r="L80" s="100">
        <f>'12. RTSR - Historical Wholesale'!L79</f>
        <v>0</v>
      </c>
      <c r="M80" s="101">
        <f t="shared" si="27"/>
        <v>0</v>
      </c>
      <c r="N80" s="102">
        <f t="shared" si="23"/>
        <v>0</v>
      </c>
      <c r="O80" s="129"/>
      <c r="P80" s="93">
        <f t="shared" si="24"/>
        <v>0</v>
      </c>
      <c r="Q80" s="84"/>
    </row>
    <row r="81" spans="2:17" x14ac:dyDescent="0.25">
      <c r="B81" s="132" t="s">
        <v>34</v>
      </c>
      <c r="C81" s="129"/>
      <c r="D81" s="100">
        <f>'12. RTSR - Historical Wholesale'!D80</f>
        <v>0</v>
      </c>
      <c r="E81" s="101">
        <f t="shared" si="25"/>
        <v>0</v>
      </c>
      <c r="F81" s="102">
        <f t="shared" si="21"/>
        <v>0</v>
      </c>
      <c r="G81" s="129"/>
      <c r="H81" s="100">
        <f>'12. RTSR - Historical Wholesale'!H80</f>
        <v>0</v>
      </c>
      <c r="I81" s="101">
        <f t="shared" si="26"/>
        <v>0</v>
      </c>
      <c r="J81" s="102">
        <f t="shared" si="22"/>
        <v>0</v>
      </c>
      <c r="K81" s="129"/>
      <c r="L81" s="100">
        <f>'12. RTSR - Historical Wholesale'!L80</f>
        <v>0</v>
      </c>
      <c r="M81" s="101">
        <f t="shared" si="27"/>
        <v>0</v>
      </c>
      <c r="N81" s="102">
        <f t="shared" si="23"/>
        <v>0</v>
      </c>
      <c r="O81" s="129"/>
      <c r="P81" s="93">
        <f t="shared" si="24"/>
        <v>0</v>
      </c>
      <c r="Q81" s="84"/>
    </row>
    <row r="82" spans="2:17" x14ac:dyDescent="0.25">
      <c r="B82" s="132" t="s">
        <v>35</v>
      </c>
      <c r="C82" s="129"/>
      <c r="D82" s="100">
        <f>'12. RTSR - Historical Wholesale'!D81</f>
        <v>0</v>
      </c>
      <c r="E82" s="101">
        <f t="shared" si="25"/>
        <v>0</v>
      </c>
      <c r="F82" s="102">
        <f t="shared" si="21"/>
        <v>0</v>
      </c>
      <c r="G82" s="129"/>
      <c r="H82" s="100">
        <f>'12. RTSR - Historical Wholesale'!H81</f>
        <v>0</v>
      </c>
      <c r="I82" s="101">
        <f t="shared" si="26"/>
        <v>0</v>
      </c>
      <c r="J82" s="102">
        <f t="shared" si="22"/>
        <v>0</v>
      </c>
      <c r="K82" s="129"/>
      <c r="L82" s="100">
        <f>'12. RTSR - Historical Wholesale'!L81</f>
        <v>0</v>
      </c>
      <c r="M82" s="101">
        <f t="shared" si="27"/>
        <v>0</v>
      </c>
      <c r="N82" s="102">
        <f t="shared" si="23"/>
        <v>0</v>
      </c>
      <c r="O82" s="129"/>
      <c r="P82" s="93">
        <f t="shared" si="24"/>
        <v>0</v>
      </c>
      <c r="Q82" s="84"/>
    </row>
    <row r="83" spans="2:17" x14ac:dyDescent="0.25">
      <c r="B83" s="132" t="s">
        <v>36</v>
      </c>
      <c r="C83" s="129"/>
      <c r="D83" s="100">
        <f>'12. RTSR - Historical Wholesale'!D82</f>
        <v>0</v>
      </c>
      <c r="E83" s="101">
        <f t="shared" si="25"/>
        <v>0</v>
      </c>
      <c r="F83" s="102">
        <f t="shared" si="21"/>
        <v>0</v>
      </c>
      <c r="G83" s="129"/>
      <c r="H83" s="100">
        <f>'12. RTSR - Historical Wholesale'!H82</f>
        <v>0</v>
      </c>
      <c r="I83" s="101">
        <f t="shared" si="26"/>
        <v>0</v>
      </c>
      <c r="J83" s="102">
        <f t="shared" si="22"/>
        <v>0</v>
      </c>
      <c r="K83" s="129"/>
      <c r="L83" s="100">
        <f>'12. RTSR - Historical Wholesale'!L82</f>
        <v>0</v>
      </c>
      <c r="M83" s="101">
        <f t="shared" si="27"/>
        <v>0</v>
      </c>
      <c r="N83" s="102">
        <f t="shared" si="23"/>
        <v>0</v>
      </c>
      <c r="O83" s="129"/>
      <c r="P83" s="93">
        <f t="shared" si="24"/>
        <v>0</v>
      </c>
      <c r="Q83" s="84"/>
    </row>
    <row r="84" spans="2:17" x14ac:dyDescent="0.25">
      <c r="B84" s="132" t="s">
        <v>37</v>
      </c>
      <c r="C84" s="129"/>
      <c r="D84" s="100">
        <f>'12. RTSR - Historical Wholesale'!D83</f>
        <v>0</v>
      </c>
      <c r="E84" s="101">
        <f t="shared" si="25"/>
        <v>0</v>
      </c>
      <c r="F84" s="102">
        <f t="shared" si="21"/>
        <v>0</v>
      </c>
      <c r="G84" s="129"/>
      <c r="H84" s="100">
        <f>'12. RTSR - Historical Wholesale'!H83</f>
        <v>0</v>
      </c>
      <c r="I84" s="101">
        <f t="shared" si="26"/>
        <v>0</v>
      </c>
      <c r="J84" s="102">
        <f t="shared" si="22"/>
        <v>0</v>
      </c>
      <c r="K84" s="129"/>
      <c r="L84" s="100">
        <f>'12. RTSR - Historical Wholesale'!L83</f>
        <v>0</v>
      </c>
      <c r="M84" s="101">
        <f t="shared" si="27"/>
        <v>0</v>
      </c>
      <c r="N84" s="102">
        <f t="shared" si="23"/>
        <v>0</v>
      </c>
      <c r="O84" s="129"/>
      <c r="P84" s="93">
        <f t="shared" si="24"/>
        <v>0</v>
      </c>
      <c r="Q84" s="84"/>
    </row>
    <row r="85" spans="2:17" x14ac:dyDescent="0.25">
      <c r="B85" s="132" t="s">
        <v>38</v>
      </c>
      <c r="C85" s="129"/>
      <c r="D85" s="100">
        <f>'12. RTSR - Historical Wholesale'!D84</f>
        <v>0</v>
      </c>
      <c r="E85" s="101">
        <f t="shared" si="25"/>
        <v>0</v>
      </c>
      <c r="F85" s="102">
        <f t="shared" si="21"/>
        <v>0</v>
      </c>
      <c r="G85" s="129"/>
      <c r="H85" s="100">
        <f>'12. RTSR - Historical Wholesale'!H84</f>
        <v>0</v>
      </c>
      <c r="I85" s="101">
        <f t="shared" si="26"/>
        <v>0</v>
      </c>
      <c r="J85" s="102">
        <f t="shared" si="22"/>
        <v>0</v>
      </c>
      <c r="K85" s="129"/>
      <c r="L85" s="100">
        <f>'12. RTSR - Historical Wholesale'!L84</f>
        <v>0</v>
      </c>
      <c r="M85" s="101">
        <f t="shared" si="27"/>
        <v>0</v>
      </c>
      <c r="N85" s="102">
        <f t="shared" si="23"/>
        <v>0</v>
      </c>
      <c r="O85" s="129"/>
      <c r="P85" s="93">
        <f t="shared" si="24"/>
        <v>0</v>
      </c>
      <c r="Q85" s="84"/>
    </row>
    <row r="86" spans="2:17" x14ac:dyDescent="0.25">
      <c r="B86" s="132" t="s">
        <v>39</v>
      </c>
      <c r="C86" s="129"/>
      <c r="D86" s="100">
        <f>'12. RTSR - Historical Wholesale'!D85</f>
        <v>0</v>
      </c>
      <c r="E86" s="101">
        <f t="shared" si="25"/>
        <v>0</v>
      </c>
      <c r="F86" s="102">
        <f t="shared" si="21"/>
        <v>0</v>
      </c>
      <c r="G86" s="129"/>
      <c r="H86" s="100">
        <f>'12. RTSR - Historical Wholesale'!H85</f>
        <v>0</v>
      </c>
      <c r="I86" s="101">
        <f t="shared" si="26"/>
        <v>0</v>
      </c>
      <c r="J86" s="102">
        <f t="shared" si="22"/>
        <v>0</v>
      </c>
      <c r="K86" s="129"/>
      <c r="L86" s="100">
        <f>'12. RTSR - Historical Wholesale'!L85</f>
        <v>0</v>
      </c>
      <c r="M86" s="101">
        <f t="shared" si="27"/>
        <v>0</v>
      </c>
      <c r="N86" s="102">
        <f t="shared" si="23"/>
        <v>0</v>
      </c>
      <c r="O86" s="129"/>
      <c r="P86" s="93">
        <f t="shared" si="24"/>
        <v>0</v>
      </c>
      <c r="Q86" s="84"/>
    </row>
    <row r="87" spans="2:17" x14ac:dyDescent="0.25">
      <c r="B87" s="132" t="s">
        <v>40</v>
      </c>
      <c r="C87" s="129"/>
      <c r="D87" s="100">
        <f>'12. RTSR - Historical Wholesale'!D86</f>
        <v>0</v>
      </c>
      <c r="E87" s="101">
        <f t="shared" si="25"/>
        <v>0</v>
      </c>
      <c r="F87" s="102">
        <f t="shared" si="21"/>
        <v>0</v>
      </c>
      <c r="G87" s="129"/>
      <c r="H87" s="100">
        <f>'12. RTSR - Historical Wholesale'!H86</f>
        <v>0</v>
      </c>
      <c r="I87" s="101">
        <f t="shared" si="26"/>
        <v>0</v>
      </c>
      <c r="J87" s="102">
        <f t="shared" si="22"/>
        <v>0</v>
      </c>
      <c r="K87" s="129"/>
      <c r="L87" s="100">
        <f>'12. RTSR - Historical Wholesale'!L86</f>
        <v>0</v>
      </c>
      <c r="M87" s="101">
        <f t="shared" si="27"/>
        <v>0</v>
      </c>
      <c r="N87" s="102">
        <f t="shared" si="23"/>
        <v>0</v>
      </c>
      <c r="O87" s="129"/>
      <c r="P87" s="93">
        <f t="shared" si="24"/>
        <v>0</v>
      </c>
      <c r="Q87" s="84"/>
    </row>
    <row r="88" spans="2:17" x14ac:dyDescent="0.25">
      <c r="B88" s="132" t="s">
        <v>41</v>
      </c>
      <c r="C88" s="129"/>
      <c r="D88" s="100">
        <f>'12. RTSR - Historical Wholesale'!D87</f>
        <v>0</v>
      </c>
      <c r="E88" s="101">
        <f t="shared" si="25"/>
        <v>0</v>
      </c>
      <c r="F88" s="102">
        <f t="shared" si="21"/>
        <v>0</v>
      </c>
      <c r="G88" s="129"/>
      <c r="H88" s="100">
        <f>'12. RTSR - Historical Wholesale'!H87</f>
        <v>0</v>
      </c>
      <c r="I88" s="101">
        <f t="shared" si="26"/>
        <v>0</v>
      </c>
      <c r="J88" s="102">
        <f t="shared" si="22"/>
        <v>0</v>
      </c>
      <c r="K88" s="129"/>
      <c r="L88" s="100">
        <f>'12. RTSR - Historical Wholesale'!L87</f>
        <v>0</v>
      </c>
      <c r="M88" s="101">
        <f t="shared" si="27"/>
        <v>0</v>
      </c>
      <c r="N88" s="102">
        <f t="shared" si="23"/>
        <v>0</v>
      </c>
      <c r="O88" s="129"/>
      <c r="P88" s="93">
        <f t="shared" si="24"/>
        <v>0</v>
      </c>
      <c r="Q88" s="84"/>
    </row>
    <row r="89" spans="2:17" x14ac:dyDescent="0.25">
      <c r="B89" s="129"/>
      <c r="C89" s="129"/>
      <c r="D89" s="129"/>
      <c r="E89" s="129"/>
      <c r="F89" s="129"/>
      <c r="G89" s="129"/>
      <c r="H89" s="129"/>
      <c r="I89" s="129"/>
      <c r="J89" s="129"/>
      <c r="K89" s="129"/>
      <c r="L89" s="129"/>
      <c r="M89" s="129"/>
      <c r="N89" s="129"/>
      <c r="O89" s="129"/>
      <c r="P89" s="129"/>
      <c r="Q89" s="84"/>
    </row>
    <row r="90" spans="2:17" ht="13.8" thickBot="1" x14ac:dyDescent="0.3">
      <c r="B90" s="232" t="s">
        <v>47</v>
      </c>
      <c r="C90" s="129"/>
      <c r="D90" s="94">
        <f>SUM(D77:D88)</f>
        <v>0</v>
      </c>
      <c r="E90" s="95">
        <f>IF(D90&lt;&gt;0,F90/D90,0)</f>
        <v>0</v>
      </c>
      <c r="F90" s="96">
        <f>SUM(F77:F88)</f>
        <v>0</v>
      </c>
      <c r="G90" s="129"/>
      <c r="H90" s="94">
        <f>SUM(H77:H88)</f>
        <v>0</v>
      </c>
      <c r="I90" s="95">
        <f>IF(H90&lt;&gt;0,J90/H90,0)</f>
        <v>0</v>
      </c>
      <c r="J90" s="96">
        <f>SUM(J77:J88)</f>
        <v>0</v>
      </c>
      <c r="K90" s="129"/>
      <c r="L90" s="94">
        <f>SUM(L77:L88)</f>
        <v>0</v>
      </c>
      <c r="M90" s="95">
        <f>IF(L90&lt;&gt;0,N90/L90,0)</f>
        <v>0</v>
      </c>
      <c r="N90" s="96">
        <f>SUM(N77:N88)</f>
        <v>0</v>
      </c>
      <c r="O90" s="129"/>
      <c r="P90" s="96">
        <f>SUM(P77:P88)</f>
        <v>0</v>
      </c>
      <c r="Q90" s="84"/>
    </row>
    <row r="91" spans="2:17" x14ac:dyDescent="0.25">
      <c r="B91" s="129"/>
      <c r="C91" s="129"/>
      <c r="D91" s="129"/>
      <c r="E91" s="129"/>
      <c r="F91" s="129"/>
      <c r="G91" s="129"/>
      <c r="H91" s="129"/>
      <c r="I91" s="129"/>
      <c r="J91" s="129"/>
      <c r="K91" s="129"/>
      <c r="L91" s="129"/>
      <c r="M91" s="129"/>
      <c r="N91" s="129"/>
      <c r="O91" s="129"/>
      <c r="P91" s="129"/>
      <c r="Q91" s="84"/>
    </row>
    <row r="92" spans="2:17" x14ac:dyDescent="0.25">
      <c r="B92" s="230" t="s">
        <v>47</v>
      </c>
      <c r="C92" s="129"/>
      <c r="D92" s="1927" t="s">
        <v>443</v>
      </c>
      <c r="E92" s="1927"/>
      <c r="F92" s="1927"/>
      <c r="G92" s="127"/>
      <c r="H92" s="1927" t="s">
        <v>444</v>
      </c>
      <c r="I92" s="1927"/>
      <c r="J92" s="1927"/>
      <c r="K92" s="127"/>
      <c r="L92" s="1927" t="s">
        <v>445</v>
      </c>
      <c r="M92" s="1927"/>
      <c r="N92" s="1927"/>
      <c r="O92" s="127"/>
      <c r="P92" s="774" t="s">
        <v>2360</v>
      </c>
      <c r="Q92" s="84"/>
    </row>
    <row r="93" spans="2:17" x14ac:dyDescent="0.25">
      <c r="B93" s="129"/>
      <c r="C93" s="129"/>
      <c r="D93" s="1929"/>
      <c r="E93" s="1929"/>
      <c r="F93" s="1929"/>
      <c r="G93" s="131"/>
      <c r="H93" s="1929"/>
      <c r="I93" s="1929"/>
      <c r="J93" s="1929"/>
      <c r="K93" s="131"/>
      <c r="L93" s="1929"/>
      <c r="M93" s="1929"/>
      <c r="N93" s="1929"/>
      <c r="O93" s="131"/>
      <c r="P93" s="231"/>
      <c r="Q93" s="84"/>
    </row>
    <row r="94" spans="2:17" x14ac:dyDescent="0.25">
      <c r="B94" s="232" t="s">
        <v>446</v>
      </c>
      <c r="C94" s="129"/>
      <c r="D94" s="134" t="s">
        <v>447</v>
      </c>
      <c r="E94" s="134" t="s">
        <v>343</v>
      </c>
      <c r="F94" s="134" t="s">
        <v>145</v>
      </c>
      <c r="G94" s="129"/>
      <c r="H94" s="134" t="s">
        <v>447</v>
      </c>
      <c r="I94" s="134" t="s">
        <v>343</v>
      </c>
      <c r="J94" s="134" t="s">
        <v>145</v>
      </c>
      <c r="K94" s="129"/>
      <c r="L94" s="134" t="s">
        <v>447</v>
      </c>
      <c r="M94" s="134" t="s">
        <v>343</v>
      </c>
      <c r="N94" s="134" t="s">
        <v>145</v>
      </c>
      <c r="O94" s="129"/>
      <c r="P94" s="134" t="s">
        <v>145</v>
      </c>
      <c r="Q94" s="84"/>
    </row>
    <row r="95" spans="2:17" x14ac:dyDescent="0.25">
      <c r="B95" s="129"/>
      <c r="C95" s="129"/>
      <c r="D95" s="129"/>
      <c r="E95" s="129"/>
      <c r="F95" s="129"/>
      <c r="G95" s="129"/>
      <c r="H95" s="129"/>
      <c r="I95" s="129"/>
      <c r="J95" s="129"/>
      <c r="K95" s="129"/>
      <c r="L95" s="129"/>
      <c r="M95" s="129"/>
      <c r="N95" s="129"/>
      <c r="O95" s="129"/>
      <c r="P95" s="129"/>
      <c r="Q95" s="84"/>
    </row>
    <row r="96" spans="2:17" x14ac:dyDescent="0.25">
      <c r="B96" s="132" t="s">
        <v>30</v>
      </c>
      <c r="C96" s="129"/>
      <c r="D96" s="97">
        <f>D20+D39+D58+D77</f>
        <v>24974.560000000001</v>
      </c>
      <c r="E96" s="103">
        <f t="shared" ref="E96:E107" si="28">IF(D96&lt;&gt;0,F96/D96,0)</f>
        <v>3.3980000000000001</v>
      </c>
      <c r="F96" s="93">
        <f>F20+F39+F58+F77</f>
        <v>84863.554880000011</v>
      </c>
      <c r="G96" s="129"/>
      <c r="H96" s="97">
        <f>H20+H39+H58+H77</f>
        <v>24974.560000000001</v>
      </c>
      <c r="I96" s="103">
        <f t="shared" ref="I96:I107" si="29">IF(H96&lt;&gt;0,J96/H96,0)</f>
        <v>0.80449999999999999</v>
      </c>
      <c r="J96" s="93">
        <f>J20+J39+J58+J77</f>
        <v>20092.033520000001</v>
      </c>
      <c r="K96" s="129"/>
      <c r="L96" s="97">
        <f>L20+L39+L58+L77</f>
        <v>24974.560000000001</v>
      </c>
      <c r="M96" s="103">
        <f t="shared" ref="M96:M107" si="30">IF(L96&lt;&gt;0,N96/L96,0)</f>
        <v>2.0194000000000001</v>
      </c>
      <c r="N96" s="93">
        <f>N20+N39+N58+N77</f>
        <v>50433.626464000008</v>
      </c>
      <c r="O96" s="129"/>
      <c r="P96" s="93">
        <f t="shared" ref="P96:P107" si="31">J96+N96</f>
        <v>70525.659984000013</v>
      </c>
      <c r="Q96" s="84"/>
    </row>
    <row r="97" spans="2:17" x14ac:dyDescent="0.25">
      <c r="B97" s="132" t="s">
        <v>31</v>
      </c>
      <c r="C97" s="129"/>
      <c r="D97" s="97">
        <f t="shared" ref="D97:D107" si="32">D21+D40+D59+D78</f>
        <v>22954.92</v>
      </c>
      <c r="E97" s="103">
        <f t="shared" si="28"/>
        <v>3.3980000000000001</v>
      </c>
      <c r="F97" s="93">
        <f t="shared" ref="F97:F107" si="33">F21+F40+F59+F78</f>
        <v>78000.818159999995</v>
      </c>
      <c r="G97" s="129"/>
      <c r="H97" s="97">
        <f t="shared" ref="H97:H107" si="34">H21+H40+H59+H78</f>
        <v>22954.92</v>
      </c>
      <c r="I97" s="103">
        <f t="shared" si="29"/>
        <v>0.80449999999999988</v>
      </c>
      <c r="J97" s="93">
        <f t="shared" ref="J97:J107" si="35">J21+J40+J59+J78</f>
        <v>18467.233139999997</v>
      </c>
      <c r="K97" s="129"/>
      <c r="L97" s="97">
        <f t="shared" ref="L97:L107" si="36">L21+L40+L59+L78</f>
        <v>22954.92</v>
      </c>
      <c r="M97" s="103">
        <f t="shared" si="30"/>
        <v>2.0194000000000001</v>
      </c>
      <c r="N97" s="93">
        <f t="shared" ref="N97:N107" si="37">N21+N40+N59+N78</f>
        <v>46355.165448</v>
      </c>
      <c r="O97" s="129"/>
      <c r="P97" s="93">
        <f t="shared" si="31"/>
        <v>64822.398587999996</v>
      </c>
      <c r="Q97" s="84"/>
    </row>
    <row r="98" spans="2:17" x14ac:dyDescent="0.25">
      <c r="B98" s="132" t="s">
        <v>32</v>
      </c>
      <c r="C98" s="129"/>
      <c r="D98" s="97">
        <f t="shared" si="32"/>
        <v>22807.66</v>
      </c>
      <c r="E98" s="103">
        <f t="shared" si="28"/>
        <v>3.3979999999999997</v>
      </c>
      <c r="F98" s="93">
        <f t="shared" si="33"/>
        <v>77500.428679999997</v>
      </c>
      <c r="G98" s="129"/>
      <c r="H98" s="97">
        <f t="shared" si="34"/>
        <v>23410.07</v>
      </c>
      <c r="I98" s="103">
        <f t="shared" si="29"/>
        <v>0.80449999999999999</v>
      </c>
      <c r="J98" s="93">
        <f t="shared" si="35"/>
        <v>18833.401314999999</v>
      </c>
      <c r="K98" s="129"/>
      <c r="L98" s="97">
        <f t="shared" si="36"/>
        <v>23410.07</v>
      </c>
      <c r="M98" s="103">
        <f t="shared" si="30"/>
        <v>2.0194000000000001</v>
      </c>
      <c r="N98" s="93">
        <f t="shared" si="37"/>
        <v>47274.295358000003</v>
      </c>
      <c r="O98" s="129"/>
      <c r="P98" s="93">
        <f t="shared" si="31"/>
        <v>66107.696672999999</v>
      </c>
      <c r="Q98" s="84"/>
    </row>
    <row r="99" spans="2:17" x14ac:dyDescent="0.25">
      <c r="B99" s="132" t="s">
        <v>33</v>
      </c>
      <c r="C99" s="129"/>
      <c r="D99" s="97">
        <f t="shared" si="32"/>
        <v>20132.599999999999</v>
      </c>
      <c r="E99" s="103">
        <f t="shared" si="28"/>
        <v>3.3980000000000001</v>
      </c>
      <c r="F99" s="93">
        <f t="shared" si="33"/>
        <v>68410.574800000002</v>
      </c>
      <c r="G99" s="129"/>
      <c r="H99" s="97">
        <f t="shared" si="34"/>
        <v>20132.599999999999</v>
      </c>
      <c r="I99" s="103">
        <f t="shared" si="29"/>
        <v>0.80449999999999999</v>
      </c>
      <c r="J99" s="93">
        <f t="shared" si="35"/>
        <v>16196.676699999998</v>
      </c>
      <c r="K99" s="129"/>
      <c r="L99" s="97">
        <f t="shared" si="36"/>
        <v>20132.599999999999</v>
      </c>
      <c r="M99" s="103">
        <f t="shared" si="30"/>
        <v>2.0194000000000001</v>
      </c>
      <c r="N99" s="93">
        <f t="shared" si="37"/>
        <v>40655.772440000001</v>
      </c>
      <c r="O99" s="129"/>
      <c r="P99" s="93">
        <f t="shared" si="31"/>
        <v>56852.449139999997</v>
      </c>
      <c r="Q99" s="84"/>
    </row>
    <row r="100" spans="2:17" x14ac:dyDescent="0.25">
      <c r="B100" s="132" t="s">
        <v>34</v>
      </c>
      <c r="C100" s="129"/>
      <c r="D100" s="97">
        <f t="shared" si="32"/>
        <v>19511.900000000001</v>
      </c>
      <c r="E100" s="103">
        <f t="shared" si="28"/>
        <v>3.3980000000000001</v>
      </c>
      <c r="F100" s="93">
        <f t="shared" si="33"/>
        <v>66301.436200000011</v>
      </c>
      <c r="G100" s="129"/>
      <c r="H100" s="97">
        <f t="shared" si="34"/>
        <v>19511.900000000001</v>
      </c>
      <c r="I100" s="103">
        <f t="shared" si="29"/>
        <v>0.80449999999999999</v>
      </c>
      <c r="J100" s="93">
        <f t="shared" si="35"/>
        <v>15697.323550000001</v>
      </c>
      <c r="K100" s="129"/>
      <c r="L100" s="97">
        <f t="shared" si="36"/>
        <v>19511.900000000001</v>
      </c>
      <c r="M100" s="103">
        <f t="shared" si="30"/>
        <v>2.0194000000000001</v>
      </c>
      <c r="N100" s="93">
        <f t="shared" si="37"/>
        <v>39402.330860000002</v>
      </c>
      <c r="O100" s="129"/>
      <c r="P100" s="93">
        <f t="shared" si="31"/>
        <v>55099.654410000003</v>
      </c>
      <c r="Q100" s="84"/>
    </row>
    <row r="101" spans="2:17" x14ac:dyDescent="0.25">
      <c r="B101" s="132" t="s">
        <v>35</v>
      </c>
      <c r="C101" s="129"/>
      <c r="D101" s="97">
        <f t="shared" si="32"/>
        <v>20614.04</v>
      </c>
      <c r="E101" s="103">
        <f t="shared" si="28"/>
        <v>3.3980000000000001</v>
      </c>
      <c r="F101" s="93">
        <f t="shared" si="33"/>
        <v>70046.507920000004</v>
      </c>
      <c r="G101" s="129"/>
      <c r="H101" s="97">
        <f t="shared" si="34"/>
        <v>20614.04</v>
      </c>
      <c r="I101" s="103">
        <f t="shared" si="29"/>
        <v>0.8045000000000001</v>
      </c>
      <c r="J101" s="93">
        <f t="shared" si="35"/>
        <v>16583.995180000002</v>
      </c>
      <c r="K101" s="129"/>
      <c r="L101" s="97">
        <f t="shared" si="36"/>
        <v>20614.04</v>
      </c>
      <c r="M101" s="103">
        <f t="shared" si="30"/>
        <v>2.0194000000000001</v>
      </c>
      <c r="N101" s="93">
        <f t="shared" si="37"/>
        <v>41627.992376000002</v>
      </c>
      <c r="O101" s="129"/>
      <c r="P101" s="93">
        <f t="shared" si="31"/>
        <v>58211.987556000007</v>
      </c>
      <c r="Q101" s="84"/>
    </row>
    <row r="102" spans="2:17" x14ac:dyDescent="0.25">
      <c r="B102" s="132" t="s">
        <v>36</v>
      </c>
      <c r="C102" s="129"/>
      <c r="D102" s="97">
        <f t="shared" si="32"/>
        <v>25509.439999999999</v>
      </c>
      <c r="E102" s="103">
        <f t="shared" si="28"/>
        <v>3.3980000000000001</v>
      </c>
      <c r="F102" s="93">
        <f t="shared" si="33"/>
        <v>86681.077120000002</v>
      </c>
      <c r="G102" s="129"/>
      <c r="H102" s="97">
        <f t="shared" si="34"/>
        <v>25509.439999999999</v>
      </c>
      <c r="I102" s="103">
        <f t="shared" si="29"/>
        <v>0.80449999999999999</v>
      </c>
      <c r="J102" s="93">
        <f t="shared" si="35"/>
        <v>20522.34448</v>
      </c>
      <c r="K102" s="129"/>
      <c r="L102" s="97">
        <f t="shared" si="36"/>
        <v>25509.439999999999</v>
      </c>
      <c r="M102" s="103">
        <f t="shared" si="30"/>
        <v>2.0194000000000001</v>
      </c>
      <c r="N102" s="93">
        <f t="shared" si="37"/>
        <v>51513.763136000001</v>
      </c>
      <c r="O102" s="129"/>
      <c r="P102" s="93">
        <f t="shared" si="31"/>
        <v>72036.107615999994</v>
      </c>
      <c r="Q102" s="84"/>
    </row>
    <row r="103" spans="2:17" x14ac:dyDescent="0.25">
      <c r="B103" s="132" t="s">
        <v>37</v>
      </c>
      <c r="C103" s="129"/>
      <c r="D103" s="97">
        <f t="shared" si="32"/>
        <v>25152.14</v>
      </c>
      <c r="E103" s="103">
        <f t="shared" si="28"/>
        <v>3.3980000000000001</v>
      </c>
      <c r="F103" s="93">
        <f t="shared" si="33"/>
        <v>85466.971720000001</v>
      </c>
      <c r="G103" s="129"/>
      <c r="H103" s="97">
        <f t="shared" si="34"/>
        <v>25152.14</v>
      </c>
      <c r="I103" s="103">
        <f t="shared" si="29"/>
        <v>0.80449999999999999</v>
      </c>
      <c r="J103" s="93">
        <f t="shared" si="35"/>
        <v>20234.896629999999</v>
      </c>
      <c r="K103" s="129"/>
      <c r="L103" s="97">
        <f t="shared" si="36"/>
        <v>25152.14</v>
      </c>
      <c r="M103" s="103">
        <f t="shared" si="30"/>
        <v>2.0194000000000001</v>
      </c>
      <c r="N103" s="93">
        <f t="shared" si="37"/>
        <v>50792.231516</v>
      </c>
      <c r="O103" s="129"/>
      <c r="P103" s="93">
        <f t="shared" si="31"/>
        <v>71027.128146000003</v>
      </c>
      <c r="Q103" s="84"/>
    </row>
    <row r="104" spans="2:17" x14ac:dyDescent="0.25">
      <c r="B104" s="132" t="s">
        <v>38</v>
      </c>
      <c r="C104" s="129"/>
      <c r="D104" s="97">
        <f t="shared" si="32"/>
        <v>22218.84</v>
      </c>
      <c r="E104" s="103">
        <f t="shared" si="28"/>
        <v>3.3980000000000006</v>
      </c>
      <c r="F104" s="93">
        <f t="shared" si="33"/>
        <v>75499.618320000009</v>
      </c>
      <c r="G104" s="129"/>
      <c r="H104" s="97">
        <f t="shared" si="34"/>
        <v>22218.84</v>
      </c>
      <c r="I104" s="103">
        <f t="shared" si="29"/>
        <v>0.80449999999999999</v>
      </c>
      <c r="J104" s="93">
        <f t="shared" si="35"/>
        <v>17875.056779999999</v>
      </c>
      <c r="K104" s="129"/>
      <c r="L104" s="97">
        <f t="shared" si="36"/>
        <v>22218.84</v>
      </c>
      <c r="M104" s="103">
        <f t="shared" si="30"/>
        <v>2.0194000000000001</v>
      </c>
      <c r="N104" s="93">
        <f t="shared" si="37"/>
        <v>44868.725495999999</v>
      </c>
      <c r="O104" s="129"/>
      <c r="P104" s="93">
        <f t="shared" si="31"/>
        <v>62743.782275999998</v>
      </c>
      <c r="Q104" s="84"/>
    </row>
    <row r="105" spans="2:17" x14ac:dyDescent="0.25">
      <c r="B105" s="132" t="s">
        <v>39</v>
      </c>
      <c r="C105" s="129"/>
      <c r="D105" s="97">
        <f t="shared" si="32"/>
        <v>21460.66</v>
      </c>
      <c r="E105" s="103">
        <f t="shared" si="28"/>
        <v>3.3979999999999997</v>
      </c>
      <c r="F105" s="93">
        <f t="shared" si="33"/>
        <v>72923.322679999997</v>
      </c>
      <c r="G105" s="129"/>
      <c r="H105" s="97">
        <f t="shared" si="34"/>
        <v>21460.66</v>
      </c>
      <c r="I105" s="103">
        <f t="shared" si="29"/>
        <v>0.80449999999999999</v>
      </c>
      <c r="J105" s="93">
        <f t="shared" si="35"/>
        <v>17265.10097</v>
      </c>
      <c r="K105" s="129"/>
      <c r="L105" s="97">
        <f t="shared" si="36"/>
        <v>21460.66</v>
      </c>
      <c r="M105" s="103">
        <f t="shared" si="30"/>
        <v>2.0194000000000001</v>
      </c>
      <c r="N105" s="93">
        <f t="shared" si="37"/>
        <v>43337.656803999998</v>
      </c>
      <c r="O105" s="129"/>
      <c r="P105" s="93">
        <f t="shared" si="31"/>
        <v>60602.757773999998</v>
      </c>
      <c r="Q105" s="84"/>
    </row>
    <row r="106" spans="2:17" x14ac:dyDescent="0.25">
      <c r="B106" s="132" t="s">
        <v>40</v>
      </c>
      <c r="C106" s="129"/>
      <c r="D106" s="97">
        <f t="shared" si="32"/>
        <v>22087.759999999998</v>
      </c>
      <c r="E106" s="103">
        <f t="shared" si="28"/>
        <v>3.3980000000000001</v>
      </c>
      <c r="F106" s="93">
        <f t="shared" si="33"/>
        <v>75054.208480000001</v>
      </c>
      <c r="G106" s="129"/>
      <c r="H106" s="97">
        <f t="shared" si="34"/>
        <v>22087.759999999998</v>
      </c>
      <c r="I106" s="103">
        <f t="shared" si="29"/>
        <v>0.80449999999999999</v>
      </c>
      <c r="J106" s="93">
        <f t="shared" si="35"/>
        <v>17769.602919999998</v>
      </c>
      <c r="K106" s="129"/>
      <c r="L106" s="97">
        <f t="shared" si="36"/>
        <v>22087.759999999998</v>
      </c>
      <c r="M106" s="103">
        <f t="shared" si="30"/>
        <v>2.0194000000000001</v>
      </c>
      <c r="N106" s="93">
        <f t="shared" si="37"/>
        <v>44604.022543999999</v>
      </c>
      <c r="O106" s="129"/>
      <c r="P106" s="93">
        <f t="shared" si="31"/>
        <v>62373.625463999997</v>
      </c>
      <c r="Q106" s="84"/>
    </row>
    <row r="107" spans="2:17" x14ac:dyDescent="0.25">
      <c r="B107" s="132" t="s">
        <v>41</v>
      </c>
      <c r="C107" s="129"/>
      <c r="D107" s="97">
        <f t="shared" si="32"/>
        <v>22780.54</v>
      </c>
      <c r="E107" s="103">
        <f t="shared" si="28"/>
        <v>3.3980000000000001</v>
      </c>
      <c r="F107" s="93">
        <f t="shared" si="33"/>
        <v>77408.274920000011</v>
      </c>
      <c r="G107" s="129"/>
      <c r="H107" s="97">
        <f t="shared" si="34"/>
        <v>22780.54</v>
      </c>
      <c r="I107" s="103">
        <f t="shared" si="29"/>
        <v>0.80449999999999999</v>
      </c>
      <c r="J107" s="93">
        <f t="shared" si="35"/>
        <v>18326.94443</v>
      </c>
      <c r="K107" s="129"/>
      <c r="L107" s="97">
        <f t="shared" si="36"/>
        <v>22780.54</v>
      </c>
      <c r="M107" s="103">
        <f t="shared" si="30"/>
        <v>2.0194000000000001</v>
      </c>
      <c r="N107" s="93">
        <f t="shared" si="37"/>
        <v>46003.022476000006</v>
      </c>
      <c r="O107" s="129"/>
      <c r="P107" s="93">
        <f t="shared" si="31"/>
        <v>64329.966906000001</v>
      </c>
      <c r="Q107" s="84"/>
    </row>
    <row r="108" spans="2:17" x14ac:dyDescent="0.25">
      <c r="B108" s="129"/>
      <c r="C108" s="129"/>
      <c r="D108" s="129"/>
      <c r="E108" s="129"/>
      <c r="F108" s="129"/>
      <c r="G108" s="129"/>
      <c r="H108" s="129"/>
      <c r="I108" s="129"/>
      <c r="J108" s="129"/>
      <c r="K108" s="129"/>
      <c r="L108" s="129"/>
      <c r="M108" s="129"/>
      <c r="N108" s="129"/>
      <c r="O108" s="129"/>
      <c r="P108" s="93"/>
      <c r="Q108" s="84"/>
    </row>
    <row r="109" spans="2:17" ht="13.8" thickBot="1" x14ac:dyDescent="0.3">
      <c r="B109" s="232" t="s">
        <v>47</v>
      </c>
      <c r="C109" s="129"/>
      <c r="D109" s="94">
        <f>SUM(D96:D107)</f>
        <v>270205.06</v>
      </c>
      <c r="E109" s="95">
        <f>IF(D109&lt;&gt;0,F109/D109,0)</f>
        <v>3.3980000000000001</v>
      </c>
      <c r="F109" s="96">
        <f>SUM(F96:F107)</f>
        <v>918156.79388000001</v>
      </c>
      <c r="G109" s="129"/>
      <c r="H109" s="94">
        <f>SUM(H96:H107)</f>
        <v>270807.46999999997</v>
      </c>
      <c r="I109" s="95">
        <f>IF(H109&lt;&gt;0,J109/H109,0)</f>
        <v>0.8045000000000001</v>
      </c>
      <c r="J109" s="96">
        <f>SUM(J96:J107)</f>
        <v>217864.60961499999</v>
      </c>
      <c r="K109" s="129"/>
      <c r="L109" s="94">
        <f>SUM(L96:L107)</f>
        <v>270807.46999999997</v>
      </c>
      <c r="M109" s="95">
        <f>IF(L109&lt;&gt;0,N109/L109,0)</f>
        <v>2.0194000000000005</v>
      </c>
      <c r="N109" s="96">
        <f>SUM(N96:N107)</f>
        <v>546868.60491800006</v>
      </c>
      <c r="O109" s="129"/>
      <c r="P109" s="96">
        <f>SUM(P96:P107)</f>
        <v>764733.21453300014</v>
      </c>
      <c r="Q109" s="84"/>
    </row>
    <row r="110" spans="2:17" x14ac:dyDescent="0.25">
      <c r="B110" s="6"/>
      <c r="C110" s="6"/>
      <c r="D110" s="6"/>
      <c r="E110" s="6"/>
      <c r="F110" s="6"/>
      <c r="G110" s="6"/>
      <c r="H110" s="6"/>
      <c r="I110" s="6"/>
      <c r="J110" s="6"/>
      <c r="K110" s="6"/>
      <c r="L110" s="6"/>
      <c r="M110" s="6"/>
      <c r="N110" s="6"/>
      <c r="O110" s="6"/>
      <c r="P110" s="6"/>
    </row>
    <row r="111" spans="2:17" x14ac:dyDescent="0.25">
      <c r="B111" s="6"/>
      <c r="C111" s="6"/>
      <c r="D111" s="6"/>
      <c r="E111" s="6"/>
      <c r="F111" s="6"/>
      <c r="G111" s="6"/>
      <c r="H111" s="6"/>
      <c r="I111" s="6"/>
      <c r="J111" s="6"/>
      <c r="K111" s="6"/>
      <c r="L111" s="6"/>
      <c r="M111" s="6"/>
      <c r="N111" s="98" t="s">
        <v>1883</v>
      </c>
      <c r="O111" s="6"/>
      <c r="P111" s="99">
        <f>'11. RTSR - UTRs &amp; Sub-Tx'!L74</f>
        <v>0</v>
      </c>
    </row>
    <row r="112" spans="2:17" x14ac:dyDescent="0.25">
      <c r="B112" s="6"/>
      <c r="C112" s="6"/>
      <c r="D112" s="6"/>
      <c r="E112" s="6"/>
      <c r="F112" s="6"/>
      <c r="G112" s="6"/>
      <c r="H112" s="6"/>
      <c r="I112" s="6"/>
      <c r="J112" s="6"/>
      <c r="K112" s="6"/>
      <c r="L112" s="6"/>
      <c r="M112" s="6"/>
      <c r="N112" s="6"/>
      <c r="O112" s="6"/>
      <c r="P112" s="6"/>
    </row>
    <row r="113" spans="2:16" ht="13.8" thickBot="1" x14ac:dyDescent="0.3">
      <c r="B113" s="6"/>
      <c r="C113" s="6"/>
      <c r="D113" s="6"/>
      <c r="E113" s="6"/>
      <c r="F113" s="6"/>
      <c r="G113" s="6"/>
      <c r="H113" s="6"/>
      <c r="I113" s="6"/>
      <c r="J113" s="6"/>
      <c r="K113" s="6"/>
      <c r="L113" s="6"/>
      <c r="M113" s="6"/>
      <c r="N113" s="61" t="s">
        <v>1884</v>
      </c>
      <c r="O113" s="6"/>
      <c r="P113" s="96">
        <f>P109+P111</f>
        <v>764733.21453300014</v>
      </c>
    </row>
  </sheetData>
  <sheetProtection algorithmName="SHA-512" hashValue="zEhK/1M25yAEW0fIQvbAVY4d6HV4Gf+oLgQnBd5Y+Crcfj+YHs1OKsqk5dJgfxmOkd2zfadddHaiuPs6jWsnWQ==" saltValue="3QIfkmd+UKDuRKfFvi0WVA==" spinCount="100000" sheet="1" objects="1" scenarios="1"/>
  <mergeCells count="22">
    <mergeCell ref="D93:F93"/>
    <mergeCell ref="H93:J93"/>
    <mergeCell ref="L93:N93"/>
    <mergeCell ref="D73:F73"/>
    <mergeCell ref="H73:J73"/>
    <mergeCell ref="L73:N73"/>
    <mergeCell ref="D92:F92"/>
    <mergeCell ref="H92:J92"/>
    <mergeCell ref="L92:N92"/>
    <mergeCell ref="B13:P13"/>
    <mergeCell ref="D35:F35"/>
    <mergeCell ref="H35:J35"/>
    <mergeCell ref="L35:N35"/>
    <mergeCell ref="D54:F54"/>
    <mergeCell ref="H54:J54"/>
    <mergeCell ref="L54:N54"/>
    <mergeCell ref="D16:F16"/>
    <mergeCell ref="H16:J16"/>
    <mergeCell ref="L16:N16"/>
    <mergeCell ref="D17:F17"/>
    <mergeCell ref="H17:J17"/>
    <mergeCell ref="L17:N17"/>
  </mergeCells>
  <pageMargins left="0.25" right="0.25" top="0.75" bottom="0.75" header="0.3" footer="0.3"/>
  <pageSetup scale="39" orientation="portrait" r:id="rId1"/>
  <headerFooter>
    <oddFooter>&amp;C&amp;A</oddFooter>
  </headerFooter>
  <rowBreaks count="1" manualBreakCount="1">
    <brk id="72" max="15" man="1"/>
  </rowBreaks>
  <colBreaks count="1" manualBreakCount="1">
    <brk id="24" max="7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3:J56"/>
  <sheetViews>
    <sheetView showGridLines="0" view="pageBreakPreview" zoomScale="60" zoomScaleNormal="100" workbookViewId="0">
      <selection activeCell="H27" sqref="H27"/>
    </sheetView>
  </sheetViews>
  <sheetFormatPr defaultColWidth="9.33203125" defaultRowHeight="13.2" x14ac:dyDescent="0.25"/>
  <cols>
    <col min="1" max="1" width="56.6640625" style="1196" customWidth="1"/>
    <col min="2" max="2" width="79.6640625" style="1196" customWidth="1"/>
    <col min="3" max="3" width="9.33203125" style="1214"/>
    <col min="4" max="4" width="16.33203125" style="1214" customWidth="1"/>
    <col min="5" max="5" width="17.33203125" style="1214" customWidth="1"/>
    <col min="6" max="6" width="16.33203125" style="1214" customWidth="1"/>
    <col min="7" max="7" width="14.5546875" style="1214" customWidth="1"/>
    <col min="8" max="8" width="11.5546875" style="1214" customWidth="1"/>
    <col min="9" max="10" width="14.33203125" style="1214" customWidth="1"/>
    <col min="11" max="16384" width="9.33203125" style="1196"/>
  </cols>
  <sheetData>
    <row r="3" spans="1:10" x14ac:dyDescent="0.25">
      <c r="D3" s="250"/>
      <c r="E3" s="251"/>
      <c r="F3" s="251"/>
      <c r="G3" s="251"/>
      <c r="H3" s="252"/>
      <c r="I3" s="251"/>
      <c r="J3" s="250"/>
    </row>
    <row r="4" spans="1:10" x14ac:dyDescent="0.25">
      <c r="D4" s="250"/>
      <c r="E4" s="251"/>
      <c r="F4" s="251"/>
      <c r="G4" s="251"/>
      <c r="H4" s="252"/>
      <c r="I4" s="251"/>
      <c r="J4" s="250"/>
    </row>
    <row r="5" spans="1:10" x14ac:dyDescent="0.25">
      <c r="D5" s="250"/>
      <c r="E5" s="251"/>
      <c r="F5" s="251"/>
      <c r="G5" s="251"/>
      <c r="H5" s="252"/>
      <c r="I5" s="251"/>
      <c r="J5" s="250"/>
    </row>
    <row r="6" spans="1:10" x14ac:dyDescent="0.25">
      <c r="D6" s="250"/>
      <c r="E6" s="251"/>
      <c r="F6" s="251"/>
      <c r="G6" s="251"/>
      <c r="H6" s="252"/>
      <c r="I6" s="251"/>
      <c r="J6" s="250"/>
    </row>
    <row r="7" spans="1:10" x14ac:dyDescent="0.25">
      <c r="D7" s="250"/>
      <c r="E7" s="251"/>
      <c r="F7" s="251"/>
      <c r="G7" s="251"/>
      <c r="H7" s="252"/>
      <c r="I7" s="251"/>
      <c r="J7" s="250"/>
    </row>
    <row r="8" spans="1:10" x14ac:dyDescent="0.25">
      <c r="D8" s="250"/>
      <c r="E8" s="251"/>
      <c r="F8" s="251"/>
      <c r="G8" s="251"/>
      <c r="H8" s="252"/>
      <c r="I8" s="251"/>
      <c r="J8" s="250"/>
    </row>
    <row r="9" spans="1:10" x14ac:dyDescent="0.25">
      <c r="D9" s="250"/>
      <c r="E9" s="251"/>
      <c r="F9" s="251"/>
      <c r="G9" s="251"/>
      <c r="H9" s="252"/>
      <c r="I9" s="251"/>
      <c r="J9" s="250"/>
    </row>
    <row r="10" spans="1:10" x14ac:dyDescent="0.25">
      <c r="D10" s="250"/>
      <c r="E10" s="251"/>
      <c r="F10" s="251"/>
      <c r="G10" s="251"/>
      <c r="H10" s="252"/>
      <c r="I10" s="251"/>
      <c r="J10" s="250"/>
    </row>
    <row r="11" spans="1:10" x14ac:dyDescent="0.25">
      <c r="D11" s="250"/>
      <c r="E11" s="251"/>
      <c r="F11" s="251"/>
      <c r="G11" s="251"/>
      <c r="H11" s="252"/>
      <c r="I11" s="251"/>
      <c r="J11" s="250"/>
    </row>
    <row r="12" spans="1:10" x14ac:dyDescent="0.25">
      <c r="D12" s="250"/>
      <c r="E12" s="251"/>
      <c r="F12" s="251"/>
      <c r="G12" s="251"/>
      <c r="H12" s="252"/>
      <c r="I12" s="251"/>
      <c r="J12" s="250"/>
    </row>
    <row r="13" spans="1:10" ht="15.6" x14ac:dyDescent="0.3">
      <c r="A13" s="1217" t="s">
        <v>1419</v>
      </c>
      <c r="D13" s="250"/>
      <c r="E13" s="251"/>
      <c r="F13" s="251"/>
      <c r="G13" s="251"/>
      <c r="H13" s="252"/>
      <c r="I13" s="251"/>
      <c r="J13" s="250"/>
    </row>
    <row r="14" spans="1:10" x14ac:dyDescent="0.25">
      <c r="D14" s="250"/>
      <c r="E14" s="251"/>
      <c r="F14" s="251"/>
      <c r="G14" s="251"/>
      <c r="H14" s="252"/>
      <c r="I14" s="251"/>
      <c r="J14" s="250"/>
    </row>
    <row r="15" spans="1:10" ht="46.8" x14ac:dyDescent="0.25">
      <c r="A15" s="830" t="s">
        <v>48</v>
      </c>
      <c r="B15" s="830" t="s">
        <v>144</v>
      </c>
      <c r="C15" s="831" t="s">
        <v>49</v>
      </c>
      <c r="D15" s="792" t="s">
        <v>4376</v>
      </c>
      <c r="E15" s="832" t="s">
        <v>435</v>
      </c>
      <c r="F15" s="1216" t="s">
        <v>4377</v>
      </c>
      <c r="G15" s="1381" t="s">
        <v>6821</v>
      </c>
      <c r="H15" s="1389" t="s">
        <v>6822</v>
      </c>
      <c r="I15" s="1216" t="s">
        <v>6823</v>
      </c>
      <c r="J15" s="1215" t="s">
        <v>6824</v>
      </c>
    </row>
    <row r="16" spans="1:10" x14ac:dyDescent="0.25">
      <c r="G16" s="1418"/>
    </row>
    <row r="17" spans="1:10" x14ac:dyDescent="0.25">
      <c r="A17" s="1196" t="s">
        <v>7329</v>
      </c>
      <c r="B17" s="1196" t="s">
        <v>213</v>
      </c>
      <c r="C17" s="1214" t="s">
        <v>20</v>
      </c>
      <c r="D17" s="250">
        <v>6.6E-3</v>
      </c>
      <c r="E17" s="1418">
        <v>47956744.830299996</v>
      </c>
      <c r="F17" s="1418">
        <v>0</v>
      </c>
      <c r="G17" s="1418">
        <f>IF(ISERROR(D17*E17), 0, ROUND(D17*E17, 2))</f>
        <v>316514.52</v>
      </c>
      <c r="H17" s="1419">
        <f t="shared" ref="H17:H23" si="0">G17/935429.06</f>
        <v>0.33836293262045974</v>
      </c>
      <c r="I17" s="1418">
        <f t="shared" ref="I17:I23" si="1">H17*total_current_wholesale_network</f>
        <v>310670.22538263578</v>
      </c>
      <c r="J17" s="250">
        <f>IF(ISERROR(I17/E17), 0, I17/E17)</f>
        <v>6.4781341286189289E-3</v>
      </c>
    </row>
    <row r="18" spans="1:10" x14ac:dyDescent="0.25">
      <c r="A18" s="1196" t="s">
        <v>7333</v>
      </c>
      <c r="B18" s="1196" t="s">
        <v>213</v>
      </c>
      <c r="C18" s="1214" t="s">
        <v>20</v>
      </c>
      <c r="D18" s="250">
        <v>6.1000000000000004E-3</v>
      </c>
      <c r="E18" s="1418">
        <v>23695960.055599999</v>
      </c>
      <c r="F18" s="1418">
        <v>0</v>
      </c>
      <c r="G18" s="1418">
        <f>IF(ISERROR(D18*E18), 0, ROUND(D18*E18, 2))</f>
        <v>144545.35999999999</v>
      </c>
      <c r="H18" s="1419">
        <f t="shared" si="0"/>
        <v>0.15452305918313033</v>
      </c>
      <c r="I18" s="1418">
        <f t="shared" si="1"/>
        <v>141876.39660011244</v>
      </c>
      <c r="J18" s="250">
        <f>IF(ISERROR(I18/E18), 0, I18/E18)</f>
        <v>5.9873664653052614E-3</v>
      </c>
    </row>
    <row r="19" spans="1:10" x14ac:dyDescent="0.25">
      <c r="A19" s="1196" t="s">
        <v>7334</v>
      </c>
      <c r="B19" s="1196" t="s">
        <v>213</v>
      </c>
      <c r="C19" s="1214" t="s">
        <v>29</v>
      </c>
      <c r="D19" s="250">
        <v>2.4415</v>
      </c>
      <c r="E19" s="1418"/>
      <c r="F19" s="1418">
        <v>143971</v>
      </c>
      <c r="G19" s="1418">
        <f>IF(ISERROR(D19*F19), 0, ROUND(D19*F19, 2))</f>
        <v>351505.2</v>
      </c>
      <c r="H19" s="1419">
        <f t="shared" si="0"/>
        <v>0.37576895462281235</v>
      </c>
      <c r="I19" s="1418">
        <f t="shared" si="1"/>
        <v>345014.81861612061</v>
      </c>
      <c r="J19" s="250">
        <f>IF(ISERROR(I19/F19), 0, I19/F19)</f>
        <v>2.3964188525197478</v>
      </c>
    </row>
    <row r="20" spans="1:10" x14ac:dyDescent="0.25">
      <c r="A20" s="1196" t="s">
        <v>7335</v>
      </c>
      <c r="B20" s="1196" t="s">
        <v>213</v>
      </c>
      <c r="C20" s="1214" t="s">
        <v>29</v>
      </c>
      <c r="D20" s="250">
        <v>2.7305000000000001</v>
      </c>
      <c r="E20" s="1418"/>
      <c r="F20" s="1418">
        <v>42600</v>
      </c>
      <c r="G20" s="1418">
        <f>IF(ISERROR(D20*F20), 0, ROUND(D20*F20, 2))</f>
        <v>116319.3</v>
      </c>
      <c r="H20" s="1419">
        <f t="shared" si="0"/>
        <v>0.12434860640314081</v>
      </c>
      <c r="I20" s="1418">
        <f t="shared" si="1"/>
        <v>114171.51777855381</v>
      </c>
      <c r="J20" s="250">
        <f>IF(ISERROR(I20/F20), 0, I20/F20)</f>
        <v>2.680082576961357</v>
      </c>
    </row>
    <row r="21" spans="1:10" x14ac:dyDescent="0.25">
      <c r="A21" s="1196" t="s">
        <v>7330</v>
      </c>
      <c r="B21" s="1196" t="s">
        <v>213</v>
      </c>
      <c r="C21" s="1214" t="s">
        <v>20</v>
      </c>
      <c r="D21" s="250">
        <v>6.1000000000000004E-3</v>
      </c>
      <c r="E21" s="1418">
        <v>611543.35729999992</v>
      </c>
      <c r="F21" s="1418">
        <v>0</v>
      </c>
      <c r="G21" s="1418">
        <f>IF(ISERROR(D21*E21), 0, ROUND(D21*E21, 2))</f>
        <v>3730.41</v>
      </c>
      <c r="H21" s="1419">
        <f t="shared" si="0"/>
        <v>3.9879133111387407E-3</v>
      </c>
      <c r="I21" s="1418">
        <f t="shared" si="1"/>
        <v>3661.5297000265209</v>
      </c>
      <c r="J21" s="250">
        <f>IF(ISERROR(I21/E21), 0, I21/E21)</f>
        <v>5.9873591239587506E-3</v>
      </c>
    </row>
    <row r="22" spans="1:10" x14ac:dyDescent="0.25">
      <c r="A22" s="1196" t="s">
        <v>7331</v>
      </c>
      <c r="B22" s="1196" t="s">
        <v>213</v>
      </c>
      <c r="C22" s="1214" t="s">
        <v>29</v>
      </c>
      <c r="D22" s="250">
        <v>1.8505</v>
      </c>
      <c r="E22" s="1418"/>
      <c r="F22" s="1418">
        <v>99</v>
      </c>
      <c r="G22" s="1418">
        <f>IF(ISERROR(D22*F22), 0, ROUND(D22*F22, 2))</f>
        <v>183.2</v>
      </c>
      <c r="H22" s="1419">
        <f t="shared" si="0"/>
        <v>1.958459575758743E-4</v>
      </c>
      <c r="I22" s="1418">
        <f t="shared" si="1"/>
        <v>179.81729650222326</v>
      </c>
      <c r="J22" s="250">
        <f>IF(ISERROR(I22/F22), 0, I22/F22)</f>
        <v>1.8163363283052854</v>
      </c>
    </row>
    <row r="23" spans="1:10" x14ac:dyDescent="0.25">
      <c r="A23" s="1196" t="s">
        <v>7332</v>
      </c>
      <c r="B23" s="1196" t="s">
        <v>213</v>
      </c>
      <c r="C23" s="1214" t="s">
        <v>29</v>
      </c>
      <c r="D23" s="250">
        <v>1.8411999999999999</v>
      </c>
      <c r="E23" s="1418"/>
      <c r="F23" s="1418">
        <v>1429</v>
      </c>
      <c r="G23" s="1418">
        <f>IF(ISERROR(D23*F23), 0, ROUND(D23*F23, 2))</f>
        <v>2631.07</v>
      </c>
      <c r="H23" s="1419">
        <f t="shared" si="0"/>
        <v>2.8126879017421162E-3</v>
      </c>
      <c r="I23" s="1418">
        <f t="shared" si="1"/>
        <v>2582.4885060486058</v>
      </c>
      <c r="J23" s="250">
        <f>IF(ISERROR(I23/F23), 0, I23/F23)</f>
        <v>1.8071997942957354</v>
      </c>
    </row>
    <row r="25" spans="1:10" ht="15.6" x14ac:dyDescent="0.3">
      <c r="A25" s="1217" t="s">
        <v>6923</v>
      </c>
    </row>
    <row r="26" spans="1:10" ht="46.8" x14ac:dyDescent="0.25">
      <c r="A26" s="830" t="s">
        <v>48</v>
      </c>
      <c r="B26" s="830" t="s">
        <v>144</v>
      </c>
      <c r="C26" s="831" t="s">
        <v>49</v>
      </c>
      <c r="D26" s="792" t="s">
        <v>6921</v>
      </c>
      <c r="E26" s="832" t="s">
        <v>435</v>
      </c>
      <c r="F26" s="1216" t="s">
        <v>4377</v>
      </c>
      <c r="G26" s="1381" t="s">
        <v>6821</v>
      </c>
      <c r="H26" s="1389" t="s">
        <v>6822</v>
      </c>
      <c r="I26" s="1216" t="s">
        <v>6823</v>
      </c>
      <c r="J26" s="1215" t="s">
        <v>6922</v>
      </c>
    </row>
    <row r="28" spans="1:10" x14ac:dyDescent="0.25">
      <c r="A28" s="1196" t="s">
        <v>7329</v>
      </c>
      <c r="B28" s="1196" t="s">
        <v>209</v>
      </c>
      <c r="C28" s="1214" t="s">
        <v>20</v>
      </c>
      <c r="D28" s="250">
        <v>5.5999999999999999E-3</v>
      </c>
      <c r="E28" s="1418">
        <v>47956744.830299996</v>
      </c>
      <c r="F28" s="1418">
        <v>0</v>
      </c>
      <c r="G28" s="1418">
        <f>IF(ISERROR(D28*E28), 0, ROUND(D28*E28, 2))</f>
        <v>268557.77</v>
      </c>
      <c r="H28" s="1419">
        <f t="shared" ref="H28:H34" si="2">G28/783450.06</f>
        <v>0.34278862650160496</v>
      </c>
      <c r="I28" s="1418">
        <f t="shared" ref="I28:I34" si="3">H28*Total_Current_Wholesale_Lineplus</f>
        <v>262141.84824992434</v>
      </c>
      <c r="J28" s="250">
        <f>IF(ISERROR(I28/E28), 0, I28/E28)</f>
        <v>5.4662143808455084E-3</v>
      </c>
    </row>
    <row r="29" spans="1:10" x14ac:dyDescent="0.25">
      <c r="A29" s="1196" t="s">
        <v>7333</v>
      </c>
      <c r="B29" s="1196" t="s">
        <v>209</v>
      </c>
      <c r="C29" s="1214" t="s">
        <v>20</v>
      </c>
      <c r="D29" s="250">
        <v>5.1000000000000004E-3</v>
      </c>
      <c r="E29" s="1418">
        <v>23695960.055599999</v>
      </c>
      <c r="F29" s="1418">
        <v>0</v>
      </c>
      <c r="G29" s="1418">
        <f>IF(ISERROR(D29*E29), 0, ROUND(D29*E29, 2))</f>
        <v>120849.4</v>
      </c>
      <c r="H29" s="1419">
        <f t="shared" si="2"/>
        <v>0.15425284414427129</v>
      </c>
      <c r="I29" s="1418">
        <f t="shared" si="3"/>
        <v>117962.27335330645</v>
      </c>
      <c r="J29" s="250">
        <f>IF(ISERROR(I29/E29), 0, I29/E29)</f>
        <v>4.9781596979620478E-3</v>
      </c>
    </row>
    <row r="30" spans="1:10" x14ac:dyDescent="0.25">
      <c r="A30" s="1196" t="s">
        <v>7334</v>
      </c>
      <c r="B30" s="1196" t="s">
        <v>209</v>
      </c>
      <c r="C30" s="1214" t="s">
        <v>29</v>
      </c>
      <c r="D30" s="250">
        <v>2.0007000000000001</v>
      </c>
      <c r="E30" s="1418"/>
      <c r="F30" s="1418">
        <v>143971</v>
      </c>
      <c r="G30" s="1418">
        <f>IF(ISERROR(D30*F30), 0, ROUND(D30*F30, 2))</f>
        <v>288042.78000000003</v>
      </c>
      <c r="H30" s="1419">
        <f t="shared" si="2"/>
        <v>0.36765940128972613</v>
      </c>
      <c r="I30" s="1418">
        <f t="shared" si="3"/>
        <v>281161.35580157052</v>
      </c>
      <c r="J30" s="250">
        <f>IF(ISERROR(I30/F30), 0, I30/F30)</f>
        <v>1.9529027081951957</v>
      </c>
    </row>
    <row r="31" spans="1:10" x14ac:dyDescent="0.25">
      <c r="A31" s="1196" t="s">
        <v>7335</v>
      </c>
      <c r="B31" s="1196" t="s">
        <v>209</v>
      </c>
      <c r="C31" s="1214" t="s">
        <v>29</v>
      </c>
      <c r="D31" s="250">
        <v>2.3595000000000002</v>
      </c>
      <c r="E31" s="1418"/>
      <c r="F31" s="1418">
        <v>42600</v>
      </c>
      <c r="G31" s="1418">
        <f>IF(ISERROR(D31*F31), 0, ROUND(D31*F31, 2))</f>
        <v>100514.7</v>
      </c>
      <c r="H31" s="1419">
        <f t="shared" si="2"/>
        <v>0.12829752032950253</v>
      </c>
      <c r="I31" s="1418">
        <f t="shared" si="3"/>
        <v>98113.375138193413</v>
      </c>
      <c r="J31" s="250">
        <f>IF(ISERROR(I31/F31), 0, I31/F31)</f>
        <v>2.3031308717885777</v>
      </c>
    </row>
    <row r="32" spans="1:10" x14ac:dyDescent="0.25">
      <c r="A32" s="1196" t="s">
        <v>7330</v>
      </c>
      <c r="B32" s="1196" t="s">
        <v>209</v>
      </c>
      <c r="C32" s="1214" t="s">
        <v>20</v>
      </c>
      <c r="D32" s="250">
        <v>5.1000000000000004E-3</v>
      </c>
      <c r="E32" s="1418">
        <v>611543.35729999992</v>
      </c>
      <c r="F32" s="1418">
        <v>0</v>
      </c>
      <c r="G32" s="1418">
        <f>IF(ISERROR(D32*E32), 0, ROUND(D32*E32, 2))</f>
        <v>3118.87</v>
      </c>
      <c r="H32" s="1419">
        <f t="shared" si="2"/>
        <v>3.9809429588913425E-3</v>
      </c>
      <c r="I32" s="1418">
        <f t="shared" si="3"/>
        <v>3044.3593058254892</v>
      </c>
      <c r="J32" s="250">
        <f>IF(ISERROR(I32/E32), 0, I32/E32)</f>
        <v>4.9781577536325726E-3</v>
      </c>
    </row>
    <row r="33" spans="1:10" x14ac:dyDescent="0.25">
      <c r="A33" s="1196" t="s">
        <v>7331</v>
      </c>
      <c r="B33" s="1196" t="s">
        <v>209</v>
      </c>
      <c r="C33" s="1214" t="s">
        <v>29</v>
      </c>
      <c r="D33" s="250">
        <v>1.5789</v>
      </c>
      <c r="E33" s="1418"/>
      <c r="F33" s="1418">
        <v>99</v>
      </c>
      <c r="G33" s="1418">
        <f>IF(ISERROR(D33*F33), 0, ROUND(D33*F33, 2))</f>
        <v>156.31</v>
      </c>
      <c r="H33" s="1419">
        <f t="shared" si="2"/>
        <v>1.9951495057642855E-4</v>
      </c>
      <c r="I33" s="1418">
        <f t="shared" si="3"/>
        <v>152.57570950170486</v>
      </c>
      <c r="J33" s="250">
        <f>IF(ISERROR(I33/F33), 0, I33/F33)</f>
        <v>1.5411687828455036</v>
      </c>
    </row>
    <row r="34" spans="1:10" x14ac:dyDescent="0.25">
      <c r="A34" s="1196" t="s">
        <v>7332</v>
      </c>
      <c r="B34" s="1196" t="s">
        <v>209</v>
      </c>
      <c r="C34" s="1214" t="s">
        <v>29</v>
      </c>
      <c r="D34" s="250">
        <v>1.5467</v>
      </c>
      <c r="E34" s="1418"/>
      <c r="F34" s="1418">
        <v>1429</v>
      </c>
      <c r="G34" s="1418">
        <f>IF(ISERROR(D34*F34), 0, ROUND(D34*F34, 2))</f>
        <v>2210.23</v>
      </c>
      <c r="H34" s="1419">
        <f t="shared" si="2"/>
        <v>2.8211498254272901E-3</v>
      </c>
      <c r="I34" s="1418">
        <f t="shared" si="3"/>
        <v>2157.4269746782238</v>
      </c>
      <c r="J34" s="250">
        <f>IF(ISERROR(I34/F34), 0, I34/F34)</f>
        <v>1.5097459584872106</v>
      </c>
    </row>
    <row r="36" spans="1:10" ht="15.6" x14ac:dyDescent="0.3">
      <c r="A36" s="1217" t="s">
        <v>6927</v>
      </c>
    </row>
    <row r="37" spans="1:10" ht="46.8" x14ac:dyDescent="0.25">
      <c r="A37" s="830" t="s">
        <v>48</v>
      </c>
      <c r="B37" s="830" t="s">
        <v>144</v>
      </c>
      <c r="C37" s="831" t="s">
        <v>49</v>
      </c>
      <c r="D37" s="792" t="s">
        <v>6925</v>
      </c>
      <c r="E37" s="832" t="s">
        <v>435</v>
      </c>
      <c r="F37" s="1216" t="s">
        <v>4377</v>
      </c>
      <c r="G37" s="1381" t="s">
        <v>6821</v>
      </c>
      <c r="H37" s="1389" t="s">
        <v>6822</v>
      </c>
      <c r="I37" s="1216" t="s">
        <v>6924</v>
      </c>
      <c r="J37" s="1215" t="s">
        <v>6926</v>
      </c>
    </row>
    <row r="39" spans="1:10" x14ac:dyDescent="0.25">
      <c r="A39" s="1196" t="s">
        <v>7329</v>
      </c>
      <c r="B39" s="1196" t="s">
        <v>213</v>
      </c>
      <c r="C39" s="1214" t="s">
        <v>20</v>
      </c>
      <c r="D39" s="250">
        <v>6.4781341286189289E-3</v>
      </c>
      <c r="E39" s="1418">
        <v>47956744.830299996</v>
      </c>
      <c r="F39" s="1418">
        <v>0</v>
      </c>
      <c r="G39" s="1418">
        <f>IF(ISERROR(D39*E39), 0, ROUND(D39*E39, 2))</f>
        <v>310670.23</v>
      </c>
      <c r="H39" s="1419">
        <f t="shared" ref="H39:H45" si="4">G39/918156.81</f>
        <v>0.33836293170880033</v>
      </c>
      <c r="I39" s="1418">
        <f t="shared" ref="I39:I45" si="5">H39*forecast_wholesale_network</f>
        <v>310670.22454558953</v>
      </c>
      <c r="J39" s="1542">
        <f>IF(ISERROR(I39/E39), 0, I39/E39)</f>
        <v>6.4781341111647362E-3</v>
      </c>
    </row>
    <row r="40" spans="1:10" x14ac:dyDescent="0.25">
      <c r="A40" s="1196" t="s">
        <v>7333</v>
      </c>
      <c r="B40" s="1196" t="s">
        <v>213</v>
      </c>
      <c r="C40" s="1214" t="s">
        <v>20</v>
      </c>
      <c r="D40" s="250">
        <v>5.9873664653052614E-3</v>
      </c>
      <c r="E40" s="1418">
        <v>23695960.055599999</v>
      </c>
      <c r="F40" s="1418">
        <v>0</v>
      </c>
      <c r="G40" s="1418">
        <f>IF(ISERROR(D40*E40), 0, ROUND(D40*E40, 2))</f>
        <v>141876.4</v>
      </c>
      <c r="H40" s="1419">
        <f t="shared" si="4"/>
        <v>0.15452306017313097</v>
      </c>
      <c r="I40" s="1418">
        <f t="shared" si="5"/>
        <v>141876.39750908824</v>
      </c>
      <c r="J40" s="1542">
        <f>IF(ISERROR(I40/E40), 0, I40/E40)</f>
        <v>5.9873665036652103E-3</v>
      </c>
    </row>
    <row r="41" spans="1:10" x14ac:dyDescent="0.25">
      <c r="A41" s="1196" t="s">
        <v>7334</v>
      </c>
      <c r="B41" s="1196" t="s">
        <v>213</v>
      </c>
      <c r="C41" s="1214" t="s">
        <v>29</v>
      </c>
      <c r="D41" s="250">
        <v>2.3964188525197478</v>
      </c>
      <c r="E41" s="1418"/>
      <c r="F41" s="1418">
        <v>143971</v>
      </c>
      <c r="G41" s="1418">
        <f>IF(ISERROR(D41*F41), 0, ROUND(D41*F41, 2))</f>
        <v>345014.82</v>
      </c>
      <c r="H41" s="1419">
        <f t="shared" si="4"/>
        <v>0.37576894953270562</v>
      </c>
      <c r="I41" s="1418">
        <f t="shared" si="5"/>
        <v>345014.81394260452</v>
      </c>
      <c r="J41" s="1542">
        <f>IF(ISERROR(I41/F41), 0, I41/F41)</f>
        <v>2.3964188200582375</v>
      </c>
    </row>
    <row r="42" spans="1:10" x14ac:dyDescent="0.25">
      <c r="A42" s="1196" t="s">
        <v>7335</v>
      </c>
      <c r="B42" s="1196" t="s">
        <v>213</v>
      </c>
      <c r="C42" s="1214" t="s">
        <v>29</v>
      </c>
      <c r="D42" s="250">
        <v>2.680082576961357</v>
      </c>
      <c r="E42" s="1418"/>
      <c r="F42" s="1418">
        <v>42600</v>
      </c>
      <c r="G42" s="1418">
        <f>IF(ISERROR(D42*F42), 0, ROUND(D42*F42, 2))</f>
        <v>114171.52</v>
      </c>
      <c r="H42" s="1419">
        <f t="shared" si="4"/>
        <v>0.12434860663942578</v>
      </c>
      <c r="I42" s="1418">
        <f t="shared" si="5"/>
        <v>114171.51799550046</v>
      </c>
      <c r="J42" s="1542">
        <f>IF(ISERROR(I42/F42), 0, I42/F42)</f>
        <v>2.6800825820540015</v>
      </c>
    </row>
    <row r="43" spans="1:10" x14ac:dyDescent="0.25">
      <c r="A43" s="1196" t="s">
        <v>7330</v>
      </c>
      <c r="B43" s="1196" t="s">
        <v>213</v>
      </c>
      <c r="C43" s="1214" t="s">
        <v>20</v>
      </c>
      <c r="D43" s="250">
        <v>5.9873591239587506E-3</v>
      </c>
      <c r="E43" s="1418">
        <v>611543.35729999992</v>
      </c>
      <c r="F43" s="1418">
        <v>0</v>
      </c>
      <c r="G43" s="1418">
        <f>IF(ISERROR(D43*E43), 0, ROUND(D43*E43, 2))</f>
        <v>3661.53</v>
      </c>
      <c r="H43" s="1419">
        <f t="shared" si="4"/>
        <v>3.9879135678359779E-3</v>
      </c>
      <c r="I43" s="1418">
        <f t="shared" si="5"/>
        <v>3661.5299357148333</v>
      </c>
      <c r="J43" s="1542">
        <f>IF(ISERROR(I43/E43), 0, I43/E43)</f>
        <v>5.9873595093579372E-3</v>
      </c>
    </row>
    <row r="44" spans="1:10" x14ac:dyDescent="0.25">
      <c r="A44" s="1196" t="s">
        <v>7331</v>
      </c>
      <c r="B44" s="1196" t="s">
        <v>213</v>
      </c>
      <c r="C44" s="1214" t="s">
        <v>29</v>
      </c>
      <c r="D44" s="250">
        <v>1.8163363283052854</v>
      </c>
      <c r="E44" s="1418"/>
      <c r="F44" s="1418">
        <v>99</v>
      </c>
      <c r="G44" s="1418">
        <f>IF(ISERROR(D44*F44), 0, ROUND(D44*F44, 2))</f>
        <v>179.82</v>
      </c>
      <c r="H44" s="1419">
        <f t="shared" si="4"/>
        <v>1.9584889862114076E-4</v>
      </c>
      <c r="I44" s="1418">
        <f t="shared" si="5"/>
        <v>179.81999684291574</v>
      </c>
      <c r="J44" s="1542">
        <f>IF(ISERROR(I44/F44), 0, I44/F44)</f>
        <v>1.8163636044738964</v>
      </c>
    </row>
    <row r="45" spans="1:10" x14ac:dyDescent="0.25">
      <c r="A45" s="1196" t="s">
        <v>7332</v>
      </c>
      <c r="B45" s="1196" t="s">
        <v>213</v>
      </c>
      <c r="C45" s="1214" t="s">
        <v>29</v>
      </c>
      <c r="D45" s="250">
        <v>1.8071997942957354</v>
      </c>
      <c r="E45" s="1418"/>
      <c r="F45" s="1418">
        <v>1429</v>
      </c>
      <c r="G45" s="1418">
        <f>IF(ISERROR(D45*F45), 0, ROUND(D45*F45, 2))</f>
        <v>2582.4899999999998</v>
      </c>
      <c r="H45" s="1419">
        <f t="shared" si="4"/>
        <v>2.8126894794800899E-3</v>
      </c>
      <c r="I45" s="1418">
        <f t="shared" si="5"/>
        <v>2582.4899546594456</v>
      </c>
      <c r="J45" s="1542">
        <f>IF(ISERROR(I45/F45), 0, I45/F45)</f>
        <v>1.8072008080192061</v>
      </c>
    </row>
    <row r="47" spans="1:10" ht="15.6" x14ac:dyDescent="0.3">
      <c r="A47" s="1217" t="s">
        <v>6929</v>
      </c>
    </row>
    <row r="48" spans="1:10" ht="46.8" x14ac:dyDescent="0.25">
      <c r="A48" s="830" t="s">
        <v>48</v>
      </c>
      <c r="B48" s="830" t="s">
        <v>144</v>
      </c>
      <c r="C48" s="831" t="s">
        <v>49</v>
      </c>
      <c r="D48" s="792" t="s">
        <v>6922</v>
      </c>
      <c r="E48" s="832" t="s">
        <v>435</v>
      </c>
      <c r="F48" s="1216" t="s">
        <v>4377</v>
      </c>
      <c r="G48" s="1381" t="s">
        <v>6821</v>
      </c>
      <c r="H48" s="1389" t="s">
        <v>6822</v>
      </c>
      <c r="I48" s="1216" t="s">
        <v>6924</v>
      </c>
      <c r="J48" s="1215" t="s">
        <v>6928</v>
      </c>
    </row>
    <row r="50" spans="1:10" x14ac:dyDescent="0.25">
      <c r="A50" s="1196" t="s">
        <v>7329</v>
      </c>
      <c r="B50" s="1196" t="s">
        <v>209</v>
      </c>
      <c r="C50" s="1214" t="s">
        <v>20</v>
      </c>
      <c r="D50" s="250">
        <v>5.4662143808455084E-3</v>
      </c>
      <c r="E50" s="1418">
        <v>47956744.830299996</v>
      </c>
      <c r="F50" s="1418">
        <v>0</v>
      </c>
      <c r="G50" s="1418">
        <f>IF(ISERROR(D50*E50), 0, ROUND(D50*E50, 2))</f>
        <v>262141.85</v>
      </c>
      <c r="H50" s="1419">
        <f t="shared" ref="H50:H56" si="6">G50/764733.23</f>
        <v>0.34278862185706249</v>
      </c>
      <c r="I50" s="1418">
        <f t="shared" ref="I50:I56" si="7">H50*forecast_wholesale_lineplus</f>
        <v>262141.84469808842</v>
      </c>
      <c r="J50" s="1542">
        <f>IF(ISERROR(I50/E50), 0, I50/E50)</f>
        <v>5.4662143067821852E-3</v>
      </c>
    </row>
    <row r="51" spans="1:10" x14ac:dyDescent="0.25">
      <c r="A51" s="1196" t="s">
        <v>7333</v>
      </c>
      <c r="B51" s="1196" t="s">
        <v>209</v>
      </c>
      <c r="C51" s="1214" t="s">
        <v>20</v>
      </c>
      <c r="D51" s="250">
        <v>4.9781596979620478E-3</v>
      </c>
      <c r="E51" s="1418">
        <v>23695960.055599999</v>
      </c>
      <c r="F51" s="1418">
        <v>0</v>
      </c>
      <c r="G51" s="1418">
        <f>IF(ISERROR(D51*E51), 0, ROUND(D51*E51, 2))</f>
        <v>117962.27</v>
      </c>
      <c r="H51" s="1419">
        <f t="shared" si="6"/>
        <v>0.15425283663951678</v>
      </c>
      <c r="I51" s="1418">
        <f t="shared" si="7"/>
        <v>117962.2676141714</v>
      </c>
      <c r="J51" s="1542">
        <f>IF(ISERROR(I51/E51), 0, I51/E51)</f>
        <v>4.9781594557631662E-3</v>
      </c>
    </row>
    <row r="52" spans="1:10" x14ac:dyDescent="0.25">
      <c r="A52" s="1196" t="s">
        <v>7334</v>
      </c>
      <c r="B52" s="1196" t="s">
        <v>209</v>
      </c>
      <c r="C52" s="1214" t="s">
        <v>29</v>
      </c>
      <c r="D52" s="250">
        <v>1.9529027081951957</v>
      </c>
      <c r="E52" s="1418"/>
      <c r="F52" s="1418">
        <v>143971</v>
      </c>
      <c r="G52" s="1418">
        <f>IF(ISERROR(D52*F52), 0, ROUND(D52*F52, 2))</f>
        <v>281161.36</v>
      </c>
      <c r="H52" s="1419">
        <f t="shared" si="6"/>
        <v>0.36765939934374237</v>
      </c>
      <c r="I52" s="1418">
        <f t="shared" si="7"/>
        <v>281161.3543134121</v>
      </c>
      <c r="J52" s="1542">
        <f>IF(ISERROR(I52/F52), 0, I52/F52)</f>
        <v>1.9529026978586805</v>
      </c>
    </row>
    <row r="53" spans="1:10" x14ac:dyDescent="0.25">
      <c r="A53" s="1196" t="s">
        <v>7335</v>
      </c>
      <c r="B53" s="1196" t="s">
        <v>209</v>
      </c>
      <c r="C53" s="1214" t="s">
        <v>29</v>
      </c>
      <c r="D53" s="250">
        <v>2.3031308717885777</v>
      </c>
      <c r="E53" s="1418"/>
      <c r="F53" s="1418">
        <v>42600</v>
      </c>
      <c r="G53" s="1418">
        <f>IF(ISERROR(D53*F53), 0, ROUND(D53*F53, 2))</f>
        <v>98113.38</v>
      </c>
      <c r="H53" s="1419">
        <f t="shared" si="6"/>
        <v>0.12829752409215958</v>
      </c>
      <c r="I53" s="1418">
        <f t="shared" si="7"/>
        <v>98113.37801562222</v>
      </c>
      <c r="J53" s="1542">
        <f>IF(ISERROR(I53/F53), 0, I53/F53)</f>
        <v>2.303130939333855</v>
      </c>
    </row>
    <row r="54" spans="1:10" x14ac:dyDescent="0.25">
      <c r="A54" s="1196" t="s">
        <v>7330</v>
      </c>
      <c r="B54" s="1196" t="s">
        <v>209</v>
      </c>
      <c r="C54" s="1214" t="s">
        <v>20</v>
      </c>
      <c r="D54" s="250">
        <v>4.9781577536325726E-3</v>
      </c>
      <c r="E54" s="1418">
        <v>611543.35729999992</v>
      </c>
      <c r="F54" s="1418">
        <v>0</v>
      </c>
      <c r="G54" s="1418">
        <f>IF(ISERROR(D54*E54), 0, ROUND(D54*E54, 2))</f>
        <v>3044.36</v>
      </c>
      <c r="H54" s="1419">
        <f t="shared" si="6"/>
        <v>3.9809437861095696E-3</v>
      </c>
      <c r="I54" s="1418">
        <f t="shared" si="7"/>
        <v>3044.3599384267432</v>
      </c>
      <c r="J54" s="1542">
        <f>IF(ISERROR(I54/E54), 0, I54/E54)</f>
        <v>4.9781587880665928E-3</v>
      </c>
    </row>
    <row r="55" spans="1:10" x14ac:dyDescent="0.25">
      <c r="A55" s="1196" t="s">
        <v>7331</v>
      </c>
      <c r="B55" s="1196" t="s">
        <v>209</v>
      </c>
      <c r="C55" s="1214" t="s">
        <v>29</v>
      </c>
      <c r="D55" s="250">
        <v>1.5411687828455036</v>
      </c>
      <c r="E55" s="1418"/>
      <c r="F55" s="1418">
        <v>99</v>
      </c>
      <c r="G55" s="1418">
        <f>IF(ISERROR(D55*F55), 0, ROUND(D55*F55, 2))</f>
        <v>152.58000000000001</v>
      </c>
      <c r="H55" s="1419">
        <f t="shared" si="6"/>
        <v>1.9952055699214223E-4</v>
      </c>
      <c r="I55" s="1418">
        <f t="shared" si="7"/>
        <v>152.5799969140156</v>
      </c>
      <c r="J55" s="1542">
        <f>IF(ISERROR(I55/F55), 0, I55/F55)</f>
        <v>1.5412120900405615</v>
      </c>
    </row>
    <row r="56" spans="1:10" x14ac:dyDescent="0.25">
      <c r="A56" s="1196" t="s">
        <v>7332</v>
      </c>
      <c r="B56" s="1196" t="s">
        <v>209</v>
      </c>
      <c r="C56" s="1214" t="s">
        <v>29</v>
      </c>
      <c r="D56" s="250">
        <v>1.5097459584872106</v>
      </c>
      <c r="E56" s="1418"/>
      <c r="F56" s="1418">
        <v>1429</v>
      </c>
      <c r="G56" s="1418">
        <f>IF(ISERROR(D56*F56), 0, ROUND(D56*F56, 2))</f>
        <v>2157.4299999999998</v>
      </c>
      <c r="H56" s="1419">
        <f t="shared" si="6"/>
        <v>2.8211537244170752E-3</v>
      </c>
      <c r="I56" s="1418">
        <f t="shared" si="7"/>
        <v>2157.4299563652157</v>
      </c>
      <c r="J56" s="1542">
        <f>IF(ISERROR(I56/F56), 0, I56/F56)</f>
        <v>1.5097480450421383</v>
      </c>
    </row>
  </sheetData>
  <sheetProtection algorithmName="SHA-512" hashValue="YRhWlheTBr7DMkFQMLQ3eWQs6kUA05LR3LRlbVgqpzhTzquVEV4oIbbwXyIf83YoTHk8uZNsVTSxg343z8Mudg==" saltValue="/g71MpWolUhIyf9nBdUEfQ==" spinCount="100000" sheet="1" objects="1" scenarios="1"/>
  <pageMargins left="0.25" right="0.25" top="0.75" bottom="0.75" header="0.3" footer="0.3"/>
  <pageSetup scale="40" orientation="portrait" r:id="rId1"/>
  <headerFooter>
    <oddFooter>&amp;C&amp;A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AC100"/>
  <sheetViews>
    <sheetView showGridLines="0" view="pageBreakPreview" topLeftCell="A7" zoomScale="60" zoomScaleNormal="100" workbookViewId="0">
      <selection activeCell="H27" sqref="H27"/>
    </sheetView>
  </sheetViews>
  <sheetFormatPr defaultColWidth="9.33203125" defaultRowHeight="14.4" x14ac:dyDescent="0.3"/>
  <cols>
    <col min="1" max="1" width="56.6640625" style="22" customWidth="1"/>
    <col min="2" max="2" width="11.33203125" style="22" customWidth="1"/>
    <col min="3" max="3" width="15.5546875" style="22" customWidth="1"/>
    <col min="4" max="4" width="17.33203125" style="22" customWidth="1"/>
    <col min="5" max="5" width="29.6640625" style="22" bestFit="1" customWidth="1"/>
    <col min="6" max="6" width="16.6640625" style="22" customWidth="1"/>
    <col min="7" max="7" width="18.33203125" style="22" customWidth="1"/>
    <col min="8" max="8" width="14.33203125" style="22" customWidth="1"/>
    <col min="9" max="9" width="16.33203125" style="22" customWidth="1"/>
    <col min="10" max="10" width="9.33203125" style="22"/>
    <col min="11" max="11" width="13.5546875" style="22" customWidth="1"/>
    <col min="12" max="12" width="13.33203125" style="22" customWidth="1"/>
    <col min="13" max="13" width="11.33203125" style="22" customWidth="1"/>
    <col min="14" max="24" width="9.33203125" style="22"/>
    <col min="25" max="26" width="9.33203125" style="22" hidden="1" customWidth="1"/>
    <col min="27" max="28" width="0" style="22" hidden="1" customWidth="1"/>
    <col min="29" max="16384" width="9.33203125" style="22"/>
  </cols>
  <sheetData>
    <row r="1" spans="1:29" x14ac:dyDescent="0.3">
      <c r="Y1" s="22" t="b">
        <v>0</v>
      </c>
      <c r="Z1" s="22">
        <v>0</v>
      </c>
      <c r="AC1" s="253" t="s">
        <v>512</v>
      </c>
    </row>
    <row r="2" spans="1:29" x14ac:dyDescent="0.3">
      <c r="Y2" s="22" t="b">
        <v>1</v>
      </c>
    </row>
    <row r="3" spans="1:29" x14ac:dyDescent="0.3">
      <c r="K3" s="30"/>
      <c r="L3" s="27"/>
      <c r="M3" s="27"/>
    </row>
    <row r="4" spans="1:29" x14ac:dyDescent="0.3">
      <c r="I4" s="27"/>
      <c r="J4" s="27"/>
      <c r="K4" s="27"/>
      <c r="M4" s="27"/>
    </row>
    <row r="5" spans="1:29" x14ac:dyDescent="0.3">
      <c r="K5" s="27"/>
    </row>
    <row r="6" spans="1:29" x14ac:dyDescent="0.3">
      <c r="K6" s="27"/>
    </row>
    <row r="7" spans="1:29" x14ac:dyDescent="0.3">
      <c r="K7" s="27"/>
    </row>
    <row r="8" spans="1:29" x14ac:dyDescent="0.3">
      <c r="B8" s="22">
        <v>0</v>
      </c>
      <c r="K8" s="27"/>
    </row>
    <row r="9" spans="1:29" x14ac:dyDescent="0.3">
      <c r="B9" s="22">
        <v>0</v>
      </c>
    </row>
    <row r="10" spans="1:29" x14ac:dyDescent="0.3">
      <c r="B10" s="716">
        <v>0</v>
      </c>
    </row>
    <row r="11" spans="1:29" ht="35.25" customHeight="1" x14ac:dyDescent="0.3">
      <c r="A11" s="1932" t="s">
        <v>5909</v>
      </c>
      <c r="B11" s="1918"/>
      <c r="C11" s="1918"/>
      <c r="D11" s="1918"/>
      <c r="E11" s="1918"/>
      <c r="F11" s="1918"/>
      <c r="G11" s="1918"/>
      <c r="H11" s="1918"/>
      <c r="I11" s="1918"/>
    </row>
    <row r="12" spans="1:29" ht="65.25" customHeight="1" thickBot="1" x14ac:dyDescent="0.35">
      <c r="A12" s="135" t="s">
        <v>71</v>
      </c>
      <c r="B12" s="1673">
        <v>2.1999999999999999E-2</v>
      </c>
      <c r="C12" s="136" t="s">
        <v>72</v>
      </c>
      <c r="D12" s="137">
        <v>0</v>
      </c>
      <c r="E12" s="1534" t="s">
        <v>2012</v>
      </c>
      <c r="F12" s="1540"/>
      <c r="G12" s="1535" t="s">
        <v>2010</v>
      </c>
      <c r="H12" s="1541"/>
    </row>
    <row r="13" spans="1:29" ht="58.2" customHeight="1" thickBot="1" x14ac:dyDescent="0.35">
      <c r="A13" s="138" t="s">
        <v>68</v>
      </c>
      <c r="B13" s="139" t="s">
        <v>7353</v>
      </c>
      <c r="C13" s="136" t="s">
        <v>70</v>
      </c>
      <c r="D13" s="261">
        <f>B12-D12-B14</f>
        <v>1.9E-2</v>
      </c>
      <c r="E13" s="1534" t="s">
        <v>2011</v>
      </c>
      <c r="F13" s="1540"/>
      <c r="G13" s="1536" t="s">
        <v>1885</v>
      </c>
      <c r="H13" s="1541"/>
      <c r="I13" s="26"/>
      <c r="J13" s="26"/>
      <c r="K13" s="26"/>
    </row>
    <row r="14" spans="1:29" s="27" customFormat="1" ht="30" customHeight="1" x14ac:dyDescent="0.3">
      <c r="A14" s="135" t="s">
        <v>69</v>
      </c>
      <c r="B14" s="140">
        <f>IF(B13="I", 0%, IF(B13="II", 0.15%, IF(B13="III", 0.3%, IF(B13="IV", 0.45%,IF(B13="V",0.6%, 0)))))</f>
        <v>3.0000000000000001E-3</v>
      </c>
      <c r="C14" s="141"/>
      <c r="D14" s="141"/>
      <c r="E14" s="1537" t="s">
        <v>1420</v>
      </c>
      <c r="F14" s="1538"/>
      <c r="G14" s="1539"/>
      <c r="H14" s="1539"/>
    </row>
    <row r="15" spans="1:29" s="27" customFormat="1" ht="64.5" customHeight="1" x14ac:dyDescent="0.3">
      <c r="A15" s="8" t="s">
        <v>48</v>
      </c>
      <c r="B15" s="142" t="s">
        <v>74</v>
      </c>
      <c r="C15" s="142" t="s">
        <v>76</v>
      </c>
      <c r="D15" s="142" t="s">
        <v>75</v>
      </c>
      <c r="E15" s="142" t="s">
        <v>77</v>
      </c>
      <c r="F15" s="142" t="s">
        <v>91</v>
      </c>
      <c r="G15" s="142" t="s">
        <v>78</v>
      </c>
      <c r="H15" s="142" t="s">
        <v>79</v>
      </c>
      <c r="I15" s="1194"/>
    </row>
    <row r="16" spans="1:29" x14ac:dyDescent="0.3">
      <c r="A16" s="1193"/>
      <c r="B16" s="1672"/>
      <c r="C16" s="1672"/>
      <c r="D16" s="1672"/>
      <c r="E16" s="1672"/>
      <c r="F16" s="1672"/>
      <c r="G16" s="1672"/>
      <c r="H16" s="1672"/>
      <c r="I16" s="1193"/>
    </row>
    <row r="17" spans="1:9" x14ac:dyDescent="0.3">
      <c r="A17" s="1193" t="s">
        <v>427</v>
      </c>
      <c r="B17" s="1672">
        <v>29.75</v>
      </c>
      <c r="C17" s="1518"/>
      <c r="D17" s="1672"/>
      <c r="E17" s="1518"/>
      <c r="F17" s="1519">
        <f>D13</f>
        <v>1.9E-2</v>
      </c>
      <c r="G17" s="1520">
        <f>(B17+C17)*(1+D13)</f>
        <v>30.315249999999999</v>
      </c>
      <c r="H17" s="1521">
        <f>(D17+E17)*(1+D13)</f>
        <v>0</v>
      </c>
      <c r="I17" s="1193"/>
    </row>
    <row r="18" spans="1:9" x14ac:dyDescent="0.3">
      <c r="A18" s="1193" t="s">
        <v>2522</v>
      </c>
      <c r="B18" s="1672">
        <v>21.46</v>
      </c>
      <c r="C18" s="1522"/>
      <c r="D18" s="1672">
        <v>2.24E-2</v>
      </c>
      <c r="E18" s="1522"/>
      <c r="F18" s="1519">
        <f>D13</f>
        <v>1.9E-2</v>
      </c>
      <c r="G18" s="1520">
        <f>(B18+C18)*(1+D13)</f>
        <v>21.867739999999998</v>
      </c>
      <c r="H18" s="1521">
        <f>(D18+E18)*(1+D13)</f>
        <v>2.2825599999999998E-2</v>
      </c>
      <c r="I18" s="1193"/>
    </row>
    <row r="19" spans="1:9" x14ac:dyDescent="0.3">
      <c r="A19" s="1193" t="s">
        <v>611</v>
      </c>
      <c r="B19" s="1672">
        <v>175.16</v>
      </c>
      <c r="C19" s="1522"/>
      <c r="D19" s="1672">
        <v>4.3140999999999998</v>
      </c>
      <c r="E19" s="1522"/>
      <c r="F19" s="1519">
        <f>D13</f>
        <v>1.9E-2</v>
      </c>
      <c r="G19" s="1520">
        <f>(B19+C19)*(1+D13)</f>
        <v>178.48803999999998</v>
      </c>
      <c r="H19" s="1521">
        <f>(D19+E19)*(1+D13)</f>
        <v>4.3960678999999994</v>
      </c>
      <c r="I19" s="1193"/>
    </row>
    <row r="20" spans="1:9" x14ac:dyDescent="0.3">
      <c r="A20" s="1193" t="s">
        <v>612</v>
      </c>
      <c r="B20" s="1672">
        <v>705.89</v>
      </c>
      <c r="C20" s="1522"/>
      <c r="D20" s="1672">
        <v>3.2704</v>
      </c>
      <c r="E20" s="1522"/>
      <c r="F20" s="1519">
        <f>D13</f>
        <v>1.9E-2</v>
      </c>
      <c r="G20" s="1520">
        <f>(B20+C20)*(1+D13)</f>
        <v>719.30190999999991</v>
      </c>
      <c r="H20" s="1521">
        <f>(D20+E20)*(1+D13)</f>
        <v>3.3325375999999998</v>
      </c>
      <c r="I20" s="1193"/>
    </row>
    <row r="21" spans="1:9" x14ac:dyDescent="0.3">
      <c r="A21" s="1193" t="s">
        <v>592</v>
      </c>
      <c r="B21" s="1672">
        <v>8.0500000000000007</v>
      </c>
      <c r="C21" s="1522"/>
      <c r="D21" s="1672">
        <v>1.26E-2</v>
      </c>
      <c r="E21" s="1522"/>
      <c r="F21" s="1519">
        <f>D13</f>
        <v>1.9E-2</v>
      </c>
      <c r="G21" s="1520">
        <f>(B21+C21)*(1+D13)</f>
        <v>8.2029499999999995</v>
      </c>
      <c r="H21" s="1521">
        <f>(D21+E21)*(1+D13)</f>
        <v>1.2839399999999999E-2</v>
      </c>
      <c r="I21" s="1193"/>
    </row>
    <row r="22" spans="1:9" x14ac:dyDescent="0.3">
      <c r="A22" s="1193" t="s">
        <v>604</v>
      </c>
      <c r="B22" s="1672">
        <v>5.95</v>
      </c>
      <c r="C22" s="1522"/>
      <c r="D22" s="1672">
        <v>15.737399999999999</v>
      </c>
      <c r="E22" s="1522"/>
      <c r="F22" s="1519">
        <f>D13</f>
        <v>1.9E-2</v>
      </c>
      <c r="G22" s="1520">
        <f>(B22+C22)*(1+D13)</f>
        <v>6.0630499999999996</v>
      </c>
      <c r="H22" s="1521">
        <f>(D22+E22)*(1+D13)</f>
        <v>16.036410599999996</v>
      </c>
      <c r="I22" s="1193"/>
    </row>
    <row r="23" spans="1:9" x14ac:dyDescent="0.3">
      <c r="A23" s="1193" t="s">
        <v>590</v>
      </c>
      <c r="B23" s="1672">
        <v>2.25</v>
      </c>
      <c r="C23" s="1523"/>
      <c r="D23" s="1672">
        <v>10.8757</v>
      </c>
      <c r="E23" s="1523"/>
      <c r="F23" s="1519">
        <f>D13</f>
        <v>1.9E-2</v>
      </c>
      <c r="G23" s="1520">
        <f>(B23+C23)*(1+D13)</f>
        <v>2.2927499999999998</v>
      </c>
      <c r="H23" s="1521">
        <f>(D23+E23)*(1+D13)</f>
        <v>11.0823383</v>
      </c>
      <c r="I23" s="1193"/>
    </row>
    <row r="24" spans="1:9" x14ac:dyDescent="0.3">
      <c r="A24" s="1193" t="s">
        <v>593</v>
      </c>
      <c r="B24" s="1672">
        <v>10</v>
      </c>
      <c r="C24" s="1524"/>
      <c r="D24" s="1672"/>
      <c r="E24" s="1524"/>
      <c r="F24" s="1672"/>
      <c r="G24" s="1672">
        <f>B24</f>
        <v>10</v>
      </c>
      <c r="H24" s="1672"/>
      <c r="I24" s="1193"/>
    </row>
    <row r="25" spans="1:9" x14ac:dyDescent="0.3">
      <c r="A25" s="1193"/>
      <c r="B25" s="1672"/>
      <c r="C25" s="1672"/>
      <c r="D25" s="1672"/>
      <c r="E25" s="1672"/>
      <c r="F25" s="1672"/>
      <c r="G25" s="1672"/>
      <c r="H25" s="1672"/>
      <c r="I25" s="1193"/>
    </row>
    <row r="26" spans="1:9" ht="39.6" hidden="1" x14ac:dyDescent="0.3">
      <c r="A26" s="1525" t="s">
        <v>7354</v>
      </c>
      <c r="B26" s="1672"/>
      <c r="C26" s="1526" t="s">
        <v>7355</v>
      </c>
      <c r="D26" s="1526" t="s">
        <v>7356</v>
      </c>
      <c r="E26" s="1526" t="s">
        <v>7357</v>
      </c>
      <c r="F26" s="1526" t="s">
        <v>7358</v>
      </c>
      <c r="G26" s="1526" t="s">
        <v>7359</v>
      </c>
      <c r="H26" s="1526" t="s">
        <v>7360</v>
      </c>
      <c r="I26" s="1526" t="s">
        <v>7362</v>
      </c>
    </row>
    <row r="27" spans="1:9" hidden="1" x14ac:dyDescent="0.3">
      <c r="A27" s="1193" t="s">
        <v>7363</v>
      </c>
      <c r="B27" s="1521">
        <f>B17+C17</f>
        <v>29.75</v>
      </c>
      <c r="C27" s="1527">
        <f>B27*COS_RES_CUSTOMERS*12</f>
        <v>0</v>
      </c>
      <c r="D27" s="1529">
        <f>IF(ISERROR(C27/C29), 0, C27/C29)</f>
        <v>0</v>
      </c>
      <c r="E27" s="1529">
        <f>IF(ISERROR((1-D27)/YRS_LEFT), 0, (1-D27)/YRS_LEFT)</f>
        <v>0</v>
      </c>
      <c r="F27" s="1530">
        <f>IF(ISERROR(ROUND(E27*C29/COS_RES_CUSTOMERS/12, 2)), 0, ROUND(E27*C29/COS_RES_CUSTOMERS/12, 2))</f>
        <v>0</v>
      </c>
      <c r="G27" s="1529">
        <f>E27+D27</f>
        <v>0</v>
      </c>
      <c r="H27" s="1531">
        <f>IF(ISERROR(ROUND(G27*C29/COS_RES_CUSTOMERS/12, 2)), 0, ROUND(G27*C29/COS_RES_CUSTOMERS/12, 2))</f>
        <v>0</v>
      </c>
      <c r="I27" s="1527">
        <f>ROUND(H27*COS_RES_CUSTOMERS*12, 2)</f>
        <v>0</v>
      </c>
    </row>
    <row r="28" spans="1:9" ht="15" hidden="1" thickBot="1" x14ac:dyDescent="0.35">
      <c r="A28" s="1193" t="s">
        <v>7364</v>
      </c>
      <c r="B28" s="1521">
        <f>D17+E17</f>
        <v>0</v>
      </c>
      <c r="C28" s="1528">
        <f>B28*COS_RES_KWH</f>
        <v>0</v>
      </c>
      <c r="D28" s="1529">
        <f>IF(ISERROR(C28/C29), 0, C28/C29)</f>
        <v>0</v>
      </c>
      <c r="E28" s="1672"/>
      <c r="F28" s="1672"/>
      <c r="G28" s="1529">
        <f>1-G27</f>
        <v>1</v>
      </c>
      <c r="H28" s="1532">
        <f>IF(ISERROR(ROUND(G28*C29/COS_RES_KWH, 4)), 0, ROUND(G28*C29/COS_RES_KWH, 4))</f>
        <v>0</v>
      </c>
      <c r="I28" s="1528">
        <f>ROUND(H28*COS_RES_KWH, 2)</f>
        <v>0</v>
      </c>
    </row>
    <row r="29" spans="1:9" hidden="1" x14ac:dyDescent="0.3">
      <c r="A29" s="1193"/>
      <c r="B29" s="1672"/>
      <c r="C29" s="1527">
        <f>SUM(C27+C28)</f>
        <v>0</v>
      </c>
      <c r="D29" s="1672"/>
      <c r="E29" s="1672"/>
      <c r="F29" s="1672"/>
      <c r="G29" s="1672"/>
      <c r="H29" s="1672"/>
      <c r="I29" s="1527">
        <f>SUM(I27+I28)</f>
        <v>0</v>
      </c>
    </row>
    <row r="30" spans="1:9" hidden="1" x14ac:dyDescent="0.3">
      <c r="A30" s="1193"/>
      <c r="B30" s="1672"/>
      <c r="C30" s="1672"/>
      <c r="D30" s="1672"/>
      <c r="E30" s="1672"/>
      <c r="F30" s="1672"/>
      <c r="G30" s="1672"/>
      <c r="H30" s="1672"/>
      <c r="I30" s="1193"/>
    </row>
    <row r="31" spans="1:9" hidden="1" x14ac:dyDescent="0.3">
      <c r="A31" s="1193"/>
      <c r="B31" s="1672"/>
      <c r="C31" s="1672"/>
      <c r="D31" s="1672"/>
      <c r="E31" s="1672"/>
      <c r="F31" s="1672"/>
      <c r="G31" s="1672"/>
      <c r="H31" s="1672"/>
      <c r="I31" s="1193"/>
    </row>
    <row r="32" spans="1:9" x14ac:dyDescent="0.3">
      <c r="A32" s="1533" t="str">
        <f>IF((H27-B27)&gt;=4, "The Rate Design Transition has calculated a monthly fixed charge greater than or equal to $4.  Please refer to Section 3.2.3 of the Chapter 3 Filing Requirements for mitigation instructions.", "")</f>
        <v/>
      </c>
      <c r="B32" s="1672"/>
      <c r="C32" s="1672"/>
      <c r="D32" s="1672"/>
      <c r="E32" s="1672"/>
      <c r="F32" s="1672"/>
      <c r="G32" s="1672"/>
      <c r="H32" s="1672"/>
      <c r="I32" s="1193"/>
    </row>
    <row r="33" spans="1:9" x14ac:dyDescent="0.3">
      <c r="A33" s="1193"/>
      <c r="B33" s="1672"/>
      <c r="C33" s="1672"/>
      <c r="D33" s="1672"/>
      <c r="E33" s="1672"/>
      <c r="F33" s="1672"/>
      <c r="G33" s="1672"/>
      <c r="H33" s="1672"/>
      <c r="I33" s="1193"/>
    </row>
    <row r="34" spans="1:9" ht="16.2" x14ac:dyDescent="0.3">
      <c r="A34" s="1478"/>
      <c r="B34" s="1672"/>
      <c r="C34" s="1672"/>
      <c r="D34" s="1672"/>
      <c r="E34" s="1672"/>
      <c r="F34" s="1672"/>
      <c r="G34" s="1672"/>
      <c r="H34" s="1672"/>
      <c r="I34" s="1193"/>
    </row>
    <row r="35" spans="1:9" x14ac:dyDescent="0.3">
      <c r="A35" s="1193" t="s">
        <v>7361</v>
      </c>
      <c r="B35" s="1672"/>
      <c r="C35" s="1672"/>
      <c r="D35" s="1672"/>
      <c r="E35" s="1672"/>
      <c r="F35" s="1672"/>
      <c r="G35" s="1672"/>
      <c r="H35" s="1672"/>
      <c r="I35" s="1193"/>
    </row>
    <row r="36" spans="1:9" x14ac:dyDescent="0.3">
      <c r="A36" s="1193"/>
      <c r="B36" s="1672"/>
      <c r="C36" s="1672"/>
      <c r="D36" s="1672"/>
      <c r="E36" s="1672"/>
      <c r="F36" s="1672"/>
      <c r="G36" s="1672"/>
      <c r="H36" s="1672"/>
      <c r="I36" s="1193"/>
    </row>
    <row r="37" spans="1:9" x14ac:dyDescent="0.3">
      <c r="A37" s="1193"/>
      <c r="B37" s="1672"/>
      <c r="C37" s="1672"/>
      <c r="D37" s="1672"/>
      <c r="E37" s="1672"/>
      <c r="F37" s="1672"/>
      <c r="G37" s="1672"/>
      <c r="H37" s="1672"/>
      <c r="I37" s="1193"/>
    </row>
    <row r="38" spans="1:9" x14ac:dyDescent="0.3">
      <c r="A38" s="1193"/>
      <c r="B38" s="1672"/>
      <c r="C38" s="1672"/>
      <c r="D38" s="1672"/>
      <c r="E38" s="1672"/>
      <c r="F38" s="1672"/>
      <c r="G38" s="1672"/>
      <c r="H38" s="1672"/>
      <c r="I38" s="1193"/>
    </row>
    <row r="39" spans="1:9" x14ac:dyDescent="0.3">
      <c r="A39" s="1193"/>
      <c r="B39" s="1672"/>
      <c r="C39" s="1672"/>
      <c r="D39" s="1672"/>
      <c r="E39" s="1672"/>
      <c r="F39" s="1672"/>
      <c r="G39" s="1672"/>
      <c r="H39" s="1672"/>
      <c r="I39" s="1193"/>
    </row>
    <row r="40" spans="1:9" x14ac:dyDescent="0.3">
      <c r="A40" s="1193"/>
      <c r="B40" s="1672"/>
      <c r="C40" s="1672"/>
      <c r="D40" s="1672"/>
      <c r="E40" s="1672"/>
      <c r="F40" s="1672"/>
      <c r="G40" s="1672"/>
      <c r="H40" s="1672"/>
      <c r="I40" s="1193"/>
    </row>
    <row r="41" spans="1:9" x14ac:dyDescent="0.3">
      <c r="A41" s="1193"/>
      <c r="B41" s="1672"/>
      <c r="C41" s="1672"/>
      <c r="D41" s="1672"/>
      <c r="E41" s="1672"/>
      <c r="F41" s="1672"/>
      <c r="G41" s="1672"/>
      <c r="H41" s="1672"/>
      <c r="I41" s="1193"/>
    </row>
    <row r="42" spans="1:9" x14ac:dyDescent="0.3">
      <c r="A42" s="1193"/>
      <c r="B42" s="1672"/>
      <c r="C42" s="1672"/>
      <c r="D42" s="1672"/>
      <c r="E42" s="1672"/>
      <c r="F42" s="1672"/>
      <c r="G42" s="1672"/>
      <c r="H42" s="1672"/>
      <c r="I42" s="1193"/>
    </row>
    <row r="43" spans="1:9" x14ac:dyDescent="0.3">
      <c r="A43" s="1193"/>
      <c r="B43" s="1672"/>
      <c r="C43" s="1672"/>
      <c r="D43" s="1672"/>
      <c r="E43" s="1672"/>
      <c r="F43" s="1672"/>
      <c r="G43" s="1672"/>
      <c r="H43" s="1672"/>
      <c r="I43" s="1193"/>
    </row>
    <row r="44" spans="1:9" x14ac:dyDescent="0.3">
      <c r="A44" s="1193"/>
      <c r="B44" s="1672"/>
      <c r="C44" s="1672"/>
      <c r="D44" s="1672"/>
      <c r="E44" s="1672"/>
      <c r="F44" s="1672"/>
      <c r="G44" s="1672"/>
      <c r="H44" s="1672"/>
      <c r="I44" s="1193"/>
    </row>
    <row r="45" spans="1:9" x14ac:dyDescent="0.3">
      <c r="A45" s="1193"/>
      <c r="B45" s="1672"/>
      <c r="C45" s="1672"/>
      <c r="D45" s="1672"/>
      <c r="E45" s="1672"/>
      <c r="F45" s="1672"/>
      <c r="G45" s="1672"/>
      <c r="H45" s="1672"/>
      <c r="I45" s="1193"/>
    </row>
    <row r="46" spans="1:9" x14ac:dyDescent="0.3">
      <c r="A46" s="1193"/>
      <c r="B46" s="1672"/>
      <c r="C46" s="1672"/>
      <c r="D46" s="1672"/>
      <c r="E46" s="1672"/>
      <c r="F46" s="1672"/>
      <c r="G46" s="1672"/>
      <c r="H46" s="1672"/>
      <c r="I46" s="1193"/>
    </row>
    <row r="47" spans="1:9" x14ac:dyDescent="0.3">
      <c r="A47" s="1193"/>
      <c r="B47" s="1672"/>
      <c r="C47" s="1672"/>
      <c r="D47" s="1672"/>
      <c r="E47" s="1672"/>
      <c r="F47" s="1672"/>
      <c r="G47" s="1672"/>
      <c r="H47" s="1672"/>
      <c r="I47" s="1193"/>
    </row>
    <row r="48" spans="1:9" x14ac:dyDescent="0.3">
      <c r="A48" s="1193"/>
      <c r="B48" s="1672"/>
      <c r="C48" s="1672"/>
      <c r="D48" s="1672"/>
      <c r="E48" s="1672"/>
      <c r="F48" s="1672"/>
      <c r="G48" s="1672"/>
      <c r="H48" s="1672"/>
      <c r="I48" s="1193"/>
    </row>
    <row r="49" spans="1:9" x14ac:dyDescent="0.3">
      <c r="A49" s="1193"/>
      <c r="B49" s="1672"/>
      <c r="C49" s="1672"/>
      <c r="D49" s="1672"/>
      <c r="E49" s="1672"/>
      <c r="F49" s="1672"/>
      <c r="G49" s="1672"/>
      <c r="H49" s="1672"/>
      <c r="I49" s="1193"/>
    </row>
    <row r="50" spans="1:9" x14ac:dyDescent="0.3">
      <c r="A50" s="1193"/>
      <c r="B50" s="1672"/>
      <c r="C50" s="1672"/>
      <c r="D50" s="1672"/>
      <c r="E50" s="1672"/>
      <c r="F50" s="1672"/>
      <c r="G50" s="1672"/>
      <c r="H50" s="1672"/>
      <c r="I50" s="1193"/>
    </row>
    <row r="51" spans="1:9" x14ac:dyDescent="0.3">
      <c r="A51" s="1193"/>
      <c r="B51" s="1672"/>
      <c r="C51" s="1672"/>
      <c r="D51" s="1672"/>
      <c r="E51" s="1672"/>
      <c r="F51" s="1672"/>
      <c r="G51" s="1672"/>
      <c r="H51" s="1672"/>
      <c r="I51" s="1193"/>
    </row>
    <row r="52" spans="1:9" x14ac:dyDescent="0.3">
      <c r="A52" s="1193"/>
      <c r="B52" s="1672"/>
      <c r="C52" s="1672"/>
      <c r="D52" s="1672"/>
      <c r="E52" s="1672"/>
      <c r="F52" s="1672"/>
      <c r="G52" s="1672"/>
      <c r="H52" s="1672"/>
      <c r="I52" s="1193"/>
    </row>
    <row r="53" spans="1:9" x14ac:dyDescent="0.3">
      <c r="A53" s="1193"/>
      <c r="B53" s="1672"/>
      <c r="C53" s="1672"/>
      <c r="D53" s="1672"/>
      <c r="E53" s="1672"/>
      <c r="F53" s="1672"/>
      <c r="G53" s="1672"/>
      <c r="H53" s="1672"/>
      <c r="I53" s="1193"/>
    </row>
    <row r="54" spans="1:9" x14ac:dyDescent="0.3">
      <c r="A54" s="1193"/>
      <c r="B54" s="1672"/>
      <c r="C54" s="1672"/>
      <c r="D54" s="1672"/>
      <c r="E54" s="1672"/>
      <c r="F54" s="1672"/>
      <c r="G54" s="1672"/>
      <c r="H54" s="1672"/>
      <c r="I54" s="1193"/>
    </row>
    <row r="55" spans="1:9" x14ac:dyDescent="0.3">
      <c r="A55" s="1193"/>
      <c r="B55" s="1672"/>
      <c r="C55" s="1672"/>
      <c r="D55" s="1672"/>
      <c r="E55" s="1672"/>
      <c r="F55" s="1672"/>
      <c r="G55" s="1672"/>
      <c r="H55" s="1672"/>
      <c r="I55" s="1193"/>
    </row>
    <row r="56" spans="1:9" x14ac:dyDescent="0.3">
      <c r="A56" s="1193"/>
      <c r="B56" s="1672"/>
      <c r="C56" s="1672"/>
      <c r="D56" s="1672"/>
      <c r="E56" s="1672"/>
      <c r="F56" s="1672"/>
      <c r="G56" s="1672"/>
      <c r="H56" s="1672"/>
      <c r="I56" s="1193"/>
    </row>
    <row r="57" spans="1:9" x14ac:dyDescent="0.3">
      <c r="A57" s="1193"/>
      <c r="B57" s="1672"/>
      <c r="C57" s="1672"/>
      <c r="D57" s="1672"/>
      <c r="E57" s="1672"/>
      <c r="F57" s="1672"/>
      <c r="G57" s="1672"/>
      <c r="H57" s="1672"/>
      <c r="I57" s="1193"/>
    </row>
    <row r="58" spans="1:9" x14ac:dyDescent="0.3">
      <c r="A58" s="1193"/>
      <c r="B58" s="1672"/>
      <c r="C58" s="1672"/>
      <c r="D58" s="1672"/>
      <c r="E58" s="1672"/>
      <c r="F58" s="1672"/>
      <c r="G58" s="1672"/>
      <c r="H58" s="1672"/>
      <c r="I58" s="1193"/>
    </row>
    <row r="59" spans="1:9" x14ac:dyDescent="0.3">
      <c r="A59" s="1193"/>
      <c r="B59" s="1672"/>
      <c r="C59" s="1672"/>
      <c r="D59" s="1672"/>
      <c r="E59" s="1672"/>
      <c r="F59" s="1672"/>
      <c r="G59" s="1672"/>
      <c r="H59" s="1672"/>
      <c r="I59" s="1193"/>
    </row>
    <row r="60" spans="1:9" x14ac:dyDescent="0.3">
      <c r="A60" s="1193"/>
      <c r="B60" s="1672"/>
      <c r="C60" s="1672"/>
      <c r="D60" s="1672"/>
      <c r="E60" s="1672"/>
      <c r="F60" s="1672"/>
      <c r="G60" s="1672"/>
      <c r="H60" s="1672"/>
      <c r="I60" s="1193"/>
    </row>
    <row r="61" spans="1:9" x14ac:dyDescent="0.3">
      <c r="A61" s="1193"/>
      <c r="B61" s="1672"/>
      <c r="C61" s="1672"/>
      <c r="D61" s="1672"/>
      <c r="E61" s="1672"/>
      <c r="F61" s="1672"/>
      <c r="G61" s="1672"/>
      <c r="H61" s="1672"/>
      <c r="I61" s="1193"/>
    </row>
    <row r="62" spans="1:9" x14ac:dyDescent="0.3">
      <c r="A62" s="1193"/>
      <c r="B62" s="1672"/>
      <c r="C62" s="1672"/>
      <c r="D62" s="1672"/>
      <c r="E62" s="1672"/>
      <c r="F62" s="1672"/>
      <c r="G62" s="1672"/>
      <c r="H62" s="1672"/>
      <c r="I62" s="1193"/>
    </row>
    <row r="63" spans="1:9" x14ac:dyDescent="0.3">
      <c r="A63" s="1193"/>
      <c r="B63" s="1672"/>
      <c r="C63" s="1672"/>
      <c r="D63" s="1672"/>
      <c r="E63" s="1672"/>
      <c r="F63" s="1672"/>
      <c r="G63" s="1672"/>
      <c r="H63" s="1672"/>
      <c r="I63" s="1193"/>
    </row>
    <row r="64" spans="1:9" x14ac:dyDescent="0.3">
      <c r="A64" s="1193"/>
      <c r="B64" s="1672"/>
      <c r="C64" s="1672"/>
      <c r="D64" s="1672"/>
      <c r="E64" s="1672"/>
      <c r="F64" s="1672"/>
      <c r="G64" s="1672"/>
      <c r="H64" s="1672"/>
      <c r="I64" s="1193"/>
    </row>
    <row r="65" spans="1:9" x14ac:dyDescent="0.3">
      <c r="A65" s="1193"/>
      <c r="B65" s="1672"/>
      <c r="C65" s="1672"/>
      <c r="D65" s="1672"/>
      <c r="E65" s="1672"/>
      <c r="F65" s="1672"/>
      <c r="G65" s="1672"/>
      <c r="H65" s="1672"/>
      <c r="I65" s="1193"/>
    </row>
    <row r="66" spans="1:9" x14ac:dyDescent="0.3">
      <c r="A66" s="1193"/>
      <c r="B66" s="1672"/>
      <c r="C66" s="1672"/>
      <c r="D66" s="1672"/>
      <c r="E66" s="1672"/>
      <c r="F66" s="1672"/>
      <c r="G66" s="1672"/>
      <c r="H66" s="1672"/>
      <c r="I66" s="1193"/>
    </row>
    <row r="67" spans="1:9" x14ac:dyDescent="0.3">
      <c r="A67" s="1193"/>
      <c r="B67" s="1672"/>
      <c r="C67" s="1672"/>
      <c r="D67" s="1672"/>
      <c r="E67" s="1672"/>
      <c r="F67" s="1672"/>
      <c r="G67" s="1672"/>
      <c r="H67" s="1672"/>
      <c r="I67" s="1193"/>
    </row>
    <row r="68" spans="1:9" x14ac:dyDescent="0.3">
      <c r="A68" s="1193"/>
      <c r="B68" s="1672"/>
      <c r="C68" s="1672"/>
      <c r="D68" s="1672"/>
      <c r="E68" s="1672"/>
      <c r="F68" s="1672"/>
      <c r="G68" s="1672"/>
      <c r="H68" s="1672"/>
      <c r="I68" s="1193"/>
    </row>
    <row r="69" spans="1:9" x14ac:dyDescent="0.3">
      <c r="A69" s="1193"/>
      <c r="B69" s="1672"/>
      <c r="C69" s="1672"/>
      <c r="D69" s="1672"/>
      <c r="E69" s="1672"/>
      <c r="F69" s="1672"/>
      <c r="G69" s="1672"/>
      <c r="H69" s="1672"/>
      <c r="I69" s="1193"/>
    </row>
    <row r="70" spans="1:9" x14ac:dyDescent="0.3">
      <c r="A70" s="1193"/>
      <c r="B70" s="1672"/>
      <c r="C70" s="1672"/>
      <c r="D70" s="1672"/>
      <c r="E70" s="1672"/>
      <c r="F70" s="1672"/>
      <c r="G70" s="1672"/>
      <c r="H70" s="1672"/>
      <c r="I70" s="1193"/>
    </row>
    <row r="71" spans="1:9" x14ac:dyDescent="0.3">
      <c r="A71" s="1193"/>
      <c r="B71" s="1672"/>
      <c r="C71" s="1672"/>
      <c r="D71" s="1672"/>
      <c r="E71" s="1672"/>
      <c r="F71" s="1672"/>
      <c r="G71" s="1672"/>
      <c r="H71" s="1672"/>
      <c r="I71" s="1193"/>
    </row>
    <row r="72" spans="1:9" x14ac:dyDescent="0.3">
      <c r="A72" s="1193"/>
      <c r="B72" s="1672"/>
      <c r="C72" s="1672"/>
      <c r="D72" s="1672"/>
      <c r="E72" s="1672"/>
      <c r="F72" s="1672"/>
      <c r="G72" s="1672"/>
      <c r="H72" s="1672"/>
      <c r="I72" s="1193"/>
    </row>
    <row r="73" spans="1:9" x14ac:dyDescent="0.3">
      <c r="A73" s="1193"/>
      <c r="B73" s="1672"/>
      <c r="C73" s="1672"/>
      <c r="D73" s="1672"/>
      <c r="E73" s="1672"/>
      <c r="F73" s="1672"/>
      <c r="G73" s="1672"/>
      <c r="H73" s="1672"/>
      <c r="I73" s="1193"/>
    </row>
    <row r="74" spans="1:9" x14ac:dyDescent="0.3">
      <c r="A74" s="1193"/>
      <c r="B74" s="1672"/>
      <c r="C74" s="1672"/>
      <c r="D74" s="1672"/>
      <c r="E74" s="1672"/>
      <c r="F74" s="1672"/>
      <c r="G74" s="1672"/>
      <c r="H74" s="1672"/>
      <c r="I74" s="1193"/>
    </row>
    <row r="75" spans="1:9" x14ac:dyDescent="0.3">
      <c r="A75" s="1193"/>
      <c r="B75" s="1672"/>
      <c r="C75" s="1672"/>
      <c r="D75" s="1672"/>
      <c r="E75" s="1672"/>
      <c r="F75" s="1672"/>
      <c r="G75" s="1672"/>
      <c r="H75" s="1672"/>
      <c r="I75" s="1193"/>
    </row>
    <row r="76" spans="1:9" x14ac:dyDescent="0.3">
      <c r="A76" s="1193"/>
      <c r="B76" s="1672"/>
      <c r="C76" s="1672"/>
      <c r="D76" s="1672"/>
      <c r="E76" s="1672"/>
      <c r="F76" s="1672"/>
      <c r="G76" s="1672"/>
      <c r="H76" s="1672"/>
      <c r="I76" s="1193"/>
    </row>
    <row r="77" spans="1:9" x14ac:dyDescent="0.3">
      <c r="A77" s="1193"/>
      <c r="B77" s="1672"/>
      <c r="C77" s="1672"/>
      <c r="D77" s="1672"/>
      <c r="E77" s="1672"/>
      <c r="F77" s="1672"/>
      <c r="G77" s="1672"/>
      <c r="H77" s="1672"/>
      <c r="I77" s="1193"/>
    </row>
    <row r="78" spans="1:9" x14ac:dyDescent="0.3">
      <c r="A78" s="1193"/>
      <c r="B78" s="1672"/>
      <c r="C78" s="1672"/>
      <c r="D78" s="1672"/>
      <c r="E78" s="1672"/>
      <c r="F78" s="1672"/>
      <c r="G78" s="1672"/>
      <c r="H78" s="1672"/>
      <c r="I78" s="1193"/>
    </row>
    <row r="79" spans="1:9" x14ac:dyDescent="0.3">
      <c r="A79" s="1193"/>
      <c r="B79" s="1672"/>
      <c r="C79" s="1672"/>
      <c r="D79" s="1672"/>
      <c r="E79" s="1672"/>
      <c r="F79" s="1672"/>
      <c r="G79" s="1672"/>
      <c r="H79" s="1672"/>
      <c r="I79" s="1193"/>
    </row>
    <row r="80" spans="1:9" x14ac:dyDescent="0.3">
      <c r="A80" s="1193"/>
      <c r="B80" s="1672"/>
      <c r="C80" s="1672"/>
      <c r="D80" s="1672"/>
      <c r="E80" s="1672"/>
      <c r="F80" s="1672"/>
      <c r="G80" s="1672"/>
      <c r="H80" s="1672"/>
      <c r="I80" s="1193"/>
    </row>
    <row r="81" spans="1:9" x14ac:dyDescent="0.3">
      <c r="A81" s="1193"/>
      <c r="B81" s="1672"/>
      <c r="C81" s="1672"/>
      <c r="D81" s="1672"/>
      <c r="E81" s="1672"/>
      <c r="F81" s="1672"/>
      <c r="G81" s="1672"/>
      <c r="H81" s="1672"/>
      <c r="I81" s="1193"/>
    </row>
    <row r="82" spans="1:9" x14ac:dyDescent="0.3">
      <c r="A82" s="1193"/>
      <c r="B82" s="1672"/>
      <c r="C82" s="1672"/>
      <c r="D82" s="1672"/>
      <c r="E82" s="1672"/>
      <c r="F82" s="1672"/>
      <c r="G82" s="1672"/>
      <c r="H82" s="1672"/>
      <c r="I82" s="1193"/>
    </row>
    <row r="83" spans="1:9" x14ac:dyDescent="0.3">
      <c r="A83" s="1193"/>
      <c r="B83" s="1672"/>
      <c r="C83" s="1672"/>
      <c r="D83" s="1672"/>
      <c r="E83" s="1672"/>
      <c r="F83" s="1672"/>
      <c r="G83" s="1672"/>
      <c r="H83" s="1672"/>
      <c r="I83" s="1193"/>
    </row>
    <row r="84" spans="1:9" x14ac:dyDescent="0.3">
      <c r="A84" s="1193"/>
      <c r="B84" s="1672"/>
      <c r="C84" s="1672"/>
      <c r="D84" s="1672"/>
      <c r="E84" s="1672"/>
      <c r="F84" s="1672"/>
      <c r="G84" s="1672"/>
      <c r="H84" s="1672"/>
      <c r="I84" s="1193"/>
    </row>
    <row r="85" spans="1:9" x14ac:dyDescent="0.3">
      <c r="A85" s="1193"/>
      <c r="B85" s="1672"/>
      <c r="C85" s="1672"/>
      <c r="D85" s="1672"/>
      <c r="E85" s="1672"/>
      <c r="F85" s="1672"/>
      <c r="G85" s="1672"/>
      <c r="H85" s="1672"/>
      <c r="I85" s="1193"/>
    </row>
    <row r="86" spans="1:9" x14ac:dyDescent="0.3">
      <c r="A86" s="1193"/>
      <c r="B86" s="1672"/>
      <c r="C86" s="1672"/>
      <c r="D86" s="1672"/>
      <c r="E86" s="1672"/>
      <c r="F86" s="1672"/>
      <c r="G86" s="1672"/>
      <c r="H86" s="1672"/>
      <c r="I86" s="1193"/>
    </row>
    <row r="87" spans="1:9" x14ac:dyDescent="0.3">
      <c r="A87" s="1193"/>
      <c r="B87" s="1672"/>
      <c r="C87" s="1672"/>
      <c r="D87" s="1672"/>
      <c r="E87" s="1672"/>
      <c r="F87" s="1672"/>
      <c r="G87" s="1672"/>
      <c r="H87" s="1672"/>
      <c r="I87" s="1193"/>
    </row>
    <row r="88" spans="1:9" x14ac:dyDescent="0.3">
      <c r="A88" s="1193"/>
      <c r="B88" s="1672"/>
      <c r="C88" s="1672"/>
      <c r="D88" s="1672"/>
      <c r="E88" s="1672"/>
      <c r="F88" s="1672"/>
      <c r="G88" s="1672"/>
      <c r="H88" s="1672"/>
      <c r="I88" s="1193"/>
    </row>
    <row r="89" spans="1:9" x14ac:dyDescent="0.3">
      <c r="A89" s="1193"/>
      <c r="B89" s="1672"/>
      <c r="C89" s="1672"/>
      <c r="D89" s="1672"/>
      <c r="E89" s="1672"/>
      <c r="F89" s="1672"/>
      <c r="G89" s="1672"/>
      <c r="H89" s="1672"/>
      <c r="I89" s="1193"/>
    </row>
    <row r="90" spans="1:9" x14ac:dyDescent="0.3">
      <c r="A90" s="1193"/>
      <c r="B90" s="1672"/>
      <c r="C90" s="1672"/>
      <c r="D90" s="1672"/>
      <c r="E90" s="1672"/>
      <c r="F90" s="1672"/>
      <c r="G90" s="1672"/>
      <c r="H90" s="1672"/>
      <c r="I90" s="1193"/>
    </row>
    <row r="91" spans="1:9" x14ac:dyDescent="0.3">
      <c r="A91" s="1193"/>
      <c r="B91" s="1672"/>
      <c r="C91" s="1672"/>
      <c r="D91" s="1672"/>
      <c r="E91" s="1672"/>
      <c r="F91" s="1672"/>
      <c r="G91" s="1672"/>
      <c r="H91" s="1672"/>
      <c r="I91" s="1193"/>
    </row>
    <row r="92" spans="1:9" x14ac:dyDescent="0.3">
      <c r="A92" s="1193"/>
      <c r="B92" s="1672"/>
      <c r="C92" s="1672"/>
      <c r="D92" s="1672"/>
      <c r="E92" s="1672"/>
      <c r="F92" s="1672"/>
      <c r="G92" s="1672"/>
      <c r="H92" s="1672"/>
      <c r="I92" s="1193"/>
    </row>
    <row r="93" spans="1:9" x14ac:dyDescent="0.3">
      <c r="A93" s="1193"/>
      <c r="B93" s="1672"/>
      <c r="C93" s="1672"/>
      <c r="D93" s="1672"/>
      <c r="E93" s="1672"/>
      <c r="F93" s="1672"/>
      <c r="G93" s="1672"/>
      <c r="H93" s="1672"/>
      <c r="I93" s="1193"/>
    </row>
    <row r="94" spans="1:9" x14ac:dyDescent="0.3">
      <c r="A94" s="1193"/>
      <c r="B94" s="1672"/>
      <c r="C94" s="1672"/>
      <c r="D94" s="1672"/>
      <c r="E94" s="1672"/>
      <c r="F94" s="1672"/>
      <c r="G94" s="1672"/>
      <c r="H94" s="1672"/>
      <c r="I94" s="1193"/>
    </row>
    <row r="95" spans="1:9" x14ac:dyDescent="0.3">
      <c r="A95" s="1193"/>
      <c r="B95" s="1672"/>
      <c r="C95" s="1672"/>
      <c r="D95" s="1672"/>
      <c r="E95" s="1672"/>
      <c r="F95" s="1672"/>
      <c r="G95" s="1672"/>
      <c r="H95" s="1672"/>
      <c r="I95" s="1193"/>
    </row>
    <row r="96" spans="1:9" x14ac:dyDescent="0.3">
      <c r="A96" s="1193"/>
      <c r="B96" s="1672"/>
      <c r="C96" s="1672"/>
      <c r="D96" s="1672"/>
      <c r="E96" s="1672"/>
      <c r="F96" s="1672"/>
      <c r="G96" s="1672"/>
      <c r="H96" s="1672"/>
      <c r="I96" s="1193"/>
    </row>
    <row r="97" spans="1:9" x14ac:dyDescent="0.3">
      <c r="A97" s="1193"/>
      <c r="B97" s="1672"/>
      <c r="C97" s="1672"/>
      <c r="D97" s="1672"/>
      <c r="E97" s="1672"/>
      <c r="F97" s="1672"/>
      <c r="G97" s="1672"/>
      <c r="H97" s="1672"/>
      <c r="I97" s="1193"/>
    </row>
    <row r="98" spans="1:9" x14ac:dyDescent="0.3">
      <c r="A98" s="1193"/>
      <c r="B98" s="1672"/>
      <c r="C98" s="1672"/>
      <c r="D98" s="1672"/>
      <c r="E98" s="1672"/>
      <c r="F98" s="1672"/>
      <c r="G98" s="1672"/>
      <c r="H98" s="1672"/>
      <c r="I98" s="1193"/>
    </row>
    <row r="99" spans="1:9" x14ac:dyDescent="0.3">
      <c r="A99" s="1193"/>
      <c r="B99" s="1672"/>
      <c r="C99" s="1672"/>
      <c r="D99" s="1672"/>
      <c r="E99" s="1672"/>
      <c r="F99" s="1672"/>
      <c r="G99" s="1672"/>
      <c r="H99" s="1672"/>
      <c r="I99" s="1193"/>
    </row>
    <row r="100" spans="1:9" x14ac:dyDescent="0.3">
      <c r="A100" s="1193"/>
      <c r="B100" s="1672"/>
      <c r="C100" s="1672"/>
      <c r="D100" s="1672"/>
      <c r="E100" s="1672"/>
      <c r="F100" s="1672"/>
      <c r="G100" s="1672"/>
      <c r="H100" s="1672"/>
      <c r="I100" s="1193"/>
    </row>
  </sheetData>
  <sheetProtection algorithmName="SHA-512" hashValue="z7Qb5pcQtv4en5ecCXvMzlNDIJPp+qizR0bPYdO+Z6/yxh/F5c001niOlPWOktYUTyvx+jH5b/xXoKCZ0D/6gQ==" saltValue="Usqeby4NkSm0OAiWiE0f9w==" spinCount="100000" sheet="1" objects="1" scenarios="1"/>
  <mergeCells count="1">
    <mergeCell ref="A11:I11"/>
  </mergeCells>
  <dataValidations count="2">
    <dataValidation type="list" allowBlank="1" showInputMessage="1" showErrorMessage="1" sqref="B13" xr:uid="{00000000-0002-0000-1600-000000000000}">
      <formula1>"I, II, III, IV, V"</formula1>
    </dataValidation>
    <dataValidation type="list" allowBlank="1" showInputMessage="1" showErrorMessage="1" sqref="AC1" xr:uid="{00000000-0002-0000-1600-000001000000}">
      <formula1>"YES, NO"</formula1>
    </dataValidation>
  </dataValidations>
  <pageMargins left="0.25" right="0.25" top="0.75" bottom="0.75" header="0.3" footer="0.3"/>
  <pageSetup scale="49" orientation="portrait" r:id="rId1"/>
  <headerFooter>
    <oddFooter>&amp;C&amp;A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2:K58"/>
  <sheetViews>
    <sheetView showGridLines="0" view="pageBreakPreview" topLeftCell="A8" zoomScaleNormal="100" zoomScaleSheetLayoutView="100" workbookViewId="0">
      <selection activeCell="C23" sqref="C23"/>
    </sheetView>
  </sheetViews>
  <sheetFormatPr defaultRowHeight="14.4" x14ac:dyDescent="0.3"/>
  <cols>
    <col min="2" max="2" width="56" customWidth="1"/>
    <col min="3" max="3" width="6.6640625" customWidth="1"/>
    <col min="4" max="4" width="16.5546875" bestFit="1" customWidth="1"/>
    <col min="5" max="5" width="17.6640625" bestFit="1" customWidth="1"/>
    <col min="6" max="7" width="25.33203125" bestFit="1" customWidth="1"/>
  </cols>
  <sheetData>
    <row r="12" spans="2:5" ht="30.75" customHeight="1" x14ac:dyDescent="0.3">
      <c r="B12" s="1933" t="s">
        <v>1886</v>
      </c>
      <c r="C12" s="1933"/>
      <c r="D12" s="1933"/>
    </row>
    <row r="13" spans="2:5" ht="15.75" customHeight="1" thickBot="1" x14ac:dyDescent="0.35">
      <c r="B13" s="24" t="s">
        <v>2035</v>
      </c>
      <c r="C13" s="22"/>
    </row>
    <row r="14" spans="2:5" ht="26.25" customHeight="1" thickBot="1" x14ac:dyDescent="0.35">
      <c r="B14" s="1036" t="s">
        <v>5081</v>
      </c>
      <c r="C14" s="144"/>
      <c r="D14" s="1037">
        <f>IFERROR(EDATE(E14,-12), "")</f>
        <v>43831</v>
      </c>
      <c r="E14" s="1122">
        <v>44197</v>
      </c>
    </row>
    <row r="15" spans="2:5" s="392" customFormat="1" ht="29.25" customHeight="1" thickBot="1" x14ac:dyDescent="0.35">
      <c r="B15" s="1038" t="s">
        <v>2033</v>
      </c>
      <c r="C15" s="1039" t="s">
        <v>20</v>
      </c>
      <c r="D15" s="1109">
        <v>3.0000000000000001E-3</v>
      </c>
      <c r="E15" s="1109">
        <v>3.0000000000000001E-3</v>
      </c>
    </row>
    <row r="16" spans="2:5" ht="26.25" customHeight="1" thickBot="1" x14ac:dyDescent="0.35">
      <c r="B16" s="1040" t="s">
        <v>2034</v>
      </c>
      <c r="C16" s="1041" t="s">
        <v>20</v>
      </c>
      <c r="D16" s="1110">
        <v>4.0000000000000002E-4</v>
      </c>
      <c r="E16" s="1110">
        <v>4.0000000000000002E-4</v>
      </c>
    </row>
    <row r="17" spans="1:11" ht="26.25" customHeight="1" thickBot="1" x14ac:dyDescent="0.35">
      <c r="B17" s="1040" t="s">
        <v>428</v>
      </c>
      <c r="C17" s="1041" t="s">
        <v>20</v>
      </c>
      <c r="D17" s="1110">
        <v>5.0000000000000001E-4</v>
      </c>
      <c r="E17" s="1110">
        <v>5.0000000000000001E-4</v>
      </c>
    </row>
    <row r="18" spans="1:11" s="604" customFormat="1" ht="26.25" customHeight="1" thickBot="1" x14ac:dyDescent="0.35">
      <c r="B18" s="1040" t="s">
        <v>28</v>
      </c>
      <c r="C18" s="1041" t="s">
        <v>20</v>
      </c>
      <c r="D18" s="1111">
        <v>0.25</v>
      </c>
      <c r="E18" s="1111">
        <v>0.25</v>
      </c>
    </row>
    <row r="21" spans="1:11" ht="15" thickBot="1" x14ac:dyDescent="0.35">
      <c r="B21" s="24" t="s">
        <v>2036</v>
      </c>
      <c r="C21" s="22"/>
    </row>
    <row r="22" spans="1:11" s="392" customFormat="1" ht="15" thickBot="1" x14ac:dyDescent="0.35">
      <c r="B22" s="143" t="s">
        <v>2037</v>
      </c>
      <c r="C22" s="1934">
        <v>44136</v>
      </c>
      <c r="D22" s="1935"/>
    </row>
    <row r="23" spans="1:11" ht="15" thickBot="1" x14ac:dyDescent="0.35">
      <c r="B23" s="143" t="s">
        <v>2038</v>
      </c>
      <c r="C23" s="1674" t="s">
        <v>20</v>
      </c>
      <c r="D23" s="1675">
        <v>0.105</v>
      </c>
    </row>
    <row r="24" spans="1:11" ht="15" thickBot="1" x14ac:dyDescent="0.35">
      <c r="B24" s="143" t="s">
        <v>2040</v>
      </c>
      <c r="C24" s="1674" t="s">
        <v>20</v>
      </c>
      <c r="D24" s="1675">
        <v>0.15</v>
      </c>
    </row>
    <row r="25" spans="1:11" ht="15" thickBot="1" x14ac:dyDescent="0.35">
      <c r="B25" s="143" t="s">
        <v>2039</v>
      </c>
      <c r="C25" s="1674" t="s">
        <v>20</v>
      </c>
      <c r="D25" s="1675">
        <v>0.217</v>
      </c>
    </row>
    <row r="28" spans="1:11" hidden="1" x14ac:dyDescent="0.3">
      <c r="B28" s="719"/>
      <c r="C28" s="110"/>
      <c r="D28" s="604"/>
    </row>
    <row r="29" spans="1:11" hidden="1" x14ac:dyDescent="0.3">
      <c r="B29" s="1034"/>
      <c r="C29" s="110"/>
      <c r="D29" s="1035"/>
      <c r="E29" s="1936"/>
      <c r="F29" s="1936"/>
      <c r="G29" s="1936"/>
      <c r="H29" s="1936"/>
      <c r="I29" s="1936"/>
      <c r="J29" s="1936"/>
      <c r="K29" s="1936"/>
    </row>
    <row r="30" spans="1:11" hidden="1" x14ac:dyDescent="0.3">
      <c r="E30" s="1936"/>
      <c r="F30" s="1936"/>
      <c r="G30" s="1936"/>
      <c r="H30" s="1936"/>
      <c r="I30" s="1936"/>
      <c r="J30" s="1936"/>
      <c r="K30" s="1936"/>
    </row>
    <row r="31" spans="1:11" hidden="1" x14ac:dyDescent="0.3">
      <c r="A31" s="604"/>
    </row>
    <row r="32" spans="1:11" ht="15" thickBot="1" x14ac:dyDescent="0.35">
      <c r="B32" s="719" t="s">
        <v>3738</v>
      </c>
      <c r="C32" s="779"/>
      <c r="D32" s="678"/>
    </row>
    <row r="33" spans="2:7" ht="15" thickBot="1" x14ac:dyDescent="0.35">
      <c r="B33" s="143" t="s">
        <v>3738</v>
      </c>
      <c r="C33" s="144" t="s">
        <v>19</v>
      </c>
      <c r="D33" s="1123">
        <v>0.56999999999999995</v>
      </c>
    </row>
    <row r="34" spans="2:7" ht="15" thickBot="1" x14ac:dyDescent="0.35">
      <c r="D34" s="1"/>
    </row>
    <row r="35" spans="2:7" ht="29.4" thickBot="1" x14ac:dyDescent="0.35">
      <c r="B35" s="143" t="s">
        <v>5475</v>
      </c>
      <c r="C35" s="144" t="s">
        <v>19</v>
      </c>
      <c r="D35" s="1123">
        <v>36.86</v>
      </c>
    </row>
    <row r="36" spans="2:7" ht="37.5" customHeight="1" x14ac:dyDescent="0.3">
      <c r="B36" s="1042" t="s">
        <v>5082</v>
      </c>
      <c r="C36" s="1043"/>
      <c r="D36" s="1043"/>
      <c r="E36" s="1043"/>
      <c r="F36" s="1043"/>
      <c r="G36" s="1044"/>
    </row>
    <row r="37" spans="2:7" x14ac:dyDescent="0.3">
      <c r="B37" s="1043"/>
      <c r="C37" s="1043"/>
      <c r="D37" s="1043"/>
      <c r="E37" s="1043"/>
      <c r="F37" s="1043"/>
      <c r="G37" s="1044"/>
    </row>
    <row r="38" spans="2:7" ht="16.8" x14ac:dyDescent="0.3">
      <c r="B38" s="1045" t="s">
        <v>5083</v>
      </c>
      <c r="C38" s="1046" t="s">
        <v>49</v>
      </c>
      <c r="D38" s="1046" t="s">
        <v>5084</v>
      </c>
      <c r="E38" s="1047" t="s">
        <v>5085</v>
      </c>
      <c r="F38" s="1048" t="s">
        <v>5086</v>
      </c>
    </row>
    <row r="39" spans="2:7" ht="15.6" x14ac:dyDescent="0.3">
      <c r="B39" s="1049" t="s">
        <v>4188</v>
      </c>
      <c r="C39" s="1050" t="s">
        <v>19</v>
      </c>
      <c r="D39" s="1124">
        <f>IF(LDCNAME1="InnPower Corporation",38.82,IF(LDCNAME1="Hydro Ottawa Limited",53,44.5))</f>
        <v>44.5</v>
      </c>
      <c r="E39" s="1086">
        <v>2.1999999999999999E-2</v>
      </c>
      <c r="F39" s="1087">
        <f>ROUND(D39*(1+E39),2)</f>
        <v>45.48</v>
      </c>
    </row>
    <row r="40" spans="2:7" x14ac:dyDescent="0.3">
      <c r="B40" s="1051"/>
      <c r="C40" s="1052"/>
      <c r="D40" s="1053"/>
      <c r="E40" s="1053"/>
      <c r="F40" s="1053"/>
    </row>
    <row r="41" spans="2:7" x14ac:dyDescent="0.3">
      <c r="B41" s="1054" t="s">
        <v>5087</v>
      </c>
      <c r="C41" s="1055"/>
      <c r="D41" s="1228" t="s">
        <v>5084</v>
      </c>
      <c r="E41" s="1228" t="s">
        <v>5088</v>
      </c>
      <c r="F41" s="1228" t="s">
        <v>5089</v>
      </c>
    </row>
    <row r="42" spans="2:7" ht="27.6" x14ac:dyDescent="0.3">
      <c r="B42" s="1049" t="s">
        <v>2485</v>
      </c>
      <c r="C42" s="1050" t="s">
        <v>19</v>
      </c>
      <c r="D42" s="1227">
        <v>102</v>
      </c>
      <c r="E42" s="1088">
        <v>2.1999999999999999E-2</v>
      </c>
      <c r="F42" s="1227">
        <f>ROUND(D42*(1+E42),2)</f>
        <v>104.24</v>
      </c>
    </row>
    <row r="43" spans="2:7" ht="15.6" x14ac:dyDescent="0.3">
      <c r="B43" s="1049" t="s">
        <v>3919</v>
      </c>
      <c r="C43" s="1050" t="s">
        <v>19</v>
      </c>
      <c r="D43" s="1227">
        <v>40.799999999999997</v>
      </c>
      <c r="E43" s="1088">
        <v>2.1999999999999999E-2</v>
      </c>
      <c r="F43" s="1227">
        <f t="shared" ref="F43:F49" si="0">ROUND(D43*(1+E43),2)</f>
        <v>41.7</v>
      </c>
    </row>
    <row r="44" spans="2:7" ht="15.6" x14ac:dyDescent="0.3">
      <c r="B44" s="1049" t="s">
        <v>3920</v>
      </c>
      <c r="C44" s="1056" t="s">
        <v>2488</v>
      </c>
      <c r="D44" s="1227">
        <v>1.02</v>
      </c>
      <c r="E44" s="1088">
        <v>2.1999999999999999E-2</v>
      </c>
      <c r="F44" s="1227">
        <f t="shared" si="0"/>
        <v>1.04</v>
      </c>
    </row>
    <row r="45" spans="2:7" ht="27.6" x14ac:dyDescent="0.3">
      <c r="B45" s="1049" t="s">
        <v>2489</v>
      </c>
      <c r="C45" s="1056" t="s">
        <v>2488</v>
      </c>
      <c r="D45" s="1227">
        <v>0.61</v>
      </c>
      <c r="E45" s="1088">
        <v>2.1999999999999999E-2</v>
      </c>
      <c r="F45" s="1227">
        <f t="shared" si="0"/>
        <v>0.62</v>
      </c>
    </row>
    <row r="46" spans="2:7" ht="27.6" x14ac:dyDescent="0.3">
      <c r="B46" s="1049" t="s">
        <v>2490</v>
      </c>
      <c r="C46" s="1056" t="s">
        <v>2488</v>
      </c>
      <c r="D46" s="1227">
        <v>-0.61</v>
      </c>
      <c r="E46" s="1088">
        <v>2.1999999999999999E-2</v>
      </c>
      <c r="F46" s="1227">
        <f t="shared" si="0"/>
        <v>-0.62</v>
      </c>
    </row>
    <row r="47" spans="2:7" ht="15.6" x14ac:dyDescent="0.3">
      <c r="B47" s="1049" t="s">
        <v>2596</v>
      </c>
      <c r="C47" s="1050"/>
      <c r="D47" s="1227"/>
      <c r="E47" s="1676">
        <v>2.1999999999999999E-2</v>
      </c>
      <c r="F47" s="1227">
        <f t="shared" si="0"/>
        <v>0</v>
      </c>
    </row>
    <row r="48" spans="2:7" ht="15.6" x14ac:dyDescent="0.3">
      <c r="B48" s="1049" t="s">
        <v>5090</v>
      </c>
      <c r="C48" s="1050" t="s">
        <v>19</v>
      </c>
      <c r="D48" s="1227">
        <v>0.51</v>
      </c>
      <c r="E48" s="1088">
        <v>2.1999999999999999E-2</v>
      </c>
      <c r="F48" s="1227">
        <f t="shared" si="0"/>
        <v>0.52</v>
      </c>
    </row>
    <row r="49" spans="2:7" ht="27.6" x14ac:dyDescent="0.3">
      <c r="B49" s="1049" t="s">
        <v>5091</v>
      </c>
      <c r="C49" s="1050" t="s">
        <v>19</v>
      </c>
      <c r="D49" s="1227">
        <v>1.02</v>
      </c>
      <c r="E49" s="1088">
        <v>2.1999999999999999E-2</v>
      </c>
      <c r="F49" s="1227">
        <f t="shared" si="0"/>
        <v>1.04</v>
      </c>
    </row>
    <row r="50" spans="2:7" ht="27.6" x14ac:dyDescent="0.3">
      <c r="B50" s="1049" t="s">
        <v>2597</v>
      </c>
      <c r="C50" s="1056"/>
      <c r="D50" s="1087"/>
      <c r="E50" s="1089"/>
      <c r="F50" s="1087"/>
    </row>
    <row r="51" spans="2:7" ht="15.6" x14ac:dyDescent="0.3">
      <c r="B51" s="1049" t="s">
        <v>5092</v>
      </c>
      <c r="C51" s="1050"/>
      <c r="D51" s="1226" t="s">
        <v>2498</v>
      </c>
      <c r="E51" s="1088"/>
      <c r="F51" s="1226" t="s">
        <v>2498</v>
      </c>
    </row>
    <row r="52" spans="2:7" ht="27.6" x14ac:dyDescent="0.3">
      <c r="B52" s="1049" t="s">
        <v>5093</v>
      </c>
      <c r="C52" s="1050" t="s">
        <v>19</v>
      </c>
      <c r="D52" s="1227">
        <v>4.08</v>
      </c>
      <c r="E52" s="1088">
        <v>2.1999999999999999E-2</v>
      </c>
      <c r="F52" s="1227">
        <f>ROUND(D52*(1+E52),2)</f>
        <v>4.17</v>
      </c>
    </row>
    <row r="53" spans="2:7" ht="55.2" x14ac:dyDescent="0.3">
      <c r="B53" s="1049" t="s">
        <v>4608</v>
      </c>
      <c r="C53" s="1050" t="s">
        <v>19</v>
      </c>
      <c r="D53" s="1227">
        <v>2.04</v>
      </c>
      <c r="E53" s="1088">
        <v>2.1999999999999999E-2</v>
      </c>
      <c r="F53" s="1227">
        <f>ROUND(D53*(1+E53),2)</f>
        <v>2.08</v>
      </c>
    </row>
    <row r="54" spans="2:7" x14ac:dyDescent="0.3">
      <c r="B54" s="678"/>
      <c r="C54" s="678"/>
      <c r="D54" s="678"/>
      <c r="E54" s="678"/>
      <c r="F54" s="678"/>
      <c r="G54" s="1033"/>
    </row>
    <row r="55" spans="2:7" x14ac:dyDescent="0.3">
      <c r="B55" s="678"/>
      <c r="C55" s="678"/>
      <c r="D55" s="678"/>
      <c r="E55" s="678"/>
      <c r="F55" s="678"/>
      <c r="G55" s="1033"/>
    </row>
    <row r="56" spans="2:7" x14ac:dyDescent="0.3">
      <c r="B56" s="1057" t="s">
        <v>5094</v>
      </c>
      <c r="C56" s="678"/>
      <c r="D56" s="678"/>
      <c r="E56" s="678"/>
      <c r="F56" s="678"/>
      <c r="G56" s="1033"/>
    </row>
    <row r="57" spans="2:7" x14ac:dyDescent="0.3">
      <c r="B57" s="1057" t="s">
        <v>5095</v>
      </c>
      <c r="C57" s="678"/>
      <c r="D57" s="678"/>
      <c r="E57" s="678"/>
      <c r="F57" s="678"/>
      <c r="G57" s="1033"/>
    </row>
    <row r="58" spans="2:7" x14ac:dyDescent="0.3">
      <c r="B58" s="1058" t="s">
        <v>5096</v>
      </c>
      <c r="C58" s="678"/>
      <c r="D58" s="678"/>
      <c r="E58" s="678"/>
      <c r="F58" s="678"/>
      <c r="G58" s="1033"/>
    </row>
  </sheetData>
  <sheetProtection algorithmName="SHA-512" hashValue="/n/rdwkugbFOclfDCwFFLWdWpJMc1+VuTBSAJVIJBZAa2iegm8X46cBjk3Z1UUR+/dUdW3VyYjXgmTvk55rcwQ==" saltValue="COTvS6MPSCB9g6/kM6+SlQ==" spinCount="100000" sheet="1" objects="1" scenarios="1"/>
  <mergeCells count="3">
    <mergeCell ref="B12:D12"/>
    <mergeCell ref="C22:D22"/>
    <mergeCell ref="E29:K30"/>
  </mergeCells>
  <pageMargins left="0.7" right="0.7" top="0.75" bottom="0.75" header="0.3" footer="0.3"/>
  <pageSetup scale="5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A118"/>
  <sheetViews>
    <sheetView showGridLines="0" view="pageBreakPreview" topLeftCell="A86" zoomScale="60" zoomScaleNormal="100" workbookViewId="0">
      <selection activeCell="B118" sqref="B118"/>
    </sheetView>
  </sheetViews>
  <sheetFormatPr defaultColWidth="9.33203125" defaultRowHeight="14.4" x14ac:dyDescent="0.3"/>
  <cols>
    <col min="1" max="1" width="78.33203125" style="1193" customWidth="1"/>
    <col min="2" max="2" width="10.33203125" style="1193" customWidth="1"/>
    <col min="3" max="3" width="16" style="1197" customWidth="1"/>
    <col min="4" max="4" width="17.6640625" style="1193" customWidth="1"/>
    <col min="5" max="5" width="42.33203125" style="1198" customWidth="1"/>
    <col min="6" max="6" width="5.6640625" style="1199" customWidth="1"/>
    <col min="7" max="7" width="2.33203125" style="1193" bestFit="1" customWidth="1"/>
    <col min="8" max="8" width="62.33203125" style="1193" customWidth="1"/>
    <col min="9" max="9" width="34.6640625" style="1193" customWidth="1"/>
    <col min="10" max="10" width="6.6640625" style="1193" customWidth="1"/>
    <col min="11" max="11" width="9.33203125" style="1193" bestFit="1" customWidth="1"/>
    <col min="12" max="13" width="18.33203125" style="1193" customWidth="1"/>
    <col min="14" max="16" width="9.33203125" style="1193" customWidth="1"/>
    <col min="17" max="17" width="14.6640625" style="1193" customWidth="1"/>
    <col min="18" max="25" width="9.33203125" style="1193"/>
    <col min="26" max="28" width="9.33203125" style="1193" customWidth="1"/>
    <col min="29" max="16384" width="9.33203125" style="1193"/>
  </cols>
  <sheetData>
    <row r="1" spans="1:27" ht="33" customHeight="1" x14ac:dyDescent="0.3">
      <c r="AA1" s="1200">
        <v>3</v>
      </c>
    </row>
    <row r="2" spans="1:27" x14ac:dyDescent="0.3">
      <c r="B2" s="1193" t="s">
        <v>1941</v>
      </c>
      <c r="AA2" s="1200"/>
    </row>
    <row r="3" spans="1:27" ht="17.399999999999999" x14ac:dyDescent="0.3">
      <c r="B3" s="109" t="s">
        <v>1942</v>
      </c>
      <c r="J3" s="1651"/>
      <c r="AA3" s="1200"/>
    </row>
    <row r="4" spans="1:27" x14ac:dyDescent="0.3">
      <c r="J4" s="1651"/>
      <c r="AA4" s="1200"/>
    </row>
    <row r="5" spans="1:27" x14ac:dyDescent="0.3">
      <c r="B5" s="1937"/>
      <c r="C5" s="1938"/>
      <c r="D5" s="1938"/>
      <c r="E5" s="1938"/>
      <c r="J5" s="1651"/>
      <c r="AA5" s="1200"/>
    </row>
    <row r="6" spans="1:27" x14ac:dyDescent="0.3">
      <c r="J6" s="1651"/>
      <c r="AA6" s="1200"/>
    </row>
    <row r="7" spans="1:27" x14ac:dyDescent="0.3">
      <c r="B7" s="1195"/>
      <c r="AA7" s="1200"/>
    </row>
    <row r="8" spans="1:27" x14ac:dyDescent="0.3">
      <c r="AA8" s="1200"/>
    </row>
    <row r="9" spans="1:27" x14ac:dyDescent="0.3">
      <c r="B9" s="1939"/>
      <c r="C9" s="1940"/>
      <c r="D9" s="1940"/>
      <c r="E9" s="1940"/>
    </row>
    <row r="11" spans="1:27" ht="137.25" customHeight="1" x14ac:dyDescent="0.3">
      <c r="A11" s="1932" t="s">
        <v>5908</v>
      </c>
      <c r="B11" s="1932"/>
      <c r="C11" s="1932"/>
      <c r="D11" s="1932"/>
      <c r="E11" s="1932"/>
      <c r="F11" s="1932"/>
      <c r="G11" s="1201"/>
      <c r="H11" s="1202"/>
      <c r="I11" s="1203"/>
      <c r="J11" s="1203"/>
      <c r="K11" s="1203"/>
      <c r="L11" s="1204"/>
      <c r="AA11" s="1200"/>
    </row>
    <row r="12" spans="1:27" ht="4.5" customHeight="1" x14ac:dyDescent="0.3">
      <c r="A12" s="1205"/>
      <c r="B12" s="1205"/>
      <c r="C12" s="449"/>
      <c r="D12" s="1205"/>
      <c r="E12" s="455"/>
      <c r="F12" s="1206"/>
      <c r="G12" s="1205"/>
      <c r="H12" s="1203"/>
      <c r="I12" s="1203"/>
      <c r="J12" s="1203"/>
      <c r="K12" s="1203"/>
      <c r="L12" s="1207"/>
      <c r="M12" s="1208"/>
      <c r="N12" s="1208"/>
      <c r="O12" s="1208"/>
      <c r="AA12" s="1200"/>
    </row>
    <row r="13" spans="1:27" ht="4.5" customHeight="1" x14ac:dyDescent="0.3">
      <c r="A13" s="1205"/>
      <c r="B13" s="1205"/>
      <c r="C13" s="449"/>
      <c r="D13" s="1205"/>
      <c r="E13" s="455"/>
      <c r="F13" s="1206"/>
      <c r="G13" s="1205"/>
      <c r="H13" s="1203"/>
      <c r="I13" s="1203"/>
      <c r="J13" s="1203"/>
      <c r="K13" s="1203"/>
      <c r="L13" s="1207"/>
      <c r="M13" s="1208"/>
      <c r="N13" s="1208"/>
      <c r="O13" s="1208"/>
    </row>
    <row r="14" spans="1:27" ht="4.5" customHeight="1" x14ac:dyDescent="0.3">
      <c r="A14" s="1205"/>
      <c r="B14" s="1205"/>
      <c r="C14" s="449"/>
      <c r="D14" s="1205"/>
      <c r="E14" s="455"/>
      <c r="F14" s="1206"/>
      <c r="G14" s="1205"/>
      <c r="H14" s="1203"/>
      <c r="I14" s="1203"/>
      <c r="J14" s="1203"/>
      <c r="K14" s="1203"/>
      <c r="L14" s="1207"/>
      <c r="M14" s="1208"/>
      <c r="N14" s="1208"/>
      <c r="O14" s="1208"/>
    </row>
    <row r="15" spans="1:27" ht="4.5" customHeight="1" x14ac:dyDescent="0.3">
      <c r="E15" s="1209"/>
      <c r="F15" s="1210"/>
      <c r="G15" s="1211"/>
      <c r="H15" s="1212"/>
      <c r="I15" s="1204"/>
      <c r="J15" s="1204"/>
      <c r="K15" s="1204"/>
      <c r="L15" s="1207"/>
      <c r="M15" s="1208"/>
      <c r="N15" s="1208"/>
      <c r="O15" s="1208"/>
    </row>
    <row r="16" spans="1:27" ht="4.5" customHeight="1" x14ac:dyDescent="0.3">
      <c r="A16" s="1211"/>
      <c r="B16" s="1211"/>
      <c r="C16" s="1213"/>
      <c r="D16" s="1211"/>
      <c r="E16" s="1209"/>
      <c r="F16" s="1210"/>
      <c r="G16" s="1211"/>
      <c r="H16" s="1212"/>
      <c r="I16" s="1204"/>
      <c r="J16" s="1204"/>
      <c r="K16" s="1204"/>
      <c r="L16" s="1207"/>
      <c r="M16" s="1208"/>
      <c r="N16" s="1208"/>
      <c r="O16" s="1208"/>
    </row>
    <row r="17" spans="1:7" ht="15.75" customHeight="1" thickBot="1" x14ac:dyDescent="0.35">
      <c r="A17" s="1586" t="s">
        <v>427</v>
      </c>
      <c r="B17" s="1590" t="s">
        <v>7373</v>
      </c>
      <c r="C17" s="1591" t="s">
        <v>7374</v>
      </c>
      <c r="E17" s="1592" t="s">
        <v>7375</v>
      </c>
      <c r="G17" s="1586" t="s">
        <v>7376</v>
      </c>
    </row>
    <row r="18" spans="1:7" ht="15" thickBot="1" x14ac:dyDescent="0.35">
      <c r="A18" s="1604"/>
      <c r="B18" s="1596"/>
      <c r="C18" s="1589"/>
      <c r="D18" s="1597" t="s">
        <v>7377</v>
      </c>
      <c r="E18" s="1598"/>
      <c r="F18" s="1597"/>
      <c r="G18" s="1587" t="str">
        <f>IFERROR(VLOOKUP(A18,'Rate Rider Database'!C:E,3,FALSE),"")</f>
        <v/>
      </c>
    </row>
    <row r="19" spans="1:7" ht="15" thickBot="1" x14ac:dyDescent="0.35">
      <c r="A19" s="1604"/>
      <c r="B19" s="1596"/>
      <c r="C19" s="1605"/>
      <c r="D19" s="1602" t="s">
        <v>7377</v>
      </c>
      <c r="E19" s="1603"/>
      <c r="F19" s="1602"/>
      <c r="G19" s="1588" t="str">
        <f>IFERROR(VLOOKUP(A19,'Rate Rider Database'!C:E,3,FALSE),"")</f>
        <v/>
      </c>
    </row>
    <row r="20" spans="1:7" ht="15" thickBot="1" x14ac:dyDescent="0.35">
      <c r="A20" s="1604"/>
      <c r="B20" s="1596"/>
      <c r="C20" s="1605"/>
      <c r="D20" s="1602" t="s">
        <v>7377</v>
      </c>
      <c r="E20" s="1603"/>
      <c r="F20" s="1602"/>
      <c r="G20" s="1588" t="str">
        <f>IFERROR(VLOOKUP(A20,'Rate Rider Database'!C:E,3,FALSE),"")</f>
        <v/>
      </c>
    </row>
    <row r="21" spans="1:7" ht="15" thickBot="1" x14ac:dyDescent="0.35">
      <c r="A21" s="1604"/>
      <c r="B21" s="1596"/>
      <c r="C21" s="1605"/>
      <c r="D21" s="1602" t="s">
        <v>7377</v>
      </c>
      <c r="E21" s="1603"/>
      <c r="F21" s="1602"/>
      <c r="G21" s="1588" t="str">
        <f>IFERROR(VLOOKUP(A21,'Rate Rider Database'!C:E,3,FALSE),"")</f>
        <v/>
      </c>
    </row>
    <row r="22" spans="1:7" ht="15" thickBot="1" x14ac:dyDescent="0.35">
      <c r="A22" s="1604"/>
      <c r="B22" s="1596"/>
      <c r="C22" s="1605"/>
      <c r="D22" s="1602" t="s">
        <v>7377</v>
      </c>
      <c r="E22" s="1603"/>
      <c r="F22" s="1602"/>
      <c r="G22" s="1588" t="str">
        <f>IFERROR(VLOOKUP(A22,'Rate Rider Database'!C:E,3,FALSE),"")</f>
        <v/>
      </c>
    </row>
    <row r="23" spans="1:7" ht="15" thickBot="1" x14ac:dyDescent="0.35">
      <c r="A23" s="1604"/>
      <c r="B23" s="1596"/>
      <c r="C23" s="1605"/>
      <c r="D23" s="1602" t="s">
        <v>7377</v>
      </c>
      <c r="E23" s="1603"/>
      <c r="F23" s="1602"/>
      <c r="G23" s="1588" t="str">
        <f>IFERROR(VLOOKUP(A23,'Rate Rider Database'!C:E,3,FALSE),"")</f>
        <v/>
      </c>
    </row>
    <row r="24" spans="1:7" ht="15" thickBot="1" x14ac:dyDescent="0.35">
      <c r="A24" s="1604"/>
      <c r="B24" s="1596"/>
      <c r="C24" s="1605"/>
      <c r="D24" s="1602" t="s">
        <v>7377</v>
      </c>
      <c r="E24" s="1603"/>
      <c r="F24" s="1602"/>
      <c r="G24" s="1588" t="str">
        <f>IFERROR(VLOOKUP(A24,'Rate Rider Database'!C:E,3,FALSE),"")</f>
        <v/>
      </c>
    </row>
    <row r="25" spans="1:7" ht="15" thickBot="1" x14ac:dyDescent="0.35">
      <c r="A25" s="1595"/>
      <c r="B25" s="1596"/>
      <c r="C25" s="1605"/>
      <c r="D25" s="1602" t="s">
        <v>7377</v>
      </c>
      <c r="E25" s="1603"/>
      <c r="F25" s="1602"/>
      <c r="G25" s="1588"/>
    </row>
    <row r="26" spans="1:7" ht="15" thickBot="1" x14ac:dyDescent="0.35">
      <c r="A26" s="1595"/>
      <c r="B26" s="1596"/>
      <c r="C26" s="1605"/>
      <c r="D26" s="1602" t="s">
        <v>7377</v>
      </c>
      <c r="E26" s="1603"/>
      <c r="F26" s="1602"/>
      <c r="G26" s="1588"/>
    </row>
    <row r="27" spans="1:7" ht="15" thickBot="1" x14ac:dyDescent="0.35">
      <c r="A27" s="1593"/>
      <c r="B27" s="1594"/>
      <c r="C27" s="1606"/>
      <c r="D27" s="1600" t="s">
        <v>7377</v>
      </c>
      <c r="E27" s="1601"/>
      <c r="F27" s="1600"/>
      <c r="G27" s="1599"/>
    </row>
    <row r="30" spans="1:7" ht="15.75" customHeight="1" thickBot="1" x14ac:dyDescent="0.35">
      <c r="A30" s="1586" t="s">
        <v>2522</v>
      </c>
      <c r="B30" s="1590" t="s">
        <v>7373</v>
      </c>
      <c r="C30" s="1591" t="s">
        <v>7374</v>
      </c>
      <c r="E30" s="1592" t="s">
        <v>7375</v>
      </c>
      <c r="G30" s="1586" t="s">
        <v>7376</v>
      </c>
    </row>
    <row r="31" spans="1:7" ht="15" thickBot="1" x14ac:dyDescent="0.35">
      <c r="A31" s="1604"/>
      <c r="B31" s="1596"/>
      <c r="C31" s="1589"/>
      <c r="D31" s="1597" t="s">
        <v>7377</v>
      </c>
      <c r="E31" s="1598"/>
      <c r="F31" s="1597"/>
      <c r="G31" s="1587" t="str">
        <f>IFERROR(VLOOKUP(A31,'Rate Rider Database'!C:E,3,FALSE),"")</f>
        <v/>
      </c>
    </row>
    <row r="32" spans="1:7" ht="15" thickBot="1" x14ac:dyDescent="0.35">
      <c r="A32" s="1604"/>
      <c r="B32" s="1596"/>
      <c r="C32" s="1605"/>
      <c r="D32" s="1602" t="s">
        <v>7377</v>
      </c>
      <c r="E32" s="1603"/>
      <c r="F32" s="1602"/>
      <c r="G32" s="1588" t="str">
        <f>IFERROR(VLOOKUP(A32,'Rate Rider Database'!C:E,3,FALSE),"")</f>
        <v/>
      </c>
    </row>
    <row r="33" spans="1:7" ht="15" thickBot="1" x14ac:dyDescent="0.35">
      <c r="A33" s="1604"/>
      <c r="B33" s="1596"/>
      <c r="C33" s="1605"/>
      <c r="D33" s="1602" t="s">
        <v>7377</v>
      </c>
      <c r="E33" s="1603"/>
      <c r="F33" s="1602"/>
      <c r="G33" s="1588" t="str">
        <f>IFERROR(VLOOKUP(A33,'Rate Rider Database'!C:E,3,FALSE),"")</f>
        <v/>
      </c>
    </row>
    <row r="34" spans="1:7" ht="15" thickBot="1" x14ac:dyDescent="0.35">
      <c r="A34" s="1604"/>
      <c r="B34" s="1596"/>
      <c r="C34" s="1605"/>
      <c r="D34" s="1602" t="s">
        <v>7377</v>
      </c>
      <c r="E34" s="1603"/>
      <c r="F34" s="1602"/>
      <c r="G34" s="1588" t="str">
        <f>IFERROR(VLOOKUP(A34,'Rate Rider Database'!C:E,3,FALSE),"")</f>
        <v/>
      </c>
    </row>
    <row r="35" spans="1:7" ht="15" thickBot="1" x14ac:dyDescent="0.35">
      <c r="A35" s="1604"/>
      <c r="B35" s="1596"/>
      <c r="C35" s="1605"/>
      <c r="D35" s="1602" t="s">
        <v>7377</v>
      </c>
      <c r="E35" s="1603"/>
      <c r="F35" s="1602"/>
      <c r="G35" s="1588" t="str">
        <f>IFERROR(VLOOKUP(A35,'Rate Rider Database'!C:E,3,FALSE),"")</f>
        <v/>
      </c>
    </row>
    <row r="36" spans="1:7" ht="15" thickBot="1" x14ac:dyDescent="0.35">
      <c r="A36" s="1604"/>
      <c r="B36" s="1596"/>
      <c r="C36" s="1605"/>
      <c r="D36" s="1602" t="s">
        <v>7377</v>
      </c>
      <c r="E36" s="1603"/>
      <c r="F36" s="1602"/>
      <c r="G36" s="1588" t="str">
        <f>IFERROR(VLOOKUP(A36,'Rate Rider Database'!C:E,3,FALSE),"")</f>
        <v/>
      </c>
    </row>
    <row r="37" spans="1:7" ht="15" thickBot="1" x14ac:dyDescent="0.35">
      <c r="A37" s="1604"/>
      <c r="B37" s="1596"/>
      <c r="C37" s="1605"/>
      <c r="D37" s="1602" t="s">
        <v>7377</v>
      </c>
      <c r="E37" s="1603"/>
      <c r="F37" s="1602"/>
      <c r="G37" s="1588" t="str">
        <f>IFERROR(VLOOKUP(A37,'Rate Rider Database'!C:E,3,FALSE),"")</f>
        <v/>
      </c>
    </row>
    <row r="38" spans="1:7" ht="15" thickBot="1" x14ac:dyDescent="0.35">
      <c r="A38" s="1595"/>
      <c r="B38" s="1596"/>
      <c r="C38" s="1605"/>
      <c r="D38" s="1602" t="s">
        <v>7377</v>
      </c>
      <c r="E38" s="1603"/>
      <c r="F38" s="1602"/>
      <c r="G38" s="1588"/>
    </row>
    <row r="39" spans="1:7" ht="15" thickBot="1" x14ac:dyDescent="0.35">
      <c r="A39" s="1595"/>
      <c r="B39" s="1596"/>
      <c r="C39" s="1605"/>
      <c r="D39" s="1602" t="s">
        <v>7377</v>
      </c>
      <c r="E39" s="1603"/>
      <c r="F39" s="1602"/>
      <c r="G39" s="1588"/>
    </row>
    <row r="40" spans="1:7" ht="15" thickBot="1" x14ac:dyDescent="0.35">
      <c r="A40" s="1593"/>
      <c r="B40" s="1594"/>
      <c r="C40" s="1606"/>
      <c r="D40" s="1600" t="s">
        <v>7377</v>
      </c>
      <c r="E40" s="1601"/>
      <c r="F40" s="1600"/>
      <c r="G40" s="1599"/>
    </row>
    <row r="43" spans="1:7" ht="15.75" customHeight="1" thickBot="1" x14ac:dyDescent="0.35">
      <c r="A43" s="1586" t="s">
        <v>611</v>
      </c>
      <c r="B43" s="1590" t="s">
        <v>7373</v>
      </c>
      <c r="C43" s="1591" t="s">
        <v>7374</v>
      </c>
      <c r="E43" s="1592" t="s">
        <v>7375</v>
      </c>
      <c r="G43" s="1586" t="s">
        <v>7376</v>
      </c>
    </row>
    <row r="44" spans="1:7" ht="15" thickBot="1" x14ac:dyDescent="0.35">
      <c r="A44" s="1604"/>
      <c r="B44" s="1596"/>
      <c r="C44" s="1589"/>
      <c r="D44" s="1597" t="s">
        <v>7377</v>
      </c>
      <c r="E44" s="1598"/>
      <c r="F44" s="1597"/>
      <c r="G44" s="1587" t="str">
        <f>IFERROR(VLOOKUP(A44,'Rate Rider Database'!C:E,3,FALSE),"")</f>
        <v/>
      </c>
    </row>
    <row r="45" spans="1:7" ht="15" thickBot="1" x14ac:dyDescent="0.35">
      <c r="A45" s="1604"/>
      <c r="B45" s="1596"/>
      <c r="C45" s="1605"/>
      <c r="D45" s="1602" t="s">
        <v>7377</v>
      </c>
      <c r="E45" s="1603"/>
      <c r="F45" s="1602"/>
      <c r="G45" s="1588" t="str">
        <f>IFERROR(VLOOKUP(A45,'Rate Rider Database'!C:E,3,FALSE),"")</f>
        <v/>
      </c>
    </row>
    <row r="46" spans="1:7" ht="15" thickBot="1" x14ac:dyDescent="0.35">
      <c r="A46" s="1604"/>
      <c r="B46" s="1596"/>
      <c r="C46" s="1605"/>
      <c r="D46" s="1602" t="s">
        <v>7377</v>
      </c>
      <c r="E46" s="1603"/>
      <c r="F46" s="1602"/>
      <c r="G46" s="1588" t="str">
        <f>IFERROR(VLOOKUP(A46,'Rate Rider Database'!C:E,3,FALSE),"")</f>
        <v/>
      </c>
    </row>
    <row r="47" spans="1:7" ht="15" thickBot="1" x14ac:dyDescent="0.35">
      <c r="A47" s="1604"/>
      <c r="B47" s="1596"/>
      <c r="C47" s="1605"/>
      <c r="D47" s="1602" t="s">
        <v>7377</v>
      </c>
      <c r="E47" s="1603"/>
      <c r="F47" s="1602"/>
      <c r="G47" s="1588" t="str">
        <f>IFERROR(VLOOKUP(A47,'Rate Rider Database'!C:E,3,FALSE),"")</f>
        <v/>
      </c>
    </row>
    <row r="48" spans="1:7" ht="15" thickBot="1" x14ac:dyDescent="0.35">
      <c r="A48" s="1604"/>
      <c r="B48" s="1596"/>
      <c r="C48" s="1605"/>
      <c r="D48" s="1602" t="s">
        <v>7377</v>
      </c>
      <c r="E48" s="1603"/>
      <c r="F48" s="1602"/>
      <c r="G48" s="1588" t="str">
        <f>IFERROR(VLOOKUP(A48,'Rate Rider Database'!C:E,3,FALSE),"")</f>
        <v/>
      </c>
    </row>
    <row r="49" spans="1:7" ht="15" thickBot="1" x14ac:dyDescent="0.35">
      <c r="A49" s="1604"/>
      <c r="B49" s="1596"/>
      <c r="C49" s="1605"/>
      <c r="D49" s="1602" t="s">
        <v>7377</v>
      </c>
      <c r="E49" s="1603"/>
      <c r="F49" s="1602"/>
      <c r="G49" s="1588" t="str">
        <f>IFERROR(VLOOKUP(A49,'Rate Rider Database'!C:E,3,FALSE),"")</f>
        <v/>
      </c>
    </row>
    <row r="50" spans="1:7" ht="15" thickBot="1" x14ac:dyDescent="0.35">
      <c r="A50" s="1604"/>
      <c r="B50" s="1596"/>
      <c r="C50" s="1605"/>
      <c r="D50" s="1602" t="s">
        <v>7377</v>
      </c>
      <c r="E50" s="1603"/>
      <c r="F50" s="1602"/>
      <c r="G50" s="1588" t="str">
        <f>IFERROR(VLOOKUP(A50,'Rate Rider Database'!C:E,3,FALSE),"")</f>
        <v/>
      </c>
    </row>
    <row r="51" spans="1:7" ht="15" thickBot="1" x14ac:dyDescent="0.35">
      <c r="A51" s="1595"/>
      <c r="B51" s="1596"/>
      <c r="C51" s="1605"/>
      <c r="D51" s="1602" t="s">
        <v>7377</v>
      </c>
      <c r="E51" s="1603"/>
      <c r="F51" s="1602"/>
      <c r="G51" s="1588"/>
    </row>
    <row r="52" spans="1:7" ht="15" thickBot="1" x14ac:dyDescent="0.35">
      <c r="A52" s="1595"/>
      <c r="B52" s="1596"/>
      <c r="C52" s="1605"/>
      <c r="D52" s="1602" t="s">
        <v>7377</v>
      </c>
      <c r="E52" s="1603"/>
      <c r="F52" s="1602"/>
      <c r="G52" s="1588"/>
    </row>
    <row r="53" spans="1:7" ht="15" thickBot="1" x14ac:dyDescent="0.35">
      <c r="A53" s="1593"/>
      <c r="B53" s="1594"/>
      <c r="C53" s="1606"/>
      <c r="D53" s="1600" t="s">
        <v>7377</v>
      </c>
      <c r="E53" s="1601"/>
      <c r="F53" s="1600"/>
      <c r="G53" s="1599"/>
    </row>
    <row r="56" spans="1:7" ht="15.75" customHeight="1" thickBot="1" x14ac:dyDescent="0.35">
      <c r="A56" s="1586" t="s">
        <v>612</v>
      </c>
      <c r="B56" s="1590" t="s">
        <v>7373</v>
      </c>
      <c r="C56" s="1591" t="s">
        <v>7374</v>
      </c>
      <c r="E56" s="1592" t="s">
        <v>7375</v>
      </c>
      <c r="G56" s="1586" t="s">
        <v>7376</v>
      </c>
    </row>
    <row r="57" spans="1:7" ht="15" thickBot="1" x14ac:dyDescent="0.35">
      <c r="A57" s="1604"/>
      <c r="B57" s="1596"/>
      <c r="C57" s="1589"/>
      <c r="D57" s="1597" t="s">
        <v>7377</v>
      </c>
      <c r="E57" s="1598"/>
      <c r="F57" s="1597"/>
      <c r="G57" s="1587" t="str">
        <f>IFERROR(VLOOKUP(A57,'Rate Rider Database'!C:E,3,FALSE),"")</f>
        <v/>
      </c>
    </row>
    <row r="58" spans="1:7" ht="15" thickBot="1" x14ac:dyDescent="0.35">
      <c r="A58" s="1604"/>
      <c r="B58" s="1596"/>
      <c r="C58" s="1605"/>
      <c r="D58" s="1602" t="s">
        <v>7377</v>
      </c>
      <c r="E58" s="1603"/>
      <c r="F58" s="1602"/>
      <c r="G58" s="1588" t="str">
        <f>IFERROR(VLOOKUP(A58,'Rate Rider Database'!C:E,3,FALSE),"")</f>
        <v/>
      </c>
    </row>
    <row r="59" spans="1:7" ht="15" thickBot="1" x14ac:dyDescent="0.35">
      <c r="A59" s="1604"/>
      <c r="B59" s="1596"/>
      <c r="C59" s="1605"/>
      <c r="D59" s="1602" t="s">
        <v>7377</v>
      </c>
      <c r="E59" s="1603"/>
      <c r="F59" s="1602"/>
      <c r="G59" s="1588" t="str">
        <f>IFERROR(VLOOKUP(A59,'Rate Rider Database'!C:E,3,FALSE),"")</f>
        <v/>
      </c>
    </row>
    <row r="60" spans="1:7" ht="15" thickBot="1" x14ac:dyDescent="0.35">
      <c r="A60" s="1604"/>
      <c r="B60" s="1596"/>
      <c r="C60" s="1605"/>
      <c r="D60" s="1602" t="s">
        <v>7377</v>
      </c>
      <c r="E60" s="1603"/>
      <c r="F60" s="1602"/>
      <c r="G60" s="1588" t="str">
        <f>IFERROR(VLOOKUP(A60,'Rate Rider Database'!C:E,3,FALSE),"")</f>
        <v/>
      </c>
    </row>
    <row r="61" spans="1:7" ht="15" thickBot="1" x14ac:dyDescent="0.35">
      <c r="A61" s="1604"/>
      <c r="B61" s="1596"/>
      <c r="C61" s="1605"/>
      <c r="D61" s="1602" t="s">
        <v>7377</v>
      </c>
      <c r="E61" s="1603"/>
      <c r="F61" s="1602"/>
      <c r="G61" s="1588" t="str">
        <f>IFERROR(VLOOKUP(A61,'Rate Rider Database'!C:E,3,FALSE),"")</f>
        <v/>
      </c>
    </row>
    <row r="62" spans="1:7" ht="15" thickBot="1" x14ac:dyDescent="0.35">
      <c r="A62" s="1604"/>
      <c r="B62" s="1596"/>
      <c r="C62" s="1605"/>
      <c r="D62" s="1602" t="s">
        <v>7377</v>
      </c>
      <c r="E62" s="1603"/>
      <c r="F62" s="1602"/>
      <c r="G62" s="1588" t="str">
        <f>IFERROR(VLOOKUP(A62,'Rate Rider Database'!C:E,3,FALSE),"")</f>
        <v/>
      </c>
    </row>
    <row r="63" spans="1:7" ht="15" thickBot="1" x14ac:dyDescent="0.35">
      <c r="A63" s="1604"/>
      <c r="B63" s="1596"/>
      <c r="C63" s="1605"/>
      <c r="D63" s="1602" t="s">
        <v>7377</v>
      </c>
      <c r="E63" s="1603"/>
      <c r="F63" s="1602"/>
      <c r="G63" s="1588" t="str">
        <f>IFERROR(VLOOKUP(A63,'Rate Rider Database'!C:E,3,FALSE),"")</f>
        <v/>
      </c>
    </row>
    <row r="64" spans="1:7" ht="15" thickBot="1" x14ac:dyDescent="0.35">
      <c r="A64" s="1595"/>
      <c r="B64" s="1596"/>
      <c r="C64" s="1605"/>
      <c r="D64" s="1602" t="s">
        <v>7377</v>
      </c>
      <c r="E64" s="1603"/>
      <c r="F64" s="1602"/>
      <c r="G64" s="1588"/>
    </row>
    <row r="65" spans="1:7" ht="15" thickBot="1" x14ac:dyDescent="0.35">
      <c r="A65" s="1595"/>
      <c r="B65" s="1596"/>
      <c r="C65" s="1605"/>
      <c r="D65" s="1602" t="s">
        <v>7377</v>
      </c>
      <c r="E65" s="1603"/>
      <c r="F65" s="1602"/>
      <c r="G65" s="1588"/>
    </row>
    <row r="66" spans="1:7" ht="15" thickBot="1" x14ac:dyDescent="0.35">
      <c r="A66" s="1593"/>
      <c r="B66" s="1594"/>
      <c r="C66" s="1606"/>
      <c r="D66" s="1600" t="s">
        <v>7377</v>
      </c>
      <c r="E66" s="1601"/>
      <c r="F66" s="1600"/>
      <c r="G66" s="1599"/>
    </row>
    <row r="69" spans="1:7" ht="15.75" customHeight="1" thickBot="1" x14ac:dyDescent="0.35">
      <c r="A69" s="1586" t="s">
        <v>592</v>
      </c>
      <c r="B69" s="1590" t="s">
        <v>7373</v>
      </c>
      <c r="C69" s="1591" t="s">
        <v>7374</v>
      </c>
      <c r="E69" s="1592" t="s">
        <v>7375</v>
      </c>
      <c r="G69" s="1586" t="s">
        <v>7376</v>
      </c>
    </row>
    <row r="70" spans="1:7" ht="15" thickBot="1" x14ac:dyDescent="0.35">
      <c r="A70" s="1604"/>
      <c r="B70" s="1596"/>
      <c r="C70" s="1589"/>
      <c r="D70" s="1597" t="s">
        <v>7377</v>
      </c>
      <c r="E70" s="1598"/>
      <c r="F70" s="1597"/>
      <c r="G70" s="1587" t="str">
        <f>IFERROR(VLOOKUP(A70,'Rate Rider Database'!C:E,3,FALSE),"")</f>
        <v/>
      </c>
    </row>
    <row r="71" spans="1:7" ht="15" thickBot="1" x14ac:dyDescent="0.35">
      <c r="A71" s="1604"/>
      <c r="B71" s="1596"/>
      <c r="C71" s="1605"/>
      <c r="D71" s="1602" t="s">
        <v>7377</v>
      </c>
      <c r="E71" s="1603"/>
      <c r="F71" s="1602"/>
      <c r="G71" s="1588" t="str">
        <f>IFERROR(VLOOKUP(A71,'Rate Rider Database'!C:E,3,FALSE),"")</f>
        <v/>
      </c>
    </row>
    <row r="72" spans="1:7" ht="15" thickBot="1" x14ac:dyDescent="0.35">
      <c r="A72" s="1604"/>
      <c r="B72" s="1596"/>
      <c r="C72" s="1605"/>
      <c r="D72" s="1602" t="s">
        <v>7377</v>
      </c>
      <c r="E72" s="1603"/>
      <c r="F72" s="1602"/>
      <c r="G72" s="1588" t="str">
        <f>IFERROR(VLOOKUP(A72,'Rate Rider Database'!C:E,3,FALSE),"")</f>
        <v/>
      </c>
    </row>
    <row r="73" spans="1:7" ht="15" thickBot="1" x14ac:dyDescent="0.35">
      <c r="A73" s="1604"/>
      <c r="B73" s="1596"/>
      <c r="C73" s="1605"/>
      <c r="D73" s="1602" t="s">
        <v>7377</v>
      </c>
      <c r="E73" s="1603"/>
      <c r="F73" s="1602"/>
      <c r="G73" s="1588" t="str">
        <f>IFERROR(VLOOKUP(A73,'Rate Rider Database'!C:E,3,FALSE),"")</f>
        <v/>
      </c>
    </row>
    <row r="74" spans="1:7" ht="15" thickBot="1" x14ac:dyDescent="0.35">
      <c r="A74" s="1604"/>
      <c r="B74" s="1596"/>
      <c r="C74" s="1605"/>
      <c r="D74" s="1602" t="s">
        <v>7377</v>
      </c>
      <c r="E74" s="1603"/>
      <c r="F74" s="1602"/>
      <c r="G74" s="1588" t="str">
        <f>IFERROR(VLOOKUP(A74,'Rate Rider Database'!C:E,3,FALSE),"")</f>
        <v/>
      </c>
    </row>
    <row r="75" spans="1:7" ht="15" thickBot="1" x14ac:dyDescent="0.35">
      <c r="A75" s="1604"/>
      <c r="B75" s="1596"/>
      <c r="C75" s="1605"/>
      <c r="D75" s="1602" t="s">
        <v>7377</v>
      </c>
      <c r="E75" s="1603"/>
      <c r="F75" s="1602"/>
      <c r="G75" s="1588" t="str">
        <f>IFERROR(VLOOKUP(A75,'Rate Rider Database'!C:E,3,FALSE),"")</f>
        <v/>
      </c>
    </row>
    <row r="76" spans="1:7" ht="15" thickBot="1" x14ac:dyDescent="0.35">
      <c r="A76" s="1604"/>
      <c r="B76" s="1596"/>
      <c r="C76" s="1605"/>
      <c r="D76" s="1602" t="s">
        <v>7377</v>
      </c>
      <c r="E76" s="1603"/>
      <c r="F76" s="1602"/>
      <c r="G76" s="1588" t="str">
        <f>IFERROR(VLOOKUP(A76,'Rate Rider Database'!C:E,3,FALSE),"")</f>
        <v/>
      </c>
    </row>
    <row r="77" spans="1:7" ht="15" thickBot="1" x14ac:dyDescent="0.35">
      <c r="A77" s="1595"/>
      <c r="B77" s="1596"/>
      <c r="C77" s="1605"/>
      <c r="D77" s="1602" t="s">
        <v>7377</v>
      </c>
      <c r="E77" s="1603"/>
      <c r="F77" s="1602"/>
      <c r="G77" s="1588"/>
    </row>
    <row r="78" spans="1:7" ht="15" thickBot="1" x14ac:dyDescent="0.35">
      <c r="A78" s="1595"/>
      <c r="B78" s="1596"/>
      <c r="C78" s="1605"/>
      <c r="D78" s="1602" t="s">
        <v>7377</v>
      </c>
      <c r="E78" s="1603"/>
      <c r="F78" s="1602"/>
      <c r="G78" s="1588"/>
    </row>
    <row r="79" spans="1:7" ht="15" thickBot="1" x14ac:dyDescent="0.35">
      <c r="A79" s="1593"/>
      <c r="B79" s="1594"/>
      <c r="C79" s="1606"/>
      <c r="D79" s="1600" t="s">
        <v>7377</v>
      </c>
      <c r="E79" s="1601"/>
      <c r="F79" s="1600"/>
      <c r="G79" s="1599"/>
    </row>
    <row r="82" spans="1:7" ht="15.75" customHeight="1" thickBot="1" x14ac:dyDescent="0.35">
      <c r="A82" s="1586" t="s">
        <v>604</v>
      </c>
      <c r="B82" s="1590" t="s">
        <v>7373</v>
      </c>
      <c r="C82" s="1591" t="s">
        <v>7374</v>
      </c>
      <c r="E82" s="1592" t="s">
        <v>7375</v>
      </c>
      <c r="G82" s="1586" t="s">
        <v>7376</v>
      </c>
    </row>
    <row r="83" spans="1:7" ht="15" thickBot="1" x14ac:dyDescent="0.35">
      <c r="A83" s="1604"/>
      <c r="B83" s="1596"/>
      <c r="C83" s="1589"/>
      <c r="D83" s="1597" t="s">
        <v>7377</v>
      </c>
      <c r="E83" s="1598"/>
      <c r="F83" s="1597"/>
      <c r="G83" s="1587" t="str">
        <f>IFERROR(VLOOKUP(A83,'Rate Rider Database'!C:E,3,FALSE),"")</f>
        <v/>
      </c>
    </row>
    <row r="84" spans="1:7" ht="15" thickBot="1" x14ac:dyDescent="0.35">
      <c r="A84" s="1604"/>
      <c r="B84" s="1596"/>
      <c r="C84" s="1605"/>
      <c r="D84" s="1602" t="s">
        <v>7377</v>
      </c>
      <c r="E84" s="1603"/>
      <c r="F84" s="1602"/>
      <c r="G84" s="1588" t="str">
        <f>IFERROR(VLOOKUP(A84,'Rate Rider Database'!C:E,3,FALSE),"")</f>
        <v/>
      </c>
    </row>
    <row r="85" spans="1:7" ht="15" thickBot="1" x14ac:dyDescent="0.35">
      <c r="A85" s="1604"/>
      <c r="B85" s="1596"/>
      <c r="C85" s="1605"/>
      <c r="D85" s="1602" t="s">
        <v>7377</v>
      </c>
      <c r="E85" s="1603"/>
      <c r="F85" s="1602"/>
      <c r="G85" s="1588" t="str">
        <f>IFERROR(VLOOKUP(A85,'Rate Rider Database'!C:E,3,FALSE),"")</f>
        <v/>
      </c>
    </row>
    <row r="86" spans="1:7" ht="15" thickBot="1" x14ac:dyDescent="0.35">
      <c r="A86" s="1604"/>
      <c r="B86" s="1596"/>
      <c r="C86" s="1605"/>
      <c r="D86" s="1602" t="s">
        <v>7377</v>
      </c>
      <c r="E86" s="1603"/>
      <c r="F86" s="1602"/>
      <c r="G86" s="1588" t="str">
        <f>IFERROR(VLOOKUP(A86,'Rate Rider Database'!C:E,3,FALSE),"")</f>
        <v/>
      </c>
    </row>
    <row r="87" spans="1:7" ht="15" thickBot="1" x14ac:dyDescent="0.35">
      <c r="A87" s="1604"/>
      <c r="B87" s="1596"/>
      <c r="C87" s="1605"/>
      <c r="D87" s="1602" t="s">
        <v>7377</v>
      </c>
      <c r="E87" s="1603"/>
      <c r="F87" s="1602"/>
      <c r="G87" s="1588" t="str">
        <f>IFERROR(VLOOKUP(A87,'Rate Rider Database'!C:E,3,FALSE),"")</f>
        <v/>
      </c>
    </row>
    <row r="88" spans="1:7" ht="15" thickBot="1" x14ac:dyDescent="0.35">
      <c r="A88" s="1604"/>
      <c r="B88" s="1596"/>
      <c r="C88" s="1605"/>
      <c r="D88" s="1602" t="s">
        <v>7377</v>
      </c>
      <c r="E88" s="1603"/>
      <c r="F88" s="1602"/>
      <c r="G88" s="1588" t="str">
        <f>IFERROR(VLOOKUP(A88,'Rate Rider Database'!C:E,3,FALSE),"")</f>
        <v/>
      </c>
    </row>
    <row r="89" spans="1:7" ht="15" thickBot="1" x14ac:dyDescent="0.35">
      <c r="A89" s="1604"/>
      <c r="B89" s="1596"/>
      <c r="C89" s="1605"/>
      <c r="D89" s="1602" t="s">
        <v>7377</v>
      </c>
      <c r="E89" s="1603"/>
      <c r="F89" s="1602"/>
      <c r="G89" s="1588" t="str">
        <f>IFERROR(VLOOKUP(A89,'Rate Rider Database'!C:E,3,FALSE),"")</f>
        <v/>
      </c>
    </row>
    <row r="90" spans="1:7" ht="15" thickBot="1" x14ac:dyDescent="0.35">
      <c r="A90" s="1595"/>
      <c r="B90" s="1596"/>
      <c r="C90" s="1605"/>
      <c r="D90" s="1602" t="s">
        <v>7377</v>
      </c>
      <c r="E90" s="1603"/>
      <c r="F90" s="1602"/>
      <c r="G90" s="1588"/>
    </row>
    <row r="91" spans="1:7" ht="15" thickBot="1" x14ac:dyDescent="0.35">
      <c r="A91" s="1595"/>
      <c r="B91" s="1596"/>
      <c r="C91" s="1605"/>
      <c r="D91" s="1602" t="s">
        <v>7377</v>
      </c>
      <c r="E91" s="1603"/>
      <c r="F91" s="1602"/>
      <c r="G91" s="1588"/>
    </row>
    <row r="92" spans="1:7" ht="15" thickBot="1" x14ac:dyDescent="0.35">
      <c r="A92" s="1593"/>
      <c r="B92" s="1594"/>
      <c r="C92" s="1606"/>
      <c r="D92" s="1600" t="s">
        <v>7377</v>
      </c>
      <c r="E92" s="1601"/>
      <c r="F92" s="1600"/>
      <c r="G92" s="1599"/>
    </row>
    <row r="95" spans="1:7" ht="15.75" customHeight="1" thickBot="1" x14ac:dyDescent="0.35">
      <c r="A95" s="1586" t="s">
        <v>590</v>
      </c>
      <c r="B95" s="1590" t="s">
        <v>7373</v>
      </c>
      <c r="C95" s="1591" t="s">
        <v>7374</v>
      </c>
      <c r="E95" s="1592" t="s">
        <v>7375</v>
      </c>
      <c r="G95" s="1586" t="s">
        <v>7376</v>
      </c>
    </row>
    <row r="96" spans="1:7" ht="15" thickBot="1" x14ac:dyDescent="0.35">
      <c r="A96" s="1604"/>
      <c r="B96" s="1596"/>
      <c r="C96" s="1589"/>
      <c r="D96" s="1597" t="s">
        <v>7377</v>
      </c>
      <c r="E96" s="1598"/>
      <c r="F96" s="1597"/>
      <c r="G96" s="1587" t="str">
        <f>IFERROR(VLOOKUP(A96,'Rate Rider Database'!C:E,3,FALSE),"")</f>
        <v/>
      </c>
    </row>
    <row r="97" spans="1:7" ht="15" thickBot="1" x14ac:dyDescent="0.35">
      <c r="A97" s="1604"/>
      <c r="B97" s="1596"/>
      <c r="C97" s="1605"/>
      <c r="D97" s="1602" t="s">
        <v>7377</v>
      </c>
      <c r="E97" s="1603"/>
      <c r="F97" s="1602"/>
      <c r="G97" s="1588" t="str">
        <f>IFERROR(VLOOKUP(A97,'Rate Rider Database'!C:E,3,FALSE),"")</f>
        <v/>
      </c>
    </row>
    <row r="98" spans="1:7" ht="15" thickBot="1" x14ac:dyDescent="0.35">
      <c r="A98" s="1604"/>
      <c r="B98" s="1596"/>
      <c r="C98" s="1605"/>
      <c r="D98" s="1602" t="s">
        <v>7377</v>
      </c>
      <c r="E98" s="1603"/>
      <c r="F98" s="1602"/>
      <c r="G98" s="1588" t="str">
        <f>IFERROR(VLOOKUP(A98,'Rate Rider Database'!C:E,3,FALSE),"")</f>
        <v/>
      </c>
    </row>
    <row r="99" spans="1:7" ht="15" thickBot="1" x14ac:dyDescent="0.35">
      <c r="A99" s="1604"/>
      <c r="B99" s="1596"/>
      <c r="C99" s="1605"/>
      <c r="D99" s="1602" t="s">
        <v>7377</v>
      </c>
      <c r="E99" s="1603"/>
      <c r="F99" s="1602"/>
      <c r="G99" s="1588" t="str">
        <f>IFERROR(VLOOKUP(A99,'Rate Rider Database'!C:E,3,FALSE),"")</f>
        <v/>
      </c>
    </row>
    <row r="100" spans="1:7" ht="15" thickBot="1" x14ac:dyDescent="0.35">
      <c r="A100" s="1604"/>
      <c r="B100" s="1596"/>
      <c r="C100" s="1605"/>
      <c r="D100" s="1602" t="s">
        <v>7377</v>
      </c>
      <c r="E100" s="1603"/>
      <c r="F100" s="1602"/>
      <c r="G100" s="1588" t="str">
        <f>IFERROR(VLOOKUP(A100,'Rate Rider Database'!C:E,3,FALSE),"")</f>
        <v/>
      </c>
    </row>
    <row r="101" spans="1:7" ht="15" thickBot="1" x14ac:dyDescent="0.35">
      <c r="A101" s="1604"/>
      <c r="B101" s="1596"/>
      <c r="C101" s="1605"/>
      <c r="D101" s="1602" t="s">
        <v>7377</v>
      </c>
      <c r="E101" s="1603"/>
      <c r="F101" s="1602"/>
      <c r="G101" s="1588" t="str">
        <f>IFERROR(VLOOKUP(A101,'Rate Rider Database'!C:E,3,FALSE),"")</f>
        <v/>
      </c>
    </row>
    <row r="102" spans="1:7" ht="15" thickBot="1" x14ac:dyDescent="0.35">
      <c r="A102" s="1604"/>
      <c r="B102" s="1596"/>
      <c r="C102" s="1605"/>
      <c r="D102" s="1602" t="s">
        <v>7377</v>
      </c>
      <c r="E102" s="1603"/>
      <c r="F102" s="1602"/>
      <c r="G102" s="1588" t="str">
        <f>IFERROR(VLOOKUP(A102,'Rate Rider Database'!C:E,3,FALSE),"")</f>
        <v/>
      </c>
    </row>
    <row r="103" spans="1:7" ht="15" thickBot="1" x14ac:dyDescent="0.35">
      <c r="A103" s="1595"/>
      <c r="B103" s="1596"/>
      <c r="C103" s="1605"/>
      <c r="D103" s="1602" t="s">
        <v>7377</v>
      </c>
      <c r="E103" s="1603"/>
      <c r="F103" s="1602"/>
      <c r="G103" s="1588"/>
    </row>
    <row r="104" spans="1:7" ht="15" thickBot="1" x14ac:dyDescent="0.35">
      <c r="A104" s="1595"/>
      <c r="B104" s="1596"/>
      <c r="C104" s="1605"/>
      <c r="D104" s="1602" t="s">
        <v>7377</v>
      </c>
      <c r="E104" s="1603"/>
      <c r="F104" s="1602"/>
      <c r="G104" s="1588"/>
    </row>
    <row r="105" spans="1:7" ht="15" thickBot="1" x14ac:dyDescent="0.35">
      <c r="A105" s="1593"/>
      <c r="B105" s="1594"/>
      <c r="C105" s="1606"/>
      <c r="D105" s="1600" t="s">
        <v>7377</v>
      </c>
      <c r="E105" s="1601"/>
      <c r="F105" s="1600"/>
      <c r="G105" s="1599"/>
    </row>
    <row r="108" spans="1:7" ht="15.75" customHeight="1" thickBot="1" x14ac:dyDescent="0.35">
      <c r="A108" s="1586" t="s">
        <v>593</v>
      </c>
      <c r="B108" s="1590" t="s">
        <v>7373</v>
      </c>
      <c r="C108" s="1591" t="s">
        <v>7374</v>
      </c>
      <c r="E108" s="1592" t="s">
        <v>7375</v>
      </c>
      <c r="G108" s="1586" t="s">
        <v>7376</v>
      </c>
    </row>
    <row r="109" spans="1:7" ht="15" thickBot="1" x14ac:dyDescent="0.35">
      <c r="A109" s="1604"/>
      <c r="B109" s="1596"/>
      <c r="C109" s="1589"/>
      <c r="D109" s="1597" t="s">
        <v>7377</v>
      </c>
      <c r="E109" s="1598"/>
      <c r="F109" s="1597"/>
      <c r="G109" s="1587" t="str">
        <f>IFERROR(VLOOKUP(A109,'Rate Rider Database'!C:E,3,FALSE),"")</f>
        <v/>
      </c>
    </row>
    <row r="110" spans="1:7" ht="15" thickBot="1" x14ac:dyDescent="0.35">
      <c r="A110" s="1604"/>
      <c r="B110" s="1596"/>
      <c r="C110" s="1605"/>
      <c r="D110" s="1602" t="s">
        <v>7377</v>
      </c>
      <c r="E110" s="1603"/>
      <c r="F110" s="1602"/>
      <c r="G110" s="1588" t="str">
        <f>IFERROR(VLOOKUP(A110,'Rate Rider Database'!C:E,3,FALSE),"")</f>
        <v/>
      </c>
    </row>
    <row r="111" spans="1:7" ht="15" thickBot="1" x14ac:dyDescent="0.35">
      <c r="A111" s="1604"/>
      <c r="B111" s="1596"/>
      <c r="C111" s="1605"/>
      <c r="D111" s="1602" t="s">
        <v>7377</v>
      </c>
      <c r="E111" s="1603"/>
      <c r="F111" s="1602"/>
      <c r="G111" s="1588" t="str">
        <f>IFERROR(VLOOKUP(A111,'Rate Rider Database'!C:E,3,FALSE),"")</f>
        <v/>
      </c>
    </row>
    <row r="112" spans="1:7" ht="15" thickBot="1" x14ac:dyDescent="0.35">
      <c r="A112" s="1604"/>
      <c r="B112" s="1596"/>
      <c r="C112" s="1605"/>
      <c r="D112" s="1602" t="s">
        <v>7377</v>
      </c>
      <c r="E112" s="1603"/>
      <c r="F112" s="1602"/>
      <c r="G112" s="1588" t="str">
        <f>IFERROR(VLOOKUP(A112,'Rate Rider Database'!C:E,3,FALSE),"")</f>
        <v/>
      </c>
    </row>
    <row r="113" spans="1:7" ht="15" thickBot="1" x14ac:dyDescent="0.35">
      <c r="A113" s="1604"/>
      <c r="B113" s="1596"/>
      <c r="C113" s="1605"/>
      <c r="D113" s="1602" t="s">
        <v>7377</v>
      </c>
      <c r="E113" s="1603"/>
      <c r="F113" s="1602"/>
      <c r="G113" s="1588" t="str">
        <f>IFERROR(VLOOKUP(A113,'Rate Rider Database'!C:E,3,FALSE),"")</f>
        <v/>
      </c>
    </row>
    <row r="114" spans="1:7" ht="15" thickBot="1" x14ac:dyDescent="0.35">
      <c r="A114" s="1604"/>
      <c r="B114" s="1596"/>
      <c r="C114" s="1605"/>
      <c r="D114" s="1602" t="s">
        <v>7377</v>
      </c>
      <c r="E114" s="1603"/>
      <c r="F114" s="1602"/>
      <c r="G114" s="1588" t="str">
        <f>IFERROR(VLOOKUP(A114,'Rate Rider Database'!C:E,3,FALSE),"")</f>
        <v/>
      </c>
    </row>
    <row r="115" spans="1:7" ht="15" thickBot="1" x14ac:dyDescent="0.35">
      <c r="A115" s="1604"/>
      <c r="B115" s="1596"/>
      <c r="C115" s="1605"/>
      <c r="D115" s="1602" t="s">
        <v>7377</v>
      </c>
      <c r="E115" s="1603"/>
      <c r="F115" s="1602"/>
      <c r="G115" s="1588" t="str">
        <f>IFERROR(VLOOKUP(A115,'Rate Rider Database'!C:E,3,FALSE),"")</f>
        <v/>
      </c>
    </row>
    <row r="116" spans="1:7" ht="15" thickBot="1" x14ac:dyDescent="0.35">
      <c r="A116" s="1595"/>
      <c r="B116" s="1596"/>
      <c r="C116" s="1605"/>
      <c r="D116" s="1602" t="s">
        <v>7377</v>
      </c>
      <c r="E116" s="1603"/>
      <c r="F116" s="1602"/>
      <c r="G116" s="1588"/>
    </row>
    <row r="117" spans="1:7" ht="15" thickBot="1" x14ac:dyDescent="0.35">
      <c r="A117" s="1595"/>
      <c r="B117" s="1596"/>
      <c r="C117" s="1605"/>
      <c r="D117" s="1602" t="s">
        <v>7377</v>
      </c>
      <c r="E117" s="1603"/>
      <c r="F117" s="1602"/>
      <c r="G117" s="1588"/>
    </row>
    <row r="118" spans="1:7" ht="15" thickBot="1" x14ac:dyDescent="0.35">
      <c r="A118" s="1593"/>
      <c r="B118" s="1594"/>
      <c r="C118" s="1606"/>
      <c r="D118" s="1600" t="s">
        <v>7377</v>
      </c>
      <c r="E118" s="1601"/>
      <c r="F118" s="1600"/>
      <c r="G118" s="1599"/>
    </row>
  </sheetData>
  <sheetProtection algorithmName="SHA-512" hashValue="9/54iPG1cnkxZrXLCPwBUWw15H6yRLncyG9238aMF6mc9WYT8IsLoU3p/ceOWKwP7E39gSAEu0t08Rrw5pnNkA==" saltValue="KFq9Md7mqXmXSC8wctE/nA==" spinCount="100000" sheet="1" objects="1" scenarios="1"/>
  <mergeCells count="3">
    <mergeCell ref="B5:E5"/>
    <mergeCell ref="B9:E9"/>
    <mergeCell ref="A11:F11"/>
  </mergeCells>
  <dataValidations count="4">
    <dataValidation allowBlank="1" showInputMessage="1" showErrorMessage="1" sqref="AA1:AA8 AA11:AA12" xr:uid="{00000000-0002-0000-1800-000000000000}"/>
    <dataValidation type="list" allowBlank="1" showInputMessage="1" showErrorMessage="1" sqref="B18 B19 B20 B21 B22 B23 B24 B25 B26 B27 B31 B32 B33 B34 B35 B36 B37 B38 B39 B40 B44 B45 B46 B47 B48 B49 B50 B51 B52 B53 B57 B58 B59 B60 B61 B62 B63 B64 B65 B66 B70 B71 B72 B73 B74 B75 B76 B77 B78 B79 B83 B84 B85 B86 B87 B88 B89 B90 B91 B92 B96 B97 B98 B99 B100 B101 B102 B103 B104 B105 B109 B110 B111 B112 B113 B114 B115 B116 B117 B118" xr:uid="{8C9D1DAF-735E-4FA5-8E14-A3320ED42119}">
      <formula1>"$, $/kWh, $/kW, $/kVa"</formula1>
    </dataValidation>
    <dataValidation type="list" allowBlank="1" showInputMessage="1" showErrorMessage="1" sqref="A18 A19 A20 A21 A22 A23 A24 A31 A32 A33 A34 A35 A36 A37 A44 A45 A46 A47 A48 A49 A50 A57 A58 A59 A60 A61 A62 A63 A70 A71 A72 A73 A74 A75 A76 A83 A84 A85 A86 A87 A88 A89 A96 A97 A98 A99 A100 A101 A102 A109 A110 A111 A112 A113 A114 A115" xr:uid="{6B811180-24B5-4DCA-B524-5679272518FA}">
      <formula1>RateRiderName</formula1>
    </dataValidation>
    <dataValidation type="list" allowBlank="1" showInputMessage="1" showErrorMessage="1" sqref="G27 G26 G25 G40 G39 G38 G53 G52 G51 G66 G65 G64 G79 G78 G77 G92 G91 G90 G105 G104 G103 G118 G117 G116" xr:uid="{B4188C4A-A444-4F0B-8C05-BFA64A9191E4}">
      <formula1>"A,B"</formula1>
    </dataValidation>
  </dataValidations>
  <pageMargins left="0.25" right="0.25" top="0.75" bottom="0.75" header="0.3" footer="0.3"/>
  <pageSetup scale="59" orientation="portrait" r:id="rId1"/>
  <headerFooter>
    <oddFooter>&amp;C&amp;A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dimension ref="A1:F25"/>
  <sheetViews>
    <sheetView topLeftCell="A9" workbookViewId="0">
      <selection activeCell="H15" sqref="H15"/>
    </sheetView>
  </sheetViews>
  <sheetFormatPr defaultRowHeight="16.5" customHeight="1" x14ac:dyDescent="0.3"/>
  <cols>
    <col min="1" max="1" width="32.33203125" bestFit="1" customWidth="1"/>
    <col min="2" max="2" width="33.6640625" customWidth="1"/>
    <col min="3" max="3" width="69" bestFit="1" customWidth="1"/>
    <col min="4" max="4" width="23.6640625" bestFit="1" customWidth="1"/>
  </cols>
  <sheetData>
    <row r="1" spans="1:6" ht="16.5" customHeight="1" thickBot="1" x14ac:dyDescent="0.35">
      <c r="A1" s="1059" t="s">
        <v>5098</v>
      </c>
      <c r="B1" s="1060" t="s">
        <v>5099</v>
      </c>
      <c r="C1" s="1061" t="s">
        <v>5100</v>
      </c>
      <c r="D1" s="1061" t="s">
        <v>5101</v>
      </c>
      <c r="E1" s="1061" t="s">
        <v>5097</v>
      </c>
      <c r="F1" s="678"/>
    </row>
    <row r="2" spans="1:6" ht="16.5" customHeight="1" x14ac:dyDescent="0.3">
      <c r="A2" s="1138" t="s">
        <v>5102</v>
      </c>
      <c r="B2" s="1139" t="s">
        <v>5103</v>
      </c>
      <c r="C2" s="1138" t="s">
        <v>5694</v>
      </c>
      <c r="D2" s="1138" t="s">
        <v>5104</v>
      </c>
      <c r="E2" s="1138" t="s">
        <v>430</v>
      </c>
      <c r="F2" s="1138"/>
    </row>
    <row r="3" spans="1:6" ht="16.5" customHeight="1" x14ac:dyDescent="0.3">
      <c r="A3" s="1140" t="s">
        <v>5105</v>
      </c>
      <c r="B3" s="1141" t="s">
        <v>5105</v>
      </c>
      <c r="C3" s="1140" t="s">
        <v>5695</v>
      </c>
      <c r="D3" s="1140" t="s">
        <v>5106</v>
      </c>
      <c r="E3" s="1140" t="s">
        <v>430</v>
      </c>
      <c r="F3" s="1138"/>
    </row>
    <row r="4" spans="1:6" ht="16.5" customHeight="1" x14ac:dyDescent="0.3">
      <c r="A4" s="1138" t="s">
        <v>5107</v>
      </c>
      <c r="B4" s="1139" t="s">
        <v>5107</v>
      </c>
      <c r="C4" s="1138" t="s">
        <v>5696</v>
      </c>
      <c r="D4" s="1138" t="s">
        <v>5108</v>
      </c>
      <c r="E4" s="1138" t="s">
        <v>430</v>
      </c>
      <c r="F4" s="1138"/>
    </row>
    <row r="5" spans="1:6" ht="16.5" customHeight="1" x14ac:dyDescent="0.3">
      <c r="A5" s="1138" t="s">
        <v>5109</v>
      </c>
      <c r="B5" s="1139" t="s">
        <v>5109</v>
      </c>
      <c r="C5" s="1138" t="s">
        <v>5110</v>
      </c>
      <c r="D5" s="1138" t="s">
        <v>5111</v>
      </c>
      <c r="E5" s="1138" t="s">
        <v>430</v>
      </c>
      <c r="F5" s="1138"/>
    </row>
    <row r="6" spans="1:6" ht="16.5" customHeight="1" x14ac:dyDescent="0.3">
      <c r="A6" s="1138" t="s">
        <v>5112</v>
      </c>
      <c r="B6" s="1139" t="s">
        <v>5112</v>
      </c>
      <c r="C6" s="1138" t="s">
        <v>5113</v>
      </c>
      <c r="D6" s="1138" t="s">
        <v>5114</v>
      </c>
      <c r="E6" s="1138" t="s">
        <v>430</v>
      </c>
      <c r="F6" s="1138"/>
    </row>
    <row r="7" spans="1:6" ht="16.5" customHeight="1" x14ac:dyDescent="0.3">
      <c r="A7" s="1138" t="s">
        <v>5115</v>
      </c>
      <c r="B7" s="1139">
        <v>1576</v>
      </c>
      <c r="C7" s="1138" t="s">
        <v>5116</v>
      </c>
      <c r="D7" s="1138" t="s">
        <v>5117</v>
      </c>
      <c r="E7" s="1138" t="s">
        <v>430</v>
      </c>
      <c r="F7" s="1138"/>
    </row>
    <row r="8" spans="1:6" ht="16.5" customHeight="1" x14ac:dyDescent="0.3">
      <c r="A8" s="1138" t="s">
        <v>5118</v>
      </c>
      <c r="B8" s="1139">
        <v>1575</v>
      </c>
      <c r="C8" s="1138" t="s">
        <v>5119</v>
      </c>
      <c r="D8" s="1138" t="s">
        <v>5120</v>
      </c>
      <c r="E8" s="1138" t="s">
        <v>430</v>
      </c>
      <c r="F8" s="1138"/>
    </row>
    <row r="9" spans="1:6" ht="16.5" customHeight="1" x14ac:dyDescent="0.3">
      <c r="A9" s="1138" t="s">
        <v>5697</v>
      </c>
      <c r="B9" s="1139" t="s">
        <v>5698</v>
      </c>
      <c r="C9" s="1138" t="s">
        <v>5699</v>
      </c>
      <c r="D9" s="1138" t="s">
        <v>5700</v>
      </c>
      <c r="E9" s="1138" t="s">
        <v>430</v>
      </c>
      <c r="F9" s="1138"/>
    </row>
    <row r="10" spans="1:6" ht="16.5" customHeight="1" x14ac:dyDescent="0.3">
      <c r="A10" s="1138" t="s">
        <v>5121</v>
      </c>
      <c r="B10" s="1139">
        <v>1574</v>
      </c>
      <c r="C10" s="1138" t="s">
        <v>5122</v>
      </c>
      <c r="D10" s="1138" t="s">
        <v>5123</v>
      </c>
      <c r="E10" s="1138" t="s">
        <v>430</v>
      </c>
      <c r="F10" s="1138"/>
    </row>
    <row r="11" spans="1:6" ht="16.5" customHeight="1" x14ac:dyDescent="0.3">
      <c r="A11" s="1138" t="s">
        <v>5701</v>
      </c>
      <c r="B11" s="1139" t="s">
        <v>5701</v>
      </c>
      <c r="C11" s="1138" t="s">
        <v>5125</v>
      </c>
      <c r="D11" s="1138" t="s">
        <v>5702</v>
      </c>
      <c r="E11" s="1138" t="s">
        <v>430</v>
      </c>
      <c r="F11" s="1138"/>
    </row>
    <row r="12" spans="1:6" ht="16.5" customHeight="1" x14ac:dyDescent="0.3">
      <c r="A12" s="1138" t="s">
        <v>5124</v>
      </c>
      <c r="B12" s="1139" t="s">
        <v>5124</v>
      </c>
      <c r="C12" s="1138" t="s">
        <v>5125</v>
      </c>
      <c r="D12" s="1138" t="s">
        <v>5126</v>
      </c>
      <c r="E12" s="1138" t="s">
        <v>430</v>
      </c>
      <c r="F12" s="1138"/>
    </row>
    <row r="13" spans="1:6" ht="16.5" customHeight="1" x14ac:dyDescent="0.3">
      <c r="A13" s="1138" t="s">
        <v>5127</v>
      </c>
      <c r="B13" s="1139" t="s">
        <v>5127</v>
      </c>
      <c r="C13" s="1138" t="s">
        <v>5128</v>
      </c>
      <c r="D13" s="1138" t="s">
        <v>5129</v>
      </c>
      <c r="E13" s="1138" t="s">
        <v>430</v>
      </c>
      <c r="F13" s="1138"/>
    </row>
    <row r="14" spans="1:6" ht="16.5" customHeight="1" x14ac:dyDescent="0.3">
      <c r="A14" s="1138" t="s">
        <v>5130</v>
      </c>
      <c r="B14" s="1139" t="s">
        <v>5131</v>
      </c>
      <c r="C14" s="1138" t="s">
        <v>5132</v>
      </c>
      <c r="D14" s="1138" t="s">
        <v>5133</v>
      </c>
      <c r="E14" s="1138" t="s">
        <v>430</v>
      </c>
      <c r="F14" s="1138"/>
    </row>
    <row r="15" spans="1:6" ht="16.5" customHeight="1" x14ac:dyDescent="0.3">
      <c r="A15" s="1138" t="s">
        <v>5703</v>
      </c>
      <c r="B15" s="1139" t="s">
        <v>5703</v>
      </c>
      <c r="C15" s="1138" t="s">
        <v>5704</v>
      </c>
      <c r="D15" s="1138" t="s">
        <v>5705</v>
      </c>
      <c r="E15" s="1138" t="s">
        <v>430</v>
      </c>
      <c r="F15" s="1138"/>
    </row>
    <row r="16" spans="1:6" ht="16.5" customHeight="1" x14ac:dyDescent="0.3">
      <c r="A16" s="1138" t="s">
        <v>5706</v>
      </c>
      <c r="B16" s="1139" t="s">
        <v>5706</v>
      </c>
      <c r="C16" s="1138" t="s">
        <v>14</v>
      </c>
      <c r="D16" s="1138" t="s">
        <v>5707</v>
      </c>
      <c r="E16" s="1138" t="s">
        <v>431</v>
      </c>
      <c r="F16" s="1138"/>
    </row>
    <row r="17" spans="1:6" ht="16.5" customHeight="1" x14ac:dyDescent="0.3">
      <c r="A17" s="1138" t="s">
        <v>5708</v>
      </c>
      <c r="B17" s="1142" t="s">
        <v>5709</v>
      </c>
      <c r="C17" s="1138" t="s">
        <v>5710</v>
      </c>
      <c r="D17" s="1138" t="s">
        <v>5711</v>
      </c>
      <c r="E17" s="1138" t="s">
        <v>430</v>
      </c>
      <c r="F17" s="1138"/>
    </row>
    <row r="18" spans="1:6" ht="16.5" customHeight="1" x14ac:dyDescent="0.3">
      <c r="A18" s="1138" t="s">
        <v>5712</v>
      </c>
      <c r="B18" s="1139" t="s">
        <v>5713</v>
      </c>
      <c r="C18" s="1138" t="s">
        <v>363</v>
      </c>
      <c r="D18" s="1138" t="s">
        <v>5714</v>
      </c>
      <c r="E18" s="1138" t="s">
        <v>430</v>
      </c>
      <c r="F18" s="1138"/>
    </row>
    <row r="19" spans="1:6" ht="16.5" customHeight="1" x14ac:dyDescent="0.3">
      <c r="A19" s="1138" t="s">
        <v>5715</v>
      </c>
      <c r="B19" s="1139">
        <v>1595</v>
      </c>
      <c r="C19" s="1138" t="s">
        <v>5716</v>
      </c>
      <c r="D19" s="1138" t="s">
        <v>5717</v>
      </c>
      <c r="E19" s="1138" t="s">
        <v>430</v>
      </c>
      <c r="F19" s="1138"/>
    </row>
    <row r="20" spans="1:6" ht="16.5" customHeight="1" x14ac:dyDescent="0.3">
      <c r="A20" s="1138" t="s">
        <v>5718</v>
      </c>
      <c r="B20" s="1139" t="s">
        <v>5719</v>
      </c>
      <c r="C20" s="1138" t="s">
        <v>5720</v>
      </c>
      <c r="D20" s="1138" t="s">
        <v>5721</v>
      </c>
      <c r="E20" s="1138" t="s">
        <v>430</v>
      </c>
      <c r="F20" s="1138"/>
    </row>
    <row r="21" spans="1:6" ht="16.5" customHeight="1" x14ac:dyDescent="0.3">
      <c r="A21" s="1138" t="s">
        <v>5722</v>
      </c>
      <c r="B21" s="1139" t="s">
        <v>5722</v>
      </c>
      <c r="C21" s="1138" t="s">
        <v>5723</v>
      </c>
      <c r="D21" s="1138" t="s">
        <v>5724</v>
      </c>
      <c r="E21" s="1138" t="s">
        <v>430</v>
      </c>
      <c r="F21" s="1138"/>
    </row>
    <row r="22" spans="1:6" ht="16.5" customHeight="1" x14ac:dyDescent="0.3">
      <c r="A22" s="1138" t="s">
        <v>5725</v>
      </c>
      <c r="B22" s="1139" t="s">
        <v>5726</v>
      </c>
      <c r="C22" s="1138" t="s">
        <v>5727</v>
      </c>
      <c r="D22" s="1138" t="s">
        <v>5728</v>
      </c>
      <c r="E22" s="1138" t="s">
        <v>431</v>
      </c>
      <c r="F22" s="1138"/>
    </row>
    <row r="23" spans="1:6" ht="16.5" customHeight="1" x14ac:dyDescent="0.3">
      <c r="A23" s="1138" t="s">
        <v>5729</v>
      </c>
      <c r="B23" s="1139" t="s">
        <v>5730</v>
      </c>
      <c r="C23" s="1138" t="s">
        <v>5731</v>
      </c>
      <c r="D23" s="1138" t="s">
        <v>5732</v>
      </c>
      <c r="E23" s="1138" t="s">
        <v>431</v>
      </c>
      <c r="F23" s="1138"/>
    </row>
    <row r="24" spans="1:6" ht="16.5" customHeight="1" x14ac:dyDescent="0.3">
      <c r="A24" s="1138" t="s">
        <v>5733</v>
      </c>
      <c r="B24" s="1139" t="s">
        <v>5733</v>
      </c>
      <c r="C24" s="1138" t="s">
        <v>5734</v>
      </c>
      <c r="D24" s="1138" t="s">
        <v>5735</v>
      </c>
      <c r="E24" s="1138" t="s">
        <v>431</v>
      </c>
      <c r="F24" s="1138"/>
    </row>
    <row r="25" spans="1:6" ht="16.5" customHeight="1" x14ac:dyDescent="0.3">
      <c r="A25" s="1138" t="s">
        <v>5736</v>
      </c>
      <c r="B25" s="1139" t="s">
        <v>5736</v>
      </c>
      <c r="C25" s="1138" t="s">
        <v>5737</v>
      </c>
      <c r="D25" s="1138" t="s">
        <v>5738</v>
      </c>
      <c r="E25" s="1138" t="s">
        <v>430</v>
      </c>
      <c r="F25" s="1138"/>
    </row>
  </sheetData>
  <sheetProtection algorithmName="SHA-512" hashValue="hlWjk9eQ+ogWYbv0mE3hq+4h8Z4k7c2M/3QTRd5HsiayrjcAZamMyMeiS5uT/23ZDb5S/LigM10hTITW2e4ZgA==" saltValue="D2cfkEn1eRc54ROtaAxsA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1:CB316"/>
  <sheetViews>
    <sheetView showGridLines="0" zoomScaleNormal="100" workbookViewId="0">
      <selection activeCell="B1" sqref="B1:E1"/>
    </sheetView>
  </sheetViews>
  <sheetFormatPr defaultColWidth="9.33203125" defaultRowHeight="32.25" customHeight="1" x14ac:dyDescent="0.3"/>
  <cols>
    <col min="1" max="1" width="5.33203125" style="371" customWidth="1"/>
    <col min="2" max="2" width="54" style="371" customWidth="1"/>
    <col min="3" max="3" width="16.33203125" style="371" customWidth="1"/>
    <col min="4" max="4" width="10.33203125" style="371" customWidth="1"/>
    <col min="5" max="5" width="9.33203125" style="371" customWidth="1"/>
    <col min="6" max="6" width="9.33203125" style="371" hidden="1" customWidth="1"/>
    <col min="7" max="7" width="10.33203125" style="371" hidden="1" customWidth="1"/>
    <col min="8" max="8" width="20.6640625" style="1078" hidden="1" customWidth="1"/>
    <col min="9" max="9" width="14" style="1078" hidden="1" customWidth="1"/>
    <col min="10" max="10" width="10" style="1078" hidden="1" customWidth="1"/>
    <col min="11" max="11" width="2.5546875" style="1078" hidden="1" customWidth="1"/>
    <col min="12" max="12" width="4" style="1078" hidden="1" customWidth="1"/>
    <col min="13" max="13" width="68.33203125" style="1078" hidden="1" customWidth="1"/>
    <col min="14" max="15" width="9.33203125" style="1078" hidden="1" customWidth="1"/>
    <col min="16" max="16" width="10.6640625" style="1078" hidden="1" customWidth="1"/>
    <col min="17" max="17" width="14.6640625" style="1078" hidden="1" customWidth="1"/>
    <col min="18" max="25" width="9.33203125" style="1078" hidden="1" customWidth="1"/>
    <col min="26" max="26" width="69.6640625" style="1078" hidden="1" customWidth="1"/>
    <col min="27" max="27" width="87.6640625" style="1078" hidden="1" customWidth="1"/>
    <col min="28" max="52" width="9.33203125" style="1078" hidden="1" customWidth="1"/>
    <col min="53" max="53" width="58.33203125" style="371" hidden="1" customWidth="1"/>
    <col min="54" max="54" width="75.33203125" style="371" hidden="1" customWidth="1"/>
    <col min="55" max="55" width="87.5546875" style="371" hidden="1" customWidth="1"/>
    <col min="56" max="80" width="9.33203125" style="371" hidden="1" customWidth="1"/>
    <col min="81" max="143" width="9.33203125" style="371" customWidth="1"/>
    <col min="144" max="701" width="9.33203125" style="371"/>
    <col min="702" max="702" width="74" style="371" customWidth="1"/>
    <col min="703" max="16384" width="9.33203125" style="371"/>
  </cols>
  <sheetData>
    <row r="1" spans="2:55" s="1192" customFormat="1" ht="22.8" x14ac:dyDescent="0.3">
      <c r="B1" s="1752" t="s">
        <v>171</v>
      </c>
      <c r="C1" s="1752"/>
      <c r="D1" s="1752"/>
      <c r="E1" s="1752"/>
      <c r="F1" s="1192" t="s">
        <v>603</v>
      </c>
      <c r="G1" s="1666" t="s">
        <v>4403</v>
      </c>
      <c r="H1" s="1607" t="s">
        <v>171</v>
      </c>
      <c r="I1" s="1607"/>
      <c r="J1" s="1607">
        <v>8</v>
      </c>
      <c r="K1" s="1607"/>
      <c r="L1" s="1607"/>
      <c r="M1" s="1607"/>
      <c r="N1" s="1607"/>
      <c r="O1" s="1607"/>
      <c r="P1" s="1607"/>
      <c r="Q1" s="1607"/>
      <c r="R1" s="1607"/>
      <c r="S1" s="1607"/>
      <c r="T1" s="1607"/>
      <c r="U1" s="1607"/>
      <c r="V1" s="1607"/>
      <c r="W1" s="1607"/>
      <c r="X1" s="1607"/>
      <c r="Y1" s="1607"/>
      <c r="Z1" s="1607"/>
      <c r="AA1" s="1608" t="s">
        <v>171</v>
      </c>
      <c r="AB1" s="1607"/>
      <c r="AC1" s="1607"/>
      <c r="AD1" s="1607"/>
      <c r="AE1" s="1607"/>
      <c r="AF1" s="1607"/>
      <c r="AG1" s="1607"/>
      <c r="AH1" s="1607"/>
      <c r="AI1" s="1607"/>
      <c r="AJ1" s="1607"/>
      <c r="AK1" s="1607"/>
      <c r="AL1" s="1607"/>
      <c r="AM1" s="1607"/>
      <c r="AN1" s="1607"/>
      <c r="AO1" s="1607"/>
      <c r="AP1" s="1607"/>
      <c r="AQ1" s="1607"/>
      <c r="AR1" s="1607"/>
      <c r="AS1" s="1607"/>
      <c r="AT1" s="1607"/>
      <c r="AU1" s="1607"/>
      <c r="AV1" s="1607"/>
      <c r="AW1" s="1607"/>
      <c r="AX1" s="1607"/>
      <c r="AY1" s="1607"/>
      <c r="AZ1" s="1607"/>
    </row>
    <row r="2" spans="2:55" s="1192" customFormat="1" ht="17.399999999999999" x14ac:dyDescent="0.3">
      <c r="B2" s="1753" t="s">
        <v>2381</v>
      </c>
      <c r="C2" s="1753"/>
      <c r="D2" s="1753"/>
      <c r="E2" s="1753"/>
      <c r="G2" s="1666"/>
      <c r="H2" s="1607"/>
      <c r="I2" s="1607"/>
      <c r="J2" s="1607"/>
      <c r="K2" s="1607"/>
      <c r="L2" s="1607"/>
      <c r="M2" s="1607"/>
      <c r="N2" s="1607"/>
      <c r="O2" s="1607"/>
      <c r="P2" s="1607"/>
      <c r="Q2" s="1607"/>
      <c r="R2" s="1607"/>
      <c r="S2" s="1607"/>
      <c r="T2" s="1607"/>
      <c r="U2" s="1607"/>
      <c r="V2" s="1607"/>
      <c r="W2" s="1607"/>
      <c r="X2" s="1607"/>
      <c r="Y2" s="1607"/>
      <c r="Z2" s="1607"/>
      <c r="AA2" s="1608" t="s">
        <v>2381</v>
      </c>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row>
    <row r="3" spans="2:55" s="1192" customFormat="1" ht="15.6" x14ac:dyDescent="0.3">
      <c r="B3" s="1754" t="s">
        <v>7338</v>
      </c>
      <c r="C3" s="1754"/>
      <c r="D3" s="1754"/>
      <c r="E3" s="1754"/>
      <c r="G3" s="1666"/>
      <c r="H3" s="1607"/>
      <c r="I3" s="1607"/>
      <c r="J3" s="1607"/>
      <c r="K3" s="1607"/>
      <c r="L3" s="1607"/>
      <c r="M3" s="1607"/>
      <c r="N3" s="1607"/>
      <c r="O3" s="1607"/>
      <c r="P3" s="1607">
        <v>43831</v>
      </c>
      <c r="Q3" s="1607"/>
      <c r="R3" s="1607"/>
      <c r="S3" s="1607"/>
      <c r="T3" s="1607"/>
      <c r="U3" s="1607"/>
      <c r="V3" s="1607"/>
      <c r="W3" s="1607"/>
      <c r="X3" s="1607"/>
      <c r="Y3" s="1607"/>
      <c r="Z3" s="1607"/>
      <c r="AA3" s="1608" t="s">
        <v>5937</v>
      </c>
      <c r="AB3" s="1607"/>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row>
    <row r="4" spans="2:55" s="1192" customFormat="1" ht="11.25" customHeight="1" x14ac:dyDescent="0.3">
      <c r="B4" s="1755" t="s">
        <v>2384</v>
      </c>
      <c r="C4" s="1755"/>
      <c r="D4" s="1755"/>
      <c r="E4" s="1755"/>
      <c r="G4" s="1666"/>
      <c r="H4" s="1607"/>
      <c r="I4" s="1607"/>
      <c r="J4" s="1607"/>
      <c r="K4" s="1607"/>
      <c r="L4" s="1607"/>
      <c r="M4" s="1607"/>
      <c r="N4" s="1607"/>
      <c r="O4" s="1607"/>
      <c r="P4" s="1607"/>
      <c r="Q4" s="1607"/>
      <c r="R4" s="1607"/>
      <c r="S4" s="1607"/>
      <c r="T4" s="1607"/>
      <c r="U4" s="1607"/>
      <c r="V4" s="1607"/>
      <c r="W4" s="1607"/>
      <c r="X4" s="1607"/>
      <c r="Y4" s="1607"/>
      <c r="Z4" s="1607"/>
      <c r="AA4" s="1608" t="s">
        <v>2384</v>
      </c>
      <c r="AB4" s="1607"/>
      <c r="AC4" s="1607"/>
      <c r="AD4" s="1607"/>
      <c r="AE4" s="1607"/>
      <c r="AF4" s="1607"/>
      <c r="AG4" s="1607"/>
      <c r="AH4" s="1607"/>
      <c r="AI4" s="1607"/>
      <c r="AJ4" s="1607"/>
      <c r="AK4" s="1607"/>
      <c r="AL4" s="1607"/>
      <c r="AM4" s="1607"/>
      <c r="AN4" s="1607"/>
      <c r="AO4" s="1607"/>
      <c r="AP4" s="1607"/>
      <c r="AQ4" s="1607"/>
      <c r="AR4" s="1607"/>
      <c r="AS4" s="1607"/>
      <c r="AT4" s="1607"/>
      <c r="AU4" s="1607"/>
      <c r="AV4" s="1607"/>
      <c r="AW4" s="1607"/>
      <c r="AX4" s="1607"/>
      <c r="AY4" s="1607"/>
      <c r="AZ4" s="1607"/>
    </row>
    <row r="5" spans="2:55" s="1192" customFormat="1" ht="11.25" customHeight="1" x14ac:dyDescent="0.3">
      <c r="B5" s="1755" t="s">
        <v>2385</v>
      </c>
      <c r="C5" s="1755"/>
      <c r="D5" s="1755"/>
      <c r="E5" s="1755"/>
      <c r="G5" s="1666"/>
      <c r="H5" s="1607"/>
      <c r="I5" s="1607"/>
      <c r="J5" s="1607"/>
      <c r="K5" s="1607"/>
      <c r="L5" s="1607"/>
      <c r="M5" s="1607"/>
      <c r="N5" s="1607"/>
      <c r="O5" s="1607"/>
      <c r="P5" s="1607"/>
      <c r="Q5" s="1607"/>
      <c r="R5" s="1607"/>
      <c r="S5" s="1607"/>
      <c r="T5" s="1607"/>
      <c r="U5" s="1607"/>
      <c r="V5" s="1607"/>
      <c r="W5" s="1607"/>
      <c r="X5" s="1607"/>
      <c r="Y5" s="1607"/>
      <c r="Z5" s="1607"/>
      <c r="AA5" s="1608" t="s">
        <v>2385</v>
      </c>
      <c r="AB5" s="1607"/>
      <c r="AC5" s="1607"/>
      <c r="AD5" s="1607"/>
      <c r="AE5" s="1607"/>
      <c r="AF5" s="1607"/>
      <c r="AG5" s="1607"/>
      <c r="AH5" s="1607"/>
      <c r="AI5" s="1607"/>
      <c r="AJ5" s="1607"/>
      <c r="AK5" s="1607"/>
      <c r="AL5" s="1607"/>
      <c r="AM5" s="1607"/>
      <c r="AN5" s="1607"/>
      <c r="AO5" s="1607"/>
      <c r="AP5" s="1607"/>
      <c r="AQ5" s="1607"/>
      <c r="AR5" s="1607"/>
      <c r="AS5" s="1607"/>
      <c r="AT5" s="1607"/>
      <c r="AU5" s="1607"/>
      <c r="AV5" s="1607"/>
      <c r="AW5" s="1607"/>
      <c r="AX5" s="1607"/>
      <c r="AY5" s="1607"/>
      <c r="AZ5" s="1607"/>
    </row>
    <row r="6" spans="2:55" s="1192" customFormat="1" ht="11.25" customHeight="1" x14ac:dyDescent="0.3">
      <c r="B6" s="1772" t="s">
        <v>7318</v>
      </c>
      <c r="C6" s="1772"/>
      <c r="D6" s="1772"/>
      <c r="E6" s="1772"/>
      <c r="G6" s="1666"/>
      <c r="H6" s="1607" t="s">
        <v>6116</v>
      </c>
      <c r="I6" s="1607"/>
      <c r="J6" s="1607"/>
      <c r="K6" s="1607"/>
      <c r="L6" s="1607"/>
      <c r="M6" s="1607"/>
      <c r="N6" s="1607"/>
      <c r="O6" s="1607"/>
      <c r="P6" s="1607"/>
      <c r="Q6" s="1607"/>
      <c r="R6" s="1607"/>
      <c r="S6" s="1607"/>
      <c r="T6" s="1607"/>
      <c r="U6" s="1607"/>
      <c r="V6" s="1607"/>
      <c r="W6" s="1607"/>
      <c r="X6" s="1607"/>
      <c r="Y6" s="1607"/>
      <c r="Z6" s="1607"/>
      <c r="AA6" s="1608" t="s">
        <v>6116</v>
      </c>
      <c r="AB6" s="1607"/>
      <c r="AC6" s="1607"/>
      <c r="AD6" s="1607"/>
      <c r="AE6" s="1607"/>
      <c r="AF6" s="1607"/>
      <c r="AG6" s="1607"/>
      <c r="AH6" s="1607"/>
      <c r="AI6" s="1607"/>
      <c r="AJ6" s="1607"/>
      <c r="AK6" s="1607"/>
      <c r="AL6" s="1607"/>
      <c r="AM6" s="1607"/>
      <c r="AN6" s="1607"/>
      <c r="AO6" s="1607"/>
      <c r="AP6" s="1607"/>
      <c r="AQ6" s="1607"/>
      <c r="AR6" s="1607"/>
      <c r="AS6" s="1607" t="s">
        <v>603</v>
      </c>
      <c r="AT6" s="1607"/>
      <c r="AU6" s="1607"/>
      <c r="AV6" s="1607"/>
      <c r="AW6" s="1607"/>
      <c r="AX6" s="1607"/>
      <c r="AY6" s="1607"/>
      <c r="AZ6" s="1607"/>
    </row>
    <row r="7" spans="2:55" s="1192" customFormat="1" ht="17.399999999999999" x14ac:dyDescent="0.3">
      <c r="B7" s="1746" t="s">
        <v>427</v>
      </c>
      <c r="C7" s="1743"/>
      <c r="D7" s="1743"/>
      <c r="E7" s="1743"/>
      <c r="G7" s="1666"/>
      <c r="H7" s="1607" t="s">
        <v>2506</v>
      </c>
      <c r="I7" s="1607"/>
      <c r="J7" s="1607"/>
      <c r="K7" s="1607"/>
      <c r="L7" s="1607"/>
      <c r="M7" s="1607"/>
      <c r="N7" s="1607"/>
      <c r="O7" s="1607"/>
      <c r="P7" s="1607"/>
      <c r="Q7" s="1607"/>
      <c r="R7" s="1607"/>
      <c r="S7" s="1607"/>
      <c r="T7" s="1607"/>
      <c r="U7" s="1607"/>
      <c r="V7" s="1607"/>
      <c r="W7" s="1607"/>
      <c r="X7" s="1607"/>
      <c r="Y7" s="1607"/>
      <c r="Z7" s="1607"/>
      <c r="AA7" s="1608" t="s">
        <v>427</v>
      </c>
      <c r="AB7" s="1607"/>
      <c r="AC7" s="1607"/>
      <c r="AD7" s="1607"/>
      <c r="AE7" s="1607"/>
      <c r="AF7" s="1607"/>
      <c r="AG7" s="1607"/>
      <c r="AH7" s="1607"/>
      <c r="AI7" s="1607"/>
      <c r="AJ7" s="1607"/>
      <c r="AK7" s="1607"/>
      <c r="AL7" s="1607"/>
      <c r="AM7" s="1607"/>
      <c r="AN7" s="1607"/>
      <c r="AO7" s="1607"/>
      <c r="AP7" s="1607"/>
      <c r="AQ7" s="1607"/>
      <c r="AR7" s="1607"/>
      <c r="AS7" s="1607"/>
      <c r="AT7" s="1607"/>
      <c r="AU7" s="1607"/>
      <c r="AV7" s="1607"/>
      <c r="AW7" s="1607"/>
      <c r="AX7" s="1607"/>
      <c r="AY7" s="1607"/>
      <c r="AZ7" s="1607"/>
      <c r="BC7" s="1465" t="s">
        <v>427</v>
      </c>
    </row>
    <row r="8" spans="2:55" s="1192" customFormat="1" ht="34.200000000000003" x14ac:dyDescent="0.3">
      <c r="B8" s="1743" t="s">
        <v>4404</v>
      </c>
      <c r="C8" s="1743"/>
      <c r="D8" s="1743"/>
      <c r="E8" s="1743"/>
      <c r="G8" s="1666"/>
      <c r="H8" s="1607" t="s">
        <v>2506</v>
      </c>
      <c r="I8" s="1607"/>
      <c r="J8" s="1607"/>
      <c r="K8" s="1607"/>
      <c r="L8" s="1607"/>
      <c r="M8" s="1607"/>
      <c r="N8" s="1607"/>
      <c r="O8" s="1607"/>
      <c r="P8" s="1607"/>
      <c r="Q8" s="1607"/>
      <c r="R8" s="1607"/>
      <c r="S8" s="1607"/>
      <c r="T8" s="1607"/>
      <c r="U8" s="1607"/>
      <c r="V8" s="1607"/>
      <c r="W8" s="1607"/>
      <c r="X8" s="1607"/>
      <c r="Y8" s="1607"/>
      <c r="Z8" s="1607"/>
      <c r="AA8" s="1608" t="s">
        <v>4404</v>
      </c>
      <c r="AB8" s="1607"/>
      <c r="AC8" s="1607"/>
      <c r="AD8" s="1607"/>
      <c r="AE8" s="1607"/>
      <c r="AF8" s="1607"/>
      <c r="AG8" s="1607"/>
      <c r="AH8" s="1607"/>
      <c r="AI8" s="1607"/>
      <c r="AJ8" s="1607"/>
      <c r="AK8" s="1607"/>
      <c r="AL8" s="1607"/>
      <c r="AM8" s="1607"/>
      <c r="AN8" s="1607"/>
      <c r="AO8" s="1607"/>
      <c r="AP8" s="1607"/>
      <c r="AQ8" s="1607"/>
      <c r="AR8" s="1607"/>
      <c r="AS8" s="1607"/>
      <c r="AT8" s="1607"/>
      <c r="AU8" s="1607"/>
      <c r="AV8" s="1607"/>
      <c r="AW8" s="1607"/>
      <c r="AX8" s="1607"/>
      <c r="AY8" s="1607"/>
      <c r="AZ8" s="1607"/>
      <c r="BC8" s="1670" t="s">
        <v>4404</v>
      </c>
    </row>
    <row r="9" spans="2:55" s="1192" customFormat="1" ht="11.25" customHeight="1" x14ac:dyDescent="0.3">
      <c r="B9" s="1654"/>
      <c r="C9" s="1654"/>
      <c r="D9" s="1654"/>
      <c r="E9" s="1654"/>
      <c r="G9" s="1666"/>
      <c r="H9" s="1607"/>
      <c r="I9" s="1607"/>
      <c r="J9" s="1607"/>
      <c r="K9" s="1607"/>
      <c r="L9" s="1607"/>
      <c r="M9" s="1607"/>
      <c r="N9" s="1607"/>
      <c r="O9" s="1607"/>
      <c r="P9" s="1607"/>
      <c r="Q9" s="1607"/>
      <c r="R9" s="1607"/>
      <c r="S9" s="1607"/>
      <c r="T9" s="1607"/>
      <c r="U9" s="1607"/>
      <c r="V9" s="1607"/>
      <c r="W9" s="1607"/>
      <c r="X9" s="1607"/>
      <c r="Y9" s="1607"/>
      <c r="Z9" s="1607"/>
      <c r="AA9" s="1607"/>
      <c r="AB9" s="1607"/>
      <c r="AC9" s="1607"/>
      <c r="AD9" s="1607"/>
      <c r="AE9" s="1607"/>
      <c r="AF9" s="1607"/>
      <c r="AG9" s="1607"/>
      <c r="AH9" s="1607"/>
      <c r="AI9" s="1607"/>
      <c r="AJ9" s="1607"/>
      <c r="AK9" s="1607"/>
      <c r="AL9" s="1607"/>
      <c r="AM9" s="1607"/>
      <c r="AN9" s="1607"/>
      <c r="AO9" s="1607"/>
      <c r="AP9" s="1607"/>
      <c r="AQ9" s="1607"/>
      <c r="AR9" s="1607"/>
      <c r="AS9" s="1607"/>
      <c r="AT9" s="1607"/>
      <c r="AU9" s="1607"/>
      <c r="AV9" s="1607"/>
      <c r="AW9" s="1607"/>
      <c r="AX9" s="1607"/>
      <c r="AY9" s="1607"/>
      <c r="AZ9" s="1607"/>
    </row>
    <row r="10" spans="2:55" s="1192" customFormat="1" ht="14.4" x14ac:dyDescent="0.3">
      <c r="B10" s="1750" t="s">
        <v>2389</v>
      </c>
      <c r="C10" s="1743"/>
      <c r="D10" s="1743"/>
      <c r="E10" s="1743"/>
      <c r="G10" s="1666"/>
      <c r="H10" s="1607" t="s">
        <v>2390</v>
      </c>
      <c r="I10" s="1607"/>
      <c r="J10" s="1607"/>
      <c r="K10" s="1607"/>
      <c r="L10" s="1607"/>
      <c r="M10" s="1607"/>
      <c r="N10" s="1607"/>
      <c r="O10" s="1607"/>
      <c r="P10" s="1607"/>
      <c r="Q10" s="1607"/>
      <c r="R10" s="1607"/>
      <c r="S10" s="1607"/>
      <c r="T10" s="1607"/>
      <c r="U10" s="1607"/>
      <c r="V10" s="1607"/>
      <c r="W10" s="1607"/>
      <c r="X10" s="1607"/>
      <c r="Y10" s="1607"/>
      <c r="Z10" s="1607"/>
      <c r="AA10" s="1608" t="s">
        <v>2389</v>
      </c>
      <c r="AB10" s="1607"/>
      <c r="AC10" s="1607"/>
      <c r="AD10" s="1607"/>
      <c r="AE10" s="1607"/>
      <c r="AF10" s="1607"/>
      <c r="AG10" s="1607"/>
      <c r="AH10" s="1607"/>
      <c r="AI10" s="1607"/>
      <c r="AJ10" s="1607"/>
      <c r="AK10" s="1607"/>
      <c r="AL10" s="1607"/>
      <c r="AM10" s="1607"/>
      <c r="AN10" s="1607"/>
      <c r="AO10" s="1607"/>
      <c r="AP10" s="1607"/>
      <c r="AQ10" s="1607"/>
      <c r="AR10" s="1607"/>
      <c r="AS10" s="1607"/>
      <c r="AT10" s="1607"/>
      <c r="AU10" s="1607"/>
      <c r="AV10" s="1607"/>
      <c r="AW10" s="1607"/>
      <c r="AX10" s="1607"/>
      <c r="AY10" s="1607"/>
      <c r="AZ10" s="1607"/>
      <c r="BC10" s="1467" t="s">
        <v>2389</v>
      </c>
    </row>
    <row r="11" spans="2:55" s="1192" customFormat="1" ht="11.25" customHeight="1" x14ac:dyDescent="0.3">
      <c r="B11" s="1659"/>
      <c r="C11" s="1654"/>
      <c r="D11" s="1654"/>
      <c r="E11" s="1654"/>
      <c r="G11" s="1666"/>
      <c r="H11" s="1607"/>
      <c r="I11" s="1607"/>
      <c r="J11" s="1607"/>
      <c r="K11" s="1607"/>
      <c r="L11" s="1607"/>
      <c r="M11" s="1607"/>
      <c r="N11" s="1607"/>
      <c r="O11" s="1607"/>
      <c r="P11" s="1607"/>
      <c r="Q11" s="1607"/>
      <c r="R11" s="1607"/>
      <c r="S11" s="1607"/>
      <c r="T11" s="1607"/>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7"/>
      <c r="AW11" s="1607"/>
      <c r="AX11" s="1607"/>
      <c r="AY11" s="1607"/>
      <c r="AZ11" s="1607"/>
    </row>
    <row r="12" spans="2:55" s="1192" customFormat="1" ht="34.200000000000003" x14ac:dyDescent="0.3">
      <c r="B12" s="1743" t="s">
        <v>2391</v>
      </c>
      <c r="C12" s="1743"/>
      <c r="D12" s="1743"/>
      <c r="E12" s="1743"/>
      <c r="G12" s="1666"/>
      <c r="H12" s="1607" t="s">
        <v>2506</v>
      </c>
      <c r="I12" s="1607"/>
      <c r="J12" s="1607"/>
      <c r="K12" s="1607"/>
      <c r="L12" s="1607"/>
      <c r="M12" s="1607"/>
      <c r="N12" s="1607"/>
      <c r="O12" s="1607"/>
      <c r="P12" s="1607"/>
      <c r="Q12" s="1607"/>
      <c r="R12" s="1607"/>
      <c r="S12" s="1607"/>
      <c r="T12" s="1607"/>
      <c r="U12" s="1607"/>
      <c r="V12" s="1607"/>
      <c r="W12" s="1607"/>
      <c r="X12" s="1607"/>
      <c r="Y12" s="1607"/>
      <c r="Z12" s="1607"/>
      <c r="AA12" s="1608" t="s">
        <v>2391</v>
      </c>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7"/>
      <c r="AW12" s="1607"/>
      <c r="AX12" s="1607"/>
      <c r="AY12" s="1607"/>
      <c r="AZ12" s="1607"/>
      <c r="BC12" s="1670" t="s">
        <v>2391</v>
      </c>
    </row>
    <row r="13" spans="2:55" s="1192" customFormat="1" ht="11.25" customHeight="1" x14ac:dyDescent="0.3">
      <c r="B13" s="1654"/>
      <c r="C13" s="1654"/>
      <c r="D13" s="1654"/>
      <c r="E13" s="1654"/>
      <c r="G13" s="1666"/>
      <c r="H13" s="1607"/>
      <c r="I13" s="1607"/>
      <c r="J13" s="1607"/>
      <c r="K13" s="1607"/>
      <c r="L13" s="1607"/>
      <c r="M13" s="1607"/>
      <c r="N13" s="1607"/>
      <c r="O13" s="1607"/>
      <c r="P13" s="1607"/>
      <c r="Q13" s="1607"/>
      <c r="R13" s="1607"/>
      <c r="S13" s="1607"/>
      <c r="T13" s="1607"/>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row>
    <row r="14" spans="2:55" s="1192" customFormat="1" ht="45.6" x14ac:dyDescent="0.3">
      <c r="B14" s="1743" t="s">
        <v>2392</v>
      </c>
      <c r="C14" s="1743"/>
      <c r="D14" s="1743"/>
      <c r="E14" s="1743"/>
      <c r="G14" s="1666"/>
      <c r="H14" s="1607" t="s">
        <v>2506</v>
      </c>
      <c r="I14" s="1607"/>
      <c r="J14" s="1607"/>
      <c r="K14" s="1607"/>
      <c r="L14" s="1607"/>
      <c r="M14" s="1607"/>
      <c r="N14" s="1607"/>
      <c r="O14" s="1607"/>
      <c r="P14" s="1607"/>
      <c r="Q14" s="1607"/>
      <c r="R14" s="1607"/>
      <c r="S14" s="1607"/>
      <c r="T14" s="1607"/>
      <c r="U14" s="1607"/>
      <c r="V14" s="1607"/>
      <c r="W14" s="1607"/>
      <c r="X14" s="1607"/>
      <c r="Y14" s="1607"/>
      <c r="Z14" s="1607"/>
      <c r="AA14" s="1608" t="s">
        <v>2392</v>
      </c>
      <c r="AB14" s="1607"/>
      <c r="AC14" s="1607"/>
      <c r="AD14" s="1607"/>
      <c r="AE14" s="1607"/>
      <c r="AF14" s="1607"/>
      <c r="AG14" s="1607"/>
      <c r="AH14" s="1607"/>
      <c r="AI14" s="1607"/>
      <c r="AJ14" s="1607"/>
      <c r="AK14" s="1607"/>
      <c r="AL14" s="1607"/>
      <c r="AM14" s="1607"/>
      <c r="AN14" s="1607"/>
      <c r="AO14" s="1607"/>
      <c r="AP14" s="1607"/>
      <c r="AQ14" s="1607"/>
      <c r="AR14" s="1607"/>
      <c r="AS14" s="1607"/>
      <c r="AT14" s="1607"/>
      <c r="AU14" s="1607"/>
      <c r="AV14" s="1607"/>
      <c r="AW14" s="1607"/>
      <c r="AX14" s="1607"/>
      <c r="AY14" s="1607"/>
      <c r="AZ14" s="1607"/>
      <c r="BC14" s="1670" t="s">
        <v>2392</v>
      </c>
    </row>
    <row r="15" spans="2:55" s="1192" customFormat="1" ht="11.25" customHeight="1" x14ac:dyDescent="0.3">
      <c r="B15" s="1654"/>
      <c r="C15" s="1654"/>
      <c r="D15" s="1654"/>
      <c r="E15" s="1654"/>
      <c r="G15" s="1666"/>
      <c r="H15" s="1607"/>
      <c r="I15" s="1607"/>
      <c r="J15" s="1607"/>
      <c r="K15" s="1607"/>
      <c r="L15" s="1607"/>
      <c r="M15" s="1607"/>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c r="AL15" s="1607"/>
      <c r="AM15" s="1607"/>
      <c r="AN15" s="1607"/>
      <c r="AO15" s="1607"/>
      <c r="AP15" s="1607"/>
      <c r="AQ15" s="1607"/>
      <c r="AR15" s="1607"/>
      <c r="AS15" s="1607"/>
      <c r="AT15" s="1607"/>
      <c r="AU15" s="1607"/>
      <c r="AV15" s="1607"/>
      <c r="AW15" s="1607"/>
      <c r="AX15" s="1607"/>
      <c r="AY15" s="1607"/>
      <c r="AZ15" s="1607"/>
    </row>
    <row r="16" spans="2:55" s="1192" customFormat="1" ht="45.6" x14ac:dyDescent="0.3">
      <c r="B16" s="1743" t="s">
        <v>2508</v>
      </c>
      <c r="C16" s="1743"/>
      <c r="D16" s="1743"/>
      <c r="E16" s="1743"/>
      <c r="G16" s="1666"/>
      <c r="H16" s="1607" t="s">
        <v>2506</v>
      </c>
      <c r="I16" s="1607"/>
      <c r="J16" s="1607"/>
      <c r="K16" s="1607"/>
      <c r="L16" s="1607"/>
      <c r="M16" s="1607"/>
      <c r="N16" s="1607"/>
      <c r="O16" s="1607"/>
      <c r="P16" s="1607"/>
      <c r="Q16" s="1607"/>
      <c r="R16" s="1607"/>
      <c r="S16" s="1607"/>
      <c r="T16" s="1607"/>
      <c r="U16" s="1607"/>
      <c r="V16" s="1607"/>
      <c r="W16" s="1607"/>
      <c r="X16" s="1607"/>
      <c r="Y16" s="1607"/>
      <c r="Z16" s="1607"/>
      <c r="AA16" s="1608" t="s">
        <v>2508</v>
      </c>
      <c r="AB16" s="1607"/>
      <c r="AC16" s="1607"/>
      <c r="AD16" s="1607"/>
      <c r="AE16" s="1607"/>
      <c r="AF16" s="1607"/>
      <c r="AG16" s="1607"/>
      <c r="AH16" s="1607"/>
      <c r="AI16" s="1607"/>
      <c r="AJ16" s="1607"/>
      <c r="AK16" s="1607"/>
      <c r="AL16" s="1607"/>
      <c r="AM16" s="1607"/>
      <c r="AN16" s="1607"/>
      <c r="AO16" s="1607"/>
      <c r="AP16" s="1607"/>
      <c r="AQ16" s="1607"/>
      <c r="AR16" s="1607"/>
      <c r="AS16" s="1607"/>
      <c r="AT16" s="1607"/>
      <c r="AU16" s="1607"/>
      <c r="AV16" s="1607"/>
      <c r="AW16" s="1607"/>
      <c r="AX16" s="1607"/>
      <c r="AY16" s="1607"/>
      <c r="AZ16" s="1607"/>
      <c r="BC16" s="1670" t="s">
        <v>2508</v>
      </c>
    </row>
    <row r="17" spans="2:55" s="1192" customFormat="1" ht="11.25" customHeight="1" x14ac:dyDescent="0.3">
      <c r="B17" s="1654"/>
      <c r="C17" s="1654"/>
      <c r="D17" s="1654"/>
      <c r="E17" s="1654"/>
      <c r="G17" s="1666"/>
      <c r="H17" s="1607"/>
      <c r="I17" s="1607"/>
      <c r="J17" s="1607"/>
      <c r="K17" s="1607"/>
      <c r="L17" s="1607"/>
      <c r="M17" s="1607"/>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c r="AL17" s="1607"/>
      <c r="AM17" s="1607"/>
      <c r="AN17" s="1607"/>
      <c r="AO17" s="1607"/>
      <c r="AP17" s="1607"/>
      <c r="AQ17" s="1607"/>
      <c r="AR17" s="1607"/>
      <c r="AS17" s="1607"/>
      <c r="AT17" s="1607"/>
      <c r="AU17" s="1607"/>
      <c r="AV17" s="1607"/>
      <c r="AW17" s="1607"/>
      <c r="AX17" s="1607"/>
      <c r="AY17" s="1607"/>
      <c r="AZ17" s="1607"/>
    </row>
    <row r="18" spans="2:55" s="1192" customFormat="1" ht="34.200000000000003" x14ac:dyDescent="0.3">
      <c r="B18" s="1743" t="s">
        <v>6117</v>
      </c>
      <c r="C18" s="1743"/>
      <c r="D18" s="1743"/>
      <c r="E18" s="1743"/>
      <c r="G18" s="1666"/>
      <c r="H18" s="1607" t="s">
        <v>2506</v>
      </c>
      <c r="I18" s="1607"/>
      <c r="J18" s="1607"/>
      <c r="K18" s="1607"/>
      <c r="L18" s="1607"/>
      <c r="M18" s="1607"/>
      <c r="N18" s="1607"/>
      <c r="O18" s="1607"/>
      <c r="P18" s="1607"/>
      <c r="Q18" s="1607"/>
      <c r="R18" s="1607"/>
      <c r="S18" s="1607"/>
      <c r="T18" s="1607"/>
      <c r="U18" s="1607"/>
      <c r="V18" s="1607"/>
      <c r="W18" s="1607"/>
      <c r="X18" s="1607"/>
      <c r="Y18" s="1607"/>
      <c r="Z18" s="1607"/>
      <c r="AA18" s="1608" t="s">
        <v>6117</v>
      </c>
      <c r="AB18" s="1607"/>
      <c r="AC18" s="1607"/>
      <c r="AD18" s="1607"/>
      <c r="AE18" s="1607"/>
      <c r="AF18" s="1607"/>
      <c r="AG18" s="1607"/>
      <c r="AH18" s="1607"/>
      <c r="AI18" s="1607"/>
      <c r="AJ18" s="1607"/>
      <c r="AK18" s="1607"/>
      <c r="AL18" s="1607"/>
      <c r="AM18" s="1607"/>
      <c r="AN18" s="1607"/>
      <c r="AO18" s="1607"/>
      <c r="AP18" s="1607"/>
      <c r="AQ18" s="1607"/>
      <c r="AR18" s="1607"/>
      <c r="AS18" s="1607"/>
      <c r="AT18" s="1607"/>
      <c r="AU18" s="1607"/>
      <c r="AV18" s="1607"/>
      <c r="AW18" s="1607"/>
      <c r="AX18" s="1607"/>
      <c r="AY18" s="1607"/>
      <c r="AZ18" s="1607"/>
      <c r="BC18" s="1670" t="s">
        <v>6117</v>
      </c>
    </row>
    <row r="19" spans="2:55" s="1192" customFormat="1" ht="11.25" customHeight="1" x14ac:dyDescent="0.3">
      <c r="B19" s="1654"/>
      <c r="C19" s="1654"/>
      <c r="D19" s="1654"/>
      <c r="E19" s="1654"/>
      <c r="G19" s="1666"/>
      <c r="H19" s="1607"/>
      <c r="I19" s="1607"/>
      <c r="J19" s="1607"/>
      <c r="K19" s="1607"/>
      <c r="L19" s="1607"/>
      <c r="M19" s="1607"/>
      <c r="N19" s="1607"/>
      <c r="O19" s="1607"/>
      <c r="P19" s="1607"/>
      <c r="Q19" s="1607"/>
      <c r="R19" s="1607"/>
      <c r="S19" s="1607"/>
      <c r="T19" s="1607"/>
      <c r="U19" s="1607"/>
      <c r="V19" s="1607"/>
      <c r="W19" s="1607"/>
      <c r="X19" s="1607"/>
      <c r="Y19" s="1607"/>
      <c r="Z19" s="1607"/>
      <c r="AA19" s="1607"/>
      <c r="AB19" s="1607"/>
      <c r="AC19" s="1607"/>
      <c r="AD19" s="1607"/>
      <c r="AE19" s="1607"/>
      <c r="AF19" s="1607"/>
      <c r="AG19" s="1607"/>
      <c r="AH19" s="1607"/>
      <c r="AI19" s="1607"/>
      <c r="AJ19" s="1607"/>
      <c r="AK19" s="1607"/>
      <c r="AL19" s="1607"/>
      <c r="AM19" s="1607"/>
      <c r="AN19" s="1607"/>
      <c r="AO19" s="1607"/>
      <c r="AP19" s="1607"/>
      <c r="AQ19" s="1607"/>
      <c r="AR19" s="1607"/>
      <c r="AS19" s="1607"/>
      <c r="AT19" s="1607"/>
      <c r="AU19" s="1607"/>
      <c r="AV19" s="1607"/>
      <c r="AW19" s="1607"/>
      <c r="AX19" s="1607"/>
      <c r="AY19" s="1607"/>
      <c r="AZ19" s="1607"/>
    </row>
    <row r="20" spans="2:55" s="1192" customFormat="1" ht="14.4" x14ac:dyDescent="0.3">
      <c r="B20" s="1750" t="s">
        <v>2394</v>
      </c>
      <c r="C20" s="1743"/>
      <c r="D20" s="1743"/>
      <c r="E20" s="1743"/>
      <c r="G20" s="1666"/>
      <c r="H20" s="1607" t="s">
        <v>2395</v>
      </c>
      <c r="I20" s="1607"/>
      <c r="J20" s="1607"/>
      <c r="K20" s="1607"/>
      <c r="L20" s="1607"/>
      <c r="M20" s="1607"/>
      <c r="N20" s="1607"/>
      <c r="O20" s="1607"/>
      <c r="P20" s="1607"/>
      <c r="Q20" s="1607"/>
      <c r="R20" s="1607"/>
      <c r="S20" s="1607"/>
      <c r="T20" s="1607"/>
      <c r="U20" s="1607"/>
      <c r="V20" s="1607"/>
      <c r="W20" s="1607"/>
      <c r="X20" s="1607"/>
      <c r="Y20" s="1607"/>
      <c r="Z20" s="1607"/>
      <c r="AA20" s="1608" t="s">
        <v>2394</v>
      </c>
      <c r="AB20" s="1607"/>
      <c r="AC20" s="1607"/>
      <c r="AD20" s="1607"/>
      <c r="AE20" s="1607"/>
      <c r="AF20" s="1607"/>
      <c r="AG20" s="1607"/>
      <c r="AH20" s="1607"/>
      <c r="AI20" s="1607"/>
      <c r="AJ20" s="1607"/>
      <c r="AK20" s="1607"/>
      <c r="AL20" s="1607"/>
      <c r="AM20" s="1607"/>
      <c r="AN20" s="1607"/>
      <c r="AO20" s="1607"/>
      <c r="AP20" s="1607"/>
      <c r="AQ20" s="1607"/>
      <c r="AR20" s="1607"/>
      <c r="AS20" s="1607"/>
      <c r="AT20" s="1607"/>
      <c r="AU20" s="1607"/>
      <c r="AV20" s="1607"/>
      <c r="AW20" s="1607"/>
      <c r="AX20" s="1607"/>
      <c r="AY20" s="1607"/>
      <c r="AZ20" s="1607"/>
      <c r="BC20" s="1467" t="s">
        <v>2394</v>
      </c>
    </row>
    <row r="21" spans="2:55" s="1192" customFormat="1" ht="11.25" customHeight="1" x14ac:dyDescent="0.3">
      <c r="B21" s="1659"/>
      <c r="C21" s="1655"/>
      <c r="D21" s="1655"/>
      <c r="E21" s="1655"/>
      <c r="G21" s="1666"/>
      <c r="H21" s="1607"/>
      <c r="I21" s="1607"/>
      <c r="J21" s="1607"/>
      <c r="K21" s="1607"/>
      <c r="L21" s="1607"/>
      <c r="M21" s="1607"/>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c r="AL21" s="1607"/>
      <c r="AM21" s="1607"/>
      <c r="AN21" s="1607"/>
      <c r="AO21" s="1607"/>
      <c r="AP21" s="1607"/>
      <c r="AQ21" s="1607"/>
      <c r="AR21" s="1607"/>
      <c r="AS21" s="1607"/>
      <c r="AT21" s="1607"/>
      <c r="AU21" s="1607"/>
      <c r="AV21" s="1607"/>
      <c r="AW21" s="1607"/>
      <c r="AX21" s="1607"/>
      <c r="AY21" s="1607"/>
      <c r="AZ21" s="1607"/>
    </row>
    <row r="22" spans="2:55" s="1192" customFormat="1" ht="14.4" x14ac:dyDescent="0.3">
      <c r="B22" s="1741" t="s">
        <v>7</v>
      </c>
      <c r="C22" s="1741"/>
      <c r="D22" s="524" t="s">
        <v>19</v>
      </c>
      <c r="E22" s="1516">
        <v>30.26</v>
      </c>
      <c r="G22" s="1666"/>
      <c r="H22" s="1607" t="s">
        <v>2506</v>
      </c>
      <c r="I22" s="1607" t="s">
        <v>430</v>
      </c>
      <c r="J22" s="1607"/>
      <c r="K22" s="1607"/>
      <c r="L22" s="1607"/>
      <c r="M22" s="1607" t="s">
        <v>2510</v>
      </c>
      <c r="N22" s="1607"/>
      <c r="O22" s="1607"/>
      <c r="P22" s="1607"/>
      <c r="Q22" s="1607"/>
      <c r="R22" s="1607"/>
      <c r="S22" s="1607"/>
      <c r="T22" s="1607"/>
      <c r="U22" s="1607"/>
      <c r="V22" s="1607"/>
      <c r="W22" s="1607"/>
      <c r="X22" s="1607"/>
      <c r="Y22" s="1607"/>
      <c r="Z22" s="1608" t="s">
        <v>2510</v>
      </c>
      <c r="AA22" s="1607"/>
      <c r="AB22" s="1607"/>
      <c r="AC22" s="1607"/>
      <c r="AD22" s="1607"/>
      <c r="AE22" s="1607"/>
      <c r="AF22" s="1607"/>
      <c r="AG22" s="1607"/>
      <c r="AH22" s="1607"/>
      <c r="AI22" s="1607"/>
      <c r="AJ22" s="1607"/>
      <c r="AK22" s="1607"/>
      <c r="AL22" s="1607"/>
      <c r="AM22" s="1607"/>
      <c r="AN22" s="1607"/>
      <c r="AO22" s="1607"/>
      <c r="AP22" s="1607"/>
      <c r="AQ22" s="1607"/>
      <c r="AR22" s="1607"/>
      <c r="AS22" s="1607"/>
      <c r="AT22" s="1607"/>
      <c r="AU22" s="1607"/>
      <c r="AV22" s="1607"/>
      <c r="AW22" s="1607"/>
      <c r="AX22" s="1607"/>
      <c r="AY22" s="1607"/>
      <c r="AZ22" s="1607"/>
      <c r="BB22" s="1671" t="s">
        <v>7</v>
      </c>
    </row>
    <row r="23" spans="2:55" s="1192" customFormat="1" ht="14.4" x14ac:dyDescent="0.3">
      <c r="B23" s="1741" t="s">
        <v>3900</v>
      </c>
      <c r="C23" s="1741"/>
      <c r="D23" s="524" t="s">
        <v>19</v>
      </c>
      <c r="E23" s="1218">
        <v>0.56999999999999995</v>
      </c>
      <c r="G23" s="1666"/>
      <c r="H23" s="1607" t="s">
        <v>2506</v>
      </c>
      <c r="I23" s="1607" t="s">
        <v>431</v>
      </c>
      <c r="J23" s="1607"/>
      <c r="K23" s="1607"/>
      <c r="L23" s="1607"/>
      <c r="M23" s="1607" t="s">
        <v>2511</v>
      </c>
      <c r="N23" s="1607"/>
      <c r="O23" s="1607"/>
      <c r="P23" s="1607"/>
      <c r="Q23" s="1607">
        <v>44926</v>
      </c>
      <c r="R23" s="1607"/>
      <c r="S23" s="1607"/>
      <c r="T23" s="1607"/>
      <c r="U23" s="1607"/>
      <c r="V23" s="1607"/>
      <c r="W23" s="1607"/>
      <c r="X23" s="1607"/>
      <c r="Y23" s="1607"/>
      <c r="Z23" s="1608" t="s">
        <v>2511</v>
      </c>
      <c r="AA23" s="1607"/>
      <c r="AB23" s="1607"/>
      <c r="AC23" s="1607"/>
      <c r="AD23" s="1607"/>
      <c r="AE23" s="1607"/>
      <c r="AF23" s="1607"/>
      <c r="AG23" s="1607"/>
      <c r="AH23" s="1607"/>
      <c r="AI23" s="1607"/>
      <c r="AJ23" s="1607"/>
      <c r="AK23" s="1607"/>
      <c r="AL23" s="1607"/>
      <c r="AM23" s="1607"/>
      <c r="AN23" s="1607"/>
      <c r="AO23" s="1607"/>
      <c r="AP23" s="1607"/>
      <c r="AQ23" s="1607"/>
      <c r="AR23" s="1607"/>
      <c r="AS23" s="1607"/>
      <c r="AT23" s="1607"/>
      <c r="AU23" s="1607"/>
      <c r="AV23" s="1607"/>
      <c r="AW23" s="1607"/>
      <c r="AX23" s="1607"/>
      <c r="AY23" s="1607"/>
      <c r="AZ23" s="1607"/>
      <c r="BB23" s="1671" t="s">
        <v>3900</v>
      </c>
    </row>
    <row r="24" spans="2:55" s="1192" customFormat="1" ht="14.4" x14ac:dyDescent="0.3">
      <c r="B24" s="1741" t="s">
        <v>4536</v>
      </c>
      <c r="C24" s="1741"/>
      <c r="D24" s="524" t="s">
        <v>19</v>
      </c>
      <c r="E24" s="1218">
        <v>-0.64</v>
      </c>
      <c r="G24" s="1666" t="s">
        <v>603</v>
      </c>
      <c r="H24" s="1607" t="s">
        <v>2506</v>
      </c>
      <c r="I24" s="1607" t="s">
        <v>430</v>
      </c>
      <c r="J24" s="1607"/>
      <c r="K24" s="1607"/>
      <c r="L24" s="1607"/>
      <c r="M24" s="1607" t="s">
        <v>6119</v>
      </c>
      <c r="N24" s="1607"/>
      <c r="O24" s="1607"/>
      <c r="P24" s="1607"/>
      <c r="Q24" s="1607">
        <v>44561</v>
      </c>
      <c r="R24" s="1607"/>
      <c r="S24" s="1607"/>
      <c r="T24" s="1607"/>
      <c r="U24" s="1607"/>
      <c r="V24" s="1607"/>
      <c r="W24" s="1607"/>
      <c r="X24" s="1607"/>
      <c r="Y24" s="1607"/>
      <c r="Z24" s="1608" t="s">
        <v>4536</v>
      </c>
      <c r="AA24" s="1607"/>
      <c r="AB24" s="1607"/>
      <c r="AC24" s="1607"/>
      <c r="AD24" s="1607"/>
      <c r="AE24" s="1607"/>
      <c r="AF24" s="1607"/>
      <c r="AG24" s="1607"/>
      <c r="AH24" s="1607"/>
      <c r="AI24" s="1607"/>
      <c r="AJ24" s="1607"/>
      <c r="AK24" s="1607"/>
      <c r="AL24" s="1607"/>
      <c r="AM24" s="1607"/>
      <c r="AN24" s="1607"/>
      <c r="AO24" s="1607"/>
      <c r="AP24" s="1607"/>
      <c r="AQ24" s="1607"/>
      <c r="AR24" s="1607"/>
      <c r="AS24" s="1607"/>
      <c r="AT24" s="1607"/>
      <c r="AU24" s="1607"/>
      <c r="AV24" s="1607"/>
      <c r="AW24" s="1607"/>
      <c r="AX24" s="1607"/>
      <c r="AY24" s="1607"/>
      <c r="AZ24" s="1607"/>
      <c r="BB24" s="1671" t="s">
        <v>4536</v>
      </c>
    </row>
    <row r="25" spans="2:55" s="1192" customFormat="1" ht="20.399999999999999" x14ac:dyDescent="0.3">
      <c r="B25" s="1741" t="s">
        <v>6120</v>
      </c>
      <c r="C25" s="1741"/>
      <c r="D25" s="524" t="s">
        <v>19</v>
      </c>
      <c r="E25" s="1218">
        <v>-0.33</v>
      </c>
      <c r="G25" s="1666" t="s">
        <v>7382</v>
      </c>
      <c r="H25" s="1607" t="s">
        <v>2506</v>
      </c>
      <c r="I25" s="1607" t="s">
        <v>430</v>
      </c>
      <c r="J25" s="1607"/>
      <c r="K25" s="1607"/>
      <c r="L25" s="1607"/>
      <c r="M25" s="1607" t="s">
        <v>6121</v>
      </c>
      <c r="N25" s="1607"/>
      <c r="O25" s="1607"/>
      <c r="P25" s="1607"/>
      <c r="Q25" s="1607"/>
      <c r="R25" s="1607"/>
      <c r="S25" s="1607"/>
      <c r="T25" s="1607"/>
      <c r="U25" s="1607"/>
      <c r="V25" s="1607"/>
      <c r="W25" s="1607"/>
      <c r="X25" s="1607"/>
      <c r="Y25" s="1607"/>
      <c r="Z25" s="1608" t="s">
        <v>6120</v>
      </c>
      <c r="AA25" s="1607"/>
      <c r="AB25" s="1607"/>
      <c r="AC25" s="1607"/>
      <c r="AD25" s="1607"/>
      <c r="AE25" s="1607"/>
      <c r="AF25" s="1607"/>
      <c r="AG25" s="1607"/>
      <c r="AH25" s="1607"/>
      <c r="AI25" s="1607"/>
      <c r="AJ25" s="1607"/>
      <c r="AK25" s="1607"/>
      <c r="AL25" s="1607"/>
      <c r="AM25" s="1607"/>
      <c r="AN25" s="1607"/>
      <c r="AO25" s="1607"/>
      <c r="AP25" s="1607"/>
      <c r="AQ25" s="1607"/>
      <c r="AR25" s="1607"/>
      <c r="AS25" s="1607"/>
      <c r="AT25" s="1607"/>
      <c r="AU25" s="1607"/>
      <c r="AV25" s="1607"/>
      <c r="AW25" s="1607"/>
      <c r="AX25" s="1607"/>
      <c r="AY25" s="1607"/>
      <c r="AZ25" s="1607"/>
      <c r="BB25" s="1671" t="s">
        <v>6120</v>
      </c>
    </row>
    <row r="26" spans="2:55" s="1192" customFormat="1" ht="14.4" x14ac:dyDescent="0.3">
      <c r="B26" s="1741" t="s">
        <v>14</v>
      </c>
      <c r="C26" s="1741"/>
      <c r="D26" s="524" t="s">
        <v>20</v>
      </c>
      <c r="E26" s="1219">
        <v>3.0000000000000001E-3</v>
      </c>
      <c r="G26" s="1666"/>
      <c r="H26" s="1607" t="s">
        <v>2506</v>
      </c>
      <c r="I26" s="1607" t="s">
        <v>431</v>
      </c>
      <c r="J26" s="1607"/>
      <c r="K26" s="1607"/>
      <c r="L26" s="1607"/>
      <c r="M26" s="1607" t="s">
        <v>2513</v>
      </c>
      <c r="N26" s="1607"/>
      <c r="O26" s="1607"/>
      <c r="P26" s="1607"/>
      <c r="Q26" s="1607"/>
      <c r="R26" s="1607"/>
      <c r="S26" s="1607"/>
      <c r="T26" s="1607"/>
      <c r="U26" s="1607"/>
      <c r="V26" s="1607"/>
      <c r="W26" s="1607"/>
      <c r="X26" s="1607"/>
      <c r="Y26" s="1607"/>
      <c r="Z26" s="1608" t="s">
        <v>14</v>
      </c>
      <c r="AA26" s="1607"/>
      <c r="AB26" s="1607"/>
      <c r="AC26" s="1607"/>
      <c r="AD26" s="1607"/>
      <c r="AE26" s="1607"/>
      <c r="AF26" s="1607"/>
      <c r="AG26" s="1607"/>
      <c r="AH26" s="1607"/>
      <c r="AI26" s="1607"/>
      <c r="AJ26" s="1607"/>
      <c r="AK26" s="1607"/>
      <c r="AL26" s="1607"/>
      <c r="AM26" s="1607"/>
      <c r="AN26" s="1607"/>
      <c r="AO26" s="1607"/>
      <c r="AP26" s="1607"/>
      <c r="AQ26" s="1607"/>
      <c r="AR26" s="1607"/>
      <c r="AS26" s="1607"/>
      <c r="AT26" s="1607"/>
      <c r="AU26" s="1607"/>
      <c r="AV26" s="1607"/>
      <c r="AW26" s="1607"/>
      <c r="AX26" s="1607"/>
      <c r="AY26" s="1607"/>
      <c r="AZ26" s="1607"/>
      <c r="BB26" s="1671" t="s">
        <v>14</v>
      </c>
    </row>
    <row r="27" spans="2:55" s="1192" customFormat="1" ht="20.399999999999999" x14ac:dyDescent="0.3">
      <c r="B27" s="1741" t="s">
        <v>4538</v>
      </c>
      <c r="C27" s="1741"/>
      <c r="D27" s="524" t="s">
        <v>20</v>
      </c>
      <c r="E27" s="1219">
        <v>1E-4</v>
      </c>
      <c r="G27" s="1666"/>
      <c r="H27" s="1607" t="s">
        <v>2506</v>
      </c>
      <c r="I27" s="1607" t="s">
        <v>430</v>
      </c>
      <c r="J27" s="1607"/>
      <c r="K27" s="1607"/>
      <c r="L27" s="1607"/>
      <c r="M27" s="1607" t="s">
        <v>2515</v>
      </c>
      <c r="N27" s="1607"/>
      <c r="O27" s="1607"/>
      <c r="P27" s="1607"/>
      <c r="Q27" s="1607">
        <v>44561</v>
      </c>
      <c r="R27" s="1607"/>
      <c r="S27" s="1607"/>
      <c r="T27" s="1607"/>
      <c r="U27" s="1607"/>
      <c r="V27" s="1607"/>
      <c r="W27" s="1607"/>
      <c r="X27" s="1607"/>
      <c r="Y27" s="1607"/>
      <c r="Z27" s="1608" t="s">
        <v>4538</v>
      </c>
      <c r="AA27" s="1607"/>
      <c r="AB27" s="1607"/>
      <c r="AC27" s="1607"/>
      <c r="AD27" s="1607"/>
      <c r="AE27" s="1607"/>
      <c r="AF27" s="1607"/>
      <c r="AG27" s="1607"/>
      <c r="AH27" s="1607"/>
      <c r="AI27" s="1607"/>
      <c r="AJ27" s="1607"/>
      <c r="AK27" s="1607"/>
      <c r="AL27" s="1607"/>
      <c r="AM27" s="1607"/>
      <c r="AN27" s="1607"/>
      <c r="AO27" s="1607"/>
      <c r="AP27" s="1607"/>
      <c r="AQ27" s="1607"/>
      <c r="AR27" s="1607"/>
      <c r="AS27" s="1607"/>
      <c r="AT27" s="1607"/>
      <c r="AU27" s="1607"/>
      <c r="AV27" s="1607"/>
      <c r="AW27" s="1607"/>
      <c r="AX27" s="1607"/>
      <c r="AY27" s="1607"/>
      <c r="AZ27" s="1607"/>
      <c r="BB27" s="1671" t="s">
        <v>4538</v>
      </c>
    </row>
    <row r="28" spans="2:55" s="1192" customFormat="1" ht="14.4" x14ac:dyDescent="0.3">
      <c r="B28" s="1741" t="s">
        <v>213</v>
      </c>
      <c r="C28" s="1741"/>
      <c r="D28" s="524" t="s">
        <v>20</v>
      </c>
      <c r="E28" s="1517">
        <v>6.4999999999999997E-3</v>
      </c>
      <c r="G28" s="1666"/>
      <c r="H28" s="1607" t="s">
        <v>2506</v>
      </c>
      <c r="I28" s="1607" t="s">
        <v>432</v>
      </c>
      <c r="J28" s="1607"/>
      <c r="K28" s="1607"/>
      <c r="L28" s="1607"/>
      <c r="M28" s="1607" t="s">
        <v>2517</v>
      </c>
      <c r="N28" s="1607"/>
      <c r="O28" s="1607"/>
      <c r="P28" s="1607"/>
      <c r="Q28" s="1607"/>
      <c r="R28" s="1607"/>
      <c r="S28" s="1607"/>
      <c r="T28" s="1607"/>
      <c r="U28" s="1607"/>
      <c r="V28" s="1607"/>
      <c r="W28" s="1607"/>
      <c r="X28" s="1607"/>
      <c r="Y28" s="1607"/>
      <c r="Z28" s="1608" t="s">
        <v>2517</v>
      </c>
      <c r="AA28" s="1607"/>
      <c r="AB28" s="1607"/>
      <c r="AC28" s="1607"/>
      <c r="AD28" s="1607"/>
      <c r="AE28" s="1607"/>
      <c r="AF28" s="1607"/>
      <c r="AG28" s="1607"/>
      <c r="AH28" s="1607"/>
      <c r="AI28" s="1607"/>
      <c r="AJ28" s="1607"/>
      <c r="AK28" s="1607"/>
      <c r="AL28" s="1607"/>
      <c r="AM28" s="1607"/>
      <c r="AN28" s="1607"/>
      <c r="AO28" s="1607"/>
      <c r="AP28" s="1607"/>
      <c r="AQ28" s="1607"/>
      <c r="AR28" s="1607"/>
      <c r="AS28" s="1607"/>
      <c r="AT28" s="1607"/>
      <c r="AU28" s="1607"/>
      <c r="AV28" s="1607"/>
      <c r="AW28" s="1607"/>
      <c r="AX28" s="1607"/>
      <c r="AY28" s="1607"/>
      <c r="AZ28" s="1607" t="s">
        <v>7339</v>
      </c>
      <c r="BB28" s="1671" t="s">
        <v>213</v>
      </c>
    </row>
    <row r="29" spans="2:55" s="1192" customFormat="1" ht="14.4" x14ac:dyDescent="0.3">
      <c r="B29" s="1741" t="s">
        <v>209</v>
      </c>
      <c r="C29" s="1741"/>
      <c r="D29" s="524" t="s">
        <v>20</v>
      </c>
      <c r="E29" s="1517">
        <v>5.4999999999999997E-3</v>
      </c>
      <c r="G29" s="1666"/>
      <c r="H29" s="1607" t="s">
        <v>2506</v>
      </c>
      <c r="I29" s="1607" t="s">
        <v>432</v>
      </c>
      <c r="J29" s="1607"/>
      <c r="K29" s="1607"/>
      <c r="L29" s="1607"/>
      <c r="M29" s="1607" t="s">
        <v>2518</v>
      </c>
      <c r="N29" s="1607"/>
      <c r="O29" s="1607"/>
      <c r="P29" s="1607"/>
      <c r="Q29" s="1607"/>
      <c r="R29" s="1607"/>
      <c r="S29" s="1607"/>
      <c r="T29" s="1607"/>
      <c r="U29" s="1607"/>
      <c r="V29" s="1607"/>
      <c r="W29" s="1607"/>
      <c r="X29" s="1607"/>
      <c r="Y29" s="1607"/>
      <c r="Z29" s="1608" t="s">
        <v>2518</v>
      </c>
      <c r="AA29" s="1607"/>
      <c r="AB29" s="1607"/>
      <c r="AC29" s="1607"/>
      <c r="AD29" s="1607"/>
      <c r="AE29" s="1607"/>
      <c r="AF29" s="1607"/>
      <c r="AG29" s="1607"/>
      <c r="AH29" s="1607"/>
      <c r="AI29" s="1607"/>
      <c r="AJ29" s="1607"/>
      <c r="AK29" s="1607"/>
      <c r="AL29" s="1607"/>
      <c r="AM29" s="1607"/>
      <c r="AN29" s="1607"/>
      <c r="AO29" s="1607"/>
      <c r="AP29" s="1607"/>
      <c r="AQ29" s="1607"/>
      <c r="AR29" s="1607"/>
      <c r="AS29" s="1607"/>
      <c r="AT29" s="1607"/>
      <c r="AU29" s="1607"/>
      <c r="AV29" s="1607"/>
      <c r="AW29" s="1607"/>
      <c r="AX29" s="1607"/>
      <c r="AY29" s="1607"/>
      <c r="AZ29" s="1607" t="s">
        <v>7340</v>
      </c>
      <c r="BB29" s="1671" t="s">
        <v>209</v>
      </c>
    </row>
    <row r="30" spans="2:55" s="1192" customFormat="1" ht="11.25" customHeight="1" x14ac:dyDescent="0.3">
      <c r="B30" s="1652"/>
      <c r="C30" s="1653"/>
      <c r="D30" s="524"/>
      <c r="E30" s="1219"/>
      <c r="G30" s="1666"/>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c r="AN30" s="1607"/>
      <c r="AO30" s="1607"/>
      <c r="AP30" s="1607"/>
      <c r="AQ30" s="1607"/>
      <c r="AR30" s="1607"/>
      <c r="AS30" s="1607"/>
      <c r="AT30" s="1607"/>
      <c r="AU30" s="1607"/>
      <c r="AV30" s="1607"/>
      <c r="AW30" s="1607"/>
      <c r="AX30" s="1607"/>
      <c r="AY30" s="1607"/>
      <c r="AZ30" s="1607"/>
    </row>
    <row r="31" spans="2:55" s="1192" customFormat="1" ht="14.4" x14ac:dyDescent="0.3">
      <c r="B31" s="1750" t="s">
        <v>2405</v>
      </c>
      <c r="C31" s="1741"/>
      <c r="D31" s="1277"/>
      <c r="E31" s="896"/>
      <c r="G31" s="1666"/>
      <c r="H31" s="1607" t="s">
        <v>2406</v>
      </c>
      <c r="I31" s="1607"/>
      <c r="J31" s="1607"/>
      <c r="K31" s="1607"/>
      <c r="L31" s="1607"/>
      <c r="M31" s="1607"/>
      <c r="N31" s="1607"/>
      <c r="O31" s="1607"/>
      <c r="P31" s="1607"/>
      <c r="Q31" s="1607"/>
      <c r="R31" s="1607"/>
      <c r="S31" s="1607"/>
      <c r="T31" s="1607"/>
      <c r="U31" s="1607"/>
      <c r="V31" s="1607"/>
      <c r="W31" s="1607"/>
      <c r="X31" s="1607"/>
      <c r="Y31" s="1607"/>
      <c r="Z31" s="1608" t="s">
        <v>2405</v>
      </c>
      <c r="AA31" s="1607"/>
      <c r="AB31" s="1607"/>
      <c r="AC31" s="1607"/>
      <c r="AD31" s="1607"/>
      <c r="AE31" s="1607"/>
      <c r="AF31" s="1607"/>
      <c r="AG31" s="1607"/>
      <c r="AH31" s="1607"/>
      <c r="AI31" s="1607"/>
      <c r="AJ31" s="1607"/>
      <c r="AK31" s="1607"/>
      <c r="AL31" s="1607"/>
      <c r="AM31" s="1607"/>
      <c r="AN31" s="1607"/>
      <c r="AO31" s="1607"/>
      <c r="AP31" s="1607"/>
      <c r="AQ31" s="1607"/>
      <c r="AR31" s="1607"/>
      <c r="AS31" s="1607"/>
      <c r="AT31" s="1607"/>
      <c r="AU31" s="1607"/>
      <c r="AV31" s="1607"/>
      <c r="AW31" s="1607"/>
      <c r="AX31" s="1607"/>
      <c r="AY31" s="1607"/>
      <c r="AZ31" s="1607"/>
      <c r="BB31" s="1467" t="s">
        <v>2405</v>
      </c>
    </row>
    <row r="32" spans="2:55" s="1192" customFormat="1" ht="11.25" customHeight="1" x14ac:dyDescent="0.3">
      <c r="B32" s="1659"/>
      <c r="C32" s="1653"/>
      <c r="D32" s="1277"/>
      <c r="E32" s="896"/>
      <c r="G32" s="1666"/>
      <c r="H32" s="1607"/>
      <c r="I32" s="1607"/>
      <c r="J32" s="1607"/>
      <c r="K32" s="1607"/>
      <c r="L32" s="1607"/>
      <c r="M32" s="1607"/>
      <c r="N32" s="1607"/>
      <c r="O32" s="1607"/>
      <c r="P32" s="1607"/>
      <c r="Q32" s="1607"/>
      <c r="R32" s="1607"/>
      <c r="S32" s="1607"/>
      <c r="T32" s="1607"/>
      <c r="U32" s="1607"/>
      <c r="V32" s="1607"/>
      <c r="W32" s="1607"/>
      <c r="X32" s="1607"/>
      <c r="Y32" s="1607"/>
      <c r="Z32" s="1607"/>
      <c r="AA32" s="1607"/>
      <c r="AB32" s="1607"/>
      <c r="AC32" s="1607"/>
      <c r="AD32" s="1607"/>
      <c r="AE32" s="1607"/>
      <c r="AF32" s="1607"/>
      <c r="AG32" s="1607"/>
      <c r="AH32" s="1607"/>
      <c r="AI32" s="1607"/>
      <c r="AJ32" s="1607"/>
      <c r="AK32" s="1607"/>
      <c r="AL32" s="1607"/>
      <c r="AM32" s="1607"/>
      <c r="AN32" s="1607"/>
      <c r="AO32" s="1607"/>
      <c r="AP32" s="1607"/>
      <c r="AQ32" s="1607"/>
      <c r="AR32" s="1607"/>
      <c r="AS32" s="1607"/>
      <c r="AT32" s="1607"/>
      <c r="AU32" s="1607"/>
      <c r="AV32" s="1607"/>
      <c r="AW32" s="1607"/>
      <c r="AX32" s="1607"/>
      <c r="AY32" s="1607"/>
      <c r="AZ32" s="1607"/>
    </row>
    <row r="33" spans="2:55" s="1192" customFormat="1" ht="14.4" x14ac:dyDescent="0.3">
      <c r="B33" s="1741" t="s">
        <v>2033</v>
      </c>
      <c r="C33" s="1741"/>
      <c r="D33" s="524" t="s">
        <v>20</v>
      </c>
      <c r="E33" s="1219">
        <v>3.0000000000000001E-3</v>
      </c>
      <c r="G33" s="1666"/>
      <c r="H33" s="1607" t="s">
        <v>2506</v>
      </c>
      <c r="I33" s="1607" t="s">
        <v>2374</v>
      </c>
      <c r="J33" s="1607"/>
      <c r="K33" s="1607"/>
      <c r="L33" s="1607"/>
      <c r="M33" s="1607" t="s">
        <v>2519</v>
      </c>
      <c r="N33" s="1607"/>
      <c r="O33" s="1607"/>
      <c r="P33" s="1607"/>
      <c r="Q33" s="1607"/>
      <c r="R33" s="1607"/>
      <c r="S33" s="1607"/>
      <c r="T33" s="1607"/>
      <c r="U33" s="1607"/>
      <c r="V33" s="1607"/>
      <c r="W33" s="1607"/>
      <c r="X33" s="1607"/>
      <c r="Y33" s="1607"/>
      <c r="Z33" s="1608" t="s">
        <v>2033</v>
      </c>
      <c r="AA33" s="1607"/>
      <c r="AB33" s="1607"/>
      <c r="AC33" s="1607"/>
      <c r="AD33" s="1607"/>
      <c r="AE33" s="1607"/>
      <c r="AF33" s="1607"/>
      <c r="AG33" s="1607"/>
      <c r="AH33" s="1607"/>
      <c r="AI33" s="1607"/>
      <c r="AJ33" s="1607"/>
      <c r="AK33" s="1607"/>
      <c r="AL33" s="1607"/>
      <c r="AM33" s="1607"/>
      <c r="AN33" s="1607"/>
      <c r="AO33" s="1607"/>
      <c r="AP33" s="1607"/>
      <c r="AQ33" s="1607"/>
      <c r="AR33" s="1607"/>
      <c r="AS33" s="1607"/>
      <c r="AT33" s="1607"/>
      <c r="AU33" s="1607"/>
      <c r="AV33" s="1607"/>
      <c r="AW33" s="1607"/>
      <c r="AX33" s="1607"/>
      <c r="AY33" s="1607"/>
      <c r="AZ33" s="1607"/>
      <c r="BB33" s="1671" t="s">
        <v>2033</v>
      </c>
    </row>
    <row r="34" spans="2:55" s="1192" customFormat="1" ht="14.4" x14ac:dyDescent="0.3">
      <c r="B34" s="1741" t="s">
        <v>2034</v>
      </c>
      <c r="C34" s="1741"/>
      <c r="D34" s="524" t="s">
        <v>20</v>
      </c>
      <c r="E34" s="1219">
        <v>4.0000000000000002E-4</v>
      </c>
      <c r="G34" s="1666"/>
      <c r="H34" s="1607" t="s">
        <v>2506</v>
      </c>
      <c r="I34" s="1607" t="s">
        <v>2374</v>
      </c>
      <c r="J34" s="1607"/>
      <c r="K34" s="1607"/>
      <c r="L34" s="1607"/>
      <c r="M34" s="1607" t="s">
        <v>2519</v>
      </c>
      <c r="N34" s="1607"/>
      <c r="O34" s="1607"/>
      <c r="P34" s="1607"/>
      <c r="Q34" s="1607"/>
      <c r="R34" s="1607"/>
      <c r="S34" s="1607"/>
      <c r="T34" s="1607"/>
      <c r="U34" s="1607"/>
      <c r="V34" s="1607"/>
      <c r="W34" s="1607"/>
      <c r="X34" s="1607"/>
      <c r="Y34" s="1607"/>
      <c r="Z34" s="1608" t="s">
        <v>2034</v>
      </c>
      <c r="AA34" s="1607"/>
      <c r="AB34" s="1607"/>
      <c r="AC34" s="1607"/>
      <c r="AD34" s="1607"/>
      <c r="AE34" s="1607"/>
      <c r="AF34" s="1607"/>
      <c r="AG34" s="1607"/>
      <c r="AH34" s="1607"/>
      <c r="AI34" s="1607"/>
      <c r="AJ34" s="1607"/>
      <c r="AK34" s="1607"/>
      <c r="AL34" s="1607"/>
      <c r="AM34" s="1607"/>
      <c r="AN34" s="1607"/>
      <c r="AO34" s="1607"/>
      <c r="AP34" s="1607"/>
      <c r="AQ34" s="1607"/>
      <c r="AR34" s="1607"/>
      <c r="AS34" s="1607"/>
      <c r="AT34" s="1607"/>
      <c r="AU34" s="1607"/>
      <c r="AV34" s="1607"/>
      <c r="AW34" s="1607"/>
      <c r="AX34" s="1607"/>
      <c r="AY34" s="1607"/>
      <c r="AZ34" s="1607"/>
      <c r="BB34" s="1671" t="s">
        <v>2034</v>
      </c>
    </row>
    <row r="35" spans="2:55" s="1192" customFormat="1" ht="14.4" x14ac:dyDescent="0.3">
      <c r="B35" s="1741" t="s">
        <v>428</v>
      </c>
      <c r="C35" s="1741"/>
      <c r="D35" s="524" t="s">
        <v>20</v>
      </c>
      <c r="E35" s="1219">
        <v>5.0000000000000001E-4</v>
      </c>
      <c r="G35" s="1666"/>
      <c r="H35" s="1607" t="s">
        <v>2506</v>
      </c>
      <c r="I35" s="1607" t="s">
        <v>2374</v>
      </c>
      <c r="J35" s="1607"/>
      <c r="K35" s="1607"/>
      <c r="L35" s="1607"/>
      <c r="M35" s="1607" t="s">
        <v>2520</v>
      </c>
      <c r="N35" s="1607"/>
      <c r="O35" s="1607"/>
      <c r="P35" s="1607"/>
      <c r="Q35" s="1607"/>
      <c r="R35" s="1607"/>
      <c r="S35" s="1607"/>
      <c r="T35" s="1607"/>
      <c r="U35" s="1607"/>
      <c r="V35" s="1607"/>
      <c r="W35" s="1607"/>
      <c r="X35" s="1607"/>
      <c r="Y35" s="1607"/>
      <c r="Z35" s="1608" t="s">
        <v>428</v>
      </c>
      <c r="AA35" s="1607"/>
      <c r="AB35" s="1607"/>
      <c r="AC35" s="1607"/>
      <c r="AD35" s="1607"/>
      <c r="AE35" s="1607"/>
      <c r="AF35" s="1607"/>
      <c r="AG35" s="1607"/>
      <c r="AH35" s="1607"/>
      <c r="AI35" s="1607"/>
      <c r="AJ35" s="1607"/>
      <c r="AK35" s="1607"/>
      <c r="AL35" s="1607"/>
      <c r="AM35" s="1607"/>
      <c r="AN35" s="1607"/>
      <c r="AO35" s="1607"/>
      <c r="AP35" s="1607"/>
      <c r="AQ35" s="1607"/>
      <c r="AR35" s="1607"/>
      <c r="AS35" s="1607"/>
      <c r="AT35" s="1607"/>
      <c r="AU35" s="1607"/>
      <c r="AV35" s="1607"/>
      <c r="AW35" s="1607"/>
      <c r="AX35" s="1607"/>
      <c r="AY35" s="1607"/>
      <c r="AZ35" s="1607"/>
      <c r="BB35" s="1671" t="s">
        <v>428</v>
      </c>
    </row>
    <row r="36" spans="2:55" s="1192" customFormat="1" ht="14.4" x14ac:dyDescent="0.3">
      <c r="B36" s="1741" t="s">
        <v>28</v>
      </c>
      <c r="C36" s="1741"/>
      <c r="D36" s="524" t="s">
        <v>19</v>
      </c>
      <c r="E36" s="1218">
        <v>0.25</v>
      </c>
      <c r="G36" s="1666"/>
      <c r="H36" s="1607" t="s">
        <v>2506</v>
      </c>
      <c r="I36" s="1607" t="s">
        <v>2374</v>
      </c>
      <c r="J36" s="1607"/>
      <c r="K36" s="1607"/>
      <c r="L36" s="1607"/>
      <c r="M36" s="1607" t="s">
        <v>2521</v>
      </c>
      <c r="N36" s="1607"/>
      <c r="O36" s="1607"/>
      <c r="P36" s="1607"/>
      <c r="Q36" s="1607"/>
      <c r="R36" s="1607"/>
      <c r="S36" s="1607"/>
      <c r="T36" s="1607"/>
      <c r="U36" s="1607"/>
      <c r="V36" s="1607"/>
      <c r="W36" s="1607"/>
      <c r="X36" s="1607"/>
      <c r="Y36" s="1607"/>
      <c r="Z36" s="1608" t="s">
        <v>28</v>
      </c>
      <c r="AA36" s="1607"/>
      <c r="AB36" s="1607"/>
      <c r="AC36" s="1607"/>
      <c r="AD36" s="1607"/>
      <c r="AE36" s="1607"/>
      <c r="AF36" s="1607"/>
      <c r="AG36" s="1607"/>
      <c r="AH36" s="1607"/>
      <c r="AI36" s="1607"/>
      <c r="AJ36" s="1607"/>
      <c r="AK36" s="1607"/>
      <c r="AL36" s="1607"/>
      <c r="AM36" s="1607"/>
      <c r="AN36" s="1607"/>
      <c r="AO36" s="1607"/>
      <c r="AP36" s="1607"/>
      <c r="AQ36" s="1607"/>
      <c r="AR36" s="1607"/>
      <c r="AS36" s="1607" t="s">
        <v>603</v>
      </c>
      <c r="AT36" s="1607"/>
      <c r="AU36" s="1607"/>
      <c r="AV36" s="1607"/>
      <c r="AW36" s="1607"/>
      <c r="AX36" s="1607"/>
      <c r="AY36" s="1607"/>
      <c r="AZ36" s="1607"/>
      <c r="BB36" s="1671" t="s">
        <v>28</v>
      </c>
    </row>
    <row r="37" spans="2:55" s="1464" customFormat="1" ht="18" x14ac:dyDescent="0.35">
      <c r="B37" s="1746" t="s">
        <v>2522</v>
      </c>
      <c r="C37" s="1747"/>
      <c r="D37" s="1747"/>
      <c r="E37" s="1747"/>
      <c r="G37" s="1468"/>
      <c r="H37" s="1607" t="s">
        <v>3901</v>
      </c>
      <c r="I37" s="1607"/>
      <c r="J37" s="1607"/>
      <c r="K37" s="1607"/>
      <c r="L37" s="1607"/>
      <c r="M37" s="1607"/>
      <c r="N37" s="1607"/>
      <c r="O37" s="1607"/>
      <c r="P37" s="1607"/>
      <c r="Q37" s="1607"/>
      <c r="R37" s="1607"/>
      <c r="S37" s="1607"/>
      <c r="T37" s="1607"/>
      <c r="U37" s="1607"/>
      <c r="V37" s="1607"/>
      <c r="W37" s="1607"/>
      <c r="X37" s="1607"/>
      <c r="Y37" s="1607"/>
      <c r="Z37" s="1607"/>
      <c r="AA37" s="1608" t="s">
        <v>2522</v>
      </c>
      <c r="AB37" s="1607"/>
      <c r="AC37" s="1607"/>
      <c r="AD37" s="1607"/>
      <c r="AE37" s="1607"/>
      <c r="AF37" s="1607"/>
      <c r="AG37" s="1607"/>
      <c r="AH37" s="1607"/>
      <c r="AI37" s="1607"/>
      <c r="AJ37" s="1607"/>
      <c r="AK37" s="1607"/>
      <c r="AL37" s="1607"/>
      <c r="AM37" s="1607"/>
      <c r="AN37" s="1607"/>
      <c r="AO37" s="1607"/>
      <c r="AP37" s="1607"/>
      <c r="AQ37" s="1607"/>
      <c r="AR37" s="1607"/>
      <c r="AS37" s="1607"/>
      <c r="AT37" s="1607"/>
      <c r="AU37" s="1607"/>
      <c r="AV37" s="1607"/>
      <c r="AW37" s="1607"/>
      <c r="AX37" s="1607"/>
      <c r="AY37" s="1607"/>
      <c r="AZ37" s="1607"/>
      <c r="BC37" s="1465" t="s">
        <v>2522</v>
      </c>
    </row>
    <row r="38" spans="2:55" s="1192" customFormat="1" ht="34.200000000000003" x14ac:dyDescent="0.3">
      <c r="B38" s="1743" t="s">
        <v>4405</v>
      </c>
      <c r="C38" s="1743"/>
      <c r="D38" s="1743"/>
      <c r="E38" s="1743"/>
      <c r="G38" s="1666"/>
      <c r="H38" s="1607" t="s">
        <v>3901</v>
      </c>
      <c r="I38" s="1607"/>
      <c r="J38" s="1607"/>
      <c r="K38" s="1607"/>
      <c r="L38" s="1607"/>
      <c r="M38" s="1607"/>
      <c r="N38" s="1607"/>
      <c r="O38" s="1607"/>
      <c r="P38" s="1607"/>
      <c r="Q38" s="1607"/>
      <c r="R38" s="1607"/>
      <c r="S38" s="1607"/>
      <c r="T38" s="1607"/>
      <c r="U38" s="1607"/>
      <c r="V38" s="1607"/>
      <c r="W38" s="1607"/>
      <c r="X38" s="1607"/>
      <c r="Y38" s="1607"/>
      <c r="Z38" s="1607"/>
      <c r="AA38" s="1608" t="s">
        <v>4405</v>
      </c>
      <c r="AB38" s="1607"/>
      <c r="AC38" s="1607"/>
      <c r="AD38" s="1607"/>
      <c r="AE38" s="1607"/>
      <c r="AF38" s="1607"/>
      <c r="AG38" s="1607"/>
      <c r="AH38" s="1607"/>
      <c r="AI38" s="1607"/>
      <c r="AJ38" s="1607"/>
      <c r="AK38" s="1607"/>
      <c r="AL38" s="1607"/>
      <c r="AM38" s="1607"/>
      <c r="AN38" s="1607"/>
      <c r="AO38" s="1607"/>
      <c r="AP38" s="1607"/>
      <c r="AQ38" s="1607"/>
      <c r="AR38" s="1607"/>
      <c r="AS38" s="1607"/>
      <c r="AT38" s="1607"/>
      <c r="AU38" s="1607"/>
      <c r="AV38" s="1607"/>
      <c r="AW38" s="1607"/>
      <c r="AX38" s="1607"/>
      <c r="AY38" s="1607"/>
      <c r="AZ38" s="1607"/>
      <c r="BC38" s="1670" t="s">
        <v>4405</v>
      </c>
    </row>
    <row r="39" spans="2:55" s="1192" customFormat="1" ht="11.25" customHeight="1" x14ac:dyDescent="0.3">
      <c r="B39" s="1654"/>
      <c r="C39" s="1654"/>
      <c r="D39" s="1654"/>
      <c r="E39" s="1654"/>
      <c r="G39" s="1666"/>
      <c r="H39" s="1607"/>
      <c r="I39" s="1607"/>
      <c r="J39" s="1607"/>
      <c r="K39" s="1607"/>
      <c r="L39" s="1607"/>
      <c r="M39" s="1607"/>
      <c r="N39" s="1607"/>
      <c r="O39" s="1607"/>
      <c r="P39" s="1607"/>
      <c r="Q39" s="1607"/>
      <c r="R39" s="1607"/>
      <c r="S39" s="1607"/>
      <c r="T39" s="1607"/>
      <c r="U39" s="1607"/>
      <c r="V39" s="1607"/>
      <c r="W39" s="1607"/>
      <c r="X39" s="1607"/>
      <c r="Y39" s="1607"/>
      <c r="Z39" s="1607"/>
      <c r="AA39" s="1607"/>
      <c r="AB39" s="1607"/>
      <c r="AC39" s="1607"/>
      <c r="AD39" s="1607"/>
      <c r="AE39" s="1607"/>
      <c r="AF39" s="1607"/>
      <c r="AG39" s="1607"/>
      <c r="AH39" s="1607"/>
      <c r="AI39" s="1607"/>
      <c r="AJ39" s="1607"/>
      <c r="AK39" s="1607"/>
      <c r="AL39" s="1607"/>
      <c r="AM39" s="1607"/>
      <c r="AN39" s="1607"/>
      <c r="AO39" s="1607"/>
      <c r="AP39" s="1607"/>
      <c r="AQ39" s="1607"/>
      <c r="AR39" s="1607"/>
      <c r="AS39" s="1607"/>
      <c r="AT39" s="1607"/>
      <c r="AU39" s="1607"/>
      <c r="AV39" s="1607"/>
      <c r="AW39" s="1607"/>
      <c r="AX39" s="1607"/>
      <c r="AY39" s="1607"/>
      <c r="AZ39" s="1607"/>
    </row>
    <row r="40" spans="2:55" s="1192" customFormat="1" ht="14.4" x14ac:dyDescent="0.3">
      <c r="B40" s="1750" t="s">
        <v>2389</v>
      </c>
      <c r="C40" s="1743"/>
      <c r="D40" s="1743"/>
      <c r="E40" s="1743"/>
      <c r="G40" s="1666"/>
      <c r="H40" s="1607" t="s">
        <v>2412</v>
      </c>
      <c r="I40" s="1607"/>
      <c r="J40" s="1607"/>
      <c r="K40" s="1607"/>
      <c r="L40" s="1607"/>
      <c r="M40" s="1607"/>
      <c r="N40" s="1607"/>
      <c r="O40" s="1607"/>
      <c r="P40" s="1607"/>
      <c r="Q40" s="1607"/>
      <c r="R40" s="1607"/>
      <c r="S40" s="1607"/>
      <c r="T40" s="1607"/>
      <c r="U40" s="1607"/>
      <c r="V40" s="1607"/>
      <c r="W40" s="1607"/>
      <c r="X40" s="1607"/>
      <c r="Y40" s="1607"/>
      <c r="Z40" s="1607"/>
      <c r="AA40" s="1608" t="s">
        <v>2389</v>
      </c>
      <c r="AB40" s="1607"/>
      <c r="AC40" s="1607"/>
      <c r="AD40" s="1607"/>
      <c r="AE40" s="1607"/>
      <c r="AF40" s="1607"/>
      <c r="AG40" s="1607"/>
      <c r="AH40" s="1607"/>
      <c r="AI40" s="1607"/>
      <c r="AJ40" s="1607"/>
      <c r="AK40" s="1607"/>
      <c r="AL40" s="1607"/>
      <c r="AM40" s="1607"/>
      <c r="AN40" s="1607"/>
      <c r="AO40" s="1607"/>
      <c r="AP40" s="1607"/>
      <c r="AQ40" s="1607"/>
      <c r="AR40" s="1607"/>
      <c r="AS40" s="1607"/>
      <c r="AT40" s="1607"/>
      <c r="AU40" s="1607"/>
      <c r="AV40" s="1607"/>
      <c r="AW40" s="1607"/>
      <c r="AX40" s="1607"/>
      <c r="AY40" s="1607"/>
      <c r="AZ40" s="1607"/>
      <c r="BC40" s="1467" t="s">
        <v>2389</v>
      </c>
    </row>
    <row r="41" spans="2:55" s="1192" customFormat="1" ht="11.25" customHeight="1" x14ac:dyDescent="0.3">
      <c r="B41" s="1659"/>
      <c r="C41" s="1654"/>
      <c r="D41" s="1654"/>
      <c r="E41" s="1654"/>
      <c r="G41" s="1666"/>
      <c r="H41" s="1607"/>
      <c r="I41" s="1607"/>
      <c r="J41" s="1607"/>
      <c r="K41" s="1607"/>
      <c r="L41" s="1607"/>
      <c r="M41" s="1607"/>
      <c r="N41" s="1607"/>
      <c r="O41" s="1607"/>
      <c r="P41" s="1607"/>
      <c r="Q41" s="1607"/>
      <c r="R41" s="1607"/>
      <c r="S41" s="1607"/>
      <c r="T41" s="1607"/>
      <c r="U41" s="1607"/>
      <c r="V41" s="1607"/>
      <c r="W41" s="1607"/>
      <c r="X41" s="1607"/>
      <c r="Y41" s="1607"/>
      <c r="Z41" s="1607"/>
      <c r="AA41" s="1607"/>
      <c r="AB41" s="1607"/>
      <c r="AC41" s="1607"/>
      <c r="AD41" s="1607"/>
      <c r="AE41" s="1607"/>
      <c r="AF41" s="1607"/>
      <c r="AG41" s="1607"/>
      <c r="AH41" s="1607"/>
      <c r="AI41" s="1607"/>
      <c r="AJ41" s="1607"/>
      <c r="AK41" s="1607"/>
      <c r="AL41" s="1607"/>
      <c r="AM41" s="1607"/>
      <c r="AN41" s="1607"/>
      <c r="AO41" s="1607"/>
      <c r="AP41" s="1607"/>
      <c r="AQ41" s="1607"/>
      <c r="AR41" s="1607"/>
      <c r="AS41" s="1607"/>
      <c r="AT41" s="1607"/>
      <c r="AU41" s="1607"/>
      <c r="AV41" s="1607"/>
      <c r="AW41" s="1607"/>
      <c r="AX41" s="1607"/>
      <c r="AY41" s="1607"/>
      <c r="AZ41" s="1607"/>
    </row>
    <row r="42" spans="2:55" s="1192" customFormat="1" ht="34.200000000000003" x14ac:dyDescent="0.3">
      <c r="B42" s="1743" t="s">
        <v>2391</v>
      </c>
      <c r="C42" s="1743"/>
      <c r="D42" s="1743"/>
      <c r="E42" s="1743"/>
      <c r="G42" s="1666"/>
      <c r="H42" s="1607" t="s">
        <v>3901</v>
      </c>
      <c r="I42" s="1607"/>
      <c r="J42" s="1607"/>
      <c r="K42" s="1607"/>
      <c r="L42" s="1607"/>
      <c r="M42" s="1607"/>
      <c r="N42" s="1607"/>
      <c r="O42" s="1607"/>
      <c r="P42" s="1607"/>
      <c r="Q42" s="1607"/>
      <c r="R42" s="1607"/>
      <c r="S42" s="1607"/>
      <c r="T42" s="1607"/>
      <c r="U42" s="1607"/>
      <c r="V42" s="1607"/>
      <c r="W42" s="1607"/>
      <c r="X42" s="1607"/>
      <c r="Y42" s="1607"/>
      <c r="Z42" s="1607"/>
      <c r="AA42" s="1608" t="s">
        <v>2391</v>
      </c>
      <c r="AB42" s="1607"/>
      <c r="AC42" s="1607"/>
      <c r="AD42" s="1607"/>
      <c r="AE42" s="1607"/>
      <c r="AF42" s="1607"/>
      <c r="AG42" s="1607"/>
      <c r="AH42" s="1607"/>
      <c r="AI42" s="1607"/>
      <c r="AJ42" s="1607"/>
      <c r="AK42" s="1607"/>
      <c r="AL42" s="1607"/>
      <c r="AM42" s="1607"/>
      <c r="AN42" s="1607"/>
      <c r="AO42" s="1607"/>
      <c r="AP42" s="1607"/>
      <c r="AQ42" s="1607"/>
      <c r="AR42" s="1607"/>
      <c r="AS42" s="1607"/>
      <c r="AT42" s="1607"/>
      <c r="AU42" s="1607"/>
      <c r="AV42" s="1607"/>
      <c r="AW42" s="1607"/>
      <c r="AX42" s="1607"/>
      <c r="AY42" s="1607"/>
      <c r="AZ42" s="1607"/>
      <c r="BC42" s="1670" t="s">
        <v>2391</v>
      </c>
    </row>
    <row r="43" spans="2:55" s="1192" customFormat="1" ht="11.25" customHeight="1" x14ac:dyDescent="0.3">
      <c r="B43" s="1654"/>
      <c r="C43" s="1654"/>
      <c r="D43" s="1654"/>
      <c r="E43" s="1654"/>
      <c r="G43" s="1666"/>
      <c r="H43" s="1607"/>
      <c r="I43" s="1607"/>
      <c r="J43" s="1607"/>
      <c r="K43" s="1607"/>
      <c r="L43" s="1607"/>
      <c r="M43" s="1607"/>
      <c r="N43" s="1607"/>
      <c r="O43" s="1607"/>
      <c r="P43" s="1607"/>
      <c r="Q43" s="1607"/>
      <c r="R43" s="1607"/>
      <c r="S43" s="1607"/>
      <c r="T43" s="1607"/>
      <c r="U43" s="1607"/>
      <c r="V43" s="1607"/>
      <c r="W43" s="1607"/>
      <c r="X43" s="1607"/>
      <c r="Y43" s="1607"/>
      <c r="Z43" s="1607"/>
      <c r="AA43" s="1607"/>
      <c r="AB43" s="1607"/>
      <c r="AC43" s="1607"/>
      <c r="AD43" s="1607"/>
      <c r="AE43" s="1607"/>
      <c r="AF43" s="1607"/>
      <c r="AG43" s="1607"/>
      <c r="AH43" s="1607"/>
      <c r="AI43" s="1607"/>
      <c r="AJ43" s="1607"/>
      <c r="AK43" s="1607"/>
      <c r="AL43" s="1607"/>
      <c r="AM43" s="1607"/>
      <c r="AN43" s="1607"/>
      <c r="AO43" s="1607"/>
      <c r="AP43" s="1607"/>
      <c r="AQ43" s="1607"/>
      <c r="AR43" s="1607"/>
      <c r="AS43" s="1607"/>
      <c r="AT43" s="1607"/>
      <c r="AU43" s="1607"/>
      <c r="AV43" s="1607"/>
      <c r="AW43" s="1607"/>
      <c r="AX43" s="1607"/>
      <c r="AY43" s="1607"/>
      <c r="AZ43" s="1607"/>
    </row>
    <row r="44" spans="2:55" s="1192" customFormat="1" ht="45.6" x14ac:dyDescent="0.3">
      <c r="B44" s="1743" t="s">
        <v>2392</v>
      </c>
      <c r="C44" s="1743"/>
      <c r="D44" s="1743"/>
      <c r="E44" s="1743"/>
      <c r="G44" s="1666"/>
      <c r="H44" s="1607" t="s">
        <v>3901</v>
      </c>
      <c r="I44" s="1607"/>
      <c r="J44" s="1607"/>
      <c r="K44" s="1607"/>
      <c r="L44" s="1607"/>
      <c r="M44" s="1607"/>
      <c r="N44" s="1607"/>
      <c r="O44" s="1607"/>
      <c r="P44" s="1607"/>
      <c r="Q44" s="1607"/>
      <c r="R44" s="1607"/>
      <c r="S44" s="1607"/>
      <c r="T44" s="1607"/>
      <c r="U44" s="1607"/>
      <c r="V44" s="1607"/>
      <c r="W44" s="1607"/>
      <c r="X44" s="1607"/>
      <c r="Y44" s="1607"/>
      <c r="Z44" s="1607"/>
      <c r="AA44" s="1608" t="s">
        <v>2392</v>
      </c>
      <c r="AB44" s="1607"/>
      <c r="AC44" s="1607"/>
      <c r="AD44" s="1607"/>
      <c r="AE44" s="1607"/>
      <c r="AF44" s="1607"/>
      <c r="AG44" s="1607"/>
      <c r="AH44" s="1607"/>
      <c r="AI44" s="1607"/>
      <c r="AJ44" s="1607"/>
      <c r="AK44" s="1607"/>
      <c r="AL44" s="1607"/>
      <c r="AM44" s="1607"/>
      <c r="AN44" s="1607"/>
      <c r="AO44" s="1607"/>
      <c r="AP44" s="1607"/>
      <c r="AQ44" s="1607"/>
      <c r="AR44" s="1607"/>
      <c r="AS44" s="1607"/>
      <c r="AT44" s="1607"/>
      <c r="AU44" s="1607"/>
      <c r="AV44" s="1607"/>
      <c r="AW44" s="1607"/>
      <c r="AX44" s="1607"/>
      <c r="AY44" s="1607"/>
      <c r="AZ44" s="1607"/>
      <c r="BC44" s="1670" t="s">
        <v>2392</v>
      </c>
    </row>
    <row r="45" spans="2:55" s="1192" customFormat="1" ht="11.25" customHeight="1" x14ac:dyDescent="0.3">
      <c r="B45" s="1654"/>
      <c r="C45" s="1654"/>
      <c r="D45" s="1654"/>
      <c r="E45" s="1654"/>
      <c r="G45" s="1666"/>
      <c r="H45" s="1607"/>
      <c r="I45" s="1607"/>
      <c r="J45" s="1607"/>
      <c r="K45" s="1607"/>
      <c r="L45" s="1607"/>
      <c r="M45" s="1607"/>
      <c r="N45" s="1607"/>
      <c r="O45" s="1607"/>
      <c r="P45" s="1607"/>
      <c r="Q45" s="1607"/>
      <c r="R45" s="1607"/>
      <c r="S45" s="1607"/>
      <c r="T45" s="1607"/>
      <c r="U45" s="1607"/>
      <c r="V45" s="1607"/>
      <c r="W45" s="1607"/>
      <c r="X45" s="1607"/>
      <c r="Y45" s="1607"/>
      <c r="Z45" s="1607"/>
      <c r="AA45" s="1607"/>
      <c r="AB45" s="1607"/>
      <c r="AC45" s="1607"/>
      <c r="AD45" s="1607"/>
      <c r="AE45" s="1607"/>
      <c r="AF45" s="1607"/>
      <c r="AG45" s="1607"/>
      <c r="AH45" s="1607"/>
      <c r="AI45" s="1607"/>
      <c r="AJ45" s="1607"/>
      <c r="AK45" s="1607"/>
      <c r="AL45" s="1607"/>
      <c r="AM45" s="1607"/>
      <c r="AN45" s="1607"/>
      <c r="AO45" s="1607"/>
      <c r="AP45" s="1607"/>
      <c r="AQ45" s="1607"/>
      <c r="AR45" s="1607"/>
      <c r="AS45" s="1607"/>
      <c r="AT45" s="1607"/>
      <c r="AU45" s="1607"/>
      <c r="AV45" s="1607"/>
      <c r="AW45" s="1607"/>
      <c r="AX45" s="1607"/>
      <c r="AY45" s="1607"/>
      <c r="AZ45" s="1607"/>
    </row>
    <row r="46" spans="2:55" s="1192" customFormat="1" ht="45.6" x14ac:dyDescent="0.3">
      <c r="B46" s="1743" t="s">
        <v>2508</v>
      </c>
      <c r="C46" s="1743"/>
      <c r="D46" s="1743"/>
      <c r="E46" s="1743"/>
      <c r="G46" s="1666"/>
      <c r="H46" s="1607" t="s">
        <v>3901</v>
      </c>
      <c r="I46" s="1607"/>
      <c r="J46" s="1607"/>
      <c r="K46" s="1607"/>
      <c r="L46" s="1607"/>
      <c r="M46" s="1607"/>
      <c r="N46" s="1607"/>
      <c r="O46" s="1607"/>
      <c r="P46" s="1607"/>
      <c r="Q46" s="1607"/>
      <c r="R46" s="1607"/>
      <c r="S46" s="1607"/>
      <c r="T46" s="1607"/>
      <c r="U46" s="1607"/>
      <c r="V46" s="1607"/>
      <c r="W46" s="1607"/>
      <c r="X46" s="1607"/>
      <c r="Y46" s="1607"/>
      <c r="Z46" s="1607"/>
      <c r="AA46" s="1608" t="s">
        <v>2508</v>
      </c>
      <c r="AB46" s="1607"/>
      <c r="AC46" s="1607"/>
      <c r="AD46" s="1607"/>
      <c r="AE46" s="1607"/>
      <c r="AF46" s="1607"/>
      <c r="AG46" s="1607"/>
      <c r="AH46" s="1607"/>
      <c r="AI46" s="1607"/>
      <c r="AJ46" s="1607"/>
      <c r="AK46" s="1607"/>
      <c r="AL46" s="1607"/>
      <c r="AM46" s="1607"/>
      <c r="AN46" s="1607"/>
      <c r="AO46" s="1607"/>
      <c r="AP46" s="1607"/>
      <c r="AQ46" s="1607"/>
      <c r="AR46" s="1607"/>
      <c r="AS46" s="1607"/>
      <c r="AT46" s="1607"/>
      <c r="AU46" s="1607"/>
      <c r="AV46" s="1607"/>
      <c r="AW46" s="1607"/>
      <c r="AX46" s="1607"/>
      <c r="AY46" s="1607"/>
      <c r="AZ46" s="1607"/>
      <c r="BC46" s="1670" t="s">
        <v>2508</v>
      </c>
    </row>
    <row r="47" spans="2:55" s="1192" customFormat="1" ht="11.25" customHeight="1" x14ac:dyDescent="0.3">
      <c r="B47" s="1654"/>
      <c r="C47" s="1654"/>
      <c r="D47" s="1654"/>
      <c r="E47" s="1654"/>
      <c r="G47" s="1666"/>
      <c r="H47" s="1607"/>
      <c r="I47" s="1607"/>
      <c r="J47" s="1607"/>
      <c r="K47" s="1607"/>
      <c r="L47" s="1607"/>
      <c r="M47" s="1607"/>
      <c r="N47" s="1607"/>
      <c r="O47" s="1607"/>
      <c r="P47" s="1607"/>
      <c r="Q47" s="1607"/>
      <c r="R47" s="1607"/>
      <c r="S47" s="1607"/>
      <c r="T47" s="1607"/>
      <c r="U47" s="1607"/>
      <c r="V47" s="1607"/>
      <c r="W47" s="1607"/>
      <c r="X47" s="1607"/>
      <c r="Y47" s="1607"/>
      <c r="Z47" s="1607"/>
      <c r="AA47" s="1607"/>
      <c r="AB47" s="1607"/>
      <c r="AC47" s="1607"/>
      <c r="AD47" s="1607"/>
      <c r="AE47" s="1607"/>
      <c r="AF47" s="1607"/>
      <c r="AG47" s="1607"/>
      <c r="AH47" s="1607"/>
      <c r="AI47" s="1607"/>
      <c r="AJ47" s="1607"/>
      <c r="AK47" s="1607"/>
      <c r="AL47" s="1607"/>
      <c r="AM47" s="1607"/>
      <c r="AN47" s="1607"/>
      <c r="AO47" s="1607"/>
      <c r="AP47" s="1607"/>
      <c r="AQ47" s="1607"/>
      <c r="AR47" s="1607"/>
      <c r="AS47" s="1607"/>
      <c r="AT47" s="1607"/>
      <c r="AU47" s="1607"/>
      <c r="AV47" s="1607"/>
      <c r="AW47" s="1607"/>
      <c r="AX47" s="1607"/>
      <c r="AY47" s="1607"/>
      <c r="AZ47" s="1607"/>
    </row>
    <row r="48" spans="2:55" s="1192" customFormat="1" ht="34.200000000000003" x14ac:dyDescent="0.3">
      <c r="B48" s="1743" t="s">
        <v>4500</v>
      </c>
      <c r="C48" s="1743"/>
      <c r="D48" s="1743"/>
      <c r="E48" s="1743"/>
      <c r="G48" s="1666"/>
      <c r="H48" s="1607" t="s">
        <v>3901</v>
      </c>
      <c r="I48" s="1607"/>
      <c r="J48" s="1607"/>
      <c r="K48" s="1607"/>
      <c r="L48" s="1607"/>
      <c r="M48" s="1607"/>
      <c r="N48" s="1607"/>
      <c r="O48" s="1607"/>
      <c r="P48" s="1607"/>
      <c r="Q48" s="1607"/>
      <c r="R48" s="1607"/>
      <c r="S48" s="1607"/>
      <c r="T48" s="1607"/>
      <c r="U48" s="1607"/>
      <c r="V48" s="1607"/>
      <c r="W48" s="1607"/>
      <c r="X48" s="1607"/>
      <c r="Y48" s="1607"/>
      <c r="Z48" s="1607"/>
      <c r="AA48" s="1608" t="s">
        <v>4500</v>
      </c>
      <c r="AB48" s="1607"/>
      <c r="AC48" s="1607"/>
      <c r="AD48" s="1607"/>
      <c r="AE48" s="1607"/>
      <c r="AF48" s="1607"/>
      <c r="AG48" s="1607"/>
      <c r="AH48" s="1607"/>
      <c r="AI48" s="1607"/>
      <c r="AJ48" s="1607"/>
      <c r="AK48" s="1607"/>
      <c r="AL48" s="1607"/>
      <c r="AM48" s="1607"/>
      <c r="AN48" s="1607"/>
      <c r="AO48" s="1607"/>
      <c r="AP48" s="1607"/>
      <c r="AQ48" s="1607"/>
      <c r="AR48" s="1607"/>
      <c r="AS48" s="1607"/>
      <c r="AT48" s="1607"/>
      <c r="AU48" s="1607"/>
      <c r="AV48" s="1607"/>
      <c r="AW48" s="1607"/>
      <c r="AX48" s="1607"/>
      <c r="AY48" s="1607"/>
      <c r="AZ48" s="1607"/>
      <c r="BC48" s="1670" t="s">
        <v>4500</v>
      </c>
    </row>
    <row r="49" spans="2:55" s="1192" customFormat="1" ht="11.25" customHeight="1" x14ac:dyDescent="0.3">
      <c r="B49" s="1654"/>
      <c r="C49" s="1654"/>
      <c r="D49" s="1654"/>
      <c r="E49" s="1654"/>
      <c r="G49" s="1666"/>
      <c r="H49" s="1607"/>
      <c r="I49" s="1607"/>
      <c r="J49" s="1607"/>
      <c r="K49" s="1607"/>
      <c r="L49" s="1607"/>
      <c r="M49" s="1607"/>
      <c r="N49" s="1607"/>
      <c r="O49" s="1607"/>
      <c r="P49" s="1607"/>
      <c r="Q49" s="1607"/>
      <c r="R49" s="1607"/>
      <c r="S49" s="1607"/>
      <c r="T49" s="1607"/>
      <c r="U49" s="1607"/>
      <c r="V49" s="1607"/>
      <c r="W49" s="1607"/>
      <c r="X49" s="1607"/>
      <c r="Y49" s="1607"/>
      <c r="Z49" s="1607"/>
      <c r="AA49" s="1607"/>
      <c r="AB49" s="1607"/>
      <c r="AC49" s="1607"/>
      <c r="AD49" s="1607"/>
      <c r="AE49" s="1607"/>
      <c r="AF49" s="1607"/>
      <c r="AG49" s="1607"/>
      <c r="AH49" s="1607"/>
      <c r="AI49" s="1607"/>
      <c r="AJ49" s="1607"/>
      <c r="AK49" s="1607"/>
      <c r="AL49" s="1607"/>
      <c r="AM49" s="1607"/>
      <c r="AN49" s="1607"/>
      <c r="AO49" s="1607"/>
      <c r="AP49" s="1607"/>
      <c r="AQ49" s="1607"/>
      <c r="AR49" s="1607"/>
      <c r="AS49" s="1607"/>
      <c r="AT49" s="1607"/>
      <c r="AU49" s="1607"/>
      <c r="AV49" s="1607"/>
      <c r="AW49" s="1607"/>
      <c r="AX49" s="1607"/>
      <c r="AY49" s="1607"/>
      <c r="AZ49" s="1607"/>
    </row>
    <row r="50" spans="2:55" s="1192" customFormat="1" ht="14.4" x14ac:dyDescent="0.3">
      <c r="B50" s="1750" t="s">
        <v>2394</v>
      </c>
      <c r="C50" s="1743"/>
      <c r="D50" s="1743"/>
      <c r="E50" s="1743"/>
      <c r="G50" s="1666"/>
      <c r="H50" s="1607" t="s">
        <v>2413</v>
      </c>
      <c r="I50" s="1607"/>
      <c r="J50" s="1607"/>
      <c r="K50" s="1607"/>
      <c r="L50" s="1607"/>
      <c r="M50" s="1607"/>
      <c r="N50" s="1607"/>
      <c r="O50" s="1607"/>
      <c r="P50" s="1607"/>
      <c r="Q50" s="1607"/>
      <c r="R50" s="1607"/>
      <c r="S50" s="1607"/>
      <c r="T50" s="1607"/>
      <c r="U50" s="1607"/>
      <c r="V50" s="1607"/>
      <c r="W50" s="1607"/>
      <c r="X50" s="1607"/>
      <c r="Y50" s="1607"/>
      <c r="Z50" s="1607"/>
      <c r="AA50" s="1608" t="s">
        <v>2394</v>
      </c>
      <c r="AB50" s="1607"/>
      <c r="AC50" s="1607"/>
      <c r="AD50" s="1607"/>
      <c r="AE50" s="1607"/>
      <c r="AF50" s="1607"/>
      <c r="AG50" s="1607"/>
      <c r="AH50" s="1607"/>
      <c r="AI50" s="1607"/>
      <c r="AJ50" s="1607"/>
      <c r="AK50" s="1607"/>
      <c r="AL50" s="1607"/>
      <c r="AM50" s="1607"/>
      <c r="AN50" s="1607"/>
      <c r="AO50" s="1607"/>
      <c r="AP50" s="1607"/>
      <c r="AQ50" s="1607"/>
      <c r="AR50" s="1607"/>
      <c r="AS50" s="1607"/>
      <c r="AT50" s="1607"/>
      <c r="AU50" s="1607"/>
      <c r="AV50" s="1607"/>
      <c r="AW50" s="1607"/>
      <c r="AX50" s="1607"/>
      <c r="AY50" s="1607"/>
      <c r="AZ50" s="1607"/>
      <c r="BC50" s="1467" t="s">
        <v>2394</v>
      </c>
    </row>
    <row r="51" spans="2:55" s="1192" customFormat="1" ht="11.25" customHeight="1" x14ac:dyDescent="0.3">
      <c r="B51" s="1659"/>
      <c r="C51" s="1655"/>
      <c r="D51" s="1655"/>
      <c r="E51" s="1655"/>
      <c r="G51" s="1666"/>
      <c r="H51" s="1607"/>
      <c r="I51" s="1607"/>
      <c r="J51" s="1607"/>
      <c r="K51" s="1607"/>
      <c r="L51" s="1607"/>
      <c r="M51" s="1607"/>
      <c r="N51" s="1607"/>
      <c r="O51" s="1607"/>
      <c r="P51" s="1607"/>
      <c r="Q51" s="1607"/>
      <c r="R51" s="1607"/>
      <c r="S51" s="1607"/>
      <c r="T51" s="1607"/>
      <c r="U51" s="1607"/>
      <c r="V51" s="1607"/>
      <c r="W51" s="1607"/>
      <c r="X51" s="1607"/>
      <c r="Y51" s="1607"/>
      <c r="Z51" s="1607"/>
      <c r="AA51" s="1607"/>
      <c r="AB51" s="1607"/>
      <c r="AC51" s="1607"/>
      <c r="AD51" s="1607"/>
      <c r="AE51" s="1607"/>
      <c r="AF51" s="1607"/>
      <c r="AG51" s="1607"/>
      <c r="AH51" s="1607"/>
      <c r="AI51" s="1607"/>
      <c r="AJ51" s="1607"/>
      <c r="AK51" s="1607"/>
      <c r="AL51" s="1607"/>
      <c r="AM51" s="1607"/>
      <c r="AN51" s="1607"/>
      <c r="AO51" s="1607"/>
      <c r="AP51" s="1607"/>
      <c r="AQ51" s="1607"/>
      <c r="AR51" s="1607"/>
      <c r="AS51" s="1607"/>
      <c r="AT51" s="1607"/>
      <c r="AU51" s="1607"/>
      <c r="AV51" s="1607"/>
      <c r="AW51" s="1607"/>
      <c r="AX51" s="1607"/>
      <c r="AY51" s="1607"/>
      <c r="AZ51" s="1607"/>
    </row>
    <row r="52" spans="2:55" s="1192" customFormat="1" ht="14.4" x14ac:dyDescent="0.3">
      <c r="B52" s="1741" t="s">
        <v>7</v>
      </c>
      <c r="C52" s="1741"/>
      <c r="D52" s="524" t="s">
        <v>19</v>
      </c>
      <c r="E52" s="1516">
        <v>21.82</v>
      </c>
      <c r="G52" s="1666"/>
      <c r="H52" s="1607" t="s">
        <v>3901</v>
      </c>
      <c r="I52" s="1607" t="s">
        <v>430</v>
      </c>
      <c r="J52" s="1607"/>
      <c r="K52" s="1607"/>
      <c r="L52" s="1607"/>
      <c r="M52" s="1607" t="s">
        <v>3902</v>
      </c>
      <c r="N52" s="1607"/>
      <c r="O52" s="1607"/>
      <c r="P52" s="1607"/>
      <c r="Q52" s="1607"/>
      <c r="R52" s="1607"/>
      <c r="S52" s="1607"/>
      <c r="T52" s="1607"/>
      <c r="U52" s="1607"/>
      <c r="V52" s="1607"/>
      <c r="W52" s="1607"/>
      <c r="X52" s="1607"/>
      <c r="Y52" s="1607"/>
      <c r="Z52" s="1608" t="s">
        <v>3902</v>
      </c>
      <c r="AA52" s="1607"/>
      <c r="AB52" s="1607"/>
      <c r="AC52" s="1607"/>
      <c r="AD52" s="1607"/>
      <c r="AE52" s="1607"/>
      <c r="AF52" s="1607"/>
      <c r="AG52" s="1607"/>
      <c r="AH52" s="1607"/>
      <c r="AI52" s="1607"/>
      <c r="AJ52" s="1607"/>
      <c r="AK52" s="1607"/>
      <c r="AL52" s="1607"/>
      <c r="AM52" s="1607"/>
      <c r="AN52" s="1607"/>
      <c r="AO52" s="1607"/>
      <c r="AP52" s="1607"/>
      <c r="AQ52" s="1607"/>
      <c r="AR52" s="1607"/>
      <c r="AS52" s="1607"/>
      <c r="AT52" s="1607"/>
      <c r="AU52" s="1607"/>
      <c r="AV52" s="1607"/>
      <c r="AW52" s="1607"/>
      <c r="AX52" s="1607"/>
      <c r="AY52" s="1607"/>
      <c r="AZ52" s="1607"/>
      <c r="BB52" s="1671" t="s">
        <v>7</v>
      </c>
    </row>
    <row r="53" spans="2:55" s="1192" customFormat="1" ht="14.4" x14ac:dyDescent="0.3">
      <c r="B53" s="1741" t="s">
        <v>3900</v>
      </c>
      <c r="C53" s="1741"/>
      <c r="D53" s="524" t="s">
        <v>19</v>
      </c>
      <c r="E53" s="1218">
        <v>0.56999999999999995</v>
      </c>
      <c r="G53" s="1666"/>
      <c r="H53" s="1607" t="s">
        <v>3901</v>
      </c>
      <c r="I53" s="1607" t="s">
        <v>431</v>
      </c>
      <c r="J53" s="1607"/>
      <c r="K53" s="1607"/>
      <c r="L53" s="1607"/>
      <c r="M53" s="1607" t="s">
        <v>3903</v>
      </c>
      <c r="N53" s="1607"/>
      <c r="O53" s="1607"/>
      <c r="P53" s="1607"/>
      <c r="Q53" s="1607">
        <v>44926</v>
      </c>
      <c r="R53" s="1607"/>
      <c r="S53" s="1607"/>
      <c r="T53" s="1607"/>
      <c r="U53" s="1607"/>
      <c r="V53" s="1607"/>
      <c r="W53" s="1607"/>
      <c r="X53" s="1607"/>
      <c r="Y53" s="1607"/>
      <c r="Z53" s="1608" t="s">
        <v>3903</v>
      </c>
      <c r="AA53" s="1607"/>
      <c r="AB53" s="1607"/>
      <c r="AC53" s="1607"/>
      <c r="AD53" s="1607"/>
      <c r="AE53" s="1607"/>
      <c r="AF53" s="1607"/>
      <c r="AG53" s="1607"/>
      <c r="AH53" s="1607"/>
      <c r="AI53" s="1607"/>
      <c r="AJ53" s="1607"/>
      <c r="AK53" s="1607"/>
      <c r="AL53" s="1607"/>
      <c r="AM53" s="1607"/>
      <c r="AN53" s="1607"/>
      <c r="AO53" s="1607"/>
      <c r="AP53" s="1607"/>
      <c r="AQ53" s="1607"/>
      <c r="AR53" s="1607"/>
      <c r="AS53" s="1607"/>
      <c r="AT53" s="1607"/>
      <c r="AU53" s="1607"/>
      <c r="AV53" s="1607"/>
      <c r="AW53" s="1607"/>
      <c r="AX53" s="1607"/>
      <c r="AY53" s="1607"/>
      <c r="AZ53" s="1607"/>
      <c r="BB53" s="1671" t="s">
        <v>3900</v>
      </c>
    </row>
    <row r="54" spans="2:55" s="1192" customFormat="1" ht="14.4" x14ac:dyDescent="0.3">
      <c r="B54" s="1741" t="s">
        <v>80</v>
      </c>
      <c r="C54" s="1741"/>
      <c r="D54" s="524" t="s">
        <v>20</v>
      </c>
      <c r="E54" s="1517">
        <v>2.2800000000000001E-2</v>
      </c>
      <c r="G54" s="1666"/>
      <c r="H54" s="1607" t="s">
        <v>3901</v>
      </c>
      <c r="I54" s="1607" t="s">
        <v>430</v>
      </c>
      <c r="J54" s="1607"/>
      <c r="K54" s="1607"/>
      <c r="L54" s="1607"/>
      <c r="M54" s="1607" t="s">
        <v>3904</v>
      </c>
      <c r="N54" s="1607"/>
      <c r="O54" s="1607"/>
      <c r="P54" s="1607"/>
      <c r="Q54" s="1607"/>
      <c r="R54" s="1607"/>
      <c r="S54" s="1607"/>
      <c r="T54" s="1607"/>
      <c r="U54" s="1607"/>
      <c r="V54" s="1607"/>
      <c r="W54" s="1607"/>
      <c r="X54" s="1607"/>
      <c r="Y54" s="1607"/>
      <c r="Z54" s="1608" t="s">
        <v>3904</v>
      </c>
      <c r="AA54" s="1607"/>
      <c r="AB54" s="1607"/>
      <c r="AC54" s="1607"/>
      <c r="AD54" s="1607"/>
      <c r="AE54" s="1607"/>
      <c r="AF54" s="1607"/>
      <c r="AG54" s="1607"/>
      <c r="AH54" s="1607"/>
      <c r="AI54" s="1607"/>
      <c r="AJ54" s="1607"/>
      <c r="AK54" s="1607"/>
      <c r="AL54" s="1607"/>
      <c r="AM54" s="1607"/>
      <c r="AN54" s="1607"/>
      <c r="AO54" s="1607"/>
      <c r="AP54" s="1607"/>
      <c r="AQ54" s="1607"/>
      <c r="AR54" s="1607"/>
      <c r="AS54" s="1607"/>
      <c r="AT54" s="1607"/>
      <c r="AU54" s="1607"/>
      <c r="AV54" s="1607"/>
      <c r="AW54" s="1607"/>
      <c r="AX54" s="1607"/>
      <c r="AY54" s="1607"/>
      <c r="AZ54" s="1607"/>
      <c r="BB54" s="1671" t="s">
        <v>80</v>
      </c>
    </row>
    <row r="55" spans="2:55" s="1192" customFormat="1" ht="14.4" x14ac:dyDescent="0.3">
      <c r="B55" s="1741" t="s">
        <v>14</v>
      </c>
      <c r="C55" s="1741"/>
      <c r="D55" s="524" t="s">
        <v>20</v>
      </c>
      <c r="E55" s="1219">
        <v>2.7000000000000001E-3</v>
      </c>
      <c r="G55" s="1666"/>
      <c r="H55" s="1607" t="s">
        <v>3901</v>
      </c>
      <c r="I55" s="1607" t="s">
        <v>431</v>
      </c>
      <c r="J55" s="1607"/>
      <c r="K55" s="1607"/>
      <c r="L55" s="1607"/>
      <c r="M55" s="1607" t="s">
        <v>3905</v>
      </c>
      <c r="N55" s="1607"/>
      <c r="O55" s="1607"/>
      <c r="P55" s="1607"/>
      <c r="Q55" s="1607"/>
      <c r="R55" s="1607"/>
      <c r="S55" s="1607"/>
      <c r="T55" s="1607"/>
      <c r="U55" s="1607"/>
      <c r="V55" s="1607"/>
      <c r="W55" s="1607"/>
      <c r="X55" s="1607"/>
      <c r="Y55" s="1607"/>
      <c r="Z55" s="1608" t="s">
        <v>14</v>
      </c>
      <c r="AA55" s="1607"/>
      <c r="AB55" s="1607"/>
      <c r="AC55" s="1607"/>
      <c r="AD55" s="1607"/>
      <c r="AE55" s="1607"/>
      <c r="AF55" s="1607"/>
      <c r="AG55" s="1607"/>
      <c r="AH55" s="1607"/>
      <c r="AI55" s="1607"/>
      <c r="AJ55" s="1607"/>
      <c r="AK55" s="1607"/>
      <c r="AL55" s="1607"/>
      <c r="AM55" s="1607"/>
      <c r="AN55" s="1607"/>
      <c r="AO55" s="1607"/>
      <c r="AP55" s="1607"/>
      <c r="AQ55" s="1607"/>
      <c r="AR55" s="1607"/>
      <c r="AS55" s="1607"/>
      <c r="AT55" s="1607"/>
      <c r="AU55" s="1607"/>
      <c r="AV55" s="1607"/>
      <c r="AW55" s="1607"/>
      <c r="AX55" s="1607"/>
      <c r="AY55" s="1607"/>
      <c r="AZ55" s="1607"/>
      <c r="BB55" s="1671" t="s">
        <v>14</v>
      </c>
    </row>
    <row r="56" spans="2:55" s="1192" customFormat="1" ht="20.399999999999999" x14ac:dyDescent="0.3">
      <c r="B56" s="1741" t="s">
        <v>4538</v>
      </c>
      <c r="C56" s="1741"/>
      <c r="D56" s="524" t="s">
        <v>20</v>
      </c>
      <c r="E56" s="1219">
        <v>1E-3</v>
      </c>
      <c r="G56" s="1666"/>
      <c r="H56" s="1607" t="s">
        <v>3901</v>
      </c>
      <c r="I56" s="1607" t="s">
        <v>430</v>
      </c>
      <c r="J56" s="1607"/>
      <c r="K56" s="1607"/>
      <c r="L56" s="1607"/>
      <c r="M56" s="1607" t="s">
        <v>4000</v>
      </c>
      <c r="N56" s="1607"/>
      <c r="O56" s="1607"/>
      <c r="P56" s="1607"/>
      <c r="Q56" s="1607">
        <v>44561</v>
      </c>
      <c r="R56" s="1607"/>
      <c r="S56" s="1607"/>
      <c r="T56" s="1607"/>
      <c r="U56" s="1607"/>
      <c r="V56" s="1607"/>
      <c r="W56" s="1607"/>
      <c r="X56" s="1607"/>
      <c r="Y56" s="1607"/>
      <c r="Z56" s="1608" t="s">
        <v>4538</v>
      </c>
      <c r="AA56" s="1607"/>
      <c r="AB56" s="1607"/>
      <c r="AC56" s="1607"/>
      <c r="AD56" s="1607"/>
      <c r="AE56" s="1607"/>
      <c r="AF56" s="1607"/>
      <c r="AG56" s="1607"/>
      <c r="AH56" s="1607"/>
      <c r="AI56" s="1607"/>
      <c r="AJ56" s="1607"/>
      <c r="AK56" s="1607"/>
      <c r="AL56" s="1607"/>
      <c r="AM56" s="1607"/>
      <c r="AN56" s="1607"/>
      <c r="AO56" s="1607"/>
      <c r="AP56" s="1607"/>
      <c r="AQ56" s="1607"/>
      <c r="AR56" s="1607"/>
      <c r="AS56" s="1607"/>
      <c r="AT56" s="1607"/>
      <c r="AU56" s="1607"/>
      <c r="AV56" s="1607"/>
      <c r="AW56" s="1607"/>
      <c r="AX56" s="1607"/>
      <c r="AY56" s="1607"/>
      <c r="AZ56" s="1607"/>
      <c r="BB56" s="1671" t="s">
        <v>4538</v>
      </c>
    </row>
    <row r="57" spans="2:55" s="1192" customFormat="1" ht="14.4" x14ac:dyDescent="0.3">
      <c r="B57" s="1741" t="s">
        <v>4536</v>
      </c>
      <c r="C57" s="1741"/>
      <c r="D57" s="524" t="s">
        <v>20</v>
      </c>
      <c r="E57" s="1219">
        <v>-6.9999999999999999E-4</v>
      </c>
      <c r="G57" s="1666" t="s">
        <v>603</v>
      </c>
      <c r="H57" s="1607" t="s">
        <v>3901</v>
      </c>
      <c r="I57" s="1607" t="s">
        <v>430</v>
      </c>
      <c r="J57" s="1607"/>
      <c r="K57" s="1607"/>
      <c r="L57" s="1607"/>
      <c r="M57" s="1607" t="s">
        <v>6125</v>
      </c>
      <c r="N57" s="1607"/>
      <c r="O57" s="1607"/>
      <c r="P57" s="1607"/>
      <c r="Q57" s="1607">
        <v>44561</v>
      </c>
      <c r="R57" s="1607"/>
      <c r="S57" s="1607"/>
      <c r="T57" s="1607"/>
      <c r="U57" s="1607"/>
      <c r="V57" s="1607"/>
      <c r="W57" s="1607"/>
      <c r="X57" s="1607"/>
      <c r="Y57" s="1607"/>
      <c r="Z57" s="1608" t="s">
        <v>4536</v>
      </c>
      <c r="AA57" s="1607"/>
      <c r="AB57" s="1607"/>
      <c r="AC57" s="1607"/>
      <c r="AD57" s="1607"/>
      <c r="AE57" s="1607"/>
      <c r="AF57" s="1607"/>
      <c r="AG57" s="1607"/>
      <c r="AH57" s="1607"/>
      <c r="AI57" s="1607"/>
      <c r="AJ57" s="1607"/>
      <c r="AK57" s="1607"/>
      <c r="AL57" s="1607"/>
      <c r="AM57" s="1607"/>
      <c r="AN57" s="1607"/>
      <c r="AO57" s="1607"/>
      <c r="AP57" s="1607"/>
      <c r="AQ57" s="1607"/>
      <c r="AR57" s="1607"/>
      <c r="AS57" s="1607"/>
      <c r="AT57" s="1607"/>
      <c r="AU57" s="1607"/>
      <c r="AV57" s="1607"/>
      <c r="AW57" s="1607"/>
      <c r="AX57" s="1607"/>
      <c r="AY57" s="1607"/>
      <c r="AZ57" s="1607"/>
      <c r="BB57" s="1671" t="s">
        <v>4536</v>
      </c>
    </row>
    <row r="58" spans="2:55" s="1192" customFormat="1" ht="20.399999999999999" x14ac:dyDescent="0.3">
      <c r="B58" s="1741" t="s">
        <v>4537</v>
      </c>
      <c r="C58" s="1741"/>
      <c r="D58" s="524" t="s">
        <v>20</v>
      </c>
      <c r="E58" s="1219">
        <v>-4.0000000000000002E-4</v>
      </c>
      <c r="G58" s="1666" t="s">
        <v>7382</v>
      </c>
      <c r="H58" s="1607" t="s">
        <v>3901</v>
      </c>
      <c r="I58" s="1607" t="s">
        <v>430</v>
      </c>
      <c r="J58" s="1607"/>
      <c r="K58" s="1607"/>
      <c r="L58" s="1607"/>
      <c r="M58" s="1607" t="s">
        <v>6126</v>
      </c>
      <c r="N58" s="1607"/>
      <c r="O58" s="1607"/>
      <c r="P58" s="1607"/>
      <c r="Q58" s="1607"/>
      <c r="R58" s="1607"/>
      <c r="S58" s="1607"/>
      <c r="T58" s="1607"/>
      <c r="U58" s="1607"/>
      <c r="V58" s="1607"/>
      <c r="W58" s="1607"/>
      <c r="X58" s="1607"/>
      <c r="Y58" s="1607"/>
      <c r="Z58" s="1608" t="s">
        <v>4537</v>
      </c>
      <c r="AA58" s="1607"/>
      <c r="AB58" s="1607"/>
      <c r="AC58" s="1607"/>
      <c r="AD58" s="1607"/>
      <c r="AE58" s="1607"/>
      <c r="AF58" s="1607"/>
      <c r="AG58" s="1607"/>
      <c r="AH58" s="1607"/>
      <c r="AI58" s="1607"/>
      <c r="AJ58" s="1607"/>
      <c r="AK58" s="1607"/>
      <c r="AL58" s="1607"/>
      <c r="AM58" s="1607"/>
      <c r="AN58" s="1607"/>
      <c r="AO58" s="1607"/>
      <c r="AP58" s="1607"/>
      <c r="AQ58" s="1607"/>
      <c r="AR58" s="1607"/>
      <c r="AS58" s="1607"/>
      <c r="AT58" s="1607"/>
      <c r="AU58" s="1607"/>
      <c r="AV58" s="1607"/>
      <c r="AW58" s="1607"/>
      <c r="AX58" s="1607"/>
      <c r="AY58" s="1607"/>
      <c r="AZ58" s="1607"/>
      <c r="BB58" s="1671" t="s">
        <v>4537</v>
      </c>
    </row>
    <row r="59" spans="2:55" s="1192" customFormat="1" ht="14.4" x14ac:dyDescent="0.3">
      <c r="B59" s="1741" t="s">
        <v>213</v>
      </c>
      <c r="C59" s="1741"/>
      <c r="D59" s="524" t="s">
        <v>20</v>
      </c>
      <c r="E59" s="1517">
        <v>6.0000000000000001E-3</v>
      </c>
      <c r="G59" s="1666"/>
      <c r="H59" s="1607" t="s">
        <v>3901</v>
      </c>
      <c r="I59" s="1607" t="s">
        <v>432</v>
      </c>
      <c r="J59" s="1607"/>
      <c r="K59" s="1607"/>
      <c r="L59" s="1607"/>
      <c r="M59" s="1607" t="s">
        <v>3906</v>
      </c>
      <c r="N59" s="1607"/>
      <c r="O59" s="1607"/>
      <c r="P59" s="1607"/>
      <c r="Q59" s="1607"/>
      <c r="R59" s="1607"/>
      <c r="S59" s="1607"/>
      <c r="T59" s="1607"/>
      <c r="U59" s="1607"/>
      <c r="V59" s="1607"/>
      <c r="W59" s="1607"/>
      <c r="X59" s="1607"/>
      <c r="Y59" s="1607"/>
      <c r="Z59" s="1608" t="s">
        <v>3906</v>
      </c>
      <c r="AA59" s="1607"/>
      <c r="AB59" s="1607"/>
      <c r="AC59" s="1607"/>
      <c r="AD59" s="1607"/>
      <c r="AE59" s="1607"/>
      <c r="AF59" s="1607"/>
      <c r="AG59" s="1607"/>
      <c r="AH59" s="1607"/>
      <c r="AI59" s="1607"/>
      <c r="AJ59" s="1607"/>
      <c r="AK59" s="1607"/>
      <c r="AL59" s="1607"/>
      <c r="AM59" s="1607"/>
      <c r="AN59" s="1607"/>
      <c r="AO59" s="1607"/>
      <c r="AP59" s="1607"/>
      <c r="AQ59" s="1607"/>
      <c r="AR59" s="1607"/>
      <c r="AS59" s="1607"/>
      <c r="AT59" s="1607"/>
      <c r="AU59" s="1607"/>
      <c r="AV59" s="1607"/>
      <c r="AW59" s="1607"/>
      <c r="AX59" s="1607"/>
      <c r="AY59" s="1607"/>
      <c r="AZ59" s="1607" t="s">
        <v>7341</v>
      </c>
      <c r="BB59" s="1671" t="s">
        <v>213</v>
      </c>
    </row>
    <row r="60" spans="2:55" s="1192" customFormat="1" ht="14.4" x14ac:dyDescent="0.3">
      <c r="B60" s="1741" t="s">
        <v>209</v>
      </c>
      <c r="C60" s="1741"/>
      <c r="D60" s="524" t="s">
        <v>20</v>
      </c>
      <c r="E60" s="1517">
        <v>5.0000000000000001E-3</v>
      </c>
      <c r="G60" s="1666"/>
      <c r="H60" s="1607" t="s">
        <v>3901</v>
      </c>
      <c r="I60" s="1607" t="s">
        <v>432</v>
      </c>
      <c r="J60" s="1607"/>
      <c r="K60" s="1607"/>
      <c r="L60" s="1607"/>
      <c r="M60" s="1607" t="s">
        <v>3907</v>
      </c>
      <c r="N60" s="1607"/>
      <c r="O60" s="1607"/>
      <c r="P60" s="1607"/>
      <c r="Q60" s="1607"/>
      <c r="R60" s="1607"/>
      <c r="S60" s="1607"/>
      <c r="T60" s="1607"/>
      <c r="U60" s="1607"/>
      <c r="V60" s="1607"/>
      <c r="W60" s="1607"/>
      <c r="X60" s="1607"/>
      <c r="Y60" s="1607"/>
      <c r="Z60" s="1608" t="s">
        <v>3907</v>
      </c>
      <c r="AA60" s="1607"/>
      <c r="AB60" s="1607"/>
      <c r="AC60" s="1607"/>
      <c r="AD60" s="1607"/>
      <c r="AE60" s="1607"/>
      <c r="AF60" s="1607"/>
      <c r="AG60" s="1607"/>
      <c r="AH60" s="1607"/>
      <c r="AI60" s="1607"/>
      <c r="AJ60" s="1607"/>
      <c r="AK60" s="1607"/>
      <c r="AL60" s="1607"/>
      <c r="AM60" s="1607"/>
      <c r="AN60" s="1607"/>
      <c r="AO60" s="1607"/>
      <c r="AP60" s="1607"/>
      <c r="AQ60" s="1607"/>
      <c r="AR60" s="1607"/>
      <c r="AS60" s="1607"/>
      <c r="AT60" s="1607"/>
      <c r="AU60" s="1607"/>
      <c r="AV60" s="1607"/>
      <c r="AW60" s="1607"/>
      <c r="AX60" s="1607"/>
      <c r="AY60" s="1607"/>
      <c r="AZ60" s="1607" t="s">
        <v>7342</v>
      </c>
      <c r="BB60" s="1671" t="s">
        <v>209</v>
      </c>
    </row>
    <row r="61" spans="2:55" s="1192" customFormat="1" ht="11.25" customHeight="1" x14ac:dyDescent="0.3">
      <c r="B61" s="1652"/>
      <c r="C61" s="1653"/>
      <c r="D61" s="524"/>
      <c r="E61" s="1219"/>
      <c r="G61" s="1666"/>
      <c r="H61" s="1607"/>
      <c r="I61" s="1607"/>
      <c r="J61" s="1607"/>
      <c r="K61" s="1607"/>
      <c r="L61" s="1607"/>
      <c r="M61" s="1607"/>
      <c r="N61" s="1607"/>
      <c r="O61" s="1607"/>
      <c r="P61" s="1607"/>
      <c r="Q61" s="1607"/>
      <c r="R61" s="1607"/>
      <c r="S61" s="1607"/>
      <c r="T61" s="1607"/>
      <c r="U61" s="1607"/>
      <c r="V61" s="1607"/>
      <c r="W61" s="1607"/>
      <c r="X61" s="1607"/>
      <c r="Y61" s="1607"/>
      <c r="Z61" s="1607"/>
      <c r="AA61" s="1607"/>
      <c r="AB61" s="1607"/>
      <c r="AC61" s="1607"/>
      <c r="AD61" s="1607"/>
      <c r="AE61" s="1607"/>
      <c r="AF61" s="1607"/>
      <c r="AG61" s="1607"/>
      <c r="AH61" s="1607"/>
      <c r="AI61" s="1607"/>
      <c r="AJ61" s="1607"/>
      <c r="AK61" s="1607"/>
      <c r="AL61" s="1607"/>
      <c r="AM61" s="1607"/>
      <c r="AN61" s="1607"/>
      <c r="AO61" s="1607"/>
      <c r="AP61" s="1607"/>
      <c r="AQ61" s="1607"/>
      <c r="AR61" s="1607"/>
      <c r="AS61" s="1607"/>
      <c r="AT61" s="1607"/>
      <c r="AU61" s="1607"/>
      <c r="AV61" s="1607"/>
      <c r="AW61" s="1607"/>
      <c r="AX61" s="1607"/>
      <c r="AY61" s="1607"/>
      <c r="AZ61" s="1607"/>
    </row>
    <row r="62" spans="2:55" s="1192" customFormat="1" ht="14.4" x14ac:dyDescent="0.3">
      <c r="B62" s="1750" t="s">
        <v>2405</v>
      </c>
      <c r="C62" s="1741"/>
      <c r="D62" s="1277"/>
      <c r="E62" s="896"/>
      <c r="G62" s="1666"/>
      <c r="H62" s="1607" t="s">
        <v>2418</v>
      </c>
      <c r="I62" s="1607"/>
      <c r="J62" s="1607"/>
      <c r="K62" s="1607"/>
      <c r="L62" s="1607"/>
      <c r="M62" s="1607"/>
      <c r="N62" s="1607"/>
      <c r="O62" s="1607"/>
      <c r="P62" s="1607"/>
      <c r="Q62" s="1607"/>
      <c r="R62" s="1607"/>
      <c r="S62" s="1607"/>
      <c r="T62" s="1607"/>
      <c r="U62" s="1607"/>
      <c r="V62" s="1607"/>
      <c r="W62" s="1607"/>
      <c r="X62" s="1607"/>
      <c r="Y62" s="1607"/>
      <c r="Z62" s="1608" t="s">
        <v>2405</v>
      </c>
      <c r="AA62" s="1607"/>
      <c r="AB62" s="1607"/>
      <c r="AC62" s="1607"/>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7"/>
      <c r="AY62" s="1607"/>
      <c r="AZ62" s="1607"/>
      <c r="BB62" s="1467" t="s">
        <v>2405</v>
      </c>
    </row>
    <row r="63" spans="2:55" s="1192" customFormat="1" ht="11.25" customHeight="1" x14ac:dyDescent="0.3">
      <c r="B63" s="1659"/>
      <c r="C63" s="1653"/>
      <c r="D63" s="1277"/>
      <c r="E63" s="896"/>
      <c r="G63" s="1666"/>
      <c r="H63" s="1607"/>
      <c r="I63" s="1607"/>
      <c r="J63" s="1607"/>
      <c r="K63" s="1607"/>
      <c r="L63" s="1607"/>
      <c r="M63" s="1607"/>
      <c r="N63" s="1607"/>
      <c r="O63" s="1607"/>
      <c r="P63" s="1607"/>
      <c r="Q63" s="1607"/>
      <c r="R63" s="1607"/>
      <c r="S63" s="1607"/>
      <c r="T63" s="1607"/>
      <c r="U63" s="1607"/>
      <c r="V63" s="1607"/>
      <c r="W63" s="1607"/>
      <c r="X63" s="1607"/>
      <c r="Y63" s="1607"/>
      <c r="Z63" s="1607"/>
      <c r="AA63" s="1607"/>
      <c r="AB63" s="1607"/>
      <c r="AC63" s="1607"/>
      <c r="AD63" s="1607"/>
      <c r="AE63" s="1607"/>
      <c r="AF63" s="1607"/>
      <c r="AG63" s="1607"/>
      <c r="AH63" s="1607"/>
      <c r="AI63" s="1607"/>
      <c r="AJ63" s="1607"/>
      <c r="AK63" s="1607"/>
      <c r="AL63" s="1607"/>
      <c r="AM63" s="1607"/>
      <c r="AN63" s="1607"/>
      <c r="AO63" s="1607"/>
      <c r="AP63" s="1607"/>
      <c r="AQ63" s="1607"/>
      <c r="AR63" s="1607"/>
      <c r="AS63" s="1607"/>
      <c r="AT63" s="1607"/>
      <c r="AU63" s="1607"/>
      <c r="AV63" s="1607"/>
      <c r="AW63" s="1607"/>
      <c r="AX63" s="1607"/>
      <c r="AY63" s="1607"/>
      <c r="AZ63" s="1607"/>
    </row>
    <row r="64" spans="2:55" s="1192" customFormat="1" ht="14.4" x14ac:dyDescent="0.3">
      <c r="B64" s="1741" t="s">
        <v>2033</v>
      </c>
      <c r="C64" s="1741"/>
      <c r="D64" s="524" t="s">
        <v>20</v>
      </c>
      <c r="E64" s="1219">
        <v>3.0000000000000001E-3</v>
      </c>
      <c r="G64" s="1666"/>
      <c r="H64" s="1607" t="s">
        <v>3901</v>
      </c>
      <c r="I64" s="1607" t="s">
        <v>2374</v>
      </c>
      <c r="J64" s="1607"/>
      <c r="K64" s="1607"/>
      <c r="L64" s="1607"/>
      <c r="M64" s="1607" t="s">
        <v>3908</v>
      </c>
      <c r="N64" s="1607"/>
      <c r="O64" s="1607"/>
      <c r="P64" s="1607"/>
      <c r="Q64" s="1607"/>
      <c r="R64" s="1607"/>
      <c r="S64" s="1607"/>
      <c r="T64" s="1607"/>
      <c r="U64" s="1607"/>
      <c r="V64" s="1607"/>
      <c r="W64" s="1607"/>
      <c r="X64" s="1607"/>
      <c r="Y64" s="1607"/>
      <c r="Z64" s="1608" t="s">
        <v>2033</v>
      </c>
      <c r="AA64" s="1607"/>
      <c r="AB64" s="1607"/>
      <c r="AC64" s="1607"/>
      <c r="AD64" s="1607"/>
      <c r="AE64" s="1607"/>
      <c r="AF64" s="1607"/>
      <c r="AG64" s="1607"/>
      <c r="AH64" s="1607"/>
      <c r="AI64" s="1607"/>
      <c r="AJ64" s="1607"/>
      <c r="AK64" s="1607"/>
      <c r="AL64" s="1607"/>
      <c r="AM64" s="1607"/>
      <c r="AN64" s="1607"/>
      <c r="AO64" s="1607"/>
      <c r="AP64" s="1607"/>
      <c r="AQ64" s="1607"/>
      <c r="AR64" s="1607"/>
      <c r="AS64" s="1607"/>
      <c r="AT64" s="1607"/>
      <c r="AU64" s="1607"/>
      <c r="AV64" s="1607"/>
      <c r="AW64" s="1607"/>
      <c r="AX64" s="1607"/>
      <c r="AY64" s="1607"/>
      <c r="AZ64" s="1607"/>
      <c r="BB64" s="1671" t="s">
        <v>2033</v>
      </c>
    </row>
    <row r="65" spans="2:55" s="1192" customFormat="1" ht="14.4" x14ac:dyDescent="0.3">
      <c r="B65" s="1741" t="s">
        <v>2034</v>
      </c>
      <c r="C65" s="1741"/>
      <c r="D65" s="524" t="s">
        <v>20</v>
      </c>
      <c r="E65" s="1219">
        <v>4.0000000000000002E-4</v>
      </c>
      <c r="G65" s="1666"/>
      <c r="H65" s="1607" t="s">
        <v>3901</v>
      </c>
      <c r="I65" s="1607" t="s">
        <v>2374</v>
      </c>
      <c r="J65" s="1607"/>
      <c r="K65" s="1607"/>
      <c r="L65" s="1607"/>
      <c r="M65" s="1607" t="s">
        <v>3908</v>
      </c>
      <c r="N65" s="1607"/>
      <c r="O65" s="1607"/>
      <c r="P65" s="1607"/>
      <c r="Q65" s="1607"/>
      <c r="R65" s="1607"/>
      <c r="S65" s="1607"/>
      <c r="T65" s="1607"/>
      <c r="U65" s="1607"/>
      <c r="V65" s="1607"/>
      <c r="W65" s="1607"/>
      <c r="X65" s="1607"/>
      <c r="Y65" s="1607"/>
      <c r="Z65" s="1608" t="s">
        <v>2034</v>
      </c>
      <c r="AA65" s="1607"/>
      <c r="AB65" s="1607"/>
      <c r="AC65" s="1607"/>
      <c r="AD65" s="1607"/>
      <c r="AE65" s="1607"/>
      <c r="AF65" s="1607"/>
      <c r="AG65" s="1607"/>
      <c r="AH65" s="1607"/>
      <c r="AI65" s="1607"/>
      <c r="AJ65" s="1607"/>
      <c r="AK65" s="1607"/>
      <c r="AL65" s="1607"/>
      <c r="AM65" s="1607"/>
      <c r="AN65" s="1607"/>
      <c r="AO65" s="1607"/>
      <c r="AP65" s="1607"/>
      <c r="AQ65" s="1607"/>
      <c r="AR65" s="1607"/>
      <c r="AS65" s="1607"/>
      <c r="AT65" s="1607"/>
      <c r="AU65" s="1607"/>
      <c r="AV65" s="1607"/>
      <c r="AW65" s="1607"/>
      <c r="AX65" s="1607"/>
      <c r="AY65" s="1607"/>
      <c r="AZ65" s="1607"/>
      <c r="BB65" s="1671" t="s">
        <v>2034</v>
      </c>
    </row>
    <row r="66" spans="2:55" s="1192" customFormat="1" ht="14.4" x14ac:dyDescent="0.3">
      <c r="B66" s="1741" t="s">
        <v>428</v>
      </c>
      <c r="C66" s="1741"/>
      <c r="D66" s="524" t="s">
        <v>20</v>
      </c>
      <c r="E66" s="1219">
        <v>5.0000000000000001E-4</v>
      </c>
      <c r="G66" s="1666"/>
      <c r="H66" s="1607" t="s">
        <v>3901</v>
      </c>
      <c r="I66" s="1607" t="s">
        <v>2374</v>
      </c>
      <c r="J66" s="1607"/>
      <c r="K66" s="1607"/>
      <c r="L66" s="1607"/>
      <c r="M66" s="1607" t="s">
        <v>3909</v>
      </c>
      <c r="N66" s="1607"/>
      <c r="O66" s="1607"/>
      <c r="P66" s="1607"/>
      <c r="Q66" s="1607"/>
      <c r="R66" s="1607"/>
      <c r="S66" s="1607"/>
      <c r="T66" s="1607"/>
      <c r="U66" s="1607"/>
      <c r="V66" s="1607"/>
      <c r="W66" s="1607"/>
      <c r="X66" s="1607"/>
      <c r="Y66" s="1607"/>
      <c r="Z66" s="1608" t="s">
        <v>428</v>
      </c>
      <c r="AA66" s="1607"/>
      <c r="AB66" s="1607"/>
      <c r="AC66" s="1607"/>
      <c r="AD66" s="1607"/>
      <c r="AE66" s="1607"/>
      <c r="AF66" s="1607"/>
      <c r="AG66" s="1607"/>
      <c r="AH66" s="1607"/>
      <c r="AI66" s="1607"/>
      <c r="AJ66" s="1607"/>
      <c r="AK66" s="1607"/>
      <c r="AL66" s="1607"/>
      <c r="AM66" s="1607"/>
      <c r="AN66" s="1607"/>
      <c r="AO66" s="1607"/>
      <c r="AP66" s="1607"/>
      <c r="AQ66" s="1607"/>
      <c r="AR66" s="1607"/>
      <c r="AS66" s="1607"/>
      <c r="AT66" s="1607"/>
      <c r="AU66" s="1607"/>
      <c r="AV66" s="1607"/>
      <c r="AW66" s="1607"/>
      <c r="AX66" s="1607"/>
      <c r="AY66" s="1607"/>
      <c r="AZ66" s="1607"/>
      <c r="BB66" s="1671" t="s">
        <v>428</v>
      </c>
    </row>
    <row r="67" spans="2:55" s="1192" customFormat="1" ht="14.4" x14ac:dyDescent="0.3">
      <c r="B67" s="1741" t="s">
        <v>28</v>
      </c>
      <c r="C67" s="1741"/>
      <c r="D67" s="524" t="s">
        <v>19</v>
      </c>
      <c r="E67" s="1218">
        <v>0.25</v>
      </c>
      <c r="G67" s="1666"/>
      <c r="H67" s="1607" t="s">
        <v>3901</v>
      </c>
      <c r="I67" s="1607" t="s">
        <v>2374</v>
      </c>
      <c r="J67" s="1607"/>
      <c r="K67" s="1607"/>
      <c r="L67" s="1607"/>
      <c r="M67" s="1607" t="s">
        <v>3910</v>
      </c>
      <c r="N67" s="1607"/>
      <c r="O67" s="1607"/>
      <c r="P67" s="1607"/>
      <c r="Q67" s="1607"/>
      <c r="R67" s="1607"/>
      <c r="S67" s="1607"/>
      <c r="T67" s="1607"/>
      <c r="U67" s="1607"/>
      <c r="V67" s="1607"/>
      <c r="W67" s="1607"/>
      <c r="X67" s="1607"/>
      <c r="Y67" s="1607"/>
      <c r="Z67" s="1608" t="s">
        <v>28</v>
      </c>
      <c r="AA67" s="1607"/>
      <c r="AB67" s="1607"/>
      <c r="AC67" s="1607"/>
      <c r="AD67" s="1607"/>
      <c r="AE67" s="1607"/>
      <c r="AF67" s="1607"/>
      <c r="AG67" s="1607"/>
      <c r="AH67" s="1607"/>
      <c r="AI67" s="1607"/>
      <c r="AJ67" s="1607"/>
      <c r="AK67" s="1607"/>
      <c r="AL67" s="1607"/>
      <c r="AM67" s="1607"/>
      <c r="AN67" s="1607"/>
      <c r="AO67" s="1607"/>
      <c r="AP67" s="1607"/>
      <c r="AQ67" s="1607"/>
      <c r="AR67" s="1607"/>
      <c r="AS67" s="1607" t="s">
        <v>603</v>
      </c>
      <c r="AT67" s="1607"/>
      <c r="AU67" s="1607"/>
      <c r="AV67" s="1607"/>
      <c r="AW67" s="1607"/>
      <c r="AX67" s="1607"/>
      <c r="AY67" s="1607"/>
      <c r="AZ67" s="1607"/>
      <c r="BB67" s="1671" t="s">
        <v>28</v>
      </c>
    </row>
    <row r="68" spans="2:55" s="1464" customFormat="1" ht="18" x14ac:dyDescent="0.35">
      <c r="B68" s="1746" t="s">
        <v>611</v>
      </c>
      <c r="C68" s="1747"/>
      <c r="D68" s="1747"/>
      <c r="E68" s="1747"/>
      <c r="G68" s="1468"/>
      <c r="H68" s="1607" t="s">
        <v>2708</v>
      </c>
      <c r="I68" s="1607"/>
      <c r="J68" s="1607"/>
      <c r="K68" s="1607"/>
      <c r="L68" s="1607"/>
      <c r="M68" s="1607"/>
      <c r="N68" s="1607"/>
      <c r="O68" s="1607"/>
      <c r="P68" s="1607"/>
      <c r="Q68" s="1607"/>
      <c r="R68" s="1607"/>
      <c r="S68" s="1607"/>
      <c r="T68" s="1607"/>
      <c r="U68" s="1607"/>
      <c r="V68" s="1607"/>
      <c r="W68" s="1607"/>
      <c r="X68" s="1607"/>
      <c r="Y68" s="1607"/>
      <c r="Z68" s="1607"/>
      <c r="AA68" s="1608" t="s">
        <v>611</v>
      </c>
      <c r="AB68" s="1607"/>
      <c r="AC68" s="1607"/>
      <c r="AD68" s="1607"/>
      <c r="AE68" s="1607"/>
      <c r="AF68" s="1607"/>
      <c r="AG68" s="1607"/>
      <c r="AH68" s="1607"/>
      <c r="AI68" s="1607"/>
      <c r="AJ68" s="1607"/>
      <c r="AK68" s="1607"/>
      <c r="AL68" s="1607"/>
      <c r="AM68" s="1607"/>
      <c r="AN68" s="1607"/>
      <c r="AO68" s="1607"/>
      <c r="AP68" s="1607"/>
      <c r="AQ68" s="1607"/>
      <c r="AR68" s="1607"/>
      <c r="AS68" s="1607"/>
      <c r="AT68" s="1607"/>
      <c r="AU68" s="1607"/>
      <c r="AV68" s="1607"/>
      <c r="AW68" s="1607"/>
      <c r="AX68" s="1607"/>
      <c r="AY68" s="1607"/>
      <c r="AZ68" s="1607"/>
      <c r="BC68" s="1465" t="s">
        <v>611</v>
      </c>
    </row>
    <row r="69" spans="2:55" s="1192" customFormat="1" ht="45.6" x14ac:dyDescent="0.3">
      <c r="B69" s="1743" t="s">
        <v>4406</v>
      </c>
      <c r="C69" s="1743"/>
      <c r="D69" s="1743"/>
      <c r="E69" s="1743"/>
      <c r="G69" s="1666"/>
      <c r="H69" s="1607" t="s">
        <v>2708</v>
      </c>
      <c r="I69" s="1607"/>
      <c r="J69" s="1607"/>
      <c r="K69" s="1607"/>
      <c r="L69" s="1607"/>
      <c r="M69" s="1607"/>
      <c r="N69" s="1607"/>
      <c r="O69" s="1607"/>
      <c r="P69" s="1607"/>
      <c r="Q69" s="1607"/>
      <c r="R69" s="1607"/>
      <c r="S69" s="1607"/>
      <c r="T69" s="1607"/>
      <c r="U69" s="1607"/>
      <c r="V69" s="1607"/>
      <c r="W69" s="1607"/>
      <c r="X69" s="1607"/>
      <c r="Y69" s="1607"/>
      <c r="Z69" s="1607"/>
      <c r="AA69" s="1608" t="s">
        <v>4406</v>
      </c>
      <c r="AB69" s="1607"/>
      <c r="AC69" s="1607"/>
      <c r="AD69" s="1607"/>
      <c r="AE69" s="1607"/>
      <c r="AF69" s="1607"/>
      <c r="AG69" s="1607"/>
      <c r="AH69" s="1607"/>
      <c r="AI69" s="1607"/>
      <c r="AJ69" s="1607"/>
      <c r="AK69" s="1607"/>
      <c r="AL69" s="1607"/>
      <c r="AM69" s="1607"/>
      <c r="AN69" s="1607"/>
      <c r="AO69" s="1607"/>
      <c r="AP69" s="1607"/>
      <c r="AQ69" s="1607"/>
      <c r="AR69" s="1607"/>
      <c r="AS69" s="1607"/>
      <c r="AT69" s="1607"/>
      <c r="AU69" s="1607"/>
      <c r="AV69" s="1607"/>
      <c r="AW69" s="1607"/>
      <c r="AX69" s="1607"/>
      <c r="AY69" s="1607"/>
      <c r="AZ69" s="1607"/>
      <c r="BC69" s="1670" t="s">
        <v>4406</v>
      </c>
    </row>
    <row r="70" spans="2:55" s="1192" customFormat="1" ht="11.25" customHeight="1" x14ac:dyDescent="0.3">
      <c r="B70" s="1654"/>
      <c r="C70" s="1654"/>
      <c r="D70" s="1654"/>
      <c r="E70" s="1654"/>
      <c r="G70" s="1666"/>
      <c r="H70" s="1607"/>
      <c r="I70" s="1607"/>
      <c r="J70" s="1607"/>
      <c r="K70" s="1607"/>
      <c r="L70" s="1607"/>
      <c r="M70" s="1607"/>
      <c r="N70" s="1607"/>
      <c r="O70" s="1607"/>
      <c r="P70" s="1607"/>
      <c r="Q70" s="1607"/>
      <c r="R70" s="1607"/>
      <c r="S70" s="1607"/>
      <c r="T70" s="1607"/>
      <c r="U70" s="1607"/>
      <c r="V70" s="1607"/>
      <c r="W70" s="1607"/>
      <c r="X70" s="1607"/>
      <c r="Y70" s="1607"/>
      <c r="Z70" s="1607"/>
      <c r="AA70" s="1607"/>
      <c r="AB70" s="1607"/>
      <c r="AC70" s="1607"/>
      <c r="AD70" s="1607"/>
      <c r="AE70" s="1607"/>
      <c r="AF70" s="1607"/>
      <c r="AG70" s="1607"/>
      <c r="AH70" s="1607"/>
      <c r="AI70" s="1607"/>
      <c r="AJ70" s="1607"/>
      <c r="AK70" s="1607"/>
      <c r="AL70" s="1607"/>
      <c r="AM70" s="1607"/>
      <c r="AN70" s="1607"/>
      <c r="AO70" s="1607"/>
      <c r="AP70" s="1607"/>
      <c r="AQ70" s="1607"/>
      <c r="AR70" s="1607"/>
      <c r="AS70" s="1607"/>
      <c r="AT70" s="1607"/>
      <c r="AU70" s="1607"/>
      <c r="AV70" s="1607"/>
      <c r="AW70" s="1607"/>
      <c r="AX70" s="1607"/>
      <c r="AY70" s="1607"/>
      <c r="AZ70" s="1607"/>
    </row>
    <row r="71" spans="2:55" s="1192" customFormat="1" ht="14.4" x14ac:dyDescent="0.3">
      <c r="B71" s="1750" t="s">
        <v>2389</v>
      </c>
      <c r="C71" s="1743"/>
      <c r="D71" s="1743"/>
      <c r="E71" s="1743"/>
      <c r="G71" s="1666"/>
      <c r="H71" s="1607" t="s">
        <v>2422</v>
      </c>
      <c r="I71" s="1607"/>
      <c r="J71" s="1607"/>
      <c r="K71" s="1607"/>
      <c r="L71" s="1607"/>
      <c r="M71" s="1607"/>
      <c r="N71" s="1607"/>
      <c r="O71" s="1607"/>
      <c r="P71" s="1607"/>
      <c r="Q71" s="1607"/>
      <c r="R71" s="1607"/>
      <c r="S71" s="1607"/>
      <c r="T71" s="1607"/>
      <c r="U71" s="1607"/>
      <c r="V71" s="1607"/>
      <c r="W71" s="1607"/>
      <c r="X71" s="1607"/>
      <c r="Y71" s="1607"/>
      <c r="Z71" s="1607"/>
      <c r="AA71" s="1608" t="s">
        <v>2389</v>
      </c>
      <c r="AB71" s="1607"/>
      <c r="AC71" s="1607"/>
      <c r="AD71" s="1607"/>
      <c r="AE71" s="1607"/>
      <c r="AF71" s="1607"/>
      <c r="AG71" s="1607"/>
      <c r="AH71" s="1607"/>
      <c r="AI71" s="1607"/>
      <c r="AJ71" s="1607"/>
      <c r="AK71" s="1607"/>
      <c r="AL71" s="1607"/>
      <c r="AM71" s="1607"/>
      <c r="AN71" s="1607"/>
      <c r="AO71" s="1607"/>
      <c r="AP71" s="1607"/>
      <c r="AQ71" s="1607"/>
      <c r="AR71" s="1607"/>
      <c r="AS71" s="1607"/>
      <c r="AT71" s="1607"/>
      <c r="AU71" s="1607"/>
      <c r="AV71" s="1607"/>
      <c r="AW71" s="1607"/>
      <c r="AX71" s="1607"/>
      <c r="AY71" s="1607"/>
      <c r="AZ71" s="1607"/>
      <c r="BC71" s="1467" t="s">
        <v>2389</v>
      </c>
    </row>
    <row r="72" spans="2:55" s="1192" customFormat="1" ht="11.25" customHeight="1" x14ac:dyDescent="0.3">
      <c r="B72" s="1659"/>
      <c r="C72" s="1654"/>
      <c r="D72" s="1654"/>
      <c r="E72" s="1654"/>
      <c r="G72" s="1666"/>
      <c r="H72" s="1607"/>
      <c r="I72" s="1607"/>
      <c r="J72" s="1607"/>
      <c r="K72" s="1607"/>
      <c r="L72" s="1607"/>
      <c r="M72" s="1607"/>
      <c r="N72" s="1607"/>
      <c r="O72" s="1607"/>
      <c r="P72" s="1607"/>
      <c r="Q72" s="1607"/>
      <c r="R72" s="1607"/>
      <c r="S72" s="1607"/>
      <c r="T72" s="1607"/>
      <c r="U72" s="1607"/>
      <c r="V72" s="1607"/>
      <c r="W72" s="1607"/>
      <c r="X72" s="1607"/>
      <c r="Y72" s="1607"/>
      <c r="Z72" s="1607"/>
      <c r="AA72" s="1607"/>
      <c r="AB72" s="1607"/>
      <c r="AC72" s="1607"/>
      <c r="AD72" s="1607"/>
      <c r="AE72" s="1607"/>
      <c r="AF72" s="1607"/>
      <c r="AG72" s="1607"/>
      <c r="AH72" s="1607"/>
      <c r="AI72" s="1607"/>
      <c r="AJ72" s="1607"/>
      <c r="AK72" s="1607"/>
      <c r="AL72" s="1607"/>
      <c r="AM72" s="1607"/>
      <c r="AN72" s="1607"/>
      <c r="AO72" s="1607"/>
      <c r="AP72" s="1607"/>
      <c r="AQ72" s="1607"/>
      <c r="AR72" s="1607"/>
      <c r="AS72" s="1607"/>
      <c r="AT72" s="1607"/>
      <c r="AU72" s="1607"/>
      <c r="AV72" s="1607"/>
      <c r="AW72" s="1607"/>
      <c r="AX72" s="1607"/>
      <c r="AY72" s="1607"/>
      <c r="AZ72" s="1607"/>
    </row>
    <row r="73" spans="2:55" s="1192" customFormat="1" ht="34.200000000000003" x14ac:dyDescent="0.3">
      <c r="B73" s="1743" t="s">
        <v>2391</v>
      </c>
      <c r="C73" s="1743"/>
      <c r="D73" s="1743"/>
      <c r="E73" s="1743"/>
      <c r="G73" s="1666"/>
      <c r="H73" s="1607" t="s">
        <v>2708</v>
      </c>
      <c r="I73" s="1607"/>
      <c r="J73" s="1607"/>
      <c r="K73" s="1607"/>
      <c r="L73" s="1607"/>
      <c r="M73" s="1607"/>
      <c r="N73" s="1607"/>
      <c r="O73" s="1607"/>
      <c r="P73" s="1607"/>
      <c r="Q73" s="1607"/>
      <c r="R73" s="1607"/>
      <c r="S73" s="1607"/>
      <c r="T73" s="1607"/>
      <c r="U73" s="1607"/>
      <c r="V73" s="1607"/>
      <c r="W73" s="1607"/>
      <c r="X73" s="1607"/>
      <c r="Y73" s="1607"/>
      <c r="Z73" s="1607"/>
      <c r="AA73" s="1608" t="s">
        <v>2391</v>
      </c>
      <c r="AB73" s="1607"/>
      <c r="AC73" s="1607"/>
      <c r="AD73" s="1607"/>
      <c r="AE73" s="1607"/>
      <c r="AF73" s="1607"/>
      <c r="AG73" s="1607"/>
      <c r="AH73" s="1607"/>
      <c r="AI73" s="1607"/>
      <c r="AJ73" s="1607"/>
      <c r="AK73" s="1607"/>
      <c r="AL73" s="1607"/>
      <c r="AM73" s="1607"/>
      <c r="AN73" s="1607"/>
      <c r="AO73" s="1607"/>
      <c r="AP73" s="1607"/>
      <c r="AQ73" s="1607"/>
      <c r="AR73" s="1607"/>
      <c r="AS73" s="1607"/>
      <c r="AT73" s="1607"/>
      <c r="AU73" s="1607"/>
      <c r="AV73" s="1607"/>
      <c r="AW73" s="1607"/>
      <c r="AX73" s="1607"/>
      <c r="AY73" s="1607"/>
      <c r="AZ73" s="1607"/>
      <c r="BC73" s="1670" t="s">
        <v>2391</v>
      </c>
    </row>
    <row r="74" spans="2:55" s="1192" customFormat="1" ht="11.25" customHeight="1" x14ac:dyDescent="0.3">
      <c r="B74" s="1654"/>
      <c r="C74" s="1654"/>
      <c r="D74" s="1654"/>
      <c r="E74" s="1654"/>
      <c r="G74" s="1666"/>
      <c r="H74" s="1607"/>
      <c r="I74" s="1607"/>
      <c r="J74" s="1607"/>
      <c r="K74" s="1607"/>
      <c r="L74" s="1607"/>
      <c r="M74" s="1607"/>
      <c r="N74" s="1607"/>
      <c r="O74" s="1607"/>
      <c r="P74" s="1607"/>
      <c r="Q74" s="1607"/>
      <c r="R74" s="1607"/>
      <c r="S74" s="1607"/>
      <c r="T74" s="1607"/>
      <c r="U74" s="1607"/>
      <c r="V74" s="1607"/>
      <c r="W74" s="1607"/>
      <c r="X74" s="1607"/>
      <c r="Y74" s="1607"/>
      <c r="Z74" s="1607"/>
      <c r="AA74" s="1607"/>
      <c r="AB74" s="1607"/>
      <c r="AC74" s="1607"/>
      <c r="AD74" s="1607"/>
      <c r="AE74" s="1607"/>
      <c r="AF74" s="1607"/>
      <c r="AG74" s="1607"/>
      <c r="AH74" s="1607"/>
      <c r="AI74" s="1607"/>
      <c r="AJ74" s="1607"/>
      <c r="AK74" s="1607"/>
      <c r="AL74" s="1607"/>
      <c r="AM74" s="1607"/>
      <c r="AN74" s="1607"/>
      <c r="AO74" s="1607"/>
      <c r="AP74" s="1607"/>
      <c r="AQ74" s="1607"/>
      <c r="AR74" s="1607"/>
      <c r="AS74" s="1607"/>
      <c r="AT74" s="1607"/>
      <c r="AU74" s="1607"/>
      <c r="AV74" s="1607"/>
      <c r="AW74" s="1607"/>
      <c r="AX74" s="1607"/>
      <c r="AY74" s="1607"/>
      <c r="AZ74" s="1607"/>
    </row>
    <row r="75" spans="2:55" s="1192" customFormat="1" ht="45.6" x14ac:dyDescent="0.3">
      <c r="B75" s="1743" t="s">
        <v>2392</v>
      </c>
      <c r="C75" s="1743"/>
      <c r="D75" s="1743"/>
      <c r="E75" s="1743"/>
      <c r="G75" s="1666"/>
      <c r="H75" s="1607" t="s">
        <v>2708</v>
      </c>
      <c r="I75" s="1607"/>
      <c r="J75" s="1607"/>
      <c r="K75" s="1607"/>
      <c r="L75" s="1607"/>
      <c r="M75" s="1607"/>
      <c r="N75" s="1607"/>
      <c r="O75" s="1607"/>
      <c r="P75" s="1607"/>
      <c r="Q75" s="1607"/>
      <c r="R75" s="1607"/>
      <c r="S75" s="1607"/>
      <c r="T75" s="1607"/>
      <c r="U75" s="1607"/>
      <c r="V75" s="1607"/>
      <c r="W75" s="1607"/>
      <c r="X75" s="1607"/>
      <c r="Y75" s="1607"/>
      <c r="Z75" s="1607"/>
      <c r="AA75" s="1608" t="s">
        <v>2392</v>
      </c>
      <c r="AB75" s="1607"/>
      <c r="AC75" s="1607"/>
      <c r="AD75" s="1607"/>
      <c r="AE75" s="1607"/>
      <c r="AF75" s="1607"/>
      <c r="AG75" s="1607"/>
      <c r="AH75" s="1607"/>
      <c r="AI75" s="1607"/>
      <c r="AJ75" s="1607"/>
      <c r="AK75" s="1607"/>
      <c r="AL75" s="1607"/>
      <c r="AM75" s="1607"/>
      <c r="AN75" s="1607"/>
      <c r="AO75" s="1607"/>
      <c r="AP75" s="1607"/>
      <c r="AQ75" s="1607"/>
      <c r="AR75" s="1607"/>
      <c r="AS75" s="1607"/>
      <c r="AT75" s="1607"/>
      <c r="AU75" s="1607"/>
      <c r="AV75" s="1607"/>
      <c r="AW75" s="1607"/>
      <c r="AX75" s="1607"/>
      <c r="AY75" s="1607"/>
      <c r="AZ75" s="1607"/>
      <c r="BC75" s="1670" t="s">
        <v>2392</v>
      </c>
    </row>
    <row r="76" spans="2:55" s="1192" customFormat="1" ht="11.25" customHeight="1" x14ac:dyDescent="0.3">
      <c r="B76" s="1654"/>
      <c r="C76" s="1654"/>
      <c r="D76" s="1654"/>
      <c r="E76" s="1654"/>
      <c r="G76" s="1666"/>
      <c r="H76" s="1607"/>
      <c r="I76" s="1607"/>
      <c r="J76" s="1607"/>
      <c r="K76" s="1607"/>
      <c r="L76" s="1607"/>
      <c r="M76" s="1607"/>
      <c r="N76" s="1607"/>
      <c r="O76" s="1607"/>
      <c r="P76" s="1607"/>
      <c r="Q76" s="1607"/>
      <c r="R76" s="1607"/>
      <c r="S76" s="1607"/>
      <c r="T76" s="1607"/>
      <c r="U76" s="1607"/>
      <c r="V76" s="1607"/>
      <c r="W76" s="1607"/>
      <c r="X76" s="1607"/>
      <c r="Y76" s="1607"/>
      <c r="Z76" s="1607"/>
      <c r="AA76" s="1607"/>
      <c r="AB76" s="1607"/>
      <c r="AC76" s="1607"/>
      <c r="AD76" s="1607"/>
      <c r="AE76" s="1607"/>
      <c r="AF76" s="1607"/>
      <c r="AG76" s="1607"/>
      <c r="AH76" s="1607"/>
      <c r="AI76" s="1607"/>
      <c r="AJ76" s="1607"/>
      <c r="AK76" s="1607"/>
      <c r="AL76" s="1607"/>
      <c r="AM76" s="1607"/>
      <c r="AN76" s="1607"/>
      <c r="AO76" s="1607"/>
      <c r="AP76" s="1607"/>
      <c r="AQ76" s="1607"/>
      <c r="AR76" s="1607"/>
      <c r="AS76" s="1607"/>
      <c r="AT76" s="1607"/>
      <c r="AU76" s="1607"/>
      <c r="AV76" s="1607"/>
      <c r="AW76" s="1607"/>
      <c r="AX76" s="1607"/>
      <c r="AY76" s="1607"/>
      <c r="AZ76" s="1607"/>
    </row>
    <row r="77" spans="2:55" s="1192" customFormat="1" ht="45.6" x14ac:dyDescent="0.3">
      <c r="B77" s="1743" t="s">
        <v>2508</v>
      </c>
      <c r="C77" s="1743"/>
      <c r="D77" s="1743"/>
      <c r="E77" s="1743"/>
      <c r="G77" s="1666"/>
      <c r="H77" s="1607" t="s">
        <v>2708</v>
      </c>
      <c r="I77" s="1607"/>
      <c r="J77" s="1607"/>
      <c r="K77" s="1607"/>
      <c r="L77" s="1607"/>
      <c r="M77" s="1607"/>
      <c r="N77" s="1607"/>
      <c r="O77" s="1607"/>
      <c r="P77" s="1607"/>
      <c r="Q77" s="1607"/>
      <c r="R77" s="1607"/>
      <c r="S77" s="1607"/>
      <c r="T77" s="1607"/>
      <c r="U77" s="1607"/>
      <c r="V77" s="1607"/>
      <c r="W77" s="1607"/>
      <c r="X77" s="1607"/>
      <c r="Y77" s="1607"/>
      <c r="Z77" s="1607"/>
      <c r="AA77" s="1608" t="s">
        <v>2508</v>
      </c>
      <c r="AB77" s="1607"/>
      <c r="AC77" s="1607"/>
      <c r="AD77" s="1607"/>
      <c r="AE77" s="1607"/>
      <c r="AF77" s="1607"/>
      <c r="AG77" s="1607"/>
      <c r="AH77" s="1607"/>
      <c r="AI77" s="1607"/>
      <c r="AJ77" s="1607"/>
      <c r="AK77" s="1607"/>
      <c r="AL77" s="1607"/>
      <c r="AM77" s="1607"/>
      <c r="AN77" s="1607"/>
      <c r="AO77" s="1607"/>
      <c r="AP77" s="1607"/>
      <c r="AQ77" s="1607"/>
      <c r="AR77" s="1607"/>
      <c r="AS77" s="1607"/>
      <c r="AT77" s="1607"/>
      <c r="AU77" s="1607"/>
      <c r="AV77" s="1607"/>
      <c r="AW77" s="1607"/>
      <c r="AX77" s="1607"/>
      <c r="AY77" s="1607"/>
      <c r="AZ77" s="1607"/>
      <c r="BC77" s="1670" t="s">
        <v>2508</v>
      </c>
    </row>
    <row r="78" spans="2:55" s="1192" customFormat="1" ht="11.25" customHeight="1" x14ac:dyDescent="0.3">
      <c r="B78" s="1654"/>
      <c r="C78" s="1654"/>
      <c r="D78" s="1654"/>
      <c r="E78" s="1654"/>
      <c r="G78" s="1666"/>
      <c r="H78" s="1607"/>
      <c r="I78" s="1607"/>
      <c r="J78" s="1607"/>
      <c r="K78" s="1607"/>
      <c r="L78" s="1607"/>
      <c r="M78" s="1607"/>
      <c r="N78" s="1607"/>
      <c r="O78" s="1607"/>
      <c r="P78" s="1607"/>
      <c r="Q78" s="1607"/>
      <c r="R78" s="1607"/>
      <c r="S78" s="1607"/>
      <c r="T78" s="1607"/>
      <c r="U78" s="1607"/>
      <c r="V78" s="1607"/>
      <c r="W78" s="1607"/>
      <c r="X78" s="1607"/>
      <c r="Y78" s="1607"/>
      <c r="Z78" s="1607"/>
      <c r="AA78" s="1607"/>
      <c r="AB78" s="1607"/>
      <c r="AC78" s="1607"/>
      <c r="AD78" s="1607"/>
      <c r="AE78" s="1607"/>
      <c r="AF78" s="1607"/>
      <c r="AG78" s="1607"/>
      <c r="AH78" s="1607"/>
      <c r="AI78" s="1607"/>
      <c r="AJ78" s="1607"/>
      <c r="AK78" s="1607"/>
      <c r="AL78" s="1607"/>
      <c r="AM78" s="1607"/>
      <c r="AN78" s="1607"/>
      <c r="AO78" s="1607"/>
      <c r="AP78" s="1607"/>
      <c r="AQ78" s="1607"/>
      <c r="AR78" s="1607"/>
      <c r="AS78" s="1607"/>
      <c r="AT78" s="1607"/>
      <c r="AU78" s="1607"/>
      <c r="AV78" s="1607"/>
      <c r="AW78" s="1607"/>
      <c r="AX78" s="1607"/>
      <c r="AY78" s="1607"/>
      <c r="AZ78" s="1607"/>
    </row>
    <row r="79" spans="2:55" s="1192" customFormat="1" ht="68.400000000000006" x14ac:dyDescent="0.3">
      <c r="B79" s="1751" t="s">
        <v>4503</v>
      </c>
      <c r="C79" s="1751"/>
      <c r="D79" s="1751"/>
      <c r="E79" s="1751"/>
      <c r="G79" s="1666"/>
      <c r="H79" s="1607" t="s">
        <v>2708</v>
      </c>
      <c r="I79" s="1607"/>
      <c r="J79" s="1607"/>
      <c r="K79" s="1607"/>
      <c r="L79" s="1607"/>
      <c r="M79" s="1607"/>
      <c r="N79" s="1607"/>
      <c r="O79" s="1607"/>
      <c r="P79" s="1607"/>
      <c r="Q79" s="1607"/>
      <c r="R79" s="1607"/>
      <c r="S79" s="1607"/>
      <c r="T79" s="1607"/>
      <c r="U79" s="1607"/>
      <c r="V79" s="1607"/>
      <c r="W79" s="1607"/>
      <c r="X79" s="1607"/>
      <c r="Y79" s="1607"/>
      <c r="Z79" s="1607"/>
      <c r="AA79" s="1608" t="s">
        <v>4503</v>
      </c>
      <c r="AB79" s="1607"/>
      <c r="AC79" s="1607"/>
      <c r="AD79" s="1607"/>
      <c r="AE79" s="1607"/>
      <c r="AF79" s="1607"/>
      <c r="AG79" s="1607"/>
      <c r="AH79" s="1607"/>
      <c r="AI79" s="1607"/>
      <c r="AJ79" s="1607"/>
      <c r="AK79" s="1607"/>
      <c r="AL79" s="1607"/>
      <c r="AM79" s="1607"/>
      <c r="AN79" s="1607"/>
      <c r="AO79" s="1607"/>
      <c r="AP79" s="1607"/>
      <c r="AQ79" s="1607"/>
      <c r="AR79" s="1607"/>
      <c r="AS79" s="1607"/>
      <c r="AT79" s="1607"/>
      <c r="AU79" s="1607"/>
      <c r="AV79" s="1607"/>
      <c r="AW79" s="1607"/>
      <c r="AX79" s="1607"/>
      <c r="AY79" s="1607"/>
      <c r="AZ79" s="1607"/>
      <c r="BC79" s="1670" t="s">
        <v>4503</v>
      </c>
    </row>
    <row r="80" spans="2:55" s="1192" customFormat="1" ht="11.25" customHeight="1" x14ac:dyDescent="0.3">
      <c r="B80" s="1660"/>
      <c r="C80" s="1660"/>
      <c r="D80" s="1660"/>
      <c r="E80" s="1660"/>
      <c r="G80" s="1666"/>
      <c r="H80" s="1607"/>
      <c r="I80" s="1607"/>
      <c r="J80" s="1607"/>
      <c r="K80" s="1607"/>
      <c r="L80" s="1607"/>
      <c r="M80" s="1607"/>
      <c r="N80" s="1607"/>
      <c r="O80" s="1607"/>
      <c r="P80" s="1607"/>
      <c r="Q80" s="1607"/>
      <c r="R80" s="1607"/>
      <c r="S80" s="1607"/>
      <c r="T80" s="1607"/>
      <c r="U80" s="1607"/>
      <c r="V80" s="1607"/>
      <c r="W80" s="1607"/>
      <c r="X80" s="1607"/>
      <c r="Y80" s="1607"/>
      <c r="Z80" s="1607"/>
      <c r="AA80" s="1607"/>
      <c r="AB80" s="1607"/>
      <c r="AC80" s="1607"/>
      <c r="AD80" s="1607"/>
      <c r="AE80" s="1607"/>
      <c r="AF80" s="1607"/>
      <c r="AG80" s="1607"/>
      <c r="AH80" s="1607"/>
      <c r="AI80" s="1607"/>
      <c r="AJ80" s="1607"/>
      <c r="AK80" s="1607"/>
      <c r="AL80" s="1607"/>
      <c r="AM80" s="1607"/>
      <c r="AN80" s="1607"/>
      <c r="AO80" s="1607"/>
      <c r="AP80" s="1607"/>
      <c r="AQ80" s="1607"/>
      <c r="AR80" s="1607"/>
      <c r="AS80" s="1607"/>
      <c r="AT80" s="1607"/>
      <c r="AU80" s="1607"/>
      <c r="AV80" s="1607"/>
      <c r="AW80" s="1607"/>
      <c r="AX80" s="1607"/>
      <c r="AY80" s="1607"/>
      <c r="AZ80" s="1607"/>
    </row>
    <row r="81" spans="2:55" s="1192" customFormat="1" ht="68.400000000000006" x14ac:dyDescent="0.3">
      <c r="B81" s="1743" t="s">
        <v>4644</v>
      </c>
      <c r="C81" s="1743"/>
      <c r="D81" s="1743"/>
      <c r="E81" s="1743"/>
      <c r="G81" s="1666"/>
      <c r="H81" s="1607" t="s">
        <v>2708</v>
      </c>
      <c r="I81" s="1607"/>
      <c r="J81" s="1607"/>
      <c r="K81" s="1607"/>
      <c r="L81" s="1607"/>
      <c r="M81" s="1607"/>
      <c r="N81" s="1607"/>
      <c r="O81" s="1607"/>
      <c r="P81" s="1607"/>
      <c r="Q81" s="1607"/>
      <c r="R81" s="1607"/>
      <c r="S81" s="1607"/>
      <c r="T81" s="1607"/>
      <c r="U81" s="1607"/>
      <c r="V81" s="1607"/>
      <c r="W81" s="1607"/>
      <c r="X81" s="1607"/>
      <c r="Y81" s="1607"/>
      <c r="Z81" s="1607"/>
      <c r="AA81" s="1608" t="s">
        <v>4644</v>
      </c>
      <c r="AB81" s="1607"/>
      <c r="AC81" s="1607"/>
      <c r="AD81" s="1607"/>
      <c r="AE81" s="1607"/>
      <c r="AF81" s="1607"/>
      <c r="AG81" s="1607"/>
      <c r="AH81" s="1607"/>
      <c r="AI81" s="1607"/>
      <c r="AJ81" s="1607"/>
      <c r="AK81" s="1607"/>
      <c r="AL81" s="1607"/>
      <c r="AM81" s="1607"/>
      <c r="AN81" s="1607"/>
      <c r="AO81" s="1607"/>
      <c r="AP81" s="1607"/>
      <c r="AQ81" s="1607"/>
      <c r="AR81" s="1607"/>
      <c r="AS81" s="1607"/>
      <c r="AT81" s="1607"/>
      <c r="AU81" s="1607"/>
      <c r="AV81" s="1607"/>
      <c r="AW81" s="1607"/>
      <c r="AX81" s="1607"/>
      <c r="AY81" s="1607"/>
      <c r="AZ81" s="1607"/>
      <c r="BC81" s="1670" t="s">
        <v>4644</v>
      </c>
    </row>
    <row r="82" spans="2:55" s="1192" customFormat="1" ht="11.25" customHeight="1" x14ac:dyDescent="0.3">
      <c r="B82" s="1654"/>
      <c r="C82" s="1654"/>
      <c r="D82" s="1654"/>
      <c r="E82" s="1654"/>
      <c r="G82" s="1666"/>
      <c r="H82" s="1607"/>
      <c r="I82" s="1607"/>
      <c r="J82" s="1607"/>
      <c r="K82" s="1607"/>
      <c r="L82" s="1607"/>
      <c r="M82" s="1607"/>
      <c r="N82" s="1607"/>
      <c r="O82" s="1607"/>
      <c r="P82" s="1607"/>
      <c r="Q82" s="1607"/>
      <c r="R82" s="1607"/>
      <c r="S82" s="1607"/>
      <c r="T82" s="1607"/>
      <c r="U82" s="1607"/>
      <c r="V82" s="1607"/>
      <c r="W82" s="1607"/>
      <c r="X82" s="1607"/>
      <c r="Y82" s="1607"/>
      <c r="Z82" s="1607"/>
      <c r="AA82" s="1607"/>
      <c r="AB82" s="1607"/>
      <c r="AC82" s="1607"/>
      <c r="AD82" s="1607"/>
      <c r="AE82" s="1607"/>
      <c r="AF82" s="1607"/>
      <c r="AG82" s="1607"/>
      <c r="AH82" s="1607"/>
      <c r="AI82" s="1607"/>
      <c r="AJ82" s="1607"/>
      <c r="AK82" s="1607"/>
      <c r="AL82" s="1607"/>
      <c r="AM82" s="1607"/>
      <c r="AN82" s="1607"/>
      <c r="AO82" s="1607"/>
      <c r="AP82" s="1607"/>
      <c r="AQ82" s="1607"/>
      <c r="AR82" s="1607"/>
      <c r="AS82" s="1607"/>
      <c r="AT82" s="1607"/>
      <c r="AU82" s="1607"/>
      <c r="AV82" s="1607"/>
      <c r="AW82" s="1607"/>
      <c r="AX82" s="1607"/>
      <c r="AY82" s="1607"/>
      <c r="AZ82" s="1607"/>
    </row>
    <row r="83" spans="2:55" s="1192" customFormat="1" ht="34.200000000000003" x14ac:dyDescent="0.3">
      <c r="B83" s="1743" t="s">
        <v>4500</v>
      </c>
      <c r="C83" s="1743"/>
      <c r="D83" s="1743"/>
      <c r="E83" s="1743"/>
      <c r="G83" s="1666"/>
      <c r="H83" s="1607" t="s">
        <v>2708</v>
      </c>
      <c r="I83" s="1607"/>
      <c r="J83" s="1607"/>
      <c r="K83" s="1607"/>
      <c r="L83" s="1607"/>
      <c r="M83" s="1607"/>
      <c r="N83" s="1607"/>
      <c r="O83" s="1607"/>
      <c r="P83" s="1607"/>
      <c r="Q83" s="1607"/>
      <c r="R83" s="1607"/>
      <c r="S83" s="1607"/>
      <c r="T83" s="1607"/>
      <c r="U83" s="1607"/>
      <c r="V83" s="1607"/>
      <c r="W83" s="1607"/>
      <c r="X83" s="1607"/>
      <c r="Y83" s="1607"/>
      <c r="Z83" s="1607"/>
      <c r="AA83" s="1608" t="s">
        <v>4500</v>
      </c>
      <c r="AB83" s="1607"/>
      <c r="AC83" s="1607"/>
      <c r="AD83" s="1607"/>
      <c r="AE83" s="1607"/>
      <c r="AF83" s="1607"/>
      <c r="AG83" s="1607"/>
      <c r="AH83" s="1607"/>
      <c r="AI83" s="1607"/>
      <c r="AJ83" s="1607"/>
      <c r="AK83" s="1607"/>
      <c r="AL83" s="1607"/>
      <c r="AM83" s="1607"/>
      <c r="AN83" s="1607"/>
      <c r="AO83" s="1607"/>
      <c r="AP83" s="1607"/>
      <c r="AQ83" s="1607"/>
      <c r="AR83" s="1607"/>
      <c r="AS83" s="1607"/>
      <c r="AT83" s="1607"/>
      <c r="AU83" s="1607"/>
      <c r="AV83" s="1607"/>
      <c r="AW83" s="1607"/>
      <c r="AX83" s="1607"/>
      <c r="AY83" s="1607"/>
      <c r="AZ83" s="1607"/>
      <c r="BC83" s="1670" t="s">
        <v>4500</v>
      </c>
    </row>
    <row r="84" spans="2:55" s="1192" customFormat="1" ht="11.25" customHeight="1" x14ac:dyDescent="0.3">
      <c r="B84" s="1654"/>
      <c r="C84" s="1654"/>
      <c r="D84" s="1654"/>
      <c r="E84" s="1654"/>
      <c r="G84" s="1666"/>
      <c r="H84" s="1607"/>
      <c r="I84" s="1607"/>
      <c r="J84" s="1607"/>
      <c r="K84" s="1607"/>
      <c r="L84" s="1607"/>
      <c r="M84" s="1607"/>
      <c r="N84" s="1607"/>
      <c r="O84" s="1607"/>
      <c r="P84" s="1607"/>
      <c r="Q84" s="1607"/>
      <c r="R84" s="1607"/>
      <c r="S84" s="1607"/>
      <c r="T84" s="1607"/>
      <c r="U84" s="1607"/>
      <c r="V84" s="1607"/>
      <c r="W84" s="1607"/>
      <c r="X84" s="1607"/>
      <c r="Y84" s="1607"/>
      <c r="Z84" s="1607"/>
      <c r="AA84" s="1607"/>
      <c r="AB84" s="1607"/>
      <c r="AC84" s="1607"/>
      <c r="AD84" s="1607"/>
      <c r="AE84" s="1607"/>
      <c r="AF84" s="1607"/>
      <c r="AG84" s="1607"/>
      <c r="AH84" s="1607"/>
      <c r="AI84" s="1607"/>
      <c r="AJ84" s="1607"/>
      <c r="AK84" s="1607"/>
      <c r="AL84" s="1607"/>
      <c r="AM84" s="1607"/>
      <c r="AN84" s="1607"/>
      <c r="AO84" s="1607"/>
      <c r="AP84" s="1607"/>
      <c r="AQ84" s="1607"/>
      <c r="AR84" s="1607"/>
      <c r="AS84" s="1607"/>
      <c r="AT84" s="1607"/>
      <c r="AU84" s="1607"/>
      <c r="AV84" s="1607"/>
      <c r="AW84" s="1607"/>
      <c r="AX84" s="1607"/>
      <c r="AY84" s="1607"/>
      <c r="AZ84" s="1607"/>
    </row>
    <row r="85" spans="2:55" s="1192" customFormat="1" ht="14.4" x14ac:dyDescent="0.3">
      <c r="B85" s="1750" t="s">
        <v>2394</v>
      </c>
      <c r="C85" s="1743"/>
      <c r="D85" s="1743"/>
      <c r="E85" s="1743"/>
      <c r="G85" s="1666"/>
      <c r="H85" s="1607" t="s">
        <v>2423</v>
      </c>
      <c r="I85" s="1607"/>
      <c r="J85" s="1607"/>
      <c r="K85" s="1607"/>
      <c r="L85" s="1607"/>
      <c r="M85" s="1607"/>
      <c r="N85" s="1607"/>
      <c r="O85" s="1607"/>
      <c r="P85" s="1607"/>
      <c r="Q85" s="1607"/>
      <c r="R85" s="1607"/>
      <c r="S85" s="1607"/>
      <c r="T85" s="1607"/>
      <c r="U85" s="1607"/>
      <c r="V85" s="1607"/>
      <c r="W85" s="1607"/>
      <c r="X85" s="1607"/>
      <c r="Y85" s="1607"/>
      <c r="Z85" s="1607"/>
      <c r="AA85" s="1608" t="s">
        <v>2394</v>
      </c>
      <c r="AB85" s="1607"/>
      <c r="AC85" s="1607"/>
      <c r="AD85" s="1607"/>
      <c r="AE85" s="1607"/>
      <c r="AF85" s="1607"/>
      <c r="AG85" s="1607"/>
      <c r="AH85" s="1607"/>
      <c r="AI85" s="1607"/>
      <c r="AJ85" s="1607"/>
      <c r="AK85" s="1607"/>
      <c r="AL85" s="1607"/>
      <c r="AM85" s="1607"/>
      <c r="AN85" s="1607"/>
      <c r="AO85" s="1607"/>
      <c r="AP85" s="1607"/>
      <c r="AQ85" s="1607"/>
      <c r="AR85" s="1607"/>
      <c r="AS85" s="1607"/>
      <c r="AT85" s="1607"/>
      <c r="AU85" s="1607"/>
      <c r="AV85" s="1607"/>
      <c r="AW85" s="1607"/>
      <c r="AX85" s="1607"/>
      <c r="AY85" s="1607"/>
      <c r="AZ85" s="1607"/>
      <c r="BC85" s="1467" t="s">
        <v>2394</v>
      </c>
    </row>
    <row r="86" spans="2:55" s="1192" customFormat="1" ht="11.25" customHeight="1" x14ac:dyDescent="0.3">
      <c r="B86" s="1659"/>
      <c r="C86" s="1655"/>
      <c r="D86" s="1655"/>
      <c r="E86" s="1655"/>
      <c r="G86" s="1666"/>
      <c r="H86" s="1607"/>
      <c r="I86" s="1607"/>
      <c r="J86" s="1607"/>
      <c r="K86" s="1607"/>
      <c r="L86" s="1607"/>
      <c r="M86" s="1607"/>
      <c r="N86" s="1607"/>
      <c r="O86" s="1607"/>
      <c r="P86" s="1607"/>
      <c r="Q86" s="1607"/>
      <c r="R86" s="1607"/>
      <c r="S86" s="1607"/>
      <c r="T86" s="1607"/>
      <c r="U86" s="1607"/>
      <c r="V86" s="1607"/>
      <c r="W86" s="1607"/>
      <c r="X86" s="1607"/>
      <c r="Y86" s="1607"/>
      <c r="Z86" s="1607"/>
      <c r="AA86" s="1607"/>
      <c r="AB86" s="1607"/>
      <c r="AC86" s="1607"/>
      <c r="AD86" s="1607"/>
      <c r="AE86" s="1607"/>
      <c r="AF86" s="1607"/>
      <c r="AG86" s="1607"/>
      <c r="AH86" s="1607"/>
      <c r="AI86" s="1607"/>
      <c r="AJ86" s="1607"/>
      <c r="AK86" s="1607"/>
      <c r="AL86" s="1607"/>
      <c r="AM86" s="1607"/>
      <c r="AN86" s="1607"/>
      <c r="AO86" s="1607"/>
      <c r="AP86" s="1607"/>
      <c r="AQ86" s="1607"/>
      <c r="AR86" s="1607"/>
      <c r="AS86" s="1607"/>
      <c r="AT86" s="1607"/>
      <c r="AU86" s="1607"/>
      <c r="AV86" s="1607"/>
      <c r="AW86" s="1607"/>
      <c r="AX86" s="1607"/>
      <c r="AY86" s="1607"/>
      <c r="AZ86" s="1607"/>
    </row>
    <row r="87" spans="2:55" s="1192" customFormat="1" ht="14.4" x14ac:dyDescent="0.3">
      <c r="B87" s="1741" t="s">
        <v>7</v>
      </c>
      <c r="C87" s="1741"/>
      <c r="D87" s="524" t="s">
        <v>19</v>
      </c>
      <c r="E87" s="1516">
        <v>178.14</v>
      </c>
      <c r="G87" s="1666"/>
      <c r="H87" s="1607" t="s">
        <v>2708</v>
      </c>
      <c r="I87" s="1607" t="s">
        <v>430</v>
      </c>
      <c r="J87" s="1607"/>
      <c r="K87" s="1607"/>
      <c r="L87" s="1607"/>
      <c r="M87" s="1607" t="s">
        <v>2709</v>
      </c>
      <c r="N87" s="1607"/>
      <c r="O87" s="1607"/>
      <c r="P87" s="1607"/>
      <c r="Q87" s="1607"/>
      <c r="R87" s="1607"/>
      <c r="S87" s="1607"/>
      <c r="T87" s="1607"/>
      <c r="U87" s="1607"/>
      <c r="V87" s="1607"/>
      <c r="W87" s="1607"/>
      <c r="X87" s="1607"/>
      <c r="Y87" s="1607"/>
      <c r="Z87" s="1608" t="s">
        <v>2709</v>
      </c>
      <c r="AA87" s="1607"/>
      <c r="AB87" s="1607"/>
      <c r="AC87" s="1607"/>
      <c r="AD87" s="1607"/>
      <c r="AE87" s="1607"/>
      <c r="AF87" s="1607"/>
      <c r="AG87" s="1607"/>
      <c r="AH87" s="1607"/>
      <c r="AI87" s="1607"/>
      <c r="AJ87" s="1607"/>
      <c r="AK87" s="1607"/>
      <c r="AL87" s="1607"/>
      <c r="AM87" s="1607"/>
      <c r="AN87" s="1607"/>
      <c r="AO87" s="1607"/>
      <c r="AP87" s="1607"/>
      <c r="AQ87" s="1607"/>
      <c r="AR87" s="1607"/>
      <c r="AS87" s="1607"/>
      <c r="AT87" s="1607"/>
      <c r="AU87" s="1607"/>
      <c r="AV87" s="1607"/>
      <c r="AW87" s="1607"/>
      <c r="AX87" s="1607"/>
      <c r="AY87" s="1607"/>
      <c r="AZ87" s="1607"/>
      <c r="BB87" s="1671" t="s">
        <v>7</v>
      </c>
    </row>
    <row r="88" spans="2:55" s="1192" customFormat="1" ht="14.4" x14ac:dyDescent="0.3">
      <c r="B88" s="1741" t="s">
        <v>80</v>
      </c>
      <c r="C88" s="1741"/>
      <c r="D88" s="524" t="s">
        <v>29</v>
      </c>
      <c r="E88" s="1517">
        <v>4.3874000000000004</v>
      </c>
      <c r="G88" s="1666"/>
      <c r="H88" s="1607" t="s">
        <v>2708</v>
      </c>
      <c r="I88" s="1607" t="s">
        <v>430</v>
      </c>
      <c r="J88" s="1607"/>
      <c r="K88" s="1607"/>
      <c r="L88" s="1607"/>
      <c r="M88" s="1607" t="s">
        <v>2710</v>
      </c>
      <c r="N88" s="1607"/>
      <c r="O88" s="1607"/>
      <c r="P88" s="1607"/>
      <c r="Q88" s="1607"/>
      <c r="R88" s="1607"/>
      <c r="S88" s="1607"/>
      <c r="T88" s="1607"/>
      <c r="U88" s="1607"/>
      <c r="V88" s="1607"/>
      <c r="W88" s="1607"/>
      <c r="X88" s="1607"/>
      <c r="Y88" s="1607"/>
      <c r="Z88" s="1608" t="s">
        <v>2710</v>
      </c>
      <c r="AA88" s="1607"/>
      <c r="AB88" s="1607"/>
      <c r="AC88" s="1607"/>
      <c r="AD88" s="1607"/>
      <c r="AE88" s="1607"/>
      <c r="AF88" s="1607"/>
      <c r="AG88" s="1607"/>
      <c r="AH88" s="1607"/>
      <c r="AI88" s="1607"/>
      <c r="AJ88" s="1607"/>
      <c r="AK88" s="1607"/>
      <c r="AL88" s="1607"/>
      <c r="AM88" s="1607"/>
      <c r="AN88" s="1607"/>
      <c r="AO88" s="1607"/>
      <c r="AP88" s="1607"/>
      <c r="AQ88" s="1607"/>
      <c r="AR88" s="1607"/>
      <c r="AS88" s="1607"/>
      <c r="AT88" s="1607"/>
      <c r="AU88" s="1607"/>
      <c r="AV88" s="1607"/>
      <c r="AW88" s="1607"/>
      <c r="AX88" s="1607"/>
      <c r="AY88" s="1607"/>
      <c r="AZ88" s="1607"/>
      <c r="BB88" s="1671" t="s">
        <v>80</v>
      </c>
    </row>
    <row r="89" spans="2:55" s="1192" customFormat="1" ht="14.4" x14ac:dyDescent="0.3">
      <c r="B89" s="1741" t="s">
        <v>14</v>
      </c>
      <c r="C89" s="1741"/>
      <c r="D89" s="524" t="s">
        <v>29</v>
      </c>
      <c r="E89" s="1219">
        <v>0.99870000000000003</v>
      </c>
      <c r="G89" s="1666"/>
      <c r="H89" s="1607" t="s">
        <v>2708</v>
      </c>
      <c r="I89" s="1607" t="s">
        <v>431</v>
      </c>
      <c r="J89" s="1607"/>
      <c r="K89" s="1607"/>
      <c r="L89" s="1607"/>
      <c r="M89" s="1607" t="s">
        <v>2711</v>
      </c>
      <c r="N89" s="1607"/>
      <c r="O89" s="1607"/>
      <c r="P89" s="1607"/>
      <c r="Q89" s="1607"/>
      <c r="R89" s="1607"/>
      <c r="S89" s="1607"/>
      <c r="T89" s="1607"/>
      <c r="U89" s="1607"/>
      <c r="V89" s="1607"/>
      <c r="W89" s="1607"/>
      <c r="X89" s="1607"/>
      <c r="Y89" s="1607"/>
      <c r="Z89" s="1608" t="s">
        <v>14</v>
      </c>
      <c r="AA89" s="1607"/>
      <c r="AB89" s="1607"/>
      <c r="AC89" s="1607"/>
      <c r="AD89" s="1607"/>
      <c r="AE89" s="1607"/>
      <c r="AF89" s="1607"/>
      <c r="AG89" s="1607"/>
      <c r="AH89" s="1607"/>
      <c r="AI89" s="1607"/>
      <c r="AJ89" s="1607"/>
      <c r="AK89" s="1607"/>
      <c r="AL89" s="1607"/>
      <c r="AM89" s="1607"/>
      <c r="AN89" s="1607"/>
      <c r="AO89" s="1607"/>
      <c r="AP89" s="1607"/>
      <c r="AQ89" s="1607"/>
      <c r="AR89" s="1607"/>
      <c r="AS89" s="1607"/>
      <c r="AT89" s="1607"/>
      <c r="AU89" s="1607"/>
      <c r="AV89" s="1607"/>
      <c r="AW89" s="1607"/>
      <c r="AX89" s="1607"/>
      <c r="AY89" s="1607"/>
      <c r="AZ89" s="1607"/>
      <c r="BB89" s="1671" t="s">
        <v>14</v>
      </c>
    </row>
    <row r="90" spans="2:55" s="1192" customFormat="1" ht="20.399999999999999" x14ac:dyDescent="0.3">
      <c r="B90" s="1741" t="s">
        <v>6127</v>
      </c>
      <c r="C90" s="1741"/>
      <c r="D90" s="524" t="s">
        <v>29</v>
      </c>
      <c r="E90" s="1219">
        <v>1.12E-2</v>
      </c>
      <c r="G90" s="1666"/>
      <c r="H90" s="1607" t="s">
        <v>2708</v>
      </c>
      <c r="I90" s="1607" t="s">
        <v>430</v>
      </c>
      <c r="J90" s="1607"/>
      <c r="K90" s="1607"/>
      <c r="L90" s="1607"/>
      <c r="M90" s="1607" t="s">
        <v>4407</v>
      </c>
      <c r="N90" s="1607"/>
      <c r="O90" s="1607"/>
      <c r="P90" s="1607"/>
      <c r="Q90" s="1607">
        <v>44561</v>
      </c>
      <c r="R90" s="1607"/>
      <c r="S90" s="1607"/>
      <c r="T90" s="1607"/>
      <c r="U90" s="1607"/>
      <c r="V90" s="1607"/>
      <c r="W90" s="1607"/>
      <c r="X90" s="1607"/>
      <c r="Y90" s="1607"/>
      <c r="Z90" s="1608" t="s">
        <v>6127</v>
      </c>
      <c r="AA90" s="1607"/>
      <c r="AB90" s="1607"/>
      <c r="AC90" s="1607"/>
      <c r="AD90" s="1607"/>
      <c r="AE90" s="1607"/>
      <c r="AF90" s="1607"/>
      <c r="AG90" s="1607"/>
      <c r="AH90" s="1607"/>
      <c r="AI90" s="1607"/>
      <c r="AJ90" s="1607"/>
      <c r="AK90" s="1607"/>
      <c r="AL90" s="1607"/>
      <c r="AM90" s="1607"/>
      <c r="AN90" s="1607"/>
      <c r="AO90" s="1607"/>
      <c r="AP90" s="1607"/>
      <c r="AQ90" s="1607"/>
      <c r="AR90" s="1607"/>
      <c r="AS90" s="1607"/>
      <c r="AT90" s="1607"/>
      <c r="AU90" s="1607"/>
      <c r="AV90" s="1607"/>
      <c r="AW90" s="1607"/>
      <c r="AX90" s="1607"/>
      <c r="AY90" s="1607"/>
      <c r="AZ90" s="1607"/>
      <c r="BB90" s="1671" t="s">
        <v>6127</v>
      </c>
    </row>
    <row r="91" spans="2:55" s="1192" customFormat="1" ht="14.4" x14ac:dyDescent="0.3">
      <c r="B91" s="1741" t="s">
        <v>4536</v>
      </c>
      <c r="C91" s="1741"/>
      <c r="D91" s="524" t="s">
        <v>29</v>
      </c>
      <c r="E91" s="1219">
        <v>-9.9900000000000003E-2</v>
      </c>
      <c r="G91" s="1666" t="s">
        <v>603</v>
      </c>
      <c r="H91" s="1607" t="s">
        <v>2708</v>
      </c>
      <c r="I91" s="1607" t="s">
        <v>430</v>
      </c>
      <c r="J91" s="1607"/>
      <c r="K91" s="1607"/>
      <c r="L91" s="1607"/>
      <c r="M91" s="1607" t="s">
        <v>6129</v>
      </c>
      <c r="N91" s="1607"/>
      <c r="O91" s="1607"/>
      <c r="P91" s="1607"/>
      <c r="Q91" s="1607">
        <v>44561</v>
      </c>
      <c r="R91" s="1607"/>
      <c r="S91" s="1607"/>
      <c r="T91" s="1607"/>
      <c r="U91" s="1607"/>
      <c r="V91" s="1607"/>
      <c r="W91" s="1607"/>
      <c r="X91" s="1607"/>
      <c r="Y91" s="1607"/>
      <c r="Z91" s="1608" t="s">
        <v>4536</v>
      </c>
      <c r="AA91" s="1607"/>
      <c r="AB91" s="1607"/>
      <c r="AC91" s="1607"/>
      <c r="AD91" s="1607"/>
      <c r="AE91" s="1607"/>
      <c r="AF91" s="1607"/>
      <c r="AG91" s="1607"/>
      <c r="AH91" s="1607"/>
      <c r="AI91" s="1607"/>
      <c r="AJ91" s="1607"/>
      <c r="AK91" s="1607"/>
      <c r="AL91" s="1607"/>
      <c r="AM91" s="1607"/>
      <c r="AN91" s="1607"/>
      <c r="AO91" s="1607"/>
      <c r="AP91" s="1607"/>
      <c r="AQ91" s="1607"/>
      <c r="AR91" s="1607"/>
      <c r="AS91" s="1607"/>
      <c r="AT91" s="1607"/>
      <c r="AU91" s="1607"/>
      <c r="AV91" s="1607"/>
      <c r="AW91" s="1607"/>
      <c r="AX91" s="1607"/>
      <c r="AY91" s="1607"/>
      <c r="AZ91" s="1607"/>
      <c r="BB91" s="1671" t="s">
        <v>4536</v>
      </c>
    </row>
    <row r="92" spans="2:55" s="1192" customFormat="1" ht="20.399999999999999" x14ac:dyDescent="0.3">
      <c r="B92" s="1741" t="s">
        <v>4539</v>
      </c>
      <c r="C92" s="1741"/>
      <c r="D92" s="524" t="s">
        <v>29</v>
      </c>
      <c r="E92" s="1219">
        <v>-5.1900000000000002E-2</v>
      </c>
      <c r="G92" s="1666" t="s">
        <v>7382</v>
      </c>
      <c r="H92" s="1607" t="s">
        <v>2708</v>
      </c>
      <c r="I92" s="1607" t="s">
        <v>430</v>
      </c>
      <c r="J92" s="1607"/>
      <c r="K92" s="1607"/>
      <c r="L92" s="1607"/>
      <c r="M92" s="1607" t="s">
        <v>6130</v>
      </c>
      <c r="N92" s="1607"/>
      <c r="O92" s="1607"/>
      <c r="P92" s="1607"/>
      <c r="Q92" s="1607"/>
      <c r="R92" s="1607"/>
      <c r="S92" s="1607"/>
      <c r="T92" s="1607"/>
      <c r="U92" s="1607"/>
      <c r="V92" s="1607"/>
      <c r="W92" s="1607"/>
      <c r="X92" s="1607"/>
      <c r="Y92" s="1607"/>
      <c r="Z92" s="1608" t="s">
        <v>4539</v>
      </c>
      <c r="AA92" s="1607"/>
      <c r="AB92" s="1607"/>
      <c r="AC92" s="1607"/>
      <c r="AD92" s="1607"/>
      <c r="AE92" s="1607"/>
      <c r="AF92" s="1607"/>
      <c r="AG92" s="1607"/>
      <c r="AH92" s="1607"/>
      <c r="AI92" s="1607"/>
      <c r="AJ92" s="1607"/>
      <c r="AK92" s="1607"/>
      <c r="AL92" s="1607"/>
      <c r="AM92" s="1607"/>
      <c r="AN92" s="1607"/>
      <c r="AO92" s="1607"/>
      <c r="AP92" s="1607"/>
      <c r="AQ92" s="1607"/>
      <c r="AR92" s="1607"/>
      <c r="AS92" s="1607"/>
      <c r="AT92" s="1607"/>
      <c r="AU92" s="1607"/>
      <c r="AV92" s="1607"/>
      <c r="AW92" s="1607"/>
      <c r="AX92" s="1607"/>
      <c r="AY92" s="1607"/>
      <c r="AZ92" s="1607"/>
      <c r="BB92" s="1671" t="s">
        <v>4539</v>
      </c>
    </row>
    <row r="93" spans="2:55" s="1192" customFormat="1" ht="14.4" x14ac:dyDescent="0.3">
      <c r="B93" s="1741" t="s">
        <v>213</v>
      </c>
      <c r="C93" s="1741"/>
      <c r="D93" s="524" t="s">
        <v>29</v>
      </c>
      <c r="E93" s="1517">
        <v>2.3963999999999999</v>
      </c>
      <c r="G93" s="1666"/>
      <c r="H93" s="1607" t="s">
        <v>2708</v>
      </c>
      <c r="I93" s="1607" t="s">
        <v>432</v>
      </c>
      <c r="J93" s="1607"/>
      <c r="K93" s="1607"/>
      <c r="L93" s="1607"/>
      <c r="M93" s="1607" t="s">
        <v>2712</v>
      </c>
      <c r="N93" s="1607"/>
      <c r="O93" s="1607"/>
      <c r="P93" s="1607"/>
      <c r="Q93" s="1607"/>
      <c r="R93" s="1607"/>
      <c r="S93" s="1607"/>
      <c r="T93" s="1607"/>
      <c r="U93" s="1607"/>
      <c r="V93" s="1607"/>
      <c r="W93" s="1607"/>
      <c r="X93" s="1607"/>
      <c r="Y93" s="1607"/>
      <c r="Z93" s="1608" t="s">
        <v>2712</v>
      </c>
      <c r="AA93" s="1607"/>
      <c r="AB93" s="1607"/>
      <c r="AC93" s="1607"/>
      <c r="AD93" s="1607"/>
      <c r="AE93" s="1607"/>
      <c r="AF93" s="1607"/>
      <c r="AG93" s="1607"/>
      <c r="AH93" s="1607"/>
      <c r="AI93" s="1607"/>
      <c r="AJ93" s="1607"/>
      <c r="AK93" s="1607"/>
      <c r="AL93" s="1607"/>
      <c r="AM93" s="1607"/>
      <c r="AN93" s="1607"/>
      <c r="AO93" s="1607"/>
      <c r="AP93" s="1607"/>
      <c r="AQ93" s="1607"/>
      <c r="AR93" s="1607"/>
      <c r="AS93" s="1607"/>
      <c r="AT93" s="1607"/>
      <c r="AU93" s="1607"/>
      <c r="AV93" s="1607"/>
      <c r="AW93" s="1607"/>
      <c r="AX93" s="1607"/>
      <c r="AY93" s="1607"/>
      <c r="AZ93" s="1607" t="s">
        <v>7343</v>
      </c>
      <c r="BB93" s="1671" t="s">
        <v>213</v>
      </c>
    </row>
    <row r="94" spans="2:55" s="1192" customFormat="1" ht="14.4" x14ac:dyDescent="0.3">
      <c r="B94" s="1741" t="s">
        <v>209</v>
      </c>
      <c r="C94" s="1741"/>
      <c r="D94" s="524" t="s">
        <v>29</v>
      </c>
      <c r="E94" s="1517">
        <v>1.9529000000000001</v>
      </c>
      <c r="G94" s="1666"/>
      <c r="H94" s="1607" t="s">
        <v>2708</v>
      </c>
      <c r="I94" s="1607" t="s">
        <v>432</v>
      </c>
      <c r="J94" s="1607"/>
      <c r="K94" s="1607"/>
      <c r="L94" s="1607"/>
      <c r="M94" s="1607" t="s">
        <v>2713</v>
      </c>
      <c r="N94" s="1607"/>
      <c r="O94" s="1607"/>
      <c r="P94" s="1607"/>
      <c r="Q94" s="1607"/>
      <c r="R94" s="1607"/>
      <c r="S94" s="1607"/>
      <c r="T94" s="1607"/>
      <c r="U94" s="1607"/>
      <c r="V94" s="1607"/>
      <c r="W94" s="1607"/>
      <c r="X94" s="1607"/>
      <c r="Y94" s="1607"/>
      <c r="Z94" s="1608" t="s">
        <v>2713</v>
      </c>
      <c r="AA94" s="1607"/>
      <c r="AB94" s="1607"/>
      <c r="AC94" s="1607"/>
      <c r="AD94" s="1607"/>
      <c r="AE94" s="1607"/>
      <c r="AF94" s="1607"/>
      <c r="AG94" s="1607"/>
      <c r="AH94" s="1607"/>
      <c r="AI94" s="1607"/>
      <c r="AJ94" s="1607"/>
      <c r="AK94" s="1607"/>
      <c r="AL94" s="1607"/>
      <c r="AM94" s="1607"/>
      <c r="AN94" s="1607"/>
      <c r="AO94" s="1607"/>
      <c r="AP94" s="1607"/>
      <c r="AQ94" s="1607"/>
      <c r="AR94" s="1607"/>
      <c r="AS94" s="1607"/>
      <c r="AT94" s="1607"/>
      <c r="AU94" s="1607"/>
      <c r="AV94" s="1607"/>
      <c r="AW94" s="1607"/>
      <c r="AX94" s="1607"/>
      <c r="AY94" s="1607"/>
      <c r="AZ94" s="1607" t="s">
        <v>7344</v>
      </c>
      <c r="BB94" s="1671" t="s">
        <v>209</v>
      </c>
    </row>
    <row r="95" spans="2:55" s="1192" customFormat="1" ht="11.25" customHeight="1" x14ac:dyDescent="0.3">
      <c r="B95" s="1652"/>
      <c r="C95" s="1653"/>
      <c r="D95" s="524"/>
      <c r="E95" s="1219"/>
      <c r="G95" s="1666"/>
      <c r="H95" s="1607"/>
      <c r="I95" s="1607"/>
      <c r="J95" s="1607"/>
      <c r="K95" s="1607"/>
      <c r="L95" s="1607"/>
      <c r="M95" s="1607"/>
      <c r="N95" s="1607"/>
      <c r="O95" s="1607"/>
      <c r="P95" s="1607"/>
      <c r="Q95" s="1607"/>
      <c r="R95" s="1607"/>
      <c r="S95" s="1607"/>
      <c r="T95" s="1607"/>
      <c r="U95" s="1607"/>
      <c r="V95" s="1607"/>
      <c r="W95" s="1607"/>
      <c r="X95" s="1607"/>
      <c r="Y95" s="1607"/>
      <c r="Z95" s="1607"/>
      <c r="AA95" s="1607"/>
      <c r="AB95" s="1607"/>
      <c r="AC95" s="1607"/>
      <c r="AD95" s="1607"/>
      <c r="AE95" s="1607"/>
      <c r="AF95" s="1607"/>
      <c r="AG95" s="1607"/>
      <c r="AH95" s="1607"/>
      <c r="AI95" s="1607"/>
      <c r="AJ95" s="1607"/>
      <c r="AK95" s="1607"/>
      <c r="AL95" s="1607"/>
      <c r="AM95" s="1607"/>
      <c r="AN95" s="1607"/>
      <c r="AO95" s="1607"/>
      <c r="AP95" s="1607"/>
      <c r="AQ95" s="1607"/>
      <c r="AR95" s="1607"/>
      <c r="AS95" s="1607"/>
      <c r="AT95" s="1607"/>
      <c r="AU95" s="1607"/>
      <c r="AV95" s="1607"/>
      <c r="AW95" s="1607"/>
      <c r="AX95" s="1607"/>
      <c r="AY95" s="1607"/>
      <c r="AZ95" s="1607"/>
    </row>
    <row r="96" spans="2:55" s="1192" customFormat="1" ht="14.4" x14ac:dyDescent="0.3">
      <c r="B96" s="1750" t="s">
        <v>2405</v>
      </c>
      <c r="C96" s="1741"/>
      <c r="D96" s="1277"/>
      <c r="E96" s="896"/>
      <c r="G96" s="1666"/>
      <c r="H96" s="1607" t="s">
        <v>2526</v>
      </c>
      <c r="I96" s="1607"/>
      <c r="J96" s="1607"/>
      <c r="K96" s="1607"/>
      <c r="L96" s="1607"/>
      <c r="M96" s="1607"/>
      <c r="N96" s="1607"/>
      <c r="O96" s="1607"/>
      <c r="P96" s="1607"/>
      <c r="Q96" s="1607"/>
      <c r="R96" s="1607"/>
      <c r="S96" s="1607"/>
      <c r="T96" s="1607"/>
      <c r="U96" s="1607"/>
      <c r="V96" s="1607"/>
      <c r="W96" s="1607"/>
      <c r="X96" s="1607"/>
      <c r="Y96" s="1607"/>
      <c r="Z96" s="1608" t="s">
        <v>2405</v>
      </c>
      <c r="AA96" s="1607"/>
      <c r="AB96" s="1607"/>
      <c r="AC96" s="1607"/>
      <c r="AD96" s="1607"/>
      <c r="AE96" s="1607"/>
      <c r="AF96" s="1607"/>
      <c r="AG96" s="1607"/>
      <c r="AH96" s="1607"/>
      <c r="AI96" s="1607"/>
      <c r="AJ96" s="1607"/>
      <c r="AK96" s="1607"/>
      <c r="AL96" s="1607"/>
      <c r="AM96" s="1607"/>
      <c r="AN96" s="1607"/>
      <c r="AO96" s="1607"/>
      <c r="AP96" s="1607"/>
      <c r="AQ96" s="1607"/>
      <c r="AR96" s="1607"/>
      <c r="AS96" s="1607"/>
      <c r="AT96" s="1607"/>
      <c r="AU96" s="1607"/>
      <c r="AV96" s="1607"/>
      <c r="AW96" s="1607"/>
      <c r="AX96" s="1607"/>
      <c r="AY96" s="1607"/>
      <c r="AZ96" s="1607"/>
      <c r="BB96" s="1467" t="s">
        <v>2405</v>
      </c>
    </row>
    <row r="97" spans="2:55" s="1192" customFormat="1" ht="11.25" customHeight="1" x14ac:dyDescent="0.3">
      <c r="B97" s="1659"/>
      <c r="C97" s="1653"/>
      <c r="D97" s="1277"/>
      <c r="E97" s="896"/>
      <c r="G97" s="1666"/>
      <c r="H97" s="1607"/>
      <c r="I97" s="1607"/>
      <c r="J97" s="1607"/>
      <c r="K97" s="1607"/>
      <c r="L97" s="1607"/>
      <c r="M97" s="1607"/>
      <c r="N97" s="1607"/>
      <c r="O97" s="1607"/>
      <c r="P97" s="1607"/>
      <c r="Q97" s="1607"/>
      <c r="R97" s="1607"/>
      <c r="S97" s="1607"/>
      <c r="T97" s="1607"/>
      <c r="U97" s="1607"/>
      <c r="V97" s="1607"/>
      <c r="W97" s="1607"/>
      <c r="X97" s="1607"/>
      <c r="Y97" s="1607"/>
      <c r="Z97" s="1607"/>
      <c r="AA97" s="1607"/>
      <c r="AB97" s="1607"/>
      <c r="AC97" s="1607"/>
      <c r="AD97" s="1607"/>
      <c r="AE97" s="1607"/>
      <c r="AF97" s="1607"/>
      <c r="AG97" s="1607"/>
      <c r="AH97" s="1607"/>
      <c r="AI97" s="1607"/>
      <c r="AJ97" s="1607"/>
      <c r="AK97" s="1607"/>
      <c r="AL97" s="1607"/>
      <c r="AM97" s="1607"/>
      <c r="AN97" s="1607"/>
      <c r="AO97" s="1607"/>
      <c r="AP97" s="1607"/>
      <c r="AQ97" s="1607"/>
      <c r="AR97" s="1607"/>
      <c r="AS97" s="1607"/>
      <c r="AT97" s="1607"/>
      <c r="AU97" s="1607"/>
      <c r="AV97" s="1607"/>
      <c r="AW97" s="1607"/>
      <c r="AX97" s="1607"/>
      <c r="AY97" s="1607"/>
      <c r="AZ97" s="1607"/>
    </row>
    <row r="98" spans="2:55" s="1192" customFormat="1" ht="14.4" x14ac:dyDescent="0.3">
      <c r="B98" s="1741" t="s">
        <v>2033</v>
      </c>
      <c r="C98" s="1741"/>
      <c r="D98" s="524" t="s">
        <v>20</v>
      </c>
      <c r="E98" s="1219">
        <v>3.0000000000000001E-3</v>
      </c>
      <c r="G98" s="1666"/>
      <c r="H98" s="1607" t="s">
        <v>2708</v>
      </c>
      <c r="I98" s="1607" t="s">
        <v>2374</v>
      </c>
      <c r="J98" s="1607"/>
      <c r="K98" s="1607"/>
      <c r="L98" s="1607"/>
      <c r="M98" s="1607" t="s">
        <v>2714</v>
      </c>
      <c r="N98" s="1607"/>
      <c r="O98" s="1607"/>
      <c r="P98" s="1607"/>
      <c r="Q98" s="1607"/>
      <c r="R98" s="1607"/>
      <c r="S98" s="1607"/>
      <c r="T98" s="1607"/>
      <c r="U98" s="1607"/>
      <c r="V98" s="1607"/>
      <c r="W98" s="1607"/>
      <c r="X98" s="1607"/>
      <c r="Y98" s="1607"/>
      <c r="Z98" s="1608" t="s">
        <v>2033</v>
      </c>
      <c r="AA98" s="1607"/>
      <c r="AB98" s="1607"/>
      <c r="AC98" s="1607"/>
      <c r="AD98" s="1607"/>
      <c r="AE98" s="1607"/>
      <c r="AF98" s="1607"/>
      <c r="AG98" s="1607"/>
      <c r="AH98" s="1607"/>
      <c r="AI98" s="1607"/>
      <c r="AJ98" s="1607"/>
      <c r="AK98" s="1607"/>
      <c r="AL98" s="1607"/>
      <c r="AM98" s="1607"/>
      <c r="AN98" s="1607"/>
      <c r="AO98" s="1607"/>
      <c r="AP98" s="1607"/>
      <c r="AQ98" s="1607"/>
      <c r="AR98" s="1607"/>
      <c r="AS98" s="1607"/>
      <c r="AT98" s="1607"/>
      <c r="AU98" s="1607"/>
      <c r="AV98" s="1607"/>
      <c r="AW98" s="1607"/>
      <c r="AX98" s="1607"/>
      <c r="AY98" s="1607"/>
      <c r="AZ98" s="1607"/>
      <c r="BB98" s="1671" t="s">
        <v>2033</v>
      </c>
    </row>
    <row r="99" spans="2:55" s="1192" customFormat="1" ht="14.4" x14ac:dyDescent="0.3">
      <c r="B99" s="1741" t="s">
        <v>2034</v>
      </c>
      <c r="C99" s="1741"/>
      <c r="D99" s="524" t="s">
        <v>20</v>
      </c>
      <c r="E99" s="1219">
        <v>4.0000000000000002E-4</v>
      </c>
      <c r="G99" s="1666"/>
      <c r="H99" s="1607" t="s">
        <v>2708</v>
      </c>
      <c r="I99" s="1607" t="s">
        <v>2374</v>
      </c>
      <c r="J99" s="1607"/>
      <c r="K99" s="1607"/>
      <c r="L99" s="1607"/>
      <c r="M99" s="1607" t="s">
        <v>2714</v>
      </c>
      <c r="N99" s="1607"/>
      <c r="O99" s="1607"/>
      <c r="P99" s="1607"/>
      <c r="Q99" s="1607"/>
      <c r="R99" s="1607"/>
      <c r="S99" s="1607"/>
      <c r="T99" s="1607"/>
      <c r="U99" s="1607"/>
      <c r="V99" s="1607"/>
      <c r="W99" s="1607"/>
      <c r="X99" s="1607"/>
      <c r="Y99" s="1607"/>
      <c r="Z99" s="1608" t="s">
        <v>2034</v>
      </c>
      <c r="AA99" s="1607"/>
      <c r="AB99" s="1607"/>
      <c r="AC99" s="1607"/>
      <c r="AD99" s="1607"/>
      <c r="AE99" s="1607"/>
      <c r="AF99" s="1607"/>
      <c r="AG99" s="1607"/>
      <c r="AH99" s="1607"/>
      <c r="AI99" s="1607"/>
      <c r="AJ99" s="1607"/>
      <c r="AK99" s="1607"/>
      <c r="AL99" s="1607"/>
      <c r="AM99" s="1607"/>
      <c r="AN99" s="1607"/>
      <c r="AO99" s="1607"/>
      <c r="AP99" s="1607"/>
      <c r="AQ99" s="1607"/>
      <c r="AR99" s="1607"/>
      <c r="AS99" s="1607"/>
      <c r="AT99" s="1607"/>
      <c r="AU99" s="1607"/>
      <c r="AV99" s="1607"/>
      <c r="AW99" s="1607"/>
      <c r="AX99" s="1607"/>
      <c r="AY99" s="1607"/>
      <c r="AZ99" s="1607"/>
      <c r="BB99" s="1671" t="s">
        <v>2034</v>
      </c>
    </row>
    <row r="100" spans="2:55" s="1192" customFormat="1" ht="14.4" x14ac:dyDescent="0.3">
      <c r="B100" s="1741" t="s">
        <v>428</v>
      </c>
      <c r="C100" s="1741"/>
      <c r="D100" s="524" t="s">
        <v>20</v>
      </c>
      <c r="E100" s="1219">
        <v>5.0000000000000001E-4</v>
      </c>
      <c r="G100" s="1666"/>
      <c r="H100" s="1607" t="s">
        <v>2708</v>
      </c>
      <c r="I100" s="1607" t="s">
        <v>2374</v>
      </c>
      <c r="J100" s="1607"/>
      <c r="K100" s="1607"/>
      <c r="L100" s="1607"/>
      <c r="M100" s="1607" t="s">
        <v>2715</v>
      </c>
      <c r="N100" s="1607"/>
      <c r="O100" s="1607"/>
      <c r="P100" s="1607"/>
      <c r="Q100" s="1607"/>
      <c r="R100" s="1607"/>
      <c r="S100" s="1607"/>
      <c r="T100" s="1607"/>
      <c r="U100" s="1607"/>
      <c r="V100" s="1607"/>
      <c r="W100" s="1607"/>
      <c r="X100" s="1607"/>
      <c r="Y100" s="1607"/>
      <c r="Z100" s="1608" t="s">
        <v>428</v>
      </c>
      <c r="AA100" s="1607"/>
      <c r="AB100" s="1607"/>
      <c r="AC100" s="1607"/>
      <c r="AD100" s="1607"/>
      <c r="AE100" s="1607"/>
      <c r="AF100" s="1607"/>
      <c r="AG100" s="1607"/>
      <c r="AH100" s="1607"/>
      <c r="AI100" s="1607"/>
      <c r="AJ100" s="1607"/>
      <c r="AK100" s="1607"/>
      <c r="AL100" s="1607"/>
      <c r="AM100" s="1607"/>
      <c r="AN100" s="1607"/>
      <c r="AO100" s="1607"/>
      <c r="AP100" s="1607"/>
      <c r="AQ100" s="1607"/>
      <c r="AR100" s="1607"/>
      <c r="AS100" s="1607"/>
      <c r="AT100" s="1607"/>
      <c r="AU100" s="1607"/>
      <c r="AV100" s="1607"/>
      <c r="AW100" s="1607"/>
      <c r="AX100" s="1607"/>
      <c r="AY100" s="1607"/>
      <c r="AZ100" s="1607"/>
      <c r="BB100" s="1671" t="s">
        <v>428</v>
      </c>
    </row>
    <row r="101" spans="2:55" s="1192" customFormat="1" ht="14.4" x14ac:dyDescent="0.3">
      <c r="B101" s="1741" t="s">
        <v>28</v>
      </c>
      <c r="C101" s="1741"/>
      <c r="D101" s="524" t="s">
        <v>19</v>
      </c>
      <c r="E101" s="1218">
        <v>0.25</v>
      </c>
      <c r="G101" s="1666"/>
      <c r="H101" s="1607" t="s">
        <v>2708</v>
      </c>
      <c r="I101" s="1607" t="s">
        <v>2374</v>
      </c>
      <c r="J101" s="1607"/>
      <c r="K101" s="1607"/>
      <c r="L101" s="1607"/>
      <c r="M101" s="1607" t="s">
        <v>2716</v>
      </c>
      <c r="N101" s="1607"/>
      <c r="O101" s="1607"/>
      <c r="P101" s="1607"/>
      <c r="Q101" s="1607"/>
      <c r="R101" s="1607"/>
      <c r="S101" s="1607"/>
      <c r="T101" s="1607"/>
      <c r="U101" s="1607"/>
      <c r="V101" s="1607"/>
      <c r="W101" s="1607"/>
      <c r="X101" s="1607"/>
      <c r="Y101" s="1607"/>
      <c r="Z101" s="1608" t="s">
        <v>28</v>
      </c>
      <c r="AA101" s="1607"/>
      <c r="AB101" s="1607"/>
      <c r="AC101" s="1607"/>
      <c r="AD101" s="1607"/>
      <c r="AE101" s="1607"/>
      <c r="AF101" s="1607"/>
      <c r="AG101" s="1607"/>
      <c r="AH101" s="1607"/>
      <c r="AI101" s="1607"/>
      <c r="AJ101" s="1607"/>
      <c r="AK101" s="1607"/>
      <c r="AL101" s="1607"/>
      <c r="AM101" s="1607"/>
      <c r="AN101" s="1607"/>
      <c r="AO101" s="1607"/>
      <c r="AP101" s="1607"/>
      <c r="AQ101" s="1607"/>
      <c r="AR101" s="1607"/>
      <c r="AS101" s="1607" t="s">
        <v>603</v>
      </c>
      <c r="AT101" s="1607"/>
      <c r="AU101" s="1607"/>
      <c r="AV101" s="1607"/>
      <c r="AW101" s="1607"/>
      <c r="AX101" s="1607"/>
      <c r="AY101" s="1607"/>
      <c r="AZ101" s="1607"/>
      <c r="BB101" s="1671" t="s">
        <v>28</v>
      </c>
    </row>
    <row r="102" spans="2:55" s="1464" customFormat="1" ht="18" x14ac:dyDescent="0.35">
      <c r="B102" s="1746" t="s">
        <v>612</v>
      </c>
      <c r="C102" s="1747"/>
      <c r="D102" s="1747"/>
      <c r="E102" s="1747"/>
      <c r="G102" s="1468"/>
      <c r="H102" s="1607" t="s">
        <v>2717</v>
      </c>
      <c r="I102" s="1607"/>
      <c r="J102" s="1607"/>
      <c r="K102" s="1607"/>
      <c r="L102" s="1607"/>
      <c r="M102" s="1607"/>
      <c r="N102" s="1607"/>
      <c r="O102" s="1607"/>
      <c r="P102" s="1607"/>
      <c r="Q102" s="1607"/>
      <c r="R102" s="1607"/>
      <c r="S102" s="1607"/>
      <c r="T102" s="1607"/>
      <c r="U102" s="1607"/>
      <c r="V102" s="1607"/>
      <c r="W102" s="1607"/>
      <c r="X102" s="1607"/>
      <c r="Y102" s="1607"/>
      <c r="Z102" s="1607"/>
      <c r="AA102" s="1608" t="s">
        <v>612</v>
      </c>
      <c r="AB102" s="1607"/>
      <c r="AC102" s="1607"/>
      <c r="AD102" s="1607"/>
      <c r="AE102" s="1607"/>
      <c r="AF102" s="1607"/>
      <c r="AG102" s="1607"/>
      <c r="AH102" s="1607"/>
      <c r="AI102" s="1607"/>
      <c r="AJ102" s="1607"/>
      <c r="AK102" s="1607"/>
      <c r="AL102" s="1607"/>
      <c r="AM102" s="1607"/>
      <c r="AN102" s="1607"/>
      <c r="AO102" s="1607"/>
      <c r="AP102" s="1607"/>
      <c r="AQ102" s="1607"/>
      <c r="AR102" s="1607"/>
      <c r="AS102" s="1607"/>
      <c r="AT102" s="1607"/>
      <c r="AU102" s="1607"/>
      <c r="AV102" s="1607"/>
      <c r="AW102" s="1607"/>
      <c r="AX102" s="1607"/>
      <c r="AY102" s="1607"/>
      <c r="AZ102" s="1607"/>
      <c r="BC102" s="1465" t="s">
        <v>612</v>
      </c>
    </row>
    <row r="103" spans="2:55" s="1192" customFormat="1" ht="45.6" x14ac:dyDescent="0.3">
      <c r="B103" s="1743" t="s">
        <v>4408</v>
      </c>
      <c r="C103" s="1743"/>
      <c r="D103" s="1743"/>
      <c r="E103" s="1743"/>
      <c r="G103" s="1666"/>
      <c r="H103" s="1607" t="s">
        <v>2717</v>
      </c>
      <c r="I103" s="1607"/>
      <c r="J103" s="1607"/>
      <c r="K103" s="1607"/>
      <c r="L103" s="1607"/>
      <c r="M103" s="1607"/>
      <c r="N103" s="1607"/>
      <c r="O103" s="1607"/>
      <c r="P103" s="1607"/>
      <c r="Q103" s="1607"/>
      <c r="R103" s="1607"/>
      <c r="S103" s="1607"/>
      <c r="T103" s="1607"/>
      <c r="U103" s="1607"/>
      <c r="V103" s="1607"/>
      <c r="W103" s="1607"/>
      <c r="X103" s="1607"/>
      <c r="Y103" s="1607"/>
      <c r="Z103" s="1607"/>
      <c r="AA103" s="1608" t="s">
        <v>4408</v>
      </c>
      <c r="AB103" s="1607"/>
      <c r="AC103" s="1607"/>
      <c r="AD103" s="1607"/>
      <c r="AE103" s="1607"/>
      <c r="AF103" s="1607"/>
      <c r="AG103" s="1607"/>
      <c r="AH103" s="1607"/>
      <c r="AI103" s="1607"/>
      <c r="AJ103" s="1607"/>
      <c r="AK103" s="1607"/>
      <c r="AL103" s="1607"/>
      <c r="AM103" s="1607"/>
      <c r="AN103" s="1607"/>
      <c r="AO103" s="1607"/>
      <c r="AP103" s="1607"/>
      <c r="AQ103" s="1607"/>
      <c r="AR103" s="1607"/>
      <c r="AS103" s="1607"/>
      <c r="AT103" s="1607"/>
      <c r="AU103" s="1607"/>
      <c r="AV103" s="1607"/>
      <c r="AW103" s="1607"/>
      <c r="AX103" s="1607"/>
      <c r="AY103" s="1607"/>
      <c r="AZ103" s="1607"/>
      <c r="BC103" s="1670" t="s">
        <v>4408</v>
      </c>
    </row>
    <row r="104" spans="2:55" s="1192" customFormat="1" ht="11.25" customHeight="1" x14ac:dyDescent="0.3">
      <c r="B104" s="1654"/>
      <c r="C104" s="1654"/>
      <c r="D104" s="1654"/>
      <c r="E104" s="1654"/>
      <c r="G104" s="1666"/>
      <c r="H104" s="1607"/>
      <c r="I104" s="1607"/>
      <c r="J104" s="1607"/>
      <c r="K104" s="1607"/>
      <c r="L104" s="1607"/>
      <c r="M104" s="1607"/>
      <c r="N104" s="1607"/>
      <c r="O104" s="1607"/>
      <c r="P104" s="1607"/>
      <c r="Q104" s="1607"/>
      <c r="R104" s="1607"/>
      <c r="S104" s="1607"/>
      <c r="T104" s="1607"/>
      <c r="U104" s="1607"/>
      <c r="V104" s="1607"/>
      <c r="W104" s="1607"/>
      <c r="X104" s="1607"/>
      <c r="Y104" s="1607"/>
      <c r="Z104" s="1607"/>
      <c r="AA104" s="1607"/>
      <c r="AB104" s="1607"/>
      <c r="AC104" s="1607"/>
      <c r="AD104" s="1607"/>
      <c r="AE104" s="1607"/>
      <c r="AF104" s="1607"/>
      <c r="AG104" s="1607"/>
      <c r="AH104" s="1607"/>
      <c r="AI104" s="1607"/>
      <c r="AJ104" s="1607"/>
      <c r="AK104" s="1607"/>
      <c r="AL104" s="1607"/>
      <c r="AM104" s="1607"/>
      <c r="AN104" s="1607"/>
      <c r="AO104" s="1607"/>
      <c r="AP104" s="1607"/>
      <c r="AQ104" s="1607"/>
      <c r="AR104" s="1607"/>
      <c r="AS104" s="1607"/>
      <c r="AT104" s="1607"/>
      <c r="AU104" s="1607"/>
      <c r="AV104" s="1607"/>
      <c r="AW104" s="1607"/>
      <c r="AX104" s="1607"/>
      <c r="AY104" s="1607"/>
      <c r="AZ104" s="1607"/>
    </row>
    <row r="105" spans="2:55" s="1192" customFormat="1" ht="14.4" x14ac:dyDescent="0.3">
      <c r="B105" s="1750" t="s">
        <v>2389</v>
      </c>
      <c r="C105" s="1743"/>
      <c r="D105" s="1743"/>
      <c r="E105" s="1743"/>
      <c r="G105" s="1666"/>
      <c r="H105" s="1607" t="s">
        <v>2529</v>
      </c>
      <c r="I105" s="1607"/>
      <c r="J105" s="1607"/>
      <c r="K105" s="1607"/>
      <c r="L105" s="1607"/>
      <c r="M105" s="1607"/>
      <c r="N105" s="1607"/>
      <c r="O105" s="1607"/>
      <c r="P105" s="1607"/>
      <c r="Q105" s="1607"/>
      <c r="R105" s="1607"/>
      <c r="S105" s="1607"/>
      <c r="T105" s="1607"/>
      <c r="U105" s="1607"/>
      <c r="V105" s="1607"/>
      <c r="W105" s="1607"/>
      <c r="X105" s="1607"/>
      <c r="Y105" s="1607"/>
      <c r="Z105" s="1607"/>
      <c r="AA105" s="1608" t="s">
        <v>2389</v>
      </c>
      <c r="AB105" s="1607"/>
      <c r="AC105" s="1607"/>
      <c r="AD105" s="1607"/>
      <c r="AE105" s="1607"/>
      <c r="AF105" s="1607"/>
      <c r="AG105" s="1607"/>
      <c r="AH105" s="1607"/>
      <c r="AI105" s="1607"/>
      <c r="AJ105" s="1607"/>
      <c r="AK105" s="1607"/>
      <c r="AL105" s="1607"/>
      <c r="AM105" s="1607"/>
      <c r="AN105" s="1607"/>
      <c r="AO105" s="1607"/>
      <c r="AP105" s="1607"/>
      <c r="AQ105" s="1607"/>
      <c r="AR105" s="1607"/>
      <c r="AS105" s="1607"/>
      <c r="AT105" s="1607"/>
      <c r="AU105" s="1607"/>
      <c r="AV105" s="1607"/>
      <c r="AW105" s="1607"/>
      <c r="AX105" s="1607"/>
      <c r="AY105" s="1607"/>
      <c r="AZ105" s="1607"/>
      <c r="BC105" s="1467" t="s">
        <v>2389</v>
      </c>
    </row>
    <row r="106" spans="2:55" s="1192" customFormat="1" ht="11.25" customHeight="1" x14ac:dyDescent="0.3">
      <c r="B106" s="1659"/>
      <c r="C106" s="1654"/>
      <c r="D106" s="1654"/>
      <c r="E106" s="1654"/>
      <c r="G106" s="1666"/>
      <c r="H106" s="1607"/>
      <c r="I106" s="1607"/>
      <c r="J106" s="1607"/>
      <c r="K106" s="1607"/>
      <c r="L106" s="1607"/>
      <c r="M106" s="1607"/>
      <c r="N106" s="1607"/>
      <c r="O106" s="1607"/>
      <c r="P106" s="1607"/>
      <c r="Q106" s="1607"/>
      <c r="R106" s="1607"/>
      <c r="S106" s="1607"/>
      <c r="T106" s="1607"/>
      <c r="U106" s="1607"/>
      <c r="V106" s="1607"/>
      <c r="W106" s="1607"/>
      <c r="X106" s="1607"/>
      <c r="Y106" s="1607"/>
      <c r="Z106" s="1607"/>
      <c r="AA106" s="1607"/>
      <c r="AB106" s="1607"/>
      <c r="AC106" s="1607"/>
      <c r="AD106" s="1607"/>
      <c r="AE106" s="1607"/>
      <c r="AF106" s="1607"/>
      <c r="AG106" s="1607"/>
      <c r="AH106" s="1607"/>
      <c r="AI106" s="1607"/>
      <c r="AJ106" s="1607"/>
      <c r="AK106" s="1607"/>
      <c r="AL106" s="1607"/>
      <c r="AM106" s="1607"/>
      <c r="AN106" s="1607"/>
      <c r="AO106" s="1607"/>
      <c r="AP106" s="1607"/>
      <c r="AQ106" s="1607"/>
      <c r="AR106" s="1607"/>
      <c r="AS106" s="1607"/>
      <c r="AT106" s="1607"/>
      <c r="AU106" s="1607"/>
      <c r="AV106" s="1607"/>
      <c r="AW106" s="1607"/>
      <c r="AX106" s="1607"/>
      <c r="AY106" s="1607"/>
      <c r="AZ106" s="1607"/>
    </row>
    <row r="107" spans="2:55" s="1192" customFormat="1" ht="34.200000000000003" x14ac:dyDescent="0.3">
      <c r="B107" s="1743" t="s">
        <v>2391</v>
      </c>
      <c r="C107" s="1743"/>
      <c r="D107" s="1743"/>
      <c r="E107" s="1743"/>
      <c r="G107" s="1666"/>
      <c r="H107" s="1607" t="s">
        <v>2717</v>
      </c>
      <c r="I107" s="1607"/>
      <c r="J107" s="1607"/>
      <c r="K107" s="1607"/>
      <c r="L107" s="1607"/>
      <c r="M107" s="1607"/>
      <c r="N107" s="1607"/>
      <c r="O107" s="1607"/>
      <c r="P107" s="1607"/>
      <c r="Q107" s="1607"/>
      <c r="R107" s="1607"/>
      <c r="S107" s="1607"/>
      <c r="T107" s="1607"/>
      <c r="U107" s="1607"/>
      <c r="V107" s="1607"/>
      <c r="W107" s="1607"/>
      <c r="X107" s="1607"/>
      <c r="Y107" s="1607"/>
      <c r="Z107" s="1607"/>
      <c r="AA107" s="1608" t="s">
        <v>2391</v>
      </c>
      <c r="AB107" s="1607"/>
      <c r="AC107" s="1607"/>
      <c r="AD107" s="1607"/>
      <c r="AE107" s="1607"/>
      <c r="AF107" s="1607"/>
      <c r="AG107" s="1607"/>
      <c r="AH107" s="1607"/>
      <c r="AI107" s="1607"/>
      <c r="AJ107" s="1607"/>
      <c r="AK107" s="1607"/>
      <c r="AL107" s="1607"/>
      <c r="AM107" s="1607"/>
      <c r="AN107" s="1607"/>
      <c r="AO107" s="1607"/>
      <c r="AP107" s="1607"/>
      <c r="AQ107" s="1607"/>
      <c r="AR107" s="1607"/>
      <c r="AS107" s="1607"/>
      <c r="AT107" s="1607"/>
      <c r="AU107" s="1607"/>
      <c r="AV107" s="1607"/>
      <c r="AW107" s="1607"/>
      <c r="AX107" s="1607"/>
      <c r="AY107" s="1607"/>
      <c r="AZ107" s="1607"/>
      <c r="BC107" s="1670" t="s">
        <v>2391</v>
      </c>
    </row>
    <row r="108" spans="2:55" s="1192" customFormat="1" ht="11.25" customHeight="1" x14ac:dyDescent="0.3">
      <c r="B108" s="1654"/>
      <c r="C108" s="1654"/>
      <c r="D108" s="1654"/>
      <c r="E108" s="1654"/>
      <c r="G108" s="1666"/>
      <c r="H108" s="1607"/>
      <c r="I108" s="1607"/>
      <c r="J108" s="1607"/>
      <c r="K108" s="1607"/>
      <c r="L108" s="1607"/>
      <c r="M108" s="1607"/>
      <c r="N108" s="1607"/>
      <c r="O108" s="1607"/>
      <c r="P108" s="1607"/>
      <c r="Q108" s="1607"/>
      <c r="R108" s="1607"/>
      <c r="S108" s="1607"/>
      <c r="T108" s="1607"/>
      <c r="U108" s="1607"/>
      <c r="V108" s="1607"/>
      <c r="W108" s="1607"/>
      <c r="X108" s="1607"/>
      <c r="Y108" s="1607"/>
      <c r="Z108" s="1607"/>
      <c r="AA108" s="1607"/>
      <c r="AB108" s="1607"/>
      <c r="AC108" s="1607"/>
      <c r="AD108" s="1607"/>
      <c r="AE108" s="1607"/>
      <c r="AF108" s="1607"/>
      <c r="AG108" s="1607"/>
      <c r="AH108" s="1607"/>
      <c r="AI108" s="1607"/>
      <c r="AJ108" s="1607"/>
      <c r="AK108" s="1607"/>
      <c r="AL108" s="1607"/>
      <c r="AM108" s="1607"/>
      <c r="AN108" s="1607"/>
      <c r="AO108" s="1607"/>
      <c r="AP108" s="1607"/>
      <c r="AQ108" s="1607"/>
      <c r="AR108" s="1607"/>
      <c r="AS108" s="1607"/>
      <c r="AT108" s="1607"/>
      <c r="AU108" s="1607"/>
      <c r="AV108" s="1607"/>
      <c r="AW108" s="1607"/>
      <c r="AX108" s="1607"/>
      <c r="AY108" s="1607"/>
      <c r="AZ108" s="1607"/>
    </row>
    <row r="109" spans="2:55" s="1192" customFormat="1" ht="45.6" x14ac:dyDescent="0.3">
      <c r="B109" s="1743" t="s">
        <v>2392</v>
      </c>
      <c r="C109" s="1743"/>
      <c r="D109" s="1743"/>
      <c r="E109" s="1743"/>
      <c r="G109" s="1666"/>
      <c r="H109" s="1607" t="s">
        <v>2717</v>
      </c>
      <c r="I109" s="1607"/>
      <c r="J109" s="1607"/>
      <c r="K109" s="1607"/>
      <c r="L109" s="1607"/>
      <c r="M109" s="1607"/>
      <c r="N109" s="1607"/>
      <c r="O109" s="1607"/>
      <c r="P109" s="1607"/>
      <c r="Q109" s="1607"/>
      <c r="R109" s="1607"/>
      <c r="S109" s="1607"/>
      <c r="T109" s="1607"/>
      <c r="U109" s="1607"/>
      <c r="V109" s="1607"/>
      <c r="W109" s="1607"/>
      <c r="X109" s="1607"/>
      <c r="Y109" s="1607"/>
      <c r="Z109" s="1607"/>
      <c r="AA109" s="1608" t="s">
        <v>2392</v>
      </c>
      <c r="AB109" s="1607"/>
      <c r="AC109" s="1607"/>
      <c r="AD109" s="1607"/>
      <c r="AE109" s="1607"/>
      <c r="AF109" s="1607"/>
      <c r="AG109" s="1607"/>
      <c r="AH109" s="1607"/>
      <c r="AI109" s="1607"/>
      <c r="AJ109" s="1607"/>
      <c r="AK109" s="1607"/>
      <c r="AL109" s="1607"/>
      <c r="AM109" s="1607"/>
      <c r="AN109" s="1607"/>
      <c r="AO109" s="1607"/>
      <c r="AP109" s="1607"/>
      <c r="AQ109" s="1607"/>
      <c r="AR109" s="1607"/>
      <c r="AS109" s="1607"/>
      <c r="AT109" s="1607"/>
      <c r="AU109" s="1607"/>
      <c r="AV109" s="1607"/>
      <c r="AW109" s="1607"/>
      <c r="AX109" s="1607"/>
      <c r="AY109" s="1607"/>
      <c r="AZ109" s="1607"/>
      <c r="BC109" s="1670" t="s">
        <v>2392</v>
      </c>
    </row>
    <row r="110" spans="2:55" s="1192" customFormat="1" ht="11.25" customHeight="1" x14ac:dyDescent="0.3">
      <c r="B110" s="1654"/>
      <c r="C110" s="1654"/>
      <c r="D110" s="1654"/>
      <c r="E110" s="1654"/>
      <c r="G110" s="1666"/>
      <c r="H110" s="1607"/>
      <c r="I110" s="1607"/>
      <c r="J110" s="1607"/>
      <c r="K110" s="1607"/>
      <c r="L110" s="1607"/>
      <c r="M110" s="1607"/>
      <c r="N110" s="1607"/>
      <c r="O110" s="1607"/>
      <c r="P110" s="1607"/>
      <c r="Q110" s="1607"/>
      <c r="R110" s="1607"/>
      <c r="S110" s="1607"/>
      <c r="T110" s="1607"/>
      <c r="U110" s="1607"/>
      <c r="V110" s="1607"/>
      <c r="W110" s="1607"/>
      <c r="X110" s="1607"/>
      <c r="Y110" s="1607"/>
      <c r="Z110" s="1607"/>
      <c r="AA110" s="1607"/>
      <c r="AB110" s="1607"/>
      <c r="AC110" s="1607"/>
      <c r="AD110" s="1607"/>
      <c r="AE110" s="1607"/>
      <c r="AF110" s="1607"/>
      <c r="AG110" s="1607"/>
      <c r="AH110" s="1607"/>
      <c r="AI110" s="1607"/>
      <c r="AJ110" s="1607"/>
      <c r="AK110" s="1607"/>
      <c r="AL110" s="1607"/>
      <c r="AM110" s="1607"/>
      <c r="AN110" s="1607"/>
      <c r="AO110" s="1607"/>
      <c r="AP110" s="1607"/>
      <c r="AQ110" s="1607"/>
      <c r="AR110" s="1607"/>
      <c r="AS110" s="1607"/>
      <c r="AT110" s="1607"/>
      <c r="AU110" s="1607"/>
      <c r="AV110" s="1607"/>
      <c r="AW110" s="1607"/>
      <c r="AX110" s="1607"/>
      <c r="AY110" s="1607"/>
      <c r="AZ110" s="1607"/>
    </row>
    <row r="111" spans="2:55" s="1192" customFormat="1" ht="57" x14ac:dyDescent="0.3">
      <c r="B111" s="1743" t="s">
        <v>4409</v>
      </c>
      <c r="C111" s="1743"/>
      <c r="D111" s="1743"/>
      <c r="E111" s="1743"/>
      <c r="G111" s="1666"/>
      <c r="H111" s="1607" t="s">
        <v>2717</v>
      </c>
      <c r="I111" s="1607"/>
      <c r="J111" s="1607"/>
      <c r="K111" s="1607"/>
      <c r="L111" s="1607"/>
      <c r="M111" s="1607"/>
      <c r="N111" s="1607"/>
      <c r="O111" s="1607"/>
      <c r="P111" s="1607"/>
      <c r="Q111" s="1607"/>
      <c r="R111" s="1607"/>
      <c r="S111" s="1607"/>
      <c r="T111" s="1607"/>
      <c r="U111" s="1607"/>
      <c r="V111" s="1607"/>
      <c r="W111" s="1607"/>
      <c r="X111" s="1607"/>
      <c r="Y111" s="1607"/>
      <c r="Z111" s="1607"/>
      <c r="AA111" s="1608" t="s">
        <v>4409</v>
      </c>
      <c r="AB111" s="1607"/>
      <c r="AC111" s="1607"/>
      <c r="AD111" s="1607"/>
      <c r="AE111" s="1607"/>
      <c r="AF111" s="1607"/>
      <c r="AG111" s="1607"/>
      <c r="AH111" s="1607"/>
      <c r="AI111" s="1607"/>
      <c r="AJ111" s="1607"/>
      <c r="AK111" s="1607"/>
      <c r="AL111" s="1607"/>
      <c r="AM111" s="1607"/>
      <c r="AN111" s="1607"/>
      <c r="AO111" s="1607"/>
      <c r="AP111" s="1607"/>
      <c r="AQ111" s="1607"/>
      <c r="AR111" s="1607"/>
      <c r="AS111" s="1607"/>
      <c r="AT111" s="1607"/>
      <c r="AU111" s="1607"/>
      <c r="AV111" s="1607"/>
      <c r="AW111" s="1607"/>
      <c r="AX111" s="1607"/>
      <c r="AY111" s="1607"/>
      <c r="AZ111" s="1607"/>
      <c r="BC111" s="1670" t="s">
        <v>4409</v>
      </c>
    </row>
    <row r="112" spans="2:55" s="1192" customFormat="1" ht="11.25" customHeight="1" x14ac:dyDescent="0.3">
      <c r="B112" s="1654"/>
      <c r="C112" s="1654"/>
      <c r="D112" s="1654"/>
      <c r="E112" s="1654"/>
      <c r="G112" s="1666"/>
      <c r="H112" s="1607"/>
      <c r="I112" s="1607"/>
      <c r="J112" s="1607"/>
      <c r="K112" s="1607"/>
      <c r="L112" s="1607"/>
      <c r="M112" s="1607"/>
      <c r="N112" s="1607"/>
      <c r="O112" s="1607"/>
      <c r="P112" s="1607"/>
      <c r="Q112" s="1607"/>
      <c r="R112" s="1607"/>
      <c r="S112" s="1607"/>
      <c r="T112" s="1607"/>
      <c r="U112" s="1607"/>
      <c r="V112" s="1607"/>
      <c r="W112" s="1607"/>
      <c r="X112" s="1607"/>
      <c r="Y112" s="1607"/>
      <c r="Z112" s="1607"/>
      <c r="AA112" s="1607"/>
      <c r="AB112" s="1607"/>
      <c r="AC112" s="1607"/>
      <c r="AD112" s="1607"/>
      <c r="AE112" s="1607"/>
      <c r="AF112" s="1607"/>
      <c r="AG112" s="1607"/>
      <c r="AH112" s="1607"/>
      <c r="AI112" s="1607"/>
      <c r="AJ112" s="1607"/>
      <c r="AK112" s="1607"/>
      <c r="AL112" s="1607"/>
      <c r="AM112" s="1607"/>
      <c r="AN112" s="1607"/>
      <c r="AO112" s="1607"/>
      <c r="AP112" s="1607"/>
      <c r="AQ112" s="1607"/>
      <c r="AR112" s="1607"/>
      <c r="AS112" s="1607"/>
      <c r="AT112" s="1607"/>
      <c r="AU112" s="1607"/>
      <c r="AV112" s="1607"/>
      <c r="AW112" s="1607"/>
      <c r="AX112" s="1607"/>
      <c r="AY112" s="1607"/>
      <c r="AZ112" s="1607"/>
    </row>
    <row r="113" spans="2:55" s="1192" customFormat="1" ht="68.400000000000006" x14ac:dyDescent="0.3">
      <c r="B113" s="1751" t="s">
        <v>4503</v>
      </c>
      <c r="C113" s="1751"/>
      <c r="D113" s="1751"/>
      <c r="E113" s="1751"/>
      <c r="G113" s="1666"/>
      <c r="H113" s="1607" t="s">
        <v>2717</v>
      </c>
      <c r="I113" s="1607"/>
      <c r="J113" s="1607"/>
      <c r="K113" s="1607"/>
      <c r="L113" s="1607"/>
      <c r="M113" s="1607"/>
      <c r="N113" s="1607"/>
      <c r="O113" s="1607"/>
      <c r="P113" s="1607"/>
      <c r="Q113" s="1607"/>
      <c r="R113" s="1607"/>
      <c r="S113" s="1607"/>
      <c r="T113" s="1607"/>
      <c r="U113" s="1607"/>
      <c r="V113" s="1607"/>
      <c r="W113" s="1607"/>
      <c r="X113" s="1607"/>
      <c r="Y113" s="1607"/>
      <c r="Z113" s="1607"/>
      <c r="AA113" s="1608" t="s">
        <v>4503</v>
      </c>
      <c r="AB113" s="1607"/>
      <c r="AC113" s="1607"/>
      <c r="AD113" s="1607"/>
      <c r="AE113" s="1607"/>
      <c r="AF113" s="1607"/>
      <c r="AG113" s="1607"/>
      <c r="AH113" s="1607"/>
      <c r="AI113" s="1607"/>
      <c r="AJ113" s="1607"/>
      <c r="AK113" s="1607"/>
      <c r="AL113" s="1607"/>
      <c r="AM113" s="1607"/>
      <c r="AN113" s="1607"/>
      <c r="AO113" s="1607"/>
      <c r="AP113" s="1607"/>
      <c r="AQ113" s="1607"/>
      <c r="AR113" s="1607"/>
      <c r="AS113" s="1607"/>
      <c r="AT113" s="1607"/>
      <c r="AU113" s="1607"/>
      <c r="AV113" s="1607"/>
      <c r="AW113" s="1607"/>
      <c r="AX113" s="1607"/>
      <c r="AY113" s="1607"/>
      <c r="AZ113" s="1607"/>
      <c r="BC113" s="1670" t="s">
        <v>4503</v>
      </c>
    </row>
    <row r="114" spans="2:55" s="1192" customFormat="1" ht="11.25" customHeight="1" x14ac:dyDescent="0.3">
      <c r="B114" s="1660"/>
      <c r="C114" s="1660"/>
      <c r="D114" s="1660"/>
      <c r="E114" s="1660"/>
      <c r="G114" s="1666"/>
      <c r="H114" s="1607"/>
      <c r="I114" s="1607"/>
      <c r="J114" s="1607"/>
      <c r="K114" s="1607"/>
      <c r="L114" s="1607"/>
      <c r="M114" s="1607"/>
      <c r="N114" s="1607"/>
      <c r="O114" s="1607"/>
      <c r="P114" s="1607"/>
      <c r="Q114" s="1607"/>
      <c r="R114" s="1607"/>
      <c r="S114" s="1607"/>
      <c r="T114" s="1607"/>
      <c r="U114" s="1607"/>
      <c r="V114" s="1607"/>
      <c r="W114" s="1607"/>
      <c r="X114" s="1607"/>
      <c r="Y114" s="1607"/>
      <c r="Z114" s="1607"/>
      <c r="AA114" s="1607"/>
      <c r="AB114" s="1607"/>
      <c r="AC114" s="1607"/>
      <c r="AD114" s="1607"/>
      <c r="AE114" s="1607"/>
      <c r="AF114" s="1607"/>
      <c r="AG114" s="1607"/>
      <c r="AH114" s="1607"/>
      <c r="AI114" s="1607"/>
      <c r="AJ114" s="1607"/>
      <c r="AK114" s="1607"/>
      <c r="AL114" s="1607"/>
      <c r="AM114" s="1607"/>
      <c r="AN114" s="1607"/>
      <c r="AO114" s="1607"/>
      <c r="AP114" s="1607"/>
      <c r="AQ114" s="1607"/>
      <c r="AR114" s="1607"/>
      <c r="AS114" s="1607"/>
      <c r="AT114" s="1607"/>
      <c r="AU114" s="1607"/>
      <c r="AV114" s="1607"/>
      <c r="AW114" s="1607"/>
      <c r="AX114" s="1607"/>
      <c r="AY114" s="1607"/>
      <c r="AZ114" s="1607"/>
    </row>
    <row r="115" spans="2:55" s="1192" customFormat="1" ht="68.400000000000006" x14ac:dyDescent="0.3">
      <c r="B115" s="1751" t="s">
        <v>4644</v>
      </c>
      <c r="C115" s="1751"/>
      <c r="D115" s="1751"/>
      <c r="E115" s="1751"/>
      <c r="G115" s="1666"/>
      <c r="H115" s="1607" t="s">
        <v>2717</v>
      </c>
      <c r="I115" s="1607"/>
      <c r="J115" s="1607"/>
      <c r="K115" s="1607"/>
      <c r="L115" s="1607"/>
      <c r="M115" s="1607"/>
      <c r="N115" s="1607"/>
      <c r="O115" s="1607"/>
      <c r="P115" s="1607"/>
      <c r="Q115" s="1607"/>
      <c r="R115" s="1607"/>
      <c r="S115" s="1607"/>
      <c r="T115" s="1607"/>
      <c r="U115" s="1607"/>
      <c r="V115" s="1607"/>
      <c r="W115" s="1607"/>
      <c r="X115" s="1607"/>
      <c r="Y115" s="1607"/>
      <c r="Z115" s="1607"/>
      <c r="AA115" s="1608" t="s">
        <v>4644</v>
      </c>
      <c r="AB115" s="1607"/>
      <c r="AC115" s="1607"/>
      <c r="AD115" s="1607"/>
      <c r="AE115" s="1607"/>
      <c r="AF115" s="1607"/>
      <c r="AG115" s="1607"/>
      <c r="AH115" s="1607"/>
      <c r="AI115" s="1607"/>
      <c r="AJ115" s="1607"/>
      <c r="AK115" s="1607"/>
      <c r="AL115" s="1607"/>
      <c r="AM115" s="1607"/>
      <c r="AN115" s="1607"/>
      <c r="AO115" s="1607"/>
      <c r="AP115" s="1607"/>
      <c r="AQ115" s="1607"/>
      <c r="AR115" s="1607"/>
      <c r="AS115" s="1607"/>
      <c r="AT115" s="1607"/>
      <c r="AU115" s="1607"/>
      <c r="AV115" s="1607"/>
      <c r="AW115" s="1607"/>
      <c r="AX115" s="1607"/>
      <c r="AY115" s="1607"/>
      <c r="AZ115" s="1607"/>
      <c r="BC115" s="1670" t="s">
        <v>4644</v>
      </c>
    </row>
    <row r="116" spans="2:55" s="1192" customFormat="1" ht="11.25" customHeight="1" x14ac:dyDescent="0.3">
      <c r="B116" s="1660"/>
      <c r="C116" s="1660"/>
      <c r="D116" s="1660"/>
      <c r="E116" s="1660"/>
      <c r="G116" s="1666"/>
      <c r="H116" s="1607"/>
      <c r="I116" s="1607"/>
      <c r="J116" s="1607"/>
      <c r="K116" s="1607"/>
      <c r="L116" s="1607"/>
      <c r="M116" s="1607"/>
      <c r="N116" s="1607"/>
      <c r="O116" s="1607"/>
      <c r="P116" s="1607"/>
      <c r="Q116" s="1607"/>
      <c r="R116" s="1607"/>
      <c r="S116" s="1607"/>
      <c r="T116" s="1607"/>
      <c r="U116" s="1607"/>
      <c r="V116" s="1607"/>
      <c r="W116" s="1607"/>
      <c r="X116" s="1607"/>
      <c r="Y116" s="1607"/>
      <c r="Z116" s="1607"/>
      <c r="AA116" s="1607"/>
      <c r="AB116" s="1607"/>
      <c r="AC116" s="1607"/>
      <c r="AD116" s="1607"/>
      <c r="AE116" s="1607"/>
      <c r="AF116" s="1607"/>
      <c r="AG116" s="1607"/>
      <c r="AH116" s="1607"/>
      <c r="AI116" s="1607"/>
      <c r="AJ116" s="1607"/>
      <c r="AK116" s="1607"/>
      <c r="AL116" s="1607"/>
      <c r="AM116" s="1607"/>
      <c r="AN116" s="1607"/>
      <c r="AO116" s="1607"/>
      <c r="AP116" s="1607"/>
      <c r="AQ116" s="1607"/>
      <c r="AR116" s="1607"/>
      <c r="AS116" s="1607"/>
      <c r="AT116" s="1607"/>
      <c r="AU116" s="1607"/>
      <c r="AV116" s="1607"/>
      <c r="AW116" s="1607"/>
      <c r="AX116" s="1607"/>
      <c r="AY116" s="1607"/>
      <c r="AZ116" s="1607"/>
    </row>
    <row r="117" spans="2:55" s="1192" customFormat="1" ht="34.200000000000003" x14ac:dyDescent="0.3">
      <c r="B117" s="1743" t="s">
        <v>4500</v>
      </c>
      <c r="C117" s="1743"/>
      <c r="D117" s="1743"/>
      <c r="E117" s="1743"/>
      <c r="G117" s="1666"/>
      <c r="H117" s="1607" t="s">
        <v>2717</v>
      </c>
      <c r="I117" s="1607"/>
      <c r="J117" s="1607"/>
      <c r="K117" s="1607"/>
      <c r="L117" s="1607"/>
      <c r="M117" s="1607"/>
      <c r="N117" s="1607"/>
      <c r="O117" s="1607"/>
      <c r="P117" s="1607"/>
      <c r="Q117" s="1607"/>
      <c r="R117" s="1607"/>
      <c r="S117" s="1607"/>
      <c r="T117" s="1607"/>
      <c r="U117" s="1607"/>
      <c r="V117" s="1607"/>
      <c r="W117" s="1607"/>
      <c r="X117" s="1607"/>
      <c r="Y117" s="1607"/>
      <c r="Z117" s="1607"/>
      <c r="AA117" s="1608" t="s">
        <v>4500</v>
      </c>
      <c r="AB117" s="1607"/>
      <c r="AC117" s="1607"/>
      <c r="AD117" s="1607"/>
      <c r="AE117" s="1607"/>
      <c r="AF117" s="1607"/>
      <c r="AG117" s="1607"/>
      <c r="AH117" s="1607"/>
      <c r="AI117" s="1607"/>
      <c r="AJ117" s="1607"/>
      <c r="AK117" s="1607"/>
      <c r="AL117" s="1607"/>
      <c r="AM117" s="1607"/>
      <c r="AN117" s="1607"/>
      <c r="AO117" s="1607"/>
      <c r="AP117" s="1607"/>
      <c r="AQ117" s="1607"/>
      <c r="AR117" s="1607"/>
      <c r="AS117" s="1607"/>
      <c r="AT117" s="1607"/>
      <c r="AU117" s="1607"/>
      <c r="AV117" s="1607"/>
      <c r="AW117" s="1607"/>
      <c r="AX117" s="1607"/>
      <c r="AY117" s="1607"/>
      <c r="AZ117" s="1607"/>
      <c r="BC117" s="1670" t="s">
        <v>4500</v>
      </c>
    </row>
    <row r="118" spans="2:55" s="1192" customFormat="1" ht="11.25" customHeight="1" x14ac:dyDescent="0.3">
      <c r="B118" s="1654"/>
      <c r="C118" s="1654"/>
      <c r="D118" s="1654"/>
      <c r="E118" s="1654"/>
      <c r="G118" s="1666"/>
      <c r="H118" s="1607"/>
      <c r="I118" s="1607"/>
      <c r="J118" s="1607"/>
      <c r="K118" s="1607"/>
      <c r="L118" s="1607"/>
      <c r="M118" s="1607"/>
      <c r="N118" s="1607"/>
      <c r="O118" s="1607"/>
      <c r="P118" s="1607"/>
      <c r="Q118" s="1607"/>
      <c r="R118" s="1607"/>
      <c r="S118" s="1607"/>
      <c r="T118" s="1607"/>
      <c r="U118" s="1607"/>
      <c r="V118" s="1607"/>
      <c r="W118" s="1607"/>
      <c r="X118" s="1607"/>
      <c r="Y118" s="1607"/>
      <c r="Z118" s="1607"/>
      <c r="AA118" s="1607"/>
      <c r="AB118" s="1607"/>
      <c r="AC118" s="1607"/>
      <c r="AD118" s="1607"/>
      <c r="AE118" s="1607"/>
      <c r="AF118" s="1607"/>
      <c r="AG118" s="1607"/>
      <c r="AH118" s="1607"/>
      <c r="AI118" s="1607"/>
      <c r="AJ118" s="1607"/>
      <c r="AK118" s="1607"/>
      <c r="AL118" s="1607"/>
      <c r="AM118" s="1607"/>
      <c r="AN118" s="1607"/>
      <c r="AO118" s="1607"/>
      <c r="AP118" s="1607"/>
      <c r="AQ118" s="1607"/>
      <c r="AR118" s="1607"/>
      <c r="AS118" s="1607"/>
      <c r="AT118" s="1607"/>
      <c r="AU118" s="1607"/>
      <c r="AV118" s="1607"/>
      <c r="AW118" s="1607"/>
      <c r="AX118" s="1607"/>
      <c r="AY118" s="1607"/>
      <c r="AZ118" s="1607"/>
    </row>
    <row r="119" spans="2:55" s="1192" customFormat="1" ht="14.4" x14ac:dyDescent="0.3">
      <c r="B119" s="1750" t="s">
        <v>2394</v>
      </c>
      <c r="C119" s="1743"/>
      <c r="D119" s="1743"/>
      <c r="E119" s="1743"/>
      <c r="G119" s="1666"/>
      <c r="H119" s="1607" t="s">
        <v>2531</v>
      </c>
      <c r="I119" s="1607"/>
      <c r="J119" s="1607"/>
      <c r="K119" s="1607"/>
      <c r="L119" s="1607"/>
      <c r="M119" s="1607"/>
      <c r="N119" s="1607"/>
      <c r="O119" s="1607"/>
      <c r="P119" s="1607"/>
      <c r="Q119" s="1607"/>
      <c r="R119" s="1607"/>
      <c r="S119" s="1607"/>
      <c r="T119" s="1607"/>
      <c r="U119" s="1607"/>
      <c r="V119" s="1607"/>
      <c r="W119" s="1607"/>
      <c r="X119" s="1607"/>
      <c r="Y119" s="1607"/>
      <c r="Z119" s="1607"/>
      <c r="AA119" s="1608" t="s">
        <v>2394</v>
      </c>
      <c r="AB119" s="1607"/>
      <c r="AC119" s="1607"/>
      <c r="AD119" s="1607"/>
      <c r="AE119" s="1607"/>
      <c r="AF119" s="1607"/>
      <c r="AG119" s="1607"/>
      <c r="AH119" s="1607"/>
      <c r="AI119" s="1607"/>
      <c r="AJ119" s="1607"/>
      <c r="AK119" s="1607"/>
      <c r="AL119" s="1607"/>
      <c r="AM119" s="1607"/>
      <c r="AN119" s="1607"/>
      <c r="AO119" s="1607"/>
      <c r="AP119" s="1607"/>
      <c r="AQ119" s="1607"/>
      <c r="AR119" s="1607"/>
      <c r="AS119" s="1607"/>
      <c r="AT119" s="1607"/>
      <c r="AU119" s="1607"/>
      <c r="AV119" s="1607"/>
      <c r="AW119" s="1607"/>
      <c r="AX119" s="1607"/>
      <c r="AY119" s="1607"/>
      <c r="AZ119" s="1607"/>
      <c r="BC119" s="1467" t="s">
        <v>2394</v>
      </c>
    </row>
    <row r="120" spans="2:55" s="1192" customFormat="1" ht="11.25" customHeight="1" x14ac:dyDescent="0.3">
      <c r="B120" s="1659"/>
      <c r="C120" s="1655"/>
      <c r="D120" s="1655"/>
      <c r="E120" s="1655"/>
      <c r="G120" s="1666"/>
      <c r="H120" s="1607"/>
      <c r="I120" s="1607"/>
      <c r="J120" s="1607"/>
      <c r="K120" s="1607"/>
      <c r="L120" s="1607"/>
      <c r="M120" s="1607"/>
      <c r="N120" s="1607"/>
      <c r="O120" s="1607"/>
      <c r="P120" s="1607"/>
      <c r="Q120" s="1607"/>
      <c r="R120" s="1607"/>
      <c r="S120" s="1607"/>
      <c r="T120" s="1607"/>
      <c r="U120" s="1607"/>
      <c r="V120" s="1607"/>
      <c r="W120" s="1607"/>
      <c r="X120" s="1607"/>
      <c r="Y120" s="1607"/>
      <c r="Z120" s="1607"/>
      <c r="AA120" s="1607"/>
      <c r="AB120" s="1607"/>
      <c r="AC120" s="1607"/>
      <c r="AD120" s="1607"/>
      <c r="AE120" s="1607"/>
      <c r="AF120" s="1607"/>
      <c r="AG120" s="1607"/>
      <c r="AH120" s="1607"/>
      <c r="AI120" s="1607"/>
      <c r="AJ120" s="1607"/>
      <c r="AK120" s="1607"/>
      <c r="AL120" s="1607"/>
      <c r="AM120" s="1607"/>
      <c r="AN120" s="1607"/>
      <c r="AO120" s="1607"/>
      <c r="AP120" s="1607"/>
      <c r="AQ120" s="1607"/>
      <c r="AR120" s="1607"/>
      <c r="AS120" s="1607"/>
      <c r="AT120" s="1607"/>
      <c r="AU120" s="1607"/>
      <c r="AV120" s="1607"/>
      <c r="AW120" s="1607"/>
      <c r="AX120" s="1607"/>
      <c r="AY120" s="1607"/>
      <c r="AZ120" s="1607"/>
    </row>
    <row r="121" spans="2:55" s="1192" customFormat="1" ht="14.4" x14ac:dyDescent="0.3">
      <c r="B121" s="1741" t="s">
        <v>7</v>
      </c>
      <c r="C121" s="1741"/>
      <c r="D121" s="524" t="s">
        <v>19</v>
      </c>
      <c r="E121" s="1516">
        <v>717.89</v>
      </c>
      <c r="G121" s="1666"/>
      <c r="H121" s="1607" t="s">
        <v>2717</v>
      </c>
      <c r="I121" s="1607" t="s">
        <v>430</v>
      </c>
      <c r="J121" s="1607"/>
      <c r="K121" s="1607"/>
      <c r="L121" s="1607"/>
      <c r="M121" s="1607" t="s">
        <v>2718</v>
      </c>
      <c r="N121" s="1607"/>
      <c r="O121" s="1607"/>
      <c r="P121" s="1607"/>
      <c r="Q121" s="1607"/>
      <c r="R121" s="1607"/>
      <c r="S121" s="1607"/>
      <c r="T121" s="1607"/>
      <c r="U121" s="1607"/>
      <c r="V121" s="1607"/>
      <c r="W121" s="1607"/>
      <c r="X121" s="1607"/>
      <c r="Y121" s="1607"/>
      <c r="Z121" s="1608" t="s">
        <v>2718</v>
      </c>
      <c r="AA121" s="1607"/>
      <c r="AB121" s="1607"/>
      <c r="AC121" s="1607"/>
      <c r="AD121" s="1607"/>
      <c r="AE121" s="1607"/>
      <c r="AF121" s="1607"/>
      <c r="AG121" s="1607"/>
      <c r="AH121" s="1607"/>
      <c r="AI121" s="1607"/>
      <c r="AJ121" s="1607"/>
      <c r="AK121" s="1607"/>
      <c r="AL121" s="1607"/>
      <c r="AM121" s="1607"/>
      <c r="AN121" s="1607"/>
      <c r="AO121" s="1607"/>
      <c r="AP121" s="1607"/>
      <c r="AQ121" s="1607"/>
      <c r="AR121" s="1607"/>
      <c r="AS121" s="1607"/>
      <c r="AT121" s="1607"/>
      <c r="AU121" s="1607"/>
      <c r="AV121" s="1607"/>
      <c r="AW121" s="1607"/>
      <c r="AX121" s="1607"/>
      <c r="AY121" s="1607"/>
      <c r="AZ121" s="1607"/>
      <c r="BB121" s="1671" t="s">
        <v>7</v>
      </c>
    </row>
    <row r="122" spans="2:55" s="1192" customFormat="1" ht="14.4" x14ac:dyDescent="0.3">
      <c r="B122" s="1741" t="s">
        <v>80</v>
      </c>
      <c r="C122" s="1741"/>
      <c r="D122" s="524" t="s">
        <v>29</v>
      </c>
      <c r="E122" s="1517">
        <v>3.3260000000000001</v>
      </c>
      <c r="G122" s="1666"/>
      <c r="H122" s="1607" t="s">
        <v>2717</v>
      </c>
      <c r="I122" s="1607" t="s">
        <v>430</v>
      </c>
      <c r="J122" s="1607"/>
      <c r="K122" s="1607"/>
      <c r="L122" s="1607"/>
      <c r="M122" s="1607" t="s">
        <v>2719</v>
      </c>
      <c r="N122" s="1607"/>
      <c r="O122" s="1607"/>
      <c r="P122" s="1607"/>
      <c r="Q122" s="1607"/>
      <c r="R122" s="1607"/>
      <c r="S122" s="1607"/>
      <c r="T122" s="1607"/>
      <c r="U122" s="1607"/>
      <c r="V122" s="1607"/>
      <c r="W122" s="1607"/>
      <c r="X122" s="1607"/>
      <c r="Y122" s="1607"/>
      <c r="Z122" s="1608" t="s">
        <v>2719</v>
      </c>
      <c r="AA122" s="1607"/>
      <c r="AB122" s="1607"/>
      <c r="AC122" s="1607"/>
      <c r="AD122" s="1607"/>
      <c r="AE122" s="1607"/>
      <c r="AF122" s="1607"/>
      <c r="AG122" s="1607"/>
      <c r="AH122" s="1607"/>
      <c r="AI122" s="1607"/>
      <c r="AJ122" s="1607"/>
      <c r="AK122" s="1607"/>
      <c r="AL122" s="1607"/>
      <c r="AM122" s="1607"/>
      <c r="AN122" s="1607"/>
      <c r="AO122" s="1607"/>
      <c r="AP122" s="1607"/>
      <c r="AQ122" s="1607"/>
      <c r="AR122" s="1607"/>
      <c r="AS122" s="1607"/>
      <c r="AT122" s="1607"/>
      <c r="AU122" s="1607"/>
      <c r="AV122" s="1607"/>
      <c r="AW122" s="1607"/>
      <c r="AX122" s="1607"/>
      <c r="AY122" s="1607"/>
      <c r="AZ122" s="1607"/>
      <c r="BB122" s="1671" t="s">
        <v>80</v>
      </c>
    </row>
    <row r="123" spans="2:55" s="1192" customFormat="1" ht="14.4" x14ac:dyDescent="0.3">
      <c r="B123" s="1741" t="s">
        <v>14</v>
      </c>
      <c r="C123" s="1741"/>
      <c r="D123" s="524" t="s">
        <v>29</v>
      </c>
      <c r="E123" s="1219">
        <v>1.1778</v>
      </c>
      <c r="G123" s="1666"/>
      <c r="H123" s="1607" t="s">
        <v>2717</v>
      </c>
      <c r="I123" s="1607" t="s">
        <v>431</v>
      </c>
      <c r="J123" s="1607"/>
      <c r="K123" s="1607"/>
      <c r="L123" s="1607"/>
      <c r="M123" s="1607" t="s">
        <v>2720</v>
      </c>
      <c r="N123" s="1607"/>
      <c r="O123" s="1607"/>
      <c r="P123" s="1607"/>
      <c r="Q123" s="1607"/>
      <c r="R123" s="1607"/>
      <c r="S123" s="1607"/>
      <c r="T123" s="1607"/>
      <c r="U123" s="1607"/>
      <c r="V123" s="1607"/>
      <c r="W123" s="1607"/>
      <c r="X123" s="1607"/>
      <c r="Y123" s="1607"/>
      <c r="Z123" s="1608" t="s">
        <v>14</v>
      </c>
      <c r="AA123" s="1607"/>
      <c r="AB123" s="1607"/>
      <c r="AC123" s="1607"/>
      <c r="AD123" s="1607"/>
      <c r="AE123" s="1607"/>
      <c r="AF123" s="1607"/>
      <c r="AG123" s="1607"/>
      <c r="AH123" s="1607"/>
      <c r="AI123" s="1607"/>
      <c r="AJ123" s="1607"/>
      <c r="AK123" s="1607"/>
      <c r="AL123" s="1607"/>
      <c r="AM123" s="1607"/>
      <c r="AN123" s="1607"/>
      <c r="AO123" s="1607"/>
      <c r="AP123" s="1607"/>
      <c r="AQ123" s="1607"/>
      <c r="AR123" s="1607"/>
      <c r="AS123" s="1607"/>
      <c r="AT123" s="1607"/>
      <c r="AU123" s="1607"/>
      <c r="AV123" s="1607"/>
      <c r="AW123" s="1607"/>
      <c r="AX123" s="1607"/>
      <c r="AY123" s="1607"/>
      <c r="AZ123" s="1607"/>
      <c r="BB123" s="1671" t="s">
        <v>14</v>
      </c>
    </row>
    <row r="124" spans="2:55" s="1192" customFormat="1" ht="20.399999999999999" x14ac:dyDescent="0.3">
      <c r="B124" s="1741" t="s">
        <v>4538</v>
      </c>
      <c r="C124" s="1741"/>
      <c r="D124" s="524" t="s">
        <v>29</v>
      </c>
      <c r="E124" s="1219">
        <v>-1.95E-2</v>
      </c>
      <c r="G124" s="1666"/>
      <c r="H124" s="1607" t="s">
        <v>2717</v>
      </c>
      <c r="I124" s="1607" t="s">
        <v>430</v>
      </c>
      <c r="J124" s="1607"/>
      <c r="K124" s="1607"/>
      <c r="L124" s="1607"/>
      <c r="M124" s="1607" t="s">
        <v>4410</v>
      </c>
      <c r="N124" s="1607"/>
      <c r="O124" s="1607"/>
      <c r="P124" s="1607"/>
      <c r="Q124" s="1607">
        <v>44561</v>
      </c>
      <c r="R124" s="1607"/>
      <c r="S124" s="1607"/>
      <c r="T124" s="1607"/>
      <c r="U124" s="1607"/>
      <c r="V124" s="1607"/>
      <c r="W124" s="1607"/>
      <c r="X124" s="1607"/>
      <c r="Y124" s="1607"/>
      <c r="Z124" s="1608" t="s">
        <v>4538</v>
      </c>
      <c r="AA124" s="1607"/>
      <c r="AB124" s="1607"/>
      <c r="AC124" s="1607"/>
      <c r="AD124" s="1607"/>
      <c r="AE124" s="1607"/>
      <c r="AF124" s="1607"/>
      <c r="AG124" s="1607"/>
      <c r="AH124" s="1607"/>
      <c r="AI124" s="1607"/>
      <c r="AJ124" s="1607"/>
      <c r="AK124" s="1607"/>
      <c r="AL124" s="1607"/>
      <c r="AM124" s="1607"/>
      <c r="AN124" s="1607"/>
      <c r="AO124" s="1607"/>
      <c r="AP124" s="1607"/>
      <c r="AQ124" s="1607"/>
      <c r="AR124" s="1607"/>
      <c r="AS124" s="1607"/>
      <c r="AT124" s="1607"/>
      <c r="AU124" s="1607"/>
      <c r="AV124" s="1607"/>
      <c r="AW124" s="1607"/>
      <c r="AX124" s="1607"/>
      <c r="AY124" s="1607"/>
      <c r="AZ124" s="1607"/>
      <c r="BB124" s="1671" t="s">
        <v>4538</v>
      </c>
    </row>
    <row r="125" spans="2:55" s="1192" customFormat="1" ht="14.4" x14ac:dyDescent="0.3">
      <c r="B125" s="1741" t="s">
        <v>4536</v>
      </c>
      <c r="C125" s="1741"/>
      <c r="D125" s="524" t="s">
        <v>29</v>
      </c>
      <c r="E125" s="1219">
        <v>-6.3600000000000004E-2</v>
      </c>
      <c r="G125" s="1666" t="s">
        <v>603</v>
      </c>
      <c r="H125" s="1607" t="s">
        <v>2717</v>
      </c>
      <c r="I125" s="1607" t="s">
        <v>430</v>
      </c>
      <c r="J125" s="1607"/>
      <c r="K125" s="1607"/>
      <c r="L125" s="1607"/>
      <c r="M125" s="1607" t="s">
        <v>6132</v>
      </c>
      <c r="N125" s="1607"/>
      <c r="O125" s="1607"/>
      <c r="P125" s="1607"/>
      <c r="Q125" s="1607">
        <v>44561</v>
      </c>
      <c r="R125" s="1607"/>
      <c r="S125" s="1607"/>
      <c r="T125" s="1607"/>
      <c r="U125" s="1607"/>
      <c r="V125" s="1607"/>
      <c r="W125" s="1607"/>
      <c r="X125" s="1607"/>
      <c r="Y125" s="1607"/>
      <c r="Z125" s="1608" t="s">
        <v>4536</v>
      </c>
      <c r="AA125" s="1607"/>
      <c r="AB125" s="1607"/>
      <c r="AC125" s="1607"/>
      <c r="AD125" s="1607"/>
      <c r="AE125" s="1607"/>
      <c r="AF125" s="1607"/>
      <c r="AG125" s="1607"/>
      <c r="AH125" s="1607"/>
      <c r="AI125" s="1607"/>
      <c r="AJ125" s="1607"/>
      <c r="AK125" s="1607"/>
      <c r="AL125" s="1607"/>
      <c r="AM125" s="1607"/>
      <c r="AN125" s="1607"/>
      <c r="AO125" s="1607"/>
      <c r="AP125" s="1607"/>
      <c r="AQ125" s="1607"/>
      <c r="AR125" s="1607"/>
      <c r="AS125" s="1607"/>
      <c r="AT125" s="1607"/>
      <c r="AU125" s="1607"/>
      <c r="AV125" s="1607"/>
      <c r="AW125" s="1607"/>
      <c r="AX125" s="1607"/>
      <c r="AY125" s="1607"/>
      <c r="AZ125" s="1607"/>
      <c r="BB125" s="1671" t="s">
        <v>4536</v>
      </c>
    </row>
    <row r="126" spans="2:55" s="1192" customFormat="1" ht="20.399999999999999" x14ac:dyDescent="0.3">
      <c r="B126" s="1741" t="s">
        <v>4537</v>
      </c>
      <c r="C126" s="1741"/>
      <c r="D126" s="524" t="s">
        <v>29</v>
      </c>
      <c r="E126" s="1219">
        <v>-3.3000000000000002E-2</v>
      </c>
      <c r="G126" s="1666" t="s">
        <v>7382</v>
      </c>
      <c r="H126" s="1607" t="s">
        <v>2717</v>
      </c>
      <c r="I126" s="1607" t="s">
        <v>430</v>
      </c>
      <c r="J126" s="1607"/>
      <c r="K126" s="1607"/>
      <c r="L126" s="1607"/>
      <c r="M126" s="1607" t="s">
        <v>6133</v>
      </c>
      <c r="N126" s="1607"/>
      <c r="O126" s="1607"/>
      <c r="P126" s="1607"/>
      <c r="Q126" s="1607"/>
      <c r="R126" s="1607"/>
      <c r="S126" s="1607"/>
      <c r="T126" s="1607"/>
      <c r="U126" s="1607"/>
      <c r="V126" s="1607"/>
      <c r="W126" s="1607"/>
      <c r="X126" s="1607"/>
      <c r="Y126" s="1607"/>
      <c r="Z126" s="1608" t="s">
        <v>4537</v>
      </c>
      <c r="AA126" s="1607"/>
      <c r="AB126" s="1607"/>
      <c r="AC126" s="1607"/>
      <c r="AD126" s="1607"/>
      <c r="AE126" s="1607"/>
      <c r="AF126" s="1607"/>
      <c r="AG126" s="1607"/>
      <c r="AH126" s="1607"/>
      <c r="AI126" s="1607"/>
      <c r="AJ126" s="1607"/>
      <c r="AK126" s="1607"/>
      <c r="AL126" s="1607"/>
      <c r="AM126" s="1607"/>
      <c r="AN126" s="1607"/>
      <c r="AO126" s="1607"/>
      <c r="AP126" s="1607"/>
      <c r="AQ126" s="1607"/>
      <c r="AR126" s="1607"/>
      <c r="AS126" s="1607"/>
      <c r="AT126" s="1607"/>
      <c r="AU126" s="1607"/>
      <c r="AV126" s="1607"/>
      <c r="AW126" s="1607"/>
      <c r="AX126" s="1607"/>
      <c r="AY126" s="1607"/>
      <c r="AZ126" s="1607"/>
      <c r="BB126" s="1671" t="s">
        <v>4537</v>
      </c>
    </row>
    <row r="127" spans="2:55" s="1192" customFormat="1" ht="14.4" x14ac:dyDescent="0.3">
      <c r="B127" s="1741" t="s">
        <v>213</v>
      </c>
      <c r="C127" s="1741"/>
      <c r="D127" s="524" t="s">
        <v>29</v>
      </c>
      <c r="E127" s="1517">
        <v>2.6800999999999999</v>
      </c>
      <c r="G127" s="1666"/>
      <c r="H127" s="1607" t="s">
        <v>2717</v>
      </c>
      <c r="I127" s="1607" t="s">
        <v>432</v>
      </c>
      <c r="J127" s="1607"/>
      <c r="K127" s="1607"/>
      <c r="L127" s="1607"/>
      <c r="M127" s="1607" t="s">
        <v>2721</v>
      </c>
      <c r="N127" s="1607"/>
      <c r="O127" s="1607"/>
      <c r="P127" s="1607"/>
      <c r="Q127" s="1607"/>
      <c r="R127" s="1607"/>
      <c r="S127" s="1607"/>
      <c r="T127" s="1607"/>
      <c r="U127" s="1607"/>
      <c r="V127" s="1607"/>
      <c r="W127" s="1607"/>
      <c r="X127" s="1607"/>
      <c r="Y127" s="1607"/>
      <c r="Z127" s="1608" t="s">
        <v>2721</v>
      </c>
      <c r="AA127" s="1607"/>
      <c r="AB127" s="1607"/>
      <c r="AC127" s="1607"/>
      <c r="AD127" s="1607"/>
      <c r="AE127" s="1607"/>
      <c r="AF127" s="1607"/>
      <c r="AG127" s="1607"/>
      <c r="AH127" s="1607"/>
      <c r="AI127" s="1607"/>
      <c r="AJ127" s="1607"/>
      <c r="AK127" s="1607"/>
      <c r="AL127" s="1607"/>
      <c r="AM127" s="1607"/>
      <c r="AN127" s="1607"/>
      <c r="AO127" s="1607"/>
      <c r="AP127" s="1607"/>
      <c r="AQ127" s="1607"/>
      <c r="AR127" s="1607"/>
      <c r="AS127" s="1607"/>
      <c r="AT127" s="1607"/>
      <c r="AU127" s="1607"/>
      <c r="AV127" s="1607"/>
      <c r="AW127" s="1607"/>
      <c r="AX127" s="1607"/>
      <c r="AY127" s="1607"/>
      <c r="AZ127" s="1607" t="s">
        <v>7345</v>
      </c>
      <c r="BB127" s="1671" t="s">
        <v>213</v>
      </c>
    </row>
    <row r="128" spans="2:55" s="1192" customFormat="1" ht="14.4" x14ac:dyDescent="0.3">
      <c r="B128" s="1741" t="s">
        <v>209</v>
      </c>
      <c r="C128" s="1741"/>
      <c r="D128" s="524" t="s">
        <v>29</v>
      </c>
      <c r="E128" s="1517">
        <v>2.3031000000000001</v>
      </c>
      <c r="G128" s="1666"/>
      <c r="H128" s="1607" t="s">
        <v>2717</v>
      </c>
      <c r="I128" s="1607" t="s">
        <v>432</v>
      </c>
      <c r="J128" s="1607"/>
      <c r="K128" s="1607"/>
      <c r="L128" s="1607"/>
      <c r="M128" s="1607" t="s">
        <v>2722</v>
      </c>
      <c r="N128" s="1607"/>
      <c r="O128" s="1607"/>
      <c r="P128" s="1607"/>
      <c r="Q128" s="1607"/>
      <c r="R128" s="1607"/>
      <c r="S128" s="1607"/>
      <c r="T128" s="1607"/>
      <c r="U128" s="1607"/>
      <c r="V128" s="1607"/>
      <c r="W128" s="1607"/>
      <c r="X128" s="1607"/>
      <c r="Y128" s="1607"/>
      <c r="Z128" s="1608" t="s">
        <v>2722</v>
      </c>
      <c r="AA128" s="1607"/>
      <c r="AB128" s="1607"/>
      <c r="AC128" s="1607"/>
      <c r="AD128" s="1607"/>
      <c r="AE128" s="1607"/>
      <c r="AF128" s="1607"/>
      <c r="AG128" s="1607"/>
      <c r="AH128" s="1607"/>
      <c r="AI128" s="1607"/>
      <c r="AJ128" s="1607"/>
      <c r="AK128" s="1607"/>
      <c r="AL128" s="1607"/>
      <c r="AM128" s="1607"/>
      <c r="AN128" s="1607"/>
      <c r="AO128" s="1607"/>
      <c r="AP128" s="1607"/>
      <c r="AQ128" s="1607"/>
      <c r="AR128" s="1607"/>
      <c r="AS128" s="1607"/>
      <c r="AT128" s="1607"/>
      <c r="AU128" s="1607"/>
      <c r="AV128" s="1607"/>
      <c r="AW128" s="1607"/>
      <c r="AX128" s="1607"/>
      <c r="AY128" s="1607"/>
      <c r="AZ128" s="1607" t="s">
        <v>7346</v>
      </c>
      <c r="BB128" s="1671" t="s">
        <v>209</v>
      </c>
    </row>
    <row r="129" spans="2:55" s="1192" customFormat="1" ht="11.25" customHeight="1" x14ac:dyDescent="0.3">
      <c r="B129" s="1652"/>
      <c r="C129" s="1653"/>
      <c r="D129" s="524"/>
      <c r="E129" s="1219"/>
      <c r="G129" s="1666"/>
      <c r="H129" s="1607"/>
      <c r="I129" s="1607"/>
      <c r="J129" s="1607"/>
      <c r="K129" s="1607"/>
      <c r="L129" s="1607"/>
      <c r="M129" s="1607"/>
      <c r="N129" s="1607"/>
      <c r="O129" s="1607"/>
      <c r="P129" s="1607"/>
      <c r="Q129" s="1607"/>
      <c r="R129" s="1607"/>
      <c r="S129" s="1607"/>
      <c r="T129" s="1607"/>
      <c r="U129" s="1607"/>
      <c r="V129" s="1607"/>
      <c r="W129" s="1607"/>
      <c r="X129" s="1607"/>
      <c r="Y129" s="1607"/>
      <c r="Z129" s="1607"/>
      <c r="AA129" s="1607"/>
      <c r="AB129" s="1607"/>
      <c r="AC129" s="1607"/>
      <c r="AD129" s="1607"/>
      <c r="AE129" s="1607"/>
      <c r="AF129" s="1607"/>
      <c r="AG129" s="1607"/>
      <c r="AH129" s="1607"/>
      <c r="AI129" s="1607"/>
      <c r="AJ129" s="1607"/>
      <c r="AK129" s="1607"/>
      <c r="AL129" s="1607"/>
      <c r="AM129" s="1607"/>
      <c r="AN129" s="1607"/>
      <c r="AO129" s="1607"/>
      <c r="AP129" s="1607"/>
      <c r="AQ129" s="1607"/>
      <c r="AR129" s="1607"/>
      <c r="AS129" s="1607"/>
      <c r="AT129" s="1607"/>
      <c r="AU129" s="1607"/>
      <c r="AV129" s="1607"/>
      <c r="AW129" s="1607"/>
      <c r="AX129" s="1607"/>
      <c r="AY129" s="1607"/>
      <c r="AZ129" s="1607"/>
    </row>
    <row r="130" spans="2:55" s="1192" customFormat="1" ht="14.4" x14ac:dyDescent="0.3">
      <c r="B130" s="1750" t="s">
        <v>2405</v>
      </c>
      <c r="C130" s="1741"/>
      <c r="D130" s="1277"/>
      <c r="E130" s="896"/>
      <c r="G130" s="1666"/>
      <c r="H130" s="1607" t="s">
        <v>2532</v>
      </c>
      <c r="I130" s="1607"/>
      <c r="J130" s="1607"/>
      <c r="K130" s="1607"/>
      <c r="L130" s="1607"/>
      <c r="M130" s="1607"/>
      <c r="N130" s="1607"/>
      <c r="O130" s="1607"/>
      <c r="P130" s="1607"/>
      <c r="Q130" s="1607"/>
      <c r="R130" s="1607"/>
      <c r="S130" s="1607"/>
      <c r="T130" s="1607"/>
      <c r="U130" s="1607"/>
      <c r="V130" s="1607"/>
      <c r="W130" s="1607"/>
      <c r="X130" s="1607"/>
      <c r="Y130" s="1607"/>
      <c r="Z130" s="1608" t="s">
        <v>2405</v>
      </c>
      <c r="AA130" s="1607"/>
      <c r="AB130" s="1607"/>
      <c r="AC130" s="1607"/>
      <c r="AD130" s="1607"/>
      <c r="AE130" s="1607"/>
      <c r="AF130" s="1607"/>
      <c r="AG130" s="1607"/>
      <c r="AH130" s="1607"/>
      <c r="AI130" s="1607"/>
      <c r="AJ130" s="1607"/>
      <c r="AK130" s="1607"/>
      <c r="AL130" s="1607"/>
      <c r="AM130" s="1607"/>
      <c r="AN130" s="1607"/>
      <c r="AO130" s="1607"/>
      <c r="AP130" s="1607"/>
      <c r="AQ130" s="1607"/>
      <c r="AR130" s="1607"/>
      <c r="AS130" s="1607"/>
      <c r="AT130" s="1607"/>
      <c r="AU130" s="1607"/>
      <c r="AV130" s="1607"/>
      <c r="AW130" s="1607"/>
      <c r="AX130" s="1607"/>
      <c r="AY130" s="1607"/>
      <c r="AZ130" s="1607"/>
      <c r="BB130" s="1467" t="s">
        <v>2405</v>
      </c>
    </row>
    <row r="131" spans="2:55" s="1192" customFormat="1" ht="11.25" customHeight="1" x14ac:dyDescent="0.3">
      <c r="B131" s="1659"/>
      <c r="C131" s="1653"/>
      <c r="D131" s="1277"/>
      <c r="E131" s="896"/>
      <c r="G131" s="1666"/>
      <c r="H131" s="1607"/>
      <c r="I131" s="1607"/>
      <c r="J131" s="1607"/>
      <c r="K131" s="1607"/>
      <c r="L131" s="1607"/>
      <c r="M131" s="1607"/>
      <c r="N131" s="1607"/>
      <c r="O131" s="1607"/>
      <c r="P131" s="1607"/>
      <c r="Q131" s="1607"/>
      <c r="R131" s="1607"/>
      <c r="S131" s="1607"/>
      <c r="T131" s="1607"/>
      <c r="U131" s="1607"/>
      <c r="V131" s="1607"/>
      <c r="W131" s="1607"/>
      <c r="X131" s="1607"/>
      <c r="Y131" s="1607"/>
      <c r="Z131" s="1607"/>
      <c r="AA131" s="1607"/>
      <c r="AB131" s="1607"/>
      <c r="AC131" s="1607"/>
      <c r="AD131" s="1607"/>
      <c r="AE131" s="1607"/>
      <c r="AF131" s="1607"/>
      <c r="AG131" s="1607"/>
      <c r="AH131" s="1607"/>
      <c r="AI131" s="1607"/>
      <c r="AJ131" s="1607"/>
      <c r="AK131" s="1607"/>
      <c r="AL131" s="1607"/>
      <c r="AM131" s="1607"/>
      <c r="AN131" s="1607"/>
      <c r="AO131" s="1607"/>
      <c r="AP131" s="1607"/>
      <c r="AQ131" s="1607"/>
      <c r="AR131" s="1607"/>
      <c r="AS131" s="1607"/>
      <c r="AT131" s="1607"/>
      <c r="AU131" s="1607"/>
      <c r="AV131" s="1607"/>
      <c r="AW131" s="1607"/>
      <c r="AX131" s="1607"/>
      <c r="AY131" s="1607"/>
      <c r="AZ131" s="1607"/>
    </row>
    <row r="132" spans="2:55" s="1192" customFormat="1" ht="14.4" x14ac:dyDescent="0.3">
      <c r="B132" s="1741" t="s">
        <v>2033</v>
      </c>
      <c r="C132" s="1741"/>
      <c r="D132" s="524" t="s">
        <v>20</v>
      </c>
      <c r="E132" s="1219">
        <v>3.0000000000000001E-3</v>
      </c>
      <c r="G132" s="1666"/>
      <c r="H132" s="1607" t="s">
        <v>2717</v>
      </c>
      <c r="I132" s="1607" t="s">
        <v>2374</v>
      </c>
      <c r="J132" s="1607"/>
      <c r="K132" s="1607"/>
      <c r="L132" s="1607"/>
      <c r="M132" s="1607" t="s">
        <v>2723</v>
      </c>
      <c r="N132" s="1607"/>
      <c r="O132" s="1607"/>
      <c r="P132" s="1607"/>
      <c r="Q132" s="1607"/>
      <c r="R132" s="1607"/>
      <c r="S132" s="1607"/>
      <c r="T132" s="1607"/>
      <c r="U132" s="1607"/>
      <c r="V132" s="1607"/>
      <c r="W132" s="1607"/>
      <c r="X132" s="1607"/>
      <c r="Y132" s="1607"/>
      <c r="Z132" s="1608" t="s">
        <v>2033</v>
      </c>
      <c r="AA132" s="1607"/>
      <c r="AB132" s="1607"/>
      <c r="AC132" s="1607"/>
      <c r="AD132" s="1607"/>
      <c r="AE132" s="1607"/>
      <c r="AF132" s="1607"/>
      <c r="AG132" s="1607"/>
      <c r="AH132" s="1607"/>
      <c r="AI132" s="1607"/>
      <c r="AJ132" s="1607"/>
      <c r="AK132" s="1607"/>
      <c r="AL132" s="1607"/>
      <c r="AM132" s="1607"/>
      <c r="AN132" s="1607"/>
      <c r="AO132" s="1607"/>
      <c r="AP132" s="1607"/>
      <c r="AQ132" s="1607"/>
      <c r="AR132" s="1607"/>
      <c r="AS132" s="1607"/>
      <c r="AT132" s="1607"/>
      <c r="AU132" s="1607"/>
      <c r="AV132" s="1607"/>
      <c r="AW132" s="1607"/>
      <c r="AX132" s="1607"/>
      <c r="AY132" s="1607"/>
      <c r="AZ132" s="1607"/>
      <c r="BB132" s="1671" t="s">
        <v>2033</v>
      </c>
    </row>
    <row r="133" spans="2:55" s="1192" customFormat="1" ht="14.4" x14ac:dyDescent="0.3">
      <c r="B133" s="1741" t="s">
        <v>2034</v>
      </c>
      <c r="C133" s="1741"/>
      <c r="D133" s="524" t="s">
        <v>20</v>
      </c>
      <c r="E133" s="1219">
        <v>4.0000000000000002E-4</v>
      </c>
      <c r="G133" s="1666"/>
      <c r="H133" s="1607" t="s">
        <v>2717</v>
      </c>
      <c r="I133" s="1607" t="s">
        <v>2374</v>
      </c>
      <c r="J133" s="1607"/>
      <c r="K133" s="1607"/>
      <c r="L133" s="1607"/>
      <c r="M133" s="1607" t="s">
        <v>2723</v>
      </c>
      <c r="N133" s="1607"/>
      <c r="O133" s="1607"/>
      <c r="P133" s="1607"/>
      <c r="Q133" s="1607"/>
      <c r="R133" s="1607"/>
      <c r="S133" s="1607"/>
      <c r="T133" s="1607"/>
      <c r="U133" s="1607"/>
      <c r="V133" s="1607"/>
      <c r="W133" s="1607"/>
      <c r="X133" s="1607"/>
      <c r="Y133" s="1607"/>
      <c r="Z133" s="1608" t="s">
        <v>2034</v>
      </c>
      <c r="AA133" s="1607"/>
      <c r="AB133" s="1607"/>
      <c r="AC133" s="1607"/>
      <c r="AD133" s="1607"/>
      <c r="AE133" s="1607"/>
      <c r="AF133" s="1607"/>
      <c r="AG133" s="1607"/>
      <c r="AH133" s="1607"/>
      <c r="AI133" s="1607"/>
      <c r="AJ133" s="1607"/>
      <c r="AK133" s="1607"/>
      <c r="AL133" s="1607"/>
      <c r="AM133" s="1607"/>
      <c r="AN133" s="1607"/>
      <c r="AO133" s="1607"/>
      <c r="AP133" s="1607"/>
      <c r="AQ133" s="1607"/>
      <c r="AR133" s="1607"/>
      <c r="AS133" s="1607"/>
      <c r="AT133" s="1607"/>
      <c r="AU133" s="1607"/>
      <c r="AV133" s="1607"/>
      <c r="AW133" s="1607"/>
      <c r="AX133" s="1607"/>
      <c r="AY133" s="1607"/>
      <c r="AZ133" s="1607"/>
      <c r="BB133" s="1671" t="s">
        <v>2034</v>
      </c>
    </row>
    <row r="134" spans="2:55" s="1192" customFormat="1" ht="14.4" x14ac:dyDescent="0.3">
      <c r="B134" s="1741" t="s">
        <v>428</v>
      </c>
      <c r="C134" s="1741"/>
      <c r="D134" s="524" t="s">
        <v>20</v>
      </c>
      <c r="E134" s="1219">
        <v>5.0000000000000001E-4</v>
      </c>
      <c r="G134" s="1666"/>
      <c r="H134" s="1607" t="s">
        <v>2717</v>
      </c>
      <c r="I134" s="1607" t="s">
        <v>2374</v>
      </c>
      <c r="J134" s="1607"/>
      <c r="K134" s="1607"/>
      <c r="L134" s="1607"/>
      <c r="M134" s="1607" t="s">
        <v>2724</v>
      </c>
      <c r="N134" s="1607"/>
      <c r="O134" s="1607"/>
      <c r="P134" s="1607"/>
      <c r="Q134" s="1607"/>
      <c r="R134" s="1607"/>
      <c r="S134" s="1607"/>
      <c r="T134" s="1607"/>
      <c r="U134" s="1607"/>
      <c r="V134" s="1607"/>
      <c r="W134" s="1607"/>
      <c r="X134" s="1607"/>
      <c r="Y134" s="1607"/>
      <c r="Z134" s="1608" t="s">
        <v>428</v>
      </c>
      <c r="AA134" s="1607"/>
      <c r="AB134" s="1607"/>
      <c r="AC134" s="1607"/>
      <c r="AD134" s="1607"/>
      <c r="AE134" s="1607"/>
      <c r="AF134" s="1607"/>
      <c r="AG134" s="1607"/>
      <c r="AH134" s="1607"/>
      <c r="AI134" s="1607"/>
      <c r="AJ134" s="1607"/>
      <c r="AK134" s="1607"/>
      <c r="AL134" s="1607"/>
      <c r="AM134" s="1607"/>
      <c r="AN134" s="1607"/>
      <c r="AO134" s="1607"/>
      <c r="AP134" s="1607"/>
      <c r="AQ134" s="1607"/>
      <c r="AR134" s="1607"/>
      <c r="AS134" s="1607"/>
      <c r="AT134" s="1607"/>
      <c r="AU134" s="1607"/>
      <c r="AV134" s="1607"/>
      <c r="AW134" s="1607"/>
      <c r="AX134" s="1607"/>
      <c r="AY134" s="1607"/>
      <c r="AZ134" s="1607"/>
      <c r="BB134" s="1671" t="s">
        <v>428</v>
      </c>
    </row>
    <row r="135" spans="2:55" s="1192" customFormat="1" ht="14.4" x14ac:dyDescent="0.3">
      <c r="B135" s="1741" t="s">
        <v>28</v>
      </c>
      <c r="C135" s="1741"/>
      <c r="D135" s="524" t="s">
        <v>19</v>
      </c>
      <c r="E135" s="1218">
        <v>0.25</v>
      </c>
      <c r="G135" s="1666"/>
      <c r="H135" s="1607" t="s">
        <v>2717</v>
      </c>
      <c r="I135" s="1607" t="s">
        <v>2374</v>
      </c>
      <c r="J135" s="1607"/>
      <c r="K135" s="1607"/>
      <c r="L135" s="1607"/>
      <c r="M135" s="1607" t="s">
        <v>2725</v>
      </c>
      <c r="N135" s="1607"/>
      <c r="O135" s="1607"/>
      <c r="P135" s="1607"/>
      <c r="Q135" s="1607"/>
      <c r="R135" s="1607"/>
      <c r="S135" s="1607"/>
      <c r="T135" s="1607"/>
      <c r="U135" s="1607"/>
      <c r="V135" s="1607"/>
      <c r="W135" s="1607"/>
      <c r="X135" s="1607"/>
      <c r="Y135" s="1607"/>
      <c r="Z135" s="1608" t="s">
        <v>28</v>
      </c>
      <c r="AA135" s="1607"/>
      <c r="AB135" s="1607"/>
      <c r="AC135" s="1607"/>
      <c r="AD135" s="1607"/>
      <c r="AE135" s="1607"/>
      <c r="AF135" s="1607"/>
      <c r="AG135" s="1607"/>
      <c r="AH135" s="1607"/>
      <c r="AI135" s="1607"/>
      <c r="AJ135" s="1607"/>
      <c r="AK135" s="1607"/>
      <c r="AL135" s="1607"/>
      <c r="AM135" s="1607"/>
      <c r="AN135" s="1607"/>
      <c r="AO135" s="1607"/>
      <c r="AP135" s="1607"/>
      <c r="AQ135" s="1607"/>
      <c r="AR135" s="1607"/>
      <c r="AS135" s="1607" t="s">
        <v>603</v>
      </c>
      <c r="AT135" s="1607"/>
      <c r="AU135" s="1607"/>
      <c r="AV135" s="1607"/>
      <c r="AW135" s="1607"/>
      <c r="AX135" s="1607"/>
      <c r="AY135" s="1607"/>
      <c r="AZ135" s="1607"/>
      <c r="BB135" s="1671" t="s">
        <v>28</v>
      </c>
    </row>
    <row r="136" spans="2:55" s="1464" customFormat="1" ht="18" x14ac:dyDescent="0.35">
      <c r="B136" s="1746" t="s">
        <v>592</v>
      </c>
      <c r="C136" s="1747"/>
      <c r="D136" s="1747"/>
      <c r="E136" s="1747"/>
      <c r="G136" s="1468"/>
      <c r="H136" s="1607" t="s">
        <v>2726</v>
      </c>
      <c r="I136" s="1607"/>
      <c r="J136" s="1607"/>
      <c r="K136" s="1607"/>
      <c r="L136" s="1607"/>
      <c r="M136" s="1607"/>
      <c r="N136" s="1607"/>
      <c r="O136" s="1607"/>
      <c r="P136" s="1607"/>
      <c r="Q136" s="1607"/>
      <c r="R136" s="1607"/>
      <c r="S136" s="1607"/>
      <c r="T136" s="1607"/>
      <c r="U136" s="1607"/>
      <c r="V136" s="1607"/>
      <c r="W136" s="1607"/>
      <c r="X136" s="1607"/>
      <c r="Y136" s="1607"/>
      <c r="Z136" s="1607"/>
      <c r="AA136" s="1608" t="s">
        <v>592</v>
      </c>
      <c r="AB136" s="1607"/>
      <c r="AC136" s="1607"/>
      <c r="AD136" s="1607"/>
      <c r="AE136" s="1607"/>
      <c r="AF136" s="1607"/>
      <c r="AG136" s="1607"/>
      <c r="AH136" s="1607"/>
      <c r="AI136" s="1607"/>
      <c r="AJ136" s="1607"/>
      <c r="AK136" s="1607"/>
      <c r="AL136" s="1607"/>
      <c r="AM136" s="1607"/>
      <c r="AN136" s="1607"/>
      <c r="AO136" s="1607"/>
      <c r="AP136" s="1607"/>
      <c r="AQ136" s="1607"/>
      <c r="AR136" s="1607"/>
      <c r="AS136" s="1607"/>
      <c r="AT136" s="1607"/>
      <c r="AU136" s="1607"/>
      <c r="AV136" s="1607"/>
      <c r="AW136" s="1607"/>
      <c r="AX136" s="1607"/>
      <c r="AY136" s="1607"/>
      <c r="AZ136" s="1607"/>
      <c r="BC136" s="1465" t="s">
        <v>592</v>
      </c>
    </row>
    <row r="137" spans="2:55" s="1192" customFormat="1" ht="79.8" x14ac:dyDescent="0.3">
      <c r="B137" s="1743" t="s">
        <v>4411</v>
      </c>
      <c r="C137" s="1743"/>
      <c r="D137" s="1743"/>
      <c r="E137" s="1743"/>
      <c r="G137" s="1666"/>
      <c r="H137" s="1607" t="s">
        <v>2726</v>
      </c>
      <c r="I137" s="1607"/>
      <c r="J137" s="1607"/>
      <c r="K137" s="1607"/>
      <c r="L137" s="1607"/>
      <c r="M137" s="1607"/>
      <c r="N137" s="1607"/>
      <c r="O137" s="1607"/>
      <c r="P137" s="1607"/>
      <c r="Q137" s="1607"/>
      <c r="R137" s="1607"/>
      <c r="S137" s="1607"/>
      <c r="T137" s="1607"/>
      <c r="U137" s="1607"/>
      <c r="V137" s="1607"/>
      <c r="W137" s="1607"/>
      <c r="X137" s="1607"/>
      <c r="Y137" s="1607"/>
      <c r="Z137" s="1607"/>
      <c r="AA137" s="1608" t="s">
        <v>4411</v>
      </c>
      <c r="AB137" s="1607"/>
      <c r="AC137" s="1607"/>
      <c r="AD137" s="1607"/>
      <c r="AE137" s="1607"/>
      <c r="AF137" s="1607"/>
      <c r="AG137" s="1607"/>
      <c r="AH137" s="1607"/>
      <c r="AI137" s="1607"/>
      <c r="AJ137" s="1607"/>
      <c r="AK137" s="1607"/>
      <c r="AL137" s="1607"/>
      <c r="AM137" s="1607"/>
      <c r="AN137" s="1607"/>
      <c r="AO137" s="1607"/>
      <c r="AP137" s="1607"/>
      <c r="AQ137" s="1607"/>
      <c r="AR137" s="1607"/>
      <c r="AS137" s="1607"/>
      <c r="AT137" s="1607"/>
      <c r="AU137" s="1607"/>
      <c r="AV137" s="1607"/>
      <c r="AW137" s="1607"/>
      <c r="AX137" s="1607"/>
      <c r="AY137" s="1607"/>
      <c r="AZ137" s="1607"/>
      <c r="BC137" s="1670" t="s">
        <v>4411</v>
      </c>
    </row>
    <row r="138" spans="2:55" s="1192" customFormat="1" ht="11.25" customHeight="1" x14ac:dyDescent="0.3">
      <c r="B138" s="1654"/>
      <c r="C138" s="1654"/>
      <c r="D138" s="1654"/>
      <c r="E138" s="1654"/>
      <c r="G138" s="1666"/>
      <c r="H138" s="1607"/>
      <c r="I138" s="1607"/>
      <c r="J138" s="1607"/>
      <c r="K138" s="1607"/>
      <c r="L138" s="1607"/>
      <c r="M138" s="1607"/>
      <c r="N138" s="1607"/>
      <c r="O138" s="1607"/>
      <c r="P138" s="1607"/>
      <c r="Q138" s="1607"/>
      <c r="R138" s="1607"/>
      <c r="S138" s="1607"/>
      <c r="T138" s="1607"/>
      <c r="U138" s="1607"/>
      <c r="V138" s="1607"/>
      <c r="W138" s="1607"/>
      <c r="X138" s="1607"/>
      <c r="Y138" s="1607"/>
      <c r="Z138" s="1607"/>
      <c r="AA138" s="1607"/>
      <c r="AB138" s="1607"/>
      <c r="AC138" s="1607"/>
      <c r="AD138" s="1607"/>
      <c r="AE138" s="1607"/>
      <c r="AF138" s="1607"/>
      <c r="AG138" s="1607"/>
      <c r="AH138" s="1607"/>
      <c r="AI138" s="1607"/>
      <c r="AJ138" s="1607"/>
      <c r="AK138" s="1607"/>
      <c r="AL138" s="1607"/>
      <c r="AM138" s="1607"/>
      <c r="AN138" s="1607"/>
      <c r="AO138" s="1607"/>
      <c r="AP138" s="1607"/>
      <c r="AQ138" s="1607"/>
      <c r="AR138" s="1607"/>
      <c r="AS138" s="1607"/>
      <c r="AT138" s="1607"/>
      <c r="AU138" s="1607"/>
      <c r="AV138" s="1607"/>
      <c r="AW138" s="1607"/>
      <c r="AX138" s="1607"/>
      <c r="AY138" s="1607"/>
      <c r="AZ138" s="1607"/>
    </row>
    <row r="139" spans="2:55" s="1192" customFormat="1" ht="14.4" x14ac:dyDescent="0.3">
      <c r="B139" s="1750" t="s">
        <v>2389</v>
      </c>
      <c r="C139" s="1743"/>
      <c r="D139" s="1743"/>
      <c r="E139" s="1743"/>
      <c r="G139" s="1666"/>
      <c r="H139" s="1607" t="s">
        <v>2424</v>
      </c>
      <c r="I139" s="1607"/>
      <c r="J139" s="1607"/>
      <c r="K139" s="1607"/>
      <c r="L139" s="1607"/>
      <c r="M139" s="1607"/>
      <c r="N139" s="1607"/>
      <c r="O139" s="1607"/>
      <c r="P139" s="1607"/>
      <c r="Q139" s="1607"/>
      <c r="R139" s="1607"/>
      <c r="S139" s="1607"/>
      <c r="T139" s="1607"/>
      <c r="U139" s="1607"/>
      <c r="V139" s="1607"/>
      <c r="W139" s="1607"/>
      <c r="X139" s="1607"/>
      <c r="Y139" s="1607"/>
      <c r="Z139" s="1607"/>
      <c r="AA139" s="1608" t="s">
        <v>2389</v>
      </c>
      <c r="AB139" s="1607"/>
      <c r="AC139" s="1607"/>
      <c r="AD139" s="1607"/>
      <c r="AE139" s="1607"/>
      <c r="AF139" s="1607"/>
      <c r="AG139" s="1607"/>
      <c r="AH139" s="1607"/>
      <c r="AI139" s="1607"/>
      <c r="AJ139" s="1607"/>
      <c r="AK139" s="1607"/>
      <c r="AL139" s="1607"/>
      <c r="AM139" s="1607"/>
      <c r="AN139" s="1607"/>
      <c r="AO139" s="1607"/>
      <c r="AP139" s="1607"/>
      <c r="AQ139" s="1607"/>
      <c r="AR139" s="1607"/>
      <c r="AS139" s="1607"/>
      <c r="AT139" s="1607"/>
      <c r="AU139" s="1607"/>
      <c r="AV139" s="1607"/>
      <c r="AW139" s="1607"/>
      <c r="AX139" s="1607"/>
      <c r="AY139" s="1607"/>
      <c r="AZ139" s="1607"/>
      <c r="BC139" s="1467" t="s">
        <v>2389</v>
      </c>
    </row>
    <row r="140" spans="2:55" s="1192" customFormat="1" ht="11.25" customHeight="1" x14ac:dyDescent="0.3">
      <c r="B140" s="1659"/>
      <c r="C140" s="1654"/>
      <c r="D140" s="1654"/>
      <c r="E140" s="1654"/>
      <c r="G140" s="1666"/>
      <c r="H140" s="1607"/>
      <c r="I140" s="1607"/>
      <c r="J140" s="1607"/>
      <c r="K140" s="1607"/>
      <c r="L140" s="1607"/>
      <c r="M140" s="1607"/>
      <c r="N140" s="1607"/>
      <c r="O140" s="1607"/>
      <c r="P140" s="1607"/>
      <c r="Q140" s="1607"/>
      <c r="R140" s="1607"/>
      <c r="S140" s="1607"/>
      <c r="T140" s="1607"/>
      <c r="U140" s="1607"/>
      <c r="V140" s="1607"/>
      <c r="W140" s="1607"/>
      <c r="X140" s="1607"/>
      <c r="Y140" s="1607"/>
      <c r="Z140" s="1607"/>
      <c r="AA140" s="1607"/>
      <c r="AB140" s="1607"/>
      <c r="AC140" s="1607"/>
      <c r="AD140" s="1607"/>
      <c r="AE140" s="1607"/>
      <c r="AF140" s="1607"/>
      <c r="AG140" s="1607"/>
      <c r="AH140" s="1607"/>
      <c r="AI140" s="1607"/>
      <c r="AJ140" s="1607"/>
      <c r="AK140" s="1607"/>
      <c r="AL140" s="1607"/>
      <c r="AM140" s="1607"/>
      <c r="AN140" s="1607"/>
      <c r="AO140" s="1607"/>
      <c r="AP140" s="1607"/>
      <c r="AQ140" s="1607"/>
      <c r="AR140" s="1607"/>
      <c r="AS140" s="1607"/>
      <c r="AT140" s="1607"/>
      <c r="AU140" s="1607"/>
      <c r="AV140" s="1607"/>
      <c r="AW140" s="1607"/>
      <c r="AX140" s="1607"/>
      <c r="AY140" s="1607"/>
      <c r="AZ140" s="1607"/>
    </row>
    <row r="141" spans="2:55" s="1192" customFormat="1" ht="34.200000000000003" x14ac:dyDescent="0.3">
      <c r="B141" s="1743" t="s">
        <v>2391</v>
      </c>
      <c r="C141" s="1743"/>
      <c r="D141" s="1743"/>
      <c r="E141" s="1743"/>
      <c r="G141" s="1666"/>
      <c r="H141" s="1607" t="s">
        <v>2726</v>
      </c>
      <c r="I141" s="1607"/>
      <c r="J141" s="1607"/>
      <c r="K141" s="1607"/>
      <c r="L141" s="1607"/>
      <c r="M141" s="1607"/>
      <c r="N141" s="1607"/>
      <c r="O141" s="1607"/>
      <c r="P141" s="1607"/>
      <c r="Q141" s="1607"/>
      <c r="R141" s="1607"/>
      <c r="S141" s="1607"/>
      <c r="T141" s="1607"/>
      <c r="U141" s="1607"/>
      <c r="V141" s="1607"/>
      <c r="W141" s="1607"/>
      <c r="X141" s="1607"/>
      <c r="Y141" s="1607"/>
      <c r="Z141" s="1607"/>
      <c r="AA141" s="1608" t="s">
        <v>2391</v>
      </c>
      <c r="AB141" s="1607"/>
      <c r="AC141" s="1607"/>
      <c r="AD141" s="1607"/>
      <c r="AE141" s="1607"/>
      <c r="AF141" s="1607"/>
      <c r="AG141" s="1607"/>
      <c r="AH141" s="1607"/>
      <c r="AI141" s="1607"/>
      <c r="AJ141" s="1607"/>
      <c r="AK141" s="1607"/>
      <c r="AL141" s="1607"/>
      <c r="AM141" s="1607"/>
      <c r="AN141" s="1607"/>
      <c r="AO141" s="1607"/>
      <c r="AP141" s="1607"/>
      <c r="AQ141" s="1607"/>
      <c r="AR141" s="1607"/>
      <c r="AS141" s="1607"/>
      <c r="AT141" s="1607"/>
      <c r="AU141" s="1607"/>
      <c r="AV141" s="1607"/>
      <c r="AW141" s="1607"/>
      <c r="AX141" s="1607"/>
      <c r="AY141" s="1607"/>
      <c r="AZ141" s="1607"/>
      <c r="BC141" s="1670" t="s">
        <v>2391</v>
      </c>
    </row>
    <row r="142" spans="2:55" s="1192" customFormat="1" ht="11.25" customHeight="1" x14ac:dyDescent="0.3">
      <c r="B142" s="1654"/>
      <c r="C142" s="1654"/>
      <c r="D142" s="1654"/>
      <c r="E142" s="1654"/>
      <c r="G142" s="1666"/>
      <c r="H142" s="1607"/>
      <c r="I142" s="1607"/>
      <c r="J142" s="1607"/>
      <c r="K142" s="1607"/>
      <c r="L142" s="1607"/>
      <c r="M142" s="1607"/>
      <c r="N142" s="1607"/>
      <c r="O142" s="1607"/>
      <c r="P142" s="1607"/>
      <c r="Q142" s="1607"/>
      <c r="R142" s="1607"/>
      <c r="S142" s="1607"/>
      <c r="T142" s="1607"/>
      <c r="U142" s="1607"/>
      <c r="V142" s="1607"/>
      <c r="W142" s="1607"/>
      <c r="X142" s="1607"/>
      <c r="Y142" s="1607"/>
      <c r="Z142" s="1607"/>
      <c r="AA142" s="1607"/>
      <c r="AB142" s="1607"/>
      <c r="AC142" s="1607"/>
      <c r="AD142" s="1607"/>
      <c r="AE142" s="1607"/>
      <c r="AF142" s="1607"/>
      <c r="AG142" s="1607"/>
      <c r="AH142" s="1607"/>
      <c r="AI142" s="1607"/>
      <c r="AJ142" s="1607"/>
      <c r="AK142" s="1607"/>
      <c r="AL142" s="1607"/>
      <c r="AM142" s="1607"/>
      <c r="AN142" s="1607"/>
      <c r="AO142" s="1607"/>
      <c r="AP142" s="1607"/>
      <c r="AQ142" s="1607"/>
      <c r="AR142" s="1607"/>
      <c r="AS142" s="1607"/>
      <c r="AT142" s="1607"/>
      <c r="AU142" s="1607"/>
      <c r="AV142" s="1607"/>
      <c r="AW142" s="1607"/>
      <c r="AX142" s="1607"/>
      <c r="AY142" s="1607"/>
      <c r="AZ142" s="1607"/>
    </row>
    <row r="143" spans="2:55" s="1192" customFormat="1" ht="45.6" x14ac:dyDescent="0.3">
      <c r="B143" s="1743" t="s">
        <v>2392</v>
      </c>
      <c r="C143" s="1743"/>
      <c r="D143" s="1743"/>
      <c r="E143" s="1743"/>
      <c r="G143" s="1666"/>
      <c r="H143" s="1607" t="s">
        <v>2726</v>
      </c>
      <c r="I143" s="1607"/>
      <c r="J143" s="1607"/>
      <c r="K143" s="1607"/>
      <c r="L143" s="1607"/>
      <c r="M143" s="1607"/>
      <c r="N143" s="1607"/>
      <c r="O143" s="1607"/>
      <c r="P143" s="1607"/>
      <c r="Q143" s="1607"/>
      <c r="R143" s="1607"/>
      <c r="S143" s="1607"/>
      <c r="T143" s="1607"/>
      <c r="U143" s="1607"/>
      <c r="V143" s="1607"/>
      <c r="W143" s="1607"/>
      <c r="X143" s="1607"/>
      <c r="Y143" s="1607"/>
      <c r="Z143" s="1607"/>
      <c r="AA143" s="1608" t="s">
        <v>2392</v>
      </c>
      <c r="AB143" s="1607"/>
      <c r="AC143" s="1607"/>
      <c r="AD143" s="1607"/>
      <c r="AE143" s="1607"/>
      <c r="AF143" s="1607"/>
      <c r="AG143" s="1607"/>
      <c r="AH143" s="1607"/>
      <c r="AI143" s="1607"/>
      <c r="AJ143" s="1607"/>
      <c r="AK143" s="1607"/>
      <c r="AL143" s="1607"/>
      <c r="AM143" s="1607"/>
      <c r="AN143" s="1607"/>
      <c r="AO143" s="1607"/>
      <c r="AP143" s="1607"/>
      <c r="AQ143" s="1607"/>
      <c r="AR143" s="1607"/>
      <c r="AS143" s="1607"/>
      <c r="AT143" s="1607"/>
      <c r="AU143" s="1607"/>
      <c r="AV143" s="1607"/>
      <c r="AW143" s="1607"/>
      <c r="AX143" s="1607"/>
      <c r="AY143" s="1607"/>
      <c r="AZ143" s="1607"/>
      <c r="BC143" s="1670" t="s">
        <v>2392</v>
      </c>
    </row>
    <row r="144" spans="2:55" s="1192" customFormat="1" ht="11.25" customHeight="1" x14ac:dyDescent="0.3">
      <c r="B144" s="1654"/>
      <c r="C144" s="1654"/>
      <c r="D144" s="1654"/>
      <c r="E144" s="1654"/>
      <c r="G144" s="1666"/>
      <c r="H144" s="1607"/>
      <c r="I144" s="1607"/>
      <c r="J144" s="1607"/>
      <c r="K144" s="1607"/>
      <c r="L144" s="1607"/>
      <c r="M144" s="1607"/>
      <c r="N144" s="1607"/>
      <c r="O144" s="1607"/>
      <c r="P144" s="1607"/>
      <c r="Q144" s="1607"/>
      <c r="R144" s="1607"/>
      <c r="S144" s="1607"/>
      <c r="T144" s="1607"/>
      <c r="U144" s="1607"/>
      <c r="V144" s="1607"/>
      <c r="W144" s="1607"/>
      <c r="X144" s="1607"/>
      <c r="Y144" s="1607"/>
      <c r="Z144" s="1607"/>
      <c r="AA144" s="1607"/>
      <c r="AB144" s="1607"/>
      <c r="AC144" s="1607"/>
      <c r="AD144" s="1607"/>
      <c r="AE144" s="1607"/>
      <c r="AF144" s="1607"/>
      <c r="AG144" s="1607"/>
      <c r="AH144" s="1607"/>
      <c r="AI144" s="1607"/>
      <c r="AJ144" s="1607"/>
      <c r="AK144" s="1607"/>
      <c r="AL144" s="1607"/>
      <c r="AM144" s="1607"/>
      <c r="AN144" s="1607"/>
      <c r="AO144" s="1607"/>
      <c r="AP144" s="1607"/>
      <c r="AQ144" s="1607"/>
      <c r="AR144" s="1607"/>
      <c r="AS144" s="1607"/>
      <c r="AT144" s="1607"/>
      <c r="AU144" s="1607"/>
      <c r="AV144" s="1607"/>
      <c r="AW144" s="1607"/>
      <c r="AX144" s="1607"/>
      <c r="AY144" s="1607"/>
      <c r="AZ144" s="1607"/>
    </row>
    <row r="145" spans="2:55" s="1192" customFormat="1" ht="45.6" x14ac:dyDescent="0.3">
      <c r="B145" s="1743" t="s">
        <v>2508</v>
      </c>
      <c r="C145" s="1743"/>
      <c r="D145" s="1743"/>
      <c r="E145" s="1743"/>
      <c r="G145" s="1666"/>
      <c r="H145" s="1607" t="s">
        <v>2726</v>
      </c>
      <c r="I145" s="1607"/>
      <c r="J145" s="1607"/>
      <c r="K145" s="1607"/>
      <c r="L145" s="1607"/>
      <c r="M145" s="1607"/>
      <c r="N145" s="1607"/>
      <c r="O145" s="1607"/>
      <c r="P145" s="1607"/>
      <c r="Q145" s="1607"/>
      <c r="R145" s="1607"/>
      <c r="S145" s="1607"/>
      <c r="T145" s="1607"/>
      <c r="U145" s="1607"/>
      <c r="V145" s="1607"/>
      <c r="W145" s="1607"/>
      <c r="X145" s="1607"/>
      <c r="Y145" s="1607"/>
      <c r="Z145" s="1607"/>
      <c r="AA145" s="1608" t="s">
        <v>2508</v>
      </c>
      <c r="AB145" s="1607"/>
      <c r="AC145" s="1607"/>
      <c r="AD145" s="1607"/>
      <c r="AE145" s="1607"/>
      <c r="AF145" s="1607"/>
      <c r="AG145" s="1607"/>
      <c r="AH145" s="1607"/>
      <c r="AI145" s="1607"/>
      <c r="AJ145" s="1607"/>
      <c r="AK145" s="1607"/>
      <c r="AL145" s="1607"/>
      <c r="AM145" s="1607"/>
      <c r="AN145" s="1607"/>
      <c r="AO145" s="1607"/>
      <c r="AP145" s="1607"/>
      <c r="AQ145" s="1607"/>
      <c r="AR145" s="1607"/>
      <c r="AS145" s="1607"/>
      <c r="AT145" s="1607"/>
      <c r="AU145" s="1607"/>
      <c r="AV145" s="1607"/>
      <c r="AW145" s="1607"/>
      <c r="AX145" s="1607"/>
      <c r="AY145" s="1607"/>
      <c r="AZ145" s="1607"/>
      <c r="BC145" s="1670" t="s">
        <v>2508</v>
      </c>
    </row>
    <row r="146" spans="2:55" s="1192" customFormat="1" ht="11.25" customHeight="1" x14ac:dyDescent="0.3">
      <c r="B146" s="1654"/>
      <c r="C146" s="1654"/>
      <c r="D146" s="1654"/>
      <c r="E146" s="1654"/>
      <c r="G146" s="1666"/>
      <c r="H146" s="1607"/>
      <c r="I146" s="1607"/>
      <c r="J146" s="1607"/>
      <c r="K146" s="1607"/>
      <c r="L146" s="1607"/>
      <c r="M146" s="1607"/>
      <c r="N146" s="1607"/>
      <c r="O146" s="1607"/>
      <c r="P146" s="1607"/>
      <c r="Q146" s="1607"/>
      <c r="R146" s="1607"/>
      <c r="S146" s="1607"/>
      <c r="T146" s="1607"/>
      <c r="U146" s="1607"/>
      <c r="V146" s="1607"/>
      <c r="W146" s="1607"/>
      <c r="X146" s="1607"/>
      <c r="Y146" s="1607"/>
      <c r="Z146" s="1607"/>
      <c r="AA146" s="1607"/>
      <c r="AB146" s="1607"/>
      <c r="AC146" s="1607"/>
      <c r="AD146" s="1607"/>
      <c r="AE146" s="1607"/>
      <c r="AF146" s="1607"/>
      <c r="AG146" s="1607"/>
      <c r="AH146" s="1607"/>
      <c r="AI146" s="1607"/>
      <c r="AJ146" s="1607"/>
      <c r="AK146" s="1607"/>
      <c r="AL146" s="1607"/>
      <c r="AM146" s="1607"/>
      <c r="AN146" s="1607"/>
      <c r="AO146" s="1607"/>
      <c r="AP146" s="1607"/>
      <c r="AQ146" s="1607"/>
      <c r="AR146" s="1607"/>
      <c r="AS146" s="1607"/>
      <c r="AT146" s="1607"/>
      <c r="AU146" s="1607"/>
      <c r="AV146" s="1607"/>
      <c r="AW146" s="1607"/>
      <c r="AX146" s="1607"/>
      <c r="AY146" s="1607"/>
      <c r="AZ146" s="1607"/>
    </row>
    <row r="147" spans="2:55" s="1192" customFormat="1" ht="34.200000000000003" x14ac:dyDescent="0.3">
      <c r="B147" s="1743" t="s">
        <v>4500</v>
      </c>
      <c r="C147" s="1743"/>
      <c r="D147" s="1743"/>
      <c r="E147" s="1743"/>
      <c r="G147" s="1666"/>
      <c r="H147" s="1607" t="s">
        <v>2726</v>
      </c>
      <c r="I147" s="1607"/>
      <c r="J147" s="1607"/>
      <c r="K147" s="1607"/>
      <c r="L147" s="1607"/>
      <c r="M147" s="1607"/>
      <c r="N147" s="1607"/>
      <c r="O147" s="1607"/>
      <c r="P147" s="1607"/>
      <c r="Q147" s="1607"/>
      <c r="R147" s="1607"/>
      <c r="S147" s="1607"/>
      <c r="T147" s="1607"/>
      <c r="U147" s="1607"/>
      <c r="V147" s="1607"/>
      <c r="W147" s="1607"/>
      <c r="X147" s="1607"/>
      <c r="Y147" s="1607"/>
      <c r="Z147" s="1607"/>
      <c r="AA147" s="1608" t="s">
        <v>4500</v>
      </c>
      <c r="AB147" s="1607"/>
      <c r="AC147" s="1607"/>
      <c r="AD147" s="1607"/>
      <c r="AE147" s="1607"/>
      <c r="AF147" s="1607"/>
      <c r="AG147" s="1607"/>
      <c r="AH147" s="1607"/>
      <c r="AI147" s="1607"/>
      <c r="AJ147" s="1607"/>
      <c r="AK147" s="1607"/>
      <c r="AL147" s="1607"/>
      <c r="AM147" s="1607"/>
      <c r="AN147" s="1607"/>
      <c r="AO147" s="1607"/>
      <c r="AP147" s="1607"/>
      <c r="AQ147" s="1607"/>
      <c r="AR147" s="1607"/>
      <c r="AS147" s="1607"/>
      <c r="AT147" s="1607"/>
      <c r="AU147" s="1607"/>
      <c r="AV147" s="1607"/>
      <c r="AW147" s="1607"/>
      <c r="AX147" s="1607"/>
      <c r="AY147" s="1607"/>
      <c r="AZ147" s="1607"/>
      <c r="BC147" s="1670" t="s">
        <v>4500</v>
      </c>
    </row>
    <row r="148" spans="2:55" s="1192" customFormat="1" ht="11.25" customHeight="1" x14ac:dyDescent="0.3">
      <c r="B148" s="1654"/>
      <c r="C148" s="1654"/>
      <c r="D148" s="1654"/>
      <c r="E148" s="1654"/>
      <c r="G148" s="1666"/>
      <c r="H148" s="1607"/>
      <c r="I148" s="1607"/>
      <c r="J148" s="1607"/>
      <c r="K148" s="1607"/>
      <c r="L148" s="1607"/>
      <c r="M148" s="1607"/>
      <c r="N148" s="1607"/>
      <c r="O148" s="1607"/>
      <c r="P148" s="1607"/>
      <c r="Q148" s="1607"/>
      <c r="R148" s="1607"/>
      <c r="S148" s="1607"/>
      <c r="T148" s="1607"/>
      <c r="U148" s="1607"/>
      <c r="V148" s="1607"/>
      <c r="W148" s="1607"/>
      <c r="X148" s="1607"/>
      <c r="Y148" s="1607"/>
      <c r="Z148" s="1607"/>
      <c r="AA148" s="1607"/>
      <c r="AB148" s="1607"/>
      <c r="AC148" s="1607"/>
      <c r="AD148" s="1607"/>
      <c r="AE148" s="1607"/>
      <c r="AF148" s="1607"/>
      <c r="AG148" s="1607"/>
      <c r="AH148" s="1607"/>
      <c r="AI148" s="1607"/>
      <c r="AJ148" s="1607"/>
      <c r="AK148" s="1607"/>
      <c r="AL148" s="1607"/>
      <c r="AM148" s="1607"/>
      <c r="AN148" s="1607"/>
      <c r="AO148" s="1607"/>
      <c r="AP148" s="1607"/>
      <c r="AQ148" s="1607"/>
      <c r="AR148" s="1607"/>
      <c r="AS148" s="1607"/>
      <c r="AT148" s="1607"/>
      <c r="AU148" s="1607"/>
      <c r="AV148" s="1607"/>
      <c r="AW148" s="1607"/>
      <c r="AX148" s="1607"/>
      <c r="AY148" s="1607"/>
      <c r="AZ148" s="1607"/>
    </row>
    <row r="149" spans="2:55" s="1192" customFormat="1" ht="14.4" x14ac:dyDescent="0.3">
      <c r="B149" s="1750" t="s">
        <v>2394</v>
      </c>
      <c r="C149" s="1743"/>
      <c r="D149" s="1743"/>
      <c r="E149" s="1743"/>
      <c r="G149" s="1666"/>
      <c r="H149" s="1607" t="s">
        <v>2425</v>
      </c>
      <c r="I149" s="1607"/>
      <c r="J149" s="1607"/>
      <c r="K149" s="1607"/>
      <c r="L149" s="1607"/>
      <c r="M149" s="1607"/>
      <c r="N149" s="1607"/>
      <c r="O149" s="1607"/>
      <c r="P149" s="1607"/>
      <c r="Q149" s="1607"/>
      <c r="R149" s="1607"/>
      <c r="S149" s="1607"/>
      <c r="T149" s="1607"/>
      <c r="U149" s="1607"/>
      <c r="V149" s="1607"/>
      <c r="W149" s="1607"/>
      <c r="X149" s="1607"/>
      <c r="Y149" s="1607"/>
      <c r="Z149" s="1607"/>
      <c r="AA149" s="1608" t="s">
        <v>2394</v>
      </c>
      <c r="AB149" s="1607"/>
      <c r="AC149" s="1607"/>
      <c r="AD149" s="1607"/>
      <c r="AE149" s="1607"/>
      <c r="AF149" s="1607"/>
      <c r="AG149" s="1607"/>
      <c r="AH149" s="1607"/>
      <c r="AI149" s="1607"/>
      <c r="AJ149" s="1607"/>
      <c r="AK149" s="1607"/>
      <c r="AL149" s="1607"/>
      <c r="AM149" s="1607"/>
      <c r="AN149" s="1607"/>
      <c r="AO149" s="1607"/>
      <c r="AP149" s="1607"/>
      <c r="AQ149" s="1607"/>
      <c r="AR149" s="1607"/>
      <c r="AS149" s="1607"/>
      <c r="AT149" s="1607"/>
      <c r="AU149" s="1607"/>
      <c r="AV149" s="1607"/>
      <c r="AW149" s="1607"/>
      <c r="AX149" s="1607"/>
      <c r="AY149" s="1607"/>
      <c r="AZ149" s="1607"/>
      <c r="BC149" s="1467" t="s">
        <v>2394</v>
      </c>
    </row>
    <row r="150" spans="2:55" s="1192" customFormat="1" ht="11.25" customHeight="1" x14ac:dyDescent="0.3">
      <c r="B150" s="1659"/>
      <c r="C150" s="1655"/>
      <c r="D150" s="1655"/>
      <c r="E150" s="1655"/>
      <c r="G150" s="1666"/>
      <c r="H150" s="1607"/>
      <c r="I150" s="1607"/>
      <c r="J150" s="1607"/>
      <c r="K150" s="1607"/>
      <c r="L150" s="1607"/>
      <c r="M150" s="1607"/>
      <c r="N150" s="1607"/>
      <c r="O150" s="1607"/>
      <c r="P150" s="1607"/>
      <c r="Q150" s="1607"/>
      <c r="R150" s="1607"/>
      <c r="S150" s="1607"/>
      <c r="T150" s="1607"/>
      <c r="U150" s="1607"/>
      <c r="V150" s="1607"/>
      <c r="W150" s="1607"/>
      <c r="X150" s="1607"/>
      <c r="Y150" s="1607"/>
      <c r="Z150" s="1607"/>
      <c r="AA150" s="1607"/>
      <c r="AB150" s="1607"/>
      <c r="AC150" s="1607"/>
      <c r="AD150" s="1607"/>
      <c r="AE150" s="1607"/>
      <c r="AF150" s="1607"/>
      <c r="AG150" s="1607"/>
      <c r="AH150" s="1607"/>
      <c r="AI150" s="1607"/>
      <c r="AJ150" s="1607"/>
      <c r="AK150" s="1607"/>
      <c r="AL150" s="1607"/>
      <c r="AM150" s="1607"/>
      <c r="AN150" s="1607"/>
      <c r="AO150" s="1607"/>
      <c r="AP150" s="1607"/>
      <c r="AQ150" s="1607"/>
      <c r="AR150" s="1607"/>
      <c r="AS150" s="1607"/>
      <c r="AT150" s="1607"/>
      <c r="AU150" s="1607"/>
      <c r="AV150" s="1607"/>
      <c r="AW150" s="1607"/>
      <c r="AX150" s="1607"/>
      <c r="AY150" s="1607"/>
      <c r="AZ150" s="1607"/>
    </row>
    <row r="151" spans="2:55" s="1192" customFormat="1" ht="14.4" x14ac:dyDescent="0.3">
      <c r="B151" s="1741" t="s">
        <v>9</v>
      </c>
      <c r="C151" s="1741"/>
      <c r="D151" s="524" t="s">
        <v>19</v>
      </c>
      <c r="E151" s="1516">
        <v>8.19</v>
      </c>
      <c r="G151" s="1666"/>
      <c r="H151" s="1607" t="s">
        <v>2726</v>
      </c>
      <c r="I151" s="1607" t="s">
        <v>430</v>
      </c>
      <c r="J151" s="1607"/>
      <c r="K151" s="1607"/>
      <c r="L151" s="1607"/>
      <c r="M151" s="1607" t="s">
        <v>2727</v>
      </c>
      <c r="N151" s="1607"/>
      <c r="O151" s="1607"/>
      <c r="P151" s="1607"/>
      <c r="Q151" s="1607"/>
      <c r="R151" s="1607"/>
      <c r="S151" s="1607"/>
      <c r="T151" s="1607"/>
      <c r="U151" s="1607"/>
      <c r="V151" s="1607"/>
      <c r="W151" s="1607"/>
      <c r="X151" s="1607"/>
      <c r="Y151" s="1607"/>
      <c r="Z151" s="1608" t="s">
        <v>2727</v>
      </c>
      <c r="AA151" s="1607"/>
      <c r="AB151" s="1607"/>
      <c r="AC151" s="1607"/>
      <c r="AD151" s="1607"/>
      <c r="AE151" s="1607"/>
      <c r="AF151" s="1607"/>
      <c r="AG151" s="1607"/>
      <c r="AH151" s="1607"/>
      <c r="AI151" s="1607"/>
      <c r="AJ151" s="1607"/>
      <c r="AK151" s="1607"/>
      <c r="AL151" s="1607"/>
      <c r="AM151" s="1607"/>
      <c r="AN151" s="1607"/>
      <c r="AO151" s="1607"/>
      <c r="AP151" s="1607"/>
      <c r="AQ151" s="1607"/>
      <c r="AR151" s="1607"/>
      <c r="AS151" s="1607"/>
      <c r="AT151" s="1607"/>
      <c r="AU151" s="1607"/>
      <c r="AV151" s="1607"/>
      <c r="AW151" s="1607"/>
      <c r="AX151" s="1607"/>
      <c r="AY151" s="1607"/>
      <c r="AZ151" s="1607"/>
      <c r="BB151" s="1671" t="s">
        <v>9</v>
      </c>
    </row>
    <row r="152" spans="2:55" s="1192" customFormat="1" ht="14.4" x14ac:dyDescent="0.3">
      <c r="B152" s="1741" t="s">
        <v>80</v>
      </c>
      <c r="C152" s="1741"/>
      <c r="D152" s="524" t="s">
        <v>20</v>
      </c>
      <c r="E152" s="1517">
        <v>1.2800000000000001E-2</v>
      </c>
      <c r="G152" s="1666"/>
      <c r="H152" s="1607" t="s">
        <v>2726</v>
      </c>
      <c r="I152" s="1607" t="s">
        <v>430</v>
      </c>
      <c r="J152" s="1607"/>
      <c r="K152" s="1607"/>
      <c r="L152" s="1607"/>
      <c r="M152" s="1607" t="s">
        <v>2728</v>
      </c>
      <c r="N152" s="1607"/>
      <c r="O152" s="1607"/>
      <c r="P152" s="1607"/>
      <c r="Q152" s="1607"/>
      <c r="R152" s="1607"/>
      <c r="S152" s="1607"/>
      <c r="T152" s="1607"/>
      <c r="U152" s="1607"/>
      <c r="V152" s="1607"/>
      <c r="W152" s="1607"/>
      <c r="X152" s="1607"/>
      <c r="Y152" s="1607"/>
      <c r="Z152" s="1608" t="s">
        <v>2728</v>
      </c>
      <c r="AA152" s="1607"/>
      <c r="AB152" s="1607"/>
      <c r="AC152" s="1607"/>
      <c r="AD152" s="1607"/>
      <c r="AE152" s="1607"/>
      <c r="AF152" s="1607"/>
      <c r="AG152" s="1607"/>
      <c r="AH152" s="1607"/>
      <c r="AI152" s="1607"/>
      <c r="AJ152" s="1607"/>
      <c r="AK152" s="1607"/>
      <c r="AL152" s="1607"/>
      <c r="AM152" s="1607"/>
      <c r="AN152" s="1607"/>
      <c r="AO152" s="1607"/>
      <c r="AP152" s="1607"/>
      <c r="AQ152" s="1607"/>
      <c r="AR152" s="1607"/>
      <c r="AS152" s="1607"/>
      <c r="AT152" s="1607"/>
      <c r="AU152" s="1607"/>
      <c r="AV152" s="1607"/>
      <c r="AW152" s="1607"/>
      <c r="AX152" s="1607"/>
      <c r="AY152" s="1607"/>
      <c r="AZ152" s="1607"/>
      <c r="BB152" s="1671" t="s">
        <v>80</v>
      </c>
    </row>
    <row r="153" spans="2:55" s="1192" customFormat="1" ht="14.4" x14ac:dyDescent="0.3">
      <c r="B153" s="1741" t="s">
        <v>14</v>
      </c>
      <c r="C153" s="1741"/>
      <c r="D153" s="524" t="s">
        <v>20</v>
      </c>
      <c r="E153" s="1219">
        <v>2.7000000000000001E-3</v>
      </c>
      <c r="G153" s="1666"/>
      <c r="H153" s="1607" t="s">
        <v>2726</v>
      </c>
      <c r="I153" s="1607" t="s">
        <v>431</v>
      </c>
      <c r="J153" s="1607"/>
      <c r="K153" s="1607"/>
      <c r="L153" s="1607"/>
      <c r="M153" s="1607" t="s">
        <v>2729</v>
      </c>
      <c r="N153" s="1607"/>
      <c r="O153" s="1607"/>
      <c r="P153" s="1607"/>
      <c r="Q153" s="1607"/>
      <c r="R153" s="1607"/>
      <c r="S153" s="1607"/>
      <c r="T153" s="1607"/>
      <c r="U153" s="1607"/>
      <c r="V153" s="1607"/>
      <c r="W153" s="1607"/>
      <c r="X153" s="1607"/>
      <c r="Y153" s="1607"/>
      <c r="Z153" s="1608" t="s">
        <v>14</v>
      </c>
      <c r="AA153" s="1607"/>
      <c r="AB153" s="1607"/>
      <c r="AC153" s="1607"/>
      <c r="AD153" s="1607"/>
      <c r="AE153" s="1607"/>
      <c r="AF153" s="1607"/>
      <c r="AG153" s="1607"/>
      <c r="AH153" s="1607"/>
      <c r="AI153" s="1607"/>
      <c r="AJ153" s="1607"/>
      <c r="AK153" s="1607"/>
      <c r="AL153" s="1607"/>
      <c r="AM153" s="1607"/>
      <c r="AN153" s="1607"/>
      <c r="AO153" s="1607"/>
      <c r="AP153" s="1607"/>
      <c r="AQ153" s="1607"/>
      <c r="AR153" s="1607"/>
      <c r="AS153" s="1607"/>
      <c r="AT153" s="1607"/>
      <c r="AU153" s="1607"/>
      <c r="AV153" s="1607"/>
      <c r="AW153" s="1607"/>
      <c r="AX153" s="1607"/>
      <c r="AY153" s="1607"/>
      <c r="AZ153" s="1607"/>
      <c r="BB153" s="1671" t="s">
        <v>14</v>
      </c>
    </row>
    <row r="154" spans="2:55" s="1192" customFormat="1" ht="20.399999999999999" x14ac:dyDescent="0.3">
      <c r="B154" s="1741" t="s">
        <v>4538</v>
      </c>
      <c r="C154" s="1741"/>
      <c r="D154" s="524" t="s">
        <v>20</v>
      </c>
      <c r="E154" s="1219">
        <v>-1E-4</v>
      </c>
      <c r="G154" s="1666"/>
      <c r="H154" s="1607" t="s">
        <v>2726</v>
      </c>
      <c r="I154" s="1607" t="s">
        <v>430</v>
      </c>
      <c r="J154" s="1607"/>
      <c r="K154" s="1607"/>
      <c r="L154" s="1607"/>
      <c r="M154" s="1607" t="s">
        <v>2730</v>
      </c>
      <c r="N154" s="1607"/>
      <c r="O154" s="1607"/>
      <c r="P154" s="1607"/>
      <c r="Q154" s="1607">
        <v>44561</v>
      </c>
      <c r="R154" s="1607"/>
      <c r="S154" s="1607"/>
      <c r="T154" s="1607"/>
      <c r="U154" s="1607"/>
      <c r="V154" s="1607"/>
      <c r="W154" s="1607"/>
      <c r="X154" s="1607"/>
      <c r="Y154" s="1607"/>
      <c r="Z154" s="1608" t="s">
        <v>4538</v>
      </c>
      <c r="AA154" s="1607"/>
      <c r="AB154" s="1607"/>
      <c r="AC154" s="1607"/>
      <c r="AD154" s="1607"/>
      <c r="AE154" s="1607"/>
      <c r="AF154" s="1607"/>
      <c r="AG154" s="1607"/>
      <c r="AH154" s="1607"/>
      <c r="AI154" s="1607"/>
      <c r="AJ154" s="1607"/>
      <c r="AK154" s="1607"/>
      <c r="AL154" s="1607"/>
      <c r="AM154" s="1607"/>
      <c r="AN154" s="1607"/>
      <c r="AO154" s="1607"/>
      <c r="AP154" s="1607"/>
      <c r="AQ154" s="1607"/>
      <c r="AR154" s="1607"/>
      <c r="AS154" s="1607"/>
      <c r="AT154" s="1607"/>
      <c r="AU154" s="1607"/>
      <c r="AV154" s="1607"/>
      <c r="AW154" s="1607"/>
      <c r="AX154" s="1607"/>
      <c r="AY154" s="1607"/>
      <c r="AZ154" s="1607"/>
      <c r="BB154" s="1671" t="s">
        <v>4538</v>
      </c>
    </row>
    <row r="155" spans="2:55" s="1192" customFormat="1" ht="14.4" x14ac:dyDescent="0.3">
      <c r="B155" s="1741" t="s">
        <v>4536</v>
      </c>
      <c r="C155" s="1741"/>
      <c r="D155" s="524" t="s">
        <v>20</v>
      </c>
      <c r="E155" s="1219">
        <v>-2.9999999999999997E-4</v>
      </c>
      <c r="G155" s="1666" t="s">
        <v>603</v>
      </c>
      <c r="H155" s="1607" t="s">
        <v>2726</v>
      </c>
      <c r="I155" s="1607" t="s">
        <v>430</v>
      </c>
      <c r="J155" s="1607"/>
      <c r="K155" s="1607"/>
      <c r="L155" s="1607"/>
      <c r="M155" s="1607" t="s">
        <v>6135</v>
      </c>
      <c r="N155" s="1607"/>
      <c r="O155" s="1607"/>
      <c r="P155" s="1607"/>
      <c r="Q155" s="1607">
        <v>44561</v>
      </c>
      <c r="R155" s="1607"/>
      <c r="S155" s="1607"/>
      <c r="T155" s="1607"/>
      <c r="U155" s="1607"/>
      <c r="V155" s="1607"/>
      <c r="W155" s="1607"/>
      <c r="X155" s="1607"/>
      <c r="Y155" s="1607"/>
      <c r="Z155" s="1608" t="s">
        <v>4536</v>
      </c>
      <c r="AA155" s="1607"/>
      <c r="AB155" s="1607"/>
      <c r="AC155" s="1607"/>
      <c r="AD155" s="1607"/>
      <c r="AE155" s="1607"/>
      <c r="AF155" s="1607"/>
      <c r="AG155" s="1607"/>
      <c r="AH155" s="1607"/>
      <c r="AI155" s="1607"/>
      <c r="AJ155" s="1607"/>
      <c r="AK155" s="1607"/>
      <c r="AL155" s="1607"/>
      <c r="AM155" s="1607"/>
      <c r="AN155" s="1607"/>
      <c r="AO155" s="1607"/>
      <c r="AP155" s="1607"/>
      <c r="AQ155" s="1607"/>
      <c r="AR155" s="1607"/>
      <c r="AS155" s="1607"/>
      <c r="AT155" s="1607"/>
      <c r="AU155" s="1607"/>
      <c r="AV155" s="1607"/>
      <c r="AW155" s="1607"/>
      <c r="AX155" s="1607"/>
      <c r="AY155" s="1607"/>
      <c r="AZ155" s="1607"/>
      <c r="BB155" s="1671" t="s">
        <v>4536</v>
      </c>
    </row>
    <row r="156" spans="2:55" s="1192" customFormat="1" ht="20.399999999999999" x14ac:dyDescent="0.3">
      <c r="B156" s="1741" t="s">
        <v>4537</v>
      </c>
      <c r="C156" s="1741"/>
      <c r="D156" s="524" t="s">
        <v>20</v>
      </c>
      <c r="E156" s="1219">
        <v>-2.0000000000000001E-4</v>
      </c>
      <c r="G156" s="1666" t="s">
        <v>7382</v>
      </c>
      <c r="H156" s="1607" t="s">
        <v>2726</v>
      </c>
      <c r="I156" s="1607" t="s">
        <v>430</v>
      </c>
      <c r="J156" s="1607"/>
      <c r="K156" s="1607"/>
      <c r="L156" s="1607"/>
      <c r="M156" s="1607" t="s">
        <v>6136</v>
      </c>
      <c r="N156" s="1607"/>
      <c r="O156" s="1607"/>
      <c r="P156" s="1607"/>
      <c r="Q156" s="1607"/>
      <c r="R156" s="1607"/>
      <c r="S156" s="1607"/>
      <c r="T156" s="1607"/>
      <c r="U156" s="1607"/>
      <c r="V156" s="1607"/>
      <c r="W156" s="1607"/>
      <c r="X156" s="1607"/>
      <c r="Y156" s="1607"/>
      <c r="Z156" s="1608" t="s">
        <v>4537</v>
      </c>
      <c r="AA156" s="1607"/>
      <c r="AB156" s="1607"/>
      <c r="AC156" s="1607"/>
      <c r="AD156" s="1607"/>
      <c r="AE156" s="1607"/>
      <c r="AF156" s="1607"/>
      <c r="AG156" s="1607"/>
      <c r="AH156" s="1607"/>
      <c r="AI156" s="1607"/>
      <c r="AJ156" s="1607"/>
      <c r="AK156" s="1607"/>
      <c r="AL156" s="1607"/>
      <c r="AM156" s="1607"/>
      <c r="AN156" s="1607"/>
      <c r="AO156" s="1607"/>
      <c r="AP156" s="1607"/>
      <c r="AQ156" s="1607"/>
      <c r="AR156" s="1607"/>
      <c r="AS156" s="1607"/>
      <c r="AT156" s="1607"/>
      <c r="AU156" s="1607"/>
      <c r="AV156" s="1607"/>
      <c r="AW156" s="1607"/>
      <c r="AX156" s="1607"/>
      <c r="AY156" s="1607"/>
      <c r="AZ156" s="1607"/>
      <c r="BB156" s="1671" t="s">
        <v>4537</v>
      </c>
    </row>
    <row r="157" spans="2:55" s="1192" customFormat="1" ht="14.4" x14ac:dyDescent="0.3">
      <c r="B157" s="1741" t="s">
        <v>213</v>
      </c>
      <c r="C157" s="1741"/>
      <c r="D157" s="524" t="s">
        <v>20</v>
      </c>
      <c r="E157" s="1517">
        <v>6.0000000000000001E-3</v>
      </c>
      <c r="G157" s="1666"/>
      <c r="H157" s="1607" t="s">
        <v>2726</v>
      </c>
      <c r="I157" s="1607" t="s">
        <v>432</v>
      </c>
      <c r="J157" s="1607"/>
      <c r="K157" s="1607"/>
      <c r="L157" s="1607"/>
      <c r="M157" s="1607" t="s">
        <v>2731</v>
      </c>
      <c r="N157" s="1607"/>
      <c r="O157" s="1607"/>
      <c r="P157" s="1607"/>
      <c r="Q157" s="1607"/>
      <c r="R157" s="1607"/>
      <c r="S157" s="1607"/>
      <c r="T157" s="1607"/>
      <c r="U157" s="1607"/>
      <c r="V157" s="1607"/>
      <c r="W157" s="1607"/>
      <c r="X157" s="1607"/>
      <c r="Y157" s="1607"/>
      <c r="Z157" s="1608" t="s">
        <v>2731</v>
      </c>
      <c r="AA157" s="1607"/>
      <c r="AB157" s="1607"/>
      <c r="AC157" s="1607"/>
      <c r="AD157" s="1607"/>
      <c r="AE157" s="1607"/>
      <c r="AF157" s="1607"/>
      <c r="AG157" s="1607"/>
      <c r="AH157" s="1607"/>
      <c r="AI157" s="1607"/>
      <c r="AJ157" s="1607"/>
      <c r="AK157" s="1607"/>
      <c r="AL157" s="1607"/>
      <c r="AM157" s="1607"/>
      <c r="AN157" s="1607"/>
      <c r="AO157" s="1607"/>
      <c r="AP157" s="1607"/>
      <c r="AQ157" s="1607"/>
      <c r="AR157" s="1607"/>
      <c r="AS157" s="1607"/>
      <c r="AT157" s="1607"/>
      <c r="AU157" s="1607"/>
      <c r="AV157" s="1607"/>
      <c r="AW157" s="1607"/>
      <c r="AX157" s="1607"/>
      <c r="AY157" s="1607"/>
      <c r="AZ157" s="1607" t="s">
        <v>7347</v>
      </c>
      <c r="BB157" s="1671" t="s">
        <v>213</v>
      </c>
    </row>
    <row r="158" spans="2:55" s="1192" customFormat="1" ht="14.4" x14ac:dyDescent="0.3">
      <c r="B158" s="1741" t="s">
        <v>209</v>
      </c>
      <c r="C158" s="1741"/>
      <c r="D158" s="524" t="s">
        <v>20</v>
      </c>
      <c r="E158" s="1517">
        <v>5.0000000000000001E-3</v>
      </c>
      <c r="G158" s="1666"/>
      <c r="H158" s="1607" t="s">
        <v>2726</v>
      </c>
      <c r="I158" s="1607" t="s">
        <v>432</v>
      </c>
      <c r="J158" s="1607"/>
      <c r="K158" s="1607"/>
      <c r="L158" s="1607"/>
      <c r="M158" s="1607" t="s">
        <v>2732</v>
      </c>
      <c r="N158" s="1607"/>
      <c r="O158" s="1607"/>
      <c r="P158" s="1607"/>
      <c r="Q158" s="1607"/>
      <c r="R158" s="1607"/>
      <c r="S158" s="1607"/>
      <c r="T158" s="1607"/>
      <c r="U158" s="1607"/>
      <c r="V158" s="1607"/>
      <c r="W158" s="1607"/>
      <c r="X158" s="1607"/>
      <c r="Y158" s="1607"/>
      <c r="Z158" s="1608" t="s">
        <v>2732</v>
      </c>
      <c r="AA158" s="1607"/>
      <c r="AB158" s="1607"/>
      <c r="AC158" s="1607"/>
      <c r="AD158" s="1607"/>
      <c r="AE158" s="1607"/>
      <c r="AF158" s="1607"/>
      <c r="AG158" s="1607"/>
      <c r="AH158" s="1607"/>
      <c r="AI158" s="1607"/>
      <c r="AJ158" s="1607"/>
      <c r="AK158" s="1607"/>
      <c r="AL158" s="1607"/>
      <c r="AM158" s="1607"/>
      <c r="AN158" s="1607"/>
      <c r="AO158" s="1607"/>
      <c r="AP158" s="1607"/>
      <c r="AQ158" s="1607"/>
      <c r="AR158" s="1607"/>
      <c r="AS158" s="1607"/>
      <c r="AT158" s="1607"/>
      <c r="AU158" s="1607"/>
      <c r="AV158" s="1607"/>
      <c r="AW158" s="1607"/>
      <c r="AX158" s="1607"/>
      <c r="AY158" s="1607"/>
      <c r="AZ158" s="1607" t="s">
        <v>7348</v>
      </c>
      <c r="BB158" s="1671" t="s">
        <v>209</v>
      </c>
    </row>
    <row r="159" spans="2:55" s="1192" customFormat="1" ht="11.25" customHeight="1" x14ac:dyDescent="0.3">
      <c r="B159" s="1652"/>
      <c r="C159" s="1653"/>
      <c r="D159" s="524"/>
      <c r="E159" s="1219"/>
      <c r="G159" s="1666"/>
      <c r="H159" s="1607"/>
      <c r="I159" s="1607"/>
      <c r="J159" s="1607"/>
      <c r="K159" s="1607"/>
      <c r="L159" s="1607"/>
      <c r="M159" s="1607"/>
      <c r="N159" s="1607"/>
      <c r="O159" s="1607"/>
      <c r="P159" s="1607"/>
      <c r="Q159" s="1607"/>
      <c r="R159" s="1607"/>
      <c r="S159" s="1607"/>
      <c r="T159" s="1607"/>
      <c r="U159" s="1607"/>
      <c r="V159" s="1607"/>
      <c r="W159" s="1607"/>
      <c r="X159" s="1607"/>
      <c r="Y159" s="1607"/>
      <c r="Z159" s="1607"/>
      <c r="AA159" s="1607"/>
      <c r="AB159" s="1607"/>
      <c r="AC159" s="1607"/>
      <c r="AD159" s="1607"/>
      <c r="AE159" s="1607"/>
      <c r="AF159" s="1607"/>
      <c r="AG159" s="1607"/>
      <c r="AH159" s="1607"/>
      <c r="AI159" s="1607"/>
      <c r="AJ159" s="1607"/>
      <c r="AK159" s="1607"/>
      <c r="AL159" s="1607"/>
      <c r="AM159" s="1607"/>
      <c r="AN159" s="1607"/>
      <c r="AO159" s="1607"/>
      <c r="AP159" s="1607"/>
      <c r="AQ159" s="1607"/>
      <c r="AR159" s="1607"/>
      <c r="AS159" s="1607"/>
      <c r="AT159" s="1607"/>
      <c r="AU159" s="1607"/>
      <c r="AV159" s="1607"/>
      <c r="AW159" s="1607"/>
      <c r="AX159" s="1607"/>
      <c r="AY159" s="1607"/>
      <c r="AZ159" s="1607"/>
    </row>
    <row r="160" spans="2:55" s="1192" customFormat="1" ht="14.4" x14ac:dyDescent="0.3">
      <c r="B160" s="1750" t="s">
        <v>2405</v>
      </c>
      <c r="C160" s="1741"/>
      <c r="D160" s="1277"/>
      <c r="E160" s="896"/>
      <c r="G160" s="1666"/>
      <c r="H160" s="1607" t="s">
        <v>2427</v>
      </c>
      <c r="I160" s="1607"/>
      <c r="J160" s="1607"/>
      <c r="K160" s="1607"/>
      <c r="L160" s="1607"/>
      <c r="M160" s="1607"/>
      <c r="N160" s="1607"/>
      <c r="O160" s="1607"/>
      <c r="P160" s="1607"/>
      <c r="Q160" s="1607"/>
      <c r="R160" s="1607"/>
      <c r="S160" s="1607"/>
      <c r="T160" s="1607"/>
      <c r="U160" s="1607"/>
      <c r="V160" s="1607"/>
      <c r="W160" s="1607"/>
      <c r="X160" s="1607"/>
      <c r="Y160" s="1607"/>
      <c r="Z160" s="1608" t="s">
        <v>2405</v>
      </c>
      <c r="AA160" s="1607"/>
      <c r="AB160" s="1607"/>
      <c r="AC160" s="1607"/>
      <c r="AD160" s="1607"/>
      <c r="AE160" s="1607"/>
      <c r="AF160" s="1607"/>
      <c r="AG160" s="1607"/>
      <c r="AH160" s="1607"/>
      <c r="AI160" s="1607"/>
      <c r="AJ160" s="1607"/>
      <c r="AK160" s="1607"/>
      <c r="AL160" s="1607"/>
      <c r="AM160" s="1607"/>
      <c r="AN160" s="1607"/>
      <c r="AO160" s="1607"/>
      <c r="AP160" s="1607"/>
      <c r="AQ160" s="1607"/>
      <c r="AR160" s="1607"/>
      <c r="AS160" s="1607"/>
      <c r="AT160" s="1607"/>
      <c r="AU160" s="1607"/>
      <c r="AV160" s="1607"/>
      <c r="AW160" s="1607"/>
      <c r="AX160" s="1607"/>
      <c r="AY160" s="1607"/>
      <c r="AZ160" s="1607"/>
      <c r="BB160" s="1467" t="s">
        <v>2405</v>
      </c>
    </row>
    <row r="161" spans="2:55" s="1192" customFormat="1" ht="11.25" customHeight="1" x14ac:dyDescent="0.3">
      <c r="B161" s="1659"/>
      <c r="C161" s="1653"/>
      <c r="D161" s="1277"/>
      <c r="E161" s="896"/>
      <c r="G161" s="1666"/>
      <c r="H161" s="1607"/>
      <c r="I161" s="1607"/>
      <c r="J161" s="1607"/>
      <c r="K161" s="1607"/>
      <c r="L161" s="1607"/>
      <c r="M161" s="1607"/>
      <c r="N161" s="1607"/>
      <c r="O161" s="1607"/>
      <c r="P161" s="1607"/>
      <c r="Q161" s="1607"/>
      <c r="R161" s="1607"/>
      <c r="S161" s="1607"/>
      <c r="T161" s="1607"/>
      <c r="U161" s="1607"/>
      <c r="V161" s="1607"/>
      <c r="W161" s="1607"/>
      <c r="X161" s="1607"/>
      <c r="Y161" s="1607"/>
      <c r="Z161" s="1607"/>
      <c r="AA161" s="1607"/>
      <c r="AB161" s="1607"/>
      <c r="AC161" s="1607"/>
      <c r="AD161" s="1607"/>
      <c r="AE161" s="1607"/>
      <c r="AF161" s="1607"/>
      <c r="AG161" s="1607"/>
      <c r="AH161" s="1607"/>
      <c r="AI161" s="1607"/>
      <c r="AJ161" s="1607"/>
      <c r="AK161" s="1607"/>
      <c r="AL161" s="1607"/>
      <c r="AM161" s="1607"/>
      <c r="AN161" s="1607"/>
      <c r="AO161" s="1607"/>
      <c r="AP161" s="1607"/>
      <c r="AQ161" s="1607"/>
      <c r="AR161" s="1607"/>
      <c r="AS161" s="1607"/>
      <c r="AT161" s="1607"/>
      <c r="AU161" s="1607"/>
      <c r="AV161" s="1607"/>
      <c r="AW161" s="1607"/>
      <c r="AX161" s="1607"/>
      <c r="AY161" s="1607"/>
      <c r="AZ161" s="1607"/>
    </row>
    <row r="162" spans="2:55" s="1192" customFormat="1" ht="14.4" x14ac:dyDescent="0.3">
      <c r="B162" s="1741" t="s">
        <v>2033</v>
      </c>
      <c r="C162" s="1741"/>
      <c r="D162" s="524" t="s">
        <v>20</v>
      </c>
      <c r="E162" s="1219">
        <v>3.0000000000000001E-3</v>
      </c>
      <c r="G162" s="1666"/>
      <c r="H162" s="1607" t="s">
        <v>2726</v>
      </c>
      <c r="I162" s="1607" t="s">
        <v>2374</v>
      </c>
      <c r="J162" s="1607"/>
      <c r="K162" s="1607"/>
      <c r="L162" s="1607"/>
      <c r="M162" s="1607" t="s">
        <v>2733</v>
      </c>
      <c r="N162" s="1607"/>
      <c r="O162" s="1607"/>
      <c r="P162" s="1607"/>
      <c r="Q162" s="1607"/>
      <c r="R162" s="1607"/>
      <c r="S162" s="1607"/>
      <c r="T162" s="1607"/>
      <c r="U162" s="1607"/>
      <c r="V162" s="1607"/>
      <c r="W162" s="1607"/>
      <c r="X162" s="1607"/>
      <c r="Y162" s="1607"/>
      <c r="Z162" s="1608" t="s">
        <v>2033</v>
      </c>
      <c r="AA162" s="1607"/>
      <c r="AB162" s="1607"/>
      <c r="AC162" s="1607"/>
      <c r="AD162" s="1607"/>
      <c r="AE162" s="1607"/>
      <c r="AF162" s="1607"/>
      <c r="AG162" s="1607"/>
      <c r="AH162" s="1607"/>
      <c r="AI162" s="1607"/>
      <c r="AJ162" s="1607"/>
      <c r="AK162" s="1607"/>
      <c r="AL162" s="1607"/>
      <c r="AM162" s="1607"/>
      <c r="AN162" s="1607"/>
      <c r="AO162" s="1607"/>
      <c r="AP162" s="1607"/>
      <c r="AQ162" s="1607"/>
      <c r="AR162" s="1607"/>
      <c r="AS162" s="1607"/>
      <c r="AT162" s="1607"/>
      <c r="AU162" s="1607"/>
      <c r="AV162" s="1607"/>
      <c r="AW162" s="1607"/>
      <c r="AX162" s="1607"/>
      <c r="AY162" s="1607"/>
      <c r="AZ162" s="1607"/>
      <c r="BB162" s="1671" t="s">
        <v>2033</v>
      </c>
    </row>
    <row r="163" spans="2:55" s="1192" customFormat="1" ht="14.4" x14ac:dyDescent="0.3">
      <c r="B163" s="1741" t="s">
        <v>2034</v>
      </c>
      <c r="C163" s="1741"/>
      <c r="D163" s="524" t="s">
        <v>20</v>
      </c>
      <c r="E163" s="1219">
        <v>4.0000000000000002E-4</v>
      </c>
      <c r="G163" s="1666"/>
      <c r="H163" s="1607" t="s">
        <v>2726</v>
      </c>
      <c r="I163" s="1607" t="s">
        <v>2374</v>
      </c>
      <c r="J163" s="1607"/>
      <c r="K163" s="1607"/>
      <c r="L163" s="1607"/>
      <c r="M163" s="1607" t="s">
        <v>2733</v>
      </c>
      <c r="N163" s="1607"/>
      <c r="O163" s="1607"/>
      <c r="P163" s="1607"/>
      <c r="Q163" s="1607"/>
      <c r="R163" s="1607"/>
      <c r="S163" s="1607"/>
      <c r="T163" s="1607"/>
      <c r="U163" s="1607"/>
      <c r="V163" s="1607"/>
      <c r="W163" s="1607"/>
      <c r="X163" s="1607"/>
      <c r="Y163" s="1607"/>
      <c r="Z163" s="1608" t="s">
        <v>2034</v>
      </c>
      <c r="AA163" s="1607"/>
      <c r="AB163" s="1607"/>
      <c r="AC163" s="1607"/>
      <c r="AD163" s="1607"/>
      <c r="AE163" s="1607"/>
      <c r="AF163" s="1607"/>
      <c r="AG163" s="1607"/>
      <c r="AH163" s="1607"/>
      <c r="AI163" s="1607"/>
      <c r="AJ163" s="1607"/>
      <c r="AK163" s="1607"/>
      <c r="AL163" s="1607"/>
      <c r="AM163" s="1607"/>
      <c r="AN163" s="1607"/>
      <c r="AO163" s="1607"/>
      <c r="AP163" s="1607"/>
      <c r="AQ163" s="1607"/>
      <c r="AR163" s="1607"/>
      <c r="AS163" s="1607"/>
      <c r="AT163" s="1607"/>
      <c r="AU163" s="1607"/>
      <c r="AV163" s="1607"/>
      <c r="AW163" s="1607"/>
      <c r="AX163" s="1607"/>
      <c r="AY163" s="1607"/>
      <c r="AZ163" s="1607"/>
      <c r="BB163" s="1671" t="s">
        <v>2034</v>
      </c>
    </row>
    <row r="164" spans="2:55" s="1192" customFormat="1" ht="14.4" x14ac:dyDescent="0.3">
      <c r="B164" s="1741" t="s">
        <v>428</v>
      </c>
      <c r="C164" s="1741"/>
      <c r="D164" s="524" t="s">
        <v>20</v>
      </c>
      <c r="E164" s="1219">
        <v>5.0000000000000001E-4</v>
      </c>
      <c r="G164" s="1666"/>
      <c r="H164" s="1607" t="s">
        <v>2726</v>
      </c>
      <c r="I164" s="1607" t="s">
        <v>2374</v>
      </c>
      <c r="J164" s="1607"/>
      <c r="K164" s="1607"/>
      <c r="L164" s="1607"/>
      <c r="M164" s="1607" t="s">
        <v>2734</v>
      </c>
      <c r="N164" s="1607"/>
      <c r="O164" s="1607"/>
      <c r="P164" s="1607"/>
      <c r="Q164" s="1607"/>
      <c r="R164" s="1607"/>
      <c r="S164" s="1607"/>
      <c r="T164" s="1607"/>
      <c r="U164" s="1607"/>
      <c r="V164" s="1607"/>
      <c r="W164" s="1607"/>
      <c r="X164" s="1607"/>
      <c r="Y164" s="1607"/>
      <c r="Z164" s="1608" t="s">
        <v>428</v>
      </c>
      <c r="AA164" s="1607"/>
      <c r="AB164" s="1607"/>
      <c r="AC164" s="1607"/>
      <c r="AD164" s="1607"/>
      <c r="AE164" s="1607"/>
      <c r="AF164" s="1607"/>
      <c r="AG164" s="1607"/>
      <c r="AH164" s="1607"/>
      <c r="AI164" s="1607"/>
      <c r="AJ164" s="1607"/>
      <c r="AK164" s="1607"/>
      <c r="AL164" s="1607"/>
      <c r="AM164" s="1607"/>
      <c r="AN164" s="1607"/>
      <c r="AO164" s="1607"/>
      <c r="AP164" s="1607"/>
      <c r="AQ164" s="1607"/>
      <c r="AR164" s="1607"/>
      <c r="AS164" s="1607"/>
      <c r="AT164" s="1607"/>
      <c r="AU164" s="1607"/>
      <c r="AV164" s="1607"/>
      <c r="AW164" s="1607"/>
      <c r="AX164" s="1607"/>
      <c r="AY164" s="1607"/>
      <c r="AZ164" s="1607"/>
      <c r="BB164" s="1671" t="s">
        <v>428</v>
      </c>
    </row>
    <row r="165" spans="2:55" s="1192" customFormat="1" ht="14.4" x14ac:dyDescent="0.3">
      <c r="B165" s="1741" t="s">
        <v>28</v>
      </c>
      <c r="C165" s="1741"/>
      <c r="D165" s="524" t="s">
        <v>19</v>
      </c>
      <c r="E165" s="1218">
        <v>0.25</v>
      </c>
      <c r="G165" s="1666"/>
      <c r="H165" s="1607" t="s">
        <v>2726</v>
      </c>
      <c r="I165" s="1607" t="s">
        <v>2374</v>
      </c>
      <c r="J165" s="1607"/>
      <c r="K165" s="1607"/>
      <c r="L165" s="1607"/>
      <c r="M165" s="1607" t="s">
        <v>2735</v>
      </c>
      <c r="N165" s="1607"/>
      <c r="O165" s="1607"/>
      <c r="P165" s="1607"/>
      <c r="Q165" s="1607"/>
      <c r="R165" s="1607"/>
      <c r="S165" s="1607"/>
      <c r="T165" s="1607"/>
      <c r="U165" s="1607"/>
      <c r="V165" s="1607"/>
      <c r="W165" s="1607"/>
      <c r="X165" s="1607"/>
      <c r="Y165" s="1607"/>
      <c r="Z165" s="1608" t="s">
        <v>28</v>
      </c>
      <c r="AA165" s="1607"/>
      <c r="AB165" s="1607"/>
      <c r="AC165" s="1607"/>
      <c r="AD165" s="1607"/>
      <c r="AE165" s="1607"/>
      <c r="AF165" s="1607"/>
      <c r="AG165" s="1607"/>
      <c r="AH165" s="1607"/>
      <c r="AI165" s="1607"/>
      <c r="AJ165" s="1607"/>
      <c r="AK165" s="1607"/>
      <c r="AL165" s="1607"/>
      <c r="AM165" s="1607"/>
      <c r="AN165" s="1607"/>
      <c r="AO165" s="1607"/>
      <c r="AP165" s="1607"/>
      <c r="AQ165" s="1607"/>
      <c r="AR165" s="1607"/>
      <c r="AS165" s="1607" t="s">
        <v>603</v>
      </c>
      <c r="AT165" s="1607"/>
      <c r="AU165" s="1607"/>
      <c r="AV165" s="1607"/>
      <c r="AW165" s="1607"/>
      <c r="AX165" s="1607"/>
      <c r="AY165" s="1607"/>
      <c r="AZ165" s="1607"/>
      <c r="BB165" s="1671" t="s">
        <v>28</v>
      </c>
    </row>
    <row r="166" spans="2:55" s="1464" customFormat="1" ht="18" x14ac:dyDescent="0.35">
      <c r="B166" s="1746" t="s">
        <v>604</v>
      </c>
      <c r="C166" s="1747"/>
      <c r="D166" s="1747"/>
      <c r="E166" s="1747"/>
      <c r="G166" s="1468"/>
      <c r="H166" s="1607" t="s">
        <v>2736</v>
      </c>
      <c r="I166" s="1607"/>
      <c r="J166" s="1607"/>
      <c r="K166" s="1607"/>
      <c r="L166" s="1607"/>
      <c r="M166" s="1607"/>
      <c r="N166" s="1607"/>
      <c r="O166" s="1607"/>
      <c r="P166" s="1607"/>
      <c r="Q166" s="1607"/>
      <c r="R166" s="1607"/>
      <c r="S166" s="1607"/>
      <c r="T166" s="1607"/>
      <c r="U166" s="1607"/>
      <c r="V166" s="1607"/>
      <c r="W166" s="1607"/>
      <c r="X166" s="1607"/>
      <c r="Y166" s="1607"/>
      <c r="Z166" s="1607"/>
      <c r="AA166" s="1608" t="s">
        <v>604</v>
      </c>
      <c r="AB166" s="1607"/>
      <c r="AC166" s="1607"/>
      <c r="AD166" s="1607"/>
      <c r="AE166" s="1607"/>
      <c r="AF166" s="1607"/>
      <c r="AG166" s="1607"/>
      <c r="AH166" s="1607"/>
      <c r="AI166" s="1607"/>
      <c r="AJ166" s="1607"/>
      <c r="AK166" s="1607"/>
      <c r="AL166" s="1607"/>
      <c r="AM166" s="1607"/>
      <c r="AN166" s="1607"/>
      <c r="AO166" s="1607"/>
      <c r="AP166" s="1607"/>
      <c r="AQ166" s="1607"/>
      <c r="AR166" s="1607"/>
      <c r="AS166" s="1607"/>
      <c r="AT166" s="1607"/>
      <c r="AU166" s="1607"/>
      <c r="AV166" s="1607"/>
      <c r="AW166" s="1607"/>
      <c r="AX166" s="1607"/>
      <c r="AY166" s="1607"/>
      <c r="AZ166" s="1607"/>
      <c r="BC166" s="1465" t="s">
        <v>604</v>
      </c>
    </row>
    <row r="167" spans="2:55" s="1192" customFormat="1" ht="34.200000000000003" x14ac:dyDescent="0.3">
      <c r="B167" s="1743" t="s">
        <v>4412</v>
      </c>
      <c r="C167" s="1743"/>
      <c r="D167" s="1743"/>
      <c r="E167" s="1743"/>
      <c r="G167" s="1666"/>
      <c r="H167" s="1607" t="s">
        <v>2736</v>
      </c>
      <c r="I167" s="1607"/>
      <c r="J167" s="1607"/>
      <c r="K167" s="1607"/>
      <c r="L167" s="1607"/>
      <c r="M167" s="1607"/>
      <c r="N167" s="1607"/>
      <c r="O167" s="1607"/>
      <c r="P167" s="1607"/>
      <c r="Q167" s="1607"/>
      <c r="R167" s="1607"/>
      <c r="S167" s="1607"/>
      <c r="T167" s="1607"/>
      <c r="U167" s="1607"/>
      <c r="V167" s="1607"/>
      <c r="W167" s="1607"/>
      <c r="X167" s="1607"/>
      <c r="Y167" s="1607"/>
      <c r="Z167" s="1607"/>
      <c r="AA167" s="1608" t="s">
        <v>4412</v>
      </c>
      <c r="AB167" s="1607"/>
      <c r="AC167" s="1607"/>
      <c r="AD167" s="1607"/>
      <c r="AE167" s="1607"/>
      <c r="AF167" s="1607"/>
      <c r="AG167" s="1607"/>
      <c r="AH167" s="1607"/>
      <c r="AI167" s="1607"/>
      <c r="AJ167" s="1607"/>
      <c r="AK167" s="1607"/>
      <c r="AL167" s="1607"/>
      <c r="AM167" s="1607"/>
      <c r="AN167" s="1607"/>
      <c r="AO167" s="1607"/>
      <c r="AP167" s="1607"/>
      <c r="AQ167" s="1607"/>
      <c r="AR167" s="1607"/>
      <c r="AS167" s="1607"/>
      <c r="AT167" s="1607"/>
      <c r="AU167" s="1607"/>
      <c r="AV167" s="1607"/>
      <c r="AW167" s="1607"/>
      <c r="AX167" s="1607"/>
      <c r="AY167" s="1607"/>
      <c r="AZ167" s="1607"/>
      <c r="BC167" s="1670" t="s">
        <v>4412</v>
      </c>
    </row>
    <row r="168" spans="2:55" s="1192" customFormat="1" ht="11.25" customHeight="1" x14ac:dyDescent="0.3">
      <c r="B168" s="1654"/>
      <c r="C168" s="1654"/>
      <c r="D168" s="1654"/>
      <c r="E168" s="1654"/>
      <c r="G168" s="1666"/>
      <c r="H168" s="1607"/>
      <c r="I168" s="1607"/>
      <c r="J168" s="1607"/>
      <c r="K168" s="1607"/>
      <c r="L168" s="1607"/>
      <c r="M168" s="1607"/>
      <c r="N168" s="1607"/>
      <c r="O168" s="1607"/>
      <c r="P168" s="1607"/>
      <c r="Q168" s="1607"/>
      <c r="R168" s="1607"/>
      <c r="S168" s="1607"/>
      <c r="T168" s="1607"/>
      <c r="U168" s="1607"/>
      <c r="V168" s="1607"/>
      <c r="W168" s="1607"/>
      <c r="X168" s="1607"/>
      <c r="Y168" s="1607"/>
      <c r="Z168" s="1607"/>
      <c r="AA168" s="1607"/>
      <c r="AB168" s="1607"/>
      <c r="AC168" s="1607"/>
      <c r="AD168" s="1607"/>
      <c r="AE168" s="1607"/>
      <c r="AF168" s="1607"/>
      <c r="AG168" s="1607"/>
      <c r="AH168" s="1607"/>
      <c r="AI168" s="1607"/>
      <c r="AJ168" s="1607"/>
      <c r="AK168" s="1607"/>
      <c r="AL168" s="1607"/>
      <c r="AM168" s="1607"/>
      <c r="AN168" s="1607"/>
      <c r="AO168" s="1607"/>
      <c r="AP168" s="1607"/>
      <c r="AQ168" s="1607"/>
      <c r="AR168" s="1607"/>
      <c r="AS168" s="1607"/>
      <c r="AT168" s="1607"/>
      <c r="AU168" s="1607"/>
      <c r="AV168" s="1607"/>
      <c r="AW168" s="1607"/>
      <c r="AX168" s="1607"/>
      <c r="AY168" s="1607"/>
      <c r="AZ168" s="1607"/>
    </row>
    <row r="169" spans="2:55" s="1192" customFormat="1" ht="14.4" x14ac:dyDescent="0.3">
      <c r="B169" s="1750" t="s">
        <v>2389</v>
      </c>
      <c r="C169" s="1743"/>
      <c r="D169" s="1743"/>
      <c r="E169" s="1743"/>
      <c r="G169" s="1666"/>
      <c r="H169" s="1607" t="s">
        <v>2430</v>
      </c>
      <c r="I169" s="1607"/>
      <c r="J169" s="1607"/>
      <c r="K169" s="1607"/>
      <c r="L169" s="1607"/>
      <c r="M169" s="1607"/>
      <c r="N169" s="1607"/>
      <c r="O169" s="1607"/>
      <c r="P169" s="1607"/>
      <c r="Q169" s="1607"/>
      <c r="R169" s="1607"/>
      <c r="S169" s="1607"/>
      <c r="T169" s="1607"/>
      <c r="U169" s="1607"/>
      <c r="V169" s="1607"/>
      <c r="W169" s="1607"/>
      <c r="X169" s="1607"/>
      <c r="Y169" s="1607"/>
      <c r="Z169" s="1607"/>
      <c r="AA169" s="1608" t="s">
        <v>2389</v>
      </c>
      <c r="AB169" s="1607"/>
      <c r="AC169" s="1607"/>
      <c r="AD169" s="1607"/>
      <c r="AE169" s="1607"/>
      <c r="AF169" s="1607"/>
      <c r="AG169" s="1607"/>
      <c r="AH169" s="1607"/>
      <c r="AI169" s="1607"/>
      <c r="AJ169" s="1607"/>
      <c r="AK169" s="1607"/>
      <c r="AL169" s="1607"/>
      <c r="AM169" s="1607"/>
      <c r="AN169" s="1607"/>
      <c r="AO169" s="1607"/>
      <c r="AP169" s="1607"/>
      <c r="AQ169" s="1607"/>
      <c r="AR169" s="1607"/>
      <c r="AS169" s="1607"/>
      <c r="AT169" s="1607"/>
      <c r="AU169" s="1607"/>
      <c r="AV169" s="1607"/>
      <c r="AW169" s="1607"/>
      <c r="AX169" s="1607"/>
      <c r="AY169" s="1607"/>
      <c r="AZ169" s="1607"/>
      <c r="BC169" s="1467" t="s">
        <v>2389</v>
      </c>
    </row>
    <row r="170" spans="2:55" s="1192" customFormat="1" ht="11.25" customHeight="1" x14ac:dyDescent="0.3">
      <c r="B170" s="1659"/>
      <c r="C170" s="1654"/>
      <c r="D170" s="1654"/>
      <c r="E170" s="1654"/>
      <c r="G170" s="1666"/>
      <c r="H170" s="1607"/>
      <c r="I170" s="1607"/>
      <c r="J170" s="1607"/>
      <c r="K170" s="1607"/>
      <c r="L170" s="1607"/>
      <c r="M170" s="1607"/>
      <c r="N170" s="1607"/>
      <c r="O170" s="1607"/>
      <c r="P170" s="1607"/>
      <c r="Q170" s="1607"/>
      <c r="R170" s="1607"/>
      <c r="S170" s="1607"/>
      <c r="T170" s="1607"/>
      <c r="U170" s="1607"/>
      <c r="V170" s="1607"/>
      <c r="W170" s="1607"/>
      <c r="X170" s="1607"/>
      <c r="Y170" s="1607"/>
      <c r="Z170" s="1607"/>
      <c r="AA170" s="1607"/>
      <c r="AB170" s="1607"/>
      <c r="AC170" s="1607"/>
      <c r="AD170" s="1607"/>
      <c r="AE170" s="1607"/>
      <c r="AF170" s="1607"/>
      <c r="AG170" s="1607"/>
      <c r="AH170" s="1607"/>
      <c r="AI170" s="1607"/>
      <c r="AJ170" s="1607"/>
      <c r="AK170" s="1607"/>
      <c r="AL170" s="1607"/>
      <c r="AM170" s="1607"/>
      <c r="AN170" s="1607"/>
      <c r="AO170" s="1607"/>
      <c r="AP170" s="1607"/>
      <c r="AQ170" s="1607"/>
      <c r="AR170" s="1607"/>
      <c r="AS170" s="1607"/>
      <c r="AT170" s="1607"/>
      <c r="AU170" s="1607"/>
      <c r="AV170" s="1607"/>
      <c r="AW170" s="1607"/>
      <c r="AX170" s="1607"/>
      <c r="AY170" s="1607"/>
      <c r="AZ170" s="1607"/>
    </row>
    <row r="171" spans="2:55" s="1192" customFormat="1" ht="34.200000000000003" x14ac:dyDescent="0.3">
      <c r="B171" s="1743" t="s">
        <v>2391</v>
      </c>
      <c r="C171" s="1743"/>
      <c r="D171" s="1743"/>
      <c r="E171" s="1743"/>
      <c r="G171" s="1666"/>
      <c r="H171" s="1607" t="s">
        <v>2736</v>
      </c>
      <c r="I171" s="1607"/>
      <c r="J171" s="1607"/>
      <c r="K171" s="1607"/>
      <c r="L171" s="1607"/>
      <c r="M171" s="1607"/>
      <c r="N171" s="1607"/>
      <c r="O171" s="1607"/>
      <c r="P171" s="1607"/>
      <c r="Q171" s="1607"/>
      <c r="R171" s="1607"/>
      <c r="S171" s="1607"/>
      <c r="T171" s="1607"/>
      <c r="U171" s="1607"/>
      <c r="V171" s="1607"/>
      <c r="W171" s="1607"/>
      <c r="X171" s="1607"/>
      <c r="Y171" s="1607"/>
      <c r="Z171" s="1607"/>
      <c r="AA171" s="1608" t="s">
        <v>2391</v>
      </c>
      <c r="AB171" s="1607"/>
      <c r="AC171" s="1607"/>
      <c r="AD171" s="1607"/>
      <c r="AE171" s="1607"/>
      <c r="AF171" s="1607"/>
      <c r="AG171" s="1607"/>
      <c r="AH171" s="1607"/>
      <c r="AI171" s="1607"/>
      <c r="AJ171" s="1607"/>
      <c r="AK171" s="1607"/>
      <c r="AL171" s="1607"/>
      <c r="AM171" s="1607"/>
      <c r="AN171" s="1607"/>
      <c r="AO171" s="1607"/>
      <c r="AP171" s="1607"/>
      <c r="AQ171" s="1607"/>
      <c r="AR171" s="1607"/>
      <c r="AS171" s="1607"/>
      <c r="AT171" s="1607"/>
      <c r="AU171" s="1607"/>
      <c r="AV171" s="1607"/>
      <c r="AW171" s="1607"/>
      <c r="AX171" s="1607"/>
      <c r="AY171" s="1607"/>
      <c r="AZ171" s="1607"/>
      <c r="BC171" s="1670" t="s">
        <v>2391</v>
      </c>
    </row>
    <row r="172" spans="2:55" s="1192" customFormat="1" ht="11.25" customHeight="1" x14ac:dyDescent="0.3">
      <c r="B172" s="1654"/>
      <c r="C172" s="1654"/>
      <c r="D172" s="1654"/>
      <c r="E172" s="1654"/>
      <c r="G172" s="1666"/>
      <c r="H172" s="1607"/>
      <c r="I172" s="1607"/>
      <c r="J172" s="1607"/>
      <c r="K172" s="1607"/>
      <c r="L172" s="1607"/>
      <c r="M172" s="1607"/>
      <c r="N172" s="1607"/>
      <c r="O172" s="1607"/>
      <c r="P172" s="1607"/>
      <c r="Q172" s="1607"/>
      <c r="R172" s="1607"/>
      <c r="S172" s="1607"/>
      <c r="T172" s="1607"/>
      <c r="U172" s="1607"/>
      <c r="V172" s="1607"/>
      <c r="W172" s="1607"/>
      <c r="X172" s="1607"/>
      <c r="Y172" s="1607"/>
      <c r="Z172" s="1607"/>
      <c r="AA172" s="1607"/>
      <c r="AB172" s="1607"/>
      <c r="AC172" s="1607"/>
      <c r="AD172" s="1607"/>
      <c r="AE172" s="1607"/>
      <c r="AF172" s="1607"/>
      <c r="AG172" s="1607"/>
      <c r="AH172" s="1607"/>
      <c r="AI172" s="1607"/>
      <c r="AJ172" s="1607"/>
      <c r="AK172" s="1607"/>
      <c r="AL172" s="1607"/>
      <c r="AM172" s="1607"/>
      <c r="AN172" s="1607"/>
      <c r="AO172" s="1607"/>
      <c r="AP172" s="1607"/>
      <c r="AQ172" s="1607"/>
      <c r="AR172" s="1607"/>
      <c r="AS172" s="1607"/>
      <c r="AT172" s="1607"/>
      <c r="AU172" s="1607"/>
      <c r="AV172" s="1607"/>
      <c r="AW172" s="1607"/>
      <c r="AX172" s="1607"/>
      <c r="AY172" s="1607"/>
      <c r="AZ172" s="1607"/>
    </row>
    <row r="173" spans="2:55" s="1192" customFormat="1" ht="45.6" x14ac:dyDescent="0.3">
      <c r="B173" s="1743" t="s">
        <v>2392</v>
      </c>
      <c r="C173" s="1743"/>
      <c r="D173" s="1743"/>
      <c r="E173" s="1743"/>
      <c r="G173" s="1666"/>
      <c r="H173" s="1607" t="s">
        <v>2736</v>
      </c>
      <c r="I173" s="1607"/>
      <c r="J173" s="1607"/>
      <c r="K173" s="1607"/>
      <c r="L173" s="1607"/>
      <c r="M173" s="1607"/>
      <c r="N173" s="1607"/>
      <c r="O173" s="1607"/>
      <c r="P173" s="1607"/>
      <c r="Q173" s="1607"/>
      <c r="R173" s="1607"/>
      <c r="S173" s="1607"/>
      <c r="T173" s="1607"/>
      <c r="U173" s="1607"/>
      <c r="V173" s="1607"/>
      <c r="W173" s="1607"/>
      <c r="X173" s="1607"/>
      <c r="Y173" s="1607"/>
      <c r="Z173" s="1607"/>
      <c r="AA173" s="1608" t="s">
        <v>2392</v>
      </c>
      <c r="AB173" s="1607"/>
      <c r="AC173" s="1607"/>
      <c r="AD173" s="1607"/>
      <c r="AE173" s="1607"/>
      <c r="AF173" s="1607"/>
      <c r="AG173" s="1607"/>
      <c r="AH173" s="1607"/>
      <c r="AI173" s="1607"/>
      <c r="AJ173" s="1607"/>
      <c r="AK173" s="1607"/>
      <c r="AL173" s="1607"/>
      <c r="AM173" s="1607"/>
      <c r="AN173" s="1607"/>
      <c r="AO173" s="1607"/>
      <c r="AP173" s="1607"/>
      <c r="AQ173" s="1607"/>
      <c r="AR173" s="1607"/>
      <c r="AS173" s="1607"/>
      <c r="AT173" s="1607"/>
      <c r="AU173" s="1607"/>
      <c r="AV173" s="1607"/>
      <c r="AW173" s="1607"/>
      <c r="AX173" s="1607"/>
      <c r="AY173" s="1607"/>
      <c r="AZ173" s="1607"/>
      <c r="BC173" s="1670" t="s">
        <v>2392</v>
      </c>
    </row>
    <row r="174" spans="2:55" s="1192" customFormat="1" ht="11.25" customHeight="1" x14ac:dyDescent="0.3">
      <c r="B174" s="1654"/>
      <c r="C174" s="1654"/>
      <c r="D174" s="1654"/>
      <c r="E174" s="1654"/>
      <c r="G174" s="1666"/>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1607"/>
      <c r="AN174" s="1607"/>
      <c r="AO174" s="1607"/>
      <c r="AP174" s="1607"/>
      <c r="AQ174" s="1607"/>
      <c r="AR174" s="1607"/>
      <c r="AS174" s="1607"/>
      <c r="AT174" s="1607"/>
      <c r="AU174" s="1607"/>
      <c r="AV174" s="1607"/>
      <c r="AW174" s="1607"/>
      <c r="AX174" s="1607"/>
      <c r="AY174" s="1607"/>
      <c r="AZ174" s="1607"/>
    </row>
    <row r="175" spans="2:55" s="1192" customFormat="1" ht="45.6" x14ac:dyDescent="0.3">
      <c r="B175" s="1743" t="s">
        <v>2508</v>
      </c>
      <c r="C175" s="1743"/>
      <c r="D175" s="1743"/>
      <c r="E175" s="1743"/>
      <c r="G175" s="1666"/>
      <c r="H175" s="1607" t="s">
        <v>2736</v>
      </c>
      <c r="I175" s="1607"/>
      <c r="J175" s="1607"/>
      <c r="K175" s="1607"/>
      <c r="L175" s="1607"/>
      <c r="M175" s="1607"/>
      <c r="N175" s="1607"/>
      <c r="O175" s="1607"/>
      <c r="P175" s="1607"/>
      <c r="Q175" s="1607"/>
      <c r="R175" s="1607"/>
      <c r="S175" s="1607"/>
      <c r="T175" s="1607"/>
      <c r="U175" s="1607"/>
      <c r="V175" s="1607"/>
      <c r="W175" s="1607"/>
      <c r="X175" s="1607"/>
      <c r="Y175" s="1607"/>
      <c r="Z175" s="1607"/>
      <c r="AA175" s="1608" t="s">
        <v>2508</v>
      </c>
      <c r="AB175" s="1607"/>
      <c r="AC175" s="1607"/>
      <c r="AD175" s="1607"/>
      <c r="AE175" s="1607"/>
      <c r="AF175" s="1607"/>
      <c r="AG175" s="1607"/>
      <c r="AH175" s="1607"/>
      <c r="AI175" s="1607"/>
      <c r="AJ175" s="1607"/>
      <c r="AK175" s="1607"/>
      <c r="AL175" s="1607"/>
      <c r="AM175" s="1607"/>
      <c r="AN175" s="1607"/>
      <c r="AO175" s="1607"/>
      <c r="AP175" s="1607"/>
      <c r="AQ175" s="1607"/>
      <c r="AR175" s="1607"/>
      <c r="AS175" s="1607"/>
      <c r="AT175" s="1607"/>
      <c r="AU175" s="1607"/>
      <c r="AV175" s="1607"/>
      <c r="AW175" s="1607"/>
      <c r="AX175" s="1607"/>
      <c r="AY175" s="1607"/>
      <c r="AZ175" s="1607"/>
      <c r="BC175" s="1670" t="s">
        <v>2508</v>
      </c>
    </row>
    <row r="176" spans="2:55" s="1192" customFormat="1" ht="11.25" customHeight="1" x14ac:dyDescent="0.3">
      <c r="B176" s="1654"/>
      <c r="C176" s="1654"/>
      <c r="D176" s="1654"/>
      <c r="E176" s="1654"/>
      <c r="G176" s="1666"/>
      <c r="H176" s="1607"/>
      <c r="I176" s="1607"/>
      <c r="J176" s="1607"/>
      <c r="K176" s="1607"/>
      <c r="L176" s="1607"/>
      <c r="M176" s="1607"/>
      <c r="N176" s="1607"/>
      <c r="O176" s="1607"/>
      <c r="P176" s="1607"/>
      <c r="Q176" s="1607"/>
      <c r="R176" s="1607"/>
      <c r="S176" s="1607"/>
      <c r="T176" s="1607"/>
      <c r="U176" s="1607"/>
      <c r="V176" s="1607"/>
      <c r="W176" s="1607"/>
      <c r="X176" s="1607"/>
      <c r="Y176" s="1607"/>
      <c r="Z176" s="1607"/>
      <c r="AA176" s="1607"/>
      <c r="AB176" s="1607"/>
      <c r="AC176" s="1607"/>
      <c r="AD176" s="1607"/>
      <c r="AE176" s="1607"/>
      <c r="AF176" s="1607"/>
      <c r="AG176" s="1607"/>
      <c r="AH176" s="1607"/>
      <c r="AI176" s="1607"/>
      <c r="AJ176" s="1607"/>
      <c r="AK176" s="1607"/>
      <c r="AL176" s="1607"/>
      <c r="AM176" s="1607"/>
      <c r="AN176" s="1607"/>
      <c r="AO176" s="1607"/>
      <c r="AP176" s="1607"/>
      <c r="AQ176" s="1607"/>
      <c r="AR176" s="1607"/>
      <c r="AS176" s="1607"/>
      <c r="AT176" s="1607"/>
      <c r="AU176" s="1607"/>
      <c r="AV176" s="1607"/>
      <c r="AW176" s="1607"/>
      <c r="AX176" s="1607"/>
      <c r="AY176" s="1607"/>
      <c r="AZ176" s="1607"/>
    </row>
    <row r="177" spans="2:55" s="1192" customFormat="1" ht="34.200000000000003" x14ac:dyDescent="0.3">
      <c r="B177" s="1743" t="s">
        <v>4500</v>
      </c>
      <c r="C177" s="1743"/>
      <c r="D177" s="1743"/>
      <c r="E177" s="1743"/>
      <c r="G177" s="1666"/>
      <c r="H177" s="1607" t="s">
        <v>2736</v>
      </c>
      <c r="I177" s="1607"/>
      <c r="J177" s="1607"/>
      <c r="K177" s="1607"/>
      <c r="L177" s="1607"/>
      <c r="M177" s="1607"/>
      <c r="N177" s="1607"/>
      <c r="O177" s="1607"/>
      <c r="P177" s="1607"/>
      <c r="Q177" s="1607"/>
      <c r="R177" s="1607"/>
      <c r="S177" s="1607"/>
      <c r="T177" s="1607"/>
      <c r="U177" s="1607"/>
      <c r="V177" s="1607"/>
      <c r="W177" s="1607"/>
      <c r="X177" s="1607"/>
      <c r="Y177" s="1607"/>
      <c r="Z177" s="1607"/>
      <c r="AA177" s="1608" t="s">
        <v>4500</v>
      </c>
      <c r="AB177" s="1607"/>
      <c r="AC177" s="1607"/>
      <c r="AD177" s="1607"/>
      <c r="AE177" s="1607"/>
      <c r="AF177" s="1607"/>
      <c r="AG177" s="1607"/>
      <c r="AH177" s="1607"/>
      <c r="AI177" s="1607"/>
      <c r="AJ177" s="1607"/>
      <c r="AK177" s="1607"/>
      <c r="AL177" s="1607"/>
      <c r="AM177" s="1607"/>
      <c r="AN177" s="1607"/>
      <c r="AO177" s="1607"/>
      <c r="AP177" s="1607"/>
      <c r="AQ177" s="1607"/>
      <c r="AR177" s="1607"/>
      <c r="AS177" s="1607"/>
      <c r="AT177" s="1607"/>
      <c r="AU177" s="1607"/>
      <c r="AV177" s="1607"/>
      <c r="AW177" s="1607"/>
      <c r="AX177" s="1607"/>
      <c r="AY177" s="1607"/>
      <c r="AZ177" s="1607"/>
      <c r="BC177" s="1670" t="s">
        <v>4500</v>
      </c>
    </row>
    <row r="178" spans="2:55" s="1192" customFormat="1" ht="11.25" customHeight="1" x14ac:dyDescent="0.3">
      <c r="B178" s="1654"/>
      <c r="C178" s="1654"/>
      <c r="D178" s="1654"/>
      <c r="E178" s="1654"/>
      <c r="G178" s="1666"/>
      <c r="H178" s="1607"/>
      <c r="I178" s="1607"/>
      <c r="J178" s="1607"/>
      <c r="K178" s="1607"/>
      <c r="L178" s="1607"/>
      <c r="M178" s="1607"/>
      <c r="N178" s="1607"/>
      <c r="O178" s="1607"/>
      <c r="P178" s="1607"/>
      <c r="Q178" s="1607"/>
      <c r="R178" s="1607"/>
      <c r="S178" s="1607"/>
      <c r="T178" s="1607"/>
      <c r="U178" s="1607"/>
      <c r="V178" s="1607"/>
      <c r="W178" s="1607"/>
      <c r="X178" s="1607"/>
      <c r="Y178" s="1607"/>
      <c r="Z178" s="1607"/>
      <c r="AA178" s="1607"/>
      <c r="AB178" s="1607"/>
      <c r="AC178" s="1607"/>
      <c r="AD178" s="1607"/>
      <c r="AE178" s="1607"/>
      <c r="AF178" s="1607"/>
      <c r="AG178" s="1607"/>
      <c r="AH178" s="1607"/>
      <c r="AI178" s="1607"/>
      <c r="AJ178" s="1607"/>
      <c r="AK178" s="1607"/>
      <c r="AL178" s="1607"/>
      <c r="AM178" s="1607"/>
      <c r="AN178" s="1607"/>
      <c r="AO178" s="1607"/>
      <c r="AP178" s="1607"/>
      <c r="AQ178" s="1607"/>
      <c r="AR178" s="1607"/>
      <c r="AS178" s="1607"/>
      <c r="AT178" s="1607"/>
      <c r="AU178" s="1607"/>
      <c r="AV178" s="1607"/>
      <c r="AW178" s="1607"/>
      <c r="AX178" s="1607"/>
      <c r="AY178" s="1607"/>
      <c r="AZ178" s="1607"/>
    </row>
    <row r="179" spans="2:55" s="1192" customFormat="1" ht="14.4" x14ac:dyDescent="0.3">
      <c r="B179" s="1750" t="s">
        <v>2394</v>
      </c>
      <c r="C179" s="1743"/>
      <c r="D179" s="1743"/>
      <c r="E179" s="1743"/>
      <c r="G179" s="1666"/>
      <c r="H179" s="1607" t="s">
        <v>2431</v>
      </c>
      <c r="I179" s="1607"/>
      <c r="J179" s="1607"/>
      <c r="K179" s="1607"/>
      <c r="L179" s="1607"/>
      <c r="M179" s="1607"/>
      <c r="N179" s="1607"/>
      <c r="O179" s="1607"/>
      <c r="P179" s="1607"/>
      <c r="Q179" s="1607"/>
      <c r="R179" s="1607"/>
      <c r="S179" s="1607"/>
      <c r="T179" s="1607"/>
      <c r="U179" s="1607"/>
      <c r="V179" s="1607"/>
      <c r="W179" s="1607"/>
      <c r="X179" s="1607"/>
      <c r="Y179" s="1607"/>
      <c r="Z179" s="1607"/>
      <c r="AA179" s="1608" t="s">
        <v>2394</v>
      </c>
      <c r="AB179" s="1607"/>
      <c r="AC179" s="1607"/>
      <c r="AD179" s="1607"/>
      <c r="AE179" s="1607"/>
      <c r="AF179" s="1607"/>
      <c r="AG179" s="1607"/>
      <c r="AH179" s="1607"/>
      <c r="AI179" s="1607"/>
      <c r="AJ179" s="1607"/>
      <c r="AK179" s="1607"/>
      <c r="AL179" s="1607"/>
      <c r="AM179" s="1607"/>
      <c r="AN179" s="1607"/>
      <c r="AO179" s="1607"/>
      <c r="AP179" s="1607"/>
      <c r="AQ179" s="1607"/>
      <c r="AR179" s="1607"/>
      <c r="AS179" s="1607"/>
      <c r="AT179" s="1607"/>
      <c r="AU179" s="1607"/>
      <c r="AV179" s="1607"/>
      <c r="AW179" s="1607"/>
      <c r="AX179" s="1607"/>
      <c r="AY179" s="1607"/>
      <c r="AZ179" s="1607"/>
      <c r="BC179" s="1467" t="s">
        <v>2394</v>
      </c>
    </row>
    <row r="180" spans="2:55" s="1192" customFormat="1" ht="11.25" customHeight="1" x14ac:dyDescent="0.3">
      <c r="B180" s="1659"/>
      <c r="C180" s="1655"/>
      <c r="D180" s="1655"/>
      <c r="E180" s="1655"/>
      <c r="G180" s="1666"/>
      <c r="H180" s="1607"/>
      <c r="I180" s="1607"/>
      <c r="J180" s="1607"/>
      <c r="K180" s="1607"/>
      <c r="L180" s="1607"/>
      <c r="M180" s="1607"/>
      <c r="N180" s="1607"/>
      <c r="O180" s="1607"/>
      <c r="P180" s="1607"/>
      <c r="Q180" s="1607"/>
      <c r="R180" s="1607"/>
      <c r="S180" s="1607"/>
      <c r="T180" s="1607"/>
      <c r="U180" s="1607"/>
      <c r="V180" s="1607"/>
      <c r="W180" s="1607"/>
      <c r="X180" s="1607"/>
      <c r="Y180" s="1607"/>
      <c r="Z180" s="1607"/>
      <c r="AA180" s="1607"/>
      <c r="AB180" s="1607"/>
      <c r="AC180" s="1607"/>
      <c r="AD180" s="1607"/>
      <c r="AE180" s="1607"/>
      <c r="AF180" s="1607"/>
      <c r="AG180" s="1607"/>
      <c r="AH180" s="1607"/>
      <c r="AI180" s="1607"/>
      <c r="AJ180" s="1607"/>
      <c r="AK180" s="1607"/>
      <c r="AL180" s="1607"/>
      <c r="AM180" s="1607"/>
      <c r="AN180" s="1607"/>
      <c r="AO180" s="1607"/>
      <c r="AP180" s="1607"/>
      <c r="AQ180" s="1607"/>
      <c r="AR180" s="1607"/>
      <c r="AS180" s="1607"/>
      <c r="AT180" s="1607"/>
      <c r="AU180" s="1607"/>
      <c r="AV180" s="1607"/>
      <c r="AW180" s="1607"/>
      <c r="AX180" s="1607"/>
      <c r="AY180" s="1607"/>
      <c r="AZ180" s="1607"/>
    </row>
    <row r="181" spans="2:55" s="1192" customFormat="1" ht="14.4" x14ac:dyDescent="0.3">
      <c r="B181" s="1741" t="s">
        <v>8</v>
      </c>
      <c r="C181" s="1741"/>
      <c r="D181" s="524" t="s">
        <v>19</v>
      </c>
      <c r="E181" s="1516">
        <v>6.05</v>
      </c>
      <c r="G181" s="1666"/>
      <c r="H181" s="1607" t="s">
        <v>2736</v>
      </c>
      <c r="I181" s="1607" t="s">
        <v>430</v>
      </c>
      <c r="J181" s="1607"/>
      <c r="K181" s="1607"/>
      <c r="L181" s="1607"/>
      <c r="M181" s="1607" t="s">
        <v>2737</v>
      </c>
      <c r="N181" s="1607"/>
      <c r="O181" s="1607"/>
      <c r="P181" s="1607"/>
      <c r="Q181" s="1607"/>
      <c r="R181" s="1607"/>
      <c r="S181" s="1607"/>
      <c r="T181" s="1607"/>
      <c r="U181" s="1607"/>
      <c r="V181" s="1607"/>
      <c r="W181" s="1607"/>
      <c r="X181" s="1607"/>
      <c r="Y181" s="1607"/>
      <c r="Z181" s="1608" t="s">
        <v>2737</v>
      </c>
      <c r="AA181" s="1607"/>
      <c r="AB181" s="1607"/>
      <c r="AC181" s="1607"/>
      <c r="AD181" s="1607"/>
      <c r="AE181" s="1607"/>
      <c r="AF181" s="1607"/>
      <c r="AG181" s="1607"/>
      <c r="AH181" s="1607"/>
      <c r="AI181" s="1607"/>
      <c r="AJ181" s="1607"/>
      <c r="AK181" s="1607"/>
      <c r="AL181" s="1607"/>
      <c r="AM181" s="1607"/>
      <c r="AN181" s="1607"/>
      <c r="AO181" s="1607"/>
      <c r="AP181" s="1607"/>
      <c r="AQ181" s="1607"/>
      <c r="AR181" s="1607"/>
      <c r="AS181" s="1607"/>
      <c r="AT181" s="1607"/>
      <c r="AU181" s="1607"/>
      <c r="AV181" s="1607"/>
      <c r="AW181" s="1607"/>
      <c r="AX181" s="1607"/>
      <c r="AY181" s="1607"/>
      <c r="AZ181" s="1607"/>
      <c r="BB181" s="1671" t="s">
        <v>8</v>
      </c>
    </row>
    <row r="182" spans="2:55" s="1192" customFormat="1" ht="14.4" x14ac:dyDescent="0.3">
      <c r="B182" s="1741" t="s">
        <v>80</v>
      </c>
      <c r="C182" s="1741"/>
      <c r="D182" s="524" t="s">
        <v>29</v>
      </c>
      <c r="E182" s="1517">
        <v>16.004899999999999</v>
      </c>
      <c r="G182" s="1666"/>
      <c r="H182" s="1607" t="s">
        <v>2736</v>
      </c>
      <c r="I182" s="1607" t="s">
        <v>430</v>
      </c>
      <c r="J182" s="1607"/>
      <c r="K182" s="1607"/>
      <c r="L182" s="1607"/>
      <c r="M182" s="1607" t="s">
        <v>2738</v>
      </c>
      <c r="N182" s="1607"/>
      <c r="O182" s="1607"/>
      <c r="P182" s="1607"/>
      <c r="Q182" s="1607"/>
      <c r="R182" s="1607"/>
      <c r="S182" s="1607"/>
      <c r="T182" s="1607"/>
      <c r="U182" s="1607"/>
      <c r="V182" s="1607"/>
      <c r="W182" s="1607"/>
      <c r="X182" s="1607"/>
      <c r="Y182" s="1607"/>
      <c r="Z182" s="1608" t="s">
        <v>2738</v>
      </c>
      <c r="AA182" s="1607"/>
      <c r="AB182" s="1607"/>
      <c r="AC182" s="1607"/>
      <c r="AD182" s="1607"/>
      <c r="AE182" s="1607"/>
      <c r="AF182" s="1607"/>
      <c r="AG182" s="1607"/>
      <c r="AH182" s="1607"/>
      <c r="AI182" s="1607"/>
      <c r="AJ182" s="1607"/>
      <c r="AK182" s="1607"/>
      <c r="AL182" s="1607"/>
      <c r="AM182" s="1607"/>
      <c r="AN182" s="1607"/>
      <c r="AO182" s="1607"/>
      <c r="AP182" s="1607"/>
      <c r="AQ182" s="1607"/>
      <c r="AR182" s="1607"/>
      <c r="AS182" s="1607"/>
      <c r="AT182" s="1607"/>
      <c r="AU182" s="1607"/>
      <c r="AV182" s="1607"/>
      <c r="AW182" s="1607"/>
      <c r="AX182" s="1607"/>
      <c r="AY182" s="1607"/>
      <c r="AZ182" s="1607"/>
      <c r="BB182" s="1671" t="s">
        <v>80</v>
      </c>
    </row>
    <row r="183" spans="2:55" s="1192" customFormat="1" ht="14.4" x14ac:dyDescent="0.3">
      <c r="B183" s="1741" t="s">
        <v>14</v>
      </c>
      <c r="C183" s="1741"/>
      <c r="D183" s="524" t="s">
        <v>29</v>
      </c>
      <c r="E183" s="1219">
        <v>0.78820000000000001</v>
      </c>
      <c r="G183" s="1666"/>
      <c r="H183" s="1607" t="s">
        <v>2736</v>
      </c>
      <c r="I183" s="1607" t="s">
        <v>431</v>
      </c>
      <c r="J183" s="1607"/>
      <c r="K183" s="1607"/>
      <c r="L183" s="1607"/>
      <c r="M183" s="1607" t="s">
        <v>2739</v>
      </c>
      <c r="N183" s="1607"/>
      <c r="O183" s="1607"/>
      <c r="P183" s="1607"/>
      <c r="Q183" s="1607"/>
      <c r="R183" s="1607"/>
      <c r="S183" s="1607"/>
      <c r="T183" s="1607"/>
      <c r="U183" s="1607"/>
      <c r="V183" s="1607"/>
      <c r="W183" s="1607"/>
      <c r="X183" s="1607"/>
      <c r="Y183" s="1607"/>
      <c r="Z183" s="1608" t="s">
        <v>14</v>
      </c>
      <c r="AA183" s="1607"/>
      <c r="AB183" s="1607"/>
      <c r="AC183" s="1607"/>
      <c r="AD183" s="1607"/>
      <c r="AE183" s="1607"/>
      <c r="AF183" s="1607"/>
      <c r="AG183" s="1607"/>
      <c r="AH183" s="1607"/>
      <c r="AI183" s="1607"/>
      <c r="AJ183" s="1607"/>
      <c r="AK183" s="1607"/>
      <c r="AL183" s="1607"/>
      <c r="AM183" s="1607"/>
      <c r="AN183" s="1607"/>
      <c r="AO183" s="1607"/>
      <c r="AP183" s="1607"/>
      <c r="AQ183" s="1607"/>
      <c r="AR183" s="1607"/>
      <c r="AS183" s="1607"/>
      <c r="AT183" s="1607"/>
      <c r="AU183" s="1607"/>
      <c r="AV183" s="1607"/>
      <c r="AW183" s="1607"/>
      <c r="AX183" s="1607"/>
      <c r="AY183" s="1607"/>
      <c r="AZ183" s="1607"/>
      <c r="BB183" s="1671" t="s">
        <v>14</v>
      </c>
    </row>
    <row r="184" spans="2:55" s="1192" customFormat="1" ht="20.399999999999999" x14ac:dyDescent="0.3">
      <c r="B184" s="1741" t="s">
        <v>4538</v>
      </c>
      <c r="C184" s="1741"/>
      <c r="D184" s="524" t="s">
        <v>29</v>
      </c>
      <c r="E184" s="1219">
        <v>-9.5100000000000004E-2</v>
      </c>
      <c r="G184" s="1666"/>
      <c r="H184" s="1607" t="s">
        <v>2736</v>
      </c>
      <c r="I184" s="1607" t="s">
        <v>430</v>
      </c>
      <c r="J184" s="1607"/>
      <c r="K184" s="1607"/>
      <c r="L184" s="1607"/>
      <c r="M184" s="1607" t="s">
        <v>2740</v>
      </c>
      <c r="N184" s="1607"/>
      <c r="O184" s="1607"/>
      <c r="P184" s="1607"/>
      <c r="Q184" s="1607">
        <v>44561</v>
      </c>
      <c r="R184" s="1607"/>
      <c r="S184" s="1607"/>
      <c r="T184" s="1607"/>
      <c r="U184" s="1607"/>
      <c r="V184" s="1607"/>
      <c r="W184" s="1607"/>
      <c r="X184" s="1607"/>
      <c r="Y184" s="1607"/>
      <c r="Z184" s="1608" t="s">
        <v>4538</v>
      </c>
      <c r="AA184" s="1607"/>
      <c r="AB184" s="1607"/>
      <c r="AC184" s="1607"/>
      <c r="AD184" s="1607"/>
      <c r="AE184" s="1607"/>
      <c r="AF184" s="1607"/>
      <c r="AG184" s="1607"/>
      <c r="AH184" s="1607"/>
      <c r="AI184" s="1607"/>
      <c r="AJ184" s="1607"/>
      <c r="AK184" s="1607"/>
      <c r="AL184" s="1607"/>
      <c r="AM184" s="1607"/>
      <c r="AN184" s="1607"/>
      <c r="AO184" s="1607"/>
      <c r="AP184" s="1607"/>
      <c r="AQ184" s="1607"/>
      <c r="AR184" s="1607"/>
      <c r="AS184" s="1607"/>
      <c r="AT184" s="1607"/>
      <c r="AU184" s="1607"/>
      <c r="AV184" s="1607"/>
      <c r="AW184" s="1607"/>
      <c r="AX184" s="1607"/>
      <c r="AY184" s="1607"/>
      <c r="AZ184" s="1607"/>
      <c r="BB184" s="1671" t="s">
        <v>4538</v>
      </c>
    </row>
    <row r="185" spans="2:55" s="1192" customFormat="1" ht="14.4" x14ac:dyDescent="0.3">
      <c r="B185" s="1741" t="s">
        <v>4536</v>
      </c>
      <c r="C185" s="1741"/>
      <c r="D185" s="524" t="s">
        <v>29</v>
      </c>
      <c r="E185" s="1219">
        <v>-0.76100000000000001</v>
      </c>
      <c r="G185" s="1666" t="s">
        <v>603</v>
      </c>
      <c r="H185" s="1607" t="s">
        <v>2736</v>
      </c>
      <c r="I185" s="1607" t="s">
        <v>430</v>
      </c>
      <c r="J185" s="1607"/>
      <c r="K185" s="1607"/>
      <c r="L185" s="1607"/>
      <c r="M185" s="1607" t="s">
        <v>6138</v>
      </c>
      <c r="N185" s="1607"/>
      <c r="O185" s="1607"/>
      <c r="P185" s="1607"/>
      <c r="Q185" s="1607">
        <v>44561</v>
      </c>
      <c r="R185" s="1607"/>
      <c r="S185" s="1607"/>
      <c r="T185" s="1607"/>
      <c r="U185" s="1607"/>
      <c r="V185" s="1607"/>
      <c r="W185" s="1607"/>
      <c r="X185" s="1607"/>
      <c r="Y185" s="1607"/>
      <c r="Z185" s="1608" t="s">
        <v>4536</v>
      </c>
      <c r="AA185" s="1607"/>
      <c r="AB185" s="1607"/>
      <c r="AC185" s="1607"/>
      <c r="AD185" s="1607"/>
      <c r="AE185" s="1607"/>
      <c r="AF185" s="1607"/>
      <c r="AG185" s="1607"/>
      <c r="AH185" s="1607"/>
      <c r="AI185" s="1607"/>
      <c r="AJ185" s="1607"/>
      <c r="AK185" s="1607"/>
      <c r="AL185" s="1607"/>
      <c r="AM185" s="1607"/>
      <c r="AN185" s="1607"/>
      <c r="AO185" s="1607"/>
      <c r="AP185" s="1607"/>
      <c r="AQ185" s="1607"/>
      <c r="AR185" s="1607"/>
      <c r="AS185" s="1607"/>
      <c r="AT185" s="1607"/>
      <c r="AU185" s="1607"/>
      <c r="AV185" s="1607"/>
      <c r="AW185" s="1607"/>
      <c r="AX185" s="1607"/>
      <c r="AY185" s="1607"/>
      <c r="AZ185" s="1607"/>
      <c r="BB185" s="1671" t="s">
        <v>4536</v>
      </c>
    </row>
    <row r="186" spans="2:55" s="1192" customFormat="1" ht="20.399999999999999" x14ac:dyDescent="0.3">
      <c r="B186" s="1741" t="s">
        <v>4537</v>
      </c>
      <c r="C186" s="1741"/>
      <c r="D186" s="524" t="s">
        <v>29</v>
      </c>
      <c r="E186" s="1219">
        <v>-0.39489999999999997</v>
      </c>
      <c r="G186" s="1666" t="s">
        <v>7382</v>
      </c>
      <c r="H186" s="1607" t="s">
        <v>2736</v>
      </c>
      <c r="I186" s="1607" t="s">
        <v>430</v>
      </c>
      <c r="J186" s="1607"/>
      <c r="K186" s="1607"/>
      <c r="L186" s="1607"/>
      <c r="M186" s="1607" t="s">
        <v>6139</v>
      </c>
      <c r="N186" s="1607"/>
      <c r="O186" s="1607"/>
      <c r="P186" s="1607"/>
      <c r="Q186" s="1607"/>
      <c r="R186" s="1607"/>
      <c r="S186" s="1607"/>
      <c r="T186" s="1607"/>
      <c r="U186" s="1607"/>
      <c r="V186" s="1607"/>
      <c r="W186" s="1607"/>
      <c r="X186" s="1607"/>
      <c r="Y186" s="1607"/>
      <c r="Z186" s="1608" t="s">
        <v>4537</v>
      </c>
      <c r="AA186" s="1607"/>
      <c r="AB186" s="1607"/>
      <c r="AC186" s="1607"/>
      <c r="AD186" s="1607"/>
      <c r="AE186" s="1607"/>
      <c r="AF186" s="1607"/>
      <c r="AG186" s="1607"/>
      <c r="AH186" s="1607"/>
      <c r="AI186" s="1607"/>
      <c r="AJ186" s="1607"/>
      <c r="AK186" s="1607"/>
      <c r="AL186" s="1607"/>
      <c r="AM186" s="1607"/>
      <c r="AN186" s="1607"/>
      <c r="AO186" s="1607"/>
      <c r="AP186" s="1607"/>
      <c r="AQ186" s="1607"/>
      <c r="AR186" s="1607"/>
      <c r="AS186" s="1607"/>
      <c r="AT186" s="1607"/>
      <c r="AU186" s="1607"/>
      <c r="AV186" s="1607"/>
      <c r="AW186" s="1607"/>
      <c r="AX186" s="1607"/>
      <c r="AY186" s="1607"/>
      <c r="AZ186" s="1607"/>
      <c r="BB186" s="1671" t="s">
        <v>4537</v>
      </c>
    </row>
    <row r="187" spans="2:55" s="1192" customFormat="1" ht="14.4" x14ac:dyDescent="0.3">
      <c r="B187" s="1741" t="s">
        <v>213</v>
      </c>
      <c r="C187" s="1741"/>
      <c r="D187" s="524" t="s">
        <v>29</v>
      </c>
      <c r="E187" s="1517">
        <v>1.8164</v>
      </c>
      <c r="G187" s="1666"/>
      <c r="H187" s="1607" t="s">
        <v>2736</v>
      </c>
      <c r="I187" s="1607" t="s">
        <v>432</v>
      </c>
      <c r="J187" s="1607"/>
      <c r="K187" s="1607"/>
      <c r="L187" s="1607"/>
      <c r="M187" s="1607" t="s">
        <v>2741</v>
      </c>
      <c r="N187" s="1607"/>
      <c r="O187" s="1607"/>
      <c r="P187" s="1607"/>
      <c r="Q187" s="1607"/>
      <c r="R187" s="1607"/>
      <c r="S187" s="1607"/>
      <c r="T187" s="1607"/>
      <c r="U187" s="1607"/>
      <c r="V187" s="1607"/>
      <c r="W187" s="1607"/>
      <c r="X187" s="1607"/>
      <c r="Y187" s="1607"/>
      <c r="Z187" s="1608" t="s">
        <v>2741</v>
      </c>
      <c r="AA187" s="1607"/>
      <c r="AB187" s="1607"/>
      <c r="AC187" s="1607"/>
      <c r="AD187" s="1607"/>
      <c r="AE187" s="1607"/>
      <c r="AF187" s="1607"/>
      <c r="AG187" s="1607"/>
      <c r="AH187" s="1607"/>
      <c r="AI187" s="1607"/>
      <c r="AJ187" s="1607"/>
      <c r="AK187" s="1607"/>
      <c r="AL187" s="1607"/>
      <c r="AM187" s="1607"/>
      <c r="AN187" s="1607"/>
      <c r="AO187" s="1607"/>
      <c r="AP187" s="1607"/>
      <c r="AQ187" s="1607"/>
      <c r="AR187" s="1607"/>
      <c r="AS187" s="1607"/>
      <c r="AT187" s="1607"/>
      <c r="AU187" s="1607"/>
      <c r="AV187" s="1607"/>
      <c r="AW187" s="1607"/>
      <c r="AX187" s="1607"/>
      <c r="AY187" s="1607"/>
      <c r="AZ187" s="1607" t="s">
        <v>7349</v>
      </c>
      <c r="BB187" s="1671" t="s">
        <v>213</v>
      </c>
    </row>
    <row r="188" spans="2:55" s="1192" customFormat="1" ht="14.4" x14ac:dyDescent="0.3">
      <c r="B188" s="1741" t="s">
        <v>209</v>
      </c>
      <c r="C188" s="1741"/>
      <c r="D188" s="524" t="s">
        <v>29</v>
      </c>
      <c r="E188" s="1517">
        <v>1.5411999999999999</v>
      </c>
      <c r="G188" s="1666"/>
      <c r="H188" s="1607" t="s">
        <v>2736</v>
      </c>
      <c r="I188" s="1607" t="s">
        <v>432</v>
      </c>
      <c r="J188" s="1607"/>
      <c r="K188" s="1607"/>
      <c r="L188" s="1607"/>
      <c r="M188" s="1607" t="s">
        <v>2742</v>
      </c>
      <c r="N188" s="1607"/>
      <c r="O188" s="1607"/>
      <c r="P188" s="1607"/>
      <c r="Q188" s="1607"/>
      <c r="R188" s="1607"/>
      <c r="S188" s="1607"/>
      <c r="T188" s="1607"/>
      <c r="U188" s="1607"/>
      <c r="V188" s="1607"/>
      <c r="W188" s="1607"/>
      <c r="X188" s="1607"/>
      <c r="Y188" s="1607"/>
      <c r="Z188" s="1608" t="s">
        <v>2742</v>
      </c>
      <c r="AA188" s="1607"/>
      <c r="AB188" s="1607"/>
      <c r="AC188" s="1607"/>
      <c r="AD188" s="1607"/>
      <c r="AE188" s="1607"/>
      <c r="AF188" s="1607"/>
      <c r="AG188" s="1607"/>
      <c r="AH188" s="1607"/>
      <c r="AI188" s="1607"/>
      <c r="AJ188" s="1607"/>
      <c r="AK188" s="1607"/>
      <c r="AL188" s="1607"/>
      <c r="AM188" s="1607"/>
      <c r="AN188" s="1607"/>
      <c r="AO188" s="1607"/>
      <c r="AP188" s="1607"/>
      <c r="AQ188" s="1607"/>
      <c r="AR188" s="1607"/>
      <c r="AS188" s="1607"/>
      <c r="AT188" s="1607"/>
      <c r="AU188" s="1607"/>
      <c r="AV188" s="1607"/>
      <c r="AW188" s="1607"/>
      <c r="AX188" s="1607"/>
      <c r="AY188" s="1607"/>
      <c r="AZ188" s="1607" t="s">
        <v>7350</v>
      </c>
      <c r="BB188" s="1671" t="s">
        <v>209</v>
      </c>
    </row>
    <row r="189" spans="2:55" s="1192" customFormat="1" ht="11.25" customHeight="1" x14ac:dyDescent="0.3">
      <c r="B189" s="1652"/>
      <c r="C189" s="1653"/>
      <c r="D189" s="524"/>
      <c r="E189" s="1219"/>
      <c r="G189" s="1666"/>
      <c r="H189" s="1607"/>
      <c r="I189" s="1607"/>
      <c r="J189" s="1607"/>
      <c r="K189" s="1607"/>
      <c r="L189" s="1607"/>
      <c r="M189" s="1607"/>
      <c r="N189" s="1607"/>
      <c r="O189" s="1607"/>
      <c r="P189" s="1607"/>
      <c r="Q189" s="1607"/>
      <c r="R189" s="1607"/>
      <c r="S189" s="1607"/>
      <c r="T189" s="1607"/>
      <c r="U189" s="1607"/>
      <c r="V189" s="1607"/>
      <c r="W189" s="1607"/>
      <c r="X189" s="1607"/>
      <c r="Y189" s="1607"/>
      <c r="Z189" s="1607"/>
      <c r="AA189" s="1607"/>
      <c r="AB189" s="1607"/>
      <c r="AC189" s="1607"/>
      <c r="AD189" s="1607"/>
      <c r="AE189" s="1607"/>
      <c r="AF189" s="1607"/>
      <c r="AG189" s="1607"/>
      <c r="AH189" s="1607"/>
      <c r="AI189" s="1607"/>
      <c r="AJ189" s="1607"/>
      <c r="AK189" s="1607"/>
      <c r="AL189" s="1607"/>
      <c r="AM189" s="1607"/>
      <c r="AN189" s="1607"/>
      <c r="AO189" s="1607"/>
      <c r="AP189" s="1607"/>
      <c r="AQ189" s="1607"/>
      <c r="AR189" s="1607"/>
      <c r="AS189" s="1607"/>
      <c r="AT189" s="1607"/>
      <c r="AU189" s="1607"/>
      <c r="AV189" s="1607"/>
      <c r="AW189" s="1607"/>
      <c r="AX189" s="1607"/>
      <c r="AY189" s="1607"/>
      <c r="AZ189" s="1607"/>
    </row>
    <row r="190" spans="2:55" s="1192" customFormat="1" ht="14.4" x14ac:dyDescent="0.3">
      <c r="B190" s="1750" t="s">
        <v>2405</v>
      </c>
      <c r="C190" s="1741"/>
      <c r="D190" s="1277"/>
      <c r="E190" s="896"/>
      <c r="G190" s="1666"/>
      <c r="H190" s="1607" t="s">
        <v>2438</v>
      </c>
      <c r="I190" s="1607"/>
      <c r="J190" s="1607"/>
      <c r="K190" s="1607"/>
      <c r="L190" s="1607"/>
      <c r="M190" s="1607"/>
      <c r="N190" s="1607"/>
      <c r="O190" s="1607"/>
      <c r="P190" s="1607"/>
      <c r="Q190" s="1607"/>
      <c r="R190" s="1607"/>
      <c r="S190" s="1607"/>
      <c r="T190" s="1607"/>
      <c r="U190" s="1607"/>
      <c r="V190" s="1607"/>
      <c r="W190" s="1607"/>
      <c r="X190" s="1607"/>
      <c r="Y190" s="1607"/>
      <c r="Z190" s="1608" t="s">
        <v>2405</v>
      </c>
      <c r="AA190" s="1607"/>
      <c r="AB190" s="1607"/>
      <c r="AC190" s="1607"/>
      <c r="AD190" s="1607"/>
      <c r="AE190" s="1607"/>
      <c r="AF190" s="1607"/>
      <c r="AG190" s="1607"/>
      <c r="AH190" s="1607"/>
      <c r="AI190" s="1607"/>
      <c r="AJ190" s="1607"/>
      <c r="AK190" s="1607"/>
      <c r="AL190" s="1607"/>
      <c r="AM190" s="1607"/>
      <c r="AN190" s="1607"/>
      <c r="AO190" s="1607"/>
      <c r="AP190" s="1607"/>
      <c r="AQ190" s="1607"/>
      <c r="AR190" s="1607"/>
      <c r="AS190" s="1607"/>
      <c r="AT190" s="1607"/>
      <c r="AU190" s="1607"/>
      <c r="AV190" s="1607"/>
      <c r="AW190" s="1607"/>
      <c r="AX190" s="1607"/>
      <c r="AY190" s="1607"/>
      <c r="AZ190" s="1607"/>
      <c r="BB190" s="1467" t="s">
        <v>2405</v>
      </c>
    </row>
    <row r="191" spans="2:55" s="1192" customFormat="1" ht="11.25" customHeight="1" x14ac:dyDescent="0.3">
      <c r="B191" s="1659"/>
      <c r="C191" s="1653"/>
      <c r="D191" s="1277"/>
      <c r="E191" s="896"/>
      <c r="G191" s="1666"/>
      <c r="H191" s="1607"/>
      <c r="I191" s="1607"/>
      <c r="J191" s="1607"/>
      <c r="K191" s="1607"/>
      <c r="L191" s="1607"/>
      <c r="M191" s="1607"/>
      <c r="N191" s="1607"/>
      <c r="O191" s="1607"/>
      <c r="P191" s="1607"/>
      <c r="Q191" s="1607"/>
      <c r="R191" s="1607"/>
      <c r="S191" s="1607"/>
      <c r="T191" s="1607"/>
      <c r="U191" s="1607"/>
      <c r="V191" s="1607"/>
      <c r="W191" s="1607"/>
      <c r="X191" s="1607"/>
      <c r="Y191" s="1607"/>
      <c r="Z191" s="1607"/>
      <c r="AA191" s="1607"/>
      <c r="AB191" s="1607"/>
      <c r="AC191" s="1607"/>
      <c r="AD191" s="1607"/>
      <c r="AE191" s="1607"/>
      <c r="AF191" s="1607"/>
      <c r="AG191" s="1607"/>
      <c r="AH191" s="1607"/>
      <c r="AI191" s="1607"/>
      <c r="AJ191" s="1607"/>
      <c r="AK191" s="1607"/>
      <c r="AL191" s="1607"/>
      <c r="AM191" s="1607"/>
      <c r="AN191" s="1607"/>
      <c r="AO191" s="1607"/>
      <c r="AP191" s="1607"/>
      <c r="AQ191" s="1607"/>
      <c r="AR191" s="1607"/>
      <c r="AS191" s="1607"/>
      <c r="AT191" s="1607"/>
      <c r="AU191" s="1607"/>
      <c r="AV191" s="1607"/>
      <c r="AW191" s="1607"/>
      <c r="AX191" s="1607"/>
      <c r="AY191" s="1607"/>
      <c r="AZ191" s="1607"/>
    </row>
    <row r="192" spans="2:55" s="1192" customFormat="1" ht="14.4" x14ac:dyDescent="0.3">
      <c r="B192" s="1741" t="s">
        <v>2033</v>
      </c>
      <c r="C192" s="1741"/>
      <c r="D192" s="524" t="s">
        <v>20</v>
      </c>
      <c r="E192" s="1219">
        <v>3.0000000000000001E-3</v>
      </c>
      <c r="G192" s="1666"/>
      <c r="H192" s="1607" t="s">
        <v>2736</v>
      </c>
      <c r="I192" s="1607" t="s">
        <v>2374</v>
      </c>
      <c r="J192" s="1607"/>
      <c r="K192" s="1607"/>
      <c r="L192" s="1607"/>
      <c r="M192" s="1607" t="s">
        <v>2743</v>
      </c>
      <c r="N192" s="1607"/>
      <c r="O192" s="1607"/>
      <c r="P192" s="1607"/>
      <c r="Q192" s="1607"/>
      <c r="R192" s="1607"/>
      <c r="S192" s="1607"/>
      <c r="T192" s="1607"/>
      <c r="U192" s="1607"/>
      <c r="V192" s="1607"/>
      <c r="W192" s="1607"/>
      <c r="X192" s="1607"/>
      <c r="Y192" s="1607"/>
      <c r="Z192" s="1608" t="s">
        <v>2033</v>
      </c>
      <c r="AA192" s="1607"/>
      <c r="AB192" s="1607"/>
      <c r="AC192" s="1607"/>
      <c r="AD192" s="1607"/>
      <c r="AE192" s="1607"/>
      <c r="AF192" s="1607"/>
      <c r="AG192" s="1607"/>
      <c r="AH192" s="1607"/>
      <c r="AI192" s="1607"/>
      <c r="AJ192" s="1607"/>
      <c r="AK192" s="1607"/>
      <c r="AL192" s="1607"/>
      <c r="AM192" s="1607"/>
      <c r="AN192" s="1607"/>
      <c r="AO192" s="1607"/>
      <c r="AP192" s="1607"/>
      <c r="AQ192" s="1607"/>
      <c r="AR192" s="1607"/>
      <c r="AS192" s="1607"/>
      <c r="AT192" s="1607"/>
      <c r="AU192" s="1607"/>
      <c r="AV192" s="1607"/>
      <c r="AW192" s="1607"/>
      <c r="AX192" s="1607"/>
      <c r="AY192" s="1607"/>
      <c r="AZ192" s="1607"/>
      <c r="BB192" s="1671" t="s">
        <v>2033</v>
      </c>
    </row>
    <row r="193" spans="2:55" s="1192" customFormat="1" ht="14.4" x14ac:dyDescent="0.3">
      <c r="B193" s="1741" t="s">
        <v>2034</v>
      </c>
      <c r="C193" s="1741"/>
      <c r="D193" s="524" t="s">
        <v>20</v>
      </c>
      <c r="E193" s="1219">
        <v>4.0000000000000002E-4</v>
      </c>
      <c r="G193" s="1666"/>
      <c r="H193" s="1607" t="s">
        <v>2736</v>
      </c>
      <c r="I193" s="1607" t="s">
        <v>2374</v>
      </c>
      <c r="J193" s="1607"/>
      <c r="K193" s="1607"/>
      <c r="L193" s="1607"/>
      <c r="M193" s="1607" t="s">
        <v>2743</v>
      </c>
      <c r="N193" s="1607"/>
      <c r="O193" s="1607"/>
      <c r="P193" s="1607"/>
      <c r="Q193" s="1607"/>
      <c r="R193" s="1607"/>
      <c r="S193" s="1607"/>
      <c r="T193" s="1607"/>
      <c r="U193" s="1607"/>
      <c r="V193" s="1607"/>
      <c r="W193" s="1607"/>
      <c r="X193" s="1607"/>
      <c r="Y193" s="1607"/>
      <c r="Z193" s="1608" t="s">
        <v>2034</v>
      </c>
      <c r="AA193" s="1607"/>
      <c r="AB193" s="1607"/>
      <c r="AC193" s="1607"/>
      <c r="AD193" s="1607"/>
      <c r="AE193" s="1607"/>
      <c r="AF193" s="1607"/>
      <c r="AG193" s="1607"/>
      <c r="AH193" s="1607"/>
      <c r="AI193" s="1607"/>
      <c r="AJ193" s="1607"/>
      <c r="AK193" s="1607"/>
      <c r="AL193" s="1607"/>
      <c r="AM193" s="1607"/>
      <c r="AN193" s="1607"/>
      <c r="AO193" s="1607"/>
      <c r="AP193" s="1607"/>
      <c r="AQ193" s="1607"/>
      <c r="AR193" s="1607"/>
      <c r="AS193" s="1607"/>
      <c r="AT193" s="1607"/>
      <c r="AU193" s="1607"/>
      <c r="AV193" s="1607"/>
      <c r="AW193" s="1607"/>
      <c r="AX193" s="1607"/>
      <c r="AY193" s="1607"/>
      <c r="AZ193" s="1607"/>
      <c r="BB193" s="1671" t="s">
        <v>2034</v>
      </c>
    </row>
    <row r="194" spans="2:55" s="1192" customFormat="1" ht="14.4" x14ac:dyDescent="0.3">
      <c r="B194" s="1741" t="s">
        <v>428</v>
      </c>
      <c r="C194" s="1741"/>
      <c r="D194" s="524" t="s">
        <v>20</v>
      </c>
      <c r="E194" s="1219">
        <v>5.0000000000000001E-4</v>
      </c>
      <c r="G194" s="1666"/>
      <c r="H194" s="1607" t="s">
        <v>2736</v>
      </c>
      <c r="I194" s="1607" t="s">
        <v>2374</v>
      </c>
      <c r="J194" s="1607"/>
      <c r="K194" s="1607"/>
      <c r="L194" s="1607"/>
      <c r="M194" s="1607" t="s">
        <v>2744</v>
      </c>
      <c r="N194" s="1607"/>
      <c r="O194" s="1607"/>
      <c r="P194" s="1607"/>
      <c r="Q194" s="1607"/>
      <c r="R194" s="1607"/>
      <c r="S194" s="1607"/>
      <c r="T194" s="1607"/>
      <c r="U194" s="1607"/>
      <c r="V194" s="1607"/>
      <c r="W194" s="1607"/>
      <c r="X194" s="1607"/>
      <c r="Y194" s="1607"/>
      <c r="Z194" s="1608" t="s">
        <v>428</v>
      </c>
      <c r="AA194" s="1607"/>
      <c r="AB194" s="1607"/>
      <c r="AC194" s="1607"/>
      <c r="AD194" s="1607"/>
      <c r="AE194" s="1607"/>
      <c r="AF194" s="1607"/>
      <c r="AG194" s="1607"/>
      <c r="AH194" s="1607"/>
      <c r="AI194" s="1607"/>
      <c r="AJ194" s="1607"/>
      <c r="AK194" s="1607"/>
      <c r="AL194" s="1607"/>
      <c r="AM194" s="1607"/>
      <c r="AN194" s="1607"/>
      <c r="AO194" s="1607"/>
      <c r="AP194" s="1607"/>
      <c r="AQ194" s="1607"/>
      <c r="AR194" s="1607"/>
      <c r="AS194" s="1607"/>
      <c r="AT194" s="1607"/>
      <c r="AU194" s="1607"/>
      <c r="AV194" s="1607"/>
      <c r="AW194" s="1607"/>
      <c r="AX194" s="1607"/>
      <c r="AY194" s="1607"/>
      <c r="AZ194" s="1607"/>
      <c r="BB194" s="1671" t="s">
        <v>428</v>
      </c>
    </row>
    <row r="195" spans="2:55" s="1192" customFormat="1" ht="14.4" x14ac:dyDescent="0.3">
      <c r="B195" s="1741" t="s">
        <v>28</v>
      </c>
      <c r="C195" s="1741"/>
      <c r="D195" s="524" t="s">
        <v>19</v>
      </c>
      <c r="E195" s="1218">
        <v>0.25</v>
      </c>
      <c r="G195" s="1666"/>
      <c r="H195" s="1607" t="s">
        <v>2736</v>
      </c>
      <c r="I195" s="1607" t="s">
        <v>2374</v>
      </c>
      <c r="J195" s="1607"/>
      <c r="K195" s="1607"/>
      <c r="L195" s="1607"/>
      <c r="M195" s="1607" t="s">
        <v>2745</v>
      </c>
      <c r="N195" s="1607"/>
      <c r="O195" s="1607"/>
      <c r="P195" s="1607"/>
      <c r="Q195" s="1607"/>
      <c r="R195" s="1607"/>
      <c r="S195" s="1607"/>
      <c r="T195" s="1607"/>
      <c r="U195" s="1607"/>
      <c r="V195" s="1607"/>
      <c r="W195" s="1607"/>
      <c r="X195" s="1607"/>
      <c r="Y195" s="1607"/>
      <c r="Z195" s="1608" t="s">
        <v>28</v>
      </c>
      <c r="AA195" s="1607"/>
      <c r="AB195" s="1607"/>
      <c r="AC195" s="1607"/>
      <c r="AD195" s="1607"/>
      <c r="AE195" s="1607"/>
      <c r="AF195" s="1607"/>
      <c r="AG195" s="1607"/>
      <c r="AH195" s="1607"/>
      <c r="AI195" s="1607"/>
      <c r="AJ195" s="1607"/>
      <c r="AK195" s="1607"/>
      <c r="AL195" s="1607"/>
      <c r="AM195" s="1607"/>
      <c r="AN195" s="1607"/>
      <c r="AO195" s="1607"/>
      <c r="AP195" s="1607"/>
      <c r="AQ195" s="1607"/>
      <c r="AR195" s="1607"/>
      <c r="AS195" s="1607" t="s">
        <v>603</v>
      </c>
      <c r="AT195" s="1607"/>
      <c r="AU195" s="1607"/>
      <c r="AV195" s="1607"/>
      <c r="AW195" s="1607"/>
      <c r="AX195" s="1607"/>
      <c r="AY195" s="1607"/>
      <c r="AZ195" s="1607"/>
      <c r="BB195" s="1671" t="s">
        <v>28</v>
      </c>
    </row>
    <row r="196" spans="2:55" s="1464" customFormat="1" ht="18" x14ac:dyDescent="0.35">
      <c r="B196" s="1746" t="s">
        <v>590</v>
      </c>
      <c r="C196" s="1747"/>
      <c r="D196" s="1747"/>
      <c r="E196" s="1747"/>
      <c r="G196" s="1468"/>
      <c r="H196" s="1607" t="s">
        <v>2746</v>
      </c>
      <c r="I196" s="1607"/>
      <c r="J196" s="1607"/>
      <c r="K196" s="1607"/>
      <c r="L196" s="1607"/>
      <c r="M196" s="1607"/>
      <c r="N196" s="1607"/>
      <c r="O196" s="1607"/>
      <c r="P196" s="1607"/>
      <c r="Q196" s="1607"/>
      <c r="R196" s="1607"/>
      <c r="S196" s="1607"/>
      <c r="T196" s="1607"/>
      <c r="U196" s="1607"/>
      <c r="V196" s="1607"/>
      <c r="W196" s="1607"/>
      <c r="X196" s="1607"/>
      <c r="Y196" s="1607"/>
      <c r="Z196" s="1607"/>
      <c r="AA196" s="1608" t="s">
        <v>590</v>
      </c>
      <c r="AB196" s="1607"/>
      <c r="AC196" s="1607"/>
      <c r="AD196" s="1607"/>
      <c r="AE196" s="1607"/>
      <c r="AF196" s="1607"/>
      <c r="AG196" s="1607"/>
      <c r="AH196" s="1607"/>
      <c r="AI196" s="1607"/>
      <c r="AJ196" s="1607"/>
      <c r="AK196" s="1607"/>
      <c r="AL196" s="1607"/>
      <c r="AM196" s="1607"/>
      <c r="AN196" s="1607"/>
      <c r="AO196" s="1607"/>
      <c r="AP196" s="1607"/>
      <c r="AQ196" s="1607"/>
      <c r="AR196" s="1607"/>
      <c r="AS196" s="1607"/>
      <c r="AT196" s="1607"/>
      <c r="AU196" s="1607"/>
      <c r="AV196" s="1607"/>
      <c r="AW196" s="1607"/>
      <c r="AX196" s="1607"/>
      <c r="AY196" s="1607"/>
      <c r="AZ196" s="1607"/>
      <c r="BC196" s="1465" t="s">
        <v>590</v>
      </c>
    </row>
    <row r="197" spans="2:55" s="1192" customFormat="1" ht="57" x14ac:dyDescent="0.3">
      <c r="B197" s="1743" t="s">
        <v>4413</v>
      </c>
      <c r="C197" s="1743"/>
      <c r="D197" s="1743"/>
      <c r="E197" s="1743"/>
      <c r="G197" s="1666"/>
      <c r="H197" s="1607" t="s">
        <v>2746</v>
      </c>
      <c r="I197" s="1607"/>
      <c r="J197" s="1607"/>
      <c r="K197" s="1607"/>
      <c r="L197" s="1607"/>
      <c r="M197" s="1607"/>
      <c r="N197" s="1607"/>
      <c r="O197" s="1607"/>
      <c r="P197" s="1607"/>
      <c r="Q197" s="1607"/>
      <c r="R197" s="1607"/>
      <c r="S197" s="1607"/>
      <c r="T197" s="1607"/>
      <c r="U197" s="1607"/>
      <c r="V197" s="1607"/>
      <c r="W197" s="1607"/>
      <c r="X197" s="1607"/>
      <c r="Y197" s="1607"/>
      <c r="Z197" s="1607"/>
      <c r="AA197" s="1608" t="s">
        <v>4413</v>
      </c>
      <c r="AB197" s="1607"/>
      <c r="AC197" s="1607"/>
      <c r="AD197" s="1607"/>
      <c r="AE197" s="1607"/>
      <c r="AF197" s="1607"/>
      <c r="AG197" s="1607"/>
      <c r="AH197" s="1607"/>
      <c r="AI197" s="1607"/>
      <c r="AJ197" s="1607"/>
      <c r="AK197" s="1607"/>
      <c r="AL197" s="1607"/>
      <c r="AM197" s="1607"/>
      <c r="AN197" s="1607"/>
      <c r="AO197" s="1607"/>
      <c r="AP197" s="1607"/>
      <c r="AQ197" s="1607"/>
      <c r="AR197" s="1607"/>
      <c r="AS197" s="1607"/>
      <c r="AT197" s="1607"/>
      <c r="AU197" s="1607"/>
      <c r="AV197" s="1607"/>
      <c r="AW197" s="1607"/>
      <c r="AX197" s="1607"/>
      <c r="AY197" s="1607"/>
      <c r="AZ197" s="1607"/>
      <c r="BC197" s="1670" t="s">
        <v>4413</v>
      </c>
    </row>
    <row r="198" spans="2:55" s="1192" customFormat="1" ht="11.25" customHeight="1" x14ac:dyDescent="0.3">
      <c r="B198" s="1654"/>
      <c r="C198" s="1654"/>
      <c r="D198" s="1654"/>
      <c r="E198" s="1654"/>
      <c r="G198" s="1666"/>
      <c r="H198" s="1607"/>
      <c r="I198" s="1607"/>
      <c r="J198" s="1607"/>
      <c r="K198" s="1607"/>
      <c r="L198" s="1607"/>
      <c r="M198" s="1607"/>
      <c r="N198" s="1607"/>
      <c r="O198" s="1607"/>
      <c r="P198" s="1607"/>
      <c r="Q198" s="1607"/>
      <c r="R198" s="1607"/>
      <c r="S198" s="1607"/>
      <c r="T198" s="1607"/>
      <c r="U198" s="1607"/>
      <c r="V198" s="1607"/>
      <c r="W198" s="1607"/>
      <c r="X198" s="1607"/>
      <c r="Y198" s="1607"/>
      <c r="Z198" s="1607"/>
      <c r="AA198" s="1607"/>
      <c r="AB198" s="1607"/>
      <c r="AC198" s="1607"/>
      <c r="AD198" s="1607"/>
      <c r="AE198" s="1607"/>
      <c r="AF198" s="1607"/>
      <c r="AG198" s="1607"/>
      <c r="AH198" s="1607"/>
      <c r="AI198" s="1607"/>
      <c r="AJ198" s="1607"/>
      <c r="AK198" s="1607"/>
      <c r="AL198" s="1607"/>
      <c r="AM198" s="1607"/>
      <c r="AN198" s="1607"/>
      <c r="AO198" s="1607"/>
      <c r="AP198" s="1607"/>
      <c r="AQ198" s="1607"/>
      <c r="AR198" s="1607"/>
      <c r="AS198" s="1607"/>
      <c r="AT198" s="1607"/>
      <c r="AU198" s="1607"/>
      <c r="AV198" s="1607"/>
      <c r="AW198" s="1607"/>
      <c r="AX198" s="1607"/>
      <c r="AY198" s="1607"/>
      <c r="AZ198" s="1607"/>
    </row>
    <row r="199" spans="2:55" s="1192" customFormat="1" ht="14.4" x14ac:dyDescent="0.3">
      <c r="B199" s="1750" t="s">
        <v>2389</v>
      </c>
      <c r="C199" s="1743"/>
      <c r="D199" s="1743"/>
      <c r="E199" s="1743"/>
      <c r="G199" s="1666"/>
      <c r="H199" s="1607" t="s">
        <v>2444</v>
      </c>
      <c r="I199" s="1607"/>
      <c r="J199" s="1607"/>
      <c r="K199" s="1607"/>
      <c r="L199" s="1607"/>
      <c r="M199" s="1607"/>
      <c r="N199" s="1607"/>
      <c r="O199" s="1607"/>
      <c r="P199" s="1607"/>
      <c r="Q199" s="1607"/>
      <c r="R199" s="1607"/>
      <c r="S199" s="1607"/>
      <c r="T199" s="1607"/>
      <c r="U199" s="1607"/>
      <c r="V199" s="1607"/>
      <c r="W199" s="1607"/>
      <c r="X199" s="1607"/>
      <c r="Y199" s="1607"/>
      <c r="Z199" s="1607"/>
      <c r="AA199" s="1608" t="s">
        <v>2389</v>
      </c>
      <c r="AB199" s="1607"/>
      <c r="AC199" s="1607"/>
      <c r="AD199" s="1607"/>
      <c r="AE199" s="1607"/>
      <c r="AF199" s="1607"/>
      <c r="AG199" s="1607"/>
      <c r="AH199" s="1607"/>
      <c r="AI199" s="1607"/>
      <c r="AJ199" s="1607"/>
      <c r="AK199" s="1607"/>
      <c r="AL199" s="1607"/>
      <c r="AM199" s="1607"/>
      <c r="AN199" s="1607"/>
      <c r="AO199" s="1607"/>
      <c r="AP199" s="1607"/>
      <c r="AQ199" s="1607"/>
      <c r="AR199" s="1607"/>
      <c r="AS199" s="1607"/>
      <c r="AT199" s="1607"/>
      <c r="AU199" s="1607"/>
      <c r="AV199" s="1607"/>
      <c r="AW199" s="1607"/>
      <c r="AX199" s="1607"/>
      <c r="AY199" s="1607"/>
      <c r="AZ199" s="1607"/>
      <c r="BC199" s="1467" t="s">
        <v>2389</v>
      </c>
    </row>
    <row r="200" spans="2:55" s="1192" customFormat="1" ht="11.25" customHeight="1" x14ac:dyDescent="0.3">
      <c r="B200" s="1659"/>
      <c r="C200" s="1654"/>
      <c r="D200" s="1654"/>
      <c r="E200" s="1654"/>
      <c r="G200" s="1666"/>
      <c r="H200" s="1607"/>
      <c r="I200" s="1607"/>
      <c r="J200" s="1607"/>
      <c r="K200" s="1607"/>
      <c r="L200" s="1607"/>
      <c r="M200" s="1607"/>
      <c r="N200" s="1607"/>
      <c r="O200" s="1607"/>
      <c r="P200" s="1607"/>
      <c r="Q200" s="1607"/>
      <c r="R200" s="1607"/>
      <c r="S200" s="1607"/>
      <c r="T200" s="1607"/>
      <c r="U200" s="1607"/>
      <c r="V200" s="1607"/>
      <c r="W200" s="1607"/>
      <c r="X200" s="1607"/>
      <c r="Y200" s="1607"/>
      <c r="Z200" s="1607"/>
      <c r="AA200" s="1607"/>
      <c r="AB200" s="1607"/>
      <c r="AC200" s="1607"/>
      <c r="AD200" s="1607"/>
      <c r="AE200" s="1607"/>
      <c r="AF200" s="1607"/>
      <c r="AG200" s="1607"/>
      <c r="AH200" s="1607"/>
      <c r="AI200" s="1607"/>
      <c r="AJ200" s="1607"/>
      <c r="AK200" s="1607"/>
      <c r="AL200" s="1607"/>
      <c r="AM200" s="1607"/>
      <c r="AN200" s="1607"/>
      <c r="AO200" s="1607"/>
      <c r="AP200" s="1607"/>
      <c r="AQ200" s="1607"/>
      <c r="AR200" s="1607"/>
      <c r="AS200" s="1607"/>
      <c r="AT200" s="1607"/>
      <c r="AU200" s="1607"/>
      <c r="AV200" s="1607"/>
      <c r="AW200" s="1607"/>
      <c r="AX200" s="1607"/>
      <c r="AY200" s="1607"/>
      <c r="AZ200" s="1607"/>
    </row>
    <row r="201" spans="2:55" s="1192" customFormat="1" ht="34.200000000000003" x14ac:dyDescent="0.3">
      <c r="B201" s="1743" t="s">
        <v>2391</v>
      </c>
      <c r="C201" s="1743"/>
      <c r="D201" s="1743"/>
      <c r="E201" s="1743"/>
      <c r="G201" s="1666"/>
      <c r="H201" s="1607" t="s">
        <v>2746</v>
      </c>
      <c r="I201" s="1607"/>
      <c r="J201" s="1607"/>
      <c r="K201" s="1607"/>
      <c r="L201" s="1607"/>
      <c r="M201" s="1607"/>
      <c r="N201" s="1607"/>
      <c r="O201" s="1607"/>
      <c r="P201" s="1607"/>
      <c r="Q201" s="1607"/>
      <c r="R201" s="1607"/>
      <c r="S201" s="1607"/>
      <c r="T201" s="1607"/>
      <c r="U201" s="1607"/>
      <c r="V201" s="1607"/>
      <c r="W201" s="1607"/>
      <c r="X201" s="1607"/>
      <c r="Y201" s="1607"/>
      <c r="Z201" s="1607"/>
      <c r="AA201" s="1608" t="s">
        <v>2391</v>
      </c>
      <c r="AB201" s="1607"/>
      <c r="AC201" s="1607"/>
      <c r="AD201" s="1607"/>
      <c r="AE201" s="1607"/>
      <c r="AF201" s="1607"/>
      <c r="AG201" s="1607"/>
      <c r="AH201" s="1607"/>
      <c r="AI201" s="1607"/>
      <c r="AJ201" s="1607"/>
      <c r="AK201" s="1607"/>
      <c r="AL201" s="1607"/>
      <c r="AM201" s="1607"/>
      <c r="AN201" s="1607"/>
      <c r="AO201" s="1607"/>
      <c r="AP201" s="1607"/>
      <c r="AQ201" s="1607"/>
      <c r="AR201" s="1607"/>
      <c r="AS201" s="1607"/>
      <c r="AT201" s="1607"/>
      <c r="AU201" s="1607"/>
      <c r="AV201" s="1607"/>
      <c r="AW201" s="1607"/>
      <c r="AX201" s="1607"/>
      <c r="AY201" s="1607"/>
      <c r="AZ201" s="1607"/>
      <c r="BC201" s="1670" t="s">
        <v>2391</v>
      </c>
    </row>
    <row r="202" spans="2:55" s="1192" customFormat="1" ht="11.25" customHeight="1" x14ac:dyDescent="0.3">
      <c r="B202" s="1654"/>
      <c r="C202" s="1654"/>
      <c r="D202" s="1654"/>
      <c r="E202" s="1654"/>
      <c r="G202" s="1666"/>
      <c r="H202" s="1607"/>
      <c r="I202" s="1607"/>
      <c r="J202" s="1607"/>
      <c r="K202" s="1607"/>
      <c r="L202" s="1607"/>
      <c r="M202" s="1607"/>
      <c r="N202" s="1607"/>
      <c r="O202" s="1607"/>
      <c r="P202" s="1607"/>
      <c r="Q202" s="1607"/>
      <c r="R202" s="1607"/>
      <c r="S202" s="1607"/>
      <c r="T202" s="1607"/>
      <c r="U202" s="1607"/>
      <c r="V202" s="1607"/>
      <c r="W202" s="1607"/>
      <c r="X202" s="1607"/>
      <c r="Y202" s="1607"/>
      <c r="Z202" s="1607"/>
      <c r="AA202" s="1607"/>
      <c r="AB202" s="1607"/>
      <c r="AC202" s="1607"/>
      <c r="AD202" s="1607"/>
      <c r="AE202" s="1607"/>
      <c r="AF202" s="1607"/>
      <c r="AG202" s="1607"/>
      <c r="AH202" s="1607"/>
      <c r="AI202" s="1607"/>
      <c r="AJ202" s="1607"/>
      <c r="AK202" s="1607"/>
      <c r="AL202" s="1607"/>
      <c r="AM202" s="1607"/>
      <c r="AN202" s="1607"/>
      <c r="AO202" s="1607"/>
      <c r="AP202" s="1607"/>
      <c r="AQ202" s="1607"/>
      <c r="AR202" s="1607"/>
      <c r="AS202" s="1607"/>
      <c r="AT202" s="1607"/>
      <c r="AU202" s="1607"/>
      <c r="AV202" s="1607"/>
      <c r="AW202" s="1607"/>
      <c r="AX202" s="1607"/>
      <c r="AY202" s="1607"/>
      <c r="AZ202" s="1607"/>
    </row>
    <row r="203" spans="2:55" s="1192" customFormat="1" ht="45.6" x14ac:dyDescent="0.3">
      <c r="B203" s="1743" t="s">
        <v>2392</v>
      </c>
      <c r="C203" s="1743"/>
      <c r="D203" s="1743"/>
      <c r="E203" s="1743"/>
      <c r="G203" s="1666"/>
      <c r="H203" s="1607" t="s">
        <v>2746</v>
      </c>
      <c r="I203" s="1607"/>
      <c r="J203" s="1607"/>
      <c r="K203" s="1607"/>
      <c r="L203" s="1607"/>
      <c r="M203" s="1607"/>
      <c r="N203" s="1607"/>
      <c r="O203" s="1607"/>
      <c r="P203" s="1607"/>
      <c r="Q203" s="1607"/>
      <c r="R203" s="1607"/>
      <c r="S203" s="1607"/>
      <c r="T203" s="1607"/>
      <c r="U203" s="1607"/>
      <c r="V203" s="1607"/>
      <c r="W203" s="1607"/>
      <c r="X203" s="1607"/>
      <c r="Y203" s="1607"/>
      <c r="Z203" s="1607"/>
      <c r="AA203" s="1608" t="s">
        <v>2392</v>
      </c>
      <c r="AB203" s="1607"/>
      <c r="AC203" s="1607"/>
      <c r="AD203" s="1607"/>
      <c r="AE203" s="1607"/>
      <c r="AF203" s="1607"/>
      <c r="AG203" s="1607"/>
      <c r="AH203" s="1607"/>
      <c r="AI203" s="1607"/>
      <c r="AJ203" s="1607"/>
      <c r="AK203" s="1607"/>
      <c r="AL203" s="1607"/>
      <c r="AM203" s="1607"/>
      <c r="AN203" s="1607"/>
      <c r="AO203" s="1607"/>
      <c r="AP203" s="1607"/>
      <c r="AQ203" s="1607"/>
      <c r="AR203" s="1607"/>
      <c r="AS203" s="1607"/>
      <c r="AT203" s="1607"/>
      <c r="AU203" s="1607"/>
      <c r="AV203" s="1607"/>
      <c r="AW203" s="1607"/>
      <c r="AX203" s="1607"/>
      <c r="AY203" s="1607"/>
      <c r="AZ203" s="1607"/>
      <c r="BC203" s="1670" t="s">
        <v>2392</v>
      </c>
    </row>
    <row r="204" spans="2:55" s="1192" customFormat="1" ht="11.25" customHeight="1" x14ac:dyDescent="0.3">
      <c r="B204" s="1654"/>
      <c r="C204" s="1654"/>
      <c r="D204" s="1654"/>
      <c r="E204" s="1654"/>
      <c r="G204" s="1666"/>
      <c r="H204" s="1607"/>
      <c r="I204" s="1607"/>
      <c r="J204" s="1607"/>
      <c r="K204" s="1607"/>
      <c r="L204" s="1607"/>
      <c r="M204" s="1607"/>
      <c r="N204" s="1607"/>
      <c r="O204" s="1607"/>
      <c r="P204" s="1607"/>
      <c r="Q204" s="1607"/>
      <c r="R204" s="1607"/>
      <c r="S204" s="1607"/>
      <c r="T204" s="1607"/>
      <c r="U204" s="1607"/>
      <c r="V204" s="1607"/>
      <c r="W204" s="1607"/>
      <c r="X204" s="1607"/>
      <c r="Y204" s="1607"/>
      <c r="Z204" s="1607"/>
      <c r="AA204" s="1607"/>
      <c r="AB204" s="1607"/>
      <c r="AC204" s="1607"/>
      <c r="AD204" s="1607"/>
      <c r="AE204" s="1607"/>
      <c r="AF204" s="1607"/>
      <c r="AG204" s="1607"/>
      <c r="AH204" s="1607"/>
      <c r="AI204" s="1607"/>
      <c r="AJ204" s="1607"/>
      <c r="AK204" s="1607"/>
      <c r="AL204" s="1607"/>
      <c r="AM204" s="1607"/>
      <c r="AN204" s="1607"/>
      <c r="AO204" s="1607"/>
      <c r="AP204" s="1607"/>
      <c r="AQ204" s="1607"/>
      <c r="AR204" s="1607"/>
      <c r="AS204" s="1607"/>
      <c r="AT204" s="1607"/>
      <c r="AU204" s="1607"/>
      <c r="AV204" s="1607"/>
      <c r="AW204" s="1607"/>
      <c r="AX204" s="1607"/>
      <c r="AY204" s="1607"/>
      <c r="AZ204" s="1607"/>
    </row>
    <row r="205" spans="2:55" s="1192" customFormat="1" ht="45.6" x14ac:dyDescent="0.3">
      <c r="B205" s="1743" t="s">
        <v>2508</v>
      </c>
      <c r="C205" s="1743"/>
      <c r="D205" s="1743"/>
      <c r="E205" s="1743"/>
      <c r="G205" s="1666"/>
      <c r="H205" s="1607" t="s">
        <v>2746</v>
      </c>
      <c r="I205" s="1607"/>
      <c r="J205" s="1607"/>
      <c r="K205" s="1607"/>
      <c r="L205" s="1607"/>
      <c r="M205" s="1607"/>
      <c r="N205" s="1607"/>
      <c r="O205" s="1607"/>
      <c r="P205" s="1607"/>
      <c r="Q205" s="1607"/>
      <c r="R205" s="1607"/>
      <c r="S205" s="1607"/>
      <c r="T205" s="1607"/>
      <c r="U205" s="1607"/>
      <c r="V205" s="1607"/>
      <c r="W205" s="1607"/>
      <c r="X205" s="1607"/>
      <c r="Y205" s="1607"/>
      <c r="Z205" s="1607"/>
      <c r="AA205" s="1608" t="s">
        <v>2508</v>
      </c>
      <c r="AB205" s="1607"/>
      <c r="AC205" s="1607"/>
      <c r="AD205" s="1607"/>
      <c r="AE205" s="1607"/>
      <c r="AF205" s="1607"/>
      <c r="AG205" s="1607"/>
      <c r="AH205" s="1607"/>
      <c r="AI205" s="1607"/>
      <c r="AJ205" s="1607"/>
      <c r="AK205" s="1607"/>
      <c r="AL205" s="1607"/>
      <c r="AM205" s="1607"/>
      <c r="AN205" s="1607"/>
      <c r="AO205" s="1607"/>
      <c r="AP205" s="1607"/>
      <c r="AQ205" s="1607"/>
      <c r="AR205" s="1607"/>
      <c r="AS205" s="1607"/>
      <c r="AT205" s="1607"/>
      <c r="AU205" s="1607"/>
      <c r="AV205" s="1607"/>
      <c r="AW205" s="1607"/>
      <c r="AX205" s="1607"/>
      <c r="AY205" s="1607"/>
      <c r="AZ205" s="1607"/>
      <c r="BC205" s="1670" t="s">
        <v>2508</v>
      </c>
    </row>
    <row r="206" spans="2:55" s="1192" customFormat="1" ht="11.25" customHeight="1" x14ac:dyDescent="0.3">
      <c r="B206" s="1654"/>
      <c r="C206" s="1654"/>
      <c r="D206" s="1654"/>
      <c r="E206" s="1654"/>
      <c r="G206" s="1666"/>
      <c r="H206" s="1607"/>
      <c r="I206" s="1607"/>
      <c r="J206" s="1607"/>
      <c r="K206" s="1607"/>
      <c r="L206" s="1607"/>
      <c r="M206" s="1607"/>
      <c r="N206" s="1607"/>
      <c r="O206" s="1607"/>
      <c r="P206" s="1607"/>
      <c r="Q206" s="1607"/>
      <c r="R206" s="1607"/>
      <c r="S206" s="1607"/>
      <c r="T206" s="1607"/>
      <c r="U206" s="1607"/>
      <c r="V206" s="1607"/>
      <c r="W206" s="1607"/>
      <c r="X206" s="1607"/>
      <c r="Y206" s="1607"/>
      <c r="Z206" s="1607"/>
      <c r="AA206" s="1607"/>
      <c r="AB206" s="1607"/>
      <c r="AC206" s="1607"/>
      <c r="AD206" s="1607"/>
      <c r="AE206" s="1607"/>
      <c r="AF206" s="1607"/>
      <c r="AG206" s="1607"/>
      <c r="AH206" s="1607"/>
      <c r="AI206" s="1607"/>
      <c r="AJ206" s="1607"/>
      <c r="AK206" s="1607"/>
      <c r="AL206" s="1607"/>
      <c r="AM206" s="1607"/>
      <c r="AN206" s="1607"/>
      <c r="AO206" s="1607"/>
      <c r="AP206" s="1607"/>
      <c r="AQ206" s="1607"/>
      <c r="AR206" s="1607"/>
      <c r="AS206" s="1607"/>
      <c r="AT206" s="1607"/>
      <c r="AU206" s="1607"/>
      <c r="AV206" s="1607"/>
      <c r="AW206" s="1607"/>
      <c r="AX206" s="1607"/>
      <c r="AY206" s="1607"/>
      <c r="AZ206" s="1607"/>
    </row>
    <row r="207" spans="2:55" s="1192" customFormat="1" ht="34.200000000000003" x14ac:dyDescent="0.3">
      <c r="B207" s="1743" t="s">
        <v>4500</v>
      </c>
      <c r="C207" s="1743"/>
      <c r="D207" s="1743"/>
      <c r="E207" s="1743"/>
      <c r="G207" s="1666"/>
      <c r="H207" s="1607" t="s">
        <v>2746</v>
      </c>
      <c r="I207" s="1607"/>
      <c r="J207" s="1607"/>
      <c r="K207" s="1607"/>
      <c r="L207" s="1607"/>
      <c r="M207" s="1607"/>
      <c r="N207" s="1607"/>
      <c r="O207" s="1607"/>
      <c r="P207" s="1607"/>
      <c r="Q207" s="1607"/>
      <c r="R207" s="1607"/>
      <c r="S207" s="1607"/>
      <c r="T207" s="1607"/>
      <c r="U207" s="1607"/>
      <c r="V207" s="1607"/>
      <c r="W207" s="1607"/>
      <c r="X207" s="1607"/>
      <c r="Y207" s="1607"/>
      <c r="Z207" s="1607"/>
      <c r="AA207" s="1608" t="s">
        <v>4500</v>
      </c>
      <c r="AB207" s="1607"/>
      <c r="AC207" s="1607"/>
      <c r="AD207" s="1607"/>
      <c r="AE207" s="1607"/>
      <c r="AF207" s="1607"/>
      <c r="AG207" s="1607"/>
      <c r="AH207" s="1607"/>
      <c r="AI207" s="1607"/>
      <c r="AJ207" s="1607"/>
      <c r="AK207" s="1607"/>
      <c r="AL207" s="1607"/>
      <c r="AM207" s="1607"/>
      <c r="AN207" s="1607"/>
      <c r="AO207" s="1607"/>
      <c r="AP207" s="1607"/>
      <c r="AQ207" s="1607"/>
      <c r="AR207" s="1607"/>
      <c r="AS207" s="1607"/>
      <c r="AT207" s="1607"/>
      <c r="AU207" s="1607"/>
      <c r="AV207" s="1607"/>
      <c r="AW207" s="1607"/>
      <c r="AX207" s="1607"/>
      <c r="AY207" s="1607"/>
      <c r="AZ207" s="1607"/>
      <c r="BC207" s="1670" t="s">
        <v>4500</v>
      </c>
    </row>
    <row r="208" spans="2:55" s="1192" customFormat="1" ht="11.25" customHeight="1" x14ac:dyDescent="0.3">
      <c r="B208" s="1654"/>
      <c r="C208" s="1654"/>
      <c r="D208" s="1654"/>
      <c r="E208" s="1654"/>
      <c r="G208" s="1666"/>
      <c r="H208" s="1607"/>
      <c r="I208" s="1607"/>
      <c r="J208" s="1607"/>
      <c r="K208" s="1607"/>
      <c r="L208" s="1607"/>
      <c r="M208" s="1607"/>
      <c r="N208" s="1607"/>
      <c r="O208" s="1607"/>
      <c r="P208" s="1607"/>
      <c r="Q208" s="1607"/>
      <c r="R208" s="1607"/>
      <c r="S208" s="1607"/>
      <c r="T208" s="1607"/>
      <c r="U208" s="1607"/>
      <c r="V208" s="1607"/>
      <c r="W208" s="1607"/>
      <c r="X208" s="1607"/>
      <c r="Y208" s="1607"/>
      <c r="Z208" s="1607"/>
      <c r="AA208" s="1607"/>
      <c r="AB208" s="1607"/>
      <c r="AC208" s="1607"/>
      <c r="AD208" s="1607"/>
      <c r="AE208" s="1607"/>
      <c r="AF208" s="1607"/>
      <c r="AG208" s="1607"/>
      <c r="AH208" s="1607"/>
      <c r="AI208" s="1607"/>
      <c r="AJ208" s="1607"/>
      <c r="AK208" s="1607"/>
      <c r="AL208" s="1607"/>
      <c r="AM208" s="1607"/>
      <c r="AN208" s="1607"/>
      <c r="AO208" s="1607"/>
      <c r="AP208" s="1607"/>
      <c r="AQ208" s="1607"/>
      <c r="AR208" s="1607"/>
      <c r="AS208" s="1607"/>
      <c r="AT208" s="1607"/>
      <c r="AU208" s="1607"/>
      <c r="AV208" s="1607"/>
      <c r="AW208" s="1607"/>
      <c r="AX208" s="1607"/>
      <c r="AY208" s="1607"/>
      <c r="AZ208" s="1607"/>
    </row>
    <row r="209" spans="2:55" s="1192" customFormat="1" ht="14.4" x14ac:dyDescent="0.3">
      <c r="B209" s="1750" t="s">
        <v>2394</v>
      </c>
      <c r="C209" s="1743"/>
      <c r="D209" s="1743"/>
      <c r="E209" s="1743"/>
      <c r="G209" s="1666"/>
      <c r="H209" s="1607" t="s">
        <v>2446</v>
      </c>
      <c r="I209" s="1607"/>
      <c r="J209" s="1607"/>
      <c r="K209" s="1607"/>
      <c r="L209" s="1607"/>
      <c r="M209" s="1607"/>
      <c r="N209" s="1607"/>
      <c r="O209" s="1607"/>
      <c r="P209" s="1607"/>
      <c r="Q209" s="1607"/>
      <c r="R209" s="1607"/>
      <c r="S209" s="1607"/>
      <c r="T209" s="1607"/>
      <c r="U209" s="1607"/>
      <c r="V209" s="1607"/>
      <c r="W209" s="1607"/>
      <c r="X209" s="1607"/>
      <c r="Y209" s="1607"/>
      <c r="Z209" s="1607"/>
      <c r="AA209" s="1608" t="s">
        <v>2394</v>
      </c>
      <c r="AB209" s="1607"/>
      <c r="AC209" s="1607"/>
      <c r="AD209" s="1607"/>
      <c r="AE209" s="1607"/>
      <c r="AF209" s="1607"/>
      <c r="AG209" s="1607"/>
      <c r="AH209" s="1607"/>
      <c r="AI209" s="1607"/>
      <c r="AJ209" s="1607"/>
      <c r="AK209" s="1607"/>
      <c r="AL209" s="1607"/>
      <c r="AM209" s="1607"/>
      <c r="AN209" s="1607"/>
      <c r="AO209" s="1607"/>
      <c r="AP209" s="1607"/>
      <c r="AQ209" s="1607"/>
      <c r="AR209" s="1607"/>
      <c r="AS209" s="1607"/>
      <c r="AT209" s="1607"/>
      <c r="AU209" s="1607"/>
      <c r="AV209" s="1607"/>
      <c r="AW209" s="1607"/>
      <c r="AX209" s="1607"/>
      <c r="AY209" s="1607"/>
      <c r="AZ209" s="1607"/>
      <c r="BC209" s="1467" t="s">
        <v>2394</v>
      </c>
    </row>
    <row r="210" spans="2:55" s="1192" customFormat="1" ht="11.25" customHeight="1" x14ac:dyDescent="0.3">
      <c r="B210" s="1659"/>
      <c r="C210" s="1655"/>
      <c r="D210" s="1655"/>
      <c r="E210" s="1655"/>
      <c r="G210" s="1666"/>
      <c r="H210" s="1607"/>
      <c r="I210" s="1607"/>
      <c r="J210" s="1607"/>
      <c r="K210" s="1607"/>
      <c r="L210" s="1607"/>
      <c r="M210" s="1607"/>
      <c r="N210" s="1607"/>
      <c r="O210" s="1607"/>
      <c r="P210" s="1607"/>
      <c r="Q210" s="1607"/>
      <c r="R210" s="1607"/>
      <c r="S210" s="1607"/>
      <c r="T210" s="1607"/>
      <c r="U210" s="1607"/>
      <c r="V210" s="1607"/>
      <c r="W210" s="1607"/>
      <c r="X210" s="1607"/>
      <c r="Y210" s="1607"/>
      <c r="Z210" s="1607"/>
      <c r="AA210" s="1607"/>
      <c r="AB210" s="1607"/>
      <c r="AC210" s="1607"/>
      <c r="AD210" s="1607"/>
      <c r="AE210" s="1607"/>
      <c r="AF210" s="1607"/>
      <c r="AG210" s="1607"/>
      <c r="AH210" s="1607"/>
      <c r="AI210" s="1607"/>
      <c r="AJ210" s="1607"/>
      <c r="AK210" s="1607"/>
      <c r="AL210" s="1607"/>
      <c r="AM210" s="1607"/>
      <c r="AN210" s="1607"/>
      <c r="AO210" s="1607"/>
      <c r="AP210" s="1607"/>
      <c r="AQ210" s="1607"/>
      <c r="AR210" s="1607"/>
      <c r="AS210" s="1607"/>
      <c r="AT210" s="1607"/>
      <c r="AU210" s="1607"/>
      <c r="AV210" s="1607"/>
      <c r="AW210" s="1607"/>
      <c r="AX210" s="1607"/>
      <c r="AY210" s="1607"/>
      <c r="AZ210" s="1607"/>
    </row>
    <row r="211" spans="2:55" s="1192" customFormat="1" ht="14.4" x14ac:dyDescent="0.3">
      <c r="B211" s="1741" t="s">
        <v>8</v>
      </c>
      <c r="C211" s="1741"/>
      <c r="D211" s="524" t="s">
        <v>19</v>
      </c>
      <c r="E211" s="1516">
        <v>2.29</v>
      </c>
      <c r="G211" s="1666"/>
      <c r="H211" s="1607" t="s">
        <v>2746</v>
      </c>
      <c r="I211" s="1607" t="s">
        <v>430</v>
      </c>
      <c r="J211" s="1607"/>
      <c r="K211" s="1607"/>
      <c r="L211" s="1607"/>
      <c r="M211" s="1607" t="s">
        <v>2747</v>
      </c>
      <c r="N211" s="1607"/>
      <c r="O211" s="1607"/>
      <c r="P211" s="1607"/>
      <c r="Q211" s="1607"/>
      <c r="R211" s="1607"/>
      <c r="S211" s="1607"/>
      <c r="T211" s="1607"/>
      <c r="U211" s="1607"/>
      <c r="V211" s="1607"/>
      <c r="W211" s="1607"/>
      <c r="X211" s="1607"/>
      <c r="Y211" s="1607"/>
      <c r="Z211" s="1608" t="s">
        <v>2747</v>
      </c>
      <c r="AA211" s="1607"/>
      <c r="AB211" s="1607"/>
      <c r="AC211" s="1607"/>
      <c r="AD211" s="1607"/>
      <c r="AE211" s="1607"/>
      <c r="AF211" s="1607"/>
      <c r="AG211" s="1607"/>
      <c r="AH211" s="1607"/>
      <c r="AI211" s="1607"/>
      <c r="AJ211" s="1607"/>
      <c r="AK211" s="1607"/>
      <c r="AL211" s="1607"/>
      <c r="AM211" s="1607"/>
      <c r="AN211" s="1607"/>
      <c r="AO211" s="1607"/>
      <c r="AP211" s="1607"/>
      <c r="AQ211" s="1607"/>
      <c r="AR211" s="1607"/>
      <c r="AS211" s="1607"/>
      <c r="AT211" s="1607"/>
      <c r="AU211" s="1607"/>
      <c r="AV211" s="1607"/>
      <c r="AW211" s="1607"/>
      <c r="AX211" s="1607"/>
      <c r="AY211" s="1607"/>
      <c r="AZ211" s="1607"/>
      <c r="BB211" s="1671" t="s">
        <v>8</v>
      </c>
    </row>
    <row r="212" spans="2:55" s="1192" customFormat="1" ht="14.4" x14ac:dyDescent="0.3">
      <c r="B212" s="1741" t="s">
        <v>80</v>
      </c>
      <c r="C212" s="1741"/>
      <c r="D212" s="524" t="s">
        <v>29</v>
      </c>
      <c r="E212" s="1517">
        <v>11.060600000000001</v>
      </c>
      <c r="G212" s="1666"/>
      <c r="H212" s="1607" t="s">
        <v>2746</v>
      </c>
      <c r="I212" s="1607" t="s">
        <v>430</v>
      </c>
      <c r="J212" s="1607"/>
      <c r="K212" s="1607"/>
      <c r="L212" s="1607"/>
      <c r="M212" s="1607" t="s">
        <v>2748</v>
      </c>
      <c r="N212" s="1607"/>
      <c r="O212" s="1607"/>
      <c r="P212" s="1607"/>
      <c r="Q212" s="1607"/>
      <c r="R212" s="1607"/>
      <c r="S212" s="1607"/>
      <c r="T212" s="1607"/>
      <c r="U212" s="1607"/>
      <c r="V212" s="1607"/>
      <c r="W212" s="1607"/>
      <c r="X212" s="1607"/>
      <c r="Y212" s="1607"/>
      <c r="Z212" s="1608" t="s">
        <v>2748</v>
      </c>
      <c r="AA212" s="1607"/>
      <c r="AB212" s="1607"/>
      <c r="AC212" s="1607"/>
      <c r="AD212" s="1607"/>
      <c r="AE212" s="1607"/>
      <c r="AF212" s="1607"/>
      <c r="AG212" s="1607"/>
      <c r="AH212" s="1607"/>
      <c r="AI212" s="1607"/>
      <c r="AJ212" s="1607"/>
      <c r="AK212" s="1607"/>
      <c r="AL212" s="1607"/>
      <c r="AM212" s="1607"/>
      <c r="AN212" s="1607"/>
      <c r="AO212" s="1607"/>
      <c r="AP212" s="1607"/>
      <c r="AQ212" s="1607"/>
      <c r="AR212" s="1607"/>
      <c r="AS212" s="1607"/>
      <c r="AT212" s="1607"/>
      <c r="AU212" s="1607"/>
      <c r="AV212" s="1607"/>
      <c r="AW212" s="1607"/>
      <c r="AX212" s="1607"/>
      <c r="AY212" s="1607"/>
      <c r="AZ212" s="1607"/>
      <c r="BB212" s="1671" t="s">
        <v>80</v>
      </c>
    </row>
    <row r="213" spans="2:55" s="1192" customFormat="1" ht="14.4" x14ac:dyDescent="0.3">
      <c r="B213" s="1741" t="s">
        <v>14</v>
      </c>
      <c r="C213" s="1741"/>
      <c r="D213" s="524" t="s">
        <v>29</v>
      </c>
      <c r="E213" s="1219">
        <v>0.77200000000000002</v>
      </c>
      <c r="G213" s="1666"/>
      <c r="H213" s="1607" t="s">
        <v>2746</v>
      </c>
      <c r="I213" s="1607" t="s">
        <v>431</v>
      </c>
      <c r="J213" s="1607"/>
      <c r="K213" s="1607"/>
      <c r="L213" s="1607"/>
      <c r="M213" s="1607" t="s">
        <v>2749</v>
      </c>
      <c r="N213" s="1607"/>
      <c r="O213" s="1607"/>
      <c r="P213" s="1607"/>
      <c r="Q213" s="1607"/>
      <c r="R213" s="1607"/>
      <c r="S213" s="1607"/>
      <c r="T213" s="1607"/>
      <c r="U213" s="1607"/>
      <c r="V213" s="1607"/>
      <c r="W213" s="1607"/>
      <c r="X213" s="1607"/>
      <c r="Y213" s="1607"/>
      <c r="Z213" s="1608" t="s">
        <v>14</v>
      </c>
      <c r="AA213" s="1607"/>
      <c r="AB213" s="1607"/>
      <c r="AC213" s="1607"/>
      <c r="AD213" s="1607"/>
      <c r="AE213" s="1607"/>
      <c r="AF213" s="1607"/>
      <c r="AG213" s="1607"/>
      <c r="AH213" s="1607"/>
      <c r="AI213" s="1607"/>
      <c r="AJ213" s="1607"/>
      <c r="AK213" s="1607"/>
      <c r="AL213" s="1607"/>
      <c r="AM213" s="1607"/>
      <c r="AN213" s="1607"/>
      <c r="AO213" s="1607"/>
      <c r="AP213" s="1607"/>
      <c r="AQ213" s="1607"/>
      <c r="AR213" s="1607"/>
      <c r="AS213" s="1607"/>
      <c r="AT213" s="1607"/>
      <c r="AU213" s="1607"/>
      <c r="AV213" s="1607"/>
      <c r="AW213" s="1607"/>
      <c r="AX213" s="1607"/>
      <c r="AY213" s="1607"/>
      <c r="AZ213" s="1607"/>
      <c r="BB213" s="1671" t="s">
        <v>14</v>
      </c>
    </row>
    <row r="214" spans="2:55" s="1192" customFormat="1" ht="20.399999999999999" x14ac:dyDescent="0.3">
      <c r="B214" s="1741" t="s">
        <v>4538</v>
      </c>
      <c r="C214" s="1741"/>
      <c r="D214" s="524" t="s">
        <v>29</v>
      </c>
      <c r="E214" s="1219">
        <v>3.0914999999999999</v>
      </c>
      <c r="G214" s="1666"/>
      <c r="H214" s="1607" t="s">
        <v>2746</v>
      </c>
      <c r="I214" s="1607" t="s">
        <v>430</v>
      </c>
      <c r="J214" s="1607"/>
      <c r="K214" s="1607"/>
      <c r="L214" s="1607"/>
      <c r="M214" s="1607" t="s">
        <v>2750</v>
      </c>
      <c r="N214" s="1607"/>
      <c r="O214" s="1607"/>
      <c r="P214" s="1607"/>
      <c r="Q214" s="1607">
        <v>44561</v>
      </c>
      <c r="R214" s="1607"/>
      <c r="S214" s="1607"/>
      <c r="T214" s="1607"/>
      <c r="U214" s="1607"/>
      <c r="V214" s="1607"/>
      <c r="W214" s="1607"/>
      <c r="X214" s="1607"/>
      <c r="Y214" s="1607"/>
      <c r="Z214" s="1608" t="s">
        <v>4538</v>
      </c>
      <c r="AA214" s="1607"/>
      <c r="AB214" s="1607"/>
      <c r="AC214" s="1607"/>
      <c r="AD214" s="1607"/>
      <c r="AE214" s="1607"/>
      <c r="AF214" s="1607"/>
      <c r="AG214" s="1607"/>
      <c r="AH214" s="1607"/>
      <c r="AI214" s="1607"/>
      <c r="AJ214" s="1607"/>
      <c r="AK214" s="1607"/>
      <c r="AL214" s="1607"/>
      <c r="AM214" s="1607"/>
      <c r="AN214" s="1607"/>
      <c r="AO214" s="1607"/>
      <c r="AP214" s="1607"/>
      <c r="AQ214" s="1607"/>
      <c r="AR214" s="1607"/>
      <c r="AS214" s="1607"/>
      <c r="AT214" s="1607"/>
      <c r="AU214" s="1607"/>
      <c r="AV214" s="1607"/>
      <c r="AW214" s="1607"/>
      <c r="AX214" s="1607"/>
      <c r="AY214" s="1607"/>
      <c r="AZ214" s="1607"/>
      <c r="BB214" s="1671" t="s">
        <v>4538</v>
      </c>
    </row>
    <row r="215" spans="2:55" s="1192" customFormat="1" ht="14.4" x14ac:dyDescent="0.3">
      <c r="B215" s="1741" t="s">
        <v>4536</v>
      </c>
      <c r="C215" s="1741"/>
      <c r="D215" s="524" t="s">
        <v>29</v>
      </c>
      <c r="E215" s="1219">
        <v>-0.89510000000000001</v>
      </c>
      <c r="G215" s="1666" t="s">
        <v>603</v>
      </c>
      <c r="H215" s="1607" t="s">
        <v>2746</v>
      </c>
      <c r="I215" s="1607" t="s">
        <v>430</v>
      </c>
      <c r="J215" s="1607"/>
      <c r="K215" s="1607"/>
      <c r="L215" s="1607"/>
      <c r="M215" s="1607" t="s">
        <v>6141</v>
      </c>
      <c r="N215" s="1607"/>
      <c r="O215" s="1607"/>
      <c r="P215" s="1607"/>
      <c r="Q215" s="1607">
        <v>44561</v>
      </c>
      <c r="R215" s="1607"/>
      <c r="S215" s="1607"/>
      <c r="T215" s="1607"/>
      <c r="U215" s="1607"/>
      <c r="V215" s="1607"/>
      <c r="W215" s="1607"/>
      <c r="X215" s="1607"/>
      <c r="Y215" s="1607"/>
      <c r="Z215" s="1608" t="s">
        <v>4536</v>
      </c>
      <c r="AA215" s="1607"/>
      <c r="AB215" s="1607"/>
      <c r="AC215" s="1607"/>
      <c r="AD215" s="1607"/>
      <c r="AE215" s="1607"/>
      <c r="AF215" s="1607"/>
      <c r="AG215" s="1607"/>
      <c r="AH215" s="1607"/>
      <c r="AI215" s="1607"/>
      <c r="AJ215" s="1607"/>
      <c r="AK215" s="1607"/>
      <c r="AL215" s="1607"/>
      <c r="AM215" s="1607"/>
      <c r="AN215" s="1607"/>
      <c r="AO215" s="1607"/>
      <c r="AP215" s="1607"/>
      <c r="AQ215" s="1607"/>
      <c r="AR215" s="1607"/>
      <c r="AS215" s="1607"/>
      <c r="AT215" s="1607"/>
      <c r="AU215" s="1607"/>
      <c r="AV215" s="1607"/>
      <c r="AW215" s="1607"/>
      <c r="AX215" s="1607"/>
      <c r="AY215" s="1607"/>
      <c r="AZ215" s="1607"/>
      <c r="BB215" s="1671" t="s">
        <v>4536</v>
      </c>
    </row>
    <row r="216" spans="2:55" s="1192" customFormat="1" ht="20.399999999999999" x14ac:dyDescent="0.3">
      <c r="B216" s="1741" t="s">
        <v>4537</v>
      </c>
      <c r="C216" s="1741"/>
      <c r="D216" s="524" t="s">
        <v>29</v>
      </c>
      <c r="E216" s="1219">
        <v>-0.46450000000000002</v>
      </c>
      <c r="G216" s="1666" t="s">
        <v>7382</v>
      </c>
      <c r="H216" s="1607" t="s">
        <v>2746</v>
      </c>
      <c r="I216" s="1607" t="s">
        <v>430</v>
      </c>
      <c r="J216" s="1607"/>
      <c r="K216" s="1607"/>
      <c r="L216" s="1607"/>
      <c r="M216" s="1607" t="s">
        <v>6142</v>
      </c>
      <c r="N216" s="1607"/>
      <c r="O216" s="1607"/>
      <c r="P216" s="1607"/>
      <c r="Q216" s="1607"/>
      <c r="R216" s="1607"/>
      <c r="S216" s="1607"/>
      <c r="T216" s="1607"/>
      <c r="U216" s="1607"/>
      <c r="V216" s="1607"/>
      <c r="W216" s="1607"/>
      <c r="X216" s="1607"/>
      <c r="Y216" s="1607"/>
      <c r="Z216" s="1608" t="s">
        <v>4537</v>
      </c>
      <c r="AA216" s="1607"/>
      <c r="AB216" s="1607"/>
      <c r="AC216" s="1607"/>
      <c r="AD216" s="1607"/>
      <c r="AE216" s="1607"/>
      <c r="AF216" s="1607"/>
      <c r="AG216" s="1607"/>
      <c r="AH216" s="1607"/>
      <c r="AI216" s="1607"/>
      <c r="AJ216" s="1607"/>
      <c r="AK216" s="1607"/>
      <c r="AL216" s="1607"/>
      <c r="AM216" s="1607"/>
      <c r="AN216" s="1607"/>
      <c r="AO216" s="1607"/>
      <c r="AP216" s="1607"/>
      <c r="AQ216" s="1607"/>
      <c r="AR216" s="1607"/>
      <c r="AS216" s="1607"/>
      <c r="AT216" s="1607"/>
      <c r="AU216" s="1607"/>
      <c r="AV216" s="1607"/>
      <c r="AW216" s="1607"/>
      <c r="AX216" s="1607"/>
      <c r="AY216" s="1607"/>
      <c r="AZ216" s="1607"/>
      <c r="BB216" s="1671" t="s">
        <v>4537</v>
      </c>
    </row>
    <row r="217" spans="2:55" s="1192" customFormat="1" ht="14.4" x14ac:dyDescent="0.3">
      <c r="B217" s="1741" t="s">
        <v>213</v>
      </c>
      <c r="C217" s="1741"/>
      <c r="D217" s="524" t="s">
        <v>29</v>
      </c>
      <c r="E217" s="1517">
        <v>1.8071999999999999</v>
      </c>
      <c r="G217" s="1666"/>
      <c r="H217" s="1607" t="s">
        <v>2746</v>
      </c>
      <c r="I217" s="1607" t="s">
        <v>432</v>
      </c>
      <c r="J217" s="1607"/>
      <c r="K217" s="1607"/>
      <c r="L217" s="1607"/>
      <c r="M217" s="1607" t="s">
        <v>2751</v>
      </c>
      <c r="N217" s="1607"/>
      <c r="O217" s="1607"/>
      <c r="P217" s="1607"/>
      <c r="Q217" s="1607"/>
      <c r="R217" s="1607"/>
      <c r="S217" s="1607"/>
      <c r="T217" s="1607"/>
      <c r="U217" s="1607"/>
      <c r="V217" s="1607"/>
      <c r="W217" s="1607"/>
      <c r="X217" s="1607"/>
      <c r="Y217" s="1607"/>
      <c r="Z217" s="1608" t="s">
        <v>2751</v>
      </c>
      <c r="AA217" s="1607"/>
      <c r="AB217" s="1607"/>
      <c r="AC217" s="1607"/>
      <c r="AD217" s="1607"/>
      <c r="AE217" s="1607"/>
      <c r="AF217" s="1607"/>
      <c r="AG217" s="1607"/>
      <c r="AH217" s="1607"/>
      <c r="AI217" s="1607"/>
      <c r="AJ217" s="1607"/>
      <c r="AK217" s="1607"/>
      <c r="AL217" s="1607"/>
      <c r="AM217" s="1607"/>
      <c r="AN217" s="1607"/>
      <c r="AO217" s="1607"/>
      <c r="AP217" s="1607"/>
      <c r="AQ217" s="1607"/>
      <c r="AR217" s="1607"/>
      <c r="AS217" s="1607"/>
      <c r="AT217" s="1607"/>
      <c r="AU217" s="1607"/>
      <c r="AV217" s="1607"/>
      <c r="AW217" s="1607"/>
      <c r="AX217" s="1607"/>
      <c r="AY217" s="1607"/>
      <c r="AZ217" s="1607" t="s">
        <v>7351</v>
      </c>
      <c r="BB217" s="1671" t="s">
        <v>213</v>
      </c>
    </row>
    <row r="218" spans="2:55" s="1192" customFormat="1" ht="14.4" x14ac:dyDescent="0.3">
      <c r="B218" s="1741" t="s">
        <v>209</v>
      </c>
      <c r="C218" s="1741"/>
      <c r="D218" s="524" t="s">
        <v>29</v>
      </c>
      <c r="E218" s="1517">
        <v>1.5097</v>
      </c>
      <c r="G218" s="1666"/>
      <c r="H218" s="1607" t="s">
        <v>2746</v>
      </c>
      <c r="I218" s="1607" t="s">
        <v>432</v>
      </c>
      <c r="J218" s="1607"/>
      <c r="K218" s="1607"/>
      <c r="L218" s="1607"/>
      <c r="M218" s="1607" t="s">
        <v>2752</v>
      </c>
      <c r="N218" s="1607"/>
      <c r="O218" s="1607"/>
      <c r="P218" s="1607"/>
      <c r="Q218" s="1607"/>
      <c r="R218" s="1607"/>
      <c r="S218" s="1607"/>
      <c r="T218" s="1607"/>
      <c r="U218" s="1607"/>
      <c r="V218" s="1607"/>
      <c r="W218" s="1607"/>
      <c r="X218" s="1607"/>
      <c r="Y218" s="1607"/>
      <c r="Z218" s="1608" t="s">
        <v>2752</v>
      </c>
      <c r="AA218" s="1607"/>
      <c r="AB218" s="1607"/>
      <c r="AC218" s="1607"/>
      <c r="AD218" s="1607"/>
      <c r="AE218" s="1607"/>
      <c r="AF218" s="1607"/>
      <c r="AG218" s="1607"/>
      <c r="AH218" s="1607"/>
      <c r="AI218" s="1607"/>
      <c r="AJ218" s="1607"/>
      <c r="AK218" s="1607"/>
      <c r="AL218" s="1607"/>
      <c r="AM218" s="1607"/>
      <c r="AN218" s="1607"/>
      <c r="AO218" s="1607"/>
      <c r="AP218" s="1607"/>
      <c r="AQ218" s="1607"/>
      <c r="AR218" s="1607"/>
      <c r="AS218" s="1607"/>
      <c r="AT218" s="1607"/>
      <c r="AU218" s="1607"/>
      <c r="AV218" s="1607"/>
      <c r="AW218" s="1607"/>
      <c r="AX218" s="1607"/>
      <c r="AY218" s="1607"/>
      <c r="AZ218" s="1607" t="s">
        <v>7352</v>
      </c>
      <c r="BB218" s="1671" t="s">
        <v>209</v>
      </c>
    </row>
    <row r="219" spans="2:55" s="1192" customFormat="1" ht="11.25" customHeight="1" x14ac:dyDescent="0.3">
      <c r="B219" s="1652"/>
      <c r="C219" s="1653"/>
      <c r="D219" s="524"/>
      <c r="E219" s="1219"/>
      <c r="G219" s="1666"/>
      <c r="H219" s="1607"/>
      <c r="I219" s="1607"/>
      <c r="J219" s="1607"/>
      <c r="K219" s="1607"/>
      <c r="L219" s="1607"/>
      <c r="M219" s="1607"/>
      <c r="N219" s="1607"/>
      <c r="O219" s="1607"/>
      <c r="P219" s="1607"/>
      <c r="Q219" s="1607"/>
      <c r="R219" s="1607"/>
      <c r="S219" s="1607"/>
      <c r="T219" s="1607"/>
      <c r="U219" s="1607"/>
      <c r="V219" s="1607"/>
      <c r="W219" s="1607"/>
      <c r="X219" s="1607"/>
      <c r="Y219" s="1607"/>
      <c r="Z219" s="1607"/>
      <c r="AA219" s="1607"/>
      <c r="AB219" s="1607"/>
      <c r="AC219" s="1607"/>
      <c r="AD219" s="1607"/>
      <c r="AE219" s="1607"/>
      <c r="AF219" s="1607"/>
      <c r="AG219" s="1607"/>
      <c r="AH219" s="1607"/>
      <c r="AI219" s="1607"/>
      <c r="AJ219" s="1607"/>
      <c r="AK219" s="1607"/>
      <c r="AL219" s="1607"/>
      <c r="AM219" s="1607"/>
      <c r="AN219" s="1607"/>
      <c r="AO219" s="1607"/>
      <c r="AP219" s="1607"/>
      <c r="AQ219" s="1607"/>
      <c r="AR219" s="1607"/>
      <c r="AS219" s="1607"/>
      <c r="AT219" s="1607"/>
      <c r="AU219" s="1607"/>
      <c r="AV219" s="1607"/>
      <c r="AW219" s="1607"/>
      <c r="AX219" s="1607"/>
      <c r="AY219" s="1607"/>
      <c r="AZ219" s="1607"/>
    </row>
    <row r="220" spans="2:55" s="1192" customFormat="1" ht="14.4" x14ac:dyDescent="0.3">
      <c r="B220" s="1750" t="s">
        <v>2405</v>
      </c>
      <c r="C220" s="1741"/>
      <c r="D220" s="1277"/>
      <c r="E220" s="896"/>
      <c r="G220" s="1666"/>
      <c r="H220" s="1607" t="s">
        <v>2565</v>
      </c>
      <c r="I220" s="1607"/>
      <c r="J220" s="1607"/>
      <c r="K220" s="1607"/>
      <c r="L220" s="1607"/>
      <c r="M220" s="1607"/>
      <c r="N220" s="1607"/>
      <c r="O220" s="1607"/>
      <c r="P220" s="1607"/>
      <c r="Q220" s="1607"/>
      <c r="R220" s="1607"/>
      <c r="S220" s="1607"/>
      <c r="T220" s="1607"/>
      <c r="U220" s="1607"/>
      <c r="V220" s="1607"/>
      <c r="W220" s="1607"/>
      <c r="X220" s="1607"/>
      <c r="Y220" s="1607"/>
      <c r="Z220" s="1608" t="s">
        <v>2405</v>
      </c>
      <c r="AA220" s="1607"/>
      <c r="AB220" s="1607"/>
      <c r="AC220" s="1607"/>
      <c r="AD220" s="1607"/>
      <c r="AE220" s="1607"/>
      <c r="AF220" s="1607"/>
      <c r="AG220" s="1607"/>
      <c r="AH220" s="1607"/>
      <c r="AI220" s="1607"/>
      <c r="AJ220" s="1607"/>
      <c r="AK220" s="1607"/>
      <c r="AL220" s="1607"/>
      <c r="AM220" s="1607"/>
      <c r="AN220" s="1607"/>
      <c r="AO220" s="1607"/>
      <c r="AP220" s="1607"/>
      <c r="AQ220" s="1607"/>
      <c r="AR220" s="1607"/>
      <c r="AS220" s="1607"/>
      <c r="AT220" s="1607"/>
      <c r="AU220" s="1607"/>
      <c r="AV220" s="1607"/>
      <c r="AW220" s="1607"/>
      <c r="AX220" s="1607"/>
      <c r="AY220" s="1607"/>
      <c r="AZ220" s="1607"/>
      <c r="BB220" s="1467" t="s">
        <v>2405</v>
      </c>
    </row>
    <row r="221" spans="2:55" s="1192" customFormat="1" ht="11.25" customHeight="1" x14ac:dyDescent="0.3">
      <c r="B221" s="1659"/>
      <c r="C221" s="1653"/>
      <c r="D221" s="1277"/>
      <c r="E221" s="896"/>
      <c r="G221" s="1666"/>
      <c r="H221" s="1607"/>
      <c r="I221" s="1607"/>
      <c r="J221" s="1607"/>
      <c r="K221" s="1607"/>
      <c r="L221" s="1607"/>
      <c r="M221" s="1607"/>
      <c r="N221" s="1607"/>
      <c r="O221" s="1607"/>
      <c r="P221" s="1607"/>
      <c r="Q221" s="1607"/>
      <c r="R221" s="1607"/>
      <c r="S221" s="1607"/>
      <c r="T221" s="1607"/>
      <c r="U221" s="1607"/>
      <c r="V221" s="1607"/>
      <c r="W221" s="1607"/>
      <c r="X221" s="1607"/>
      <c r="Y221" s="1607"/>
      <c r="Z221" s="1607"/>
      <c r="AA221" s="1607"/>
      <c r="AB221" s="1607"/>
      <c r="AC221" s="1607"/>
      <c r="AD221" s="1607"/>
      <c r="AE221" s="1607"/>
      <c r="AF221" s="1607"/>
      <c r="AG221" s="1607"/>
      <c r="AH221" s="1607"/>
      <c r="AI221" s="1607"/>
      <c r="AJ221" s="1607"/>
      <c r="AK221" s="1607"/>
      <c r="AL221" s="1607"/>
      <c r="AM221" s="1607"/>
      <c r="AN221" s="1607"/>
      <c r="AO221" s="1607"/>
      <c r="AP221" s="1607"/>
      <c r="AQ221" s="1607"/>
      <c r="AR221" s="1607"/>
      <c r="AS221" s="1607"/>
      <c r="AT221" s="1607"/>
      <c r="AU221" s="1607"/>
      <c r="AV221" s="1607"/>
      <c r="AW221" s="1607"/>
      <c r="AX221" s="1607"/>
      <c r="AY221" s="1607"/>
      <c r="AZ221" s="1607"/>
    </row>
    <row r="222" spans="2:55" s="1192" customFormat="1" ht="14.4" x14ac:dyDescent="0.3">
      <c r="B222" s="1741" t="s">
        <v>2033</v>
      </c>
      <c r="C222" s="1741"/>
      <c r="D222" s="524" t="s">
        <v>20</v>
      </c>
      <c r="E222" s="1219">
        <v>3.0000000000000001E-3</v>
      </c>
      <c r="G222" s="1666"/>
      <c r="H222" s="1607" t="s">
        <v>2746</v>
      </c>
      <c r="I222" s="1607" t="s">
        <v>2374</v>
      </c>
      <c r="J222" s="1607"/>
      <c r="K222" s="1607"/>
      <c r="L222" s="1607"/>
      <c r="M222" s="1607" t="s">
        <v>2753</v>
      </c>
      <c r="N222" s="1607"/>
      <c r="O222" s="1607"/>
      <c r="P222" s="1607"/>
      <c r="Q222" s="1607"/>
      <c r="R222" s="1607"/>
      <c r="S222" s="1607"/>
      <c r="T222" s="1607"/>
      <c r="U222" s="1607"/>
      <c r="V222" s="1607"/>
      <c r="W222" s="1607"/>
      <c r="X222" s="1607"/>
      <c r="Y222" s="1607"/>
      <c r="Z222" s="1608" t="s">
        <v>2033</v>
      </c>
      <c r="AA222" s="1607"/>
      <c r="AB222" s="1607"/>
      <c r="AC222" s="1607"/>
      <c r="AD222" s="1607"/>
      <c r="AE222" s="1607"/>
      <c r="AF222" s="1607"/>
      <c r="AG222" s="1607"/>
      <c r="AH222" s="1607"/>
      <c r="AI222" s="1607"/>
      <c r="AJ222" s="1607"/>
      <c r="AK222" s="1607"/>
      <c r="AL222" s="1607"/>
      <c r="AM222" s="1607"/>
      <c r="AN222" s="1607"/>
      <c r="AO222" s="1607"/>
      <c r="AP222" s="1607"/>
      <c r="AQ222" s="1607"/>
      <c r="AR222" s="1607"/>
      <c r="AS222" s="1607"/>
      <c r="AT222" s="1607"/>
      <c r="AU222" s="1607"/>
      <c r="AV222" s="1607"/>
      <c r="AW222" s="1607"/>
      <c r="AX222" s="1607"/>
      <c r="AY222" s="1607"/>
      <c r="AZ222" s="1607"/>
      <c r="BB222" s="1671" t="s">
        <v>2033</v>
      </c>
    </row>
    <row r="223" spans="2:55" s="1192" customFormat="1" ht="14.4" x14ac:dyDescent="0.3">
      <c r="B223" s="1741" t="s">
        <v>2034</v>
      </c>
      <c r="C223" s="1741"/>
      <c r="D223" s="524" t="s">
        <v>20</v>
      </c>
      <c r="E223" s="1219">
        <v>4.0000000000000002E-4</v>
      </c>
      <c r="G223" s="1666"/>
      <c r="H223" s="1607" t="s">
        <v>2746</v>
      </c>
      <c r="I223" s="1607" t="s">
        <v>2374</v>
      </c>
      <c r="J223" s="1607"/>
      <c r="K223" s="1607"/>
      <c r="L223" s="1607"/>
      <c r="M223" s="1607" t="s">
        <v>2753</v>
      </c>
      <c r="N223" s="1607"/>
      <c r="O223" s="1607"/>
      <c r="P223" s="1607"/>
      <c r="Q223" s="1607"/>
      <c r="R223" s="1607"/>
      <c r="S223" s="1607"/>
      <c r="T223" s="1607"/>
      <c r="U223" s="1607"/>
      <c r="V223" s="1607"/>
      <c r="W223" s="1607"/>
      <c r="X223" s="1607"/>
      <c r="Y223" s="1607"/>
      <c r="Z223" s="1608" t="s">
        <v>2034</v>
      </c>
      <c r="AA223" s="1607"/>
      <c r="AB223" s="1607"/>
      <c r="AC223" s="1607"/>
      <c r="AD223" s="1607"/>
      <c r="AE223" s="1607"/>
      <c r="AF223" s="1607"/>
      <c r="AG223" s="1607"/>
      <c r="AH223" s="1607"/>
      <c r="AI223" s="1607"/>
      <c r="AJ223" s="1607"/>
      <c r="AK223" s="1607"/>
      <c r="AL223" s="1607"/>
      <c r="AM223" s="1607"/>
      <c r="AN223" s="1607"/>
      <c r="AO223" s="1607"/>
      <c r="AP223" s="1607"/>
      <c r="AQ223" s="1607"/>
      <c r="AR223" s="1607"/>
      <c r="AS223" s="1607"/>
      <c r="AT223" s="1607"/>
      <c r="AU223" s="1607"/>
      <c r="AV223" s="1607"/>
      <c r="AW223" s="1607"/>
      <c r="AX223" s="1607"/>
      <c r="AY223" s="1607"/>
      <c r="AZ223" s="1607"/>
      <c r="BB223" s="1671" t="s">
        <v>2034</v>
      </c>
    </row>
    <row r="224" spans="2:55" s="1192" customFormat="1" ht="14.4" x14ac:dyDescent="0.3">
      <c r="B224" s="1741" t="s">
        <v>428</v>
      </c>
      <c r="C224" s="1741"/>
      <c r="D224" s="524" t="s">
        <v>20</v>
      </c>
      <c r="E224" s="1219">
        <v>5.0000000000000001E-4</v>
      </c>
      <c r="G224" s="1666"/>
      <c r="H224" s="1607" t="s">
        <v>2746</v>
      </c>
      <c r="I224" s="1607" t="s">
        <v>2374</v>
      </c>
      <c r="J224" s="1607"/>
      <c r="K224" s="1607"/>
      <c r="L224" s="1607"/>
      <c r="M224" s="1607" t="s">
        <v>2754</v>
      </c>
      <c r="N224" s="1607"/>
      <c r="O224" s="1607"/>
      <c r="P224" s="1607"/>
      <c r="Q224" s="1607"/>
      <c r="R224" s="1607"/>
      <c r="S224" s="1607"/>
      <c r="T224" s="1607"/>
      <c r="U224" s="1607"/>
      <c r="V224" s="1607"/>
      <c r="W224" s="1607"/>
      <c r="X224" s="1607"/>
      <c r="Y224" s="1607"/>
      <c r="Z224" s="1608" t="s">
        <v>428</v>
      </c>
      <c r="AA224" s="1607"/>
      <c r="AB224" s="1607"/>
      <c r="AC224" s="1607"/>
      <c r="AD224" s="1607"/>
      <c r="AE224" s="1607"/>
      <c r="AF224" s="1607"/>
      <c r="AG224" s="1607"/>
      <c r="AH224" s="1607"/>
      <c r="AI224" s="1607"/>
      <c r="AJ224" s="1607"/>
      <c r="AK224" s="1607"/>
      <c r="AL224" s="1607"/>
      <c r="AM224" s="1607"/>
      <c r="AN224" s="1607"/>
      <c r="AO224" s="1607"/>
      <c r="AP224" s="1607"/>
      <c r="AQ224" s="1607"/>
      <c r="AR224" s="1607"/>
      <c r="AS224" s="1607"/>
      <c r="AT224" s="1607"/>
      <c r="AU224" s="1607"/>
      <c r="AV224" s="1607"/>
      <c r="AW224" s="1607"/>
      <c r="AX224" s="1607"/>
      <c r="AY224" s="1607"/>
      <c r="AZ224" s="1607"/>
      <c r="BB224" s="1671" t="s">
        <v>428</v>
      </c>
    </row>
    <row r="225" spans="2:55" s="1192" customFormat="1" ht="14.4" x14ac:dyDescent="0.3">
      <c r="B225" s="1741" t="s">
        <v>28</v>
      </c>
      <c r="C225" s="1741"/>
      <c r="D225" s="524" t="s">
        <v>19</v>
      </c>
      <c r="E225" s="1218">
        <v>0.25</v>
      </c>
      <c r="G225" s="1666"/>
      <c r="H225" s="1607" t="s">
        <v>2746</v>
      </c>
      <c r="I225" s="1607" t="s">
        <v>2374</v>
      </c>
      <c r="J225" s="1607"/>
      <c r="K225" s="1607"/>
      <c r="L225" s="1607"/>
      <c r="M225" s="1607" t="s">
        <v>2755</v>
      </c>
      <c r="N225" s="1607"/>
      <c r="O225" s="1607"/>
      <c r="P225" s="1607"/>
      <c r="Q225" s="1607"/>
      <c r="R225" s="1607"/>
      <c r="S225" s="1607"/>
      <c r="T225" s="1607"/>
      <c r="U225" s="1607"/>
      <c r="V225" s="1607"/>
      <c r="W225" s="1607"/>
      <c r="X225" s="1607"/>
      <c r="Y225" s="1607"/>
      <c r="Z225" s="1608" t="s">
        <v>28</v>
      </c>
      <c r="AA225" s="1607"/>
      <c r="AB225" s="1607"/>
      <c r="AC225" s="1607"/>
      <c r="AD225" s="1607"/>
      <c r="AE225" s="1607"/>
      <c r="AF225" s="1607"/>
      <c r="AG225" s="1607"/>
      <c r="AH225" s="1607"/>
      <c r="AI225" s="1607"/>
      <c r="AJ225" s="1607"/>
      <c r="AK225" s="1607"/>
      <c r="AL225" s="1607"/>
      <c r="AM225" s="1607"/>
      <c r="AN225" s="1607"/>
      <c r="AO225" s="1607"/>
      <c r="AP225" s="1607"/>
      <c r="AQ225" s="1607"/>
      <c r="AR225" s="1607"/>
      <c r="AS225" s="1607" t="s">
        <v>603</v>
      </c>
      <c r="AT225" s="1607"/>
      <c r="AU225" s="1607"/>
      <c r="AV225" s="1607"/>
      <c r="AW225" s="1607"/>
      <c r="AX225" s="1607"/>
      <c r="AY225" s="1607"/>
      <c r="AZ225" s="1607"/>
      <c r="BB225" s="1671" t="s">
        <v>28</v>
      </c>
    </row>
    <row r="226" spans="2:55" s="1464" customFormat="1" ht="18" x14ac:dyDescent="0.35">
      <c r="B226" s="1746" t="s">
        <v>593</v>
      </c>
      <c r="C226" s="1747"/>
      <c r="D226" s="1747"/>
      <c r="E226" s="1747"/>
      <c r="G226" s="1468"/>
      <c r="H226" s="1607" t="s">
        <v>2756</v>
      </c>
      <c r="I226" s="1607"/>
      <c r="J226" s="1607"/>
      <c r="K226" s="1607"/>
      <c r="L226" s="1607"/>
      <c r="M226" s="1607"/>
      <c r="N226" s="1607"/>
      <c r="O226" s="1607"/>
      <c r="P226" s="1607"/>
      <c r="Q226" s="1607"/>
      <c r="R226" s="1607"/>
      <c r="S226" s="1607"/>
      <c r="T226" s="1607"/>
      <c r="U226" s="1607"/>
      <c r="V226" s="1607"/>
      <c r="W226" s="1607"/>
      <c r="X226" s="1607"/>
      <c r="Y226" s="1607"/>
      <c r="Z226" s="1607"/>
      <c r="AA226" s="1608" t="s">
        <v>593</v>
      </c>
      <c r="AB226" s="1607"/>
      <c r="AC226" s="1607"/>
      <c r="AD226" s="1607"/>
      <c r="AE226" s="1607"/>
      <c r="AF226" s="1607"/>
      <c r="AG226" s="1607"/>
      <c r="AH226" s="1607"/>
      <c r="AI226" s="1607"/>
      <c r="AJ226" s="1607"/>
      <c r="AK226" s="1607"/>
      <c r="AL226" s="1607"/>
      <c r="AM226" s="1607"/>
      <c r="AN226" s="1607"/>
      <c r="AO226" s="1607"/>
      <c r="AP226" s="1607"/>
      <c r="AQ226" s="1607"/>
      <c r="AR226" s="1607"/>
      <c r="AS226" s="1607"/>
      <c r="AT226" s="1607"/>
      <c r="AU226" s="1607"/>
      <c r="AV226" s="1607"/>
      <c r="AW226" s="1607"/>
      <c r="AX226" s="1607"/>
      <c r="AY226" s="1607"/>
      <c r="AZ226" s="1607"/>
      <c r="BC226" s="1465" t="s">
        <v>593</v>
      </c>
    </row>
    <row r="227" spans="2:55" s="1192" customFormat="1" ht="34.200000000000003" x14ac:dyDescent="0.3">
      <c r="B227" s="1743" t="s">
        <v>4414</v>
      </c>
      <c r="C227" s="1743"/>
      <c r="D227" s="1743"/>
      <c r="E227" s="1743"/>
      <c r="G227" s="1666"/>
      <c r="H227" s="1607" t="s">
        <v>2756</v>
      </c>
      <c r="I227" s="1607"/>
      <c r="J227" s="1607"/>
      <c r="K227" s="1607"/>
      <c r="L227" s="1607"/>
      <c r="M227" s="1607"/>
      <c r="N227" s="1607"/>
      <c r="O227" s="1607"/>
      <c r="P227" s="1607"/>
      <c r="Q227" s="1607"/>
      <c r="R227" s="1607"/>
      <c r="S227" s="1607"/>
      <c r="T227" s="1607"/>
      <c r="U227" s="1607"/>
      <c r="V227" s="1607"/>
      <c r="W227" s="1607"/>
      <c r="X227" s="1607"/>
      <c r="Y227" s="1607"/>
      <c r="Z227" s="1607"/>
      <c r="AA227" s="1608" t="s">
        <v>4414</v>
      </c>
      <c r="AB227" s="1607"/>
      <c r="AC227" s="1607"/>
      <c r="AD227" s="1607"/>
      <c r="AE227" s="1607"/>
      <c r="AF227" s="1607"/>
      <c r="AG227" s="1607"/>
      <c r="AH227" s="1607"/>
      <c r="AI227" s="1607"/>
      <c r="AJ227" s="1607"/>
      <c r="AK227" s="1607"/>
      <c r="AL227" s="1607"/>
      <c r="AM227" s="1607"/>
      <c r="AN227" s="1607"/>
      <c r="AO227" s="1607"/>
      <c r="AP227" s="1607"/>
      <c r="AQ227" s="1607"/>
      <c r="AR227" s="1607"/>
      <c r="AS227" s="1607"/>
      <c r="AT227" s="1607"/>
      <c r="AU227" s="1607"/>
      <c r="AV227" s="1607"/>
      <c r="AW227" s="1607"/>
      <c r="AX227" s="1607"/>
      <c r="AY227" s="1607"/>
      <c r="AZ227" s="1607"/>
      <c r="BC227" s="1670" t="s">
        <v>4414</v>
      </c>
    </row>
    <row r="228" spans="2:55" s="1192" customFormat="1" ht="11.25" customHeight="1" x14ac:dyDescent="0.3">
      <c r="B228" s="1654"/>
      <c r="C228" s="1654"/>
      <c r="D228" s="1654"/>
      <c r="E228" s="1654"/>
      <c r="G228" s="1666"/>
      <c r="H228" s="1607"/>
      <c r="I228" s="1607"/>
      <c r="J228" s="1607"/>
      <c r="K228" s="1607"/>
      <c r="L228" s="1607"/>
      <c r="M228" s="1607"/>
      <c r="N228" s="1607"/>
      <c r="O228" s="1607"/>
      <c r="P228" s="1607"/>
      <c r="Q228" s="1607"/>
      <c r="R228" s="1607"/>
      <c r="S228" s="1607"/>
      <c r="T228" s="1607"/>
      <c r="U228" s="1607"/>
      <c r="V228" s="1607"/>
      <c r="W228" s="1607"/>
      <c r="X228" s="1607"/>
      <c r="Y228" s="1607"/>
      <c r="Z228" s="1607"/>
      <c r="AA228" s="1607"/>
      <c r="AB228" s="1607"/>
      <c r="AC228" s="1607"/>
      <c r="AD228" s="1607"/>
      <c r="AE228" s="1607"/>
      <c r="AF228" s="1607"/>
      <c r="AG228" s="1607"/>
      <c r="AH228" s="1607"/>
      <c r="AI228" s="1607"/>
      <c r="AJ228" s="1607"/>
      <c r="AK228" s="1607"/>
      <c r="AL228" s="1607"/>
      <c r="AM228" s="1607"/>
      <c r="AN228" s="1607"/>
      <c r="AO228" s="1607"/>
      <c r="AP228" s="1607"/>
      <c r="AQ228" s="1607"/>
      <c r="AR228" s="1607"/>
      <c r="AS228" s="1607"/>
      <c r="AT228" s="1607"/>
      <c r="AU228" s="1607"/>
      <c r="AV228" s="1607"/>
      <c r="AW228" s="1607"/>
      <c r="AX228" s="1607"/>
      <c r="AY228" s="1607"/>
      <c r="AZ228" s="1607"/>
    </row>
    <row r="229" spans="2:55" s="1192" customFormat="1" ht="14.4" x14ac:dyDescent="0.3">
      <c r="B229" s="1750" t="s">
        <v>2389</v>
      </c>
      <c r="C229" s="1743"/>
      <c r="D229" s="1743"/>
      <c r="E229" s="1743"/>
      <c r="G229" s="1666"/>
      <c r="H229" s="1607" t="s">
        <v>2571</v>
      </c>
      <c r="I229" s="1607"/>
      <c r="J229" s="1607"/>
      <c r="K229" s="1607"/>
      <c r="L229" s="1607"/>
      <c r="M229" s="1607"/>
      <c r="N229" s="1607"/>
      <c r="O229" s="1607"/>
      <c r="P229" s="1607"/>
      <c r="Q229" s="1607"/>
      <c r="R229" s="1607"/>
      <c r="S229" s="1607"/>
      <c r="T229" s="1607"/>
      <c r="U229" s="1607"/>
      <c r="V229" s="1607"/>
      <c r="W229" s="1607"/>
      <c r="X229" s="1607"/>
      <c r="Y229" s="1607"/>
      <c r="Z229" s="1607"/>
      <c r="AA229" s="1608" t="s">
        <v>2389</v>
      </c>
      <c r="AB229" s="1607"/>
      <c r="AC229" s="1607"/>
      <c r="AD229" s="1607"/>
      <c r="AE229" s="1607"/>
      <c r="AF229" s="1607"/>
      <c r="AG229" s="1607"/>
      <c r="AH229" s="1607"/>
      <c r="AI229" s="1607"/>
      <c r="AJ229" s="1607"/>
      <c r="AK229" s="1607"/>
      <c r="AL229" s="1607"/>
      <c r="AM229" s="1607"/>
      <c r="AN229" s="1607"/>
      <c r="AO229" s="1607"/>
      <c r="AP229" s="1607"/>
      <c r="AQ229" s="1607"/>
      <c r="AR229" s="1607"/>
      <c r="AS229" s="1607"/>
      <c r="AT229" s="1607"/>
      <c r="AU229" s="1607"/>
      <c r="AV229" s="1607"/>
      <c r="AW229" s="1607"/>
      <c r="AX229" s="1607"/>
      <c r="AY229" s="1607"/>
      <c r="AZ229" s="1607"/>
      <c r="BC229" s="1467" t="s">
        <v>2389</v>
      </c>
    </row>
    <row r="230" spans="2:55" s="1192" customFormat="1" ht="11.25" customHeight="1" x14ac:dyDescent="0.3">
      <c r="B230" s="1659"/>
      <c r="C230" s="1654"/>
      <c r="D230" s="1654"/>
      <c r="E230" s="1654"/>
      <c r="G230" s="1666"/>
      <c r="H230" s="1607"/>
      <c r="I230" s="1607"/>
      <c r="J230" s="1607"/>
      <c r="K230" s="1607"/>
      <c r="L230" s="1607"/>
      <c r="M230" s="1607"/>
      <c r="N230" s="1607"/>
      <c r="O230" s="1607"/>
      <c r="P230" s="1607"/>
      <c r="Q230" s="1607"/>
      <c r="R230" s="1607"/>
      <c r="S230" s="1607"/>
      <c r="T230" s="1607"/>
      <c r="U230" s="1607"/>
      <c r="V230" s="1607"/>
      <c r="W230" s="1607"/>
      <c r="X230" s="1607"/>
      <c r="Y230" s="1607"/>
      <c r="Z230" s="1607"/>
      <c r="AA230" s="1607"/>
      <c r="AB230" s="1607"/>
      <c r="AC230" s="1607"/>
      <c r="AD230" s="1607"/>
      <c r="AE230" s="1607"/>
      <c r="AF230" s="1607"/>
      <c r="AG230" s="1607"/>
      <c r="AH230" s="1607"/>
      <c r="AI230" s="1607"/>
      <c r="AJ230" s="1607"/>
      <c r="AK230" s="1607"/>
      <c r="AL230" s="1607"/>
      <c r="AM230" s="1607"/>
      <c r="AN230" s="1607"/>
      <c r="AO230" s="1607"/>
      <c r="AP230" s="1607"/>
      <c r="AQ230" s="1607"/>
      <c r="AR230" s="1607"/>
      <c r="AS230" s="1607"/>
      <c r="AT230" s="1607"/>
      <c r="AU230" s="1607"/>
      <c r="AV230" s="1607"/>
      <c r="AW230" s="1607"/>
      <c r="AX230" s="1607"/>
      <c r="AY230" s="1607"/>
      <c r="AZ230" s="1607"/>
    </row>
    <row r="231" spans="2:55" s="1192" customFormat="1" ht="34.200000000000003" x14ac:dyDescent="0.3">
      <c r="B231" s="1743" t="s">
        <v>2391</v>
      </c>
      <c r="C231" s="1743"/>
      <c r="D231" s="1743"/>
      <c r="E231" s="1743"/>
      <c r="G231" s="1666"/>
      <c r="H231" s="1607" t="s">
        <v>2756</v>
      </c>
      <c r="I231" s="1607"/>
      <c r="J231" s="1607"/>
      <c r="K231" s="1607"/>
      <c r="L231" s="1607"/>
      <c r="M231" s="1607"/>
      <c r="N231" s="1607"/>
      <c r="O231" s="1607"/>
      <c r="P231" s="1607"/>
      <c r="Q231" s="1607"/>
      <c r="R231" s="1607"/>
      <c r="S231" s="1607"/>
      <c r="T231" s="1607"/>
      <c r="U231" s="1607"/>
      <c r="V231" s="1607"/>
      <c r="W231" s="1607"/>
      <c r="X231" s="1607"/>
      <c r="Y231" s="1607"/>
      <c r="Z231" s="1607"/>
      <c r="AA231" s="1608" t="s">
        <v>2391</v>
      </c>
      <c r="AB231" s="1607"/>
      <c r="AC231" s="1607"/>
      <c r="AD231" s="1607"/>
      <c r="AE231" s="1607"/>
      <c r="AF231" s="1607"/>
      <c r="AG231" s="1607"/>
      <c r="AH231" s="1607"/>
      <c r="AI231" s="1607"/>
      <c r="AJ231" s="1607"/>
      <c r="AK231" s="1607"/>
      <c r="AL231" s="1607"/>
      <c r="AM231" s="1607"/>
      <c r="AN231" s="1607"/>
      <c r="AO231" s="1607"/>
      <c r="AP231" s="1607"/>
      <c r="AQ231" s="1607"/>
      <c r="AR231" s="1607"/>
      <c r="AS231" s="1607"/>
      <c r="AT231" s="1607"/>
      <c r="AU231" s="1607"/>
      <c r="AV231" s="1607"/>
      <c r="AW231" s="1607"/>
      <c r="AX231" s="1607"/>
      <c r="AY231" s="1607"/>
      <c r="AZ231" s="1607"/>
      <c r="BC231" s="1670" t="s">
        <v>2391</v>
      </c>
    </row>
    <row r="232" spans="2:55" s="1192" customFormat="1" ht="11.25" customHeight="1" x14ac:dyDescent="0.3">
      <c r="B232" s="1654"/>
      <c r="C232" s="1654"/>
      <c r="D232" s="1654"/>
      <c r="E232" s="1654"/>
      <c r="G232" s="1666"/>
      <c r="H232" s="1607"/>
      <c r="I232" s="1607"/>
      <c r="J232" s="1607"/>
      <c r="K232" s="1607"/>
      <c r="L232" s="1607"/>
      <c r="M232" s="1607"/>
      <c r="N232" s="1607"/>
      <c r="O232" s="1607"/>
      <c r="P232" s="1607"/>
      <c r="Q232" s="1607"/>
      <c r="R232" s="1607"/>
      <c r="S232" s="1607"/>
      <c r="T232" s="1607"/>
      <c r="U232" s="1607"/>
      <c r="V232" s="1607"/>
      <c r="W232" s="1607"/>
      <c r="X232" s="1607"/>
      <c r="Y232" s="1607"/>
      <c r="Z232" s="1607"/>
      <c r="AA232" s="1607"/>
      <c r="AB232" s="1607"/>
      <c r="AC232" s="1607"/>
      <c r="AD232" s="1607"/>
      <c r="AE232" s="1607"/>
      <c r="AF232" s="1607"/>
      <c r="AG232" s="1607"/>
      <c r="AH232" s="1607"/>
      <c r="AI232" s="1607"/>
      <c r="AJ232" s="1607"/>
      <c r="AK232" s="1607"/>
      <c r="AL232" s="1607"/>
      <c r="AM232" s="1607"/>
      <c r="AN232" s="1607"/>
      <c r="AO232" s="1607"/>
      <c r="AP232" s="1607"/>
      <c r="AQ232" s="1607"/>
      <c r="AR232" s="1607"/>
      <c r="AS232" s="1607"/>
      <c r="AT232" s="1607"/>
      <c r="AU232" s="1607"/>
      <c r="AV232" s="1607"/>
      <c r="AW232" s="1607"/>
      <c r="AX232" s="1607"/>
      <c r="AY232" s="1607"/>
      <c r="AZ232" s="1607"/>
    </row>
    <row r="233" spans="2:55" s="1192" customFormat="1" ht="45.6" x14ac:dyDescent="0.3">
      <c r="B233" s="1743" t="s">
        <v>2392</v>
      </c>
      <c r="C233" s="1743"/>
      <c r="D233" s="1743"/>
      <c r="E233" s="1743"/>
      <c r="G233" s="1666"/>
      <c r="H233" s="1607" t="s">
        <v>2756</v>
      </c>
      <c r="I233" s="1607"/>
      <c r="J233" s="1607"/>
      <c r="K233" s="1607"/>
      <c r="L233" s="1607"/>
      <c r="M233" s="1607"/>
      <c r="N233" s="1607"/>
      <c r="O233" s="1607"/>
      <c r="P233" s="1607"/>
      <c r="Q233" s="1607"/>
      <c r="R233" s="1607"/>
      <c r="S233" s="1607"/>
      <c r="T233" s="1607"/>
      <c r="U233" s="1607"/>
      <c r="V233" s="1607"/>
      <c r="W233" s="1607"/>
      <c r="X233" s="1607"/>
      <c r="Y233" s="1607"/>
      <c r="Z233" s="1607"/>
      <c r="AA233" s="1608" t="s">
        <v>2392</v>
      </c>
      <c r="AB233" s="1607"/>
      <c r="AC233" s="1607"/>
      <c r="AD233" s="1607"/>
      <c r="AE233" s="1607"/>
      <c r="AF233" s="1607"/>
      <c r="AG233" s="1607"/>
      <c r="AH233" s="1607"/>
      <c r="AI233" s="1607"/>
      <c r="AJ233" s="1607"/>
      <c r="AK233" s="1607"/>
      <c r="AL233" s="1607"/>
      <c r="AM233" s="1607"/>
      <c r="AN233" s="1607"/>
      <c r="AO233" s="1607"/>
      <c r="AP233" s="1607"/>
      <c r="AQ233" s="1607"/>
      <c r="AR233" s="1607"/>
      <c r="AS233" s="1607"/>
      <c r="AT233" s="1607"/>
      <c r="AU233" s="1607"/>
      <c r="AV233" s="1607"/>
      <c r="AW233" s="1607"/>
      <c r="AX233" s="1607"/>
      <c r="AY233" s="1607"/>
      <c r="AZ233" s="1607"/>
      <c r="BC233" s="1670" t="s">
        <v>2392</v>
      </c>
    </row>
    <row r="234" spans="2:55" s="1192" customFormat="1" ht="11.25" customHeight="1" x14ac:dyDescent="0.3">
      <c r="B234" s="1654"/>
      <c r="C234" s="1654"/>
      <c r="D234" s="1654"/>
      <c r="E234" s="1654"/>
      <c r="G234" s="1666"/>
      <c r="H234" s="1607"/>
      <c r="I234" s="1607"/>
      <c r="J234" s="1607"/>
      <c r="K234" s="1607"/>
      <c r="L234" s="1607"/>
      <c r="M234" s="1607"/>
      <c r="N234" s="1607"/>
      <c r="O234" s="1607"/>
      <c r="P234" s="1607"/>
      <c r="Q234" s="1607"/>
      <c r="R234" s="1607"/>
      <c r="S234" s="1607"/>
      <c r="T234" s="1607"/>
      <c r="U234" s="1607"/>
      <c r="V234" s="1607"/>
      <c r="W234" s="1607"/>
      <c r="X234" s="1607"/>
      <c r="Y234" s="1607"/>
      <c r="Z234" s="1607"/>
      <c r="AA234" s="1607"/>
      <c r="AB234" s="1607"/>
      <c r="AC234" s="1607"/>
      <c r="AD234" s="1607"/>
      <c r="AE234" s="1607"/>
      <c r="AF234" s="1607"/>
      <c r="AG234" s="1607"/>
      <c r="AH234" s="1607"/>
      <c r="AI234" s="1607"/>
      <c r="AJ234" s="1607"/>
      <c r="AK234" s="1607"/>
      <c r="AL234" s="1607"/>
      <c r="AM234" s="1607"/>
      <c r="AN234" s="1607"/>
      <c r="AO234" s="1607"/>
      <c r="AP234" s="1607"/>
      <c r="AQ234" s="1607"/>
      <c r="AR234" s="1607"/>
      <c r="AS234" s="1607"/>
      <c r="AT234" s="1607"/>
      <c r="AU234" s="1607"/>
      <c r="AV234" s="1607"/>
      <c r="AW234" s="1607"/>
      <c r="AX234" s="1607"/>
      <c r="AY234" s="1607"/>
      <c r="AZ234" s="1607"/>
    </row>
    <row r="235" spans="2:55" s="1192" customFormat="1" ht="22.8" x14ac:dyDescent="0.3">
      <c r="B235" s="1743" t="s">
        <v>2445</v>
      </c>
      <c r="C235" s="1743"/>
      <c r="D235" s="1743"/>
      <c r="E235" s="1743"/>
      <c r="G235" s="1666"/>
      <c r="H235" s="1607" t="s">
        <v>2756</v>
      </c>
      <c r="I235" s="1607"/>
      <c r="J235" s="1607"/>
      <c r="K235" s="1607"/>
      <c r="L235" s="1607"/>
      <c r="M235" s="1607"/>
      <c r="N235" s="1607"/>
      <c r="O235" s="1607"/>
      <c r="P235" s="1607"/>
      <c r="Q235" s="1607"/>
      <c r="R235" s="1607"/>
      <c r="S235" s="1607"/>
      <c r="T235" s="1607"/>
      <c r="U235" s="1607"/>
      <c r="V235" s="1607"/>
      <c r="W235" s="1607"/>
      <c r="X235" s="1607"/>
      <c r="Y235" s="1607"/>
      <c r="Z235" s="1607"/>
      <c r="AA235" s="1608" t="s">
        <v>2445</v>
      </c>
      <c r="AB235" s="1607"/>
      <c r="AC235" s="1607"/>
      <c r="AD235" s="1607"/>
      <c r="AE235" s="1607"/>
      <c r="AF235" s="1607"/>
      <c r="AG235" s="1607"/>
      <c r="AH235" s="1607"/>
      <c r="AI235" s="1607"/>
      <c r="AJ235" s="1607"/>
      <c r="AK235" s="1607"/>
      <c r="AL235" s="1607"/>
      <c r="AM235" s="1607"/>
      <c r="AN235" s="1607"/>
      <c r="AO235" s="1607"/>
      <c r="AP235" s="1607"/>
      <c r="AQ235" s="1607"/>
      <c r="AR235" s="1607"/>
      <c r="AS235" s="1607"/>
      <c r="AT235" s="1607"/>
      <c r="AU235" s="1607"/>
      <c r="AV235" s="1607"/>
      <c r="AW235" s="1607"/>
      <c r="AX235" s="1607"/>
      <c r="AY235" s="1607"/>
      <c r="AZ235" s="1607"/>
      <c r="BC235" s="1670" t="s">
        <v>2445</v>
      </c>
    </row>
    <row r="236" spans="2:55" s="1192" customFormat="1" ht="11.25" customHeight="1" x14ac:dyDescent="0.3">
      <c r="B236" s="1654"/>
      <c r="C236" s="1654"/>
      <c r="D236" s="1654"/>
      <c r="E236" s="1654"/>
      <c r="G236" s="1666"/>
      <c r="H236" s="1607"/>
      <c r="I236" s="1607"/>
      <c r="J236" s="1607"/>
      <c r="K236" s="1607"/>
      <c r="L236" s="1607"/>
      <c r="M236" s="1607"/>
      <c r="N236" s="1607"/>
      <c r="O236" s="1607"/>
      <c r="P236" s="1607"/>
      <c r="Q236" s="1607"/>
      <c r="R236" s="1607"/>
      <c r="S236" s="1607"/>
      <c r="T236" s="1607"/>
      <c r="U236" s="1607"/>
      <c r="V236" s="1607"/>
      <c r="W236" s="1607"/>
      <c r="X236" s="1607"/>
      <c r="Y236" s="1607"/>
      <c r="Z236" s="1607"/>
      <c r="AA236" s="1607"/>
      <c r="AB236" s="1607"/>
      <c r="AC236" s="1607"/>
      <c r="AD236" s="1607"/>
      <c r="AE236" s="1607"/>
      <c r="AF236" s="1607"/>
      <c r="AG236" s="1607"/>
      <c r="AH236" s="1607"/>
      <c r="AI236" s="1607"/>
      <c r="AJ236" s="1607"/>
      <c r="AK236" s="1607"/>
      <c r="AL236" s="1607"/>
      <c r="AM236" s="1607"/>
      <c r="AN236" s="1607"/>
      <c r="AO236" s="1607"/>
      <c r="AP236" s="1607"/>
      <c r="AQ236" s="1607"/>
      <c r="AR236" s="1607"/>
      <c r="AS236" s="1607"/>
      <c r="AT236" s="1607"/>
      <c r="AU236" s="1607"/>
      <c r="AV236" s="1607"/>
      <c r="AW236" s="1607"/>
      <c r="AX236" s="1607"/>
      <c r="AY236" s="1607"/>
      <c r="AZ236" s="1607"/>
    </row>
    <row r="237" spans="2:55" s="1192" customFormat="1" ht="34.200000000000003" x14ac:dyDescent="0.3">
      <c r="B237" s="1743" t="s">
        <v>4500</v>
      </c>
      <c r="C237" s="1743"/>
      <c r="D237" s="1743"/>
      <c r="E237" s="1743"/>
      <c r="G237" s="1666"/>
      <c r="H237" s="1607" t="s">
        <v>2756</v>
      </c>
      <c r="I237" s="1607"/>
      <c r="J237" s="1607"/>
      <c r="K237" s="1607"/>
      <c r="L237" s="1607"/>
      <c r="M237" s="1607"/>
      <c r="N237" s="1607"/>
      <c r="O237" s="1607"/>
      <c r="P237" s="1607"/>
      <c r="Q237" s="1607"/>
      <c r="R237" s="1607"/>
      <c r="S237" s="1607"/>
      <c r="T237" s="1607"/>
      <c r="U237" s="1607"/>
      <c r="V237" s="1607"/>
      <c r="W237" s="1607"/>
      <c r="X237" s="1607"/>
      <c r="Y237" s="1607"/>
      <c r="Z237" s="1607"/>
      <c r="AA237" s="1608" t="s">
        <v>4500</v>
      </c>
      <c r="AB237" s="1607"/>
      <c r="AC237" s="1607"/>
      <c r="AD237" s="1607"/>
      <c r="AE237" s="1607"/>
      <c r="AF237" s="1607"/>
      <c r="AG237" s="1607"/>
      <c r="AH237" s="1607"/>
      <c r="AI237" s="1607"/>
      <c r="AJ237" s="1607"/>
      <c r="AK237" s="1607"/>
      <c r="AL237" s="1607"/>
      <c r="AM237" s="1607"/>
      <c r="AN237" s="1607"/>
      <c r="AO237" s="1607"/>
      <c r="AP237" s="1607"/>
      <c r="AQ237" s="1607"/>
      <c r="AR237" s="1607"/>
      <c r="AS237" s="1607"/>
      <c r="AT237" s="1607"/>
      <c r="AU237" s="1607"/>
      <c r="AV237" s="1607"/>
      <c r="AW237" s="1607"/>
      <c r="AX237" s="1607"/>
      <c r="AY237" s="1607"/>
      <c r="AZ237" s="1607"/>
      <c r="BC237" s="1670" t="s">
        <v>4500</v>
      </c>
    </row>
    <row r="238" spans="2:55" s="1192" customFormat="1" ht="11.25" customHeight="1" x14ac:dyDescent="0.3">
      <c r="B238" s="1654"/>
      <c r="C238" s="1654"/>
      <c r="D238" s="1654"/>
      <c r="E238" s="1654"/>
      <c r="G238" s="1666"/>
      <c r="H238" s="1607"/>
      <c r="I238" s="1607"/>
      <c r="J238" s="1607"/>
      <c r="K238" s="1607"/>
      <c r="L238" s="1607"/>
      <c r="M238" s="1607"/>
      <c r="N238" s="1607"/>
      <c r="O238" s="1607"/>
      <c r="P238" s="1607"/>
      <c r="Q238" s="1607"/>
      <c r="R238" s="1607"/>
      <c r="S238" s="1607"/>
      <c r="T238" s="1607"/>
      <c r="U238" s="1607"/>
      <c r="V238" s="1607"/>
      <c r="W238" s="1607"/>
      <c r="X238" s="1607"/>
      <c r="Y238" s="1607"/>
      <c r="Z238" s="1607"/>
      <c r="AA238" s="1607"/>
      <c r="AB238" s="1607"/>
      <c r="AC238" s="1607"/>
      <c r="AD238" s="1607"/>
      <c r="AE238" s="1607"/>
      <c r="AF238" s="1607"/>
      <c r="AG238" s="1607"/>
      <c r="AH238" s="1607"/>
      <c r="AI238" s="1607"/>
      <c r="AJ238" s="1607"/>
      <c r="AK238" s="1607"/>
      <c r="AL238" s="1607"/>
      <c r="AM238" s="1607"/>
      <c r="AN238" s="1607"/>
      <c r="AO238" s="1607"/>
      <c r="AP238" s="1607"/>
      <c r="AQ238" s="1607"/>
      <c r="AR238" s="1607"/>
      <c r="AS238" s="1607"/>
      <c r="AT238" s="1607"/>
      <c r="AU238" s="1607"/>
      <c r="AV238" s="1607"/>
      <c r="AW238" s="1607"/>
      <c r="AX238" s="1607"/>
      <c r="AY238" s="1607"/>
      <c r="AZ238" s="1607"/>
    </row>
    <row r="239" spans="2:55" s="1192" customFormat="1" ht="14.4" x14ac:dyDescent="0.3">
      <c r="B239" s="1750" t="s">
        <v>2394</v>
      </c>
      <c r="C239" s="1743"/>
      <c r="D239" s="1743"/>
      <c r="E239" s="1743"/>
      <c r="G239" s="1666"/>
      <c r="H239" s="1607" t="s">
        <v>2572</v>
      </c>
      <c r="I239" s="1607"/>
      <c r="J239" s="1607"/>
      <c r="K239" s="1607"/>
      <c r="L239" s="1607"/>
      <c r="M239" s="1607"/>
      <c r="N239" s="1607"/>
      <c r="O239" s="1607"/>
      <c r="P239" s="1607"/>
      <c r="Q239" s="1607"/>
      <c r="R239" s="1607"/>
      <c r="S239" s="1607"/>
      <c r="T239" s="1607"/>
      <c r="U239" s="1607"/>
      <c r="V239" s="1607"/>
      <c r="W239" s="1607"/>
      <c r="X239" s="1607"/>
      <c r="Y239" s="1607"/>
      <c r="Z239" s="1607"/>
      <c r="AA239" s="1608" t="s">
        <v>2394</v>
      </c>
      <c r="AB239" s="1607"/>
      <c r="AC239" s="1607"/>
      <c r="AD239" s="1607"/>
      <c r="AE239" s="1607"/>
      <c r="AF239" s="1607"/>
      <c r="AG239" s="1607"/>
      <c r="AH239" s="1607"/>
      <c r="AI239" s="1607"/>
      <c r="AJ239" s="1607"/>
      <c r="AK239" s="1607"/>
      <c r="AL239" s="1607"/>
      <c r="AM239" s="1607"/>
      <c r="AN239" s="1607"/>
      <c r="AO239" s="1607"/>
      <c r="AP239" s="1607"/>
      <c r="AQ239" s="1607"/>
      <c r="AR239" s="1607"/>
      <c r="AS239" s="1607"/>
      <c r="AT239" s="1607"/>
      <c r="AU239" s="1607"/>
      <c r="AV239" s="1607"/>
      <c r="AW239" s="1607"/>
      <c r="AX239" s="1607"/>
      <c r="AY239" s="1607"/>
      <c r="AZ239" s="1607"/>
      <c r="BC239" s="1467" t="s">
        <v>2394</v>
      </c>
    </row>
    <row r="240" spans="2:55" s="1192" customFormat="1" ht="11.25" customHeight="1" x14ac:dyDescent="0.3">
      <c r="B240" s="1659"/>
      <c r="C240" s="1655"/>
      <c r="D240" s="1655"/>
      <c r="E240" s="1655"/>
      <c r="G240" s="1666"/>
      <c r="H240" s="1607"/>
      <c r="I240" s="1607"/>
      <c r="J240" s="1607"/>
      <c r="K240" s="1607"/>
      <c r="L240" s="1607"/>
      <c r="M240" s="1607"/>
      <c r="N240" s="1607"/>
      <c r="O240" s="1607"/>
      <c r="P240" s="1607"/>
      <c r="Q240" s="1607"/>
      <c r="R240" s="1607"/>
      <c r="S240" s="1607"/>
      <c r="T240" s="1607"/>
      <c r="U240" s="1607"/>
      <c r="V240" s="1607"/>
      <c r="W240" s="1607"/>
      <c r="X240" s="1607"/>
      <c r="Y240" s="1607"/>
      <c r="Z240" s="1607"/>
      <c r="AA240" s="1607"/>
      <c r="AB240" s="1607"/>
      <c r="AC240" s="1607"/>
      <c r="AD240" s="1607"/>
      <c r="AE240" s="1607"/>
      <c r="AF240" s="1607"/>
      <c r="AG240" s="1607"/>
      <c r="AH240" s="1607"/>
      <c r="AI240" s="1607"/>
      <c r="AJ240" s="1607"/>
      <c r="AK240" s="1607"/>
      <c r="AL240" s="1607"/>
      <c r="AM240" s="1607"/>
      <c r="AN240" s="1607"/>
      <c r="AO240" s="1607"/>
      <c r="AP240" s="1607"/>
      <c r="AQ240" s="1607"/>
      <c r="AR240" s="1607"/>
      <c r="AS240" s="1607"/>
      <c r="AT240" s="1607"/>
      <c r="AU240" s="1607"/>
      <c r="AV240" s="1607"/>
      <c r="AW240" s="1607"/>
      <c r="AX240" s="1607"/>
      <c r="AY240" s="1607"/>
      <c r="AZ240" s="1607"/>
    </row>
    <row r="241" spans="2:55" s="1192" customFormat="1" ht="14.4" x14ac:dyDescent="0.3">
      <c r="B241" s="1741" t="s">
        <v>7</v>
      </c>
      <c r="C241" s="1741"/>
      <c r="D241" s="524" t="s">
        <v>19</v>
      </c>
      <c r="E241" s="1516">
        <v>10</v>
      </c>
      <c r="G241" s="1666"/>
      <c r="H241" s="1607" t="s">
        <v>2756</v>
      </c>
      <c r="I241" s="1607" t="s">
        <v>430</v>
      </c>
      <c r="J241" s="1607"/>
      <c r="K241" s="1607"/>
      <c r="L241" s="1607"/>
      <c r="M241" s="1607" t="s">
        <v>2757</v>
      </c>
      <c r="N241" s="1607"/>
      <c r="O241" s="1607"/>
      <c r="P241" s="1607"/>
      <c r="Q241" s="1607"/>
      <c r="R241" s="1607"/>
      <c r="S241" s="1607"/>
      <c r="T241" s="1607"/>
      <c r="U241" s="1607"/>
      <c r="V241" s="1607"/>
      <c r="W241" s="1607"/>
      <c r="X241" s="1607"/>
      <c r="Y241" s="1607"/>
      <c r="Z241" s="1608" t="s">
        <v>2757</v>
      </c>
      <c r="AA241" s="1607"/>
      <c r="AB241" s="1607"/>
      <c r="AC241" s="1607"/>
      <c r="AD241" s="1607"/>
      <c r="AE241" s="1607"/>
      <c r="AF241" s="1607"/>
      <c r="AG241" s="1607"/>
      <c r="AH241" s="1607"/>
      <c r="AI241" s="1607"/>
      <c r="AJ241" s="1607"/>
      <c r="AK241" s="1607"/>
      <c r="AL241" s="1607"/>
      <c r="AM241" s="1607"/>
      <c r="AN241" s="1607"/>
      <c r="AO241" s="1607"/>
      <c r="AP241" s="1607"/>
      <c r="AQ241" s="1607"/>
      <c r="AR241" s="1607"/>
      <c r="AS241" s="1607"/>
      <c r="AT241" s="1607"/>
      <c r="AU241" s="1607"/>
      <c r="AV241" s="1607"/>
      <c r="AW241" s="1607"/>
      <c r="AX241" s="1607"/>
      <c r="AY241" s="1607"/>
      <c r="AZ241" s="1607"/>
      <c r="BB241" s="1671" t="s">
        <v>7</v>
      </c>
    </row>
    <row r="242" spans="2:55" s="1192" customFormat="1" ht="11.25" customHeight="1" x14ac:dyDescent="0.3">
      <c r="B242" s="1669"/>
      <c r="C242" s="1653"/>
      <c r="D242" s="524"/>
      <c r="E242" s="1218"/>
      <c r="G242" s="1666"/>
      <c r="H242" s="1607"/>
      <c r="I242" s="1607"/>
      <c r="J242" s="1607"/>
      <c r="K242" s="1607"/>
      <c r="L242" s="1607"/>
      <c r="M242" s="1607"/>
      <c r="N242" s="1607"/>
      <c r="O242" s="1607"/>
      <c r="P242" s="1607"/>
      <c r="Q242" s="1607"/>
      <c r="R242" s="1607"/>
      <c r="S242" s="1607"/>
      <c r="T242" s="1607"/>
      <c r="U242" s="1607"/>
      <c r="V242" s="1607"/>
      <c r="W242" s="1607"/>
      <c r="X242" s="1607"/>
      <c r="Y242" s="1607"/>
      <c r="Z242" s="1607"/>
      <c r="AA242" s="1607"/>
      <c r="AB242" s="1607"/>
      <c r="AC242" s="1607"/>
      <c r="AD242" s="1607"/>
      <c r="AE242" s="1607"/>
      <c r="AF242" s="1607"/>
      <c r="AG242" s="1607"/>
      <c r="AH242" s="1607"/>
      <c r="AI242" s="1607"/>
      <c r="AJ242" s="1607"/>
      <c r="AK242" s="1607"/>
      <c r="AL242" s="1607"/>
      <c r="AM242" s="1607"/>
      <c r="AN242" s="1607"/>
      <c r="AO242" s="1607"/>
      <c r="AP242" s="1607"/>
      <c r="AQ242" s="1607"/>
      <c r="AR242" s="1607"/>
      <c r="AS242" s="1607"/>
      <c r="AT242" s="1607"/>
      <c r="AU242" s="1607"/>
      <c r="AV242" s="1607"/>
      <c r="AW242" s="1607"/>
      <c r="AX242" s="1607"/>
      <c r="AY242" s="1607"/>
      <c r="AZ242" s="1607"/>
    </row>
    <row r="243" spans="2:55" s="1192" customFormat="1" ht="18" x14ac:dyDescent="0.3">
      <c r="B243" s="1656" t="s">
        <v>81</v>
      </c>
      <c r="C243" s="823"/>
      <c r="D243" s="823"/>
      <c r="E243" s="878"/>
      <c r="G243" s="1666"/>
      <c r="H243" s="1607" t="s">
        <v>4415</v>
      </c>
      <c r="I243" s="1607"/>
      <c r="J243" s="1607"/>
      <c r="K243" s="1607"/>
      <c r="L243" s="1607"/>
      <c r="M243" s="1607"/>
      <c r="N243" s="1607"/>
      <c r="O243" s="1607"/>
      <c r="P243" s="1607"/>
      <c r="Q243" s="1607"/>
      <c r="R243" s="1607"/>
      <c r="S243" s="1607"/>
      <c r="T243" s="1607"/>
      <c r="U243" s="1607"/>
      <c r="V243" s="1607"/>
      <c r="W243" s="1607"/>
      <c r="X243" s="1607"/>
      <c r="Y243" s="1607"/>
      <c r="Z243" s="1607"/>
      <c r="AA243" s="1607"/>
      <c r="AB243" s="1607"/>
      <c r="AC243" s="1607"/>
      <c r="AD243" s="1607"/>
      <c r="AE243" s="1607"/>
      <c r="AF243" s="1607"/>
      <c r="AG243" s="1607"/>
      <c r="AH243" s="1607"/>
      <c r="AI243" s="1607"/>
      <c r="AJ243" s="1607"/>
      <c r="AK243" s="1607"/>
      <c r="AL243" s="1607"/>
      <c r="AM243" s="1607"/>
      <c r="AN243" s="1607"/>
      <c r="AO243" s="1607"/>
      <c r="AP243" s="1607"/>
      <c r="AQ243" s="1607"/>
      <c r="AR243" s="1607"/>
      <c r="AS243" s="1607"/>
      <c r="AT243" s="1607"/>
      <c r="AU243" s="1607"/>
      <c r="AV243" s="1607"/>
      <c r="AW243" s="1607"/>
      <c r="AX243" s="1607"/>
      <c r="AY243" s="1607"/>
      <c r="AZ243" s="1607"/>
    </row>
    <row r="244" spans="2:55" s="1192" customFormat="1" ht="14.4" x14ac:dyDescent="0.3">
      <c r="B244" s="1741" t="s">
        <v>2449</v>
      </c>
      <c r="C244" s="1741"/>
      <c r="D244" s="1277" t="s">
        <v>29</v>
      </c>
      <c r="E244" s="579">
        <v>-0.6</v>
      </c>
      <c r="G244" s="1666"/>
      <c r="H244" s="1607"/>
      <c r="I244" s="1607"/>
      <c r="J244" s="1607"/>
      <c r="K244" s="1607"/>
      <c r="L244" s="1607"/>
      <c r="M244" s="1607"/>
      <c r="N244" s="1607"/>
      <c r="O244" s="1607"/>
      <c r="P244" s="1607"/>
      <c r="Q244" s="1607"/>
      <c r="R244" s="1607"/>
      <c r="S244" s="1607"/>
      <c r="T244" s="1607"/>
      <c r="U244" s="1607"/>
      <c r="V244" s="1607"/>
      <c r="W244" s="1607"/>
      <c r="X244" s="1607"/>
      <c r="Y244" s="1607"/>
      <c r="Z244" s="1608" t="s">
        <v>2449</v>
      </c>
      <c r="AA244" s="1607"/>
      <c r="AB244" s="1607"/>
      <c r="AC244" s="1607"/>
      <c r="AD244" s="1607"/>
      <c r="AE244" s="1607"/>
      <c r="AF244" s="1607"/>
      <c r="AG244" s="1607"/>
      <c r="AH244" s="1607"/>
      <c r="AI244" s="1607"/>
      <c r="AJ244" s="1607"/>
      <c r="AK244" s="1607"/>
      <c r="AL244" s="1607"/>
      <c r="AM244" s="1607"/>
      <c r="AN244" s="1607"/>
      <c r="AO244" s="1607"/>
      <c r="AP244" s="1607"/>
      <c r="AQ244" s="1607"/>
      <c r="AR244" s="1607"/>
      <c r="AS244" s="1607"/>
      <c r="AT244" s="1607"/>
      <c r="AU244" s="1607"/>
      <c r="AV244" s="1607"/>
      <c r="AW244" s="1607"/>
      <c r="AX244" s="1607"/>
      <c r="AY244" s="1607"/>
      <c r="AZ244" s="1607"/>
      <c r="BB244" s="1671" t="s">
        <v>2449</v>
      </c>
    </row>
    <row r="245" spans="2:55" s="1192" customFormat="1" ht="14.4" x14ac:dyDescent="0.3">
      <c r="B245" s="1741" t="s">
        <v>2450</v>
      </c>
      <c r="C245" s="1741"/>
      <c r="D245" s="1277" t="s">
        <v>82</v>
      </c>
      <c r="E245" s="1218">
        <v>-1</v>
      </c>
      <c r="G245" s="1666"/>
      <c r="H245" s="1607"/>
      <c r="I245" s="1607"/>
      <c r="J245" s="1607"/>
      <c r="K245" s="1607"/>
      <c r="L245" s="1607"/>
      <c r="M245" s="1607"/>
      <c r="N245" s="1607"/>
      <c r="O245" s="1607"/>
      <c r="P245" s="1607"/>
      <c r="Q245" s="1607"/>
      <c r="R245" s="1607"/>
      <c r="S245" s="1607"/>
      <c r="T245" s="1607"/>
      <c r="U245" s="1607"/>
      <c r="V245" s="1607"/>
      <c r="W245" s="1607"/>
      <c r="X245" s="1607"/>
      <c r="Y245" s="1607"/>
      <c r="Z245" s="1608" t="s">
        <v>2450</v>
      </c>
      <c r="AA245" s="1607"/>
      <c r="AB245" s="1607"/>
      <c r="AC245" s="1607"/>
      <c r="AD245" s="1607"/>
      <c r="AE245" s="1607"/>
      <c r="AF245" s="1607"/>
      <c r="AG245" s="1607"/>
      <c r="AH245" s="1607"/>
      <c r="AI245" s="1607"/>
      <c r="AJ245" s="1607"/>
      <c r="AK245" s="1607"/>
      <c r="AL245" s="1607"/>
      <c r="AM245" s="1607"/>
      <c r="AN245" s="1607"/>
      <c r="AO245" s="1607"/>
      <c r="AP245" s="1607"/>
      <c r="AQ245" s="1607"/>
      <c r="AR245" s="1607"/>
      <c r="AS245" s="1607"/>
      <c r="AT245" s="1607"/>
      <c r="AU245" s="1607"/>
      <c r="AV245" s="1607"/>
      <c r="AW245" s="1607"/>
      <c r="AX245" s="1607"/>
      <c r="AY245" s="1607"/>
      <c r="AZ245" s="1607"/>
      <c r="BB245" s="1671" t="s">
        <v>2450</v>
      </c>
    </row>
    <row r="246" spans="2:55" s="1192" customFormat="1" ht="18" x14ac:dyDescent="0.3">
      <c r="B246" s="1656" t="s">
        <v>83</v>
      </c>
      <c r="C246" s="823"/>
      <c r="D246" s="823"/>
      <c r="E246" s="878"/>
      <c r="G246" s="1666"/>
      <c r="H246" s="1607" t="s">
        <v>4416</v>
      </c>
      <c r="I246" s="1607"/>
      <c r="J246" s="1607"/>
      <c r="K246" s="1607"/>
      <c r="L246" s="1607"/>
      <c r="M246" s="1607"/>
      <c r="N246" s="1607"/>
      <c r="O246" s="1607"/>
      <c r="P246" s="1607"/>
      <c r="Q246" s="1607"/>
      <c r="R246" s="1607"/>
      <c r="S246" s="1607"/>
      <c r="T246" s="1607"/>
      <c r="U246" s="1607"/>
      <c r="V246" s="1607"/>
      <c r="W246" s="1607"/>
      <c r="X246" s="1607"/>
      <c r="Y246" s="1607"/>
      <c r="Z246" s="1607"/>
      <c r="AA246" s="1607"/>
      <c r="AB246" s="1607"/>
      <c r="AC246" s="1607"/>
      <c r="AD246" s="1607"/>
      <c r="AE246" s="1607"/>
      <c r="AF246" s="1607"/>
      <c r="AG246" s="1607"/>
      <c r="AH246" s="1607"/>
      <c r="AI246" s="1607"/>
      <c r="AJ246" s="1607"/>
      <c r="AK246" s="1607"/>
      <c r="AL246" s="1607"/>
      <c r="AM246" s="1607"/>
      <c r="AN246" s="1607"/>
      <c r="AO246" s="1607"/>
      <c r="AP246" s="1607"/>
      <c r="AQ246" s="1607"/>
      <c r="AR246" s="1607"/>
      <c r="AS246" s="1607"/>
      <c r="AT246" s="1607"/>
      <c r="AU246" s="1607"/>
      <c r="AV246" s="1607"/>
      <c r="AW246" s="1607"/>
      <c r="AX246" s="1607"/>
      <c r="AY246" s="1607"/>
      <c r="AZ246" s="1607"/>
    </row>
    <row r="247" spans="2:55" s="1192" customFormat="1" ht="34.200000000000003" x14ac:dyDescent="0.3">
      <c r="B247" s="1743" t="s">
        <v>2391</v>
      </c>
      <c r="C247" s="1743"/>
      <c r="D247" s="1743"/>
      <c r="E247" s="1743"/>
      <c r="G247" s="1666"/>
      <c r="H247" s="1607"/>
      <c r="I247" s="1607"/>
      <c r="J247" s="1607"/>
      <c r="K247" s="1607"/>
      <c r="L247" s="1607"/>
      <c r="M247" s="1607"/>
      <c r="N247" s="1607"/>
      <c r="O247" s="1607"/>
      <c r="P247" s="1607"/>
      <c r="Q247" s="1607"/>
      <c r="R247" s="1607"/>
      <c r="S247" s="1607"/>
      <c r="T247" s="1607"/>
      <c r="U247" s="1607"/>
      <c r="V247" s="1607"/>
      <c r="W247" s="1607"/>
      <c r="X247" s="1607"/>
      <c r="Y247" s="1607"/>
      <c r="Z247" s="1607"/>
      <c r="AA247" s="1608" t="s">
        <v>2391</v>
      </c>
      <c r="AB247" s="1607"/>
      <c r="AC247" s="1607"/>
      <c r="AD247" s="1607"/>
      <c r="AE247" s="1607"/>
      <c r="AF247" s="1607"/>
      <c r="AG247" s="1607"/>
      <c r="AH247" s="1607"/>
      <c r="AI247" s="1607"/>
      <c r="AJ247" s="1607"/>
      <c r="AK247" s="1607"/>
      <c r="AL247" s="1607"/>
      <c r="AM247" s="1607"/>
      <c r="AN247" s="1607"/>
      <c r="AO247" s="1607"/>
      <c r="AP247" s="1607"/>
      <c r="AQ247" s="1607"/>
      <c r="AR247" s="1607"/>
      <c r="AS247" s="1607"/>
      <c r="AT247" s="1607"/>
      <c r="AU247" s="1607"/>
      <c r="AV247" s="1607"/>
      <c r="AW247" s="1607"/>
      <c r="AX247" s="1607"/>
      <c r="AY247" s="1607"/>
      <c r="AZ247" s="1607"/>
      <c r="BC247" s="1670" t="s">
        <v>2391</v>
      </c>
    </row>
    <row r="248" spans="2:55" s="1192" customFormat="1" ht="11.25" customHeight="1" x14ac:dyDescent="0.3">
      <c r="B248" s="1654"/>
      <c r="C248" s="1654"/>
      <c r="D248" s="1654"/>
      <c r="E248" s="1654"/>
      <c r="G248" s="1666"/>
      <c r="H248" s="1607"/>
      <c r="I248" s="1607"/>
      <c r="J248" s="1607"/>
      <c r="K248" s="1607"/>
      <c r="L248" s="1607"/>
      <c r="M248" s="1607"/>
      <c r="N248" s="1607"/>
      <c r="O248" s="1607"/>
      <c r="P248" s="1607"/>
      <c r="Q248" s="1607"/>
      <c r="R248" s="1607"/>
      <c r="S248" s="1607"/>
      <c r="T248" s="1607"/>
      <c r="U248" s="1607"/>
      <c r="V248" s="1607"/>
      <c r="W248" s="1607"/>
      <c r="X248" s="1607"/>
      <c r="Y248" s="1607"/>
      <c r="Z248" s="1607"/>
      <c r="AA248" s="1607"/>
      <c r="AB248" s="1607"/>
      <c r="AC248" s="1607"/>
      <c r="AD248" s="1607"/>
      <c r="AE248" s="1607"/>
      <c r="AF248" s="1607"/>
      <c r="AG248" s="1607"/>
      <c r="AH248" s="1607"/>
      <c r="AI248" s="1607"/>
      <c r="AJ248" s="1607"/>
      <c r="AK248" s="1607"/>
      <c r="AL248" s="1607"/>
      <c r="AM248" s="1607"/>
      <c r="AN248" s="1607"/>
      <c r="AO248" s="1607"/>
      <c r="AP248" s="1607"/>
      <c r="AQ248" s="1607"/>
      <c r="AR248" s="1607"/>
      <c r="AS248" s="1607"/>
      <c r="AT248" s="1607"/>
      <c r="AU248" s="1607"/>
      <c r="AV248" s="1607"/>
      <c r="AW248" s="1607"/>
      <c r="AX248" s="1607"/>
      <c r="AY248" s="1607"/>
      <c r="AZ248" s="1607"/>
    </row>
    <row r="249" spans="2:55" s="1192" customFormat="1" ht="45.6" x14ac:dyDescent="0.3">
      <c r="B249" s="1743" t="s">
        <v>2452</v>
      </c>
      <c r="C249" s="1743"/>
      <c r="D249" s="1743"/>
      <c r="E249" s="1743"/>
      <c r="G249" s="1666"/>
      <c r="H249" s="1607"/>
      <c r="I249" s="1607"/>
      <c r="J249" s="1607"/>
      <c r="K249" s="1607"/>
      <c r="L249" s="1607"/>
      <c r="M249" s="1607"/>
      <c r="N249" s="1607"/>
      <c r="O249" s="1607"/>
      <c r="P249" s="1607"/>
      <c r="Q249" s="1607"/>
      <c r="R249" s="1607"/>
      <c r="S249" s="1607"/>
      <c r="T249" s="1607"/>
      <c r="U249" s="1607"/>
      <c r="V249" s="1607"/>
      <c r="W249" s="1607"/>
      <c r="X249" s="1607"/>
      <c r="Y249" s="1607"/>
      <c r="Z249" s="1607"/>
      <c r="AA249" s="1608" t="s">
        <v>2452</v>
      </c>
      <c r="AB249" s="1607"/>
      <c r="AC249" s="1607"/>
      <c r="AD249" s="1607"/>
      <c r="AE249" s="1607"/>
      <c r="AF249" s="1607"/>
      <c r="AG249" s="1607"/>
      <c r="AH249" s="1607"/>
      <c r="AI249" s="1607"/>
      <c r="AJ249" s="1607"/>
      <c r="AK249" s="1607"/>
      <c r="AL249" s="1607"/>
      <c r="AM249" s="1607"/>
      <c r="AN249" s="1607"/>
      <c r="AO249" s="1607"/>
      <c r="AP249" s="1607"/>
      <c r="AQ249" s="1607"/>
      <c r="AR249" s="1607"/>
      <c r="AS249" s="1607"/>
      <c r="AT249" s="1607"/>
      <c r="AU249" s="1607"/>
      <c r="AV249" s="1607"/>
      <c r="AW249" s="1607"/>
      <c r="AX249" s="1607"/>
      <c r="AY249" s="1607"/>
      <c r="AZ249" s="1607"/>
      <c r="BC249" s="1670" t="s">
        <v>2452</v>
      </c>
    </row>
    <row r="250" spans="2:55" s="1192" customFormat="1" ht="11.25" customHeight="1" x14ac:dyDescent="0.3">
      <c r="B250" s="1654"/>
      <c r="C250" s="1654"/>
      <c r="D250" s="1654"/>
      <c r="E250" s="1654"/>
      <c r="G250" s="1666"/>
      <c r="H250" s="1607"/>
      <c r="I250" s="1607"/>
      <c r="J250" s="1607"/>
      <c r="K250" s="1607"/>
      <c r="L250" s="1607"/>
      <c r="M250" s="1607"/>
      <c r="N250" s="1607"/>
      <c r="O250" s="1607"/>
      <c r="P250" s="1607"/>
      <c r="Q250" s="1607"/>
      <c r="R250" s="1607"/>
      <c r="S250" s="1607"/>
      <c r="T250" s="1607"/>
      <c r="U250" s="1607"/>
      <c r="V250" s="1607"/>
      <c r="W250" s="1607"/>
      <c r="X250" s="1607"/>
      <c r="Y250" s="1607"/>
      <c r="Z250" s="1607"/>
      <c r="AA250" s="1607"/>
      <c r="AB250" s="1607"/>
      <c r="AC250" s="1607"/>
      <c r="AD250" s="1607"/>
      <c r="AE250" s="1607"/>
      <c r="AF250" s="1607"/>
      <c r="AG250" s="1607"/>
      <c r="AH250" s="1607"/>
      <c r="AI250" s="1607"/>
      <c r="AJ250" s="1607"/>
      <c r="AK250" s="1607"/>
      <c r="AL250" s="1607"/>
      <c r="AM250" s="1607"/>
      <c r="AN250" s="1607"/>
      <c r="AO250" s="1607"/>
      <c r="AP250" s="1607"/>
      <c r="AQ250" s="1607"/>
      <c r="AR250" s="1607"/>
      <c r="AS250" s="1607"/>
      <c r="AT250" s="1607"/>
      <c r="AU250" s="1607"/>
      <c r="AV250" s="1607"/>
      <c r="AW250" s="1607"/>
      <c r="AX250" s="1607"/>
      <c r="AY250" s="1607"/>
      <c r="AZ250" s="1607"/>
    </row>
    <row r="251" spans="2:55" s="1192" customFormat="1" ht="34.200000000000003" x14ac:dyDescent="0.3">
      <c r="B251" s="1743" t="s">
        <v>4500</v>
      </c>
      <c r="C251" s="1743"/>
      <c r="D251" s="1743"/>
      <c r="E251" s="1743"/>
      <c r="G251" s="1666"/>
      <c r="H251" s="1607"/>
      <c r="I251" s="1607"/>
      <c r="J251" s="1607"/>
      <c r="K251" s="1607"/>
      <c r="L251" s="1607"/>
      <c r="M251" s="1607"/>
      <c r="N251" s="1607"/>
      <c r="O251" s="1607"/>
      <c r="P251" s="1607"/>
      <c r="Q251" s="1607"/>
      <c r="R251" s="1607"/>
      <c r="S251" s="1607"/>
      <c r="T251" s="1607"/>
      <c r="U251" s="1607"/>
      <c r="V251" s="1607"/>
      <c r="W251" s="1607"/>
      <c r="X251" s="1607"/>
      <c r="Y251" s="1607"/>
      <c r="Z251" s="1607"/>
      <c r="AA251" s="1608" t="s">
        <v>4500</v>
      </c>
      <c r="AB251" s="1607"/>
      <c r="AC251" s="1607"/>
      <c r="AD251" s="1607"/>
      <c r="AE251" s="1607"/>
      <c r="AF251" s="1607"/>
      <c r="AG251" s="1607"/>
      <c r="AH251" s="1607"/>
      <c r="AI251" s="1607"/>
      <c r="AJ251" s="1607"/>
      <c r="AK251" s="1607"/>
      <c r="AL251" s="1607"/>
      <c r="AM251" s="1607"/>
      <c r="AN251" s="1607"/>
      <c r="AO251" s="1607"/>
      <c r="AP251" s="1607"/>
      <c r="AQ251" s="1607"/>
      <c r="AR251" s="1607"/>
      <c r="AS251" s="1607"/>
      <c r="AT251" s="1607"/>
      <c r="AU251" s="1607"/>
      <c r="AV251" s="1607"/>
      <c r="AW251" s="1607"/>
      <c r="AX251" s="1607"/>
      <c r="AY251" s="1607"/>
      <c r="AZ251" s="1607"/>
      <c r="BC251" s="1670" t="s">
        <v>4500</v>
      </c>
    </row>
    <row r="252" spans="2:55" s="1192" customFormat="1" ht="11.25" customHeight="1" x14ac:dyDescent="0.3">
      <c r="B252" s="1654"/>
      <c r="C252" s="1654"/>
      <c r="D252" s="1654"/>
      <c r="E252" s="1654"/>
      <c r="G252" s="1666"/>
      <c r="H252" s="1607"/>
      <c r="I252" s="1607"/>
      <c r="J252" s="1607"/>
      <c r="K252" s="1607"/>
      <c r="L252" s="1607"/>
      <c r="M252" s="1607"/>
      <c r="N252" s="1607"/>
      <c r="O252" s="1607"/>
      <c r="P252" s="1607"/>
      <c r="Q252" s="1607"/>
      <c r="R252" s="1607"/>
      <c r="S252" s="1607"/>
      <c r="T252" s="1607"/>
      <c r="U252" s="1607"/>
      <c r="V252" s="1607"/>
      <c r="W252" s="1607"/>
      <c r="X252" s="1607"/>
      <c r="Y252" s="1607"/>
      <c r="Z252" s="1607"/>
      <c r="AA252" s="1607"/>
      <c r="AB252" s="1607"/>
      <c r="AC252" s="1607"/>
      <c r="AD252" s="1607"/>
      <c r="AE252" s="1607"/>
      <c r="AF252" s="1607"/>
      <c r="AG252" s="1607"/>
      <c r="AH252" s="1607"/>
      <c r="AI252" s="1607"/>
      <c r="AJ252" s="1607"/>
      <c r="AK252" s="1607"/>
      <c r="AL252" s="1607"/>
      <c r="AM252" s="1607"/>
      <c r="AN252" s="1607"/>
      <c r="AO252" s="1607"/>
      <c r="AP252" s="1607"/>
      <c r="AQ252" s="1607"/>
      <c r="AR252" s="1607"/>
      <c r="AS252" s="1607"/>
      <c r="AT252" s="1607"/>
      <c r="AU252" s="1607"/>
      <c r="AV252" s="1607"/>
      <c r="AW252" s="1607"/>
      <c r="AX252" s="1607"/>
      <c r="AY252" s="1607"/>
      <c r="AZ252" s="1607"/>
    </row>
    <row r="253" spans="2:55" s="1192" customFormat="1" ht="14.4" x14ac:dyDescent="0.3">
      <c r="B253" s="1659" t="s">
        <v>2453</v>
      </c>
      <c r="C253" s="1287"/>
      <c r="D253" s="1287"/>
      <c r="E253" s="879"/>
      <c r="G253" s="1666"/>
      <c r="H253" s="1607" t="s">
        <v>4417</v>
      </c>
      <c r="I253" s="1607"/>
      <c r="J253" s="1607"/>
      <c r="K253" s="1607"/>
      <c r="L253" s="1607"/>
      <c r="M253" s="1607"/>
      <c r="N253" s="1607"/>
      <c r="O253" s="1607"/>
      <c r="P253" s="1607"/>
      <c r="Q253" s="1607"/>
      <c r="R253" s="1607"/>
      <c r="S253" s="1607"/>
      <c r="T253" s="1607"/>
      <c r="U253" s="1607"/>
      <c r="V253" s="1607"/>
      <c r="W253" s="1607"/>
      <c r="X253" s="1607"/>
      <c r="Y253" s="1607"/>
      <c r="Z253" s="1607"/>
      <c r="AA253" s="1607"/>
      <c r="AB253" s="1607"/>
      <c r="AC253" s="1607"/>
      <c r="AD253" s="1607"/>
      <c r="AE253" s="1607"/>
      <c r="AF253" s="1607"/>
      <c r="AG253" s="1607"/>
      <c r="AH253" s="1607"/>
      <c r="AI253" s="1607"/>
      <c r="AJ253" s="1607"/>
      <c r="AK253" s="1607"/>
      <c r="AL253" s="1607"/>
      <c r="AM253" s="1607"/>
      <c r="AN253" s="1607"/>
      <c r="AO253" s="1607"/>
      <c r="AP253" s="1607"/>
      <c r="AQ253" s="1607"/>
      <c r="AR253" s="1607"/>
      <c r="AS253" s="1607"/>
      <c r="AT253" s="1607"/>
      <c r="AU253" s="1607"/>
      <c r="AV253" s="1607"/>
      <c r="AW253" s="1607"/>
      <c r="AX253" s="1607"/>
      <c r="AY253" s="1607"/>
      <c r="AZ253" s="1607"/>
    </row>
    <row r="254" spans="2:55" s="1192" customFormat="1" ht="14.4" x14ac:dyDescent="0.3">
      <c r="B254" s="1942" t="s">
        <v>2639</v>
      </c>
      <c r="C254" s="1942"/>
      <c r="D254" s="1277" t="s">
        <v>19</v>
      </c>
      <c r="E254" s="1218">
        <v>15</v>
      </c>
      <c r="G254" s="1666"/>
      <c r="H254" s="1607"/>
      <c r="I254" s="1607"/>
      <c r="J254" s="1607"/>
      <c r="K254" s="1607"/>
      <c r="L254" s="1607"/>
      <c r="M254" s="1607"/>
      <c r="N254" s="1607"/>
      <c r="O254" s="1607"/>
      <c r="P254" s="1607"/>
      <c r="Q254" s="1607"/>
      <c r="R254" s="1607"/>
      <c r="S254" s="1607"/>
      <c r="T254" s="1607"/>
      <c r="U254" s="1607"/>
      <c r="V254" s="1607"/>
      <c r="W254" s="1607"/>
      <c r="X254" s="1607"/>
      <c r="Y254" s="1607"/>
      <c r="Z254" s="1608" t="s">
        <v>2639</v>
      </c>
      <c r="AA254" s="1607"/>
      <c r="AB254" s="1607"/>
      <c r="AC254" s="1607"/>
      <c r="AD254" s="1607"/>
      <c r="AE254" s="1607"/>
      <c r="AF254" s="1607"/>
      <c r="AG254" s="1607"/>
      <c r="AH254" s="1607"/>
      <c r="AI254" s="1607"/>
      <c r="AJ254" s="1607"/>
      <c r="AK254" s="1607"/>
      <c r="AL254" s="1607"/>
      <c r="AM254" s="1607"/>
      <c r="AN254" s="1607"/>
      <c r="AO254" s="1607"/>
      <c r="AP254" s="1607"/>
      <c r="AQ254" s="1607"/>
      <c r="AR254" s="1607"/>
      <c r="AS254" s="1607"/>
      <c r="AT254" s="1607"/>
      <c r="AU254" s="1607"/>
      <c r="AV254" s="1607"/>
      <c r="AW254" s="1607"/>
      <c r="AX254" s="1607"/>
      <c r="AY254" s="1607"/>
      <c r="AZ254" s="1607"/>
      <c r="BB254" s="1671" t="s">
        <v>2639</v>
      </c>
    </row>
    <row r="255" spans="2:55" s="1192" customFormat="1" ht="14.4" x14ac:dyDescent="0.3">
      <c r="B255" s="1942" t="s">
        <v>2456</v>
      </c>
      <c r="C255" s="1942"/>
      <c r="D255" s="1277" t="s">
        <v>19</v>
      </c>
      <c r="E255" s="1218">
        <v>15</v>
      </c>
      <c r="G255" s="1666"/>
      <c r="H255" s="1607"/>
      <c r="I255" s="1607"/>
      <c r="J255" s="1607"/>
      <c r="K255" s="1607"/>
      <c r="L255" s="1607"/>
      <c r="M255" s="1607"/>
      <c r="N255" s="1607"/>
      <c r="O255" s="1607"/>
      <c r="P255" s="1607"/>
      <c r="Q255" s="1607"/>
      <c r="R255" s="1607"/>
      <c r="S255" s="1607"/>
      <c r="T255" s="1607"/>
      <c r="U255" s="1607"/>
      <c r="V255" s="1607"/>
      <c r="W255" s="1607"/>
      <c r="X255" s="1607"/>
      <c r="Y255" s="1607"/>
      <c r="Z255" s="1608" t="s">
        <v>2456</v>
      </c>
      <c r="AA255" s="1607"/>
      <c r="AB255" s="1607"/>
      <c r="AC255" s="1607"/>
      <c r="AD255" s="1607"/>
      <c r="AE255" s="1607"/>
      <c r="AF255" s="1607"/>
      <c r="AG255" s="1607"/>
      <c r="AH255" s="1607"/>
      <c r="AI255" s="1607"/>
      <c r="AJ255" s="1607"/>
      <c r="AK255" s="1607"/>
      <c r="AL255" s="1607"/>
      <c r="AM255" s="1607"/>
      <c r="AN255" s="1607"/>
      <c r="AO255" s="1607"/>
      <c r="AP255" s="1607"/>
      <c r="AQ255" s="1607"/>
      <c r="AR255" s="1607"/>
      <c r="AS255" s="1607"/>
      <c r="AT255" s="1607"/>
      <c r="AU255" s="1607"/>
      <c r="AV255" s="1607"/>
      <c r="AW255" s="1607"/>
      <c r="AX255" s="1607"/>
      <c r="AY255" s="1607"/>
      <c r="AZ255" s="1607"/>
      <c r="BB255" s="1671" t="s">
        <v>2456</v>
      </c>
    </row>
    <row r="256" spans="2:55" s="1192" customFormat="1" ht="14.4" x14ac:dyDescent="0.3">
      <c r="B256" s="1942" t="s">
        <v>2457</v>
      </c>
      <c r="C256" s="1942"/>
      <c r="D256" s="1277" t="s">
        <v>19</v>
      </c>
      <c r="E256" s="1218">
        <v>15</v>
      </c>
      <c r="G256" s="1666"/>
      <c r="H256" s="1607"/>
      <c r="I256" s="1607"/>
      <c r="J256" s="1607"/>
      <c r="K256" s="1607"/>
      <c r="L256" s="1607"/>
      <c r="M256" s="1607"/>
      <c r="N256" s="1607"/>
      <c r="O256" s="1607"/>
      <c r="P256" s="1607"/>
      <c r="Q256" s="1607"/>
      <c r="R256" s="1607"/>
      <c r="S256" s="1607"/>
      <c r="T256" s="1607"/>
      <c r="U256" s="1607"/>
      <c r="V256" s="1607"/>
      <c r="W256" s="1607"/>
      <c r="X256" s="1607"/>
      <c r="Y256" s="1607"/>
      <c r="Z256" s="1608" t="s">
        <v>2457</v>
      </c>
      <c r="AA256" s="1607"/>
      <c r="AB256" s="1607"/>
      <c r="AC256" s="1607"/>
      <c r="AD256" s="1607"/>
      <c r="AE256" s="1607"/>
      <c r="AF256" s="1607"/>
      <c r="AG256" s="1607"/>
      <c r="AH256" s="1607"/>
      <c r="AI256" s="1607"/>
      <c r="AJ256" s="1607"/>
      <c r="AK256" s="1607"/>
      <c r="AL256" s="1607"/>
      <c r="AM256" s="1607"/>
      <c r="AN256" s="1607"/>
      <c r="AO256" s="1607"/>
      <c r="AP256" s="1607"/>
      <c r="AQ256" s="1607"/>
      <c r="AR256" s="1607"/>
      <c r="AS256" s="1607"/>
      <c r="AT256" s="1607"/>
      <c r="AU256" s="1607"/>
      <c r="AV256" s="1607"/>
      <c r="AW256" s="1607"/>
      <c r="AX256" s="1607"/>
      <c r="AY256" s="1607"/>
      <c r="AZ256" s="1607"/>
      <c r="BB256" s="1671" t="s">
        <v>2457</v>
      </c>
    </row>
    <row r="257" spans="2:54" s="1192" customFormat="1" ht="14.4" x14ac:dyDescent="0.3">
      <c r="B257" s="1942" t="s">
        <v>2458</v>
      </c>
      <c r="C257" s="1942"/>
      <c r="D257" s="1277" t="s">
        <v>19</v>
      </c>
      <c r="E257" s="1218">
        <v>15</v>
      </c>
      <c r="G257" s="1666"/>
      <c r="H257" s="1607"/>
      <c r="I257" s="1607"/>
      <c r="J257" s="1607"/>
      <c r="K257" s="1607"/>
      <c r="L257" s="1607"/>
      <c r="M257" s="1607"/>
      <c r="N257" s="1607"/>
      <c r="O257" s="1607"/>
      <c r="P257" s="1607"/>
      <c r="Q257" s="1607"/>
      <c r="R257" s="1607"/>
      <c r="S257" s="1607"/>
      <c r="T257" s="1607"/>
      <c r="U257" s="1607"/>
      <c r="V257" s="1607"/>
      <c r="W257" s="1607"/>
      <c r="X257" s="1607"/>
      <c r="Y257" s="1607"/>
      <c r="Z257" s="1608" t="s">
        <v>2458</v>
      </c>
      <c r="AA257" s="1607"/>
      <c r="AB257" s="1607"/>
      <c r="AC257" s="1607"/>
      <c r="AD257" s="1607"/>
      <c r="AE257" s="1607"/>
      <c r="AF257" s="1607"/>
      <c r="AG257" s="1607"/>
      <c r="AH257" s="1607"/>
      <c r="AI257" s="1607"/>
      <c r="AJ257" s="1607"/>
      <c r="AK257" s="1607"/>
      <c r="AL257" s="1607"/>
      <c r="AM257" s="1607"/>
      <c r="AN257" s="1607"/>
      <c r="AO257" s="1607"/>
      <c r="AP257" s="1607"/>
      <c r="AQ257" s="1607"/>
      <c r="AR257" s="1607"/>
      <c r="AS257" s="1607"/>
      <c r="AT257" s="1607"/>
      <c r="AU257" s="1607"/>
      <c r="AV257" s="1607"/>
      <c r="AW257" s="1607"/>
      <c r="AX257" s="1607"/>
      <c r="AY257" s="1607"/>
      <c r="AZ257" s="1607"/>
      <c r="BB257" s="1671" t="s">
        <v>2458</v>
      </c>
    </row>
    <row r="258" spans="2:54" s="1192" customFormat="1" ht="14.4" x14ac:dyDescent="0.3">
      <c r="B258" s="1942" t="s">
        <v>2459</v>
      </c>
      <c r="C258" s="1942"/>
      <c r="D258" s="1277" t="s">
        <v>19</v>
      </c>
      <c r="E258" s="1218">
        <v>15</v>
      </c>
      <c r="G258" s="1666"/>
      <c r="H258" s="1607"/>
      <c r="I258" s="1607"/>
      <c r="J258" s="1607"/>
      <c r="K258" s="1607"/>
      <c r="L258" s="1607"/>
      <c r="M258" s="1607"/>
      <c r="N258" s="1607"/>
      <c r="O258" s="1607"/>
      <c r="P258" s="1607"/>
      <c r="Q258" s="1607"/>
      <c r="R258" s="1607"/>
      <c r="S258" s="1607"/>
      <c r="T258" s="1607"/>
      <c r="U258" s="1607"/>
      <c r="V258" s="1607"/>
      <c r="W258" s="1607"/>
      <c r="X258" s="1607"/>
      <c r="Y258" s="1607"/>
      <c r="Z258" s="1608" t="s">
        <v>2459</v>
      </c>
      <c r="AA258" s="1607"/>
      <c r="AB258" s="1607"/>
      <c r="AC258" s="1607"/>
      <c r="AD258" s="1607"/>
      <c r="AE258" s="1607"/>
      <c r="AF258" s="1607"/>
      <c r="AG258" s="1607"/>
      <c r="AH258" s="1607"/>
      <c r="AI258" s="1607"/>
      <c r="AJ258" s="1607"/>
      <c r="AK258" s="1607"/>
      <c r="AL258" s="1607"/>
      <c r="AM258" s="1607"/>
      <c r="AN258" s="1607"/>
      <c r="AO258" s="1607"/>
      <c r="AP258" s="1607"/>
      <c r="AQ258" s="1607"/>
      <c r="AR258" s="1607"/>
      <c r="AS258" s="1607"/>
      <c r="AT258" s="1607"/>
      <c r="AU258" s="1607"/>
      <c r="AV258" s="1607"/>
      <c r="AW258" s="1607"/>
      <c r="AX258" s="1607"/>
      <c r="AY258" s="1607"/>
      <c r="AZ258" s="1607"/>
      <c r="BB258" s="1671" t="s">
        <v>2459</v>
      </c>
    </row>
    <row r="259" spans="2:54" s="1192" customFormat="1" ht="14.4" x14ac:dyDescent="0.3">
      <c r="B259" s="1942" t="s">
        <v>3663</v>
      </c>
      <c r="C259" s="1942"/>
      <c r="D259" s="1277" t="s">
        <v>19</v>
      </c>
      <c r="E259" s="1218">
        <v>15</v>
      </c>
      <c r="G259" s="1666"/>
      <c r="H259" s="1607"/>
      <c r="I259" s="1607"/>
      <c r="J259" s="1607"/>
      <c r="K259" s="1607"/>
      <c r="L259" s="1607"/>
      <c r="M259" s="1607"/>
      <c r="N259" s="1607"/>
      <c r="O259" s="1607"/>
      <c r="P259" s="1607"/>
      <c r="Q259" s="1607"/>
      <c r="R259" s="1607"/>
      <c r="S259" s="1607"/>
      <c r="T259" s="1607"/>
      <c r="U259" s="1607"/>
      <c r="V259" s="1607"/>
      <c r="W259" s="1607"/>
      <c r="X259" s="1607"/>
      <c r="Y259" s="1607"/>
      <c r="Z259" s="1608" t="s">
        <v>3663</v>
      </c>
      <c r="AA259" s="1607"/>
      <c r="AB259" s="1607"/>
      <c r="AC259" s="1607"/>
      <c r="AD259" s="1607"/>
      <c r="AE259" s="1607"/>
      <c r="AF259" s="1607"/>
      <c r="AG259" s="1607"/>
      <c r="AH259" s="1607"/>
      <c r="AI259" s="1607"/>
      <c r="AJ259" s="1607"/>
      <c r="AK259" s="1607"/>
      <c r="AL259" s="1607"/>
      <c r="AM259" s="1607"/>
      <c r="AN259" s="1607"/>
      <c r="AO259" s="1607"/>
      <c r="AP259" s="1607"/>
      <c r="AQ259" s="1607"/>
      <c r="AR259" s="1607"/>
      <c r="AS259" s="1607"/>
      <c r="AT259" s="1607"/>
      <c r="AU259" s="1607"/>
      <c r="AV259" s="1607"/>
      <c r="AW259" s="1607"/>
      <c r="AX259" s="1607"/>
      <c r="AY259" s="1607"/>
      <c r="AZ259" s="1607"/>
      <c r="BB259" s="1671" t="s">
        <v>3663</v>
      </c>
    </row>
    <row r="260" spans="2:54" s="1192" customFormat="1" ht="14.4" x14ac:dyDescent="0.3">
      <c r="B260" s="1942" t="s">
        <v>2461</v>
      </c>
      <c r="C260" s="1942"/>
      <c r="D260" s="1277" t="s">
        <v>19</v>
      </c>
      <c r="E260" s="1218">
        <v>15</v>
      </c>
      <c r="G260" s="1666"/>
      <c r="H260" s="1607"/>
      <c r="I260" s="1607"/>
      <c r="J260" s="1607"/>
      <c r="K260" s="1607"/>
      <c r="L260" s="1607"/>
      <c r="M260" s="1607"/>
      <c r="N260" s="1607"/>
      <c r="O260" s="1607"/>
      <c r="P260" s="1607"/>
      <c r="Q260" s="1607"/>
      <c r="R260" s="1607"/>
      <c r="S260" s="1607"/>
      <c r="T260" s="1607"/>
      <c r="U260" s="1607"/>
      <c r="V260" s="1607"/>
      <c r="W260" s="1607"/>
      <c r="X260" s="1607"/>
      <c r="Y260" s="1607"/>
      <c r="Z260" s="1608" t="s">
        <v>2461</v>
      </c>
      <c r="AA260" s="1607"/>
      <c r="AB260" s="1607"/>
      <c r="AC260" s="1607"/>
      <c r="AD260" s="1607"/>
      <c r="AE260" s="1607"/>
      <c r="AF260" s="1607"/>
      <c r="AG260" s="1607"/>
      <c r="AH260" s="1607"/>
      <c r="AI260" s="1607"/>
      <c r="AJ260" s="1607"/>
      <c r="AK260" s="1607"/>
      <c r="AL260" s="1607"/>
      <c r="AM260" s="1607"/>
      <c r="AN260" s="1607"/>
      <c r="AO260" s="1607"/>
      <c r="AP260" s="1607"/>
      <c r="AQ260" s="1607"/>
      <c r="AR260" s="1607"/>
      <c r="AS260" s="1607"/>
      <c r="AT260" s="1607"/>
      <c r="AU260" s="1607"/>
      <c r="AV260" s="1607"/>
      <c r="AW260" s="1607"/>
      <c r="AX260" s="1607"/>
      <c r="AY260" s="1607"/>
      <c r="AZ260" s="1607"/>
      <c r="BB260" s="1671" t="s">
        <v>2461</v>
      </c>
    </row>
    <row r="261" spans="2:54" s="1192" customFormat="1" ht="14.4" x14ac:dyDescent="0.3">
      <c r="B261" s="1942" t="s">
        <v>2462</v>
      </c>
      <c r="C261" s="1942"/>
      <c r="D261" s="1277" t="s">
        <v>19</v>
      </c>
      <c r="E261" s="1218">
        <v>15</v>
      </c>
      <c r="G261" s="1666"/>
      <c r="H261" s="1607"/>
      <c r="I261" s="1607"/>
      <c r="J261" s="1607"/>
      <c r="K261" s="1607"/>
      <c r="L261" s="1607"/>
      <c r="M261" s="1607"/>
      <c r="N261" s="1607"/>
      <c r="O261" s="1607"/>
      <c r="P261" s="1607"/>
      <c r="Q261" s="1607"/>
      <c r="R261" s="1607"/>
      <c r="S261" s="1607"/>
      <c r="T261" s="1607"/>
      <c r="U261" s="1607"/>
      <c r="V261" s="1607"/>
      <c r="W261" s="1607"/>
      <c r="X261" s="1607"/>
      <c r="Y261" s="1607"/>
      <c r="Z261" s="1608" t="s">
        <v>2462</v>
      </c>
      <c r="AA261" s="1607"/>
      <c r="AB261" s="1607"/>
      <c r="AC261" s="1607"/>
      <c r="AD261" s="1607"/>
      <c r="AE261" s="1607"/>
      <c r="AF261" s="1607"/>
      <c r="AG261" s="1607"/>
      <c r="AH261" s="1607"/>
      <c r="AI261" s="1607"/>
      <c r="AJ261" s="1607"/>
      <c r="AK261" s="1607"/>
      <c r="AL261" s="1607"/>
      <c r="AM261" s="1607"/>
      <c r="AN261" s="1607"/>
      <c r="AO261" s="1607"/>
      <c r="AP261" s="1607"/>
      <c r="AQ261" s="1607"/>
      <c r="AR261" s="1607"/>
      <c r="AS261" s="1607"/>
      <c r="AT261" s="1607"/>
      <c r="AU261" s="1607"/>
      <c r="AV261" s="1607"/>
      <c r="AW261" s="1607"/>
      <c r="AX261" s="1607"/>
      <c r="AY261" s="1607"/>
      <c r="AZ261" s="1607"/>
      <c r="BB261" s="1671" t="s">
        <v>2462</v>
      </c>
    </row>
    <row r="262" spans="2:54" s="1192" customFormat="1" ht="14.4" x14ac:dyDescent="0.3">
      <c r="B262" s="1942" t="s">
        <v>2463</v>
      </c>
      <c r="C262" s="1942"/>
      <c r="D262" s="1277" t="s">
        <v>19</v>
      </c>
      <c r="E262" s="1218">
        <v>15</v>
      </c>
      <c r="G262" s="1666"/>
      <c r="H262" s="1607"/>
      <c r="I262" s="1607"/>
      <c r="J262" s="1607"/>
      <c r="K262" s="1607"/>
      <c r="L262" s="1607"/>
      <c r="M262" s="1607"/>
      <c r="N262" s="1607"/>
      <c r="O262" s="1607"/>
      <c r="P262" s="1607"/>
      <c r="Q262" s="1607"/>
      <c r="R262" s="1607"/>
      <c r="S262" s="1607"/>
      <c r="T262" s="1607"/>
      <c r="U262" s="1607"/>
      <c r="V262" s="1607"/>
      <c r="W262" s="1607"/>
      <c r="X262" s="1607"/>
      <c r="Y262" s="1607"/>
      <c r="Z262" s="1608" t="s">
        <v>2463</v>
      </c>
      <c r="AA262" s="1607"/>
      <c r="AB262" s="1607"/>
      <c r="AC262" s="1607"/>
      <c r="AD262" s="1607"/>
      <c r="AE262" s="1607"/>
      <c r="AF262" s="1607"/>
      <c r="AG262" s="1607"/>
      <c r="AH262" s="1607"/>
      <c r="AI262" s="1607"/>
      <c r="AJ262" s="1607"/>
      <c r="AK262" s="1607"/>
      <c r="AL262" s="1607"/>
      <c r="AM262" s="1607"/>
      <c r="AN262" s="1607"/>
      <c r="AO262" s="1607"/>
      <c r="AP262" s="1607"/>
      <c r="AQ262" s="1607"/>
      <c r="AR262" s="1607"/>
      <c r="AS262" s="1607"/>
      <c r="AT262" s="1607"/>
      <c r="AU262" s="1607"/>
      <c r="AV262" s="1607"/>
      <c r="AW262" s="1607"/>
      <c r="AX262" s="1607"/>
      <c r="AY262" s="1607"/>
      <c r="AZ262" s="1607"/>
      <c r="BB262" s="1671" t="s">
        <v>2463</v>
      </c>
    </row>
    <row r="263" spans="2:54" s="1192" customFormat="1" ht="14.4" x14ac:dyDescent="0.3">
      <c r="B263" s="1942" t="s">
        <v>2464</v>
      </c>
      <c r="C263" s="1942"/>
      <c r="D263" s="1277" t="s">
        <v>19</v>
      </c>
      <c r="E263" s="1218">
        <v>15</v>
      </c>
      <c r="G263" s="1666"/>
      <c r="H263" s="1607"/>
      <c r="I263" s="1607"/>
      <c r="J263" s="1607"/>
      <c r="K263" s="1607"/>
      <c r="L263" s="1607"/>
      <c r="M263" s="1607"/>
      <c r="N263" s="1607"/>
      <c r="O263" s="1607"/>
      <c r="P263" s="1607"/>
      <c r="Q263" s="1607"/>
      <c r="R263" s="1607"/>
      <c r="S263" s="1607"/>
      <c r="T263" s="1607"/>
      <c r="U263" s="1607"/>
      <c r="V263" s="1607"/>
      <c r="W263" s="1607"/>
      <c r="X263" s="1607"/>
      <c r="Y263" s="1607"/>
      <c r="Z263" s="1608" t="s">
        <v>2464</v>
      </c>
      <c r="AA263" s="1607"/>
      <c r="AB263" s="1607"/>
      <c r="AC263" s="1607"/>
      <c r="AD263" s="1607"/>
      <c r="AE263" s="1607"/>
      <c r="AF263" s="1607"/>
      <c r="AG263" s="1607"/>
      <c r="AH263" s="1607"/>
      <c r="AI263" s="1607"/>
      <c r="AJ263" s="1607"/>
      <c r="AK263" s="1607"/>
      <c r="AL263" s="1607"/>
      <c r="AM263" s="1607"/>
      <c r="AN263" s="1607"/>
      <c r="AO263" s="1607"/>
      <c r="AP263" s="1607"/>
      <c r="AQ263" s="1607"/>
      <c r="AR263" s="1607"/>
      <c r="AS263" s="1607"/>
      <c r="AT263" s="1607"/>
      <c r="AU263" s="1607"/>
      <c r="AV263" s="1607"/>
      <c r="AW263" s="1607"/>
      <c r="AX263" s="1607"/>
      <c r="AY263" s="1607"/>
      <c r="AZ263" s="1607"/>
      <c r="BB263" s="1671" t="s">
        <v>2464</v>
      </c>
    </row>
    <row r="264" spans="2:54" s="1192" customFormat="1" ht="14.4" x14ac:dyDescent="0.3">
      <c r="B264" s="1942" t="s">
        <v>119</v>
      </c>
      <c r="C264" s="1942"/>
      <c r="D264" s="1277" t="s">
        <v>19</v>
      </c>
      <c r="E264" s="1218">
        <v>15</v>
      </c>
      <c r="G264" s="1666"/>
      <c r="H264" s="1607"/>
      <c r="I264" s="1607"/>
      <c r="J264" s="1607"/>
      <c r="K264" s="1607"/>
      <c r="L264" s="1607"/>
      <c r="M264" s="1607"/>
      <c r="N264" s="1607"/>
      <c r="O264" s="1607"/>
      <c r="P264" s="1607"/>
      <c r="Q264" s="1607"/>
      <c r="R264" s="1607"/>
      <c r="S264" s="1607"/>
      <c r="T264" s="1607"/>
      <c r="U264" s="1607"/>
      <c r="V264" s="1607"/>
      <c r="W264" s="1607"/>
      <c r="X264" s="1607"/>
      <c r="Y264" s="1607"/>
      <c r="Z264" s="1608" t="s">
        <v>119</v>
      </c>
      <c r="AA264" s="1607"/>
      <c r="AB264" s="1607"/>
      <c r="AC264" s="1607"/>
      <c r="AD264" s="1607"/>
      <c r="AE264" s="1607"/>
      <c r="AF264" s="1607"/>
      <c r="AG264" s="1607"/>
      <c r="AH264" s="1607"/>
      <c r="AI264" s="1607"/>
      <c r="AJ264" s="1607"/>
      <c r="AK264" s="1607"/>
      <c r="AL264" s="1607"/>
      <c r="AM264" s="1607"/>
      <c r="AN264" s="1607"/>
      <c r="AO264" s="1607"/>
      <c r="AP264" s="1607"/>
      <c r="AQ264" s="1607"/>
      <c r="AR264" s="1607"/>
      <c r="AS264" s="1607"/>
      <c r="AT264" s="1607"/>
      <c r="AU264" s="1607"/>
      <c r="AV264" s="1607"/>
      <c r="AW264" s="1607"/>
      <c r="AX264" s="1607"/>
      <c r="AY264" s="1607"/>
      <c r="AZ264" s="1607"/>
      <c r="BB264" s="1671" t="s">
        <v>119</v>
      </c>
    </row>
    <row r="265" spans="2:54" s="1192" customFormat="1" ht="14.4" x14ac:dyDescent="0.3">
      <c r="B265" s="1942" t="s">
        <v>2466</v>
      </c>
      <c r="C265" s="1942"/>
      <c r="D265" s="1277" t="s">
        <v>19</v>
      </c>
      <c r="E265" s="1218">
        <v>15</v>
      </c>
      <c r="G265" s="1666"/>
      <c r="H265" s="1607"/>
      <c r="I265" s="1607"/>
      <c r="J265" s="1607"/>
      <c r="K265" s="1607"/>
      <c r="L265" s="1607"/>
      <c r="M265" s="1607"/>
      <c r="N265" s="1607"/>
      <c r="O265" s="1607"/>
      <c r="P265" s="1607"/>
      <c r="Q265" s="1607"/>
      <c r="R265" s="1607"/>
      <c r="S265" s="1607"/>
      <c r="T265" s="1607"/>
      <c r="U265" s="1607"/>
      <c r="V265" s="1607"/>
      <c r="W265" s="1607"/>
      <c r="X265" s="1607"/>
      <c r="Y265" s="1607"/>
      <c r="Z265" s="1608" t="s">
        <v>2466</v>
      </c>
      <c r="AA265" s="1607"/>
      <c r="AB265" s="1607"/>
      <c r="AC265" s="1607"/>
      <c r="AD265" s="1607"/>
      <c r="AE265" s="1607"/>
      <c r="AF265" s="1607"/>
      <c r="AG265" s="1607"/>
      <c r="AH265" s="1607"/>
      <c r="AI265" s="1607"/>
      <c r="AJ265" s="1607"/>
      <c r="AK265" s="1607"/>
      <c r="AL265" s="1607"/>
      <c r="AM265" s="1607"/>
      <c r="AN265" s="1607"/>
      <c r="AO265" s="1607"/>
      <c r="AP265" s="1607"/>
      <c r="AQ265" s="1607"/>
      <c r="AR265" s="1607"/>
      <c r="AS265" s="1607"/>
      <c r="AT265" s="1607"/>
      <c r="AU265" s="1607"/>
      <c r="AV265" s="1607"/>
      <c r="AW265" s="1607"/>
      <c r="AX265" s="1607"/>
      <c r="AY265" s="1607"/>
      <c r="AZ265" s="1607"/>
      <c r="BB265" s="1671" t="s">
        <v>2466</v>
      </c>
    </row>
    <row r="266" spans="2:54" s="1192" customFormat="1" ht="14.4" x14ac:dyDescent="0.3">
      <c r="B266" s="1942" t="s">
        <v>2467</v>
      </c>
      <c r="C266" s="1942"/>
      <c r="D266" s="1277" t="s">
        <v>19</v>
      </c>
      <c r="E266" s="1218">
        <v>15</v>
      </c>
      <c r="G266" s="1666"/>
      <c r="H266" s="1607"/>
      <c r="I266" s="1607"/>
      <c r="J266" s="1607"/>
      <c r="K266" s="1607"/>
      <c r="L266" s="1607"/>
      <c r="M266" s="1607"/>
      <c r="N266" s="1607"/>
      <c r="O266" s="1607"/>
      <c r="P266" s="1607"/>
      <c r="Q266" s="1607"/>
      <c r="R266" s="1607"/>
      <c r="S266" s="1607"/>
      <c r="T266" s="1607"/>
      <c r="U266" s="1607"/>
      <c r="V266" s="1607"/>
      <c r="W266" s="1607"/>
      <c r="X266" s="1607"/>
      <c r="Y266" s="1607"/>
      <c r="Z266" s="1608" t="s">
        <v>2467</v>
      </c>
      <c r="AA266" s="1607"/>
      <c r="AB266" s="1607"/>
      <c r="AC266" s="1607"/>
      <c r="AD266" s="1607"/>
      <c r="AE266" s="1607"/>
      <c r="AF266" s="1607"/>
      <c r="AG266" s="1607"/>
      <c r="AH266" s="1607"/>
      <c r="AI266" s="1607"/>
      <c r="AJ266" s="1607"/>
      <c r="AK266" s="1607"/>
      <c r="AL266" s="1607"/>
      <c r="AM266" s="1607"/>
      <c r="AN266" s="1607"/>
      <c r="AO266" s="1607"/>
      <c r="AP266" s="1607"/>
      <c r="AQ266" s="1607"/>
      <c r="AR266" s="1607"/>
      <c r="AS266" s="1607"/>
      <c r="AT266" s="1607"/>
      <c r="AU266" s="1607"/>
      <c r="AV266" s="1607"/>
      <c r="AW266" s="1607"/>
      <c r="AX266" s="1607"/>
      <c r="AY266" s="1607"/>
      <c r="AZ266" s="1607"/>
      <c r="BB266" s="1671" t="s">
        <v>2467</v>
      </c>
    </row>
    <row r="267" spans="2:54" s="1192" customFormat="1" ht="14.4" x14ac:dyDescent="0.3">
      <c r="B267" s="1942" t="s">
        <v>84</v>
      </c>
      <c r="C267" s="1942"/>
      <c r="D267" s="1277" t="s">
        <v>19</v>
      </c>
      <c r="E267" s="1218">
        <v>30</v>
      </c>
      <c r="G267" s="1666"/>
      <c r="H267" s="1607"/>
      <c r="I267" s="1607"/>
      <c r="J267" s="1607"/>
      <c r="K267" s="1607"/>
      <c r="L267" s="1607"/>
      <c r="M267" s="1607"/>
      <c r="N267" s="1607"/>
      <c r="O267" s="1607"/>
      <c r="P267" s="1607"/>
      <c r="Q267" s="1607"/>
      <c r="R267" s="1607"/>
      <c r="S267" s="1607"/>
      <c r="T267" s="1607"/>
      <c r="U267" s="1607"/>
      <c r="V267" s="1607"/>
      <c r="W267" s="1607"/>
      <c r="X267" s="1607"/>
      <c r="Y267" s="1607"/>
      <c r="Z267" s="1608" t="s">
        <v>84</v>
      </c>
      <c r="AA267" s="1607"/>
      <c r="AB267" s="1607"/>
      <c r="AC267" s="1607"/>
      <c r="AD267" s="1607"/>
      <c r="AE267" s="1607"/>
      <c r="AF267" s="1607"/>
      <c r="AG267" s="1607"/>
      <c r="AH267" s="1607"/>
      <c r="AI267" s="1607"/>
      <c r="AJ267" s="1607"/>
      <c r="AK267" s="1607"/>
      <c r="AL267" s="1607"/>
      <c r="AM267" s="1607"/>
      <c r="AN267" s="1607"/>
      <c r="AO267" s="1607"/>
      <c r="AP267" s="1607"/>
      <c r="AQ267" s="1607"/>
      <c r="AR267" s="1607"/>
      <c r="AS267" s="1607"/>
      <c r="AT267" s="1607"/>
      <c r="AU267" s="1607"/>
      <c r="AV267" s="1607"/>
      <c r="AW267" s="1607"/>
      <c r="AX267" s="1607"/>
      <c r="AY267" s="1607"/>
      <c r="AZ267" s="1607"/>
      <c r="BB267" s="1671" t="s">
        <v>84</v>
      </c>
    </row>
    <row r="268" spans="2:54" s="1192" customFormat="1" ht="14.4" x14ac:dyDescent="0.3">
      <c r="B268" s="1942" t="s">
        <v>90</v>
      </c>
      <c r="C268" s="1942"/>
      <c r="D268" s="1277" t="s">
        <v>19</v>
      </c>
      <c r="E268" s="1218">
        <v>30</v>
      </c>
      <c r="G268" s="1666"/>
      <c r="H268" s="1607"/>
      <c r="I268" s="1607"/>
      <c r="J268" s="1607"/>
      <c r="K268" s="1607"/>
      <c r="L268" s="1607"/>
      <c r="M268" s="1607"/>
      <c r="N268" s="1607"/>
      <c r="O268" s="1607"/>
      <c r="P268" s="1607"/>
      <c r="Q268" s="1607"/>
      <c r="R268" s="1607"/>
      <c r="S268" s="1607"/>
      <c r="T268" s="1607"/>
      <c r="U268" s="1607"/>
      <c r="V268" s="1607"/>
      <c r="W268" s="1607"/>
      <c r="X268" s="1607"/>
      <c r="Y268" s="1607"/>
      <c r="Z268" s="1608" t="s">
        <v>90</v>
      </c>
      <c r="AA268" s="1607"/>
      <c r="AB268" s="1607"/>
      <c r="AC268" s="1607"/>
      <c r="AD268" s="1607"/>
      <c r="AE268" s="1607"/>
      <c r="AF268" s="1607"/>
      <c r="AG268" s="1607"/>
      <c r="AH268" s="1607"/>
      <c r="AI268" s="1607"/>
      <c r="AJ268" s="1607"/>
      <c r="AK268" s="1607"/>
      <c r="AL268" s="1607"/>
      <c r="AM268" s="1607"/>
      <c r="AN268" s="1607"/>
      <c r="AO268" s="1607"/>
      <c r="AP268" s="1607"/>
      <c r="AQ268" s="1607"/>
      <c r="AR268" s="1607"/>
      <c r="AS268" s="1607"/>
      <c r="AT268" s="1607"/>
      <c r="AU268" s="1607"/>
      <c r="AV268" s="1607"/>
      <c r="AW268" s="1607"/>
      <c r="AX268" s="1607"/>
      <c r="AY268" s="1607"/>
      <c r="AZ268" s="1607"/>
      <c r="BB268" s="1671" t="s">
        <v>90</v>
      </c>
    </row>
    <row r="269" spans="2:54" s="1192" customFormat="1" ht="14.4" x14ac:dyDescent="0.3">
      <c r="B269" s="1942" t="s">
        <v>88</v>
      </c>
      <c r="C269" s="1942"/>
      <c r="D269" s="1277" t="s">
        <v>19</v>
      </c>
      <c r="E269" s="1218">
        <v>30</v>
      </c>
      <c r="G269" s="1666"/>
      <c r="H269" s="1607"/>
      <c r="I269" s="1607"/>
      <c r="J269" s="1607"/>
      <c r="K269" s="1607"/>
      <c r="L269" s="1607"/>
      <c r="M269" s="1607"/>
      <c r="N269" s="1607"/>
      <c r="O269" s="1607"/>
      <c r="P269" s="1607"/>
      <c r="Q269" s="1607"/>
      <c r="R269" s="1607"/>
      <c r="S269" s="1607"/>
      <c r="T269" s="1607"/>
      <c r="U269" s="1607"/>
      <c r="V269" s="1607"/>
      <c r="W269" s="1607"/>
      <c r="X269" s="1607"/>
      <c r="Y269" s="1607"/>
      <c r="Z269" s="1608" t="s">
        <v>88</v>
      </c>
      <c r="AA269" s="1607"/>
      <c r="AB269" s="1607"/>
      <c r="AC269" s="1607"/>
      <c r="AD269" s="1607"/>
      <c r="AE269" s="1607"/>
      <c r="AF269" s="1607"/>
      <c r="AG269" s="1607"/>
      <c r="AH269" s="1607"/>
      <c r="AI269" s="1607"/>
      <c r="AJ269" s="1607"/>
      <c r="AK269" s="1607"/>
      <c r="AL269" s="1607"/>
      <c r="AM269" s="1607"/>
      <c r="AN269" s="1607"/>
      <c r="AO269" s="1607"/>
      <c r="AP269" s="1607"/>
      <c r="AQ269" s="1607"/>
      <c r="AR269" s="1607"/>
      <c r="AS269" s="1607"/>
      <c r="AT269" s="1607"/>
      <c r="AU269" s="1607"/>
      <c r="AV269" s="1607"/>
      <c r="AW269" s="1607"/>
      <c r="AX269" s="1607"/>
      <c r="AY269" s="1607"/>
      <c r="AZ269" s="1607"/>
      <c r="BB269" s="1671" t="s">
        <v>88</v>
      </c>
    </row>
    <row r="270" spans="2:54" s="1192" customFormat="1" ht="11.25" customHeight="1" x14ac:dyDescent="0.3">
      <c r="B270" s="1668"/>
      <c r="C270" s="1657"/>
      <c r="D270" s="1277"/>
      <c r="E270" s="1218"/>
      <c r="G270" s="1666"/>
      <c r="H270" s="1607"/>
      <c r="I270" s="1607"/>
      <c r="J270" s="1607"/>
      <c r="K270" s="1607"/>
      <c r="L270" s="1607"/>
      <c r="M270" s="1607"/>
      <c r="N270" s="1607"/>
      <c r="O270" s="1607"/>
      <c r="P270" s="1607"/>
      <c r="Q270" s="1607"/>
      <c r="R270" s="1607"/>
      <c r="S270" s="1607"/>
      <c r="T270" s="1607"/>
      <c r="U270" s="1607"/>
      <c r="V270" s="1607"/>
      <c r="W270" s="1607"/>
      <c r="X270" s="1607"/>
      <c r="Y270" s="1607"/>
      <c r="Z270" s="1607"/>
      <c r="AA270" s="1607"/>
      <c r="AB270" s="1607"/>
      <c r="AC270" s="1607"/>
      <c r="AD270" s="1607"/>
      <c r="AE270" s="1607"/>
      <c r="AF270" s="1607"/>
      <c r="AG270" s="1607"/>
      <c r="AH270" s="1607"/>
      <c r="AI270" s="1607"/>
      <c r="AJ270" s="1607"/>
      <c r="AK270" s="1607"/>
      <c r="AL270" s="1607"/>
      <c r="AM270" s="1607"/>
      <c r="AN270" s="1607"/>
      <c r="AO270" s="1607"/>
      <c r="AP270" s="1607"/>
      <c r="AQ270" s="1607"/>
      <c r="AR270" s="1607"/>
      <c r="AS270" s="1607"/>
      <c r="AT270" s="1607"/>
      <c r="AU270" s="1607"/>
      <c r="AV270" s="1607"/>
      <c r="AW270" s="1607"/>
      <c r="AX270" s="1607"/>
      <c r="AY270" s="1607"/>
      <c r="AZ270" s="1607"/>
    </row>
    <row r="271" spans="2:54" s="1192" customFormat="1" ht="14.4" x14ac:dyDescent="0.3">
      <c r="B271" s="1659" t="s">
        <v>2468</v>
      </c>
      <c r="C271" s="1287"/>
      <c r="D271" s="1287"/>
      <c r="E271" s="879"/>
      <c r="G271" s="1666"/>
      <c r="H271" s="1607" t="s">
        <v>4418</v>
      </c>
      <c r="I271" s="1607"/>
      <c r="J271" s="1607"/>
      <c r="K271" s="1607"/>
      <c r="L271" s="1607"/>
      <c r="M271" s="1607"/>
      <c r="N271" s="1607"/>
      <c r="O271" s="1607"/>
      <c r="P271" s="1607"/>
      <c r="Q271" s="1607"/>
      <c r="R271" s="1607"/>
      <c r="S271" s="1607"/>
      <c r="T271" s="1607"/>
      <c r="U271" s="1607"/>
      <c r="V271" s="1607"/>
      <c r="W271" s="1607"/>
      <c r="X271" s="1607"/>
      <c r="Y271" s="1607"/>
      <c r="Z271" s="1607"/>
      <c r="AA271" s="1607"/>
      <c r="AB271" s="1607"/>
      <c r="AC271" s="1607"/>
      <c r="AD271" s="1607"/>
      <c r="AE271" s="1607"/>
      <c r="AF271" s="1607"/>
      <c r="AG271" s="1607"/>
      <c r="AH271" s="1607"/>
      <c r="AI271" s="1607"/>
      <c r="AJ271" s="1607"/>
      <c r="AK271" s="1607"/>
      <c r="AL271" s="1607"/>
      <c r="AM271" s="1607"/>
      <c r="AN271" s="1607"/>
      <c r="AO271" s="1607"/>
      <c r="AP271" s="1607"/>
      <c r="AQ271" s="1607"/>
      <c r="AR271" s="1607"/>
      <c r="AS271" s="1607"/>
      <c r="AT271" s="1607"/>
      <c r="AU271" s="1607"/>
      <c r="AV271" s="1607"/>
      <c r="AW271" s="1607"/>
      <c r="AX271" s="1607"/>
      <c r="AY271" s="1607"/>
      <c r="AZ271" s="1607"/>
    </row>
    <row r="272" spans="2:54" s="1192" customFormat="1" ht="20.399999999999999" x14ac:dyDescent="0.3">
      <c r="B272" s="1942" t="s">
        <v>5940</v>
      </c>
      <c r="C272" s="1942"/>
      <c r="D272" s="1277" t="s">
        <v>82</v>
      </c>
      <c r="E272" s="1218">
        <v>1.5</v>
      </c>
      <c r="G272" s="1666"/>
      <c r="H272" s="1607"/>
      <c r="I272" s="1607"/>
      <c r="J272" s="1607"/>
      <c r="K272" s="1607"/>
      <c r="L272" s="1607"/>
      <c r="M272" s="1607"/>
      <c r="N272" s="1607"/>
      <c r="O272" s="1607"/>
      <c r="P272" s="1607"/>
      <c r="Q272" s="1607"/>
      <c r="R272" s="1607"/>
      <c r="S272" s="1607"/>
      <c r="T272" s="1607"/>
      <c r="U272" s="1607"/>
      <c r="V272" s="1607"/>
      <c r="W272" s="1607"/>
      <c r="X272" s="1607"/>
      <c r="Y272" s="1607"/>
      <c r="Z272" s="1608" t="s">
        <v>5940</v>
      </c>
      <c r="AA272" s="1607"/>
      <c r="AB272" s="1607"/>
      <c r="AC272" s="1607"/>
      <c r="AD272" s="1607"/>
      <c r="AE272" s="1607"/>
      <c r="AF272" s="1607"/>
      <c r="AG272" s="1607"/>
      <c r="AH272" s="1607"/>
      <c r="AI272" s="1607"/>
      <c r="AJ272" s="1607"/>
      <c r="AK272" s="1607"/>
      <c r="AL272" s="1607"/>
      <c r="AM272" s="1607"/>
      <c r="AN272" s="1607"/>
      <c r="AO272" s="1607"/>
      <c r="AP272" s="1607"/>
      <c r="AQ272" s="1607"/>
      <c r="AR272" s="1607"/>
      <c r="AS272" s="1607"/>
      <c r="AT272" s="1607"/>
      <c r="AU272" s="1607"/>
      <c r="AV272" s="1607"/>
      <c r="AW272" s="1607"/>
      <c r="AX272" s="1607"/>
      <c r="AY272" s="1607"/>
      <c r="AZ272" s="1607"/>
      <c r="BB272" s="1671" t="s">
        <v>5940</v>
      </c>
    </row>
    <row r="273" spans="2:55" s="1192" customFormat="1" ht="14.4" x14ac:dyDescent="0.3">
      <c r="B273" s="1942" t="s">
        <v>6106</v>
      </c>
      <c r="C273" s="1942"/>
      <c r="D273" s="1277" t="s">
        <v>19</v>
      </c>
      <c r="E273" s="1218">
        <v>65</v>
      </c>
      <c r="G273" s="1666"/>
      <c r="H273" s="1607"/>
      <c r="I273" s="1607"/>
      <c r="J273" s="1607"/>
      <c r="K273" s="1607"/>
      <c r="L273" s="1607"/>
      <c r="M273" s="1607"/>
      <c r="N273" s="1607"/>
      <c r="O273" s="1607"/>
      <c r="P273" s="1607"/>
      <c r="Q273" s="1607"/>
      <c r="R273" s="1607"/>
      <c r="S273" s="1607"/>
      <c r="T273" s="1607"/>
      <c r="U273" s="1607"/>
      <c r="V273" s="1607"/>
      <c r="W273" s="1607"/>
      <c r="X273" s="1607"/>
      <c r="Y273" s="1607"/>
      <c r="Z273" s="1608" t="s">
        <v>6106</v>
      </c>
      <c r="AA273" s="1607"/>
      <c r="AB273" s="1607"/>
      <c r="AC273" s="1607"/>
      <c r="AD273" s="1607"/>
      <c r="AE273" s="1607"/>
      <c r="AF273" s="1607"/>
      <c r="AG273" s="1607"/>
      <c r="AH273" s="1607"/>
      <c r="AI273" s="1607"/>
      <c r="AJ273" s="1607"/>
      <c r="AK273" s="1607"/>
      <c r="AL273" s="1607"/>
      <c r="AM273" s="1607"/>
      <c r="AN273" s="1607"/>
      <c r="AO273" s="1607"/>
      <c r="AP273" s="1607"/>
      <c r="AQ273" s="1607"/>
      <c r="AR273" s="1607"/>
      <c r="AS273" s="1607"/>
      <c r="AT273" s="1607"/>
      <c r="AU273" s="1607"/>
      <c r="AV273" s="1607"/>
      <c r="AW273" s="1607"/>
      <c r="AX273" s="1607"/>
      <c r="AY273" s="1607"/>
      <c r="AZ273" s="1607"/>
      <c r="BB273" s="1671" t="s">
        <v>6106</v>
      </c>
    </row>
    <row r="274" spans="2:55" s="1192" customFormat="1" ht="14.4" x14ac:dyDescent="0.3">
      <c r="B274" s="1942" t="s">
        <v>6107</v>
      </c>
      <c r="C274" s="1942"/>
      <c r="D274" s="1277" t="s">
        <v>19</v>
      </c>
      <c r="E274" s="1218">
        <v>185</v>
      </c>
      <c r="G274" s="1666"/>
      <c r="H274" s="1607"/>
      <c r="I274" s="1607"/>
      <c r="J274" s="1607"/>
      <c r="K274" s="1607"/>
      <c r="L274" s="1607"/>
      <c r="M274" s="1607"/>
      <c r="N274" s="1607"/>
      <c r="O274" s="1607"/>
      <c r="P274" s="1607"/>
      <c r="Q274" s="1607"/>
      <c r="R274" s="1607"/>
      <c r="S274" s="1607"/>
      <c r="T274" s="1607"/>
      <c r="U274" s="1607"/>
      <c r="V274" s="1607"/>
      <c r="W274" s="1607"/>
      <c r="X274" s="1607"/>
      <c r="Y274" s="1607"/>
      <c r="Z274" s="1608" t="s">
        <v>6107</v>
      </c>
      <c r="AA274" s="1607"/>
      <c r="AB274" s="1607"/>
      <c r="AC274" s="1607"/>
      <c r="AD274" s="1607"/>
      <c r="AE274" s="1607"/>
      <c r="AF274" s="1607"/>
      <c r="AG274" s="1607"/>
      <c r="AH274" s="1607"/>
      <c r="AI274" s="1607"/>
      <c r="AJ274" s="1607"/>
      <c r="AK274" s="1607"/>
      <c r="AL274" s="1607"/>
      <c r="AM274" s="1607"/>
      <c r="AN274" s="1607"/>
      <c r="AO274" s="1607"/>
      <c r="AP274" s="1607"/>
      <c r="AQ274" s="1607"/>
      <c r="AR274" s="1607"/>
      <c r="AS274" s="1607"/>
      <c r="AT274" s="1607"/>
      <c r="AU274" s="1607"/>
      <c r="AV274" s="1607"/>
      <c r="AW274" s="1607"/>
      <c r="AX274" s="1607"/>
      <c r="AY274" s="1607"/>
      <c r="AZ274" s="1607"/>
      <c r="BB274" s="1671" t="s">
        <v>6107</v>
      </c>
    </row>
    <row r="275" spans="2:55" s="1192" customFormat="1" ht="14.4" x14ac:dyDescent="0.3">
      <c r="B275" s="1942" t="s">
        <v>6108</v>
      </c>
      <c r="C275" s="1942"/>
      <c r="D275" s="1277" t="s">
        <v>19</v>
      </c>
      <c r="E275" s="1218">
        <v>185</v>
      </c>
      <c r="G275" s="1666"/>
      <c r="H275" s="1607"/>
      <c r="I275" s="1607"/>
      <c r="J275" s="1607"/>
      <c r="K275" s="1607"/>
      <c r="L275" s="1607"/>
      <c r="M275" s="1607"/>
      <c r="N275" s="1607"/>
      <c r="O275" s="1607"/>
      <c r="P275" s="1607"/>
      <c r="Q275" s="1607"/>
      <c r="R275" s="1607"/>
      <c r="S275" s="1607"/>
      <c r="T275" s="1607"/>
      <c r="U275" s="1607"/>
      <c r="V275" s="1607"/>
      <c r="W275" s="1607"/>
      <c r="X275" s="1607"/>
      <c r="Y275" s="1607"/>
      <c r="Z275" s="1608" t="s">
        <v>6108</v>
      </c>
      <c r="AA275" s="1607"/>
      <c r="AB275" s="1607"/>
      <c r="AC275" s="1607"/>
      <c r="AD275" s="1607"/>
      <c r="AE275" s="1607"/>
      <c r="AF275" s="1607"/>
      <c r="AG275" s="1607"/>
      <c r="AH275" s="1607"/>
      <c r="AI275" s="1607"/>
      <c r="AJ275" s="1607"/>
      <c r="AK275" s="1607"/>
      <c r="AL275" s="1607"/>
      <c r="AM275" s="1607"/>
      <c r="AN275" s="1607"/>
      <c r="AO275" s="1607"/>
      <c r="AP275" s="1607"/>
      <c r="AQ275" s="1607"/>
      <c r="AR275" s="1607"/>
      <c r="AS275" s="1607"/>
      <c r="AT275" s="1607"/>
      <c r="AU275" s="1607"/>
      <c r="AV275" s="1607"/>
      <c r="AW275" s="1607"/>
      <c r="AX275" s="1607"/>
      <c r="AY275" s="1607"/>
      <c r="AZ275" s="1607"/>
      <c r="BB275" s="1671" t="s">
        <v>6108</v>
      </c>
    </row>
    <row r="276" spans="2:55" s="1192" customFormat="1" ht="14.4" x14ac:dyDescent="0.3">
      <c r="B276" s="1942" t="s">
        <v>6115</v>
      </c>
      <c r="C276" s="1942"/>
      <c r="D276" s="1277" t="s">
        <v>19</v>
      </c>
      <c r="E276" s="1218">
        <v>415</v>
      </c>
      <c r="G276" s="1666"/>
      <c r="H276" s="1607"/>
      <c r="I276" s="1607"/>
      <c r="J276" s="1607"/>
      <c r="K276" s="1607"/>
      <c r="L276" s="1607"/>
      <c r="M276" s="1607"/>
      <c r="N276" s="1607"/>
      <c r="O276" s="1607"/>
      <c r="P276" s="1607"/>
      <c r="Q276" s="1607"/>
      <c r="R276" s="1607"/>
      <c r="S276" s="1607"/>
      <c r="T276" s="1607"/>
      <c r="U276" s="1607"/>
      <c r="V276" s="1607"/>
      <c r="W276" s="1607"/>
      <c r="X276" s="1607"/>
      <c r="Y276" s="1607"/>
      <c r="Z276" s="1608" t="s">
        <v>6115</v>
      </c>
      <c r="AA276" s="1607"/>
      <c r="AB276" s="1607"/>
      <c r="AC276" s="1607"/>
      <c r="AD276" s="1607"/>
      <c r="AE276" s="1607"/>
      <c r="AF276" s="1607"/>
      <c r="AG276" s="1607"/>
      <c r="AH276" s="1607"/>
      <c r="AI276" s="1607"/>
      <c r="AJ276" s="1607"/>
      <c r="AK276" s="1607"/>
      <c r="AL276" s="1607"/>
      <c r="AM276" s="1607"/>
      <c r="AN276" s="1607"/>
      <c r="AO276" s="1607"/>
      <c r="AP276" s="1607"/>
      <c r="AQ276" s="1607"/>
      <c r="AR276" s="1607"/>
      <c r="AS276" s="1607"/>
      <c r="AT276" s="1607"/>
      <c r="AU276" s="1607"/>
      <c r="AV276" s="1607"/>
      <c r="AW276" s="1607"/>
      <c r="AX276" s="1607"/>
      <c r="AY276" s="1607"/>
      <c r="AZ276" s="1607"/>
      <c r="BB276" s="1671" t="s">
        <v>6115</v>
      </c>
    </row>
    <row r="277" spans="2:55" s="1192" customFormat="1" ht="11.25" customHeight="1" x14ac:dyDescent="0.3">
      <c r="B277" s="1668"/>
      <c r="C277" s="1657"/>
      <c r="D277" s="1277"/>
      <c r="E277" s="1218"/>
      <c r="G277" s="1666"/>
      <c r="H277" s="1607"/>
      <c r="I277" s="1607"/>
      <c r="J277" s="1607"/>
      <c r="K277" s="1607"/>
      <c r="L277" s="1607"/>
      <c r="M277" s="1607"/>
      <c r="N277" s="1607"/>
      <c r="O277" s="1607"/>
      <c r="P277" s="1607"/>
      <c r="Q277" s="1607"/>
      <c r="R277" s="1607"/>
      <c r="S277" s="1607"/>
      <c r="T277" s="1607"/>
      <c r="U277" s="1607"/>
      <c r="V277" s="1607"/>
      <c r="W277" s="1607"/>
      <c r="X277" s="1607"/>
      <c r="Y277" s="1607"/>
      <c r="Z277" s="1607"/>
      <c r="AA277" s="1607"/>
      <c r="AB277" s="1607"/>
      <c r="AC277" s="1607"/>
      <c r="AD277" s="1607"/>
      <c r="AE277" s="1607"/>
      <c r="AF277" s="1607"/>
      <c r="AG277" s="1607"/>
      <c r="AH277" s="1607"/>
      <c r="AI277" s="1607"/>
      <c r="AJ277" s="1607"/>
      <c r="AK277" s="1607"/>
      <c r="AL277" s="1607"/>
      <c r="AM277" s="1607"/>
      <c r="AN277" s="1607"/>
      <c r="AO277" s="1607"/>
      <c r="AP277" s="1607"/>
      <c r="AQ277" s="1607"/>
      <c r="AR277" s="1607"/>
      <c r="AS277" s="1607"/>
      <c r="AT277" s="1607"/>
      <c r="AU277" s="1607"/>
      <c r="AV277" s="1607"/>
      <c r="AW277" s="1607"/>
      <c r="AX277" s="1607"/>
      <c r="AY277" s="1607"/>
      <c r="AZ277" s="1607"/>
    </row>
    <row r="278" spans="2:55" s="1192" customFormat="1" ht="14.4" x14ac:dyDescent="0.3">
      <c r="B278" s="1659" t="s">
        <v>2474</v>
      </c>
      <c r="C278" s="843"/>
      <c r="D278" s="1280"/>
      <c r="E278" s="840"/>
      <c r="G278" s="1666"/>
      <c r="H278" s="1607"/>
      <c r="I278" s="1607"/>
      <c r="J278" s="1607"/>
      <c r="K278" s="1607"/>
      <c r="L278" s="1607"/>
      <c r="M278" s="1607"/>
      <c r="N278" s="1607"/>
      <c r="O278" s="1607"/>
      <c r="P278" s="1607"/>
      <c r="Q278" s="1607"/>
      <c r="R278" s="1607"/>
      <c r="S278" s="1607"/>
      <c r="T278" s="1607"/>
      <c r="U278" s="1607"/>
      <c r="V278" s="1607"/>
      <c r="W278" s="1607"/>
      <c r="X278" s="1607"/>
      <c r="Y278" s="1607"/>
      <c r="Z278" s="1607"/>
      <c r="AA278" s="1607"/>
      <c r="AB278" s="1607"/>
      <c r="AC278" s="1607"/>
      <c r="AD278" s="1607"/>
      <c r="AE278" s="1607"/>
      <c r="AF278" s="1607"/>
      <c r="AG278" s="1607"/>
      <c r="AH278" s="1607"/>
      <c r="AI278" s="1607"/>
      <c r="AJ278" s="1607"/>
      <c r="AK278" s="1607"/>
      <c r="AL278" s="1607"/>
      <c r="AM278" s="1607"/>
      <c r="AN278" s="1607"/>
      <c r="AO278" s="1607"/>
      <c r="AP278" s="1607"/>
      <c r="AQ278" s="1607"/>
      <c r="AR278" s="1607"/>
      <c r="AS278" s="1607"/>
      <c r="AT278" s="1607"/>
      <c r="AU278" s="1607"/>
      <c r="AV278" s="1607"/>
      <c r="AW278" s="1607"/>
      <c r="AX278" s="1607"/>
      <c r="AY278" s="1607"/>
      <c r="AZ278" s="1607"/>
    </row>
    <row r="279" spans="2:55" s="1192" customFormat="1" ht="14.4" x14ac:dyDescent="0.3">
      <c r="B279" s="1942" t="s">
        <v>2477</v>
      </c>
      <c r="C279" s="1942"/>
      <c r="D279" s="1277" t="s">
        <v>19</v>
      </c>
      <c r="E279" s="1218">
        <v>30</v>
      </c>
      <c r="G279" s="1666"/>
      <c r="H279" s="1607"/>
      <c r="I279" s="1607"/>
      <c r="J279" s="1607"/>
      <c r="K279" s="1607"/>
      <c r="L279" s="1607"/>
      <c r="M279" s="1607"/>
      <c r="N279" s="1607"/>
      <c r="O279" s="1607"/>
      <c r="P279" s="1607"/>
      <c r="Q279" s="1607"/>
      <c r="R279" s="1607"/>
      <c r="S279" s="1607"/>
      <c r="T279" s="1607"/>
      <c r="U279" s="1607"/>
      <c r="V279" s="1607"/>
      <c r="W279" s="1607"/>
      <c r="X279" s="1607"/>
      <c r="Y279" s="1607"/>
      <c r="Z279" s="1608" t="s">
        <v>2477</v>
      </c>
      <c r="AA279" s="1607"/>
      <c r="AB279" s="1607"/>
      <c r="AC279" s="1607"/>
      <c r="AD279" s="1607"/>
      <c r="AE279" s="1607"/>
      <c r="AF279" s="1607"/>
      <c r="AG279" s="1607"/>
      <c r="AH279" s="1607"/>
      <c r="AI279" s="1607"/>
      <c r="AJ279" s="1607"/>
      <c r="AK279" s="1607"/>
      <c r="AL279" s="1607"/>
      <c r="AM279" s="1607"/>
      <c r="AN279" s="1607"/>
      <c r="AO279" s="1607"/>
      <c r="AP279" s="1607"/>
      <c r="AQ279" s="1607"/>
      <c r="AR279" s="1607"/>
      <c r="AS279" s="1607"/>
      <c r="AT279" s="1607"/>
      <c r="AU279" s="1607"/>
      <c r="AV279" s="1607"/>
      <c r="AW279" s="1607"/>
      <c r="AX279" s="1607"/>
      <c r="AY279" s="1607"/>
      <c r="AZ279" s="1607"/>
      <c r="BB279" s="1671" t="s">
        <v>2477</v>
      </c>
    </row>
    <row r="280" spans="2:55" s="1192" customFormat="1" ht="14.4" x14ac:dyDescent="0.3">
      <c r="B280" s="1942" t="s">
        <v>2478</v>
      </c>
      <c r="C280" s="1942"/>
      <c r="D280" s="1277" t="s">
        <v>19</v>
      </c>
      <c r="E280" s="1218">
        <v>160</v>
      </c>
      <c r="G280" s="1666"/>
      <c r="H280" s="1607"/>
      <c r="I280" s="1607"/>
      <c r="J280" s="1607"/>
      <c r="K280" s="1607"/>
      <c r="L280" s="1607"/>
      <c r="M280" s="1607"/>
      <c r="N280" s="1607"/>
      <c r="O280" s="1607"/>
      <c r="P280" s="1607"/>
      <c r="Q280" s="1607"/>
      <c r="R280" s="1607"/>
      <c r="S280" s="1607"/>
      <c r="T280" s="1607"/>
      <c r="U280" s="1607"/>
      <c r="V280" s="1607"/>
      <c r="W280" s="1607"/>
      <c r="X280" s="1607"/>
      <c r="Y280" s="1607"/>
      <c r="Z280" s="1608" t="s">
        <v>2478</v>
      </c>
      <c r="AA280" s="1607"/>
      <c r="AB280" s="1607"/>
      <c r="AC280" s="1607"/>
      <c r="AD280" s="1607"/>
      <c r="AE280" s="1607"/>
      <c r="AF280" s="1607"/>
      <c r="AG280" s="1607"/>
      <c r="AH280" s="1607"/>
      <c r="AI280" s="1607"/>
      <c r="AJ280" s="1607"/>
      <c r="AK280" s="1607"/>
      <c r="AL280" s="1607"/>
      <c r="AM280" s="1607"/>
      <c r="AN280" s="1607"/>
      <c r="AO280" s="1607"/>
      <c r="AP280" s="1607"/>
      <c r="AQ280" s="1607"/>
      <c r="AR280" s="1607"/>
      <c r="AS280" s="1607"/>
      <c r="AT280" s="1607"/>
      <c r="AU280" s="1607"/>
      <c r="AV280" s="1607"/>
      <c r="AW280" s="1607"/>
      <c r="AX280" s="1607"/>
      <c r="AY280" s="1607"/>
      <c r="AZ280" s="1607"/>
      <c r="BB280" s="1671" t="s">
        <v>2478</v>
      </c>
    </row>
    <row r="281" spans="2:55" s="1192" customFormat="1" ht="14.4" x14ac:dyDescent="0.3">
      <c r="B281" s="1942" t="s">
        <v>2703</v>
      </c>
      <c r="C281" s="1942"/>
      <c r="D281" s="1277" t="s">
        <v>19</v>
      </c>
      <c r="E281" s="1218">
        <v>500</v>
      </c>
      <c r="G281" s="1666"/>
      <c r="H281" s="1607"/>
      <c r="I281" s="1607"/>
      <c r="J281" s="1607"/>
      <c r="K281" s="1607"/>
      <c r="L281" s="1607"/>
      <c r="M281" s="1607"/>
      <c r="N281" s="1607"/>
      <c r="O281" s="1607"/>
      <c r="P281" s="1607"/>
      <c r="Q281" s="1607"/>
      <c r="R281" s="1607"/>
      <c r="S281" s="1607"/>
      <c r="T281" s="1607"/>
      <c r="U281" s="1607"/>
      <c r="V281" s="1607"/>
      <c r="W281" s="1607"/>
      <c r="X281" s="1607"/>
      <c r="Y281" s="1607"/>
      <c r="Z281" s="1608" t="s">
        <v>2703</v>
      </c>
      <c r="AA281" s="1607"/>
      <c r="AB281" s="1607"/>
      <c r="AC281" s="1607"/>
      <c r="AD281" s="1607"/>
      <c r="AE281" s="1607"/>
      <c r="AF281" s="1607"/>
      <c r="AG281" s="1607"/>
      <c r="AH281" s="1607"/>
      <c r="AI281" s="1607"/>
      <c r="AJ281" s="1607"/>
      <c r="AK281" s="1607"/>
      <c r="AL281" s="1607"/>
      <c r="AM281" s="1607"/>
      <c r="AN281" s="1607"/>
      <c r="AO281" s="1607"/>
      <c r="AP281" s="1607"/>
      <c r="AQ281" s="1607"/>
      <c r="AR281" s="1607"/>
      <c r="AS281" s="1607"/>
      <c r="AT281" s="1607"/>
      <c r="AU281" s="1607"/>
      <c r="AV281" s="1607"/>
      <c r="AW281" s="1607"/>
      <c r="AX281" s="1607"/>
      <c r="AY281" s="1607"/>
      <c r="AZ281" s="1607"/>
      <c r="BB281" s="1671" t="s">
        <v>2703</v>
      </c>
    </row>
    <row r="282" spans="2:55" s="1192" customFormat="1" ht="14.4" x14ac:dyDescent="0.3">
      <c r="B282" s="1942" t="s">
        <v>2758</v>
      </c>
      <c r="C282" s="1942"/>
      <c r="D282" s="1277" t="s">
        <v>19</v>
      </c>
      <c r="E282" s="1218">
        <v>300</v>
      </c>
      <c r="G282" s="1666"/>
      <c r="H282" s="1607"/>
      <c r="I282" s="1607"/>
      <c r="J282" s="1607"/>
      <c r="K282" s="1607"/>
      <c r="L282" s="1607"/>
      <c r="M282" s="1607"/>
      <c r="N282" s="1607"/>
      <c r="O282" s="1607"/>
      <c r="P282" s="1607"/>
      <c r="Q282" s="1607"/>
      <c r="R282" s="1607"/>
      <c r="S282" s="1607"/>
      <c r="T282" s="1607"/>
      <c r="U282" s="1607"/>
      <c r="V282" s="1607"/>
      <c r="W282" s="1607"/>
      <c r="X282" s="1607"/>
      <c r="Y282" s="1607"/>
      <c r="Z282" s="1608" t="s">
        <v>2758</v>
      </c>
      <c r="AA282" s="1607"/>
      <c r="AB282" s="1607"/>
      <c r="AC282" s="1607"/>
      <c r="AD282" s="1607"/>
      <c r="AE282" s="1607"/>
      <c r="AF282" s="1607"/>
      <c r="AG282" s="1607"/>
      <c r="AH282" s="1607"/>
      <c r="AI282" s="1607"/>
      <c r="AJ282" s="1607"/>
      <c r="AK282" s="1607"/>
      <c r="AL282" s="1607"/>
      <c r="AM282" s="1607"/>
      <c r="AN282" s="1607"/>
      <c r="AO282" s="1607"/>
      <c r="AP282" s="1607"/>
      <c r="AQ282" s="1607"/>
      <c r="AR282" s="1607"/>
      <c r="AS282" s="1607"/>
      <c r="AT282" s="1607"/>
      <c r="AU282" s="1607"/>
      <c r="AV282" s="1607"/>
      <c r="AW282" s="1607"/>
      <c r="AX282" s="1607"/>
      <c r="AY282" s="1607"/>
      <c r="AZ282" s="1607"/>
      <c r="BB282" s="1671" t="s">
        <v>2758</v>
      </c>
    </row>
    <row r="283" spans="2:55" s="1192" customFormat="1" ht="14.4" x14ac:dyDescent="0.3">
      <c r="B283" s="1942" t="s">
        <v>2759</v>
      </c>
      <c r="C283" s="1942"/>
      <c r="D283" s="1277" t="s">
        <v>19</v>
      </c>
      <c r="E283" s="1218">
        <v>1000</v>
      </c>
      <c r="G283" s="1666"/>
      <c r="H283" s="1607"/>
      <c r="I283" s="1607"/>
      <c r="J283" s="1607"/>
      <c r="K283" s="1607"/>
      <c r="L283" s="1607"/>
      <c r="M283" s="1607"/>
      <c r="N283" s="1607"/>
      <c r="O283" s="1607"/>
      <c r="P283" s="1607"/>
      <c r="Q283" s="1607"/>
      <c r="R283" s="1607"/>
      <c r="S283" s="1607"/>
      <c r="T283" s="1607"/>
      <c r="U283" s="1607"/>
      <c r="V283" s="1607"/>
      <c r="W283" s="1607"/>
      <c r="X283" s="1607"/>
      <c r="Y283" s="1607"/>
      <c r="Z283" s="1608" t="s">
        <v>2759</v>
      </c>
      <c r="AA283" s="1607"/>
      <c r="AB283" s="1607"/>
      <c r="AC283" s="1607"/>
      <c r="AD283" s="1607"/>
      <c r="AE283" s="1607"/>
      <c r="AF283" s="1607"/>
      <c r="AG283" s="1607"/>
      <c r="AH283" s="1607"/>
      <c r="AI283" s="1607"/>
      <c r="AJ283" s="1607"/>
      <c r="AK283" s="1607"/>
      <c r="AL283" s="1607"/>
      <c r="AM283" s="1607"/>
      <c r="AN283" s="1607"/>
      <c r="AO283" s="1607"/>
      <c r="AP283" s="1607"/>
      <c r="AQ283" s="1607"/>
      <c r="AR283" s="1607"/>
      <c r="AS283" s="1607"/>
      <c r="AT283" s="1607"/>
      <c r="AU283" s="1607"/>
      <c r="AV283" s="1607"/>
      <c r="AW283" s="1607"/>
      <c r="AX283" s="1607"/>
      <c r="AY283" s="1607"/>
      <c r="AZ283" s="1607"/>
      <c r="BB283" s="1671" t="s">
        <v>2759</v>
      </c>
    </row>
    <row r="284" spans="2:55" s="1192" customFormat="1" ht="14.4" x14ac:dyDescent="0.3">
      <c r="B284" s="1942" t="s">
        <v>2760</v>
      </c>
      <c r="C284" s="1942"/>
      <c r="D284" s="1277"/>
      <c r="E284" s="837"/>
      <c r="G284" s="1666"/>
      <c r="H284" s="1607"/>
      <c r="I284" s="1607"/>
      <c r="J284" s="1607"/>
      <c r="K284" s="1607"/>
      <c r="L284" s="1607"/>
      <c r="M284" s="1607"/>
      <c r="N284" s="1607"/>
      <c r="O284" s="1607"/>
      <c r="P284" s="1607"/>
      <c r="Q284" s="1607"/>
      <c r="R284" s="1607"/>
      <c r="S284" s="1607"/>
      <c r="T284" s="1607"/>
      <c r="U284" s="1607"/>
      <c r="V284" s="1607"/>
      <c r="W284" s="1607"/>
      <c r="X284" s="1607"/>
      <c r="Y284" s="1607"/>
      <c r="Z284" s="1608" t="s">
        <v>2760</v>
      </c>
      <c r="AA284" s="1607"/>
      <c r="AB284" s="1607"/>
      <c r="AC284" s="1607"/>
      <c r="AD284" s="1607"/>
      <c r="AE284" s="1607"/>
      <c r="AF284" s="1607"/>
      <c r="AG284" s="1607"/>
      <c r="AH284" s="1607"/>
      <c r="AI284" s="1607"/>
      <c r="AJ284" s="1607"/>
      <c r="AK284" s="1607"/>
      <c r="AL284" s="1607"/>
      <c r="AM284" s="1607"/>
      <c r="AN284" s="1607"/>
      <c r="AO284" s="1607"/>
      <c r="AP284" s="1607"/>
      <c r="AQ284" s="1607"/>
      <c r="AR284" s="1607"/>
      <c r="AS284" s="1607"/>
      <c r="AT284" s="1607"/>
      <c r="AU284" s="1607"/>
      <c r="AV284" s="1607"/>
      <c r="AW284" s="1607"/>
      <c r="AX284" s="1607"/>
      <c r="AY284" s="1607"/>
      <c r="AZ284" s="1607"/>
      <c r="BB284" s="1671" t="s">
        <v>2760</v>
      </c>
    </row>
    <row r="285" spans="2:55" s="1192" customFormat="1" ht="14.4" x14ac:dyDescent="0.3">
      <c r="B285" s="1942" t="s">
        <v>2761</v>
      </c>
      <c r="C285" s="1942"/>
      <c r="D285" s="1277" t="s">
        <v>19</v>
      </c>
      <c r="E285" s="1218">
        <v>45.39</v>
      </c>
      <c r="G285" s="1666"/>
      <c r="H285" s="1607"/>
      <c r="I285" s="1607"/>
      <c r="J285" s="1607"/>
      <c r="K285" s="1607"/>
      <c r="L285" s="1607"/>
      <c r="M285" s="1607"/>
      <c r="N285" s="1607"/>
      <c r="O285" s="1607"/>
      <c r="P285" s="1607"/>
      <c r="Q285" s="1607"/>
      <c r="R285" s="1607"/>
      <c r="S285" s="1607"/>
      <c r="T285" s="1607"/>
      <c r="U285" s="1607"/>
      <c r="V285" s="1607"/>
      <c r="W285" s="1607"/>
      <c r="X285" s="1607"/>
      <c r="Y285" s="1607"/>
      <c r="Z285" s="1608" t="s">
        <v>2761</v>
      </c>
      <c r="AA285" s="1607"/>
      <c r="AB285" s="1607"/>
      <c r="AC285" s="1607"/>
      <c r="AD285" s="1607"/>
      <c r="AE285" s="1607"/>
      <c r="AF285" s="1607"/>
      <c r="AG285" s="1607"/>
      <c r="AH285" s="1607"/>
      <c r="AI285" s="1607"/>
      <c r="AJ285" s="1607"/>
      <c r="AK285" s="1607"/>
      <c r="AL285" s="1607"/>
      <c r="AM285" s="1607"/>
      <c r="AN285" s="1607"/>
      <c r="AO285" s="1607"/>
      <c r="AP285" s="1607"/>
      <c r="AQ285" s="1607"/>
      <c r="AR285" s="1607"/>
      <c r="AS285" s="1607"/>
      <c r="AT285" s="1607"/>
      <c r="AU285" s="1607"/>
      <c r="AV285" s="1607"/>
      <c r="AW285" s="1607"/>
      <c r="AX285" s="1607"/>
      <c r="AY285" s="1607"/>
      <c r="AZ285" s="1607"/>
      <c r="BB285" s="1671" t="s">
        <v>2761</v>
      </c>
    </row>
    <row r="286" spans="2:55" s="1192" customFormat="1" ht="17.399999999999999" x14ac:dyDescent="0.3">
      <c r="B286" s="1746" t="s">
        <v>73</v>
      </c>
      <c r="C286" s="1746"/>
      <c r="D286" s="1746"/>
      <c r="E286" s="1746"/>
      <c r="G286" s="1666"/>
      <c r="H286" s="1607" t="s">
        <v>4419</v>
      </c>
      <c r="I286" s="1607"/>
      <c r="J286" s="1607"/>
      <c r="K286" s="1607"/>
      <c r="L286" s="1607"/>
      <c r="M286" s="1607"/>
      <c r="N286" s="1607"/>
      <c r="O286" s="1607"/>
      <c r="P286" s="1607"/>
      <c r="Q286" s="1607"/>
      <c r="R286" s="1607"/>
      <c r="S286" s="1607"/>
      <c r="T286" s="1607"/>
      <c r="U286" s="1607"/>
      <c r="V286" s="1607"/>
      <c r="W286" s="1607"/>
      <c r="X286" s="1607"/>
      <c r="Y286" s="1607"/>
      <c r="Z286" s="1607"/>
      <c r="AA286" s="1608" t="s">
        <v>73</v>
      </c>
      <c r="AB286" s="1607"/>
      <c r="AC286" s="1607"/>
      <c r="AD286" s="1607"/>
      <c r="AE286" s="1607"/>
      <c r="AF286" s="1607"/>
      <c r="AG286" s="1607"/>
      <c r="AH286" s="1607"/>
      <c r="AI286" s="1607"/>
      <c r="AJ286" s="1607"/>
      <c r="AK286" s="1607"/>
      <c r="AL286" s="1607"/>
      <c r="AM286" s="1607"/>
      <c r="AN286" s="1607"/>
      <c r="AO286" s="1607"/>
      <c r="AP286" s="1607"/>
      <c r="AQ286" s="1607"/>
      <c r="AR286" s="1607"/>
      <c r="AS286" s="1607"/>
      <c r="AT286" s="1607"/>
      <c r="AU286" s="1607"/>
      <c r="AV286" s="1607"/>
      <c r="AW286" s="1607"/>
      <c r="AX286" s="1607"/>
      <c r="AY286" s="1607"/>
      <c r="AZ286" s="1607"/>
      <c r="BC286" s="1465" t="s">
        <v>73</v>
      </c>
    </row>
    <row r="287" spans="2:55" s="1192" customFormat="1" ht="11.25" customHeight="1" x14ac:dyDescent="0.3">
      <c r="B287" s="1656"/>
      <c r="C287" s="1658"/>
      <c r="D287" s="1658"/>
      <c r="E287" s="1658"/>
      <c r="G287" s="1666"/>
      <c r="H287" s="1607"/>
      <c r="I287" s="1607"/>
      <c r="J287" s="1607"/>
      <c r="K287" s="1607"/>
      <c r="L287" s="1607"/>
      <c r="M287" s="1607"/>
      <c r="N287" s="1607"/>
      <c r="O287" s="1607"/>
      <c r="P287" s="1607"/>
      <c r="Q287" s="1607"/>
      <c r="R287" s="1607"/>
      <c r="S287" s="1607"/>
      <c r="T287" s="1607"/>
      <c r="U287" s="1607"/>
      <c r="V287" s="1607"/>
      <c r="W287" s="1607"/>
      <c r="X287" s="1607"/>
      <c r="Y287" s="1607"/>
      <c r="Z287" s="1607"/>
      <c r="AA287" s="1607"/>
      <c r="AB287" s="1607"/>
      <c r="AC287" s="1607"/>
      <c r="AD287" s="1607"/>
      <c r="AE287" s="1607"/>
      <c r="AF287" s="1607"/>
      <c r="AG287" s="1607"/>
      <c r="AH287" s="1607"/>
      <c r="AI287" s="1607"/>
      <c r="AJ287" s="1607"/>
      <c r="AK287" s="1607"/>
      <c r="AL287" s="1607"/>
      <c r="AM287" s="1607"/>
      <c r="AN287" s="1607"/>
      <c r="AO287" s="1607"/>
      <c r="AP287" s="1607"/>
      <c r="AQ287" s="1607"/>
      <c r="AR287" s="1607"/>
      <c r="AS287" s="1607"/>
      <c r="AT287" s="1607"/>
      <c r="AU287" s="1607"/>
      <c r="AV287" s="1607"/>
      <c r="AW287" s="1607"/>
      <c r="AX287" s="1607"/>
      <c r="AY287" s="1607"/>
      <c r="AZ287" s="1607"/>
    </row>
    <row r="288" spans="2:55" s="1192" customFormat="1" ht="34.200000000000003" x14ac:dyDescent="0.3">
      <c r="B288" s="1743" t="s">
        <v>2391</v>
      </c>
      <c r="C288" s="1743"/>
      <c r="D288" s="1743"/>
      <c r="E288" s="1743"/>
      <c r="G288" s="1666"/>
      <c r="H288" s="1607"/>
      <c r="I288" s="1607"/>
      <c r="J288" s="1607"/>
      <c r="K288" s="1607"/>
      <c r="L288" s="1607"/>
      <c r="M288" s="1607"/>
      <c r="N288" s="1607"/>
      <c r="O288" s="1607"/>
      <c r="P288" s="1607"/>
      <c r="Q288" s="1607"/>
      <c r="R288" s="1607"/>
      <c r="S288" s="1607"/>
      <c r="T288" s="1607"/>
      <c r="U288" s="1607"/>
      <c r="V288" s="1607"/>
      <c r="W288" s="1607"/>
      <c r="X288" s="1607"/>
      <c r="Y288" s="1607"/>
      <c r="Z288" s="1607"/>
      <c r="AA288" s="1608" t="s">
        <v>2391</v>
      </c>
      <c r="AB288" s="1607"/>
      <c r="AC288" s="1607"/>
      <c r="AD288" s="1607"/>
      <c r="AE288" s="1607"/>
      <c r="AF288" s="1607"/>
      <c r="AG288" s="1607"/>
      <c r="AH288" s="1607"/>
      <c r="AI288" s="1607"/>
      <c r="AJ288" s="1607"/>
      <c r="AK288" s="1607"/>
      <c r="AL288" s="1607"/>
      <c r="AM288" s="1607"/>
      <c r="AN288" s="1607"/>
      <c r="AO288" s="1607"/>
      <c r="AP288" s="1607"/>
      <c r="AQ288" s="1607"/>
      <c r="AR288" s="1607"/>
      <c r="AS288" s="1607"/>
      <c r="AT288" s="1607"/>
      <c r="AU288" s="1607"/>
      <c r="AV288" s="1607"/>
      <c r="AW288" s="1607"/>
      <c r="AX288" s="1607"/>
      <c r="AY288" s="1607"/>
      <c r="AZ288" s="1607"/>
      <c r="BC288" s="1670" t="s">
        <v>2391</v>
      </c>
    </row>
    <row r="289" spans="2:55" s="1192" customFormat="1" ht="11.25" customHeight="1" x14ac:dyDescent="0.3">
      <c r="B289" s="1654"/>
      <c r="C289" s="1654"/>
      <c r="D289" s="1654"/>
      <c r="E289" s="1654"/>
      <c r="G289" s="1666"/>
      <c r="H289" s="1607"/>
      <c r="I289" s="1607"/>
      <c r="J289" s="1607"/>
      <c r="K289" s="1607"/>
      <c r="L289" s="1607"/>
      <c r="M289" s="1607"/>
      <c r="N289" s="1607"/>
      <c r="O289" s="1607"/>
      <c r="P289" s="1607"/>
      <c r="Q289" s="1607"/>
      <c r="R289" s="1607"/>
      <c r="S289" s="1607"/>
      <c r="T289" s="1607"/>
      <c r="U289" s="1607"/>
      <c r="V289" s="1607"/>
      <c r="W289" s="1607"/>
      <c r="X289" s="1607"/>
      <c r="Y289" s="1607"/>
      <c r="Z289" s="1607"/>
      <c r="AA289" s="1607"/>
      <c r="AB289" s="1607"/>
      <c r="AC289" s="1607"/>
      <c r="AD289" s="1607"/>
      <c r="AE289" s="1607"/>
      <c r="AF289" s="1607"/>
      <c r="AG289" s="1607"/>
      <c r="AH289" s="1607"/>
      <c r="AI289" s="1607"/>
      <c r="AJ289" s="1607"/>
      <c r="AK289" s="1607"/>
      <c r="AL289" s="1607"/>
      <c r="AM289" s="1607"/>
      <c r="AN289" s="1607"/>
      <c r="AO289" s="1607"/>
      <c r="AP289" s="1607"/>
      <c r="AQ289" s="1607"/>
      <c r="AR289" s="1607"/>
      <c r="AS289" s="1607"/>
      <c r="AT289" s="1607"/>
      <c r="AU289" s="1607"/>
      <c r="AV289" s="1607"/>
      <c r="AW289" s="1607"/>
      <c r="AX289" s="1607"/>
      <c r="AY289" s="1607"/>
      <c r="AZ289" s="1607"/>
    </row>
    <row r="290" spans="2:55" s="1192" customFormat="1" ht="45.6" x14ac:dyDescent="0.3">
      <c r="B290" s="1743" t="s">
        <v>2392</v>
      </c>
      <c r="C290" s="1743"/>
      <c r="D290" s="1743"/>
      <c r="E290" s="1743"/>
      <c r="G290" s="1666"/>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8" t="s">
        <v>2392</v>
      </c>
      <c r="AB290" s="1607"/>
      <c r="AC290" s="1607"/>
      <c r="AD290" s="1607"/>
      <c r="AE290" s="1607"/>
      <c r="AF290" s="1607"/>
      <c r="AG290" s="1607"/>
      <c r="AH290" s="1607"/>
      <c r="AI290" s="1607"/>
      <c r="AJ290" s="1607"/>
      <c r="AK290" s="1607"/>
      <c r="AL290" s="1607"/>
      <c r="AM290" s="1607"/>
      <c r="AN290" s="1607"/>
      <c r="AO290" s="1607"/>
      <c r="AP290" s="1607"/>
      <c r="AQ290" s="1607"/>
      <c r="AR290" s="1607"/>
      <c r="AS290" s="1607"/>
      <c r="AT290" s="1607"/>
      <c r="AU290" s="1607"/>
      <c r="AV290" s="1607"/>
      <c r="AW290" s="1607"/>
      <c r="AX290" s="1607"/>
      <c r="AY290" s="1607"/>
      <c r="AZ290" s="1607"/>
      <c r="BC290" s="1670" t="s">
        <v>2392</v>
      </c>
    </row>
    <row r="291" spans="2:55" s="1192" customFormat="1" ht="11.25" customHeight="1" x14ac:dyDescent="0.3">
      <c r="B291" s="1654"/>
      <c r="C291" s="1654"/>
      <c r="D291" s="1654"/>
      <c r="E291" s="1654"/>
      <c r="G291" s="1666"/>
      <c r="H291" s="1607"/>
      <c r="I291" s="1607"/>
      <c r="J291" s="1607"/>
      <c r="K291" s="1607"/>
      <c r="L291" s="1607"/>
      <c r="M291" s="1607"/>
      <c r="N291" s="1607"/>
      <c r="O291" s="1607"/>
      <c r="P291" s="1607"/>
      <c r="Q291" s="1607"/>
      <c r="R291" s="1607"/>
      <c r="S291" s="1607"/>
      <c r="T291" s="1607"/>
      <c r="U291" s="1607"/>
      <c r="V291" s="1607"/>
      <c r="W291" s="1607"/>
      <c r="X291" s="1607"/>
      <c r="Y291" s="1607"/>
      <c r="Z291" s="1607"/>
      <c r="AA291" s="1607"/>
      <c r="AB291" s="1607"/>
      <c r="AC291" s="1607"/>
      <c r="AD291" s="1607"/>
      <c r="AE291" s="1607"/>
      <c r="AF291" s="1607"/>
      <c r="AG291" s="1607"/>
      <c r="AH291" s="1607"/>
      <c r="AI291" s="1607"/>
      <c r="AJ291" s="1607"/>
      <c r="AK291" s="1607"/>
      <c r="AL291" s="1607"/>
      <c r="AM291" s="1607"/>
      <c r="AN291" s="1607"/>
      <c r="AO291" s="1607"/>
      <c r="AP291" s="1607"/>
      <c r="AQ291" s="1607"/>
      <c r="AR291" s="1607"/>
      <c r="AS291" s="1607"/>
      <c r="AT291" s="1607"/>
      <c r="AU291" s="1607"/>
      <c r="AV291" s="1607"/>
      <c r="AW291" s="1607"/>
      <c r="AX291" s="1607"/>
      <c r="AY291" s="1607"/>
      <c r="AZ291" s="1607"/>
    </row>
    <row r="292" spans="2:55" s="1192" customFormat="1" ht="22.8" x14ac:dyDescent="0.3">
      <c r="B292" s="1743" t="s">
        <v>2445</v>
      </c>
      <c r="C292" s="1743"/>
      <c r="D292" s="1743"/>
      <c r="E292" s="1743"/>
      <c r="G292" s="1666"/>
      <c r="H292" s="1607"/>
      <c r="I292" s="1607"/>
      <c r="J292" s="1607"/>
      <c r="K292" s="1607"/>
      <c r="L292" s="1607"/>
      <c r="M292" s="1607"/>
      <c r="N292" s="1607"/>
      <c r="O292" s="1607"/>
      <c r="P292" s="1607"/>
      <c r="Q292" s="1607"/>
      <c r="R292" s="1607"/>
      <c r="S292" s="1607"/>
      <c r="T292" s="1607"/>
      <c r="U292" s="1607"/>
      <c r="V292" s="1607"/>
      <c r="W292" s="1607"/>
      <c r="X292" s="1607"/>
      <c r="Y292" s="1607"/>
      <c r="Z292" s="1607"/>
      <c r="AA292" s="1608" t="s">
        <v>2445</v>
      </c>
      <c r="AB292" s="1607"/>
      <c r="AC292" s="1607"/>
      <c r="AD292" s="1607"/>
      <c r="AE292" s="1607"/>
      <c r="AF292" s="1607"/>
      <c r="AG292" s="1607"/>
      <c r="AH292" s="1607"/>
      <c r="AI292" s="1607"/>
      <c r="AJ292" s="1607"/>
      <c r="AK292" s="1607"/>
      <c r="AL292" s="1607"/>
      <c r="AM292" s="1607"/>
      <c r="AN292" s="1607"/>
      <c r="AO292" s="1607"/>
      <c r="AP292" s="1607"/>
      <c r="AQ292" s="1607"/>
      <c r="AR292" s="1607"/>
      <c r="AS292" s="1607"/>
      <c r="AT292" s="1607"/>
      <c r="AU292" s="1607"/>
      <c r="AV292" s="1607"/>
      <c r="AW292" s="1607"/>
      <c r="AX292" s="1607"/>
      <c r="AY292" s="1607"/>
      <c r="AZ292" s="1607"/>
      <c r="BC292" s="1670" t="s">
        <v>2445</v>
      </c>
    </row>
    <row r="293" spans="2:55" s="1192" customFormat="1" ht="11.25" customHeight="1" x14ac:dyDescent="0.3">
      <c r="B293" s="1654"/>
      <c r="C293" s="1654"/>
      <c r="D293" s="1654"/>
      <c r="E293" s="1654"/>
      <c r="G293" s="1666"/>
      <c r="H293" s="1607"/>
      <c r="I293" s="1607"/>
      <c r="J293" s="1607"/>
      <c r="K293" s="1607"/>
      <c r="L293" s="1607"/>
      <c r="M293" s="1607"/>
      <c r="N293" s="1607"/>
      <c r="O293" s="1607"/>
      <c r="P293" s="1607"/>
      <c r="Q293" s="1607"/>
      <c r="R293" s="1607"/>
      <c r="S293" s="1607"/>
      <c r="T293" s="1607"/>
      <c r="U293" s="1607"/>
      <c r="V293" s="1607"/>
      <c r="W293" s="1607"/>
      <c r="X293" s="1607"/>
      <c r="Y293" s="1607"/>
      <c r="Z293" s="1607"/>
      <c r="AA293" s="1607"/>
      <c r="AB293" s="1607"/>
      <c r="AC293" s="1607"/>
      <c r="AD293" s="1607"/>
      <c r="AE293" s="1607"/>
      <c r="AF293" s="1607"/>
      <c r="AG293" s="1607"/>
      <c r="AH293" s="1607"/>
      <c r="AI293" s="1607"/>
      <c r="AJ293" s="1607"/>
      <c r="AK293" s="1607"/>
      <c r="AL293" s="1607"/>
      <c r="AM293" s="1607"/>
      <c r="AN293" s="1607"/>
      <c r="AO293" s="1607"/>
      <c r="AP293" s="1607"/>
      <c r="AQ293" s="1607"/>
      <c r="AR293" s="1607"/>
      <c r="AS293" s="1607"/>
      <c r="AT293" s="1607"/>
      <c r="AU293" s="1607"/>
      <c r="AV293" s="1607"/>
      <c r="AW293" s="1607"/>
      <c r="AX293" s="1607"/>
      <c r="AY293" s="1607"/>
      <c r="AZ293" s="1607"/>
    </row>
    <row r="294" spans="2:55" s="1192" customFormat="1" ht="34.200000000000003" x14ac:dyDescent="0.3">
      <c r="B294" s="1743" t="s">
        <v>4500</v>
      </c>
      <c r="C294" s="1743"/>
      <c r="D294" s="1743"/>
      <c r="E294" s="1743"/>
      <c r="G294" s="1666"/>
      <c r="H294" s="1607"/>
      <c r="I294" s="1607"/>
      <c r="J294" s="1607"/>
      <c r="K294" s="1607"/>
      <c r="L294" s="1607"/>
      <c r="M294" s="1607"/>
      <c r="N294" s="1607"/>
      <c r="O294" s="1607"/>
      <c r="P294" s="1607"/>
      <c r="Q294" s="1607"/>
      <c r="R294" s="1607"/>
      <c r="S294" s="1607"/>
      <c r="T294" s="1607"/>
      <c r="U294" s="1607"/>
      <c r="V294" s="1607"/>
      <c r="W294" s="1607"/>
      <c r="X294" s="1607"/>
      <c r="Y294" s="1607"/>
      <c r="Z294" s="1607"/>
      <c r="AA294" s="1608" t="s">
        <v>4500</v>
      </c>
      <c r="AB294" s="1607"/>
      <c r="AC294" s="1607"/>
      <c r="AD294" s="1607"/>
      <c r="AE294" s="1607"/>
      <c r="AF294" s="1607"/>
      <c r="AG294" s="1607"/>
      <c r="AH294" s="1607"/>
      <c r="AI294" s="1607"/>
      <c r="AJ294" s="1607"/>
      <c r="AK294" s="1607"/>
      <c r="AL294" s="1607"/>
      <c r="AM294" s="1607"/>
      <c r="AN294" s="1607"/>
      <c r="AO294" s="1607"/>
      <c r="AP294" s="1607"/>
      <c r="AQ294" s="1607"/>
      <c r="AR294" s="1607"/>
      <c r="AS294" s="1607"/>
      <c r="AT294" s="1607"/>
      <c r="AU294" s="1607"/>
      <c r="AV294" s="1607"/>
      <c r="AW294" s="1607"/>
      <c r="AX294" s="1607"/>
      <c r="AY294" s="1607"/>
      <c r="AZ294" s="1607"/>
      <c r="BC294" s="1670" t="s">
        <v>4500</v>
      </c>
    </row>
    <row r="295" spans="2:55" s="1192" customFormat="1" ht="11.25" customHeight="1" x14ac:dyDescent="0.3">
      <c r="B295" s="1654"/>
      <c r="C295" s="1654"/>
      <c r="D295" s="1654"/>
      <c r="E295" s="1654"/>
      <c r="G295" s="1666"/>
      <c r="H295" s="1607"/>
      <c r="I295" s="1607"/>
      <c r="J295" s="1607"/>
      <c r="K295" s="1607"/>
      <c r="L295" s="1607"/>
      <c r="M295" s="1607"/>
      <c r="N295" s="1607"/>
      <c r="O295" s="1607"/>
      <c r="P295" s="1607"/>
      <c r="Q295" s="1607"/>
      <c r="R295" s="1607"/>
      <c r="S295" s="1607"/>
      <c r="T295" s="1607"/>
      <c r="U295" s="1607"/>
      <c r="V295" s="1607"/>
      <c r="W295" s="1607"/>
      <c r="X295" s="1607"/>
      <c r="Y295" s="1607"/>
      <c r="Z295" s="1607"/>
      <c r="AA295" s="1607"/>
      <c r="AB295" s="1607"/>
      <c r="AC295" s="1607"/>
      <c r="AD295" s="1607"/>
      <c r="AE295" s="1607"/>
      <c r="AF295" s="1607"/>
      <c r="AG295" s="1607"/>
      <c r="AH295" s="1607"/>
      <c r="AI295" s="1607"/>
      <c r="AJ295" s="1607"/>
      <c r="AK295" s="1607"/>
      <c r="AL295" s="1607"/>
      <c r="AM295" s="1607"/>
      <c r="AN295" s="1607"/>
      <c r="AO295" s="1607"/>
      <c r="AP295" s="1607"/>
      <c r="AQ295" s="1607"/>
      <c r="AR295" s="1607"/>
      <c r="AS295" s="1607"/>
      <c r="AT295" s="1607"/>
      <c r="AU295" s="1607"/>
      <c r="AV295" s="1607"/>
      <c r="AW295" s="1607"/>
      <c r="AX295" s="1607"/>
      <c r="AY295" s="1607"/>
      <c r="AZ295" s="1607"/>
    </row>
    <row r="296" spans="2:55" s="1192" customFormat="1" ht="22.8" x14ac:dyDescent="0.3">
      <c r="B296" s="1743" t="s">
        <v>2595</v>
      </c>
      <c r="C296" s="1743"/>
      <c r="D296" s="1743"/>
      <c r="E296" s="1743"/>
      <c r="G296" s="1666"/>
      <c r="H296" s="1607"/>
      <c r="I296" s="1607"/>
      <c r="J296" s="1607"/>
      <c r="K296" s="1607"/>
      <c r="L296" s="1607"/>
      <c r="M296" s="1607"/>
      <c r="N296" s="1607"/>
      <c r="O296" s="1607"/>
      <c r="P296" s="1607"/>
      <c r="Q296" s="1607"/>
      <c r="R296" s="1607"/>
      <c r="S296" s="1607"/>
      <c r="T296" s="1607"/>
      <c r="U296" s="1607"/>
      <c r="V296" s="1607"/>
      <c r="W296" s="1607"/>
      <c r="X296" s="1607"/>
      <c r="Y296" s="1607"/>
      <c r="Z296" s="1607"/>
      <c r="AA296" s="1608" t="s">
        <v>2595</v>
      </c>
      <c r="AB296" s="1607"/>
      <c r="AC296" s="1607"/>
      <c r="AD296" s="1607"/>
      <c r="AE296" s="1607"/>
      <c r="AF296" s="1607"/>
      <c r="AG296" s="1607"/>
      <c r="AH296" s="1607"/>
      <c r="AI296" s="1607"/>
      <c r="AJ296" s="1607"/>
      <c r="AK296" s="1607"/>
      <c r="AL296" s="1607"/>
      <c r="AM296" s="1607"/>
      <c r="AN296" s="1607"/>
      <c r="AO296" s="1607"/>
      <c r="AP296" s="1607"/>
      <c r="AQ296" s="1607"/>
      <c r="AR296" s="1607"/>
      <c r="AS296" s="1607"/>
      <c r="AT296" s="1607"/>
      <c r="AU296" s="1607"/>
      <c r="AV296" s="1607"/>
      <c r="AW296" s="1607"/>
      <c r="AX296" s="1607"/>
      <c r="AY296" s="1607"/>
      <c r="AZ296" s="1607"/>
      <c r="BC296" s="1670" t="s">
        <v>2595</v>
      </c>
    </row>
    <row r="297" spans="2:55" s="1192" customFormat="1" ht="14.4" x14ac:dyDescent="0.3">
      <c r="B297" s="1741" t="s">
        <v>2485</v>
      </c>
      <c r="C297" s="1741"/>
      <c r="D297" s="360" t="s">
        <v>19</v>
      </c>
      <c r="E297" s="1218">
        <v>104.04</v>
      </c>
      <c r="G297" s="1666"/>
      <c r="H297" s="1607"/>
      <c r="I297" s="1607"/>
      <c r="J297" s="1607"/>
      <c r="K297" s="1607"/>
      <c r="L297" s="1607"/>
      <c r="M297" s="1607"/>
      <c r="N297" s="1607"/>
      <c r="O297" s="1607"/>
      <c r="P297" s="1607"/>
      <c r="Q297" s="1607"/>
      <c r="R297" s="1607"/>
      <c r="S297" s="1607"/>
      <c r="T297" s="1607"/>
      <c r="U297" s="1607"/>
      <c r="V297" s="1607"/>
      <c r="W297" s="1607"/>
      <c r="X297" s="1607"/>
      <c r="Y297" s="1607"/>
      <c r="Z297" s="1608" t="s">
        <v>2485</v>
      </c>
      <c r="AA297" s="1607"/>
      <c r="AB297" s="1607"/>
      <c r="AC297" s="1607"/>
      <c r="AD297" s="1607"/>
      <c r="AE297" s="1607"/>
      <c r="AF297" s="1607"/>
      <c r="AG297" s="1607"/>
      <c r="AH297" s="1607"/>
      <c r="AI297" s="1607"/>
      <c r="AJ297" s="1607"/>
      <c r="AK297" s="1607"/>
      <c r="AL297" s="1607"/>
      <c r="AM297" s="1607"/>
      <c r="AN297" s="1607"/>
      <c r="AO297" s="1607"/>
      <c r="AP297" s="1607"/>
      <c r="AQ297" s="1607"/>
      <c r="AR297" s="1607"/>
      <c r="AS297" s="1607"/>
      <c r="AT297" s="1607"/>
      <c r="AU297" s="1607"/>
      <c r="AV297" s="1607"/>
      <c r="AW297" s="1607"/>
      <c r="AX297" s="1607"/>
      <c r="AY297" s="1607"/>
      <c r="AZ297" s="1607"/>
      <c r="BB297" s="1671" t="s">
        <v>2485</v>
      </c>
    </row>
    <row r="298" spans="2:55" s="1192" customFormat="1" ht="14.4" x14ac:dyDescent="0.3">
      <c r="B298" s="1741" t="s">
        <v>3919</v>
      </c>
      <c r="C298" s="1741"/>
      <c r="D298" s="360" t="s">
        <v>19</v>
      </c>
      <c r="E298" s="1218">
        <v>41.62</v>
      </c>
      <c r="G298" s="1666"/>
      <c r="H298" s="1607"/>
      <c r="I298" s="1607"/>
      <c r="J298" s="1607"/>
      <c r="K298" s="1607"/>
      <c r="L298" s="1607"/>
      <c r="M298" s="1607"/>
      <c r="N298" s="1607"/>
      <c r="O298" s="1607"/>
      <c r="P298" s="1607"/>
      <c r="Q298" s="1607"/>
      <c r="R298" s="1607"/>
      <c r="S298" s="1607"/>
      <c r="T298" s="1607"/>
      <c r="U298" s="1607"/>
      <c r="V298" s="1607"/>
      <c r="W298" s="1607"/>
      <c r="X298" s="1607"/>
      <c r="Y298" s="1607"/>
      <c r="Z298" s="1608" t="s">
        <v>3919</v>
      </c>
      <c r="AA298" s="1607"/>
      <c r="AB298" s="1607"/>
      <c r="AC298" s="1607"/>
      <c r="AD298" s="1607"/>
      <c r="AE298" s="1607"/>
      <c r="AF298" s="1607"/>
      <c r="AG298" s="1607"/>
      <c r="AH298" s="1607"/>
      <c r="AI298" s="1607"/>
      <c r="AJ298" s="1607"/>
      <c r="AK298" s="1607"/>
      <c r="AL298" s="1607"/>
      <c r="AM298" s="1607"/>
      <c r="AN298" s="1607"/>
      <c r="AO298" s="1607"/>
      <c r="AP298" s="1607"/>
      <c r="AQ298" s="1607"/>
      <c r="AR298" s="1607"/>
      <c r="AS298" s="1607"/>
      <c r="AT298" s="1607"/>
      <c r="AU298" s="1607"/>
      <c r="AV298" s="1607"/>
      <c r="AW298" s="1607"/>
      <c r="AX298" s="1607"/>
      <c r="AY298" s="1607"/>
      <c r="AZ298" s="1607"/>
      <c r="BB298" s="1671" t="s">
        <v>3919</v>
      </c>
    </row>
    <row r="299" spans="2:55" s="1192" customFormat="1" ht="14.4" x14ac:dyDescent="0.3">
      <c r="B299" s="1741" t="s">
        <v>3920</v>
      </c>
      <c r="C299" s="1741"/>
      <c r="D299" s="360" t="s">
        <v>2488</v>
      </c>
      <c r="E299" s="1218">
        <v>1.04</v>
      </c>
      <c r="G299" s="1666"/>
      <c r="H299" s="1607"/>
      <c r="I299" s="1607"/>
      <c r="J299" s="1607"/>
      <c r="K299" s="1607"/>
      <c r="L299" s="1607"/>
      <c r="M299" s="1607"/>
      <c r="N299" s="1607"/>
      <c r="O299" s="1607"/>
      <c r="P299" s="1607"/>
      <c r="Q299" s="1607"/>
      <c r="R299" s="1607"/>
      <c r="S299" s="1607"/>
      <c r="T299" s="1607"/>
      <c r="U299" s="1607"/>
      <c r="V299" s="1607"/>
      <c r="W299" s="1607"/>
      <c r="X299" s="1607"/>
      <c r="Y299" s="1607"/>
      <c r="Z299" s="1608" t="s">
        <v>3920</v>
      </c>
      <c r="AA299" s="1607"/>
      <c r="AB299" s="1607"/>
      <c r="AC299" s="1607"/>
      <c r="AD299" s="1607"/>
      <c r="AE299" s="1607"/>
      <c r="AF299" s="1607"/>
      <c r="AG299" s="1607"/>
      <c r="AH299" s="1607"/>
      <c r="AI299" s="1607"/>
      <c r="AJ299" s="1607"/>
      <c r="AK299" s="1607"/>
      <c r="AL299" s="1607"/>
      <c r="AM299" s="1607"/>
      <c r="AN299" s="1607"/>
      <c r="AO299" s="1607"/>
      <c r="AP299" s="1607"/>
      <c r="AQ299" s="1607"/>
      <c r="AR299" s="1607"/>
      <c r="AS299" s="1607"/>
      <c r="AT299" s="1607"/>
      <c r="AU299" s="1607"/>
      <c r="AV299" s="1607"/>
      <c r="AW299" s="1607"/>
      <c r="AX299" s="1607"/>
      <c r="AY299" s="1607"/>
      <c r="AZ299" s="1607"/>
      <c r="BB299" s="1671" t="s">
        <v>3920</v>
      </c>
    </row>
    <row r="300" spans="2:55" s="1192" customFormat="1" ht="14.4" x14ac:dyDescent="0.3">
      <c r="B300" s="1741" t="s">
        <v>2489</v>
      </c>
      <c r="C300" s="1741"/>
      <c r="D300" s="360" t="s">
        <v>2488</v>
      </c>
      <c r="E300" s="1218">
        <v>0.62</v>
      </c>
      <c r="G300" s="1666"/>
      <c r="H300" s="1607"/>
      <c r="I300" s="1607"/>
      <c r="J300" s="1607"/>
      <c r="K300" s="1607"/>
      <c r="L300" s="1607"/>
      <c r="M300" s="1607"/>
      <c r="N300" s="1607"/>
      <c r="O300" s="1607"/>
      <c r="P300" s="1607"/>
      <c r="Q300" s="1607"/>
      <c r="R300" s="1607"/>
      <c r="S300" s="1607"/>
      <c r="T300" s="1607"/>
      <c r="U300" s="1607"/>
      <c r="V300" s="1607"/>
      <c r="W300" s="1607"/>
      <c r="X300" s="1607"/>
      <c r="Y300" s="1607"/>
      <c r="Z300" s="1608" t="s">
        <v>2489</v>
      </c>
      <c r="AA300" s="1607"/>
      <c r="AB300" s="1607"/>
      <c r="AC300" s="1607"/>
      <c r="AD300" s="1607"/>
      <c r="AE300" s="1607"/>
      <c r="AF300" s="1607"/>
      <c r="AG300" s="1607"/>
      <c r="AH300" s="1607"/>
      <c r="AI300" s="1607"/>
      <c r="AJ300" s="1607"/>
      <c r="AK300" s="1607"/>
      <c r="AL300" s="1607"/>
      <c r="AM300" s="1607"/>
      <c r="AN300" s="1607"/>
      <c r="AO300" s="1607"/>
      <c r="AP300" s="1607"/>
      <c r="AQ300" s="1607"/>
      <c r="AR300" s="1607"/>
      <c r="AS300" s="1607"/>
      <c r="AT300" s="1607"/>
      <c r="AU300" s="1607"/>
      <c r="AV300" s="1607"/>
      <c r="AW300" s="1607"/>
      <c r="AX300" s="1607"/>
      <c r="AY300" s="1607"/>
      <c r="AZ300" s="1607"/>
      <c r="BB300" s="1671" t="s">
        <v>2489</v>
      </c>
    </row>
    <row r="301" spans="2:55" s="1192" customFormat="1" ht="14.4" x14ac:dyDescent="0.3">
      <c r="B301" s="1741" t="s">
        <v>2490</v>
      </c>
      <c r="C301" s="1741"/>
      <c r="D301" s="360" t="s">
        <v>2488</v>
      </c>
      <c r="E301" s="1218">
        <v>-0.62</v>
      </c>
      <c r="G301" s="1666"/>
      <c r="H301" s="1607"/>
      <c r="I301" s="1607"/>
      <c r="J301" s="1607"/>
      <c r="K301" s="1607"/>
      <c r="L301" s="1607"/>
      <c r="M301" s="1607"/>
      <c r="N301" s="1607"/>
      <c r="O301" s="1607"/>
      <c r="P301" s="1607"/>
      <c r="Q301" s="1607"/>
      <c r="R301" s="1607"/>
      <c r="S301" s="1607"/>
      <c r="T301" s="1607"/>
      <c r="U301" s="1607"/>
      <c r="V301" s="1607"/>
      <c r="W301" s="1607"/>
      <c r="X301" s="1607"/>
      <c r="Y301" s="1607"/>
      <c r="Z301" s="1608" t="s">
        <v>2490</v>
      </c>
      <c r="AA301" s="1607"/>
      <c r="AB301" s="1607"/>
      <c r="AC301" s="1607"/>
      <c r="AD301" s="1607"/>
      <c r="AE301" s="1607"/>
      <c r="AF301" s="1607"/>
      <c r="AG301" s="1607"/>
      <c r="AH301" s="1607"/>
      <c r="AI301" s="1607"/>
      <c r="AJ301" s="1607"/>
      <c r="AK301" s="1607"/>
      <c r="AL301" s="1607"/>
      <c r="AM301" s="1607"/>
      <c r="AN301" s="1607"/>
      <c r="AO301" s="1607"/>
      <c r="AP301" s="1607"/>
      <c r="AQ301" s="1607"/>
      <c r="AR301" s="1607"/>
      <c r="AS301" s="1607"/>
      <c r="AT301" s="1607"/>
      <c r="AU301" s="1607"/>
      <c r="AV301" s="1607"/>
      <c r="AW301" s="1607"/>
      <c r="AX301" s="1607"/>
      <c r="AY301" s="1607"/>
      <c r="AZ301" s="1607"/>
      <c r="BB301" s="1671" t="s">
        <v>2490</v>
      </c>
    </row>
    <row r="302" spans="2:55" s="1192" customFormat="1" ht="14.4" x14ac:dyDescent="0.3">
      <c r="B302" s="1741" t="s">
        <v>2596</v>
      </c>
      <c r="C302" s="1741"/>
      <c r="D302" s="360"/>
      <c r="E302" s="837"/>
      <c r="G302" s="1666"/>
      <c r="H302" s="1607"/>
      <c r="I302" s="1607"/>
      <c r="J302" s="1607"/>
      <c r="K302" s="1607"/>
      <c r="L302" s="1607"/>
      <c r="M302" s="1607"/>
      <c r="N302" s="1607"/>
      <c r="O302" s="1607"/>
      <c r="P302" s="1607"/>
      <c r="Q302" s="1607"/>
      <c r="R302" s="1607"/>
      <c r="S302" s="1607"/>
      <c r="T302" s="1607"/>
      <c r="U302" s="1607"/>
      <c r="V302" s="1607"/>
      <c r="W302" s="1607"/>
      <c r="X302" s="1607"/>
      <c r="Y302" s="1607"/>
      <c r="Z302" s="1608" t="s">
        <v>2596</v>
      </c>
      <c r="AA302" s="1607"/>
      <c r="AB302" s="1607"/>
      <c r="AC302" s="1607"/>
      <c r="AD302" s="1607"/>
      <c r="AE302" s="1607"/>
      <c r="AF302" s="1607"/>
      <c r="AG302" s="1607"/>
      <c r="AH302" s="1607"/>
      <c r="AI302" s="1607"/>
      <c r="AJ302" s="1607"/>
      <c r="AK302" s="1607"/>
      <c r="AL302" s="1607"/>
      <c r="AM302" s="1607"/>
      <c r="AN302" s="1607"/>
      <c r="AO302" s="1607"/>
      <c r="AP302" s="1607"/>
      <c r="AQ302" s="1607"/>
      <c r="AR302" s="1607"/>
      <c r="AS302" s="1607"/>
      <c r="AT302" s="1607"/>
      <c r="AU302" s="1607"/>
      <c r="AV302" s="1607"/>
      <c r="AW302" s="1607"/>
      <c r="AX302" s="1607"/>
      <c r="AY302" s="1607"/>
      <c r="AZ302" s="1607"/>
      <c r="BB302" s="1671" t="s">
        <v>2596</v>
      </c>
    </row>
    <row r="303" spans="2:55" s="1192" customFormat="1" ht="14.4" x14ac:dyDescent="0.3">
      <c r="B303" s="1941" t="s">
        <v>2492</v>
      </c>
      <c r="C303" s="1941"/>
      <c r="D303" s="360" t="s">
        <v>19</v>
      </c>
      <c r="E303" s="1218">
        <v>0.52</v>
      </c>
      <c r="G303" s="1666"/>
      <c r="H303" s="1607"/>
      <c r="I303" s="1607"/>
      <c r="J303" s="1607"/>
      <c r="K303" s="1607"/>
      <c r="L303" s="1607"/>
      <c r="M303" s="1607"/>
      <c r="N303" s="1607"/>
      <c r="O303" s="1607"/>
      <c r="P303" s="1607"/>
      <c r="Q303" s="1607"/>
      <c r="R303" s="1607"/>
      <c r="S303" s="1607"/>
      <c r="T303" s="1607"/>
      <c r="U303" s="1607"/>
      <c r="V303" s="1607"/>
      <c r="W303" s="1607"/>
      <c r="X303" s="1607"/>
      <c r="Y303" s="1607"/>
      <c r="Z303" s="1608" t="s">
        <v>2492</v>
      </c>
      <c r="AA303" s="1607"/>
      <c r="AB303" s="1607"/>
      <c r="AC303" s="1607"/>
      <c r="AD303" s="1607"/>
      <c r="AE303" s="1607"/>
      <c r="AF303" s="1607"/>
      <c r="AG303" s="1607"/>
      <c r="AH303" s="1607"/>
      <c r="AI303" s="1607"/>
      <c r="AJ303" s="1607"/>
      <c r="AK303" s="1607"/>
      <c r="AL303" s="1607"/>
      <c r="AM303" s="1607"/>
      <c r="AN303" s="1607"/>
      <c r="AO303" s="1607"/>
      <c r="AP303" s="1607"/>
      <c r="AQ303" s="1607"/>
      <c r="AR303" s="1607"/>
      <c r="AS303" s="1607"/>
      <c r="AT303" s="1607"/>
      <c r="AU303" s="1607"/>
      <c r="AV303" s="1607"/>
      <c r="AW303" s="1607"/>
      <c r="AX303" s="1607"/>
      <c r="AY303" s="1607"/>
      <c r="AZ303" s="1607"/>
      <c r="BB303" s="1671" t="s">
        <v>2492</v>
      </c>
    </row>
    <row r="304" spans="2:55" s="1192" customFormat="1" ht="14.4" x14ac:dyDescent="0.3">
      <c r="B304" s="1941" t="s">
        <v>2493</v>
      </c>
      <c r="C304" s="1941"/>
      <c r="D304" s="360" t="s">
        <v>19</v>
      </c>
      <c r="E304" s="1218">
        <v>1.04</v>
      </c>
      <c r="G304" s="1666"/>
      <c r="H304" s="1607"/>
      <c r="I304" s="1607"/>
      <c r="J304" s="1607"/>
      <c r="K304" s="1607"/>
      <c r="L304" s="1607"/>
      <c r="M304" s="1607"/>
      <c r="N304" s="1607"/>
      <c r="O304" s="1607"/>
      <c r="P304" s="1607"/>
      <c r="Q304" s="1607"/>
      <c r="R304" s="1607"/>
      <c r="S304" s="1607"/>
      <c r="T304" s="1607"/>
      <c r="U304" s="1607"/>
      <c r="V304" s="1607"/>
      <c r="W304" s="1607"/>
      <c r="X304" s="1607"/>
      <c r="Y304" s="1607"/>
      <c r="Z304" s="1608" t="s">
        <v>2493</v>
      </c>
      <c r="AA304" s="1607"/>
      <c r="AB304" s="1607"/>
      <c r="AC304" s="1607"/>
      <c r="AD304" s="1607"/>
      <c r="AE304" s="1607"/>
      <c r="AF304" s="1607"/>
      <c r="AG304" s="1607"/>
      <c r="AH304" s="1607"/>
      <c r="AI304" s="1607"/>
      <c r="AJ304" s="1607"/>
      <c r="AK304" s="1607"/>
      <c r="AL304" s="1607"/>
      <c r="AM304" s="1607"/>
      <c r="AN304" s="1607"/>
      <c r="AO304" s="1607"/>
      <c r="AP304" s="1607"/>
      <c r="AQ304" s="1607"/>
      <c r="AR304" s="1607"/>
      <c r="AS304" s="1607"/>
      <c r="AT304" s="1607"/>
      <c r="AU304" s="1607"/>
      <c r="AV304" s="1607"/>
      <c r="AW304" s="1607"/>
      <c r="AX304" s="1607"/>
      <c r="AY304" s="1607"/>
      <c r="AZ304" s="1607"/>
      <c r="BB304" s="1671" t="s">
        <v>2493</v>
      </c>
    </row>
    <row r="305" spans="2:55" s="1192" customFormat="1" ht="14.4" x14ac:dyDescent="0.3">
      <c r="B305" s="1741" t="s">
        <v>2494</v>
      </c>
      <c r="C305" s="1741"/>
      <c r="D305" s="360"/>
      <c r="E305" s="837"/>
      <c r="G305" s="1666"/>
      <c r="H305" s="1607"/>
      <c r="I305" s="1607"/>
      <c r="J305" s="1607"/>
      <c r="K305" s="1607"/>
      <c r="L305" s="1607"/>
      <c r="M305" s="1607"/>
      <c r="N305" s="1607"/>
      <c r="O305" s="1607"/>
      <c r="P305" s="1607"/>
      <c r="Q305" s="1607"/>
      <c r="R305" s="1607"/>
      <c r="S305" s="1607"/>
      <c r="T305" s="1607"/>
      <c r="U305" s="1607"/>
      <c r="V305" s="1607"/>
      <c r="W305" s="1607"/>
      <c r="X305" s="1607"/>
      <c r="Y305" s="1607"/>
      <c r="Z305" s="1608" t="s">
        <v>2494</v>
      </c>
      <c r="AA305" s="1607"/>
      <c r="AB305" s="1607"/>
      <c r="AC305" s="1607"/>
      <c r="AD305" s="1607"/>
      <c r="AE305" s="1607"/>
      <c r="AF305" s="1607"/>
      <c r="AG305" s="1607"/>
      <c r="AH305" s="1607"/>
      <c r="AI305" s="1607"/>
      <c r="AJ305" s="1607"/>
      <c r="AK305" s="1607"/>
      <c r="AL305" s="1607"/>
      <c r="AM305" s="1607"/>
      <c r="AN305" s="1607"/>
      <c r="AO305" s="1607"/>
      <c r="AP305" s="1607"/>
      <c r="AQ305" s="1607"/>
      <c r="AR305" s="1607"/>
      <c r="AS305" s="1607"/>
      <c r="AT305" s="1607"/>
      <c r="AU305" s="1607"/>
      <c r="AV305" s="1607"/>
      <c r="AW305" s="1607"/>
      <c r="AX305" s="1607"/>
      <c r="AY305" s="1607"/>
      <c r="AZ305" s="1607"/>
      <c r="BB305" s="1671" t="s">
        <v>2494</v>
      </c>
    </row>
    <row r="306" spans="2:55" s="1192" customFormat="1" ht="14.4" x14ac:dyDescent="0.3">
      <c r="B306" s="1741" t="s">
        <v>2495</v>
      </c>
      <c r="C306" s="1741"/>
      <c r="D306" s="360"/>
      <c r="E306" s="837"/>
      <c r="G306" s="1666"/>
      <c r="H306" s="1607"/>
      <c r="I306" s="1607"/>
      <c r="J306" s="1607"/>
      <c r="K306" s="1607"/>
      <c r="L306" s="1607"/>
      <c r="M306" s="1607"/>
      <c r="N306" s="1607"/>
      <c r="O306" s="1607"/>
      <c r="P306" s="1607"/>
      <c r="Q306" s="1607"/>
      <c r="R306" s="1607"/>
      <c r="S306" s="1607"/>
      <c r="T306" s="1607"/>
      <c r="U306" s="1607"/>
      <c r="V306" s="1607"/>
      <c r="W306" s="1607"/>
      <c r="X306" s="1607"/>
      <c r="Y306" s="1607"/>
      <c r="Z306" s="1608" t="s">
        <v>2495</v>
      </c>
      <c r="AA306" s="1607"/>
      <c r="AB306" s="1607"/>
      <c r="AC306" s="1607"/>
      <c r="AD306" s="1607"/>
      <c r="AE306" s="1607"/>
      <c r="AF306" s="1607"/>
      <c r="AG306" s="1607"/>
      <c r="AH306" s="1607"/>
      <c r="AI306" s="1607"/>
      <c r="AJ306" s="1607"/>
      <c r="AK306" s="1607"/>
      <c r="AL306" s="1607"/>
      <c r="AM306" s="1607"/>
      <c r="AN306" s="1607"/>
      <c r="AO306" s="1607"/>
      <c r="AP306" s="1607"/>
      <c r="AQ306" s="1607"/>
      <c r="AR306" s="1607"/>
      <c r="AS306" s="1607"/>
      <c r="AT306" s="1607"/>
      <c r="AU306" s="1607"/>
      <c r="AV306" s="1607"/>
      <c r="AW306" s="1607"/>
      <c r="AX306" s="1607"/>
      <c r="AY306" s="1607"/>
      <c r="AZ306" s="1607"/>
      <c r="BB306" s="1671" t="s">
        <v>2495</v>
      </c>
    </row>
    <row r="307" spans="2:55" s="1192" customFormat="1" ht="14.4" x14ac:dyDescent="0.3">
      <c r="B307" s="1741" t="s">
        <v>2597</v>
      </c>
      <c r="C307" s="1741"/>
      <c r="D307" s="360"/>
      <c r="E307" s="837"/>
      <c r="G307" s="1666"/>
      <c r="H307" s="1607"/>
      <c r="I307" s="1607"/>
      <c r="J307" s="1607"/>
      <c r="K307" s="1607"/>
      <c r="L307" s="1607"/>
      <c r="M307" s="1607"/>
      <c r="N307" s="1607"/>
      <c r="O307" s="1607"/>
      <c r="P307" s="1607"/>
      <c r="Q307" s="1607"/>
      <c r="R307" s="1607"/>
      <c r="S307" s="1607"/>
      <c r="T307" s="1607"/>
      <c r="U307" s="1607"/>
      <c r="V307" s="1607"/>
      <c r="W307" s="1607"/>
      <c r="X307" s="1607"/>
      <c r="Y307" s="1607"/>
      <c r="Z307" s="1608" t="s">
        <v>2597</v>
      </c>
      <c r="AA307" s="1607"/>
      <c r="AB307" s="1607"/>
      <c r="AC307" s="1607"/>
      <c r="AD307" s="1607"/>
      <c r="AE307" s="1607"/>
      <c r="AF307" s="1607"/>
      <c r="AG307" s="1607"/>
      <c r="AH307" s="1607"/>
      <c r="AI307" s="1607"/>
      <c r="AJ307" s="1607"/>
      <c r="AK307" s="1607"/>
      <c r="AL307" s="1607"/>
      <c r="AM307" s="1607"/>
      <c r="AN307" s="1607"/>
      <c r="AO307" s="1607"/>
      <c r="AP307" s="1607"/>
      <c r="AQ307" s="1607"/>
      <c r="AR307" s="1607"/>
      <c r="AS307" s="1607"/>
      <c r="AT307" s="1607"/>
      <c r="AU307" s="1607"/>
      <c r="AV307" s="1607"/>
      <c r="AW307" s="1607"/>
      <c r="AX307" s="1607"/>
      <c r="AY307" s="1607"/>
      <c r="AZ307" s="1607"/>
      <c r="BB307" s="1671" t="s">
        <v>2597</v>
      </c>
    </row>
    <row r="308" spans="2:55" s="1192" customFormat="1" ht="14.4" x14ac:dyDescent="0.3">
      <c r="B308" s="1941" t="s">
        <v>2497</v>
      </c>
      <c r="C308" s="1941"/>
      <c r="D308" s="360" t="s">
        <v>19</v>
      </c>
      <c r="E308" s="837" t="s">
        <v>2498</v>
      </c>
      <c r="G308" s="1666"/>
      <c r="H308" s="1607"/>
      <c r="I308" s="1607"/>
      <c r="J308" s="1607"/>
      <c r="K308" s="1607"/>
      <c r="L308" s="1607"/>
      <c r="M308" s="1607"/>
      <c r="N308" s="1607"/>
      <c r="O308" s="1607"/>
      <c r="P308" s="1607"/>
      <c r="Q308" s="1607"/>
      <c r="R308" s="1607"/>
      <c r="S308" s="1607"/>
      <c r="T308" s="1607"/>
      <c r="U308" s="1607"/>
      <c r="V308" s="1607"/>
      <c r="W308" s="1607"/>
      <c r="X308" s="1607"/>
      <c r="Y308" s="1607"/>
      <c r="Z308" s="1608" t="s">
        <v>2497</v>
      </c>
      <c r="AA308" s="1607"/>
      <c r="AB308" s="1607"/>
      <c r="AC308" s="1607"/>
      <c r="AD308" s="1607"/>
      <c r="AE308" s="1607"/>
      <c r="AF308" s="1607"/>
      <c r="AG308" s="1607"/>
      <c r="AH308" s="1607"/>
      <c r="AI308" s="1607"/>
      <c r="AJ308" s="1607"/>
      <c r="AK308" s="1607"/>
      <c r="AL308" s="1607"/>
      <c r="AM308" s="1607"/>
      <c r="AN308" s="1607"/>
      <c r="AO308" s="1607"/>
      <c r="AP308" s="1607"/>
      <c r="AQ308" s="1607"/>
      <c r="AR308" s="1607"/>
      <c r="AS308" s="1607"/>
      <c r="AT308" s="1607"/>
      <c r="AU308" s="1607"/>
      <c r="AV308" s="1607"/>
      <c r="AW308" s="1607"/>
      <c r="AX308" s="1607"/>
      <c r="AY308" s="1607"/>
      <c r="AZ308" s="1607"/>
      <c r="BB308" s="1671" t="s">
        <v>2497</v>
      </c>
    </row>
    <row r="309" spans="2:55" s="1192" customFormat="1" ht="14.4" x14ac:dyDescent="0.3">
      <c r="B309" s="1941" t="s">
        <v>2499</v>
      </c>
      <c r="C309" s="1941"/>
      <c r="D309" s="360" t="s">
        <v>19</v>
      </c>
      <c r="E309" s="1218">
        <v>4.16</v>
      </c>
      <c r="G309" s="1666"/>
      <c r="H309" s="1607"/>
      <c r="I309" s="1607"/>
      <c r="J309" s="1607"/>
      <c r="K309" s="1607"/>
      <c r="L309" s="1607"/>
      <c r="M309" s="1607"/>
      <c r="N309" s="1607"/>
      <c r="O309" s="1607"/>
      <c r="P309" s="1607"/>
      <c r="Q309" s="1607"/>
      <c r="R309" s="1607"/>
      <c r="S309" s="1607"/>
      <c r="T309" s="1607"/>
      <c r="U309" s="1607"/>
      <c r="V309" s="1607"/>
      <c r="W309" s="1607"/>
      <c r="X309" s="1607"/>
      <c r="Y309" s="1607"/>
      <c r="Z309" s="1608" t="s">
        <v>2499</v>
      </c>
      <c r="AA309" s="1607"/>
      <c r="AB309" s="1607"/>
      <c r="AC309" s="1607"/>
      <c r="AD309" s="1607"/>
      <c r="AE309" s="1607"/>
      <c r="AF309" s="1607"/>
      <c r="AG309" s="1607"/>
      <c r="AH309" s="1607"/>
      <c r="AI309" s="1607"/>
      <c r="AJ309" s="1607"/>
      <c r="AK309" s="1607"/>
      <c r="AL309" s="1607"/>
      <c r="AM309" s="1607"/>
      <c r="AN309" s="1607"/>
      <c r="AO309" s="1607"/>
      <c r="AP309" s="1607"/>
      <c r="AQ309" s="1607"/>
      <c r="AR309" s="1607"/>
      <c r="AS309" s="1607"/>
      <c r="AT309" s="1607"/>
      <c r="AU309" s="1607"/>
      <c r="AV309" s="1607"/>
      <c r="AW309" s="1607"/>
      <c r="AX309" s="1607"/>
      <c r="AY309" s="1607"/>
      <c r="AZ309" s="1607"/>
      <c r="BB309" s="1671" t="s">
        <v>2499</v>
      </c>
    </row>
    <row r="310" spans="2:55" s="1192" customFormat="1" ht="20.399999999999999" x14ac:dyDescent="0.3">
      <c r="B310" s="1741" t="s">
        <v>4608</v>
      </c>
      <c r="C310" s="1741"/>
      <c r="D310" s="360" t="s">
        <v>19</v>
      </c>
      <c r="E310" s="1218">
        <v>2.08</v>
      </c>
      <c r="G310" s="1666"/>
      <c r="H310" s="1607"/>
      <c r="I310" s="1607"/>
      <c r="J310" s="1607"/>
      <c r="K310" s="1607"/>
      <c r="L310" s="1607"/>
      <c r="M310" s="1607"/>
      <c r="N310" s="1607"/>
      <c r="O310" s="1607"/>
      <c r="P310" s="1607"/>
      <c r="Q310" s="1607"/>
      <c r="R310" s="1607"/>
      <c r="S310" s="1607"/>
      <c r="T310" s="1607"/>
      <c r="U310" s="1607"/>
      <c r="V310" s="1607"/>
      <c r="W310" s="1607"/>
      <c r="X310" s="1607"/>
      <c r="Y310" s="1607"/>
      <c r="Z310" s="1608" t="s">
        <v>4608</v>
      </c>
      <c r="AA310" s="1607"/>
      <c r="AB310" s="1607"/>
      <c r="AC310" s="1607"/>
      <c r="AD310" s="1607"/>
      <c r="AE310" s="1607"/>
      <c r="AF310" s="1607"/>
      <c r="AG310" s="1607"/>
      <c r="AH310" s="1607"/>
      <c r="AI310" s="1607"/>
      <c r="AJ310" s="1607"/>
      <c r="AK310" s="1607"/>
      <c r="AL310" s="1607"/>
      <c r="AM310" s="1607"/>
      <c r="AN310" s="1607"/>
      <c r="AO310" s="1607"/>
      <c r="AP310" s="1607"/>
      <c r="AQ310" s="1607"/>
      <c r="AR310" s="1607"/>
      <c r="AS310" s="1607"/>
      <c r="AT310" s="1607"/>
      <c r="AU310" s="1607"/>
      <c r="AV310" s="1607"/>
      <c r="AW310" s="1607"/>
      <c r="AX310" s="1607"/>
      <c r="AY310" s="1607"/>
      <c r="AZ310" s="1607"/>
      <c r="BB310" s="1671" t="s">
        <v>4608</v>
      </c>
    </row>
    <row r="311" spans="2:55" s="1192" customFormat="1" ht="11.25" customHeight="1" x14ac:dyDescent="0.3">
      <c r="B311" s="1652"/>
      <c r="C311" s="1652"/>
      <c r="D311" s="360"/>
      <c r="E311" s="1218"/>
      <c r="G311" s="1666"/>
      <c r="H311" s="1607"/>
      <c r="I311" s="1607"/>
      <c r="J311" s="1607"/>
      <c r="K311" s="1607"/>
      <c r="L311" s="1607"/>
      <c r="M311" s="1607"/>
      <c r="N311" s="1607"/>
      <c r="O311" s="1607"/>
      <c r="P311" s="1607"/>
      <c r="Q311" s="1607"/>
      <c r="R311" s="1607"/>
      <c r="S311" s="1607"/>
      <c r="T311" s="1607"/>
      <c r="U311" s="1607"/>
      <c r="V311" s="1607"/>
      <c r="W311" s="1607"/>
      <c r="X311" s="1607"/>
      <c r="Y311" s="1607"/>
      <c r="Z311" s="1607"/>
      <c r="AA311" s="1607"/>
      <c r="AB311" s="1607"/>
      <c r="AC311" s="1607"/>
      <c r="AD311" s="1607"/>
      <c r="AE311" s="1607"/>
      <c r="AF311" s="1607"/>
      <c r="AG311" s="1607"/>
      <c r="AH311" s="1607"/>
      <c r="AI311" s="1607"/>
      <c r="AJ311" s="1607"/>
      <c r="AK311" s="1607"/>
      <c r="AL311" s="1607"/>
      <c r="AM311" s="1607"/>
      <c r="AN311" s="1607"/>
      <c r="AO311" s="1607"/>
      <c r="AP311" s="1607"/>
      <c r="AQ311" s="1607"/>
      <c r="AR311" s="1607"/>
      <c r="AS311" s="1607"/>
      <c r="AT311" s="1607"/>
      <c r="AU311" s="1607"/>
      <c r="AV311" s="1607"/>
      <c r="AW311" s="1607"/>
      <c r="AX311" s="1607"/>
      <c r="AY311" s="1607"/>
      <c r="AZ311" s="1607"/>
    </row>
    <row r="312" spans="2:55" s="1192" customFormat="1" ht="18" x14ac:dyDescent="0.35">
      <c r="B312" s="1656" t="s">
        <v>143</v>
      </c>
      <c r="C312" s="550"/>
      <c r="D312" s="550"/>
      <c r="E312" s="881"/>
      <c r="G312" s="1666"/>
      <c r="H312" s="1607" t="s">
        <v>4420</v>
      </c>
      <c r="I312" s="1607"/>
      <c r="J312" s="1607"/>
      <c r="K312" s="1607"/>
      <c r="L312" s="1607"/>
      <c r="M312" s="1607"/>
      <c r="N312" s="1607"/>
      <c r="O312" s="1607"/>
      <c r="P312" s="1607"/>
      <c r="Q312" s="1607"/>
      <c r="R312" s="1607"/>
      <c r="S312" s="1607"/>
      <c r="T312" s="1607"/>
      <c r="U312" s="1607"/>
      <c r="V312" s="1607"/>
      <c r="W312" s="1607"/>
      <c r="X312" s="1607"/>
      <c r="Y312" s="1607"/>
      <c r="Z312" s="1607"/>
      <c r="AA312" s="1607"/>
      <c r="AB312" s="1607"/>
      <c r="AC312" s="1607"/>
      <c r="AD312" s="1607"/>
      <c r="AE312" s="1607"/>
      <c r="AF312" s="1607"/>
      <c r="AG312" s="1607"/>
      <c r="AH312" s="1607"/>
      <c r="AI312" s="1607"/>
      <c r="AJ312" s="1607"/>
      <c r="AK312" s="1607"/>
      <c r="AL312" s="1607"/>
      <c r="AM312" s="1607"/>
      <c r="AN312" s="1607"/>
      <c r="AO312" s="1607"/>
      <c r="AP312" s="1607"/>
      <c r="AQ312" s="1607"/>
      <c r="AR312" s="1607"/>
      <c r="AS312" s="1607"/>
      <c r="AT312" s="1607"/>
      <c r="AU312" s="1607"/>
      <c r="AV312" s="1607"/>
      <c r="AW312" s="1607"/>
      <c r="AX312" s="1607"/>
      <c r="AY312" s="1607"/>
      <c r="AZ312" s="1607"/>
    </row>
    <row r="313" spans="2:55" s="1192" customFormat="1" ht="11.25" customHeight="1" x14ac:dyDescent="0.35">
      <c r="B313" s="1656"/>
      <c r="C313" s="550"/>
      <c r="D313" s="550"/>
      <c r="E313" s="881"/>
      <c r="G313" s="1666"/>
      <c r="H313" s="1607"/>
      <c r="I313" s="1607"/>
      <c r="J313" s="1607"/>
      <c r="K313" s="1607"/>
      <c r="L313" s="1607"/>
      <c r="M313" s="1607"/>
      <c r="N313" s="1607"/>
      <c r="O313" s="1607"/>
      <c r="P313" s="1607"/>
      <c r="Q313" s="1607"/>
      <c r="R313" s="1607"/>
      <c r="S313" s="1607"/>
      <c r="T313" s="1607"/>
      <c r="U313" s="1607"/>
      <c r="V313" s="1607"/>
      <c r="W313" s="1607"/>
      <c r="X313" s="1607"/>
      <c r="Y313" s="1607"/>
      <c r="Z313" s="1607"/>
      <c r="AA313" s="1607"/>
      <c r="AB313" s="1607"/>
      <c r="AC313" s="1607"/>
      <c r="AD313" s="1607"/>
      <c r="AE313" s="1607"/>
      <c r="AF313" s="1607"/>
      <c r="AG313" s="1607"/>
      <c r="AH313" s="1607"/>
      <c r="AI313" s="1607"/>
      <c r="AJ313" s="1607"/>
      <c r="AK313" s="1607"/>
      <c r="AL313" s="1607"/>
      <c r="AM313" s="1607"/>
      <c r="AN313" s="1607"/>
      <c r="AO313" s="1607"/>
      <c r="AP313" s="1607"/>
      <c r="AQ313" s="1607"/>
      <c r="AR313" s="1607"/>
      <c r="AS313" s="1607"/>
      <c r="AT313" s="1607"/>
      <c r="AU313" s="1607"/>
      <c r="AV313" s="1607"/>
      <c r="AW313" s="1607"/>
      <c r="AX313" s="1607"/>
      <c r="AY313" s="1607"/>
      <c r="AZ313" s="1607"/>
    </row>
    <row r="314" spans="2:55" s="1192" customFormat="1" ht="20.399999999999999" x14ac:dyDescent="0.3">
      <c r="B314" s="1741" t="s">
        <v>2501</v>
      </c>
      <c r="C314" s="1741"/>
      <c r="D314" s="1741"/>
      <c r="E314" s="1741"/>
      <c r="G314" s="1666"/>
      <c r="H314" s="1607"/>
      <c r="I314" s="1607"/>
      <c r="J314" s="1607"/>
      <c r="K314" s="1607"/>
      <c r="L314" s="1607"/>
      <c r="M314" s="1607"/>
      <c r="N314" s="1607"/>
      <c r="O314" s="1607"/>
      <c r="P314" s="1607"/>
      <c r="Q314" s="1607"/>
      <c r="R314" s="1607"/>
      <c r="S314" s="1607"/>
      <c r="T314" s="1607"/>
      <c r="U314" s="1607"/>
      <c r="V314" s="1607"/>
      <c r="W314" s="1607"/>
      <c r="X314" s="1607"/>
      <c r="Y314" s="1607"/>
      <c r="Z314" s="1607"/>
      <c r="AA314" s="1608" t="s">
        <v>2501</v>
      </c>
      <c r="AB314" s="1607"/>
      <c r="AC314" s="1607"/>
      <c r="AD314" s="1607"/>
      <c r="AE314" s="1607"/>
      <c r="AF314" s="1607"/>
      <c r="AG314" s="1607"/>
      <c r="AH314" s="1607"/>
      <c r="AI314" s="1607"/>
      <c r="AJ314" s="1607"/>
      <c r="AK314" s="1607"/>
      <c r="AL314" s="1607"/>
      <c r="AM314" s="1607"/>
      <c r="AN314" s="1607"/>
      <c r="AO314" s="1607"/>
      <c r="AP314" s="1607"/>
      <c r="AQ314" s="1607"/>
      <c r="AR314" s="1607"/>
      <c r="AS314" s="1607"/>
      <c r="AT314" s="1607"/>
      <c r="AU314" s="1607"/>
      <c r="AV314" s="1607"/>
      <c r="AW314" s="1607"/>
      <c r="AX314" s="1607"/>
      <c r="AY314" s="1607"/>
      <c r="AZ314" s="1607"/>
      <c r="BC314" s="1671" t="s">
        <v>2501</v>
      </c>
    </row>
    <row r="315" spans="2:55" s="1192" customFormat="1" ht="14.4" x14ac:dyDescent="0.3">
      <c r="B315" s="1741" t="s">
        <v>2599</v>
      </c>
      <c r="C315" s="1741"/>
      <c r="D315" s="1277"/>
      <c r="E315" s="837">
        <v>1.0452999999999999</v>
      </c>
      <c r="G315" s="1666"/>
      <c r="H315" s="1607"/>
      <c r="I315" s="1607"/>
      <c r="J315" s="1607"/>
      <c r="K315" s="1607"/>
      <c r="L315" s="1607"/>
      <c r="M315" s="1607"/>
      <c r="N315" s="1607"/>
      <c r="O315" s="1607"/>
      <c r="P315" s="1607"/>
      <c r="Q315" s="1607"/>
      <c r="R315" s="1607"/>
      <c r="S315" s="1607"/>
      <c r="T315" s="1607"/>
      <c r="U315" s="1607"/>
      <c r="V315" s="1607"/>
      <c r="W315" s="1607"/>
      <c r="X315" s="1607"/>
      <c r="Y315" s="1607"/>
      <c r="Z315" s="1608" t="s">
        <v>2599</v>
      </c>
      <c r="AA315" s="1607"/>
      <c r="AB315" s="1607"/>
      <c r="AC315" s="1607"/>
      <c r="AD315" s="1607"/>
      <c r="AE315" s="1607"/>
      <c r="AF315" s="1607"/>
      <c r="AG315" s="1607"/>
      <c r="AH315" s="1607"/>
      <c r="AI315" s="1607"/>
      <c r="AJ315" s="1607"/>
      <c r="AK315" s="1607"/>
      <c r="AL315" s="1607"/>
      <c r="AM315" s="1607"/>
      <c r="AN315" s="1607"/>
      <c r="AO315" s="1607"/>
      <c r="AP315" s="1607"/>
      <c r="AQ315" s="1607"/>
      <c r="AR315" s="1607"/>
      <c r="AS315" s="1607"/>
      <c r="AT315" s="1607"/>
      <c r="AU315" s="1607"/>
      <c r="AV315" s="1607"/>
      <c r="AW315" s="1607"/>
      <c r="AX315" s="1607"/>
      <c r="AY315" s="1607"/>
      <c r="AZ315" s="1607"/>
      <c r="BB315" s="1671" t="s">
        <v>2599</v>
      </c>
    </row>
    <row r="316" spans="2:55" s="1192" customFormat="1" ht="14.4" x14ac:dyDescent="0.3">
      <c r="B316" s="1741" t="s">
        <v>2601</v>
      </c>
      <c r="C316" s="1741"/>
      <c r="D316" s="1277"/>
      <c r="E316" s="837">
        <v>1.0348999999999999</v>
      </c>
      <c r="G316" s="1666" t="s">
        <v>4421</v>
      </c>
      <c r="H316" s="1607"/>
      <c r="I316" s="1607"/>
      <c r="J316" s="1607"/>
      <c r="K316" s="1607"/>
      <c r="L316" s="1607"/>
      <c r="M316" s="1607"/>
      <c r="N316" s="1607"/>
      <c r="O316" s="1607"/>
      <c r="P316" s="1607"/>
      <c r="Q316" s="1607"/>
      <c r="R316" s="1607"/>
      <c r="S316" s="1607"/>
      <c r="T316" s="1607"/>
      <c r="U316" s="1607"/>
      <c r="V316" s="1607"/>
      <c r="W316" s="1607"/>
      <c r="X316" s="1607"/>
      <c r="Y316" s="1607"/>
      <c r="Z316" s="1608" t="s">
        <v>2601</v>
      </c>
      <c r="AA316" s="1607"/>
      <c r="AB316" s="1607"/>
      <c r="AC316" s="1607"/>
      <c r="AD316" s="1607"/>
      <c r="AE316" s="1607"/>
      <c r="AF316" s="1607"/>
      <c r="AG316" s="1607"/>
      <c r="AH316" s="1607"/>
      <c r="AI316" s="1607"/>
      <c r="AJ316" s="1607"/>
      <c r="AK316" s="1607"/>
      <c r="AL316" s="1607"/>
      <c r="AM316" s="1607"/>
      <c r="AN316" s="1607"/>
      <c r="AO316" s="1607"/>
      <c r="AP316" s="1607"/>
      <c r="AQ316" s="1607"/>
      <c r="AR316" s="1607"/>
      <c r="AS316" s="1607"/>
      <c r="AT316" s="1607"/>
      <c r="AU316" s="1607"/>
      <c r="AV316" s="1607"/>
      <c r="AW316" s="1607"/>
      <c r="AX316" s="1607"/>
      <c r="AY316" s="1607"/>
      <c r="AZ316" s="1607"/>
      <c r="BB316" s="1671" t="s">
        <v>2601</v>
      </c>
    </row>
  </sheetData>
  <sheetProtection algorithmName="SHA-512" hashValue="cGfgMUIj6uNiulvGUct9x05/wySsIHVisI9KnkcXoMkexaJAJ2KyF+t3D6J2VUx3wROuxYTvj8yKcf29aDtoDA==" saltValue="r+/N5uUWmCVW8MWqPdIKmw==" spinCount="100000" sheet="1" objects="1" scenarios="1"/>
  <mergeCells count="223">
    <mergeCell ref="B305:C305"/>
    <mergeCell ref="B306:C306"/>
    <mergeCell ref="B307:C307"/>
    <mergeCell ref="B308:C308"/>
    <mergeCell ref="B309:C309"/>
    <mergeCell ref="B310:C310"/>
    <mergeCell ref="B314:E314"/>
    <mergeCell ref="B315:C315"/>
    <mergeCell ref="B316:C316"/>
    <mergeCell ref="B96:C96"/>
    <mergeCell ref="B98:C98"/>
    <mergeCell ref="B99:C99"/>
    <mergeCell ref="B100:C100"/>
    <mergeCell ref="B101:C101"/>
    <mergeCell ref="B88:C88"/>
    <mergeCell ref="B89:C89"/>
    <mergeCell ref="B274:C274"/>
    <mergeCell ref="B275:C275"/>
    <mergeCell ref="B105:E105"/>
    <mergeCell ref="B92:C92"/>
    <mergeCell ref="B93:C93"/>
    <mergeCell ref="B94:C94"/>
    <mergeCell ref="B244:C244"/>
    <mergeCell ref="B245:C245"/>
    <mergeCell ref="B239:E239"/>
    <mergeCell ref="B273:C273"/>
    <mergeCell ref="B102:E102"/>
    <mergeCell ref="B115:E115"/>
    <mergeCell ref="B117:E117"/>
    <mergeCell ref="B119:E119"/>
    <mergeCell ref="B123:C123"/>
    <mergeCell ref="B124:C124"/>
    <mergeCell ref="B128:C128"/>
    <mergeCell ref="B57:C57"/>
    <mergeCell ref="B59:C59"/>
    <mergeCell ref="B64:C64"/>
    <mergeCell ref="B65:C65"/>
    <mergeCell ref="B66:C66"/>
    <mergeCell ref="B83:E83"/>
    <mergeCell ref="B85:E85"/>
    <mergeCell ref="B90:C90"/>
    <mergeCell ref="B91:C91"/>
    <mergeCell ref="B87:C87"/>
    <mergeCell ref="B130:C130"/>
    <mergeCell ref="B132:C132"/>
    <mergeCell ref="B133:C133"/>
    <mergeCell ref="B134:C134"/>
    <mergeCell ref="B135:C135"/>
    <mergeCell ref="B136:E136"/>
    <mergeCell ref="B143:E143"/>
    <mergeCell ref="B145:E145"/>
    <mergeCell ref="B103:E103"/>
    <mergeCell ref="B107:E107"/>
    <mergeCell ref="B137:E137"/>
    <mergeCell ref="B227:E227"/>
    <mergeCell ref="B254:C254"/>
    <mergeCell ref="B262:C262"/>
    <mergeCell ref="B263:C263"/>
    <mergeCell ref="B264:C264"/>
    <mergeCell ref="B255:C255"/>
    <mergeCell ref="B256:C256"/>
    <mergeCell ref="B257:C257"/>
    <mergeCell ref="B237:E237"/>
    <mergeCell ref="B241:C241"/>
    <mergeCell ref="B247:E247"/>
    <mergeCell ref="B215:C215"/>
    <mergeCell ref="B216:C216"/>
    <mergeCell ref="B217:C217"/>
    <mergeCell ref="B218:C218"/>
    <mergeCell ref="B220:C220"/>
    <mergeCell ref="B222:C222"/>
    <mergeCell ref="B223:C223"/>
    <mergeCell ref="B224:C224"/>
    <mergeCell ref="B225:C225"/>
    <mergeCell ref="B226:E226"/>
    <mergeCell ref="B229:E229"/>
    <mergeCell ref="B231:E231"/>
    <mergeCell ref="B233:E233"/>
    <mergeCell ref="B160:C160"/>
    <mergeCell ref="B162:C162"/>
    <mergeCell ref="B163:C163"/>
    <mergeCell ref="B164:C164"/>
    <mergeCell ref="B165:C165"/>
    <mergeCell ref="B167:E167"/>
    <mergeCell ref="B169:E169"/>
    <mergeCell ref="B171:E171"/>
    <mergeCell ref="B184:C184"/>
    <mergeCell ref="B182:C182"/>
    <mergeCell ref="B186:C186"/>
    <mergeCell ref="B187:C187"/>
    <mergeCell ref="B188:C188"/>
    <mergeCell ref="B181:C181"/>
    <mergeCell ref="B183:C183"/>
    <mergeCell ref="B194:C194"/>
    <mergeCell ref="B185:C185"/>
    <mergeCell ref="B196:E196"/>
    <mergeCell ref="B201:E201"/>
    <mergeCell ref="B203:E203"/>
    <mergeCell ref="B155:C155"/>
    <mergeCell ref="B156:C156"/>
    <mergeCell ref="B147:E147"/>
    <mergeCell ref="B149:E149"/>
    <mergeCell ref="B151:C151"/>
    <mergeCell ref="B153:C153"/>
    <mergeCell ref="B157:C157"/>
    <mergeCell ref="B158:C158"/>
    <mergeCell ref="B179:E179"/>
    <mergeCell ref="B26:C26"/>
    <mergeCell ref="B40:E40"/>
    <mergeCell ref="B29:C29"/>
    <mergeCell ref="B44:E44"/>
    <mergeCell ref="B52:C52"/>
    <mergeCell ref="B24:C24"/>
    <mergeCell ref="B25:C25"/>
    <mergeCell ref="B260:C260"/>
    <mergeCell ref="B261:C261"/>
    <mergeCell ref="B214:C214"/>
    <mergeCell ref="B213:C213"/>
    <mergeCell ref="B75:E75"/>
    <mergeCell ref="B77:E77"/>
    <mergeCell ref="B121:C121"/>
    <mergeCell ref="B122:C122"/>
    <mergeCell ref="B109:E109"/>
    <mergeCell ref="B111:E111"/>
    <mergeCell ref="B113:E113"/>
    <mergeCell ref="B141:E141"/>
    <mergeCell ref="B152:C152"/>
    <mergeCell ref="B154:C154"/>
    <mergeCell ref="B125:C125"/>
    <mergeCell ref="B126:C126"/>
    <mergeCell ref="B127:C127"/>
    <mergeCell ref="B28:C28"/>
    <mergeCell ref="B31:C31"/>
    <mergeCell ref="B34:C34"/>
    <mergeCell ref="B46:E46"/>
    <mergeCell ref="B53:C53"/>
    <mergeCell ref="B54:C54"/>
    <mergeCell ref="B38:E38"/>
    <mergeCell ref="B27:C27"/>
    <mergeCell ref="B42:E42"/>
    <mergeCell ref="B33:C33"/>
    <mergeCell ref="B48:E48"/>
    <mergeCell ref="B35:C35"/>
    <mergeCell ref="B36:C36"/>
    <mergeCell ref="B37:E37"/>
    <mergeCell ref="B50:E50"/>
    <mergeCell ref="B1:E1"/>
    <mergeCell ref="B2:E2"/>
    <mergeCell ref="B3:E3"/>
    <mergeCell ref="B4:E4"/>
    <mergeCell ref="B5:E5"/>
    <mergeCell ref="B6:E6"/>
    <mergeCell ref="B7:E7"/>
    <mergeCell ref="B18:E18"/>
    <mergeCell ref="B20:E20"/>
    <mergeCell ref="B22:C22"/>
    <mergeCell ref="B8:E8"/>
    <mergeCell ref="B10:E10"/>
    <mergeCell ref="B12:E12"/>
    <mergeCell ref="B14:E14"/>
    <mergeCell ref="B16:E16"/>
    <mergeCell ref="B173:E173"/>
    <mergeCell ref="B166:E166"/>
    <mergeCell ref="B177:E177"/>
    <mergeCell ref="B55:C55"/>
    <mergeCell ref="B56:C56"/>
    <mergeCell ref="B60:C60"/>
    <mergeCell ref="B62:C62"/>
    <mergeCell ref="B67:C67"/>
    <mergeCell ref="B68:E68"/>
    <mergeCell ref="B79:E79"/>
    <mergeCell ref="B81:E81"/>
    <mergeCell ref="B58:C58"/>
    <mergeCell ref="B69:E69"/>
    <mergeCell ref="B71:E71"/>
    <mergeCell ref="B73:E73"/>
    <mergeCell ref="B139:E139"/>
    <mergeCell ref="B175:E175"/>
    <mergeCell ref="B23:C23"/>
    <mergeCell ref="B286:E286"/>
    <mergeCell ref="B288:E288"/>
    <mergeCell ref="B290:E290"/>
    <mergeCell ref="B292:E292"/>
    <mergeCell ref="B272:C272"/>
    <mergeCell ref="B235:E235"/>
    <mergeCell ref="B258:C258"/>
    <mergeCell ref="B259:C259"/>
    <mergeCell ref="B249:E249"/>
    <mergeCell ref="B251:E251"/>
    <mergeCell ref="B265:C265"/>
    <mergeCell ref="B266:C266"/>
    <mergeCell ref="B285:C285"/>
    <mergeCell ref="B267:C267"/>
    <mergeCell ref="B268:C268"/>
    <mergeCell ref="B269:C269"/>
    <mergeCell ref="B276:C276"/>
    <mergeCell ref="B279:C279"/>
    <mergeCell ref="B280:C280"/>
    <mergeCell ref="B281:C281"/>
    <mergeCell ref="B282:C282"/>
    <mergeCell ref="B283:C283"/>
    <mergeCell ref="B284:C284"/>
    <mergeCell ref="B205:E205"/>
    <mergeCell ref="B197:E197"/>
    <mergeCell ref="B199:E199"/>
    <mergeCell ref="B190:C190"/>
    <mergeCell ref="B192:C192"/>
    <mergeCell ref="B193:C193"/>
    <mergeCell ref="B195:C195"/>
    <mergeCell ref="B212:C212"/>
    <mergeCell ref="B207:E207"/>
    <mergeCell ref="B209:E209"/>
    <mergeCell ref="B211:C211"/>
    <mergeCell ref="B297:C297"/>
    <mergeCell ref="B298:C298"/>
    <mergeCell ref="B303:C303"/>
    <mergeCell ref="B304:C304"/>
    <mergeCell ref="B294:E294"/>
    <mergeCell ref="B296:E296"/>
    <mergeCell ref="B299:C299"/>
    <mergeCell ref="B300:C300"/>
    <mergeCell ref="B301:C301"/>
    <mergeCell ref="B302:C302"/>
  </mergeCells>
  <pageMargins left="0.70866141732283472" right="0.70866141732283472" top="0.74803149606299213" bottom="0.74803149606299213" header="0.31496062992125984" footer="0.31496062992125984"/>
  <pageSetup fitToHeight="0" orientation="portrait" cellComments="atEnd" r:id="rId1"/>
  <headerFooter>
    <oddHeader>&amp;RPage  &amp;P of  &amp;N</oddHeader>
    <oddFooter>&amp;A&amp;RPage &amp;P</oddFooter>
  </headerFooter>
  <rowBreaks count="7" manualBreakCount="7">
    <brk id="36" max="16383" man="1"/>
    <brk id="67" max="16383" man="1"/>
    <brk id="101" max="16383" man="1"/>
    <brk id="135" max="16383" man="1"/>
    <brk id="165" max="16383" man="1"/>
    <brk id="195" max="16383" man="1"/>
    <brk id="22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copysheettonewfile">
                <anchor>
                  <from>
                    <xdr:col>149</xdr:col>
                    <xdr:colOff>312420</xdr:colOff>
                    <xdr:row>0</xdr:row>
                    <xdr:rowOff>68580</xdr:rowOff>
                  </from>
                  <to>
                    <xdr:col>153</xdr:col>
                    <xdr:colOff>419100</xdr:colOff>
                    <xdr:row>267</xdr:row>
                    <xdr:rowOff>99060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CA803"/>
  <sheetViews>
    <sheetView showGridLines="0" topLeftCell="C46" zoomScaleNormal="100" workbookViewId="0">
      <selection activeCell="D30" sqref="D30"/>
    </sheetView>
  </sheetViews>
  <sheetFormatPr defaultColWidth="9.33203125" defaultRowHeight="13.2" x14ac:dyDescent="0.25"/>
  <cols>
    <col min="1" max="1" width="9" style="58" hidden="1" customWidth="1"/>
    <col min="2" max="2" width="4.6640625" style="58" hidden="1" customWidth="1"/>
    <col min="3" max="3" width="3.44140625" style="714" customWidth="1"/>
    <col min="4" max="4" width="34.6640625" style="58" customWidth="1"/>
    <col min="5" max="5" width="13.33203125" style="58" customWidth="1"/>
    <col min="6" max="6" width="26.6640625" style="58" customWidth="1"/>
    <col min="7" max="7" width="10.33203125" style="58" bestFit="1" customWidth="1"/>
    <col min="8" max="8" width="18.33203125" style="58" customWidth="1"/>
    <col min="9" max="9" width="12.6640625" style="58" customWidth="1"/>
    <col min="10" max="10" width="14.33203125" style="58" bestFit="1" customWidth="1"/>
    <col min="11" max="11" width="18.6640625" style="58" bestFit="1" customWidth="1"/>
    <col min="12" max="12" width="13.5546875" style="58" bestFit="1" customWidth="1"/>
    <col min="13" max="13" width="15.6640625" style="58" customWidth="1"/>
    <col min="14" max="14" width="22.33203125" style="58" customWidth="1"/>
    <col min="15" max="15" width="14.33203125" style="58" customWidth="1"/>
    <col min="16" max="16" width="3.6640625" style="58" customWidth="1"/>
    <col min="17" max="17" width="11.33203125" style="58" customWidth="1"/>
    <col min="18" max="19" width="9.33203125" style="58" customWidth="1"/>
    <col min="20" max="20" width="9.33203125" style="58" hidden="1" customWidth="1"/>
    <col min="21" max="82" width="9.33203125" style="58" customWidth="1"/>
    <col min="83" max="16384" width="9.33203125" style="58"/>
  </cols>
  <sheetData>
    <row r="1" spans="3:79" s="82" customFormat="1" ht="22.8" x14ac:dyDescent="0.25">
      <c r="C1" s="708"/>
      <c r="D1" s="145"/>
      <c r="E1" s="145"/>
      <c r="F1" s="145"/>
      <c r="G1" s="145"/>
      <c r="H1" s="145"/>
      <c r="I1" s="145"/>
      <c r="J1" s="145"/>
      <c r="K1" s="145"/>
      <c r="L1" s="5"/>
      <c r="M1" s="146"/>
      <c r="P1" s="59"/>
      <c r="AZ1" s="82" t="s">
        <v>631</v>
      </c>
      <c r="CA1" s="82">
        <v>1</v>
      </c>
    </row>
    <row r="2" spans="3:79" s="82" customFormat="1" ht="17.399999999999999" x14ac:dyDescent="0.3">
      <c r="C2" s="709"/>
      <c r="D2" s="147"/>
      <c r="E2" s="147"/>
      <c r="F2" s="147"/>
      <c r="G2" s="147"/>
      <c r="H2" s="147"/>
      <c r="I2" s="147"/>
      <c r="J2" s="147"/>
      <c r="K2" s="147"/>
      <c r="L2" s="5"/>
      <c r="M2" s="146"/>
      <c r="P2" s="59"/>
    </row>
    <row r="3" spans="3:79" s="82" customFormat="1" ht="17.399999999999999" x14ac:dyDescent="0.3">
      <c r="C3" s="1957"/>
      <c r="D3" s="1957"/>
      <c r="E3" s="1957"/>
      <c r="F3" s="1957"/>
      <c r="G3" s="1957"/>
      <c r="H3" s="1957"/>
      <c r="I3" s="1957"/>
      <c r="J3" s="1957"/>
      <c r="K3" s="1957"/>
      <c r="L3" s="5"/>
      <c r="M3" s="146"/>
      <c r="P3" s="59"/>
    </row>
    <row r="4" spans="3:79" s="82" customFormat="1" ht="17.399999999999999" x14ac:dyDescent="0.3">
      <c r="C4" s="709"/>
      <c r="D4" s="147"/>
      <c r="E4" s="147"/>
      <c r="F4" s="147"/>
      <c r="G4" s="147"/>
      <c r="H4" s="147"/>
      <c r="I4" s="148"/>
      <c r="J4" s="148"/>
      <c r="K4" s="148"/>
      <c r="L4" s="5"/>
      <c r="M4" s="146"/>
      <c r="P4" s="59"/>
    </row>
    <row r="5" spans="3:79" s="82" customFormat="1" ht="15.6" x14ac:dyDescent="0.3">
      <c r="C5" s="710"/>
      <c r="E5" s="149"/>
      <c r="L5" s="5"/>
      <c r="M5" s="146"/>
      <c r="P5" s="59"/>
    </row>
    <row r="6" spans="3:79" s="82" customFormat="1" x14ac:dyDescent="0.25">
      <c r="C6" s="710"/>
      <c r="L6" s="5"/>
      <c r="M6" s="146"/>
      <c r="P6" s="59"/>
    </row>
    <row r="7" spans="3:79" s="82" customFormat="1" ht="9.75" customHeight="1" x14ac:dyDescent="0.25">
      <c r="C7" s="710"/>
      <c r="L7" s="5"/>
      <c r="M7" s="146"/>
      <c r="P7" s="59"/>
    </row>
    <row r="8" spans="3:79" s="82" customFormat="1" ht="2.25" customHeight="1" x14ac:dyDescent="0.25">
      <c r="C8" s="710"/>
      <c r="M8" s="146"/>
      <c r="N8" s="59"/>
      <c r="O8" s="59"/>
      <c r="P8" s="59"/>
    </row>
    <row r="9" spans="3:79" s="59" customFormat="1" ht="2.25" customHeight="1" x14ac:dyDescent="0.25">
      <c r="C9" s="711"/>
    </row>
    <row r="10" spans="3:79" s="59" customFormat="1" ht="2.25" customHeight="1" x14ac:dyDescent="0.3">
      <c r="C10" s="711"/>
      <c r="D10" s="1958"/>
      <c r="E10" s="1958"/>
      <c r="F10" s="1958"/>
      <c r="G10" s="1958"/>
      <c r="H10" s="1958"/>
      <c r="I10" s="1958"/>
      <c r="J10" s="1958"/>
      <c r="K10" s="1958"/>
      <c r="L10" s="1958"/>
      <c r="M10" s="1958"/>
      <c r="N10" s="150"/>
      <c r="O10" s="150"/>
    </row>
    <row r="11" spans="3:79" s="59" customFormat="1" ht="2.25" customHeight="1" x14ac:dyDescent="0.3">
      <c r="C11" s="711"/>
      <c r="D11" s="1958"/>
      <c r="E11" s="1958"/>
      <c r="F11" s="1958"/>
      <c r="G11" s="1958"/>
      <c r="H11" s="1958"/>
      <c r="I11" s="1958"/>
      <c r="J11" s="1958"/>
      <c r="K11" s="1958"/>
      <c r="L11" s="1958"/>
      <c r="M11" s="1958"/>
      <c r="N11" s="1958"/>
      <c r="O11" s="1958"/>
    </row>
    <row r="12" spans="3:79" s="59" customFormat="1" ht="149.25" customHeight="1" x14ac:dyDescent="0.25">
      <c r="C12" s="711"/>
      <c r="D12" s="1974" t="s">
        <v>7252</v>
      </c>
      <c r="E12" s="1974"/>
      <c r="F12" s="1974"/>
      <c r="G12" s="1974"/>
      <c r="H12" s="1974"/>
      <c r="I12" s="1974"/>
      <c r="J12" s="1974"/>
      <c r="K12" s="1974"/>
      <c r="L12" s="1974"/>
      <c r="M12" s="1974"/>
      <c r="N12" s="1974"/>
      <c r="R12" s="58"/>
      <c r="S12" s="58"/>
      <c r="T12" s="58"/>
      <c r="U12" s="58"/>
      <c r="V12" s="58"/>
    </row>
    <row r="13" spans="3:79" s="59" customFormat="1" ht="13.5" customHeight="1" x14ac:dyDescent="0.25">
      <c r="C13" s="712"/>
      <c r="D13" s="59" t="s">
        <v>1421</v>
      </c>
      <c r="R13" s="58"/>
      <c r="S13" s="58"/>
      <c r="T13" s="58"/>
      <c r="U13" s="58"/>
      <c r="V13" s="58"/>
    </row>
    <row r="14" spans="3:79" s="59" customFormat="1" x14ac:dyDescent="0.25">
      <c r="C14" s="711"/>
      <c r="R14" s="58"/>
      <c r="S14" s="58"/>
      <c r="T14" s="58"/>
      <c r="U14" s="58"/>
      <c r="V14" s="58"/>
    </row>
    <row r="15" spans="3:79" s="59" customFormat="1" ht="27.75" hidden="1" customHeight="1" x14ac:dyDescent="0.25">
      <c r="C15" s="711"/>
      <c r="R15" s="58"/>
      <c r="S15" s="58"/>
      <c r="T15" s="58"/>
      <c r="U15" s="58"/>
      <c r="V15" s="58"/>
    </row>
    <row r="16" spans="3:79" s="59" customFormat="1" hidden="1" x14ac:dyDescent="0.25">
      <c r="C16" s="711"/>
      <c r="R16" s="58"/>
      <c r="S16" s="58"/>
      <c r="T16" s="58"/>
      <c r="U16" s="58"/>
      <c r="V16" s="58"/>
    </row>
    <row r="17" spans="2:45" s="59" customFormat="1" hidden="1" x14ac:dyDescent="0.25">
      <c r="C17" s="711"/>
      <c r="R17" s="58"/>
      <c r="S17" s="58"/>
      <c r="T17" s="58"/>
      <c r="U17" s="58"/>
      <c r="V17" s="58"/>
    </row>
    <row r="18" spans="2:45" s="59" customFormat="1" hidden="1" x14ac:dyDescent="0.25">
      <c r="C18" s="711"/>
      <c r="R18" s="58"/>
      <c r="S18" s="58"/>
      <c r="T18" s="58"/>
      <c r="U18" s="58"/>
      <c r="V18" s="58"/>
    </row>
    <row r="19" spans="2:45" s="59" customFormat="1" hidden="1" x14ac:dyDescent="0.25">
      <c r="C19" s="711"/>
      <c r="R19" s="58"/>
      <c r="S19" s="58"/>
      <c r="T19" s="58"/>
      <c r="U19" s="58"/>
      <c r="V19" s="58"/>
    </row>
    <row r="20" spans="2:45" s="59" customFormat="1" hidden="1" x14ac:dyDescent="0.25">
      <c r="C20" s="711"/>
      <c r="R20" s="58"/>
      <c r="S20" s="58"/>
      <c r="T20" s="58"/>
      <c r="U20" s="58"/>
      <c r="V20" s="58"/>
    </row>
    <row r="21" spans="2:45" s="59" customFormat="1" hidden="1" x14ac:dyDescent="0.25">
      <c r="C21" s="711"/>
      <c r="R21" s="58"/>
      <c r="S21" s="58"/>
      <c r="T21" s="58"/>
      <c r="U21" s="58"/>
      <c r="V21" s="58"/>
    </row>
    <row r="22" spans="2:45" s="59" customFormat="1" hidden="1" x14ac:dyDescent="0.25">
      <c r="C22" s="711"/>
      <c r="R22" s="58"/>
      <c r="S22" s="58"/>
      <c r="T22" s="58"/>
      <c r="U22" s="58"/>
      <c r="V22" s="58"/>
    </row>
    <row r="23" spans="2:45" s="59" customFormat="1" hidden="1" x14ac:dyDescent="0.25">
      <c r="C23" s="711"/>
      <c r="R23" s="58"/>
      <c r="S23" s="58"/>
      <c r="T23" s="58"/>
      <c r="U23" s="58"/>
      <c r="V23" s="58"/>
    </row>
    <row r="24" spans="2:45" s="59" customFormat="1" hidden="1" x14ac:dyDescent="0.25">
      <c r="C24" s="711"/>
      <c r="R24" s="58"/>
      <c r="S24" s="58"/>
      <c r="T24" s="58"/>
      <c r="U24" s="58"/>
      <c r="V24" s="58"/>
    </row>
    <row r="25" spans="2:45" s="59" customFormat="1" hidden="1" x14ac:dyDescent="0.25">
      <c r="C25" s="711"/>
      <c r="R25" s="58"/>
      <c r="S25" s="58"/>
      <c r="T25" s="58"/>
      <c r="U25" s="58"/>
      <c r="V25" s="58"/>
    </row>
    <row r="26" spans="2:45" s="59" customFormat="1" hidden="1" x14ac:dyDescent="0.25">
      <c r="C26" s="711"/>
      <c r="R26" s="58"/>
      <c r="S26" s="58"/>
      <c r="T26" s="58"/>
      <c r="U26" s="58"/>
      <c r="V26" s="58"/>
    </row>
    <row r="27" spans="2:45" s="59" customFormat="1" hidden="1" x14ac:dyDescent="0.25">
      <c r="C27" s="711"/>
      <c r="R27" s="58"/>
      <c r="S27" s="58"/>
      <c r="T27" s="58"/>
      <c r="U27" s="58"/>
      <c r="V27" s="58"/>
    </row>
    <row r="28" spans="2:45" s="59" customFormat="1" ht="15.6" x14ac:dyDescent="0.3">
      <c r="C28" s="711"/>
      <c r="D28" s="151" t="s">
        <v>1422</v>
      </c>
      <c r="R28" s="58"/>
      <c r="S28" s="58"/>
      <c r="T28" s="58"/>
      <c r="U28" s="58"/>
      <c r="V28" s="58"/>
    </row>
    <row r="29" spans="2:45" s="59" customFormat="1" ht="78" customHeight="1" x14ac:dyDescent="0.25">
      <c r="C29" s="711"/>
      <c r="D29" s="1959" t="s">
        <v>1423</v>
      </c>
      <c r="E29" s="1960"/>
      <c r="F29" s="1961"/>
      <c r="G29" s="262" t="s">
        <v>11</v>
      </c>
      <c r="H29" s="152" t="s">
        <v>1424</v>
      </c>
      <c r="I29" s="152" t="s">
        <v>1463</v>
      </c>
      <c r="J29" s="152" t="s">
        <v>1469</v>
      </c>
      <c r="K29" s="152" t="s">
        <v>1425</v>
      </c>
      <c r="L29" s="152" t="s">
        <v>1426</v>
      </c>
      <c r="M29" s="355" t="s">
        <v>1470</v>
      </c>
      <c r="N29" s="507" t="s">
        <v>2013</v>
      </c>
      <c r="R29" s="58"/>
      <c r="S29" s="58"/>
      <c r="T29" s="58"/>
      <c r="U29" s="58"/>
      <c r="V29" s="58"/>
    </row>
    <row r="30" spans="2:45" s="59" customFormat="1" ht="14.4" x14ac:dyDescent="0.3">
      <c r="B30" s="59">
        <v>1</v>
      </c>
      <c r="C30" s="353">
        <v>1</v>
      </c>
      <c r="D30" s="1609" t="s">
        <v>427</v>
      </c>
      <c r="E30" s="1610"/>
      <c r="F30" s="1611"/>
      <c r="G30" s="321" t="str">
        <f>IF(ISERROR(VLOOKUP(D30, '4. Billing Det. for Def-Var'!$A$16:$B$50, 2, FALSE)),"", VLOOKUP(D30,'4. Billing Det. for Def-Var'!$A$16:$B$50, 2, FALSE))</f>
        <v>kWh</v>
      </c>
      <c r="H30" s="153" t="s">
        <v>1427</v>
      </c>
      <c r="I30" s="1225">
        <v>1.0452999999999999</v>
      </c>
      <c r="J30" s="356">
        <f t="shared" ref="J30:J49" si="0">IF(ISBLANK(I30),"", I30)</f>
        <v>1.0452999999999999</v>
      </c>
      <c r="K30" s="154">
        <v>750</v>
      </c>
      <c r="L30" s="154"/>
      <c r="M30" s="153" t="s">
        <v>7378</v>
      </c>
      <c r="N30" s="508"/>
      <c r="R30" s="58"/>
      <c r="S30" s="58"/>
      <c r="T30" s="58">
        <f t="shared" ref="T30:T49" si="1">SUM(I30:L30)</f>
        <v>752.09059999999999</v>
      </c>
      <c r="U30" s="714">
        <v>78</v>
      </c>
      <c r="V30" s="58"/>
      <c r="AS30" s="59">
        <v>1</v>
      </c>
    </row>
    <row r="31" spans="2:45" s="59" customFormat="1" ht="14.4" x14ac:dyDescent="0.3">
      <c r="B31" s="59">
        <v>2</v>
      </c>
      <c r="C31" s="353">
        <v>2</v>
      </c>
      <c r="D31" s="1609" t="s">
        <v>2522</v>
      </c>
      <c r="E31" s="1610"/>
      <c r="F31" s="1611"/>
      <c r="G31" s="321" t="str">
        <f>IF(ISERROR(VLOOKUP(D31, '4. Billing Det. for Def-Var'!$A$16:$B$50, 2, FALSE)),"", VLOOKUP(D31,'4. Billing Det. for Def-Var'!$A$16:$B$50, 2, FALSE))</f>
        <v>kWh</v>
      </c>
      <c r="H31" s="153" t="s">
        <v>1427</v>
      </c>
      <c r="I31" s="1225">
        <v>1.0452999999999999</v>
      </c>
      <c r="J31" s="356">
        <f t="shared" si="0"/>
        <v>1.0452999999999999</v>
      </c>
      <c r="K31" s="154">
        <v>2000</v>
      </c>
      <c r="L31" s="154"/>
      <c r="M31" s="153" t="s">
        <v>7378</v>
      </c>
      <c r="N31" s="508"/>
      <c r="R31" s="58"/>
      <c r="S31" s="58"/>
      <c r="T31" s="58">
        <f t="shared" si="1"/>
        <v>2002.0906</v>
      </c>
      <c r="U31" s="714">
        <f>U30+68</f>
        <v>146</v>
      </c>
      <c r="V31" s="58"/>
      <c r="AS31" s="59">
        <v>2</v>
      </c>
    </row>
    <row r="32" spans="2:45" s="59" customFormat="1" ht="14.4" x14ac:dyDescent="0.3">
      <c r="B32" s="59">
        <v>3</v>
      </c>
      <c r="C32" s="353">
        <v>3</v>
      </c>
      <c r="D32" s="1609" t="s">
        <v>611</v>
      </c>
      <c r="E32" s="1610"/>
      <c r="F32" s="1611"/>
      <c r="G32" s="321" t="str">
        <f>IF(ISERROR(VLOOKUP(D32, '4. Billing Det. for Def-Var'!$A$16:$B$50, 2, FALSE)),"", VLOOKUP(D32,'4. Billing Det. for Def-Var'!$A$16:$B$50, 2, FALSE))</f>
        <v>kW</v>
      </c>
      <c r="H32" s="153" t="s">
        <v>1429</v>
      </c>
      <c r="I32" s="1225">
        <v>1.0452999999999999</v>
      </c>
      <c r="J32" s="356">
        <f t="shared" si="0"/>
        <v>1.0452999999999999</v>
      </c>
      <c r="K32" s="154">
        <v>332500</v>
      </c>
      <c r="L32" s="154">
        <v>840</v>
      </c>
      <c r="M32" s="153" t="s">
        <v>7379</v>
      </c>
      <c r="N32" s="508"/>
      <c r="R32" s="58"/>
      <c r="S32" s="58"/>
      <c r="T32" s="58">
        <f t="shared" si="1"/>
        <v>333342.0906</v>
      </c>
      <c r="U32" s="714">
        <f t="shared" ref="U32:U49" si="2">U31+68</f>
        <v>214</v>
      </c>
      <c r="V32" s="58"/>
      <c r="AS32" s="59">
        <v>3</v>
      </c>
    </row>
    <row r="33" spans="2:45" s="59" customFormat="1" ht="14.4" x14ac:dyDescent="0.3">
      <c r="B33" s="59">
        <v>4</v>
      </c>
      <c r="C33" s="353">
        <v>4</v>
      </c>
      <c r="D33" s="1609" t="s">
        <v>612</v>
      </c>
      <c r="E33" s="1610"/>
      <c r="F33" s="1611"/>
      <c r="G33" s="321" t="str">
        <f>IF(ISERROR(VLOOKUP(D33, '4. Billing Det. for Def-Var'!$A$16:$B$50, 2, FALSE)),"", VLOOKUP(D33,'4. Billing Det. for Def-Var'!$A$16:$B$50, 2, FALSE))</f>
        <v>kW</v>
      </c>
      <c r="H33" s="153" t="s">
        <v>1429</v>
      </c>
      <c r="I33" s="1225">
        <v>1.0452999999999999</v>
      </c>
      <c r="J33" s="356">
        <f t="shared" si="0"/>
        <v>1.0452999999999999</v>
      </c>
      <c r="K33" s="154">
        <v>1507000</v>
      </c>
      <c r="L33" s="154">
        <v>3600</v>
      </c>
      <c r="M33" s="153" t="s">
        <v>7379</v>
      </c>
      <c r="N33" s="508"/>
      <c r="R33" s="58"/>
      <c r="S33" s="58"/>
      <c r="T33" s="58">
        <f t="shared" si="1"/>
        <v>1510602.0906</v>
      </c>
      <c r="U33" s="714">
        <f t="shared" si="2"/>
        <v>282</v>
      </c>
      <c r="V33" s="58"/>
      <c r="AS33" s="59">
        <v>4</v>
      </c>
    </row>
    <row r="34" spans="2:45" s="59" customFormat="1" ht="14.4" x14ac:dyDescent="0.3">
      <c r="B34" s="59">
        <v>5</v>
      </c>
      <c r="C34" s="353">
        <v>5</v>
      </c>
      <c r="D34" s="1609" t="s">
        <v>592</v>
      </c>
      <c r="E34" s="1610"/>
      <c r="F34" s="1611"/>
      <c r="G34" s="321" t="str">
        <f>IF(ISERROR(VLOOKUP(D34, '4. Billing Det. for Def-Var'!$A$16:$B$50, 2, FALSE)),"", VLOOKUP(D34,'4. Billing Det. for Def-Var'!$A$16:$B$50, 2, FALSE))</f>
        <v>kWh</v>
      </c>
      <c r="H34" s="153" t="s">
        <v>1427</v>
      </c>
      <c r="I34" s="1225">
        <v>1.0452999999999999</v>
      </c>
      <c r="J34" s="356">
        <f t="shared" si="0"/>
        <v>1.0452999999999999</v>
      </c>
      <c r="K34" s="154">
        <v>275</v>
      </c>
      <c r="L34" s="154"/>
      <c r="M34" s="153" t="s">
        <v>7378</v>
      </c>
      <c r="N34" s="771"/>
      <c r="R34" s="58"/>
      <c r="S34" s="58"/>
      <c r="T34" s="58">
        <f t="shared" si="1"/>
        <v>277.09059999999999</v>
      </c>
      <c r="U34" s="714">
        <f t="shared" si="2"/>
        <v>350</v>
      </c>
      <c r="V34" s="58"/>
      <c r="AS34" s="59">
        <v>5</v>
      </c>
    </row>
    <row r="35" spans="2:45" s="59" customFormat="1" ht="14.4" x14ac:dyDescent="0.3">
      <c r="B35" s="59">
        <v>6</v>
      </c>
      <c r="C35" s="353">
        <v>6</v>
      </c>
      <c r="D35" s="1609" t="s">
        <v>604</v>
      </c>
      <c r="E35" s="1610"/>
      <c r="F35" s="1611"/>
      <c r="G35" s="321" t="str">
        <f>IF(ISERROR(VLOOKUP(D35, '4. Billing Det. for Def-Var'!$A$16:$B$50, 2, FALSE)),"", VLOOKUP(D35,'4. Billing Det. for Def-Var'!$A$16:$B$50, 2, FALSE))</f>
        <v>kW</v>
      </c>
      <c r="H35" s="153" t="s">
        <v>1427</v>
      </c>
      <c r="I35" s="1225">
        <v>1.0452999999999999</v>
      </c>
      <c r="J35" s="356">
        <f t="shared" si="0"/>
        <v>1.0452999999999999</v>
      </c>
      <c r="K35" s="154">
        <v>75</v>
      </c>
      <c r="L35" s="154">
        <v>0</v>
      </c>
      <c r="M35" s="153" t="s">
        <v>7379</v>
      </c>
      <c r="N35" s="771"/>
      <c r="R35" s="58"/>
      <c r="S35" s="58"/>
      <c r="T35" s="58">
        <f t="shared" si="1"/>
        <v>77.090599999999995</v>
      </c>
      <c r="U35" s="714">
        <f t="shared" si="2"/>
        <v>418</v>
      </c>
      <c r="V35" s="58"/>
      <c r="AS35" s="59">
        <v>6</v>
      </c>
    </row>
    <row r="36" spans="2:45" s="59" customFormat="1" ht="14.4" x14ac:dyDescent="0.3">
      <c r="B36" s="59">
        <v>7</v>
      </c>
      <c r="C36" s="353">
        <v>7</v>
      </c>
      <c r="D36" s="1609" t="s">
        <v>590</v>
      </c>
      <c r="E36" s="1610"/>
      <c r="F36" s="1611"/>
      <c r="G36" s="321" t="str">
        <f>IF(ISERROR(VLOOKUP(D36, '4. Billing Det. for Def-Var'!$A$16:$B$50, 2, FALSE)),"", VLOOKUP(D36,'4. Billing Det. for Def-Var'!$A$16:$B$50, 2, FALSE))</f>
        <v>kW</v>
      </c>
      <c r="H36" s="153" t="s">
        <v>1429</v>
      </c>
      <c r="I36" s="1225">
        <v>1.0452999999999999</v>
      </c>
      <c r="J36" s="356">
        <f t="shared" si="0"/>
        <v>1.0452999999999999</v>
      </c>
      <c r="K36" s="154">
        <v>19051</v>
      </c>
      <c r="L36" s="154">
        <v>45</v>
      </c>
      <c r="M36" s="153" t="s">
        <v>7379</v>
      </c>
      <c r="N36" s="771"/>
      <c r="R36" s="58"/>
      <c r="S36" s="58"/>
      <c r="T36" s="58">
        <f t="shared" si="1"/>
        <v>19098.0906</v>
      </c>
      <c r="U36" s="714">
        <f t="shared" si="2"/>
        <v>486</v>
      </c>
      <c r="V36" s="58"/>
      <c r="AS36" s="59">
        <v>7</v>
      </c>
    </row>
    <row r="37" spans="2:45" s="59" customFormat="1" ht="14.4" x14ac:dyDescent="0.3">
      <c r="B37" s="59">
        <v>8</v>
      </c>
      <c r="C37" s="353">
        <f>IF(ISERROR(VLOOKUP(D37, D30:AS49, 42, FALSE)),"", VLOOKUP(D37, D30:AS49, 42, FALSE))</f>
        <v>1</v>
      </c>
      <c r="D37" s="350" t="s">
        <v>427</v>
      </c>
      <c r="E37" s="351"/>
      <c r="F37" s="352"/>
      <c r="G37" s="321" t="str">
        <f>IF(ISERROR(VLOOKUP(D37, '4. Billing Det. for Def-Var'!$A$16:$B$50, 2, FALSE)),"", VLOOKUP(D37,'4. Billing Det. for Def-Var'!$A$16:$B$50, 2, FALSE))</f>
        <v>kWh</v>
      </c>
      <c r="H37" s="153" t="s">
        <v>1428</v>
      </c>
      <c r="I37" s="1225">
        <v>1.0452999999999999</v>
      </c>
      <c r="J37" s="356">
        <f t="shared" si="0"/>
        <v>1.0452999999999999</v>
      </c>
      <c r="K37" s="154">
        <v>750</v>
      </c>
      <c r="L37" s="154"/>
      <c r="M37" s="153" t="s">
        <v>7378</v>
      </c>
      <c r="N37" s="508"/>
      <c r="R37" s="58"/>
      <c r="S37" s="58"/>
      <c r="T37" s="58">
        <f t="shared" si="1"/>
        <v>752.09059999999999</v>
      </c>
      <c r="U37" s="714">
        <f t="shared" si="2"/>
        <v>554</v>
      </c>
      <c r="V37" s="58"/>
      <c r="AS37" s="59">
        <v>8</v>
      </c>
    </row>
    <row r="38" spans="2:45" s="59" customFormat="1" ht="14.4" x14ac:dyDescent="0.3">
      <c r="B38" s="59">
        <v>9</v>
      </c>
      <c r="C38" s="353">
        <f>IF(ISERROR(VLOOKUP(D38, D30:AS49, 42, FALSE)),"", VLOOKUP(D38, D30:AS49, 42, FALSE))</f>
        <v>2</v>
      </c>
      <c r="D38" s="350" t="s">
        <v>2522</v>
      </c>
      <c r="E38" s="351"/>
      <c r="F38" s="352"/>
      <c r="G38" s="321" t="str">
        <f>IF(ISERROR(VLOOKUP(D38, '4. Billing Det. for Def-Var'!$A$16:$B$50, 2, FALSE)),"", VLOOKUP(D38,'4. Billing Det. for Def-Var'!$A$16:$B$50, 2, FALSE))</f>
        <v>kWh</v>
      </c>
      <c r="H38" s="153" t="s">
        <v>1428</v>
      </c>
      <c r="I38" s="1225">
        <v>1.0452999999999999</v>
      </c>
      <c r="J38" s="356">
        <f t="shared" si="0"/>
        <v>1.0452999999999999</v>
      </c>
      <c r="K38" s="154">
        <v>2000</v>
      </c>
      <c r="L38" s="154"/>
      <c r="M38" s="153" t="s">
        <v>7378</v>
      </c>
      <c r="N38" s="508"/>
      <c r="R38" s="58"/>
      <c r="S38" s="58"/>
      <c r="T38" s="58">
        <f t="shared" si="1"/>
        <v>2002.0906</v>
      </c>
      <c r="U38" s="714">
        <f t="shared" si="2"/>
        <v>622</v>
      </c>
      <c r="V38" s="58"/>
      <c r="AS38" s="59">
        <v>9</v>
      </c>
    </row>
    <row r="39" spans="2:45" s="59" customFormat="1" ht="14.4" x14ac:dyDescent="0.3">
      <c r="B39" s="59">
        <v>10</v>
      </c>
      <c r="C39" s="353">
        <f>IF(ISERROR(VLOOKUP(D39, D30:AS49, 42, FALSE)),"", VLOOKUP(D39, D30:AS49, 42, FALSE))</f>
        <v>5</v>
      </c>
      <c r="D39" s="350" t="s">
        <v>592</v>
      </c>
      <c r="E39" s="351"/>
      <c r="F39" s="352"/>
      <c r="G39" s="321" t="str">
        <f>IF(ISERROR(VLOOKUP(D39, '4. Billing Det. for Def-Var'!$A$16:$B$50, 2, FALSE)),"", VLOOKUP(D39,'4. Billing Det. for Def-Var'!$A$16:$B$50, 2, FALSE))</f>
        <v>kWh</v>
      </c>
      <c r="H39" s="153" t="s">
        <v>1428</v>
      </c>
      <c r="I39" s="1225">
        <v>1.0452999999999999</v>
      </c>
      <c r="J39" s="356">
        <f t="shared" si="0"/>
        <v>1.0452999999999999</v>
      </c>
      <c r="K39" s="154">
        <v>275</v>
      </c>
      <c r="L39" s="154"/>
      <c r="M39" s="153" t="s">
        <v>7378</v>
      </c>
      <c r="N39" s="771"/>
      <c r="R39" s="58"/>
      <c r="S39" s="58"/>
      <c r="T39" s="58">
        <f t="shared" si="1"/>
        <v>277.09059999999999</v>
      </c>
      <c r="U39" s="714">
        <f t="shared" si="2"/>
        <v>690</v>
      </c>
      <c r="V39" s="58"/>
      <c r="AS39" s="59">
        <v>10</v>
      </c>
    </row>
    <row r="40" spans="2:45" s="59" customFormat="1" ht="14.4" x14ac:dyDescent="0.3">
      <c r="B40" s="59">
        <v>11</v>
      </c>
      <c r="C40" s="353">
        <f>IF(ISERROR(VLOOKUP(D40, D30:AS49, 42, FALSE)),"", VLOOKUP(D40, D30:AS49, 42, FALSE))</f>
        <v>6</v>
      </c>
      <c r="D40" s="350" t="s">
        <v>604</v>
      </c>
      <c r="E40" s="351"/>
      <c r="F40" s="352"/>
      <c r="G40" s="321" t="str">
        <f>IF(ISERROR(VLOOKUP(D40, '4. Billing Det. for Def-Var'!$A$16:$B$50, 2, FALSE)),"", VLOOKUP(D40,'4. Billing Det. for Def-Var'!$A$16:$B$50, 2, FALSE))</f>
        <v>kW</v>
      </c>
      <c r="H40" s="153" t="s">
        <v>1428</v>
      </c>
      <c r="I40" s="1225">
        <v>1.0452999999999999</v>
      </c>
      <c r="J40" s="356">
        <f t="shared" si="0"/>
        <v>1.0452999999999999</v>
      </c>
      <c r="K40" s="154">
        <v>75</v>
      </c>
      <c r="L40" s="154"/>
      <c r="M40" s="153" t="s">
        <v>7379</v>
      </c>
      <c r="N40" s="771"/>
      <c r="R40" s="58"/>
      <c r="S40" s="58"/>
      <c r="T40" s="58">
        <f t="shared" si="1"/>
        <v>77.090599999999995</v>
      </c>
      <c r="U40" s="714">
        <f t="shared" si="2"/>
        <v>758</v>
      </c>
      <c r="V40" s="58"/>
      <c r="AS40" s="59">
        <v>11</v>
      </c>
    </row>
    <row r="41" spans="2:45" s="59" customFormat="1" ht="14.4" x14ac:dyDescent="0.3">
      <c r="B41" s="59">
        <v>12</v>
      </c>
      <c r="C41" s="353" t="str">
        <f>IF(ISERROR(VLOOKUP(D41, D30:AS49, 42, FALSE)),"", VLOOKUP(D41, D30:AS49, 42, FALSE))</f>
        <v/>
      </c>
      <c r="D41" s="350"/>
      <c r="E41" s="351"/>
      <c r="F41" s="352"/>
      <c r="G41" s="321" t="str">
        <f>IF(ISERROR(VLOOKUP(D41, '4. Billing Det. for Def-Var'!$A$16:$B$50, 2, FALSE)),"", VLOOKUP(D41,'4. Billing Det. for Def-Var'!$A$16:$B$50, 2, FALSE))</f>
        <v/>
      </c>
      <c r="H41" s="153"/>
      <c r="I41" s="1225">
        <v>1.0452999999999999</v>
      </c>
      <c r="J41" s="356">
        <f t="shared" si="0"/>
        <v>1.0452999999999999</v>
      </c>
      <c r="K41" s="154"/>
      <c r="L41" s="154"/>
      <c r="M41" s="153"/>
      <c r="N41" s="508"/>
      <c r="R41" s="58"/>
      <c r="S41" s="58"/>
      <c r="T41" s="58">
        <f t="shared" si="1"/>
        <v>2.0905999999999998</v>
      </c>
      <c r="U41" s="714">
        <f t="shared" si="2"/>
        <v>826</v>
      </c>
      <c r="V41" s="58"/>
    </row>
    <row r="42" spans="2:45" s="59" customFormat="1" ht="14.4" x14ac:dyDescent="0.3">
      <c r="B42" s="59">
        <v>13</v>
      </c>
      <c r="C42" s="353" t="str">
        <f>IF(ISERROR(VLOOKUP(D42, D30:AS49, 42, FALSE)),"", VLOOKUP(D42, D30:AS49, 42, FALSE))</f>
        <v/>
      </c>
      <c r="D42" s="350"/>
      <c r="E42" s="351"/>
      <c r="F42" s="352"/>
      <c r="G42" s="321" t="str">
        <f>IF(ISERROR(VLOOKUP(D42, '4. Billing Det. for Def-Var'!$A$16:$B$50, 2, FALSE)),"", VLOOKUP(D42,'4. Billing Det. for Def-Var'!$A$16:$B$50, 2, FALSE))</f>
        <v/>
      </c>
      <c r="H42" s="153"/>
      <c r="I42" s="1225">
        <v>1.0452999999999999</v>
      </c>
      <c r="J42" s="356">
        <f t="shared" si="0"/>
        <v>1.0452999999999999</v>
      </c>
      <c r="K42" s="154"/>
      <c r="L42" s="154"/>
      <c r="M42" s="153"/>
      <c r="N42" s="508"/>
      <c r="R42" s="58"/>
      <c r="S42" s="58"/>
      <c r="T42" s="58">
        <f t="shared" si="1"/>
        <v>2.0905999999999998</v>
      </c>
      <c r="U42" s="714">
        <f t="shared" si="2"/>
        <v>894</v>
      </c>
      <c r="V42" s="58"/>
    </row>
    <row r="43" spans="2:45" s="59" customFormat="1" ht="14.4" x14ac:dyDescent="0.3">
      <c r="B43" s="59">
        <v>14</v>
      </c>
      <c r="C43" s="353">
        <f>IF(ISERROR(VLOOKUP(D37, D30:AS49, 42, FALSE)),"", VLOOKUP(D37, D30:AS49, 42, FALSE))</f>
        <v>1</v>
      </c>
      <c r="D43" s="350" t="s">
        <v>2330</v>
      </c>
      <c r="E43" s="351"/>
      <c r="F43" s="352"/>
      <c r="G43" s="321" t="str">
        <f>IF(ISERROR(VLOOKUP(D43, '4. Billing Det. for Def-Var'!$A$16:$B$50, 2, FALSE)),"", VLOOKUP(D43,'4. Billing Det. for Def-Var'!$A$16:$B$50, 2, FALSE))</f>
        <v/>
      </c>
      <c r="H43" s="153"/>
      <c r="I43" s="1225">
        <v>1.0452999999999999</v>
      </c>
      <c r="J43" s="356">
        <f t="shared" si="0"/>
        <v>1.0452999999999999</v>
      </c>
      <c r="K43" s="154"/>
      <c r="L43" s="154"/>
      <c r="M43" s="153"/>
      <c r="N43" s="508"/>
      <c r="R43" s="58"/>
      <c r="S43" s="58"/>
      <c r="T43" s="58">
        <f t="shared" si="1"/>
        <v>2.0905999999999998</v>
      </c>
      <c r="U43" s="714">
        <f t="shared" si="2"/>
        <v>962</v>
      </c>
      <c r="V43" s="58"/>
    </row>
    <row r="44" spans="2:45" s="59" customFormat="1" ht="14.4" x14ac:dyDescent="0.3">
      <c r="B44" s="59">
        <v>15</v>
      </c>
      <c r="C44" s="353">
        <f>IF(ISERROR(VLOOKUP(D38, D30:AS49, 42, FALSE)),"", VLOOKUP(D38, D30:AS49, 42, FALSE))</f>
        <v>2</v>
      </c>
      <c r="D44" s="350" t="s">
        <v>2330</v>
      </c>
      <c r="E44" s="351"/>
      <c r="F44" s="352"/>
      <c r="G44" s="321" t="str">
        <f>IF(ISERROR(VLOOKUP(D44, '4. Billing Det. for Def-Var'!$A$16:$B$50, 2, FALSE)),"", VLOOKUP(D44,'4. Billing Det. for Def-Var'!$A$16:$B$50, 2, FALSE))</f>
        <v/>
      </c>
      <c r="H44" s="153"/>
      <c r="I44" s="1225">
        <v>1.0452999999999999</v>
      </c>
      <c r="J44" s="356">
        <f t="shared" si="0"/>
        <v>1.0452999999999999</v>
      </c>
      <c r="K44" s="154"/>
      <c r="L44" s="154"/>
      <c r="M44" s="153"/>
      <c r="N44" s="508"/>
      <c r="R44" s="58"/>
      <c r="S44" s="58"/>
      <c r="T44" s="58">
        <f t="shared" si="1"/>
        <v>2.0905999999999998</v>
      </c>
      <c r="U44" s="714">
        <f t="shared" si="2"/>
        <v>1030</v>
      </c>
      <c r="V44" s="58"/>
    </row>
    <row r="45" spans="2:45" s="59" customFormat="1" ht="14.4" x14ac:dyDescent="0.3">
      <c r="B45" s="59">
        <v>16</v>
      </c>
      <c r="C45" s="353">
        <f>IF(ISERROR(VLOOKUP(D39, D30:AS49, 42, FALSE)),"", VLOOKUP(D39, D30:AS49, 42, FALSE))</f>
        <v>5</v>
      </c>
      <c r="D45" s="350" t="s">
        <v>2330</v>
      </c>
      <c r="E45" s="351"/>
      <c r="F45" s="352"/>
      <c r="G45" s="321" t="str">
        <f>IF(ISERROR(VLOOKUP(D45, '4. Billing Det. for Def-Var'!$A$16:$B$50, 2, FALSE)),"", VLOOKUP(D45,'4. Billing Det. for Def-Var'!$A$16:$B$50, 2, FALSE))</f>
        <v/>
      </c>
      <c r="H45" s="153"/>
      <c r="I45" s="1225">
        <v>1.0452999999999999</v>
      </c>
      <c r="J45" s="356">
        <f t="shared" si="0"/>
        <v>1.0452999999999999</v>
      </c>
      <c r="K45" s="154"/>
      <c r="L45" s="154"/>
      <c r="M45" s="153"/>
      <c r="N45" s="508"/>
      <c r="R45" s="58"/>
      <c r="S45" s="58"/>
      <c r="T45" s="58">
        <f t="shared" si="1"/>
        <v>2.0905999999999998</v>
      </c>
      <c r="U45" s="714">
        <f t="shared" si="2"/>
        <v>1098</v>
      </c>
      <c r="V45" s="58"/>
    </row>
    <row r="46" spans="2:45" s="59" customFormat="1" ht="14.4" x14ac:dyDescent="0.3">
      <c r="B46" s="59">
        <v>17</v>
      </c>
      <c r="C46" s="353">
        <f>IF(ISERROR(VLOOKUP(D40, D30:AS49, 42, FALSE)),"", VLOOKUP(D40, D30:AS49, 42, FALSE))</f>
        <v>6</v>
      </c>
      <c r="D46" s="350" t="s">
        <v>2330</v>
      </c>
      <c r="E46" s="351"/>
      <c r="F46" s="352"/>
      <c r="G46" s="321" t="str">
        <f>IF(ISERROR(VLOOKUP(D46, '4. Billing Det. for Def-Var'!$A$16:$B$50, 2, FALSE)),"", VLOOKUP(D46,'4. Billing Det. for Def-Var'!$A$16:$B$50, 2, FALSE))</f>
        <v/>
      </c>
      <c r="H46" s="153"/>
      <c r="I46" s="1225">
        <v>1.0452999999999999</v>
      </c>
      <c r="J46" s="356">
        <f t="shared" si="0"/>
        <v>1.0452999999999999</v>
      </c>
      <c r="K46" s="154"/>
      <c r="L46" s="154"/>
      <c r="M46" s="153"/>
      <c r="N46" s="508"/>
      <c r="R46" s="58"/>
      <c r="S46" s="58"/>
      <c r="T46" s="58">
        <f t="shared" si="1"/>
        <v>2.0905999999999998</v>
      </c>
      <c r="U46" s="714">
        <f t="shared" si="2"/>
        <v>1166</v>
      </c>
      <c r="V46" s="58"/>
    </row>
    <row r="47" spans="2:45" s="59" customFormat="1" ht="14.4" x14ac:dyDescent="0.3">
      <c r="B47" s="59">
        <v>18</v>
      </c>
      <c r="C47" s="353" t="str">
        <f>IF(ISERROR(VLOOKUP(D41, D30:AS49, 42, FALSE)),"", VLOOKUP(D41, D30:AS49, 42, FALSE))</f>
        <v/>
      </c>
      <c r="D47" s="350" t="s">
        <v>2330</v>
      </c>
      <c r="E47" s="351"/>
      <c r="F47" s="352"/>
      <c r="G47" s="321" t="str">
        <f>IF(ISERROR(VLOOKUP(D47, '4. Billing Det. for Def-Var'!$A$16:$B$50, 2, FALSE)),"", VLOOKUP(D47,'4. Billing Det. for Def-Var'!$A$16:$B$50, 2, FALSE))</f>
        <v/>
      </c>
      <c r="H47" s="153"/>
      <c r="I47" s="1225">
        <v>1.0452999999999999</v>
      </c>
      <c r="J47" s="356">
        <f t="shared" si="0"/>
        <v>1.0452999999999999</v>
      </c>
      <c r="K47" s="154"/>
      <c r="L47" s="154"/>
      <c r="M47" s="153"/>
      <c r="N47" s="508"/>
      <c r="R47" s="58"/>
      <c r="S47" s="58"/>
      <c r="T47" s="58">
        <f t="shared" si="1"/>
        <v>2.0905999999999998</v>
      </c>
      <c r="U47" s="714">
        <f t="shared" si="2"/>
        <v>1234</v>
      </c>
      <c r="V47" s="58"/>
    </row>
    <row r="48" spans="2:45" s="59" customFormat="1" ht="14.4" x14ac:dyDescent="0.3">
      <c r="B48" s="59">
        <v>19</v>
      </c>
      <c r="C48" s="353" t="str">
        <f>IF(ISERROR(VLOOKUP(D42, D30:AS49, 42, FALSE)),"", VLOOKUP(D42, D30:AS49, 42, FALSE))</f>
        <v/>
      </c>
      <c r="D48" s="350" t="s">
        <v>2330</v>
      </c>
      <c r="E48" s="351"/>
      <c r="F48" s="352"/>
      <c r="G48" s="321" t="str">
        <f>IF(ISERROR(VLOOKUP(D48, '4. Billing Det. for Def-Var'!$A$16:$B$50, 2, FALSE)),"", VLOOKUP(D48,'4. Billing Det. for Def-Var'!$A$16:$B$50, 2, FALSE))</f>
        <v/>
      </c>
      <c r="H48" s="153"/>
      <c r="I48" s="1225">
        <v>1.0452999999999999</v>
      </c>
      <c r="J48" s="356">
        <f t="shared" si="0"/>
        <v>1.0452999999999999</v>
      </c>
      <c r="K48" s="154"/>
      <c r="L48" s="154"/>
      <c r="M48" s="153"/>
      <c r="N48" s="508"/>
      <c r="R48" s="58"/>
      <c r="S48" s="58"/>
      <c r="T48" s="58">
        <f t="shared" si="1"/>
        <v>2.0905999999999998</v>
      </c>
      <c r="U48" s="714">
        <f t="shared" si="2"/>
        <v>1302</v>
      </c>
      <c r="V48" s="58"/>
    </row>
    <row r="49" spans="2:22" s="59" customFormat="1" ht="14.4" x14ac:dyDescent="0.3">
      <c r="B49" s="59">
        <v>20</v>
      </c>
      <c r="C49" s="353">
        <f>IF(ISERROR(VLOOKUP(D43, D30:AS49, 42, FALSE)),"", VLOOKUP(D43, D30:AS49, 42, FALSE))</f>
        <v>0</v>
      </c>
      <c r="D49" s="350" t="s">
        <v>2330</v>
      </c>
      <c r="E49" s="351"/>
      <c r="F49" s="352"/>
      <c r="G49" s="321" t="str">
        <f>IF(ISERROR(VLOOKUP(D49, '4. Billing Det. for Def-Var'!$A$16:$B$50, 2, FALSE)),"", VLOOKUP(D49,'4. Billing Det. for Def-Var'!$A$16:$B$50, 2, FALSE))</f>
        <v/>
      </c>
      <c r="H49" s="153"/>
      <c r="I49" s="1225">
        <v>1.0452999999999999</v>
      </c>
      <c r="J49" s="356">
        <f t="shared" si="0"/>
        <v>1.0452999999999999</v>
      </c>
      <c r="K49" s="154"/>
      <c r="L49" s="154"/>
      <c r="M49" s="153"/>
      <c r="N49" s="508"/>
      <c r="R49" s="58"/>
      <c r="S49" s="58"/>
      <c r="T49" s="58">
        <f t="shared" si="1"/>
        <v>2.0905999999999998</v>
      </c>
      <c r="U49" s="714">
        <f t="shared" si="2"/>
        <v>1370</v>
      </c>
      <c r="V49" s="58"/>
    </row>
    <row r="50" spans="2:22" s="59" customFormat="1" x14ac:dyDescent="0.25">
      <c r="C50" s="711"/>
      <c r="R50" s="58"/>
      <c r="S50" s="58"/>
      <c r="T50" s="58" t="s">
        <v>603</v>
      </c>
      <c r="U50" s="58"/>
      <c r="V50" s="58"/>
    </row>
    <row r="51" spans="2:22" s="59" customFormat="1" ht="15.6" x14ac:dyDescent="0.3">
      <c r="C51" s="711"/>
      <c r="D51" s="151" t="s">
        <v>1430</v>
      </c>
      <c r="R51" s="58"/>
      <c r="S51" s="58"/>
      <c r="T51" s="58"/>
      <c r="U51" s="58"/>
      <c r="V51" s="58"/>
    </row>
    <row r="52" spans="2:22" s="59" customFormat="1" ht="12.75" customHeight="1" x14ac:dyDescent="0.25">
      <c r="C52" s="711"/>
      <c r="D52" s="1962" t="s">
        <v>1423</v>
      </c>
      <c r="E52" s="1963"/>
      <c r="F52" s="1964"/>
      <c r="G52" s="1971" t="s">
        <v>11</v>
      </c>
      <c r="H52" s="1972" t="s">
        <v>1431</v>
      </c>
      <c r="I52" s="1972"/>
      <c r="J52" s="1972"/>
      <c r="K52" s="1972"/>
      <c r="L52" s="1972"/>
      <c r="M52" s="1972"/>
      <c r="N52" s="1972" t="s">
        <v>47</v>
      </c>
      <c r="O52" s="1972"/>
      <c r="R52" s="58"/>
      <c r="S52" s="58"/>
      <c r="T52" s="58"/>
      <c r="U52" s="58"/>
      <c r="V52" s="58"/>
    </row>
    <row r="53" spans="2:22" s="59" customFormat="1" x14ac:dyDescent="0.25">
      <c r="C53" s="711"/>
      <c r="D53" s="1965"/>
      <c r="E53" s="1966"/>
      <c r="F53" s="1967"/>
      <c r="G53" s="1971"/>
      <c r="H53" s="1973" t="s">
        <v>430</v>
      </c>
      <c r="I53" s="1973"/>
      <c r="J53" s="1973" t="s">
        <v>431</v>
      </c>
      <c r="K53" s="1973"/>
      <c r="L53" s="1973" t="s">
        <v>432</v>
      </c>
      <c r="M53" s="1973"/>
      <c r="N53" s="1973" t="s">
        <v>4378</v>
      </c>
      <c r="O53" s="1973"/>
      <c r="R53" s="58"/>
      <c r="S53" s="58"/>
      <c r="T53" s="58"/>
      <c r="U53" s="58"/>
      <c r="V53" s="58"/>
    </row>
    <row r="54" spans="2:22" s="59" customFormat="1" x14ac:dyDescent="0.25">
      <c r="C54" s="711"/>
      <c r="D54" s="1968"/>
      <c r="E54" s="1969"/>
      <c r="F54" s="1970"/>
      <c r="G54" s="1971"/>
      <c r="H54" s="155" t="s">
        <v>19</v>
      </c>
      <c r="I54" s="155" t="s">
        <v>82</v>
      </c>
      <c r="J54" s="155" t="s">
        <v>19</v>
      </c>
      <c r="K54" s="155" t="s">
        <v>82</v>
      </c>
      <c r="L54" s="155" t="s">
        <v>19</v>
      </c>
      <c r="M54" s="155" t="s">
        <v>82</v>
      </c>
      <c r="N54" s="155" t="s">
        <v>19</v>
      </c>
      <c r="O54" s="155" t="s">
        <v>82</v>
      </c>
      <c r="R54" s="58"/>
      <c r="S54" s="58"/>
      <c r="T54" s="58"/>
      <c r="U54" s="58"/>
      <c r="V54" s="58"/>
    </row>
    <row r="55" spans="2:22" s="59" customFormat="1" ht="14.4" x14ac:dyDescent="0.25">
      <c r="B55" s="59" t="str">
        <f>H30</f>
        <v>RPP</v>
      </c>
      <c r="C55" s="711">
        <v>1</v>
      </c>
      <c r="D55" s="1955" t="str">
        <f t="shared" ref="D55:D74" si="3">IF(ISBLANK(D30), "", IF(D30 = "Add additional scenarios if required", "", IF(M30="YES", D30 &amp; " - " &amp; H30 &amp; " - Interval Customers", D30 &amp; " - " &amp;H30)))</f>
        <v>RESIDENTIAL SERVICE CLASSIFICATION - RPP</v>
      </c>
      <c r="E55" s="1956"/>
      <c r="F55" s="1956"/>
      <c r="G55" s="156" t="str">
        <f t="shared" ref="G55:G69" si="4">IF(ISBLANK(G30), "", G30)</f>
        <v>kWh</v>
      </c>
      <c r="H55" s="157">
        <f>IF(LEN($G55)&gt;1, (SUMPRODUCT(--($C$78:$C$2000=$B30), --($A$78:$A$2000=$D30), --($B$78:$B$2000="ST_A"), $L$78:$L$2000)), "")</f>
        <v>0.27500000000000213</v>
      </c>
      <c r="I55" s="158">
        <f>IF(LEN($G55)&gt;1, (SUMPRODUCT(--($C$78:$C$2000=$B30), --($A$78:$A$2000=$D30), --($B$78:$B$2000="ST_A"), $M$78:$M$2000)), "")</f>
        <v>9.3473827328348792E-3</v>
      </c>
      <c r="J55" s="157">
        <f>IF(LEN($G55)&gt;1, (SUMPRODUCT(--($C$78:$C$2000=$B30), --($A$78:$A$2000=$D30), --($B$78:$B$2000="ST_B"), $L$78:$L$2000)), "")</f>
        <v>0.27500000000000568</v>
      </c>
      <c r="K55" s="158">
        <f>IF(LEN($G55)&gt;1, (SUMPRODUCT(--($C$78:$C$2000=$B30), --($A$78:$A$2000=$D30), --($B$78:$B$2000="ST_B"), $M$78:$M$2000)), "")</f>
        <v>7.4794298340885891E-3</v>
      </c>
      <c r="L55" s="157">
        <f>IF(LEN($G55)&gt;1, (SUMPRODUCT(--($C$78:$C$2000=$B30), --($A$78:$A$2000=$D30), --($B$78:$B$2000="ST_C"), $L$78:$L$2000)), "")</f>
        <v>0.11820500000000322</v>
      </c>
      <c r="M55" s="158">
        <f>IF(LEN($G55)&gt;1, (SUMPRODUCT(--($C$78:$C$2000=$B30), --($A$78:$A$2000=$D30), --($B$78:$B$2000="ST_C"), $M$78:$M$2000)), "")</f>
        <v>2.551260275200559E-3</v>
      </c>
      <c r="N55" s="157">
        <f>IF(LEN($G55)&gt;1, (SUMPRODUCT(--($C$78:$C$2000=$B30), --($A$78:$A$2000=$D30), --($B$78:$B$2000=$B55&amp;"_TOTAL"), $L$78:$L$2000)), "")</f>
        <v>9.598246000001609E-2</v>
      </c>
      <c r="O55" s="158">
        <f>IF(LEN($G55)&gt;1, (SUMPRODUCT(--($C$78:$C$2000=$B30), --($A$78:$A$2000=$D30), --($B$78:$B$2000=$B55&amp;"_TOTAL"), $M$78:$M$2000)), "")</f>
        <v>7.9022221726640478E-4</v>
      </c>
      <c r="R55" s="58"/>
      <c r="S55" s="58"/>
      <c r="T55" s="58"/>
      <c r="U55" s="58"/>
      <c r="V55" s="58"/>
    </row>
    <row r="56" spans="2:22" s="59" customFormat="1" ht="14.4" x14ac:dyDescent="0.25">
      <c r="B56" s="59" t="str">
        <f t="shared" ref="B56:B74" si="5">H31</f>
        <v>RPP</v>
      </c>
      <c r="C56" s="711">
        <v>2</v>
      </c>
      <c r="D56" s="1955" t="str">
        <f t="shared" si="3"/>
        <v>GENERAL SERVICE LESS THAN 50 KW SERVICE CLASSIFICATION - RPP</v>
      </c>
      <c r="E56" s="1956"/>
      <c r="F56" s="1956"/>
      <c r="G56" s="156" t="str">
        <f t="shared" si="4"/>
        <v>kWh</v>
      </c>
      <c r="H56" s="157">
        <f t="shared" ref="H56:H74" si="6">IF(LEN($G56)&gt;1, (SUMPRODUCT(--($C$78:$C$2000=$B31), --($A$78:$A$2000=$D31), --($B$78:$B$2000="ST_A"), $L$78:$L$2000)), "")</f>
        <v>-1.4399999999999977</v>
      </c>
      <c r="I56" s="158">
        <f t="shared" ref="I56:I74" si="7">IF(LEN($G56)&gt;1, (SUMPRODUCT(--($C$78:$C$2000=$B31), --($A$78:$A$2000=$D31), --($B$78:$B$2000="ST_A"), $M$78:$M$2000)), "")</f>
        <v>-2.0731356176216496E-2</v>
      </c>
      <c r="J56" s="157">
        <f t="shared" ref="J56:J74" si="8">IF(LEN($G56)&gt;1, (SUMPRODUCT(--($C$78:$C$2000=$B31), --($A$78:$A$2000=$D31), --($B$78:$B$2000="ST_B"), $L$78:$L$2000)), "")</f>
        <v>-1.4399999999999977</v>
      </c>
      <c r="K56" s="158">
        <f t="shared" ref="K56:K74" si="9">IF(LEN($G56)&gt;1, (SUMPRODUCT(--($C$78:$C$2000=$B31), --($A$78:$A$2000=$D31), --($B$78:$B$2000="ST_B"), $M$78:$M$2000)), "")</f>
        <v>-1.6456511679392022E-2</v>
      </c>
      <c r="L56" s="157">
        <f t="shared" ref="L56:L74" si="10">IF(LEN($G56)&gt;1, (SUMPRODUCT(--($C$78:$C$2000=$B31), --($A$78:$A$2000=$D31), --($B$78:$B$2000="ST_C"), $L$78:$L$2000)), "")</f>
        <v>-1.8581199999999995</v>
      </c>
      <c r="M56" s="158">
        <f t="shared" ref="M56:M74" si="11">IF(LEN($G56)&gt;1, (SUMPRODUCT(--($C$78:$C$2000=$B31), --($A$78:$A$2000=$D31), --($B$78:$B$2000="ST_C"), $M$78:$M$2000)), "")</f>
        <v>-1.6752183837014985E-2</v>
      </c>
      <c r="N56" s="157">
        <f t="shared" ref="N56:N74" si="12">IF(LEN($G56)&gt;1, (SUMPRODUCT(--($C$78:$C$2000=$B31), --($A$78:$A$2000=$D31), --($B$78:$B$2000=$B56&amp;"_TOTAL"), $L$78:$L$2000)), "")</f>
        <v>-1.5087934399999199</v>
      </c>
      <c r="O56" s="158">
        <f t="shared" ref="O56:O74" si="13">IF(LEN($G56)&gt;1, (SUMPRODUCT(--($C$78:$C$2000=$B31), --($A$78:$A$2000=$D31), --($B$78:$B$2000=$B56&amp;"_TOTAL"), $M$78:$M$2000)), "")</f>
        <v>-4.8157608876282518E-3</v>
      </c>
      <c r="R56" s="58"/>
      <c r="S56" s="58"/>
      <c r="T56" s="58"/>
      <c r="U56" s="58"/>
      <c r="V56" s="58"/>
    </row>
    <row r="57" spans="2:22" s="59" customFormat="1" ht="14.4" x14ac:dyDescent="0.25">
      <c r="B57" s="59" t="str">
        <f t="shared" si="5"/>
        <v>Non-RPP (Other)</v>
      </c>
      <c r="C57" s="711">
        <v>3</v>
      </c>
      <c r="D57" s="1955" t="str">
        <f t="shared" si="3"/>
        <v>GENERAL SERVICE 50 TO 2,999 KW SERVICE CLASSIFICATION - Non-RPP (Other)</v>
      </c>
      <c r="E57" s="1956"/>
      <c r="F57" s="1956"/>
      <c r="G57" s="156" t="str">
        <f t="shared" si="4"/>
        <v>kW</v>
      </c>
      <c r="H57" s="157">
        <f t="shared" si="6"/>
        <v>-106.55599999999959</v>
      </c>
      <c r="I57" s="158">
        <f t="shared" si="7"/>
        <v>-2.7352882890560641E-2</v>
      </c>
      <c r="J57" s="157">
        <f t="shared" si="8"/>
        <v>-106.55599999999959</v>
      </c>
      <c r="K57" s="158">
        <f t="shared" si="9"/>
        <v>-2.2506226618498295E-2</v>
      </c>
      <c r="L57" s="157">
        <f t="shared" si="10"/>
        <v>-184.59199999999873</v>
      </c>
      <c r="M57" s="158">
        <f t="shared" si="11"/>
        <v>-2.1804024587878841E-2</v>
      </c>
      <c r="N57" s="157">
        <f t="shared" si="12"/>
        <v>-208.58896000000095</v>
      </c>
      <c r="O57" s="158">
        <f t="shared" si="13"/>
        <v>-3.2176700721267054E-3</v>
      </c>
      <c r="R57" s="58"/>
      <c r="S57" s="58"/>
      <c r="T57" s="58"/>
      <c r="U57" s="58"/>
      <c r="V57" s="58"/>
    </row>
    <row r="58" spans="2:22" s="59" customFormat="1" ht="14.4" x14ac:dyDescent="0.25">
      <c r="B58" s="59" t="str">
        <f t="shared" si="5"/>
        <v>Non-RPP (Other)</v>
      </c>
      <c r="C58" s="711">
        <v>4</v>
      </c>
      <c r="D58" s="1955" t="str">
        <f t="shared" si="3"/>
        <v>GENERAL SERVICE 3,000 TO 4,999 KW SERVICE CLASSIFICATION - Non-RPP (Other)</v>
      </c>
      <c r="E58" s="1956"/>
      <c r="F58" s="1956"/>
      <c r="G58" s="156" t="str">
        <f t="shared" si="4"/>
        <v>kW</v>
      </c>
      <c r="H58" s="157">
        <f t="shared" si="6"/>
        <v>1299.7199999999993</v>
      </c>
      <c r="I58" s="158">
        <f t="shared" si="7"/>
        <v>0.1171698995998236</v>
      </c>
      <c r="J58" s="157">
        <f t="shared" si="8"/>
        <v>1299.7199999999993</v>
      </c>
      <c r="K58" s="158">
        <f t="shared" si="9"/>
        <v>8.4767904392510335E-2</v>
      </c>
      <c r="L58" s="157">
        <f t="shared" si="10"/>
        <v>915.23999999999796</v>
      </c>
      <c r="M58" s="158">
        <f t="shared" si="11"/>
        <v>2.7193404936730198E-2</v>
      </c>
      <c r="N58" s="157">
        <f t="shared" si="12"/>
        <v>1034.2211999999708</v>
      </c>
      <c r="O58" s="158">
        <f t="shared" si="13"/>
        <v>3.5850007043659328E-3</v>
      </c>
      <c r="R58" s="58"/>
      <c r="S58" s="58"/>
      <c r="T58" s="58"/>
      <c r="U58" s="58"/>
      <c r="V58" s="58"/>
    </row>
    <row r="59" spans="2:22" s="59" customFormat="1" ht="14.4" x14ac:dyDescent="0.25">
      <c r="B59" s="59" t="str">
        <f t="shared" si="5"/>
        <v>RPP</v>
      </c>
      <c r="C59" s="711">
        <v>5</v>
      </c>
      <c r="D59" s="1955" t="str">
        <f t="shared" si="3"/>
        <v>UNMETERED SCATTERED LOAD SERVICE CLASSIFICATION - RPP</v>
      </c>
      <c r="E59" s="1956"/>
      <c r="F59" s="1956"/>
      <c r="G59" s="156" t="str">
        <f t="shared" si="4"/>
        <v>kWh</v>
      </c>
      <c r="H59" s="157">
        <f t="shared" si="6"/>
        <v>2.7500000000000302E-2</v>
      </c>
      <c r="I59" s="158">
        <f t="shared" si="7"/>
        <v>8.1300813008130975E-3</v>
      </c>
      <c r="J59" s="157">
        <f t="shared" si="8"/>
        <v>2.7500000000000746E-2</v>
      </c>
      <c r="K59" s="158">
        <f t="shared" si="9"/>
        <v>4.7536022560217333E-3</v>
      </c>
      <c r="L59" s="157">
        <f t="shared" si="10"/>
        <v>-2.9991499999999505E-2</v>
      </c>
      <c r="M59" s="158">
        <f t="shared" si="11"/>
        <v>-3.3306826726745868E-3</v>
      </c>
      <c r="N59" s="157">
        <f t="shared" si="12"/>
        <v>-2.4353097999998852E-2</v>
      </c>
      <c r="O59" s="158">
        <f t="shared" si="13"/>
        <v>-6.4122498831551702E-4</v>
      </c>
      <c r="R59" s="58"/>
      <c r="S59" s="58"/>
      <c r="T59" s="58"/>
      <c r="U59" s="58"/>
      <c r="V59" s="58"/>
    </row>
    <row r="60" spans="2:22" s="59" customFormat="1" ht="14.4" x14ac:dyDescent="0.25">
      <c r="B60" s="59" t="str">
        <f t="shared" si="5"/>
        <v>RPP</v>
      </c>
      <c r="C60" s="711">
        <v>6</v>
      </c>
      <c r="D60" s="1955" t="str">
        <f t="shared" si="3"/>
        <v>SENTINEL LIGHTING SERVICE CLASSIFICATION - RPP</v>
      </c>
      <c r="E60" s="1956"/>
      <c r="F60" s="1956"/>
      <c r="G60" s="156" t="str">
        <f t="shared" si="4"/>
        <v>kW</v>
      </c>
      <c r="H60" s="157">
        <f t="shared" si="6"/>
        <v>5.7975000000001273</v>
      </c>
      <c r="I60" s="158">
        <f t="shared" si="7"/>
        <v>5.1288856450918434E-3</v>
      </c>
      <c r="J60" s="157">
        <f t="shared" si="8"/>
        <v>5.7975000000001273</v>
      </c>
      <c r="K60" s="158">
        <f t="shared" si="9"/>
        <v>4.8721343085939822E-3</v>
      </c>
      <c r="L60" s="157">
        <f t="shared" si="10"/>
        <v>0.16855950000035591</v>
      </c>
      <c r="M60" s="158">
        <f t="shared" si="11"/>
        <v>1.1554774062542653E-4</v>
      </c>
      <c r="N60" s="157">
        <f t="shared" si="12"/>
        <v>0.13687031400013439</v>
      </c>
      <c r="O60" s="158">
        <f t="shared" si="13"/>
        <v>1.1473759749876726E-4</v>
      </c>
      <c r="R60" s="58"/>
      <c r="S60" s="58"/>
      <c r="T60" s="58"/>
      <c r="U60" s="58"/>
      <c r="V60" s="58"/>
    </row>
    <row r="61" spans="2:22" s="59" customFormat="1" ht="14.4" x14ac:dyDescent="0.25">
      <c r="B61" s="59" t="str">
        <f t="shared" si="5"/>
        <v>Non-RPP (Other)</v>
      </c>
      <c r="C61" s="711">
        <v>7</v>
      </c>
      <c r="D61" s="1955" t="str">
        <f t="shared" si="3"/>
        <v>STREET LIGHTING SERVICE CLASSIFICATION - Non-RPP (Other)</v>
      </c>
      <c r="E61" s="1956"/>
      <c r="F61" s="1956"/>
      <c r="G61" s="156" t="str">
        <f t="shared" si="4"/>
        <v>kW</v>
      </c>
      <c r="H61" s="157">
        <f t="shared" si="6"/>
        <v>248.21550000000008</v>
      </c>
      <c r="I61" s="158">
        <f t="shared" si="7"/>
        <v>0.71254731239746316</v>
      </c>
      <c r="J61" s="157">
        <f t="shared" si="8"/>
        <v>248.21550000000008</v>
      </c>
      <c r="K61" s="158">
        <f t="shared" si="9"/>
        <v>0.64793083600568557</v>
      </c>
      <c r="L61" s="157">
        <f t="shared" si="10"/>
        <v>245.02050000000008</v>
      </c>
      <c r="M61" s="158">
        <f t="shared" si="11"/>
        <v>0.45751617511133535</v>
      </c>
      <c r="N61" s="157">
        <f t="shared" si="12"/>
        <v>276.87316499999997</v>
      </c>
      <c r="O61" s="158">
        <f t="shared" si="13"/>
        <v>7.3415564387890375E-2</v>
      </c>
      <c r="R61" s="58"/>
      <c r="S61" s="58"/>
      <c r="T61" s="58"/>
      <c r="U61" s="58"/>
      <c r="V61" s="58"/>
    </row>
    <row r="62" spans="2:22" s="59" customFormat="1" ht="14.4" x14ac:dyDescent="0.25">
      <c r="B62" s="59" t="str">
        <f t="shared" si="5"/>
        <v>Non-RPP (Retailer)</v>
      </c>
      <c r="C62" s="711">
        <v>8</v>
      </c>
      <c r="D62" s="1955" t="str">
        <f t="shared" si="3"/>
        <v>RESIDENTIAL SERVICE CLASSIFICATION - Non-RPP (Retailer)</v>
      </c>
      <c r="E62" s="1956"/>
      <c r="F62" s="1956"/>
      <c r="G62" s="156" t="str">
        <f t="shared" si="4"/>
        <v>kWh</v>
      </c>
      <c r="H62" s="157">
        <f t="shared" si="6"/>
        <v>0.27500000000000213</v>
      </c>
      <c r="I62" s="158">
        <f t="shared" si="7"/>
        <v>9.3473827328348792E-3</v>
      </c>
      <c r="J62" s="157">
        <f t="shared" si="8"/>
        <v>0.27500000000000568</v>
      </c>
      <c r="K62" s="158">
        <f t="shared" si="9"/>
        <v>7.4550433775089145E-3</v>
      </c>
      <c r="L62" s="157">
        <f t="shared" si="10"/>
        <v>0.11820500000000322</v>
      </c>
      <c r="M62" s="158">
        <f t="shared" si="11"/>
        <v>2.5446547020571814E-3</v>
      </c>
      <c r="N62" s="157">
        <f t="shared" si="12"/>
        <v>0.13357164999999327</v>
      </c>
      <c r="O62" s="158">
        <f t="shared" si="13"/>
        <v>7.7710323387984736E-4</v>
      </c>
      <c r="R62" s="58"/>
      <c r="S62" s="58"/>
      <c r="T62" s="58"/>
      <c r="U62" s="58"/>
      <c r="V62" s="58"/>
    </row>
    <row r="63" spans="2:22" s="59" customFormat="1" ht="14.4" x14ac:dyDescent="0.25">
      <c r="B63" s="59" t="str">
        <f t="shared" si="5"/>
        <v>Non-RPP (Retailer)</v>
      </c>
      <c r="C63" s="711">
        <v>9</v>
      </c>
      <c r="D63" s="1955" t="str">
        <f t="shared" si="3"/>
        <v>GENERAL SERVICE LESS THAN 50 KW SERVICE CLASSIFICATION - Non-RPP (Retailer)</v>
      </c>
      <c r="E63" s="1956"/>
      <c r="F63" s="1956"/>
      <c r="G63" s="156" t="str">
        <f t="shared" si="4"/>
        <v>kWh</v>
      </c>
      <c r="H63" s="157">
        <f t="shared" si="6"/>
        <v>-1.4399999999999977</v>
      </c>
      <c r="I63" s="158">
        <f t="shared" si="7"/>
        <v>-2.0731356176216496E-2</v>
      </c>
      <c r="J63" s="157">
        <f t="shared" si="8"/>
        <v>-1.4399999999999977</v>
      </c>
      <c r="K63" s="158">
        <f t="shared" si="9"/>
        <v>-1.6396414286377926E-2</v>
      </c>
      <c r="L63" s="157">
        <f t="shared" si="10"/>
        <v>-1.8581199999999995</v>
      </c>
      <c r="M63" s="158">
        <f t="shared" si="11"/>
        <v>-1.6703883896625995E-2</v>
      </c>
      <c r="N63" s="157">
        <f t="shared" si="12"/>
        <v>-2.099675599999955</v>
      </c>
      <c r="O63" s="158">
        <f t="shared" si="13"/>
        <v>-4.7281352751735953E-3</v>
      </c>
      <c r="R63" s="58"/>
      <c r="S63" s="58"/>
      <c r="T63" s="58"/>
      <c r="U63" s="58"/>
      <c r="V63" s="58"/>
    </row>
    <row r="64" spans="2:22" s="59" customFormat="1" ht="14.4" x14ac:dyDescent="0.25">
      <c r="B64" s="59" t="str">
        <f t="shared" si="5"/>
        <v>Non-RPP (Retailer)</v>
      </c>
      <c r="C64" s="711">
        <v>10</v>
      </c>
      <c r="D64" s="1955" t="str">
        <f t="shared" si="3"/>
        <v>UNMETERED SCATTERED LOAD SERVICE CLASSIFICATION - Non-RPP (Retailer)</v>
      </c>
      <c r="E64" s="1956"/>
      <c r="F64" s="1956"/>
      <c r="G64" s="156" t="str">
        <f t="shared" si="4"/>
        <v>kWh</v>
      </c>
      <c r="H64" s="157">
        <f t="shared" si="6"/>
        <v>2.7500000000000302E-2</v>
      </c>
      <c r="I64" s="158">
        <f t="shared" si="7"/>
        <v>8.1300813008130975E-3</v>
      </c>
      <c r="J64" s="157">
        <f t="shared" si="8"/>
        <v>2.7499999999999858E-2</v>
      </c>
      <c r="K64" s="158">
        <f t="shared" si="9"/>
        <v>4.7176398214090051E-3</v>
      </c>
      <c r="L64" s="157">
        <f t="shared" si="10"/>
        <v>-2.9991500000001281E-2</v>
      </c>
      <c r="M64" s="158">
        <f t="shared" si="11"/>
        <v>-3.3144503470661883E-3</v>
      </c>
      <c r="N64" s="157">
        <f t="shared" si="12"/>
        <v>-3.389039500000024E-2</v>
      </c>
      <c r="O64" s="158">
        <f t="shared" si="13"/>
        <v>-6.2757123085961403E-4</v>
      </c>
      <c r="R64" s="58"/>
      <c r="S64" s="58"/>
      <c r="T64" s="58"/>
      <c r="U64" s="58"/>
      <c r="V64" s="58"/>
    </row>
    <row r="65" spans="1:22" s="59" customFormat="1" ht="14.4" x14ac:dyDescent="0.25">
      <c r="B65" s="59" t="str">
        <f t="shared" si="5"/>
        <v>Non-RPP (Retailer)</v>
      </c>
      <c r="C65" s="711">
        <v>11</v>
      </c>
      <c r="D65" s="1955" t="str">
        <f t="shared" si="3"/>
        <v>SENTINEL LIGHTING SERVICE CLASSIFICATION - Non-RPP (Retailer)</v>
      </c>
      <c r="E65" s="1956"/>
      <c r="F65" s="1956"/>
      <c r="G65" s="156" t="str">
        <f t="shared" si="4"/>
        <v>kW</v>
      </c>
      <c r="H65" s="157">
        <f t="shared" si="6"/>
        <v>5.7975000000001273</v>
      </c>
      <c r="I65" s="158">
        <f t="shared" si="7"/>
        <v>5.1288856450918434E-3</v>
      </c>
      <c r="J65" s="157">
        <f t="shared" si="8"/>
        <v>5.7975000000001273</v>
      </c>
      <c r="K65" s="158">
        <f t="shared" si="9"/>
        <v>4.872085064280848E-3</v>
      </c>
      <c r="L65" s="157">
        <f t="shared" si="10"/>
        <v>0.16855950000035591</v>
      </c>
      <c r="M65" s="158">
        <f t="shared" si="11"/>
        <v>1.1554678798539299E-4</v>
      </c>
      <c r="N65" s="157">
        <f t="shared" si="12"/>
        <v>0.19047223500047039</v>
      </c>
      <c r="O65" s="158">
        <f t="shared" si="13"/>
        <v>1.1471592636132766E-4</v>
      </c>
      <c r="R65" s="58"/>
      <c r="S65" s="58"/>
      <c r="T65" s="58"/>
      <c r="U65" s="58"/>
      <c r="V65" s="58"/>
    </row>
    <row r="66" spans="1:22" s="59" customFormat="1" ht="14.4" x14ac:dyDescent="0.25">
      <c r="B66" s="59">
        <f t="shared" si="5"/>
        <v>0</v>
      </c>
      <c r="C66" s="711">
        <v>12</v>
      </c>
      <c r="D66" s="1955" t="str">
        <f t="shared" si="3"/>
        <v/>
      </c>
      <c r="E66" s="1956"/>
      <c r="F66" s="1956"/>
      <c r="G66" s="156" t="str">
        <f t="shared" si="4"/>
        <v/>
      </c>
      <c r="H66" s="157" t="str">
        <f t="shared" si="6"/>
        <v/>
      </c>
      <c r="I66" s="158" t="str">
        <f t="shared" si="7"/>
        <v/>
      </c>
      <c r="J66" s="157" t="str">
        <f t="shared" si="8"/>
        <v/>
      </c>
      <c r="K66" s="158" t="str">
        <f t="shared" si="9"/>
        <v/>
      </c>
      <c r="L66" s="157" t="str">
        <f t="shared" si="10"/>
        <v/>
      </c>
      <c r="M66" s="158" t="str">
        <f t="shared" si="11"/>
        <v/>
      </c>
      <c r="N66" s="157" t="str">
        <f t="shared" si="12"/>
        <v/>
      </c>
      <c r="O66" s="158" t="str">
        <f t="shared" si="13"/>
        <v/>
      </c>
      <c r="R66" s="58"/>
      <c r="S66" s="58"/>
      <c r="T66" s="58"/>
      <c r="U66" s="58"/>
      <c r="V66" s="58"/>
    </row>
    <row r="67" spans="1:22" s="59" customFormat="1" ht="14.4" x14ac:dyDescent="0.25">
      <c r="B67" s="59">
        <f t="shared" si="5"/>
        <v>0</v>
      </c>
      <c r="C67" s="711">
        <v>13</v>
      </c>
      <c r="D67" s="1955" t="str">
        <f t="shared" si="3"/>
        <v/>
      </c>
      <c r="E67" s="1956"/>
      <c r="F67" s="1956"/>
      <c r="G67" s="156" t="str">
        <f t="shared" si="4"/>
        <v/>
      </c>
      <c r="H67" s="157" t="str">
        <f t="shared" si="6"/>
        <v/>
      </c>
      <c r="I67" s="158" t="str">
        <f t="shared" si="7"/>
        <v/>
      </c>
      <c r="J67" s="157" t="str">
        <f t="shared" si="8"/>
        <v/>
      </c>
      <c r="K67" s="158" t="str">
        <f t="shared" si="9"/>
        <v/>
      </c>
      <c r="L67" s="157" t="str">
        <f t="shared" si="10"/>
        <v/>
      </c>
      <c r="M67" s="158" t="str">
        <f t="shared" si="11"/>
        <v/>
      </c>
      <c r="N67" s="157" t="str">
        <f t="shared" si="12"/>
        <v/>
      </c>
      <c r="O67" s="158" t="str">
        <f t="shared" si="13"/>
        <v/>
      </c>
      <c r="R67" s="58"/>
      <c r="S67" s="58"/>
      <c r="T67" s="58"/>
      <c r="U67" s="58"/>
      <c r="V67" s="58"/>
    </row>
    <row r="68" spans="1:22" s="59" customFormat="1" ht="14.4" x14ac:dyDescent="0.25">
      <c r="B68" s="59">
        <f t="shared" si="5"/>
        <v>0</v>
      </c>
      <c r="C68" s="711">
        <v>14</v>
      </c>
      <c r="D68" s="1955" t="str">
        <f t="shared" si="3"/>
        <v/>
      </c>
      <c r="E68" s="1956"/>
      <c r="F68" s="1956"/>
      <c r="G68" s="156" t="str">
        <f t="shared" si="4"/>
        <v/>
      </c>
      <c r="H68" s="157" t="str">
        <f t="shared" si="6"/>
        <v/>
      </c>
      <c r="I68" s="158" t="str">
        <f t="shared" si="7"/>
        <v/>
      </c>
      <c r="J68" s="157" t="str">
        <f t="shared" si="8"/>
        <v/>
      </c>
      <c r="K68" s="158" t="str">
        <f t="shared" si="9"/>
        <v/>
      </c>
      <c r="L68" s="157" t="str">
        <f t="shared" si="10"/>
        <v/>
      </c>
      <c r="M68" s="158" t="str">
        <f t="shared" si="11"/>
        <v/>
      </c>
      <c r="N68" s="157" t="str">
        <f t="shared" si="12"/>
        <v/>
      </c>
      <c r="O68" s="158" t="str">
        <f t="shared" si="13"/>
        <v/>
      </c>
      <c r="R68" s="58"/>
      <c r="S68" s="58"/>
      <c r="T68" s="58"/>
      <c r="U68" s="58"/>
      <c r="V68" s="58"/>
    </row>
    <row r="69" spans="1:22" s="59" customFormat="1" ht="14.4" x14ac:dyDescent="0.25">
      <c r="B69" s="59">
        <f t="shared" si="5"/>
        <v>0</v>
      </c>
      <c r="C69" s="711">
        <v>15</v>
      </c>
      <c r="D69" s="1955" t="str">
        <f t="shared" si="3"/>
        <v/>
      </c>
      <c r="E69" s="1956"/>
      <c r="F69" s="1956"/>
      <c r="G69" s="156" t="str">
        <f t="shared" si="4"/>
        <v/>
      </c>
      <c r="H69" s="157" t="str">
        <f t="shared" si="6"/>
        <v/>
      </c>
      <c r="I69" s="158" t="str">
        <f t="shared" si="7"/>
        <v/>
      </c>
      <c r="J69" s="157" t="str">
        <f t="shared" si="8"/>
        <v/>
      </c>
      <c r="K69" s="158" t="str">
        <f t="shared" si="9"/>
        <v/>
      </c>
      <c r="L69" s="157" t="str">
        <f t="shared" si="10"/>
        <v/>
      </c>
      <c r="M69" s="158" t="str">
        <f t="shared" si="11"/>
        <v/>
      </c>
      <c r="N69" s="157" t="str">
        <f t="shared" si="12"/>
        <v/>
      </c>
      <c r="O69" s="158" t="str">
        <f t="shared" si="13"/>
        <v/>
      </c>
      <c r="R69" s="58"/>
      <c r="S69" s="58"/>
      <c r="T69" s="58"/>
      <c r="U69" s="58"/>
      <c r="V69" s="58"/>
    </row>
    <row r="70" spans="1:22" s="59" customFormat="1" ht="14.4" x14ac:dyDescent="0.25">
      <c r="B70" s="59">
        <f t="shared" si="5"/>
        <v>0</v>
      </c>
      <c r="C70" s="711">
        <v>16</v>
      </c>
      <c r="D70" s="1955" t="str">
        <f t="shared" si="3"/>
        <v/>
      </c>
      <c r="E70" s="1956"/>
      <c r="F70" s="1956"/>
      <c r="G70" s="156" t="str">
        <f>IF(ISBLANK(G45), "", G45)</f>
        <v/>
      </c>
      <c r="H70" s="157" t="str">
        <f t="shared" si="6"/>
        <v/>
      </c>
      <c r="I70" s="158" t="str">
        <f t="shared" si="7"/>
        <v/>
      </c>
      <c r="J70" s="157" t="str">
        <f t="shared" si="8"/>
        <v/>
      </c>
      <c r="K70" s="158" t="str">
        <f t="shared" si="9"/>
        <v/>
      </c>
      <c r="L70" s="157" t="str">
        <f t="shared" si="10"/>
        <v/>
      </c>
      <c r="M70" s="158" t="str">
        <f t="shared" si="11"/>
        <v/>
      </c>
      <c r="N70" s="157" t="str">
        <f t="shared" si="12"/>
        <v/>
      </c>
      <c r="O70" s="158" t="str">
        <f t="shared" si="13"/>
        <v/>
      </c>
      <c r="R70" s="58"/>
      <c r="S70" s="58"/>
      <c r="T70" s="58"/>
      <c r="U70" s="58"/>
      <c r="V70" s="58"/>
    </row>
    <row r="71" spans="1:22" s="59" customFormat="1" ht="14.4" x14ac:dyDescent="0.25">
      <c r="B71" s="59">
        <f t="shared" si="5"/>
        <v>0</v>
      </c>
      <c r="C71" s="711">
        <v>17</v>
      </c>
      <c r="D71" s="1955" t="str">
        <f t="shared" si="3"/>
        <v/>
      </c>
      <c r="E71" s="1956"/>
      <c r="F71" s="1956"/>
      <c r="G71" s="156" t="str">
        <f>IF(ISBLANK(G46), "", G46)</f>
        <v/>
      </c>
      <c r="H71" s="157" t="str">
        <f t="shared" si="6"/>
        <v/>
      </c>
      <c r="I71" s="158" t="str">
        <f t="shared" si="7"/>
        <v/>
      </c>
      <c r="J71" s="157" t="str">
        <f t="shared" si="8"/>
        <v/>
      </c>
      <c r="K71" s="158" t="str">
        <f t="shared" si="9"/>
        <v/>
      </c>
      <c r="L71" s="157" t="str">
        <f t="shared" si="10"/>
        <v/>
      </c>
      <c r="M71" s="158" t="str">
        <f t="shared" si="11"/>
        <v/>
      </c>
      <c r="N71" s="157" t="str">
        <f t="shared" si="12"/>
        <v/>
      </c>
      <c r="O71" s="158" t="str">
        <f t="shared" si="13"/>
        <v/>
      </c>
      <c r="R71" s="58"/>
      <c r="S71" s="58"/>
      <c r="T71" s="58"/>
      <c r="U71" s="58"/>
      <c r="V71" s="58"/>
    </row>
    <row r="72" spans="1:22" s="59" customFormat="1" ht="14.4" x14ac:dyDescent="0.25">
      <c r="B72" s="59">
        <f t="shared" si="5"/>
        <v>0</v>
      </c>
      <c r="C72" s="711">
        <v>18</v>
      </c>
      <c r="D72" s="1955" t="str">
        <f t="shared" si="3"/>
        <v/>
      </c>
      <c r="E72" s="1956"/>
      <c r="F72" s="1956"/>
      <c r="G72" s="156" t="str">
        <f>IF(ISBLANK(G47), "", G47)</f>
        <v/>
      </c>
      <c r="H72" s="157" t="str">
        <f t="shared" si="6"/>
        <v/>
      </c>
      <c r="I72" s="158" t="str">
        <f t="shared" si="7"/>
        <v/>
      </c>
      <c r="J72" s="157" t="str">
        <f t="shared" si="8"/>
        <v/>
      </c>
      <c r="K72" s="158" t="str">
        <f t="shared" si="9"/>
        <v/>
      </c>
      <c r="L72" s="157" t="str">
        <f t="shared" si="10"/>
        <v/>
      </c>
      <c r="M72" s="158" t="str">
        <f t="shared" si="11"/>
        <v/>
      </c>
      <c r="N72" s="157" t="str">
        <f t="shared" si="12"/>
        <v/>
      </c>
      <c r="O72" s="158" t="str">
        <f t="shared" si="13"/>
        <v/>
      </c>
      <c r="R72" s="58"/>
      <c r="S72" s="58"/>
      <c r="T72" s="58"/>
      <c r="U72" s="58"/>
      <c r="V72" s="58"/>
    </row>
    <row r="73" spans="1:22" s="59" customFormat="1" ht="14.4" x14ac:dyDescent="0.25">
      <c r="B73" s="59">
        <f t="shared" si="5"/>
        <v>0</v>
      </c>
      <c r="C73" s="711">
        <v>19</v>
      </c>
      <c r="D73" s="1955" t="str">
        <f t="shared" si="3"/>
        <v/>
      </c>
      <c r="E73" s="1956"/>
      <c r="F73" s="1956"/>
      <c r="G73" s="156" t="str">
        <f>IF(ISBLANK(G48), "", G48)</f>
        <v/>
      </c>
      <c r="H73" s="157" t="str">
        <f t="shared" si="6"/>
        <v/>
      </c>
      <c r="I73" s="158" t="str">
        <f t="shared" si="7"/>
        <v/>
      </c>
      <c r="J73" s="157" t="str">
        <f t="shared" si="8"/>
        <v/>
      </c>
      <c r="K73" s="158" t="str">
        <f t="shared" si="9"/>
        <v/>
      </c>
      <c r="L73" s="157" t="str">
        <f t="shared" si="10"/>
        <v/>
      </c>
      <c r="M73" s="158" t="str">
        <f t="shared" si="11"/>
        <v/>
      </c>
      <c r="N73" s="157" t="str">
        <f t="shared" si="12"/>
        <v/>
      </c>
      <c r="O73" s="158" t="str">
        <f t="shared" si="13"/>
        <v/>
      </c>
      <c r="R73" s="58"/>
      <c r="S73" s="58"/>
      <c r="T73" s="58"/>
      <c r="U73" s="58"/>
      <c r="V73" s="58"/>
    </row>
    <row r="74" spans="1:22" s="59" customFormat="1" ht="14.4" x14ac:dyDescent="0.25">
      <c r="B74" s="59">
        <f t="shared" si="5"/>
        <v>0</v>
      </c>
      <c r="C74" s="711">
        <v>20</v>
      </c>
      <c r="D74" s="1955" t="str">
        <f t="shared" si="3"/>
        <v/>
      </c>
      <c r="E74" s="1956"/>
      <c r="F74" s="1956"/>
      <c r="G74" s="156" t="str">
        <f>IF(ISBLANK(G49), "", G49)</f>
        <v/>
      </c>
      <c r="H74" s="157" t="str">
        <f t="shared" si="6"/>
        <v/>
      </c>
      <c r="I74" s="158" t="str">
        <f t="shared" si="7"/>
        <v/>
      </c>
      <c r="J74" s="157" t="str">
        <f t="shared" si="8"/>
        <v/>
      </c>
      <c r="K74" s="158" t="str">
        <f t="shared" si="9"/>
        <v/>
      </c>
      <c r="L74" s="157" t="str">
        <f t="shared" si="10"/>
        <v/>
      </c>
      <c r="M74" s="158" t="str">
        <f t="shared" si="11"/>
        <v/>
      </c>
      <c r="N74" s="157" t="str">
        <f t="shared" si="12"/>
        <v/>
      </c>
      <c r="O74" s="158" t="str">
        <f t="shared" si="13"/>
        <v/>
      </c>
      <c r="R74" s="58"/>
      <c r="S74" s="58"/>
      <c r="T74" s="58"/>
      <c r="U74" s="58"/>
      <c r="V74" s="58"/>
    </row>
    <row r="75" spans="1:22" s="59" customFormat="1" x14ac:dyDescent="0.25">
      <c r="C75" s="711"/>
      <c r="R75" s="58"/>
      <c r="S75" s="58"/>
      <c r="T75" s="58"/>
      <c r="U75" s="58"/>
      <c r="V75" s="58"/>
    </row>
    <row r="76" spans="1:22" ht="5.25" customHeight="1" x14ac:dyDescent="0.25">
      <c r="A76" s="159"/>
      <c r="B76" s="159"/>
      <c r="C76" s="713"/>
      <c r="D76" s="159"/>
      <c r="E76" s="159"/>
      <c r="F76" s="159"/>
      <c r="G76" s="159"/>
      <c r="H76" s="159"/>
      <c r="I76" s="159"/>
      <c r="J76" s="159"/>
      <c r="K76" s="159"/>
      <c r="L76" s="159"/>
      <c r="M76" s="159"/>
      <c r="N76" s="159"/>
      <c r="O76" s="159"/>
    </row>
    <row r="77" spans="1:22" s="59" customFormat="1" x14ac:dyDescent="0.25">
      <c r="C77" s="711"/>
    </row>
    <row r="78" spans="1:22" x14ac:dyDescent="0.25">
      <c r="C78" s="58"/>
      <c r="D78" s="264" t="s">
        <v>1432</v>
      </c>
      <c r="E78" s="1952" t="str">
        <f>D30</f>
        <v>RESIDENTIAL SERVICE CLASSIFICATION</v>
      </c>
      <c r="F78" s="1952"/>
      <c r="G78" s="1952"/>
      <c r="H78" s="1952"/>
      <c r="I78" s="1952"/>
      <c r="J78" s="1952"/>
      <c r="K78" s="58" t="str">
        <f>IF(N30="DEMAND - INTERVAL","RTSR - INTERVAL METERED","")</f>
        <v/>
      </c>
      <c r="T78" s="58" t="s">
        <v>603</v>
      </c>
    </row>
    <row r="79" spans="1:22" x14ac:dyDescent="0.25">
      <c r="C79" s="58"/>
      <c r="D79" s="264" t="s">
        <v>1433</v>
      </c>
      <c r="E79" s="1953" t="str">
        <f>H30</f>
        <v>RPP</v>
      </c>
      <c r="F79" s="1953"/>
      <c r="G79" s="1953"/>
      <c r="H79" s="265"/>
      <c r="I79" s="265"/>
    </row>
    <row r="80" spans="1:22" ht="15.6" x14ac:dyDescent="0.25">
      <c r="C80" s="58"/>
      <c r="D80" s="264" t="s">
        <v>153</v>
      </c>
      <c r="E80" s="1626">
        <f>K30</f>
        <v>750</v>
      </c>
      <c r="F80" s="267" t="s">
        <v>154</v>
      </c>
      <c r="G80" s="783"/>
      <c r="J80" s="268"/>
      <c r="K80" s="268"/>
      <c r="L80" s="268"/>
      <c r="M80" s="268"/>
      <c r="N80" s="268"/>
    </row>
    <row r="81" spans="1:13" ht="15.6" x14ac:dyDescent="0.3">
      <c r="C81" s="58"/>
      <c r="D81" s="264" t="s">
        <v>360</v>
      </c>
      <c r="E81" s="1626">
        <f>L30</f>
        <v>0</v>
      </c>
      <c r="F81" s="269" t="s">
        <v>155</v>
      </c>
      <c r="G81" s="270"/>
      <c r="H81" s="271"/>
      <c r="I81" s="271"/>
      <c r="J81" s="271"/>
    </row>
    <row r="82" spans="1:13" x14ac:dyDescent="0.25">
      <c r="C82" s="58"/>
      <c r="D82" s="264" t="s">
        <v>1464</v>
      </c>
      <c r="E82" s="272">
        <f>I30</f>
        <v>1.0452999999999999</v>
      </c>
    </row>
    <row r="83" spans="1:13" x14ac:dyDescent="0.25">
      <c r="C83" s="58"/>
      <c r="D83" s="264" t="s">
        <v>1465</v>
      </c>
      <c r="E83" s="272">
        <f>J30</f>
        <v>1.0452999999999999</v>
      </c>
    </row>
    <row r="84" spans="1:13" x14ac:dyDescent="0.25">
      <c r="C84" s="58"/>
      <c r="D84" s="783"/>
    </row>
    <row r="85" spans="1:13" x14ac:dyDescent="0.25">
      <c r="C85" s="58"/>
      <c r="D85" s="783"/>
      <c r="E85" s="273"/>
      <c r="F85" s="1944" t="s">
        <v>1943</v>
      </c>
      <c r="G85" s="1954"/>
      <c r="H85" s="1945"/>
      <c r="I85" s="1944" t="s">
        <v>341</v>
      </c>
      <c r="J85" s="1954"/>
      <c r="K85" s="1945"/>
      <c r="L85" s="1944" t="s">
        <v>342</v>
      </c>
      <c r="M85" s="1945"/>
    </row>
    <row r="86" spans="1:13" x14ac:dyDescent="0.25">
      <c r="C86" s="58"/>
      <c r="D86" s="783"/>
      <c r="E86" s="1946"/>
      <c r="F86" s="274" t="s">
        <v>343</v>
      </c>
      <c r="G86" s="274" t="s">
        <v>146</v>
      </c>
      <c r="H86" s="275" t="s">
        <v>344</v>
      </c>
      <c r="I86" s="274" t="s">
        <v>343</v>
      </c>
      <c r="J86" s="276" t="s">
        <v>146</v>
      </c>
      <c r="K86" s="275" t="s">
        <v>344</v>
      </c>
      <c r="L86" s="1948" t="s">
        <v>345</v>
      </c>
      <c r="M86" s="1950" t="s">
        <v>346</v>
      </c>
    </row>
    <row r="87" spans="1:13" x14ac:dyDescent="0.25">
      <c r="C87" s="58"/>
      <c r="D87" s="783"/>
      <c r="E87" s="1947"/>
      <c r="F87" s="277" t="s">
        <v>347</v>
      </c>
      <c r="G87" s="277"/>
      <c r="H87" s="278" t="s">
        <v>347</v>
      </c>
      <c r="I87" s="277" t="s">
        <v>347</v>
      </c>
      <c r="J87" s="278"/>
      <c r="K87" s="278" t="s">
        <v>347</v>
      </c>
      <c r="L87" s="1949"/>
      <c r="M87" s="1951"/>
    </row>
    <row r="88" spans="1:13" x14ac:dyDescent="0.25">
      <c r="A88" s="58" t="str">
        <f>$E78</f>
        <v>RESIDENTIAL SERVICE CLASSIFICATION</v>
      </c>
      <c r="C88" s="357"/>
      <c r="D88" s="68" t="s">
        <v>348</v>
      </c>
      <c r="E88" s="322"/>
      <c r="F88" s="345">
        <v>29.75</v>
      </c>
      <c r="G88" s="304">
        <v>1</v>
      </c>
      <c r="H88" s="346">
        <f>G88*F88</f>
        <v>29.75</v>
      </c>
      <c r="I88" s="982">
        <v>30.26</v>
      </c>
      <c r="J88" s="989">
        <f>G88</f>
        <v>1</v>
      </c>
      <c r="K88" s="988">
        <f>J88*I88</f>
        <v>30.26</v>
      </c>
      <c r="L88" s="329">
        <f t="shared" ref="L88:L109" si="14">K88-H88</f>
        <v>0.51000000000000156</v>
      </c>
      <c r="M88" s="347">
        <f>IF(ISERROR(L88/H88), "", L88/H88)</f>
        <v>1.7142857142857196E-2</v>
      </c>
    </row>
    <row r="89" spans="1:13" x14ac:dyDescent="0.25">
      <c r="A89" s="58" t="str">
        <f>A88</f>
        <v>RESIDENTIAL SERVICE CLASSIFICATION</v>
      </c>
      <c r="C89" s="357"/>
      <c r="D89" s="68" t="s">
        <v>80</v>
      </c>
      <c r="E89" s="322"/>
      <c r="F89" s="326">
        <v>0</v>
      </c>
      <c r="G89" s="304">
        <f>IF($E81&gt;0, $E81, $E80)</f>
        <v>750</v>
      </c>
      <c r="H89" s="346">
        <f t="shared" ref="H89:H101" si="15">G89*F89</f>
        <v>0</v>
      </c>
      <c r="I89" s="983">
        <v>0</v>
      </c>
      <c r="J89" s="989">
        <f>IF($E81&gt;0, $E81, $E80)</f>
        <v>750</v>
      </c>
      <c r="K89" s="988">
        <f>J89*I89</f>
        <v>0</v>
      </c>
      <c r="L89" s="329">
        <f t="shared" si="14"/>
        <v>0</v>
      </c>
      <c r="M89" s="347" t="str">
        <f t="shared" ref="M89:M99" si="16">IF(ISERROR(L89/H89), "", L89/H89)</f>
        <v/>
      </c>
    </row>
    <row r="90" spans="1:13" hidden="1" x14ac:dyDescent="0.25">
      <c r="A90" s="58" t="str">
        <f t="shared" ref="A90:A131" si="17">A89</f>
        <v>RESIDENTIAL SERVICE CLASSIFICATION</v>
      </c>
      <c r="C90" s="357"/>
      <c r="D90" s="68" t="s">
        <v>4311</v>
      </c>
      <c r="E90" s="322"/>
      <c r="F90" s="326"/>
      <c r="G90" s="304">
        <f>IF($E81&gt;0, $E81, $E80)</f>
        <v>750</v>
      </c>
      <c r="H90" s="346">
        <v>0</v>
      </c>
      <c r="I90" s="983"/>
      <c r="J90" s="989">
        <f>IF($E81&gt;0, $E81, $E80)</f>
        <v>750</v>
      </c>
      <c r="K90" s="988">
        <v>0</v>
      </c>
      <c r="L90" s="329"/>
      <c r="M90" s="347"/>
    </row>
    <row r="91" spans="1:13" hidden="1" x14ac:dyDescent="0.25">
      <c r="A91" s="58" t="str">
        <f t="shared" si="17"/>
        <v>RESIDENTIAL SERVICE CLASSIFICATION</v>
      </c>
      <c r="C91" s="357"/>
      <c r="D91" s="68" t="s">
        <v>3743</v>
      </c>
      <c r="E91" s="322"/>
      <c r="F91" s="326"/>
      <c r="G91" s="304">
        <f>IF($E81&gt;0, $E81, $E80)</f>
        <v>750</v>
      </c>
      <c r="H91" s="346">
        <v>0</v>
      </c>
      <c r="I91" s="983"/>
      <c r="J91" s="992">
        <f>IF($E81&gt;0, $E81, $E80)</f>
        <v>750</v>
      </c>
      <c r="K91" s="988">
        <v>0</v>
      </c>
      <c r="L91" s="329">
        <f>K91-H91</f>
        <v>0</v>
      </c>
      <c r="M91" s="347" t="str">
        <f>IF(ISERROR(L91/H91), "", L91/H91)</f>
        <v/>
      </c>
    </row>
    <row r="92" spans="1:13" x14ac:dyDescent="0.25">
      <c r="A92" s="58" t="str">
        <f t="shared" si="17"/>
        <v>RESIDENTIAL SERVICE CLASSIFICATION</v>
      </c>
      <c r="C92" s="357"/>
      <c r="D92" s="69" t="s">
        <v>358</v>
      </c>
      <c r="E92" s="322"/>
      <c r="F92" s="345">
        <v>-0.48</v>
      </c>
      <c r="G92" s="304">
        <v>1</v>
      </c>
      <c r="H92" s="346">
        <f t="shared" si="15"/>
        <v>-0.48</v>
      </c>
      <c r="I92" s="982">
        <v>-0.64</v>
      </c>
      <c r="J92" s="989">
        <f>G92</f>
        <v>1</v>
      </c>
      <c r="K92" s="988">
        <f t="shared" ref="K92:K99" si="18">J92*I92</f>
        <v>-0.64</v>
      </c>
      <c r="L92" s="329">
        <f t="shared" si="14"/>
        <v>-0.16000000000000003</v>
      </c>
      <c r="M92" s="347">
        <f t="shared" si="16"/>
        <v>0.33333333333333343</v>
      </c>
    </row>
    <row r="93" spans="1:13" x14ac:dyDescent="0.25">
      <c r="A93" s="58" t="str">
        <f t="shared" si="17"/>
        <v>RESIDENTIAL SERVICE CLASSIFICATION</v>
      </c>
      <c r="C93" s="357"/>
      <c r="D93" s="68" t="s">
        <v>359</v>
      </c>
      <c r="E93" s="322"/>
      <c r="F93" s="326">
        <v>2.0000000000000001E-4</v>
      </c>
      <c r="G93" s="304">
        <f>IF($E81&gt;0, $E81, $E80)</f>
        <v>750</v>
      </c>
      <c r="H93" s="346">
        <f t="shared" si="15"/>
        <v>0.15</v>
      </c>
      <c r="I93" s="983">
        <v>1E-4</v>
      </c>
      <c r="J93" s="989">
        <f>IF($E81&gt;0, $E81, $E80)</f>
        <v>750</v>
      </c>
      <c r="K93" s="988">
        <f t="shared" si="18"/>
        <v>7.4999999999999997E-2</v>
      </c>
      <c r="L93" s="329">
        <f t="shared" si="14"/>
        <v>-7.4999999999999997E-2</v>
      </c>
      <c r="M93" s="347">
        <f t="shared" si="16"/>
        <v>-0.5</v>
      </c>
    </row>
    <row r="94" spans="1:13" x14ac:dyDescent="0.25">
      <c r="A94" s="58" t="str">
        <f t="shared" si="17"/>
        <v>RESIDENTIAL SERVICE CLASSIFICATION</v>
      </c>
      <c r="B94" s="280" t="s">
        <v>1434</v>
      </c>
      <c r="C94" s="357">
        <f>B30</f>
        <v>1</v>
      </c>
      <c r="D94" s="281" t="s">
        <v>349</v>
      </c>
      <c r="E94" s="282"/>
      <c r="F94" s="348"/>
      <c r="G94" s="717"/>
      <c r="H94" s="718">
        <f>SUM(H88:H93)</f>
        <v>29.419999999999998</v>
      </c>
      <c r="I94" s="349"/>
      <c r="J94" s="289"/>
      <c r="K94" s="718">
        <f>SUM(K88:K93)</f>
        <v>29.695</v>
      </c>
      <c r="L94" s="283">
        <f t="shared" si="14"/>
        <v>0.27500000000000213</v>
      </c>
      <c r="M94" s="284">
        <f>IF((H94)=0,"",(L94/H94))</f>
        <v>9.3473827328348792E-3</v>
      </c>
    </row>
    <row r="95" spans="1:13" x14ac:dyDescent="0.25">
      <c r="A95" s="58" t="str">
        <f t="shared" si="17"/>
        <v>RESIDENTIAL SERVICE CLASSIFICATION</v>
      </c>
      <c r="C95" s="357"/>
      <c r="D95" s="72" t="s">
        <v>421</v>
      </c>
      <c r="E95" s="322"/>
      <c r="F95" s="326">
        <f>IF((E80*12&gt;=150000), 0, IF(E79="RPP",(F111*0.64+F112*0.18+F113*0.18),IF(E79="Non-RPP (Retailer)",F114,F115)))</f>
        <v>0.13325999999999999</v>
      </c>
      <c r="G95" s="332">
        <f>IF(F95=0, 0, $E80*E82-E80)</f>
        <v>33.974999999999909</v>
      </c>
      <c r="H95" s="346">
        <f>G95*F95</f>
        <v>4.5275084999999873</v>
      </c>
      <c r="I95" s="983">
        <f>IF((E80*12&gt;=150000), 0, IF(E79="RPP",(I111*0.64+I112*0.18+I113*0.18),IF(E79="Non-RPP (Retailer)",I114,I115)))</f>
        <v>0.13325999999999999</v>
      </c>
      <c r="J95" s="987">
        <f>IF(I95=0, 0, E80*E83-E80)</f>
        <v>33.974999999999909</v>
      </c>
      <c r="K95" s="988">
        <f>J95*I95</f>
        <v>4.5275084999999873</v>
      </c>
      <c r="L95" s="329">
        <f>K95-H95</f>
        <v>0</v>
      </c>
      <c r="M95" s="347">
        <f>IF(ISERROR(L95/H95), "", L95/H95)</f>
        <v>0</v>
      </c>
    </row>
    <row r="96" spans="1:13" ht="26.4" x14ac:dyDescent="0.25">
      <c r="A96" s="58" t="str">
        <f t="shared" si="17"/>
        <v>RESIDENTIAL SERVICE CLASSIFICATION</v>
      </c>
      <c r="C96" s="357"/>
      <c r="D96" s="72" t="s">
        <v>357</v>
      </c>
      <c r="E96" s="322"/>
      <c r="F96" s="326">
        <v>0</v>
      </c>
      <c r="G96" s="333">
        <f>IF($E81&gt;0, $E81, $E80)</f>
        <v>750</v>
      </c>
      <c r="H96" s="346">
        <f t="shared" si="15"/>
        <v>0</v>
      </c>
      <c r="I96" s="983">
        <v>0</v>
      </c>
      <c r="J96" s="991">
        <f>IF($E81&gt;0, $E81, $E80)</f>
        <v>750</v>
      </c>
      <c r="K96" s="988">
        <f t="shared" si="18"/>
        <v>0</v>
      </c>
      <c r="L96" s="329">
        <f t="shared" si="14"/>
        <v>0</v>
      </c>
      <c r="M96" s="347" t="str">
        <f t="shared" si="16"/>
        <v/>
      </c>
    </row>
    <row r="97" spans="1:14" x14ac:dyDescent="0.25">
      <c r="A97" s="58" t="str">
        <f t="shared" si="17"/>
        <v>RESIDENTIAL SERVICE CLASSIFICATION</v>
      </c>
      <c r="C97" s="357"/>
      <c r="D97" s="72" t="s">
        <v>2299</v>
      </c>
      <c r="E97" s="322"/>
      <c r="F97" s="326">
        <v>0</v>
      </c>
      <c r="G97" s="333">
        <f>IF($E81&gt;0, $E81, $E80)</f>
        <v>750</v>
      </c>
      <c r="H97" s="346">
        <f>G97*F97</f>
        <v>0</v>
      </c>
      <c r="I97" s="983">
        <v>0</v>
      </c>
      <c r="J97" s="991">
        <f>IF($E81&gt;0, $E81, $E80)</f>
        <v>750</v>
      </c>
      <c r="K97" s="988">
        <f>J97*I97</f>
        <v>0</v>
      </c>
      <c r="L97" s="329">
        <f t="shared" si="14"/>
        <v>0</v>
      </c>
      <c r="M97" s="347" t="str">
        <f t="shared" si="16"/>
        <v/>
      </c>
    </row>
    <row r="98" spans="1:14" x14ac:dyDescent="0.25">
      <c r="A98" s="58" t="str">
        <f t="shared" si="17"/>
        <v>RESIDENTIAL SERVICE CLASSIFICATION</v>
      </c>
      <c r="C98" s="357"/>
      <c r="D98" s="72" t="s">
        <v>1953</v>
      </c>
      <c r="E98" s="322"/>
      <c r="F98" s="326">
        <v>0</v>
      </c>
      <c r="G98" s="333">
        <f>E80</f>
        <v>750</v>
      </c>
      <c r="H98" s="346">
        <f>G98*F98</f>
        <v>0</v>
      </c>
      <c r="I98" s="983">
        <v>0</v>
      </c>
      <c r="J98" s="991">
        <f>E80</f>
        <v>750</v>
      </c>
      <c r="K98" s="988">
        <f t="shared" si="18"/>
        <v>0</v>
      </c>
      <c r="L98" s="329">
        <f t="shared" si="14"/>
        <v>0</v>
      </c>
      <c r="M98" s="347" t="str">
        <f t="shared" si="16"/>
        <v/>
      </c>
    </row>
    <row r="99" spans="1:14" x14ac:dyDescent="0.25">
      <c r="A99" s="58" t="str">
        <f t="shared" si="17"/>
        <v>RESIDENTIAL SERVICE CLASSIFICATION</v>
      </c>
      <c r="C99" s="357"/>
      <c r="D99" s="74" t="s">
        <v>141</v>
      </c>
      <c r="E99" s="322"/>
      <c r="F99" s="326">
        <v>3.0000000000000001E-3</v>
      </c>
      <c r="G99" s="333">
        <f>IF($E81&gt;0, $E81, $E80)</f>
        <v>750</v>
      </c>
      <c r="H99" s="346">
        <f t="shared" si="15"/>
        <v>2.25</v>
      </c>
      <c r="I99" s="983">
        <v>3.0000000000000001E-3</v>
      </c>
      <c r="J99" s="991">
        <f>IF($E81&gt;0, $E81, $E80)</f>
        <v>750</v>
      </c>
      <c r="K99" s="988">
        <f t="shared" si="18"/>
        <v>2.25</v>
      </c>
      <c r="L99" s="329">
        <f t="shared" si="14"/>
        <v>0</v>
      </c>
      <c r="M99" s="347">
        <f t="shared" si="16"/>
        <v>0</v>
      </c>
    </row>
    <row r="100" spans="1:14" ht="26.4" x14ac:dyDescent="0.25">
      <c r="A100" s="58" t="str">
        <f t="shared" si="17"/>
        <v>RESIDENTIAL SERVICE CLASSIFICATION</v>
      </c>
      <c r="C100" s="357"/>
      <c r="D100" s="391" t="s">
        <v>4312</v>
      </c>
      <c r="E100" s="322"/>
      <c r="F100" s="768">
        <f>IF(OR(ISNUMBER(SEARCH("RESIDENTIAL", E78))=TRUE, ISNUMBER(SEARCH("GENERAL SERVICE LESS THAN 50", E78))=TRUE), SME, 0)</f>
        <v>0.56999999999999995</v>
      </c>
      <c r="G100" s="304">
        <v>1</v>
      </c>
      <c r="H100" s="346">
        <f>G100*F100</f>
        <v>0.56999999999999995</v>
      </c>
      <c r="I100" s="984">
        <f>IF(OR(ISNUMBER(SEARCH("RESIDENTIAL", E78))=TRUE, ISNUMBER(SEARCH("GENERAL SERVICE LESS THAN 50", E78))=TRUE), SME, 0)</f>
        <v>0.56999999999999995</v>
      </c>
      <c r="J100" s="992">
        <v>1</v>
      </c>
      <c r="K100" s="988">
        <f>J100*I100</f>
        <v>0.56999999999999995</v>
      </c>
      <c r="L100" s="329">
        <f t="shared" si="14"/>
        <v>0</v>
      </c>
      <c r="M100" s="347">
        <f>IF(ISERROR(L100/H100), "", L100/H100)</f>
        <v>0</v>
      </c>
    </row>
    <row r="101" spans="1:14" x14ac:dyDescent="0.25">
      <c r="A101" s="58" t="str">
        <f t="shared" si="17"/>
        <v>RESIDENTIAL SERVICE CLASSIFICATION</v>
      </c>
      <c r="C101" s="357"/>
      <c r="D101" s="74" t="s">
        <v>3742</v>
      </c>
      <c r="E101" s="322"/>
      <c r="F101" s="345">
        <v>0</v>
      </c>
      <c r="G101" s="304">
        <v>1</v>
      </c>
      <c r="H101" s="346">
        <f t="shared" si="15"/>
        <v>0</v>
      </c>
      <c r="I101" s="982">
        <v>0</v>
      </c>
      <c r="J101" s="992">
        <v>1</v>
      </c>
      <c r="K101" s="988">
        <f>J101*I101</f>
        <v>0</v>
      </c>
      <c r="L101" s="329">
        <f>K101-H101</f>
        <v>0</v>
      </c>
      <c r="M101" s="347" t="str">
        <f>IF(ISERROR(L101/H101), "", L101/H101)</f>
        <v/>
      </c>
    </row>
    <row r="102" spans="1:14" x14ac:dyDescent="0.25">
      <c r="A102" s="58" t="str">
        <f t="shared" si="17"/>
        <v>RESIDENTIAL SERVICE CLASSIFICATION</v>
      </c>
      <c r="C102" s="357"/>
      <c r="D102" s="74" t="s">
        <v>3741</v>
      </c>
      <c r="E102" s="322"/>
      <c r="F102" s="326">
        <v>0</v>
      </c>
      <c r="G102" s="333">
        <f>IF($E81&gt;0, $E81, $E80)</f>
        <v>750</v>
      </c>
      <c r="H102" s="346">
        <f>G102*F102</f>
        <v>0</v>
      </c>
      <c r="I102" s="983">
        <v>0</v>
      </c>
      <c r="J102" s="991">
        <f>IF($E81&gt;0, $E81, $E80)</f>
        <v>750</v>
      </c>
      <c r="K102" s="988">
        <f>J102*I102</f>
        <v>0</v>
      </c>
      <c r="L102" s="329">
        <f t="shared" si="14"/>
        <v>0</v>
      </c>
      <c r="M102" s="347" t="str">
        <f>IF(ISERROR(L102/H102), "", L102/H102)</f>
        <v/>
      </c>
    </row>
    <row r="103" spans="1:14" ht="26.4" x14ac:dyDescent="0.25">
      <c r="A103" s="58" t="str">
        <f t="shared" si="17"/>
        <v>RESIDENTIAL SERVICE CLASSIFICATION</v>
      </c>
      <c r="B103" s="783" t="s">
        <v>1435</v>
      </c>
      <c r="C103" s="357">
        <f>B30</f>
        <v>1</v>
      </c>
      <c r="D103" s="286" t="s">
        <v>1466</v>
      </c>
      <c r="E103" s="287"/>
      <c r="F103" s="323"/>
      <c r="G103" s="330"/>
      <c r="H103" s="288">
        <f>SUM(H94:H102)</f>
        <v>36.767508499999984</v>
      </c>
      <c r="I103" s="324"/>
      <c r="J103" s="331"/>
      <c r="K103" s="288">
        <f>SUM(K94:K102)</f>
        <v>37.04250849999999</v>
      </c>
      <c r="L103" s="283">
        <f t="shared" si="14"/>
        <v>0.27500000000000568</v>
      </c>
      <c r="M103" s="284">
        <f>IF((H103)=0,"",(L103/H103))</f>
        <v>7.4794298340885891E-3</v>
      </c>
    </row>
    <row r="104" spans="1:14" x14ac:dyDescent="0.25">
      <c r="A104" s="58" t="str">
        <f t="shared" si="17"/>
        <v>RESIDENTIAL SERVICE CLASSIFICATION</v>
      </c>
      <c r="C104" s="357"/>
      <c r="D104" s="76" t="s">
        <v>351</v>
      </c>
      <c r="E104" s="322"/>
      <c r="F104" s="326">
        <v>6.6E-3</v>
      </c>
      <c r="G104" s="332">
        <f>IF($E81&gt;0, $E81, $E80*$E82)</f>
        <v>783.97499999999991</v>
      </c>
      <c r="H104" s="346">
        <f>G104*F104</f>
        <v>5.1742349999999995</v>
      </c>
      <c r="I104" s="325">
        <v>6.4999999999999997E-3</v>
      </c>
      <c r="J104" s="987">
        <f>IF($E81&gt;0, $E81, $E80*$E83)</f>
        <v>783.97499999999991</v>
      </c>
      <c r="K104" s="988">
        <f>J104*I104</f>
        <v>5.0958374999999991</v>
      </c>
      <c r="L104" s="329">
        <f t="shared" si="14"/>
        <v>-7.8397500000000342E-2</v>
      </c>
      <c r="M104" s="347">
        <f>IF(ISERROR(L104/H104), "", L104/H104)</f>
        <v>-1.515151515151522E-2</v>
      </c>
      <c r="N104" s="1090" t="str">
        <f>IF(ISERROR(ABS(M104)), "", IF(ABS(M104)&gt;=4%, "In the manager's summary, discuss the reasoning for the change in RTSR rates", ""))</f>
        <v/>
      </c>
    </row>
    <row r="105" spans="1:14" ht="26.4" x14ac:dyDescent="0.25">
      <c r="A105" s="58" t="str">
        <f t="shared" si="17"/>
        <v>RESIDENTIAL SERVICE CLASSIFICATION</v>
      </c>
      <c r="C105" s="357"/>
      <c r="D105" s="169" t="s">
        <v>361</v>
      </c>
      <c r="E105" s="322"/>
      <c r="F105" s="326">
        <v>5.5999999999999999E-3</v>
      </c>
      <c r="G105" s="332">
        <f>IF($E81&gt;0, $E81, $E80*$E82)</f>
        <v>783.97499999999991</v>
      </c>
      <c r="H105" s="346">
        <f>G105*F105</f>
        <v>4.3902599999999996</v>
      </c>
      <c r="I105" s="325">
        <v>5.4999999999999997E-3</v>
      </c>
      <c r="J105" s="987">
        <f>IF($E81&gt;0, $E81, $E80*$E83)</f>
        <v>783.97499999999991</v>
      </c>
      <c r="K105" s="988">
        <f>J105*I105</f>
        <v>4.3118624999999993</v>
      </c>
      <c r="L105" s="329">
        <f t="shared" si="14"/>
        <v>-7.8397500000000342E-2</v>
      </c>
      <c r="M105" s="347">
        <f>IF(ISERROR(L105/H105), "", L105/H105)</f>
        <v>-1.7857142857142936E-2</v>
      </c>
      <c r="N105" s="1090" t="str">
        <f>IF(ISERROR(ABS(M105)), "", IF(ABS(M105)&gt;=4%, "In the manager's summary, discuss the reasoning for the change in RTSR rates", ""))</f>
        <v/>
      </c>
    </row>
    <row r="106" spans="1:14" ht="26.4" x14ac:dyDescent="0.25">
      <c r="A106" s="58" t="str">
        <f t="shared" si="17"/>
        <v>RESIDENTIAL SERVICE CLASSIFICATION</v>
      </c>
      <c r="B106" s="783" t="s">
        <v>1436</v>
      </c>
      <c r="C106" s="357">
        <f>B30</f>
        <v>1</v>
      </c>
      <c r="D106" s="286" t="s">
        <v>1467</v>
      </c>
      <c r="E106" s="282"/>
      <c r="F106" s="323"/>
      <c r="G106" s="330"/>
      <c r="H106" s="288">
        <f>SUM(H103:H105)</f>
        <v>46.332003499999985</v>
      </c>
      <c r="I106" s="324"/>
      <c r="J106" s="289"/>
      <c r="K106" s="288">
        <f>SUM(K103:K105)</f>
        <v>46.450208499999988</v>
      </c>
      <c r="L106" s="283">
        <f t="shared" si="14"/>
        <v>0.11820500000000322</v>
      </c>
      <c r="M106" s="284">
        <f>IF((H106)=0,"",(L106/H106))</f>
        <v>2.551260275200559E-3</v>
      </c>
    </row>
    <row r="107" spans="1:14" ht="26.4" x14ac:dyDescent="0.25">
      <c r="A107" s="58" t="str">
        <f t="shared" si="17"/>
        <v>RESIDENTIAL SERVICE CLASSIFICATION</v>
      </c>
      <c r="C107" s="357"/>
      <c r="D107" s="290" t="s">
        <v>352</v>
      </c>
      <c r="E107" s="322"/>
      <c r="F107" s="326">
        <f>IF(AND('1. Information Sheet'!$F$26:$H$26&gt;='17. Regulatory Charges'!$D$14,'1. Information Sheet'!$F$26:$H$26&lt;'17. Regulatory Charges'!$E$14),'17. Regulatory Charges'!$D$15+'17. Regulatory Charges'!$D$16,'17. Regulatory Charges'!$E$15+'17. Regulatory Charges'!$E$16)</f>
        <v>3.4000000000000002E-3</v>
      </c>
      <c r="G107" s="332">
        <f>E80*E82</f>
        <v>783.97499999999991</v>
      </c>
      <c r="H107" s="334">
        <f t="shared" ref="H107:H113" si="19">G107*F107</f>
        <v>2.6655150000000001</v>
      </c>
      <c r="I107" s="983">
        <f>'17. Regulatory Charges'!$E$15+'17. Regulatory Charges'!$E$16</f>
        <v>3.4000000000000002E-3</v>
      </c>
      <c r="J107" s="987">
        <f>E80*E83</f>
        <v>783.97499999999991</v>
      </c>
      <c r="K107" s="988">
        <f t="shared" ref="K107:K113" si="20">J107*I107</f>
        <v>2.6655150000000001</v>
      </c>
      <c r="L107" s="329">
        <f t="shared" si="14"/>
        <v>0</v>
      </c>
      <c r="M107" s="347">
        <f t="shared" ref="M107:M115" si="21">IF(ISERROR(L107/H107), "", L107/H107)</f>
        <v>0</v>
      </c>
    </row>
    <row r="108" spans="1:14" ht="26.4" x14ac:dyDescent="0.25">
      <c r="A108" s="58" t="str">
        <f t="shared" si="17"/>
        <v>RESIDENTIAL SERVICE CLASSIFICATION</v>
      </c>
      <c r="C108" s="357"/>
      <c r="D108" s="290" t="s">
        <v>353</v>
      </c>
      <c r="E108" s="322"/>
      <c r="F108" s="326">
        <f>IF(AND('1. Information Sheet'!$F$26:$H$26&gt;='17. Regulatory Charges'!$D$14,'1. Information Sheet'!$F$26:$H$26&lt;'17. Regulatory Charges'!$D$14),'17. Regulatory Charges'!$D$17,'17. Regulatory Charges'!$E$17)</f>
        <v>5.0000000000000001E-4</v>
      </c>
      <c r="G108" s="332">
        <f>E80*E82</f>
        <v>783.97499999999991</v>
      </c>
      <c r="H108" s="334">
        <f t="shared" si="19"/>
        <v>0.39198749999999999</v>
      </c>
      <c r="I108" s="983">
        <f>'17. Regulatory Charges'!$E$17</f>
        <v>5.0000000000000001E-4</v>
      </c>
      <c r="J108" s="987">
        <f>E80*E83</f>
        <v>783.97499999999991</v>
      </c>
      <c r="K108" s="988">
        <f t="shared" si="20"/>
        <v>0.39198749999999999</v>
      </c>
      <c r="L108" s="329">
        <f t="shared" si="14"/>
        <v>0</v>
      </c>
      <c r="M108" s="347">
        <f t="shared" si="21"/>
        <v>0</v>
      </c>
    </row>
    <row r="109" spans="1:14" x14ac:dyDescent="0.25">
      <c r="A109" s="58" t="str">
        <f t="shared" si="17"/>
        <v>RESIDENTIAL SERVICE CLASSIFICATION</v>
      </c>
      <c r="C109" s="357"/>
      <c r="D109" s="279" t="s">
        <v>354</v>
      </c>
      <c r="E109" s="322"/>
      <c r="F109" s="768">
        <f>IF(AND('1. Information Sheet'!$F$26:$H$26&gt;='17. Regulatory Charges'!$D$14,'1. Information Sheet'!$F$26:$H$26&lt;'17. Regulatory Charges'!$D$14),'17. Regulatory Charges'!$D$18,'17. Regulatory Charges'!$E$18)</f>
        <v>0.25</v>
      </c>
      <c r="G109" s="304">
        <v>1</v>
      </c>
      <c r="H109" s="334">
        <f t="shared" si="19"/>
        <v>0.25</v>
      </c>
      <c r="I109" s="984">
        <f>'17. Regulatory Charges'!$E$18</f>
        <v>0.25</v>
      </c>
      <c r="J109" s="989">
        <v>1</v>
      </c>
      <c r="K109" s="988">
        <f t="shared" si="20"/>
        <v>0.25</v>
      </c>
      <c r="L109" s="329">
        <f t="shared" si="14"/>
        <v>0</v>
      </c>
      <c r="M109" s="347">
        <f t="shared" si="21"/>
        <v>0</v>
      </c>
    </row>
    <row r="110" spans="1:14" ht="26.4" hidden="1" x14ac:dyDescent="0.25">
      <c r="A110" s="58" t="str">
        <f t="shared" si="17"/>
        <v>RESIDENTIAL SERVICE CLASSIFICATION</v>
      </c>
      <c r="C110" s="357"/>
      <c r="D110" s="290" t="s">
        <v>1468</v>
      </c>
      <c r="E110" s="322"/>
      <c r="F110" s="326"/>
      <c r="G110" s="332"/>
      <c r="H110" s="334"/>
      <c r="I110" s="983"/>
      <c r="J110" s="987"/>
      <c r="K110" s="988"/>
      <c r="L110" s="329"/>
      <c r="M110" s="347"/>
    </row>
    <row r="111" spans="1:14" x14ac:dyDescent="0.25">
      <c r="A111" s="58" t="str">
        <f t="shared" si="17"/>
        <v>RESIDENTIAL SERVICE CLASSIFICATION</v>
      </c>
      <c r="B111" s="783" t="s">
        <v>1427</v>
      </c>
      <c r="C111" s="357"/>
      <c r="D111" s="285" t="s">
        <v>220</v>
      </c>
      <c r="E111" s="322"/>
      <c r="F111" s="327">
        <f>OffPeak</f>
        <v>0.105</v>
      </c>
      <c r="G111" s="291">
        <f>IF(AND(E80*12&gt;=150000),0.64*E80*E82,0.64*E80)</f>
        <v>480</v>
      </c>
      <c r="H111" s="334">
        <f t="shared" si="19"/>
        <v>50.4</v>
      </c>
      <c r="I111" s="985">
        <f>OffPeak</f>
        <v>0.105</v>
      </c>
      <c r="J111" s="990">
        <f>IF(AND(E80*12&gt;=150000),0.64*E80*E83,0.64*E80)</f>
        <v>480</v>
      </c>
      <c r="K111" s="988">
        <f t="shared" si="20"/>
        <v>50.4</v>
      </c>
      <c r="L111" s="329">
        <f>K111-H111</f>
        <v>0</v>
      </c>
      <c r="M111" s="347">
        <f t="shared" si="21"/>
        <v>0</v>
      </c>
    </row>
    <row r="112" spans="1:14" x14ac:dyDescent="0.25">
      <c r="A112" s="58" t="str">
        <f t="shared" si="17"/>
        <v>RESIDENTIAL SERVICE CLASSIFICATION</v>
      </c>
      <c r="B112" s="783" t="s">
        <v>1427</v>
      </c>
      <c r="C112" s="357"/>
      <c r="D112" s="285" t="s">
        <v>221</v>
      </c>
      <c r="E112" s="322"/>
      <c r="F112" s="327">
        <f>MidPeak</f>
        <v>0.15</v>
      </c>
      <c r="G112" s="291">
        <f>IF(AND(E80*12&gt;=150000),0.18*E80*E82,0.18*E80)</f>
        <v>135</v>
      </c>
      <c r="H112" s="334">
        <f t="shared" si="19"/>
        <v>20.25</v>
      </c>
      <c r="I112" s="985">
        <f>MidPeak</f>
        <v>0.15</v>
      </c>
      <c r="J112" s="990">
        <f>IF(AND(E80*12&gt;=150000),0.18*E80*E83,0.18*E80)</f>
        <v>135</v>
      </c>
      <c r="K112" s="988">
        <f t="shared" si="20"/>
        <v>20.25</v>
      </c>
      <c r="L112" s="329">
        <f>K112-H112</f>
        <v>0</v>
      </c>
      <c r="M112" s="347">
        <f t="shared" si="21"/>
        <v>0</v>
      </c>
    </row>
    <row r="113" spans="1:13" ht="13.8" thickBot="1" x14ac:dyDescent="0.3">
      <c r="A113" s="58" t="str">
        <f t="shared" si="17"/>
        <v>RESIDENTIAL SERVICE CLASSIFICATION</v>
      </c>
      <c r="B113" s="783" t="s">
        <v>1427</v>
      </c>
      <c r="C113" s="357"/>
      <c r="D113" s="783" t="s">
        <v>222</v>
      </c>
      <c r="E113" s="322"/>
      <c r="F113" s="327">
        <f>OnPeak</f>
        <v>0.217</v>
      </c>
      <c r="G113" s="291">
        <f>IF(AND(E80*12&gt;=150000),0.18*E80*E82,0.18*E80)</f>
        <v>135</v>
      </c>
      <c r="H113" s="334">
        <f t="shared" si="19"/>
        <v>29.294999999999998</v>
      </c>
      <c r="I113" s="985">
        <f>OnPeak</f>
        <v>0.217</v>
      </c>
      <c r="J113" s="990">
        <f>IF(AND(E80*12&gt;=150000),0.18*E80*E83,0.18*E80)</f>
        <v>135</v>
      </c>
      <c r="K113" s="988">
        <f t="shared" si="20"/>
        <v>29.294999999999998</v>
      </c>
      <c r="L113" s="329">
        <f>K113-H113</f>
        <v>0</v>
      </c>
      <c r="M113" s="347">
        <f t="shared" si="21"/>
        <v>0</v>
      </c>
    </row>
    <row r="114" spans="1:13" hidden="1" x14ac:dyDescent="0.25">
      <c r="A114" s="58" t="str">
        <f t="shared" si="17"/>
        <v>RESIDENTIAL SERVICE CLASSIFICATION</v>
      </c>
      <c r="B114" s="58" t="s">
        <v>1428</v>
      </c>
      <c r="C114" s="357"/>
      <c r="D114" s="285" t="s">
        <v>1437</v>
      </c>
      <c r="E114" s="322"/>
      <c r="F114" s="328">
        <v>0.1368</v>
      </c>
      <c r="G114" s="291">
        <f>IF(AND(E80*12&gt;=150000),E80*E82,E80)</f>
        <v>750</v>
      </c>
      <c r="H114" s="334">
        <f>G114*F114</f>
        <v>102.60000000000001</v>
      </c>
      <c r="I114" s="986">
        <f>F114</f>
        <v>0.1368</v>
      </c>
      <c r="J114" s="990">
        <f>IF(AND(E80*12&gt;=150000),E80*E83,E80)</f>
        <v>750</v>
      </c>
      <c r="K114" s="988">
        <f>J114*I114</f>
        <v>102.60000000000001</v>
      </c>
      <c r="L114" s="329">
        <f>K114-H114</f>
        <v>0</v>
      </c>
      <c r="M114" s="347">
        <f t="shared" si="21"/>
        <v>0</v>
      </c>
    </row>
    <row r="115" spans="1:13" ht="13.8" hidden="1" thickBot="1" x14ac:dyDescent="0.3">
      <c r="A115" s="58" t="str">
        <f t="shared" si="17"/>
        <v>RESIDENTIAL SERVICE CLASSIFICATION</v>
      </c>
      <c r="B115" s="58" t="s">
        <v>1429</v>
      </c>
      <c r="C115" s="357"/>
      <c r="D115" s="285" t="s">
        <v>1438</v>
      </c>
      <c r="E115" s="322"/>
      <c r="F115" s="328">
        <v>0.1368</v>
      </c>
      <c r="G115" s="291">
        <f>IF(AND(E80*12&gt;=150000),E80*E82,E80)</f>
        <v>750</v>
      </c>
      <c r="H115" s="334">
        <f>G115*F115</f>
        <v>102.60000000000001</v>
      </c>
      <c r="I115" s="986">
        <f>F115</f>
        <v>0.1368</v>
      </c>
      <c r="J115" s="990">
        <f>IF(AND(E80*12&gt;=150000),E80*E83,E80)</f>
        <v>750</v>
      </c>
      <c r="K115" s="988">
        <f>J115*I115</f>
        <v>102.60000000000001</v>
      </c>
      <c r="L115" s="329">
        <f>K115-H115</f>
        <v>0</v>
      </c>
      <c r="M115" s="347">
        <f t="shared" si="21"/>
        <v>0</v>
      </c>
    </row>
    <row r="116" spans="1:13" ht="13.8" thickBot="1" x14ac:dyDescent="0.3">
      <c r="A116" s="58" t="str">
        <f t="shared" si="17"/>
        <v>RESIDENTIAL SERVICE CLASSIFICATION</v>
      </c>
      <c r="B116" s="783"/>
      <c r="C116" s="357"/>
      <c r="D116" s="292"/>
      <c r="E116" s="293"/>
      <c r="F116" s="335"/>
      <c r="G116" s="216"/>
      <c r="H116" s="336"/>
      <c r="I116" s="335"/>
      <c r="J116" s="337"/>
      <c r="K116" s="336"/>
      <c r="L116" s="338"/>
      <c r="M116" s="219"/>
    </row>
    <row r="117" spans="1:13" x14ac:dyDescent="0.25">
      <c r="A117" s="58" t="str">
        <f t="shared" si="17"/>
        <v>RESIDENTIAL SERVICE CLASSIFICATION</v>
      </c>
      <c r="B117" s="783" t="s">
        <v>1427</v>
      </c>
      <c r="C117" s="357"/>
      <c r="D117" s="296" t="s">
        <v>356</v>
      </c>
      <c r="E117" s="279"/>
      <c r="F117" s="311"/>
      <c r="G117" s="339"/>
      <c r="H117" s="297">
        <f>SUM(H107:H113,H106)</f>
        <v>149.58450599999998</v>
      </c>
      <c r="I117" s="298"/>
      <c r="J117" s="298"/>
      <c r="K117" s="297">
        <f>SUM(K107:K113,K106)</f>
        <v>149.70271099999999</v>
      </c>
      <c r="L117" s="299">
        <f>K117-H117</f>
        <v>0.11820500000001744</v>
      </c>
      <c r="M117" s="300">
        <f>IF((H117)=0,"",(L117/H117))</f>
        <v>7.9022221726638895E-4</v>
      </c>
    </row>
    <row r="118" spans="1:13" x14ac:dyDescent="0.25">
      <c r="A118" s="58" t="str">
        <f t="shared" si="17"/>
        <v>RESIDENTIAL SERVICE CLASSIFICATION</v>
      </c>
      <c r="B118" s="783" t="s">
        <v>1427</v>
      </c>
      <c r="C118" s="357"/>
      <c r="D118" s="301" t="s">
        <v>148</v>
      </c>
      <c r="E118" s="279"/>
      <c r="F118" s="311">
        <v>0.13</v>
      </c>
      <c r="G118" s="340"/>
      <c r="H118" s="302">
        <f>H117*F118</f>
        <v>19.445985779999997</v>
      </c>
      <c r="I118" s="303">
        <v>0.13</v>
      </c>
      <c r="J118" s="304"/>
      <c r="K118" s="302">
        <f>K117*I118</f>
        <v>19.461352430000002</v>
      </c>
      <c r="L118" s="305">
        <f>K118-H118</f>
        <v>1.5366650000004256E-2</v>
      </c>
      <c r="M118" s="306">
        <f>IF((H118)=0,"",(L118/H118))</f>
        <v>7.9022221726649119E-4</v>
      </c>
    </row>
    <row r="119" spans="1:13" x14ac:dyDescent="0.25">
      <c r="A119" s="58" t="str">
        <f t="shared" si="17"/>
        <v>RESIDENTIAL SERVICE CLASSIFICATION</v>
      </c>
      <c r="B119" s="783" t="s">
        <v>1427</v>
      </c>
      <c r="C119" s="357"/>
      <c r="D119" s="301" t="s">
        <v>5907</v>
      </c>
      <c r="E119" s="279"/>
      <c r="F119" s="1238">
        <v>0.318</v>
      </c>
      <c r="G119" s="340"/>
      <c r="H119" s="302">
        <f>IF(OR(ISNUMBER(SEARCH("[DGEN]", E78))=TRUE, ISNUMBER(SEARCH("STREET LIGHT", E78))=TRUE), 0, IF(AND(E80=0, E81=0),0, IF(AND(E81=0, E80*12&gt;250000), 0, IF(AND(E80=0, E81&gt;=50), 0, IF(E80*12&lt;=250000, F119*H117*-1, IF(E81&lt;50, F119*H117*-1, 0))))))</f>
        <v>-47.567872907999991</v>
      </c>
      <c r="I119" s="1238">
        <v>0.318</v>
      </c>
      <c r="J119" s="304"/>
      <c r="K119" s="302">
        <f>IF(OR(ISNUMBER(SEARCH("[DGEN]", E78))=TRUE, ISNUMBER(SEARCH("STREET LIGHT", E78))=TRUE), 0, IF(AND(E80=0, E81=0),0, IF(AND(E81=0, E80*12&gt;250000), 0, IF(AND(E80=0, E81&gt;=50), 0, IF(E80*12&lt;=250000, I119*K117*-1, IF(E81&lt;50, I119*K117*-1, 0))))))</f>
        <v>-47.605462097999997</v>
      </c>
      <c r="L119" s="305">
        <f>K119-H119</f>
        <v>-3.7589190000005601E-2</v>
      </c>
      <c r="M119" s="306"/>
    </row>
    <row r="120" spans="1:13" ht="13.8" thickBot="1" x14ac:dyDescent="0.3">
      <c r="A120" s="58" t="str">
        <f t="shared" si="17"/>
        <v>RESIDENTIAL SERVICE CLASSIFICATION</v>
      </c>
      <c r="B120" s="783" t="s">
        <v>1439</v>
      </c>
      <c r="C120" s="357">
        <f>B30</f>
        <v>1</v>
      </c>
      <c r="D120" s="1943" t="s">
        <v>1440</v>
      </c>
      <c r="E120" s="1943"/>
      <c r="F120" s="341"/>
      <c r="G120" s="342"/>
      <c r="H120" s="312">
        <f>H117+H118+H119</f>
        <v>121.46261887199998</v>
      </c>
      <c r="I120" s="308"/>
      <c r="J120" s="308"/>
      <c r="K120" s="307">
        <f>K117+K118+K119</f>
        <v>121.55860133199999</v>
      </c>
      <c r="L120" s="309">
        <f>K120-H120</f>
        <v>9.598246000001609E-2</v>
      </c>
      <c r="M120" s="310">
        <f>IF((H120)=0,"",(L120/H120))</f>
        <v>7.9022221726640478E-4</v>
      </c>
    </row>
    <row r="121" spans="1:13" ht="13.8" thickBot="1" x14ac:dyDescent="0.3">
      <c r="A121" s="58" t="str">
        <f t="shared" si="17"/>
        <v>RESIDENTIAL SERVICE CLASSIFICATION</v>
      </c>
      <c r="B121" s="58" t="s">
        <v>1427</v>
      </c>
      <c r="C121" s="357"/>
      <c r="D121" s="292"/>
      <c r="E121" s="293"/>
      <c r="F121" s="335"/>
      <c r="G121" s="216"/>
      <c r="H121" s="336"/>
      <c r="I121" s="335"/>
      <c r="J121" s="337"/>
      <c r="K121" s="336"/>
      <c r="L121" s="338"/>
      <c r="M121" s="219"/>
    </row>
    <row r="122" spans="1:13" hidden="1" x14ac:dyDescent="0.25">
      <c r="A122" s="58" t="str">
        <f t="shared" si="17"/>
        <v>RESIDENTIAL SERVICE CLASSIFICATION</v>
      </c>
      <c r="B122" s="58" t="s">
        <v>1428</v>
      </c>
      <c r="C122" s="357"/>
      <c r="D122" s="296" t="s">
        <v>1441</v>
      </c>
      <c r="E122" s="279"/>
      <c r="F122" s="311"/>
      <c r="G122" s="339"/>
      <c r="H122" s="297">
        <f>SUM(H114,H107:H110,H106)</f>
        <v>152.23950600000001</v>
      </c>
      <c r="I122" s="298"/>
      <c r="J122" s="298"/>
      <c r="K122" s="297">
        <f>SUM(K114,K107:K110,K106)</f>
        <v>152.35771099999999</v>
      </c>
      <c r="L122" s="299">
        <f>K122-H122</f>
        <v>0.11820499999998901</v>
      </c>
      <c r="M122" s="300">
        <f>IF((H122)=0,"",(L122/H122))</f>
        <v>7.7644103758448219E-4</v>
      </c>
    </row>
    <row r="123" spans="1:13" hidden="1" x14ac:dyDescent="0.25">
      <c r="A123" s="58" t="str">
        <f t="shared" si="17"/>
        <v>RESIDENTIAL SERVICE CLASSIFICATION</v>
      </c>
      <c r="B123" s="58" t="s">
        <v>1428</v>
      </c>
      <c r="C123" s="357"/>
      <c r="D123" s="301" t="s">
        <v>148</v>
      </c>
      <c r="E123" s="279"/>
      <c r="F123" s="311">
        <v>0.13</v>
      </c>
      <c r="G123" s="339"/>
      <c r="H123" s="302">
        <f>H122*F123</f>
        <v>19.791135780000001</v>
      </c>
      <c r="I123" s="311">
        <v>0.13</v>
      </c>
      <c r="J123" s="303"/>
      <c r="K123" s="302">
        <f>K122*I123</f>
        <v>19.806502429999998</v>
      </c>
      <c r="L123" s="305">
        <f>K123-H123</f>
        <v>1.5366649999997151E-2</v>
      </c>
      <c r="M123" s="306">
        <f>IF((H123)=0,"",(L123/H123))</f>
        <v>7.7644103758441041E-4</v>
      </c>
    </row>
    <row r="124" spans="1:13" hidden="1" x14ac:dyDescent="0.25">
      <c r="A124" s="58" t="str">
        <f t="shared" si="17"/>
        <v>RESIDENTIAL SERVICE CLASSIFICATION</v>
      </c>
      <c r="B124" s="58" t="s">
        <v>1428</v>
      </c>
      <c r="C124" s="357"/>
      <c r="D124" s="301" t="s">
        <v>5907</v>
      </c>
      <c r="E124" s="279"/>
      <c r="F124" s="1238">
        <v>0.318</v>
      </c>
      <c r="G124" s="339"/>
      <c r="H124" s="707">
        <f>IF(OR(ISNUMBER(SEARCH("[DGEN]", E78))=TRUE, ISNUMBER(SEARCH("STREET LIGHT", E78))=TRUE), 0, IF(AND(E80=0, E81=0),0, IF(AND(E81=0, E80*12&gt;250000), 0, IF(AND(E80=0, E81&gt;=50), 0, IF(E80*12&lt;=250000, F124*H122*-1, IF(E81&lt;50, F124*H122*-1, 0))))))</f>
        <v>-48.412162907999999</v>
      </c>
      <c r="I124" s="1238">
        <v>0.318</v>
      </c>
      <c r="J124" s="303"/>
      <c r="K124" s="707">
        <f>IF(OR(ISNUMBER(SEARCH("[DGEN]", E78))=TRUE, ISNUMBER(SEARCH("STREET LIGHT", E78))=TRUE), 0, IF(AND(E80=0, E81=0),0, IF(AND(E81=0, E80*12&gt;250000), 0, IF(AND(E80=0, E81&gt;=50), 0, IF(E80*12&lt;=250000, I124*K122*-1, IF(E81&lt;50, I124*K122*-1, 0))))))</f>
        <v>-48.449752097999998</v>
      </c>
      <c r="L124" s="305"/>
      <c r="M124" s="306"/>
    </row>
    <row r="125" spans="1:13" ht="13.8" hidden="1" thickBot="1" x14ac:dyDescent="0.3">
      <c r="A125" s="58" t="str">
        <f t="shared" si="17"/>
        <v>RESIDENTIAL SERVICE CLASSIFICATION</v>
      </c>
      <c r="B125" s="58" t="s">
        <v>1442</v>
      </c>
      <c r="C125" s="357"/>
      <c r="D125" s="1943" t="s">
        <v>1441</v>
      </c>
      <c r="E125" s="1943"/>
      <c r="F125" s="343"/>
      <c r="G125" s="344"/>
      <c r="H125" s="312">
        <f>SUM(H122,H123)</f>
        <v>172.03064178</v>
      </c>
      <c r="I125" s="313"/>
      <c r="J125" s="313"/>
      <c r="K125" s="312">
        <f>SUM(K122,K123)</f>
        <v>172.16421342999999</v>
      </c>
      <c r="L125" s="314">
        <f>K125-H125</f>
        <v>0.13357164999999327</v>
      </c>
      <c r="M125" s="315">
        <f>IF((H125)=0,"",(L125/H125))</f>
        <v>7.7644103758451536E-4</v>
      </c>
    </row>
    <row r="126" spans="1:13" ht="13.8" hidden="1" thickBot="1" x14ac:dyDescent="0.3">
      <c r="A126" s="58" t="str">
        <f t="shared" si="17"/>
        <v>RESIDENTIAL SERVICE CLASSIFICATION</v>
      </c>
      <c r="B126" s="58" t="s">
        <v>1428</v>
      </c>
      <c r="C126" s="357"/>
      <c r="D126" s="292"/>
      <c r="E126" s="293"/>
      <c r="F126" s="213"/>
      <c r="G126" s="214"/>
      <c r="H126" s="215"/>
      <c r="I126" s="213"/>
      <c r="J126" s="216"/>
      <c r="K126" s="215"/>
      <c r="L126" s="218"/>
      <c r="M126" s="219"/>
    </row>
    <row r="127" spans="1:13" hidden="1" x14ac:dyDescent="0.25">
      <c r="A127" s="58" t="str">
        <f t="shared" si="17"/>
        <v>RESIDENTIAL SERVICE CLASSIFICATION</v>
      </c>
      <c r="B127" s="58" t="s">
        <v>1429</v>
      </c>
      <c r="C127" s="357"/>
      <c r="D127" s="296" t="s">
        <v>1443</v>
      </c>
      <c r="E127" s="279"/>
      <c r="F127" s="311"/>
      <c r="G127" s="339"/>
      <c r="H127" s="297">
        <f>SUM(H115,H107:H110,H106)</f>
        <v>152.23950600000001</v>
      </c>
      <c r="I127" s="298"/>
      <c r="J127" s="298"/>
      <c r="K127" s="297">
        <f>SUM(K115,K107:K110,K106)</f>
        <v>152.35771099999999</v>
      </c>
      <c r="L127" s="299">
        <f>K127-H127</f>
        <v>0.11820499999998901</v>
      </c>
      <c r="M127" s="300">
        <f>IF((H127)=0,"",(L127/H127))</f>
        <v>7.7644103758448219E-4</v>
      </c>
    </row>
    <row r="128" spans="1:13" hidden="1" x14ac:dyDescent="0.25">
      <c r="A128" s="58" t="str">
        <f t="shared" si="17"/>
        <v>RESIDENTIAL SERVICE CLASSIFICATION</v>
      </c>
      <c r="B128" s="58" t="s">
        <v>1429</v>
      </c>
      <c r="C128" s="357"/>
      <c r="D128" s="301" t="s">
        <v>148</v>
      </c>
      <c r="E128" s="279"/>
      <c r="F128" s="311">
        <v>0.13</v>
      </c>
      <c r="G128" s="339"/>
      <c r="H128" s="302">
        <f>H127*F128</f>
        <v>19.791135780000001</v>
      </c>
      <c r="I128" s="311">
        <v>0.13</v>
      </c>
      <c r="J128" s="303"/>
      <c r="K128" s="302">
        <f>K127*I128</f>
        <v>19.806502429999998</v>
      </c>
      <c r="L128" s="305">
        <f>K128-H128</f>
        <v>1.5366649999997151E-2</v>
      </c>
      <c r="M128" s="306">
        <f>IF((H128)=0,"",(L128/H128))</f>
        <v>7.7644103758441041E-4</v>
      </c>
    </row>
    <row r="129" spans="1:20" hidden="1" x14ac:dyDescent="0.25">
      <c r="A129" s="58" t="str">
        <f t="shared" si="17"/>
        <v>RESIDENTIAL SERVICE CLASSIFICATION</v>
      </c>
      <c r="B129" s="58" t="s">
        <v>1429</v>
      </c>
      <c r="C129" s="357"/>
      <c r="D129" s="301" t="s">
        <v>5907</v>
      </c>
      <c r="E129" s="279"/>
      <c r="F129" s="1238">
        <v>0.318</v>
      </c>
      <c r="G129" s="339"/>
      <c r="H129" s="707">
        <f>IF(OR(ISNUMBER(SEARCH("[DGEN]", E78))=TRUE, ISNUMBER(SEARCH("STREET LIGHT", E78))=TRUE), 0, IF(AND(E80=0, E81=0),0, IF(AND(E81=0, E80*12&gt;250000), 0, IF(AND(E80=0, E81&gt;=50), 0, IF(E80*12&lt;=250000, F129*H127*-1, IF(E81&lt;50, F129*H127*-1, 0))))))</f>
        <v>-48.412162907999999</v>
      </c>
      <c r="I129" s="1238">
        <v>0.318</v>
      </c>
      <c r="J129" s="303"/>
      <c r="K129" s="707">
        <f>IF(OR(ISNUMBER(SEARCH("[DGEN]", E78))=TRUE, ISNUMBER(SEARCH("STREET LIGHT", E78))=TRUE), 0, IF(AND(E80=0, E81=0),0, IF(AND(E81=0, E80*12&gt;250000), 0, IF(AND(E80=0, E81&gt;=50), 0, IF(E80*12&lt;=250000, I129*K127*-1, IF(E81&lt;50, I129*K127*-1, 0))))))</f>
        <v>-48.449752097999998</v>
      </c>
      <c r="L129" s="305"/>
      <c r="M129" s="306"/>
    </row>
    <row r="130" spans="1:20" ht="13.8" hidden="1" thickBot="1" x14ac:dyDescent="0.3">
      <c r="A130" s="58" t="str">
        <f t="shared" si="17"/>
        <v>RESIDENTIAL SERVICE CLASSIFICATION</v>
      </c>
      <c r="B130" s="58" t="s">
        <v>1444</v>
      </c>
      <c r="C130" s="357"/>
      <c r="D130" s="1943" t="s">
        <v>1443</v>
      </c>
      <c r="E130" s="1943"/>
      <c r="F130" s="343"/>
      <c r="G130" s="344"/>
      <c r="H130" s="312">
        <f>SUM(H127,H128)</f>
        <v>172.03064178</v>
      </c>
      <c r="I130" s="313"/>
      <c r="J130" s="313"/>
      <c r="K130" s="312">
        <f>SUM(K127,K128)</f>
        <v>172.16421342999999</v>
      </c>
      <c r="L130" s="314">
        <f>K130-H130</f>
        <v>0.13357164999999327</v>
      </c>
      <c r="M130" s="315">
        <f>IF((H130)=0,"",(L130/H130))</f>
        <v>7.7644103758451536E-4</v>
      </c>
    </row>
    <row r="131" spans="1:20" ht="13.8" hidden="1" thickBot="1" x14ac:dyDescent="0.3">
      <c r="A131" s="58" t="str">
        <f t="shared" si="17"/>
        <v>RESIDENTIAL SERVICE CLASSIFICATION</v>
      </c>
      <c r="B131" s="58" t="s">
        <v>1429</v>
      </c>
      <c r="C131" s="357"/>
      <c r="D131" s="292"/>
      <c r="E131" s="293"/>
      <c r="F131" s="316"/>
      <c r="G131" s="317"/>
      <c r="H131" s="318"/>
      <c r="I131" s="316"/>
      <c r="J131" s="294"/>
      <c r="K131" s="318"/>
      <c r="L131" s="319"/>
      <c r="M131" s="295"/>
    </row>
    <row r="134" spans="1:20" x14ac:dyDescent="0.25">
      <c r="C134" s="58"/>
      <c r="D134" s="264" t="s">
        <v>1432</v>
      </c>
      <c r="E134" s="1952" t="str">
        <f>D31</f>
        <v>GENERAL SERVICE LESS THAN 50 KW SERVICE CLASSIFICATION</v>
      </c>
      <c r="F134" s="1952"/>
      <c r="G134" s="1952"/>
      <c r="H134" s="1952"/>
      <c r="I134" s="1952"/>
      <c r="J134" s="1952"/>
      <c r="K134" s="58" t="str">
        <f>IF(N31="DEMAND - INTERVAL","RTSR - INTERVAL METERED","")</f>
        <v/>
      </c>
      <c r="T134" s="58" t="s">
        <v>603</v>
      </c>
    </row>
    <row r="135" spans="1:20" x14ac:dyDescent="0.25">
      <c r="C135" s="58"/>
      <c r="D135" s="264" t="s">
        <v>1433</v>
      </c>
      <c r="E135" s="1953" t="str">
        <f>H31</f>
        <v>RPP</v>
      </c>
      <c r="F135" s="1953"/>
      <c r="G135" s="1953"/>
      <c r="H135" s="265"/>
      <c r="I135" s="265"/>
    </row>
    <row r="136" spans="1:20" ht="15.6" x14ac:dyDescent="0.25">
      <c r="C136" s="58"/>
      <c r="D136" s="264" t="s">
        <v>153</v>
      </c>
      <c r="E136" s="1626">
        <f>K31</f>
        <v>2000</v>
      </c>
      <c r="F136" s="267" t="s">
        <v>154</v>
      </c>
      <c r="G136" s="783"/>
      <c r="J136" s="268"/>
      <c r="K136" s="268"/>
      <c r="L136" s="268"/>
      <c r="M136" s="268"/>
      <c r="N136" s="268"/>
    </row>
    <row r="137" spans="1:20" ht="15.6" x14ac:dyDescent="0.3">
      <c r="C137" s="58"/>
      <c r="D137" s="264" t="s">
        <v>360</v>
      </c>
      <c r="E137" s="1626">
        <f>L31</f>
        <v>0</v>
      </c>
      <c r="F137" s="269" t="s">
        <v>155</v>
      </c>
      <c r="G137" s="270"/>
      <c r="H137" s="271"/>
      <c r="I137" s="271"/>
      <c r="J137" s="271"/>
    </row>
    <row r="138" spans="1:20" x14ac:dyDescent="0.25">
      <c r="C138" s="58"/>
      <c r="D138" s="264" t="s">
        <v>1464</v>
      </c>
      <c r="E138" s="272">
        <f>I31</f>
        <v>1.0452999999999999</v>
      </c>
    </row>
    <row r="139" spans="1:20" x14ac:dyDescent="0.25">
      <c r="C139" s="58"/>
      <c r="D139" s="264" t="s">
        <v>1465</v>
      </c>
      <c r="E139" s="272">
        <f>J31</f>
        <v>1.0452999999999999</v>
      </c>
    </row>
    <row r="140" spans="1:20" x14ac:dyDescent="0.25">
      <c r="C140" s="58"/>
      <c r="D140" s="783"/>
    </row>
    <row r="141" spans="1:20" x14ac:dyDescent="0.25">
      <c r="C141" s="58"/>
      <c r="D141" s="783"/>
      <c r="E141" s="273"/>
      <c r="F141" s="1944" t="s">
        <v>1943</v>
      </c>
      <c r="G141" s="1954"/>
      <c r="H141" s="1945"/>
      <c r="I141" s="1944" t="s">
        <v>341</v>
      </c>
      <c r="J141" s="1954"/>
      <c r="K141" s="1945"/>
      <c r="L141" s="1944" t="s">
        <v>342</v>
      </c>
      <c r="M141" s="1945"/>
    </row>
    <row r="142" spans="1:20" x14ac:dyDescent="0.25">
      <c r="C142" s="58"/>
      <c r="D142" s="783"/>
      <c r="E142" s="1946"/>
      <c r="F142" s="274" t="s">
        <v>343</v>
      </c>
      <c r="G142" s="274" t="s">
        <v>146</v>
      </c>
      <c r="H142" s="275" t="s">
        <v>344</v>
      </c>
      <c r="I142" s="274" t="s">
        <v>343</v>
      </c>
      <c r="J142" s="276" t="s">
        <v>146</v>
      </c>
      <c r="K142" s="275" t="s">
        <v>344</v>
      </c>
      <c r="L142" s="1948" t="s">
        <v>345</v>
      </c>
      <c r="M142" s="1950" t="s">
        <v>346</v>
      </c>
    </row>
    <row r="143" spans="1:20" x14ac:dyDescent="0.25">
      <c r="C143" s="58"/>
      <c r="D143" s="783"/>
      <c r="E143" s="1947"/>
      <c r="F143" s="277" t="s">
        <v>347</v>
      </c>
      <c r="G143" s="277"/>
      <c r="H143" s="278" t="s">
        <v>347</v>
      </c>
      <c r="I143" s="277" t="s">
        <v>347</v>
      </c>
      <c r="J143" s="278"/>
      <c r="K143" s="278" t="s">
        <v>347</v>
      </c>
      <c r="L143" s="1949"/>
      <c r="M143" s="1951"/>
    </row>
    <row r="144" spans="1:20" x14ac:dyDescent="0.25">
      <c r="A144" s="58" t="str">
        <f>$E134</f>
        <v>GENERAL SERVICE LESS THAN 50 KW SERVICE CLASSIFICATION</v>
      </c>
      <c r="C144" s="357"/>
      <c r="D144" s="68" t="s">
        <v>348</v>
      </c>
      <c r="E144" s="322"/>
      <c r="F144" s="345">
        <v>21.46</v>
      </c>
      <c r="G144" s="304">
        <v>1</v>
      </c>
      <c r="H144" s="346">
        <f>G144*F144</f>
        <v>21.46</v>
      </c>
      <c r="I144" s="982">
        <v>21.82</v>
      </c>
      <c r="J144" s="989">
        <f>G144</f>
        <v>1</v>
      </c>
      <c r="K144" s="988">
        <f>J144*I144</f>
        <v>21.82</v>
      </c>
      <c r="L144" s="329">
        <f t="shared" ref="L144:L165" si="22">K144-H144</f>
        <v>0.35999999999999943</v>
      </c>
      <c r="M144" s="347">
        <f>IF(ISERROR(L144/H144), "", L144/H144)</f>
        <v>1.6775396085740885E-2</v>
      </c>
    </row>
    <row r="145" spans="1:14" x14ac:dyDescent="0.25">
      <c r="A145" s="58" t="str">
        <f>A144</f>
        <v>GENERAL SERVICE LESS THAN 50 KW SERVICE CLASSIFICATION</v>
      </c>
      <c r="C145" s="357"/>
      <c r="D145" s="68" t="s">
        <v>80</v>
      </c>
      <c r="E145" s="322"/>
      <c r="F145" s="326">
        <v>2.24E-2</v>
      </c>
      <c r="G145" s="304">
        <f>IF($E137&gt;0, $E137, $E136)</f>
        <v>2000</v>
      </c>
      <c r="H145" s="346">
        <f t="shared" ref="H145:H157" si="23">G145*F145</f>
        <v>44.8</v>
      </c>
      <c r="I145" s="983">
        <v>2.2800000000000001E-2</v>
      </c>
      <c r="J145" s="989">
        <f>IF($E137&gt;0, $E137, $E136)</f>
        <v>2000</v>
      </c>
      <c r="K145" s="988">
        <f>J145*I145</f>
        <v>45.6</v>
      </c>
      <c r="L145" s="329">
        <f t="shared" si="22"/>
        <v>0.80000000000000426</v>
      </c>
      <c r="M145" s="347">
        <f t="shared" ref="M145:M155" si="24">IF(ISERROR(L145/H145), "", L145/H145)</f>
        <v>1.7857142857142953E-2</v>
      </c>
    </row>
    <row r="146" spans="1:14" hidden="1" x14ac:dyDescent="0.25">
      <c r="A146" s="58" t="str">
        <f t="shared" ref="A146:A187" si="25">A145</f>
        <v>GENERAL SERVICE LESS THAN 50 KW SERVICE CLASSIFICATION</v>
      </c>
      <c r="C146" s="357"/>
      <c r="D146" s="68" t="s">
        <v>4311</v>
      </c>
      <c r="E146" s="322"/>
      <c r="F146" s="326"/>
      <c r="G146" s="304">
        <f>IF($E137&gt;0, $E137, $E136)</f>
        <v>2000</v>
      </c>
      <c r="H146" s="346">
        <v>0</v>
      </c>
      <c r="I146" s="983"/>
      <c r="J146" s="989">
        <f>IF($E137&gt;0, $E137, $E136)</f>
        <v>2000</v>
      </c>
      <c r="K146" s="988">
        <v>0</v>
      </c>
      <c r="L146" s="329"/>
      <c r="M146" s="347"/>
    </row>
    <row r="147" spans="1:14" hidden="1" x14ac:dyDescent="0.25">
      <c r="A147" s="58" t="str">
        <f t="shared" si="25"/>
        <v>GENERAL SERVICE LESS THAN 50 KW SERVICE CLASSIFICATION</v>
      </c>
      <c r="C147" s="357"/>
      <c r="D147" s="68" t="s">
        <v>3743</v>
      </c>
      <c r="E147" s="322"/>
      <c r="F147" s="326"/>
      <c r="G147" s="304">
        <f>IF($E137&gt;0, $E137, $E136)</f>
        <v>2000</v>
      </c>
      <c r="H147" s="346">
        <v>0</v>
      </c>
      <c r="I147" s="983"/>
      <c r="J147" s="992">
        <f>IF($E137&gt;0, $E137, $E136)</f>
        <v>2000</v>
      </c>
      <c r="K147" s="988">
        <v>0</v>
      </c>
      <c r="L147" s="329">
        <f>K147-H147</f>
        <v>0</v>
      </c>
      <c r="M147" s="347" t="str">
        <f>IF(ISERROR(L147/H147), "", L147/H147)</f>
        <v/>
      </c>
    </row>
    <row r="148" spans="1:14" x14ac:dyDescent="0.25">
      <c r="A148" s="58" t="str">
        <f t="shared" si="25"/>
        <v>GENERAL SERVICE LESS THAN 50 KW SERVICE CLASSIFICATION</v>
      </c>
      <c r="C148" s="357"/>
      <c r="D148" s="69" t="s">
        <v>358</v>
      </c>
      <c r="E148" s="322"/>
      <c r="F148" s="345">
        <v>0</v>
      </c>
      <c r="G148" s="304">
        <v>1</v>
      </c>
      <c r="H148" s="346">
        <f t="shared" si="23"/>
        <v>0</v>
      </c>
      <c r="I148" s="982">
        <v>0</v>
      </c>
      <c r="J148" s="989">
        <f>G148</f>
        <v>1</v>
      </c>
      <c r="K148" s="988">
        <f t="shared" ref="K148:K155" si="26">J148*I148</f>
        <v>0</v>
      </c>
      <c r="L148" s="329">
        <f t="shared" si="22"/>
        <v>0</v>
      </c>
      <c r="M148" s="347" t="str">
        <f t="shared" si="24"/>
        <v/>
      </c>
    </row>
    <row r="149" spans="1:14" x14ac:dyDescent="0.25">
      <c r="A149" s="58" t="str">
        <f t="shared" si="25"/>
        <v>GENERAL SERVICE LESS THAN 50 KW SERVICE CLASSIFICATION</v>
      </c>
      <c r="C149" s="357"/>
      <c r="D149" s="68" t="s">
        <v>359</v>
      </c>
      <c r="E149" s="322"/>
      <c r="F149" s="326">
        <v>1.6000000000000003E-3</v>
      </c>
      <c r="G149" s="304">
        <f>IF($E137&gt;0, $E137, $E136)</f>
        <v>2000</v>
      </c>
      <c r="H149" s="346">
        <f t="shared" si="23"/>
        <v>3.2000000000000006</v>
      </c>
      <c r="I149" s="983">
        <v>3.0000000000000003E-4</v>
      </c>
      <c r="J149" s="989">
        <f>IF($E137&gt;0, $E137, $E136)</f>
        <v>2000</v>
      </c>
      <c r="K149" s="988">
        <f t="shared" si="26"/>
        <v>0.60000000000000009</v>
      </c>
      <c r="L149" s="329">
        <f t="shared" si="22"/>
        <v>-2.6000000000000005</v>
      </c>
      <c r="M149" s="347">
        <f t="shared" si="24"/>
        <v>-0.8125</v>
      </c>
    </row>
    <row r="150" spans="1:14" x14ac:dyDescent="0.25">
      <c r="A150" s="58" t="str">
        <f t="shared" si="25"/>
        <v>GENERAL SERVICE LESS THAN 50 KW SERVICE CLASSIFICATION</v>
      </c>
      <c r="B150" s="280" t="s">
        <v>1434</v>
      </c>
      <c r="C150" s="357">
        <f>B31</f>
        <v>2</v>
      </c>
      <c r="D150" s="281" t="s">
        <v>349</v>
      </c>
      <c r="E150" s="282"/>
      <c r="F150" s="348"/>
      <c r="G150" s="717"/>
      <c r="H150" s="718">
        <f>SUM(H144:H149)</f>
        <v>69.459999999999994</v>
      </c>
      <c r="I150" s="349"/>
      <c r="J150" s="289"/>
      <c r="K150" s="718">
        <f>SUM(K144:K149)</f>
        <v>68.02</v>
      </c>
      <c r="L150" s="283">
        <f t="shared" si="22"/>
        <v>-1.4399999999999977</v>
      </c>
      <c r="M150" s="284">
        <f>IF((H150)=0,"",(L150/H150))</f>
        <v>-2.0731356176216496E-2</v>
      </c>
    </row>
    <row r="151" spans="1:14" x14ac:dyDescent="0.25">
      <c r="A151" s="58" t="str">
        <f t="shared" si="25"/>
        <v>GENERAL SERVICE LESS THAN 50 KW SERVICE CLASSIFICATION</v>
      </c>
      <c r="C151" s="357"/>
      <c r="D151" s="72" t="s">
        <v>421</v>
      </c>
      <c r="E151" s="322"/>
      <c r="F151" s="326">
        <f>IF((E136*12&gt;=150000), 0, IF(E135="RPP",(F167*0.64+F168*0.18+F169*0.18),IF(E135="Non-RPP (Retailer)",F170,F171)))</f>
        <v>0.13325999999999999</v>
      </c>
      <c r="G151" s="332">
        <f>IF(F151=0, 0, $E136*E138-E136)</f>
        <v>90.599999999999909</v>
      </c>
      <c r="H151" s="346">
        <f>G151*F151</f>
        <v>12.073355999999986</v>
      </c>
      <c r="I151" s="983">
        <f>IF((E136*12&gt;=150000), 0, IF(E135="RPP",(I167*0.64+I168*0.18+I169*0.18),IF(E135="Non-RPP (Retailer)",I170,I171)))</f>
        <v>0.13325999999999999</v>
      </c>
      <c r="J151" s="987">
        <f>IF(I151=0, 0, E136*E139-E136)</f>
        <v>90.599999999999909</v>
      </c>
      <c r="K151" s="988">
        <f>J151*I151</f>
        <v>12.073355999999986</v>
      </c>
      <c r="L151" s="329">
        <f>K151-H151</f>
        <v>0</v>
      </c>
      <c r="M151" s="347">
        <f>IF(ISERROR(L151/H151), "", L151/H151)</f>
        <v>0</v>
      </c>
    </row>
    <row r="152" spans="1:14" ht="26.4" x14ac:dyDescent="0.25">
      <c r="A152" s="58" t="str">
        <f t="shared" si="25"/>
        <v>GENERAL SERVICE LESS THAN 50 KW SERVICE CLASSIFICATION</v>
      </c>
      <c r="C152" s="357"/>
      <c r="D152" s="72" t="s">
        <v>357</v>
      </c>
      <c r="E152" s="322"/>
      <c r="F152" s="326">
        <v>0</v>
      </c>
      <c r="G152" s="333">
        <f>IF($E137&gt;0, $E137, $E136)</f>
        <v>2000</v>
      </c>
      <c r="H152" s="346">
        <f t="shared" si="23"/>
        <v>0</v>
      </c>
      <c r="I152" s="983">
        <v>0</v>
      </c>
      <c r="J152" s="991">
        <f>IF($E137&gt;0, $E137, $E136)</f>
        <v>2000</v>
      </c>
      <c r="K152" s="988">
        <f t="shared" si="26"/>
        <v>0</v>
      </c>
      <c r="L152" s="329">
        <f t="shared" si="22"/>
        <v>0</v>
      </c>
      <c r="M152" s="347" t="str">
        <f t="shared" si="24"/>
        <v/>
      </c>
    </row>
    <row r="153" spans="1:14" x14ac:dyDescent="0.25">
      <c r="A153" s="58" t="str">
        <f t="shared" si="25"/>
        <v>GENERAL SERVICE LESS THAN 50 KW SERVICE CLASSIFICATION</v>
      </c>
      <c r="C153" s="357"/>
      <c r="D153" s="72" t="s">
        <v>2299</v>
      </c>
      <c r="E153" s="322"/>
      <c r="F153" s="326">
        <v>0</v>
      </c>
      <c r="G153" s="333">
        <f>IF($E137&gt;0, $E137, $E136)</f>
        <v>2000</v>
      </c>
      <c r="H153" s="346">
        <f>G153*F153</f>
        <v>0</v>
      </c>
      <c r="I153" s="983">
        <v>0</v>
      </c>
      <c r="J153" s="991">
        <f>IF($E137&gt;0, $E137, $E136)</f>
        <v>2000</v>
      </c>
      <c r="K153" s="988">
        <f>J153*I153</f>
        <v>0</v>
      </c>
      <c r="L153" s="329">
        <f t="shared" si="22"/>
        <v>0</v>
      </c>
      <c r="M153" s="347" t="str">
        <f t="shared" si="24"/>
        <v/>
      </c>
    </row>
    <row r="154" spans="1:14" x14ac:dyDescent="0.25">
      <c r="A154" s="58" t="str">
        <f t="shared" si="25"/>
        <v>GENERAL SERVICE LESS THAN 50 KW SERVICE CLASSIFICATION</v>
      </c>
      <c r="C154" s="357"/>
      <c r="D154" s="72" t="s">
        <v>1953</v>
      </c>
      <c r="E154" s="322"/>
      <c r="F154" s="326">
        <v>0</v>
      </c>
      <c r="G154" s="333">
        <f>E136</f>
        <v>2000</v>
      </c>
      <c r="H154" s="346">
        <f>G154*F154</f>
        <v>0</v>
      </c>
      <c r="I154" s="983">
        <v>0</v>
      </c>
      <c r="J154" s="991">
        <f>E136</f>
        <v>2000</v>
      </c>
      <c r="K154" s="988">
        <f t="shared" si="26"/>
        <v>0</v>
      </c>
      <c r="L154" s="329">
        <f t="shared" si="22"/>
        <v>0</v>
      </c>
      <c r="M154" s="347" t="str">
        <f t="shared" si="24"/>
        <v/>
      </c>
    </row>
    <row r="155" spans="1:14" x14ac:dyDescent="0.25">
      <c r="A155" s="58" t="str">
        <f t="shared" si="25"/>
        <v>GENERAL SERVICE LESS THAN 50 KW SERVICE CLASSIFICATION</v>
      </c>
      <c r="C155" s="357"/>
      <c r="D155" s="74" t="s">
        <v>141</v>
      </c>
      <c r="E155" s="322"/>
      <c r="F155" s="326">
        <v>2.7000000000000001E-3</v>
      </c>
      <c r="G155" s="333">
        <f>IF($E137&gt;0, $E137, $E136)</f>
        <v>2000</v>
      </c>
      <c r="H155" s="346">
        <f t="shared" si="23"/>
        <v>5.4</v>
      </c>
      <c r="I155" s="983">
        <v>2.7000000000000001E-3</v>
      </c>
      <c r="J155" s="991">
        <f>IF($E137&gt;0, $E137, $E136)</f>
        <v>2000</v>
      </c>
      <c r="K155" s="988">
        <f t="shared" si="26"/>
        <v>5.4</v>
      </c>
      <c r="L155" s="329">
        <f t="shared" si="22"/>
        <v>0</v>
      </c>
      <c r="M155" s="347">
        <f t="shared" si="24"/>
        <v>0</v>
      </c>
    </row>
    <row r="156" spans="1:14" ht="26.4" x14ac:dyDescent="0.25">
      <c r="A156" s="58" t="str">
        <f t="shared" si="25"/>
        <v>GENERAL SERVICE LESS THAN 50 KW SERVICE CLASSIFICATION</v>
      </c>
      <c r="C156" s="357"/>
      <c r="D156" s="391" t="s">
        <v>4312</v>
      </c>
      <c r="E156" s="322"/>
      <c r="F156" s="768">
        <f>IF(OR(ISNUMBER(SEARCH("RESIDENTIAL", E134))=TRUE, ISNUMBER(SEARCH("GENERAL SERVICE LESS THAN 50", E134))=TRUE), SME, 0)</f>
        <v>0.56999999999999995</v>
      </c>
      <c r="G156" s="304">
        <v>1</v>
      </c>
      <c r="H156" s="346">
        <f>G156*F156</f>
        <v>0.56999999999999995</v>
      </c>
      <c r="I156" s="984">
        <f>IF(OR(ISNUMBER(SEARCH("RESIDENTIAL", E134))=TRUE, ISNUMBER(SEARCH("GENERAL SERVICE LESS THAN 50", E134))=TRUE), SME, 0)</f>
        <v>0.56999999999999995</v>
      </c>
      <c r="J156" s="992">
        <v>1</v>
      </c>
      <c r="K156" s="988">
        <f>J156*I156</f>
        <v>0.56999999999999995</v>
      </c>
      <c r="L156" s="329">
        <f t="shared" si="22"/>
        <v>0</v>
      </c>
      <c r="M156" s="347">
        <f>IF(ISERROR(L156/H156), "", L156/H156)</f>
        <v>0</v>
      </c>
    </row>
    <row r="157" spans="1:14" x14ac:dyDescent="0.25">
      <c r="A157" s="58" t="str">
        <f t="shared" si="25"/>
        <v>GENERAL SERVICE LESS THAN 50 KW SERVICE CLASSIFICATION</v>
      </c>
      <c r="C157" s="357"/>
      <c r="D157" s="74" t="s">
        <v>3742</v>
      </c>
      <c r="E157" s="322"/>
      <c r="F157" s="345">
        <v>0</v>
      </c>
      <c r="G157" s="304">
        <v>1</v>
      </c>
      <c r="H157" s="346">
        <f t="shared" si="23"/>
        <v>0</v>
      </c>
      <c r="I157" s="982">
        <v>0</v>
      </c>
      <c r="J157" s="992">
        <v>1</v>
      </c>
      <c r="K157" s="988">
        <f>J157*I157</f>
        <v>0</v>
      </c>
      <c r="L157" s="329">
        <f>K157-H157</f>
        <v>0</v>
      </c>
      <c r="M157" s="347" t="str">
        <f>IF(ISERROR(L157/H157), "", L157/H157)</f>
        <v/>
      </c>
    </row>
    <row r="158" spans="1:14" x14ac:dyDescent="0.25">
      <c r="A158" s="58" t="str">
        <f t="shared" si="25"/>
        <v>GENERAL SERVICE LESS THAN 50 KW SERVICE CLASSIFICATION</v>
      </c>
      <c r="C158" s="357"/>
      <c r="D158" s="74" t="s">
        <v>3741</v>
      </c>
      <c r="E158" s="322"/>
      <c r="F158" s="326">
        <v>0</v>
      </c>
      <c r="G158" s="333">
        <f>IF($E137&gt;0, $E137, $E136)</f>
        <v>2000</v>
      </c>
      <c r="H158" s="346">
        <f>G158*F158</f>
        <v>0</v>
      </c>
      <c r="I158" s="983">
        <v>0</v>
      </c>
      <c r="J158" s="991">
        <f>IF($E137&gt;0, $E137, $E136)</f>
        <v>2000</v>
      </c>
      <c r="K158" s="988">
        <f>J158*I158</f>
        <v>0</v>
      </c>
      <c r="L158" s="329">
        <f t="shared" si="22"/>
        <v>0</v>
      </c>
      <c r="M158" s="347" t="str">
        <f>IF(ISERROR(L158/H158), "", L158/H158)</f>
        <v/>
      </c>
    </row>
    <row r="159" spans="1:14" ht="26.4" x14ac:dyDescent="0.25">
      <c r="A159" s="58" t="str">
        <f t="shared" si="25"/>
        <v>GENERAL SERVICE LESS THAN 50 KW SERVICE CLASSIFICATION</v>
      </c>
      <c r="B159" s="783" t="s">
        <v>1435</v>
      </c>
      <c r="C159" s="357">
        <f>B31</f>
        <v>2</v>
      </c>
      <c r="D159" s="286" t="s">
        <v>1466</v>
      </c>
      <c r="E159" s="287"/>
      <c r="F159" s="323"/>
      <c r="G159" s="330"/>
      <c r="H159" s="288">
        <f>SUM(H150:H158)</f>
        <v>87.503355999999982</v>
      </c>
      <c r="I159" s="324"/>
      <c r="J159" s="331"/>
      <c r="K159" s="288">
        <f>SUM(K150:K158)</f>
        <v>86.063355999999985</v>
      </c>
      <c r="L159" s="283">
        <f t="shared" si="22"/>
        <v>-1.4399999999999977</v>
      </c>
      <c r="M159" s="284">
        <f>IF((H159)=0,"",(L159/H159))</f>
        <v>-1.6456511679392022E-2</v>
      </c>
    </row>
    <row r="160" spans="1:14" x14ac:dyDescent="0.25">
      <c r="A160" s="58" t="str">
        <f t="shared" si="25"/>
        <v>GENERAL SERVICE LESS THAN 50 KW SERVICE CLASSIFICATION</v>
      </c>
      <c r="C160" s="357"/>
      <c r="D160" s="76" t="s">
        <v>351</v>
      </c>
      <c r="E160" s="322"/>
      <c r="F160" s="326">
        <v>6.1000000000000004E-3</v>
      </c>
      <c r="G160" s="332">
        <f>IF($E137&gt;0, $E137, $E136*$E138)</f>
        <v>2090.6</v>
      </c>
      <c r="H160" s="346">
        <f>G160*F160</f>
        <v>12.752660000000001</v>
      </c>
      <c r="I160" s="325">
        <v>6.0000000000000001E-3</v>
      </c>
      <c r="J160" s="987">
        <f>IF($E137&gt;0, $E137, $E136*$E139)</f>
        <v>2090.6</v>
      </c>
      <c r="K160" s="988">
        <f>J160*I160</f>
        <v>12.5436</v>
      </c>
      <c r="L160" s="329">
        <f t="shared" si="22"/>
        <v>-0.20906000000000091</v>
      </c>
      <c r="M160" s="347">
        <f>IF(ISERROR(L160/H160), "", L160/H160)</f>
        <v>-1.639344262295089E-2</v>
      </c>
      <c r="N160" s="1090" t="str">
        <f>IF(ISERROR(ABS(M160)), "", IF(ABS(M160)&gt;=4%, "In the manager's summary, discuss the reasoning for the change in RTSR rates", ""))</f>
        <v/>
      </c>
    </row>
    <row r="161" spans="1:14" ht="26.4" x14ac:dyDescent="0.25">
      <c r="A161" s="58" t="str">
        <f t="shared" si="25"/>
        <v>GENERAL SERVICE LESS THAN 50 KW SERVICE CLASSIFICATION</v>
      </c>
      <c r="C161" s="357"/>
      <c r="D161" s="169" t="s">
        <v>361</v>
      </c>
      <c r="E161" s="322"/>
      <c r="F161" s="326">
        <v>5.1000000000000004E-3</v>
      </c>
      <c r="G161" s="332">
        <f>IF($E137&gt;0, $E137, $E136*$E138)</f>
        <v>2090.6</v>
      </c>
      <c r="H161" s="346">
        <f>G161*F161</f>
        <v>10.66206</v>
      </c>
      <c r="I161" s="325">
        <v>5.0000000000000001E-3</v>
      </c>
      <c r="J161" s="987">
        <f>IF($E137&gt;0, $E137, $E136*$E139)</f>
        <v>2090.6</v>
      </c>
      <c r="K161" s="988">
        <f>J161*I161</f>
        <v>10.452999999999999</v>
      </c>
      <c r="L161" s="329">
        <f t="shared" si="22"/>
        <v>-0.20906000000000091</v>
      </c>
      <c r="M161" s="347">
        <f>IF(ISERROR(L161/H161), "", L161/H161)</f>
        <v>-1.9607843137254988E-2</v>
      </c>
      <c r="N161" s="1090" t="str">
        <f>IF(ISERROR(ABS(M161)), "", IF(ABS(M161)&gt;=4%, "In the manager's summary, discuss the reasoning for the change in RTSR rates", ""))</f>
        <v/>
      </c>
    </row>
    <row r="162" spans="1:14" ht="26.4" x14ac:dyDescent="0.25">
      <c r="A162" s="58" t="str">
        <f t="shared" si="25"/>
        <v>GENERAL SERVICE LESS THAN 50 KW SERVICE CLASSIFICATION</v>
      </c>
      <c r="B162" s="783" t="s">
        <v>1436</v>
      </c>
      <c r="C162" s="357">
        <f>B31</f>
        <v>2</v>
      </c>
      <c r="D162" s="286" t="s">
        <v>1467</v>
      </c>
      <c r="E162" s="282"/>
      <c r="F162" s="323"/>
      <c r="G162" s="330"/>
      <c r="H162" s="288">
        <f>SUM(H159:H161)</f>
        <v>110.91807599999999</v>
      </c>
      <c r="I162" s="324"/>
      <c r="J162" s="289"/>
      <c r="K162" s="288">
        <f>SUM(K159:K161)</f>
        <v>109.05995599999999</v>
      </c>
      <c r="L162" s="283">
        <f t="shared" si="22"/>
        <v>-1.8581199999999995</v>
      </c>
      <c r="M162" s="284">
        <f>IF((H162)=0,"",(L162/H162))</f>
        <v>-1.6752183837014985E-2</v>
      </c>
    </row>
    <row r="163" spans="1:14" ht="26.4" x14ac:dyDescent="0.25">
      <c r="A163" s="58" t="str">
        <f t="shared" si="25"/>
        <v>GENERAL SERVICE LESS THAN 50 KW SERVICE CLASSIFICATION</v>
      </c>
      <c r="C163" s="357"/>
      <c r="D163" s="290" t="s">
        <v>352</v>
      </c>
      <c r="E163" s="322"/>
      <c r="F163" s="326">
        <f>IF(AND('1. Information Sheet'!$F$26:$H$26&gt;='17. Regulatory Charges'!$D$14,'1. Information Sheet'!$F$26:$H$26&lt;'17. Regulatory Charges'!$E$14),'17. Regulatory Charges'!$D$15+'17. Regulatory Charges'!$D$16,'17. Regulatory Charges'!$E$15+'17. Regulatory Charges'!$E$16)</f>
        <v>3.4000000000000002E-3</v>
      </c>
      <c r="G163" s="332">
        <f>E136*E138</f>
        <v>2090.6</v>
      </c>
      <c r="H163" s="334">
        <f t="shared" ref="H163:H169" si="27">G163*F163</f>
        <v>7.1080399999999999</v>
      </c>
      <c r="I163" s="983">
        <f>'17. Regulatory Charges'!$E$15+'17. Regulatory Charges'!$E$16</f>
        <v>3.4000000000000002E-3</v>
      </c>
      <c r="J163" s="987">
        <f>E136*E139</f>
        <v>2090.6</v>
      </c>
      <c r="K163" s="988">
        <f t="shared" ref="K163:K169" si="28">J163*I163</f>
        <v>7.1080399999999999</v>
      </c>
      <c r="L163" s="329">
        <f t="shared" si="22"/>
        <v>0</v>
      </c>
      <c r="M163" s="347">
        <f t="shared" ref="M163:M171" si="29">IF(ISERROR(L163/H163), "", L163/H163)</f>
        <v>0</v>
      </c>
    </row>
    <row r="164" spans="1:14" ht="26.4" x14ac:dyDescent="0.25">
      <c r="A164" s="58" t="str">
        <f t="shared" si="25"/>
        <v>GENERAL SERVICE LESS THAN 50 KW SERVICE CLASSIFICATION</v>
      </c>
      <c r="C164" s="357"/>
      <c r="D164" s="290" t="s">
        <v>353</v>
      </c>
      <c r="E164" s="322"/>
      <c r="F164" s="326">
        <f>IF(AND('1. Information Sheet'!$F$26:$H$26&gt;='17. Regulatory Charges'!$D$14,'1. Information Sheet'!$F$26:$H$26&lt;'17. Regulatory Charges'!$D$14),'17. Regulatory Charges'!$D$17,'17. Regulatory Charges'!$E$17)</f>
        <v>5.0000000000000001E-4</v>
      </c>
      <c r="G164" s="332">
        <f>E136*E138</f>
        <v>2090.6</v>
      </c>
      <c r="H164" s="334">
        <f t="shared" si="27"/>
        <v>1.0452999999999999</v>
      </c>
      <c r="I164" s="983">
        <f>'17. Regulatory Charges'!$E$17</f>
        <v>5.0000000000000001E-4</v>
      </c>
      <c r="J164" s="987">
        <f>E136*E139</f>
        <v>2090.6</v>
      </c>
      <c r="K164" s="988">
        <f t="shared" si="28"/>
        <v>1.0452999999999999</v>
      </c>
      <c r="L164" s="329">
        <f t="shared" si="22"/>
        <v>0</v>
      </c>
      <c r="M164" s="347">
        <f t="shared" si="29"/>
        <v>0</v>
      </c>
    </row>
    <row r="165" spans="1:14" x14ac:dyDescent="0.25">
      <c r="A165" s="58" t="str">
        <f t="shared" si="25"/>
        <v>GENERAL SERVICE LESS THAN 50 KW SERVICE CLASSIFICATION</v>
      </c>
      <c r="C165" s="357"/>
      <c r="D165" s="279" t="s">
        <v>354</v>
      </c>
      <c r="E165" s="322"/>
      <c r="F165" s="768">
        <f>IF(AND('1. Information Sheet'!$F$26:$H$26&gt;='17. Regulatory Charges'!$D$14,'1. Information Sheet'!$F$26:$H$26&lt;'17. Regulatory Charges'!$D$14),'17. Regulatory Charges'!$D$18,'17. Regulatory Charges'!$E$18)</f>
        <v>0.25</v>
      </c>
      <c r="G165" s="304">
        <v>1</v>
      </c>
      <c r="H165" s="334">
        <f t="shared" si="27"/>
        <v>0.25</v>
      </c>
      <c r="I165" s="984">
        <f>'17. Regulatory Charges'!$E$18</f>
        <v>0.25</v>
      </c>
      <c r="J165" s="989">
        <v>1</v>
      </c>
      <c r="K165" s="988">
        <f t="shared" si="28"/>
        <v>0.25</v>
      </c>
      <c r="L165" s="329">
        <f t="shared" si="22"/>
        <v>0</v>
      </c>
      <c r="M165" s="347">
        <f t="shared" si="29"/>
        <v>0</v>
      </c>
    </row>
    <row r="166" spans="1:14" ht="26.4" hidden="1" x14ac:dyDescent="0.25">
      <c r="A166" s="58" t="str">
        <f t="shared" si="25"/>
        <v>GENERAL SERVICE LESS THAN 50 KW SERVICE CLASSIFICATION</v>
      </c>
      <c r="C166" s="357"/>
      <c r="D166" s="290" t="s">
        <v>1468</v>
      </c>
      <c r="E166" s="322"/>
      <c r="F166" s="326"/>
      <c r="G166" s="332"/>
      <c r="H166" s="334"/>
      <c r="I166" s="983"/>
      <c r="J166" s="987"/>
      <c r="K166" s="988"/>
      <c r="L166" s="329"/>
      <c r="M166" s="347"/>
    </row>
    <row r="167" spans="1:14" x14ac:dyDescent="0.25">
      <c r="A167" s="58" t="str">
        <f t="shared" si="25"/>
        <v>GENERAL SERVICE LESS THAN 50 KW SERVICE CLASSIFICATION</v>
      </c>
      <c r="B167" s="783" t="s">
        <v>1427</v>
      </c>
      <c r="C167" s="357"/>
      <c r="D167" s="285" t="s">
        <v>220</v>
      </c>
      <c r="E167" s="322"/>
      <c r="F167" s="327">
        <f>OffPeak</f>
        <v>0.105</v>
      </c>
      <c r="G167" s="291">
        <f>IF(AND(E136*12&gt;=150000),0.64*E136*E138,0.64*E136)</f>
        <v>1280</v>
      </c>
      <c r="H167" s="334">
        <f t="shared" si="27"/>
        <v>134.4</v>
      </c>
      <c r="I167" s="985">
        <f>OffPeak</f>
        <v>0.105</v>
      </c>
      <c r="J167" s="990">
        <f>IF(AND(E136*12&gt;=150000),0.64*E136*E139,0.64*E136)</f>
        <v>1280</v>
      </c>
      <c r="K167" s="988">
        <f t="shared" si="28"/>
        <v>134.4</v>
      </c>
      <c r="L167" s="329">
        <f>K167-H167</f>
        <v>0</v>
      </c>
      <c r="M167" s="347">
        <f t="shared" si="29"/>
        <v>0</v>
      </c>
    </row>
    <row r="168" spans="1:14" x14ac:dyDescent="0.25">
      <c r="A168" s="58" t="str">
        <f t="shared" si="25"/>
        <v>GENERAL SERVICE LESS THAN 50 KW SERVICE CLASSIFICATION</v>
      </c>
      <c r="B168" s="783" t="s">
        <v>1427</v>
      </c>
      <c r="C168" s="357"/>
      <c r="D168" s="285" t="s">
        <v>221</v>
      </c>
      <c r="E168" s="322"/>
      <c r="F168" s="327">
        <f>MidPeak</f>
        <v>0.15</v>
      </c>
      <c r="G168" s="291">
        <f>IF(AND(E136*12&gt;=150000),0.18*E136*E138,0.18*E136)</f>
        <v>360</v>
      </c>
      <c r="H168" s="334">
        <f t="shared" si="27"/>
        <v>54</v>
      </c>
      <c r="I168" s="985">
        <f>MidPeak</f>
        <v>0.15</v>
      </c>
      <c r="J168" s="990">
        <f>IF(AND(E136*12&gt;=150000),0.18*E136*E139,0.18*E136)</f>
        <v>360</v>
      </c>
      <c r="K168" s="988">
        <f t="shared" si="28"/>
        <v>54</v>
      </c>
      <c r="L168" s="329">
        <f>K168-H168</f>
        <v>0</v>
      </c>
      <c r="M168" s="347">
        <f t="shared" si="29"/>
        <v>0</v>
      </c>
    </row>
    <row r="169" spans="1:14" ht="13.8" thickBot="1" x14ac:dyDescent="0.3">
      <c r="A169" s="58" t="str">
        <f t="shared" si="25"/>
        <v>GENERAL SERVICE LESS THAN 50 KW SERVICE CLASSIFICATION</v>
      </c>
      <c r="B169" s="783" t="s">
        <v>1427</v>
      </c>
      <c r="C169" s="357"/>
      <c r="D169" s="783" t="s">
        <v>222</v>
      </c>
      <c r="E169" s="322"/>
      <c r="F169" s="327">
        <f>OnPeak</f>
        <v>0.217</v>
      </c>
      <c r="G169" s="291">
        <f>IF(AND(E136*12&gt;=150000),0.18*E136*E138,0.18*E136)</f>
        <v>360</v>
      </c>
      <c r="H169" s="334">
        <f t="shared" si="27"/>
        <v>78.12</v>
      </c>
      <c r="I169" s="985">
        <f>OnPeak</f>
        <v>0.217</v>
      </c>
      <c r="J169" s="990">
        <f>IF(AND(E136*12&gt;=150000),0.18*E136*E139,0.18*E136)</f>
        <v>360</v>
      </c>
      <c r="K169" s="988">
        <f t="shared" si="28"/>
        <v>78.12</v>
      </c>
      <c r="L169" s="329">
        <f>K169-H169</f>
        <v>0</v>
      </c>
      <c r="M169" s="347">
        <f t="shared" si="29"/>
        <v>0</v>
      </c>
    </row>
    <row r="170" spans="1:14" hidden="1" x14ac:dyDescent="0.25">
      <c r="A170" s="58" t="str">
        <f t="shared" si="25"/>
        <v>GENERAL SERVICE LESS THAN 50 KW SERVICE CLASSIFICATION</v>
      </c>
      <c r="B170" s="58" t="s">
        <v>1428</v>
      </c>
      <c r="C170" s="357"/>
      <c r="D170" s="285" t="s">
        <v>1437</v>
      </c>
      <c r="E170" s="322"/>
      <c r="F170" s="328">
        <v>0.1368</v>
      </c>
      <c r="G170" s="291">
        <f>IF(AND(E136*12&gt;=150000),E136*E138,E136)</f>
        <v>2000</v>
      </c>
      <c r="H170" s="334">
        <f>G170*F170</f>
        <v>273.60000000000002</v>
      </c>
      <c r="I170" s="986">
        <f>F170</f>
        <v>0.1368</v>
      </c>
      <c r="J170" s="990">
        <f>IF(AND(E136*12&gt;=150000),E136*E139,E136)</f>
        <v>2000</v>
      </c>
      <c r="K170" s="988">
        <f>J170*I170</f>
        <v>273.60000000000002</v>
      </c>
      <c r="L170" s="329">
        <f>K170-H170</f>
        <v>0</v>
      </c>
      <c r="M170" s="347">
        <f t="shared" si="29"/>
        <v>0</v>
      </c>
    </row>
    <row r="171" spans="1:14" ht="13.8" hidden="1" thickBot="1" x14ac:dyDescent="0.3">
      <c r="A171" s="58" t="str">
        <f t="shared" si="25"/>
        <v>GENERAL SERVICE LESS THAN 50 KW SERVICE CLASSIFICATION</v>
      </c>
      <c r="B171" s="58" t="s">
        <v>1429</v>
      </c>
      <c r="C171" s="357"/>
      <c r="D171" s="285" t="s">
        <v>1438</v>
      </c>
      <c r="E171" s="322"/>
      <c r="F171" s="328">
        <v>0.1368</v>
      </c>
      <c r="G171" s="291">
        <f>IF(AND(E136*12&gt;=150000),E136*E138,E136)</f>
        <v>2000</v>
      </c>
      <c r="H171" s="334">
        <f>G171*F171</f>
        <v>273.60000000000002</v>
      </c>
      <c r="I171" s="986">
        <f>F171</f>
        <v>0.1368</v>
      </c>
      <c r="J171" s="990">
        <f>IF(AND(E136*12&gt;=150000),E136*E139,E136)</f>
        <v>2000</v>
      </c>
      <c r="K171" s="988">
        <f>J171*I171</f>
        <v>273.60000000000002</v>
      </c>
      <c r="L171" s="329">
        <f>K171-H171</f>
        <v>0</v>
      </c>
      <c r="M171" s="347">
        <f t="shared" si="29"/>
        <v>0</v>
      </c>
    </row>
    <row r="172" spans="1:14" ht="13.8" thickBot="1" x14ac:dyDescent="0.3">
      <c r="A172" s="58" t="str">
        <f t="shared" si="25"/>
        <v>GENERAL SERVICE LESS THAN 50 KW SERVICE CLASSIFICATION</v>
      </c>
      <c r="B172" s="783"/>
      <c r="C172" s="357"/>
      <c r="D172" s="292"/>
      <c r="E172" s="293"/>
      <c r="F172" s="335"/>
      <c r="G172" s="216"/>
      <c r="H172" s="336"/>
      <c r="I172" s="335"/>
      <c r="J172" s="337"/>
      <c r="K172" s="336"/>
      <c r="L172" s="338"/>
      <c r="M172" s="219"/>
    </row>
    <row r="173" spans="1:14" x14ac:dyDescent="0.25">
      <c r="A173" s="58" t="str">
        <f t="shared" si="25"/>
        <v>GENERAL SERVICE LESS THAN 50 KW SERVICE CLASSIFICATION</v>
      </c>
      <c r="B173" s="783" t="s">
        <v>1427</v>
      </c>
      <c r="C173" s="357"/>
      <c r="D173" s="296" t="s">
        <v>356</v>
      </c>
      <c r="E173" s="279"/>
      <c r="F173" s="311"/>
      <c r="G173" s="339"/>
      <c r="H173" s="297">
        <f>SUM(H163:H169,H162)</f>
        <v>385.84141599999998</v>
      </c>
      <c r="I173" s="298"/>
      <c r="J173" s="298"/>
      <c r="K173" s="297">
        <f>SUM(K163:K169,K162)</f>
        <v>383.983296</v>
      </c>
      <c r="L173" s="299">
        <f>K173-H173</f>
        <v>-1.8581199999999853</v>
      </c>
      <c r="M173" s="300">
        <f>IF((H173)=0,"",(L173/H173))</f>
        <v>-4.8157608876284695E-3</v>
      </c>
    </row>
    <row r="174" spans="1:14" x14ac:dyDescent="0.25">
      <c r="A174" s="58" t="str">
        <f t="shared" si="25"/>
        <v>GENERAL SERVICE LESS THAN 50 KW SERVICE CLASSIFICATION</v>
      </c>
      <c r="B174" s="783" t="s">
        <v>1427</v>
      </c>
      <c r="C174" s="357"/>
      <c r="D174" s="301" t="s">
        <v>148</v>
      </c>
      <c r="E174" s="279"/>
      <c r="F174" s="311">
        <v>0.13</v>
      </c>
      <c r="G174" s="340"/>
      <c r="H174" s="302">
        <f>H173*F174</f>
        <v>50.159384080000002</v>
      </c>
      <c r="I174" s="303">
        <v>0.13</v>
      </c>
      <c r="J174" s="304"/>
      <c r="K174" s="302">
        <f>K173*I174</f>
        <v>49.917828480000004</v>
      </c>
      <c r="L174" s="305">
        <f>K174-H174</f>
        <v>-0.24155559999999809</v>
      </c>
      <c r="M174" s="306">
        <f>IF((H174)=0,"",(L174/H174))</f>
        <v>-4.8157608876284686E-3</v>
      </c>
    </row>
    <row r="175" spans="1:14" x14ac:dyDescent="0.25">
      <c r="A175" s="58" t="str">
        <f t="shared" si="25"/>
        <v>GENERAL SERVICE LESS THAN 50 KW SERVICE CLASSIFICATION</v>
      </c>
      <c r="B175" s="783" t="s">
        <v>1427</v>
      </c>
      <c r="C175" s="357"/>
      <c r="D175" s="301" t="s">
        <v>5907</v>
      </c>
      <c r="E175" s="279"/>
      <c r="F175" s="1238">
        <v>0.318</v>
      </c>
      <c r="G175" s="340"/>
      <c r="H175" s="302">
        <f>IF(OR(ISNUMBER(SEARCH("[DGEN]", E134))=TRUE, ISNUMBER(SEARCH("STREET LIGHT", E134))=TRUE), 0, IF(AND(E136=0, E137=0),0, IF(AND(E137=0, E136*12&gt;250000), 0, IF(AND(E136=0, E137&gt;=50), 0, IF(E136*12&lt;=250000, F175*H173*-1, IF(E137&lt;50, F175*H173*-1, 0))))))</f>
        <v>-122.69757028799999</v>
      </c>
      <c r="I175" s="1238">
        <v>0.318</v>
      </c>
      <c r="J175" s="304"/>
      <c r="K175" s="302">
        <f>IF(OR(ISNUMBER(SEARCH("[DGEN]", E134))=TRUE, ISNUMBER(SEARCH("STREET LIGHT", E134))=TRUE), 0, IF(AND(E136=0, E137=0),0, IF(AND(E137=0, E136*12&gt;250000), 0, IF(AND(E136=0, E137&gt;=50), 0, IF(E136*12&lt;=250000, I175*K173*-1, IF(E137&lt;50, I175*K173*-1, 0))))))</f>
        <v>-122.106688128</v>
      </c>
      <c r="L175" s="305">
        <f>K175-H175</f>
        <v>0.5908821599999925</v>
      </c>
      <c r="M175" s="306"/>
    </row>
    <row r="176" spans="1:14" ht="13.8" thickBot="1" x14ac:dyDescent="0.3">
      <c r="A176" s="58" t="str">
        <f t="shared" si="25"/>
        <v>GENERAL SERVICE LESS THAN 50 KW SERVICE CLASSIFICATION</v>
      </c>
      <c r="B176" s="783" t="s">
        <v>1439</v>
      </c>
      <c r="C176" s="357">
        <f>B31</f>
        <v>2</v>
      </c>
      <c r="D176" s="1943" t="s">
        <v>1440</v>
      </c>
      <c r="E176" s="1943"/>
      <c r="F176" s="341"/>
      <c r="G176" s="342"/>
      <c r="H176" s="312">
        <f>H173+H174+H175</f>
        <v>313.30322979199997</v>
      </c>
      <c r="I176" s="308"/>
      <c r="J176" s="308"/>
      <c r="K176" s="307">
        <f>K173+K174+K175</f>
        <v>311.79443635200005</v>
      </c>
      <c r="L176" s="309">
        <f>K176-H176</f>
        <v>-1.5087934399999199</v>
      </c>
      <c r="M176" s="310">
        <f>IF((H176)=0,"",(L176/H176))</f>
        <v>-4.8157608876282518E-3</v>
      </c>
    </row>
    <row r="177" spans="1:20" ht="13.8" thickBot="1" x14ac:dyDescent="0.3">
      <c r="A177" s="58" t="str">
        <f t="shared" si="25"/>
        <v>GENERAL SERVICE LESS THAN 50 KW SERVICE CLASSIFICATION</v>
      </c>
      <c r="B177" s="58" t="s">
        <v>1427</v>
      </c>
      <c r="C177" s="357"/>
      <c r="D177" s="292"/>
      <c r="E177" s="293"/>
      <c r="F177" s="335"/>
      <c r="G177" s="216"/>
      <c r="H177" s="336"/>
      <c r="I177" s="335"/>
      <c r="J177" s="337"/>
      <c r="K177" s="336"/>
      <c r="L177" s="338"/>
      <c r="M177" s="219"/>
    </row>
    <row r="178" spans="1:20" hidden="1" x14ac:dyDescent="0.25">
      <c r="A178" s="58" t="str">
        <f t="shared" si="25"/>
        <v>GENERAL SERVICE LESS THAN 50 KW SERVICE CLASSIFICATION</v>
      </c>
      <c r="B178" s="58" t="s">
        <v>1428</v>
      </c>
      <c r="C178" s="357"/>
      <c r="D178" s="296" t="s">
        <v>1441</v>
      </c>
      <c r="E178" s="279"/>
      <c r="F178" s="311"/>
      <c r="G178" s="339"/>
      <c r="H178" s="297">
        <f>SUM(H170,H163:H166,H162)</f>
        <v>392.92141600000002</v>
      </c>
      <c r="I178" s="298"/>
      <c r="J178" s="298"/>
      <c r="K178" s="297">
        <f>SUM(K170,K163:K166,K162)</f>
        <v>391.06329600000004</v>
      </c>
      <c r="L178" s="299">
        <f>K178-H178</f>
        <v>-1.8581199999999853</v>
      </c>
      <c r="M178" s="300">
        <f>IF((H178)=0,"",(L178/H178))</f>
        <v>-4.7289863172028917E-3</v>
      </c>
    </row>
    <row r="179" spans="1:20" hidden="1" x14ac:dyDescent="0.25">
      <c r="A179" s="58" t="str">
        <f t="shared" si="25"/>
        <v>GENERAL SERVICE LESS THAN 50 KW SERVICE CLASSIFICATION</v>
      </c>
      <c r="B179" s="58" t="s">
        <v>1428</v>
      </c>
      <c r="C179" s="357"/>
      <c r="D179" s="301" t="s">
        <v>148</v>
      </c>
      <c r="E179" s="279"/>
      <c r="F179" s="311">
        <v>0.13</v>
      </c>
      <c r="G179" s="339"/>
      <c r="H179" s="302">
        <f>H178*F179</f>
        <v>51.079784080000003</v>
      </c>
      <c r="I179" s="311">
        <v>0.13</v>
      </c>
      <c r="J179" s="303"/>
      <c r="K179" s="302">
        <f>K178*I179</f>
        <v>50.838228480000005</v>
      </c>
      <c r="L179" s="305">
        <f>K179-H179</f>
        <v>-0.24155559999999809</v>
      </c>
      <c r="M179" s="306">
        <f>IF((H179)=0,"",(L179/H179))</f>
        <v>-4.7289863172028917E-3</v>
      </c>
    </row>
    <row r="180" spans="1:20" hidden="1" x14ac:dyDescent="0.25">
      <c r="A180" s="58" t="str">
        <f t="shared" si="25"/>
        <v>GENERAL SERVICE LESS THAN 50 KW SERVICE CLASSIFICATION</v>
      </c>
      <c r="B180" s="58" t="s">
        <v>1428</v>
      </c>
      <c r="C180" s="357"/>
      <c r="D180" s="301" t="s">
        <v>5907</v>
      </c>
      <c r="E180" s="279"/>
      <c r="F180" s="1238">
        <v>0.318</v>
      </c>
      <c r="G180" s="339"/>
      <c r="H180" s="707">
        <f>IF(OR(ISNUMBER(SEARCH("[DGEN]", E134))=TRUE, ISNUMBER(SEARCH("STREET LIGHT", E134))=TRUE), 0, IF(AND(E136=0, E137=0),0, IF(AND(E137=0, E136*12&gt;250000), 0, IF(AND(E136=0, E137&gt;=50), 0, IF(E136*12&lt;=250000, F180*H178*-1, IF(E137&lt;50, F180*H178*-1, 0))))))</f>
        <v>-124.94901028800001</v>
      </c>
      <c r="I180" s="1238">
        <v>0.318</v>
      </c>
      <c r="J180" s="303"/>
      <c r="K180" s="707">
        <f>IF(OR(ISNUMBER(SEARCH("[DGEN]", E134))=TRUE, ISNUMBER(SEARCH("STREET LIGHT", E134))=TRUE), 0, IF(AND(E136=0, E137=0),0, IF(AND(E137=0, E136*12&gt;250000), 0, IF(AND(E136=0, E137&gt;=50), 0, IF(E136*12&lt;=250000, I180*K178*-1, IF(E137&lt;50, I180*K178*-1, 0))))))</f>
        <v>-124.35812812800002</v>
      </c>
      <c r="L180" s="305"/>
      <c r="M180" s="306"/>
    </row>
    <row r="181" spans="1:20" ht="13.8" hidden="1" thickBot="1" x14ac:dyDescent="0.3">
      <c r="A181" s="58" t="str">
        <f t="shared" si="25"/>
        <v>GENERAL SERVICE LESS THAN 50 KW SERVICE CLASSIFICATION</v>
      </c>
      <c r="B181" s="58" t="s">
        <v>1442</v>
      </c>
      <c r="C181" s="357"/>
      <c r="D181" s="1943" t="s">
        <v>1441</v>
      </c>
      <c r="E181" s="1943"/>
      <c r="F181" s="343"/>
      <c r="G181" s="344"/>
      <c r="H181" s="312">
        <f>SUM(H178,H179)</f>
        <v>444.00120008000005</v>
      </c>
      <c r="I181" s="313"/>
      <c r="J181" s="313"/>
      <c r="K181" s="312">
        <f>SUM(K178,K179)</f>
        <v>441.90152448000003</v>
      </c>
      <c r="L181" s="314">
        <f>K181-H181</f>
        <v>-2.0996756000000119</v>
      </c>
      <c r="M181" s="315">
        <f>IF((H181)=0,"",(L181/H181))</f>
        <v>-4.728986317202955E-3</v>
      </c>
    </row>
    <row r="182" spans="1:20" ht="13.8" hidden="1" thickBot="1" x14ac:dyDescent="0.3">
      <c r="A182" s="58" t="str">
        <f t="shared" si="25"/>
        <v>GENERAL SERVICE LESS THAN 50 KW SERVICE CLASSIFICATION</v>
      </c>
      <c r="B182" s="58" t="s">
        <v>1428</v>
      </c>
      <c r="C182" s="357"/>
      <c r="D182" s="292"/>
      <c r="E182" s="293"/>
      <c r="F182" s="213"/>
      <c r="G182" s="214"/>
      <c r="H182" s="215"/>
      <c r="I182" s="213"/>
      <c r="J182" s="216"/>
      <c r="K182" s="215"/>
      <c r="L182" s="218"/>
      <c r="M182" s="219"/>
    </row>
    <row r="183" spans="1:20" hidden="1" x14ac:dyDescent="0.25">
      <c r="A183" s="58" t="str">
        <f t="shared" si="25"/>
        <v>GENERAL SERVICE LESS THAN 50 KW SERVICE CLASSIFICATION</v>
      </c>
      <c r="B183" s="58" t="s">
        <v>1429</v>
      </c>
      <c r="C183" s="357"/>
      <c r="D183" s="296" t="s">
        <v>1443</v>
      </c>
      <c r="E183" s="279"/>
      <c r="F183" s="311"/>
      <c r="G183" s="339"/>
      <c r="H183" s="297">
        <f>SUM(H171,H163:H166,H162)</f>
        <v>392.92141600000002</v>
      </c>
      <c r="I183" s="298"/>
      <c r="J183" s="298"/>
      <c r="K183" s="297">
        <f>SUM(K171,K163:K166,K162)</f>
        <v>391.06329600000004</v>
      </c>
      <c r="L183" s="299">
        <f>K183-H183</f>
        <v>-1.8581199999999853</v>
      </c>
      <c r="M183" s="300">
        <f>IF((H183)=0,"",(L183/H183))</f>
        <v>-4.7289863172028917E-3</v>
      </c>
    </row>
    <row r="184" spans="1:20" hidden="1" x14ac:dyDescent="0.25">
      <c r="A184" s="58" t="str">
        <f t="shared" si="25"/>
        <v>GENERAL SERVICE LESS THAN 50 KW SERVICE CLASSIFICATION</v>
      </c>
      <c r="B184" s="58" t="s">
        <v>1429</v>
      </c>
      <c r="C184" s="357"/>
      <c r="D184" s="301" t="s">
        <v>148</v>
      </c>
      <c r="E184" s="279"/>
      <c r="F184" s="311">
        <v>0.13</v>
      </c>
      <c r="G184" s="339"/>
      <c r="H184" s="302">
        <f>H183*F184</f>
        <v>51.079784080000003</v>
      </c>
      <c r="I184" s="311">
        <v>0.13</v>
      </c>
      <c r="J184" s="303"/>
      <c r="K184" s="302">
        <f>K183*I184</f>
        <v>50.838228480000005</v>
      </c>
      <c r="L184" s="305">
        <f>K184-H184</f>
        <v>-0.24155559999999809</v>
      </c>
      <c r="M184" s="306">
        <f>IF((H184)=0,"",(L184/H184))</f>
        <v>-4.7289863172028917E-3</v>
      </c>
    </row>
    <row r="185" spans="1:20" hidden="1" x14ac:dyDescent="0.25">
      <c r="A185" s="58" t="str">
        <f t="shared" si="25"/>
        <v>GENERAL SERVICE LESS THAN 50 KW SERVICE CLASSIFICATION</v>
      </c>
      <c r="B185" s="58" t="s">
        <v>1429</v>
      </c>
      <c r="C185" s="357"/>
      <c r="D185" s="301" t="s">
        <v>5907</v>
      </c>
      <c r="E185" s="279"/>
      <c r="F185" s="1238">
        <v>0.318</v>
      </c>
      <c r="G185" s="339"/>
      <c r="H185" s="707">
        <f>IF(OR(ISNUMBER(SEARCH("[DGEN]", E134))=TRUE, ISNUMBER(SEARCH("STREET LIGHT", E134))=TRUE), 0, IF(AND(E136=0, E137=0),0, IF(AND(E137=0, E136*12&gt;250000), 0, IF(AND(E136=0, E137&gt;=50), 0, IF(E136*12&lt;=250000, F185*H183*-1, IF(E137&lt;50, F185*H183*-1, 0))))))</f>
        <v>-124.94901028800001</v>
      </c>
      <c r="I185" s="1238">
        <v>0.318</v>
      </c>
      <c r="J185" s="303"/>
      <c r="K185" s="707">
        <f>IF(OR(ISNUMBER(SEARCH("[DGEN]", E134))=TRUE, ISNUMBER(SEARCH("STREET LIGHT", E134))=TRUE), 0, IF(AND(E136=0, E137=0),0, IF(AND(E137=0, E136*12&gt;250000), 0, IF(AND(E136=0, E137&gt;=50), 0, IF(E136*12&lt;=250000, I185*K183*-1, IF(E137&lt;50, I185*K183*-1, 0))))))</f>
        <v>-124.35812812800002</v>
      </c>
      <c r="L185" s="305"/>
      <c r="M185" s="306"/>
    </row>
    <row r="186" spans="1:20" ht="13.8" hidden="1" thickBot="1" x14ac:dyDescent="0.3">
      <c r="A186" s="58" t="str">
        <f t="shared" si="25"/>
        <v>GENERAL SERVICE LESS THAN 50 KW SERVICE CLASSIFICATION</v>
      </c>
      <c r="B186" s="58" t="s">
        <v>1444</v>
      </c>
      <c r="C186" s="357"/>
      <c r="D186" s="1943" t="s">
        <v>1443</v>
      </c>
      <c r="E186" s="1943"/>
      <c r="F186" s="343"/>
      <c r="G186" s="344"/>
      <c r="H186" s="312">
        <f>SUM(H183,H184)</f>
        <v>444.00120008000005</v>
      </c>
      <c r="I186" s="313"/>
      <c r="J186" s="313"/>
      <c r="K186" s="312">
        <f>SUM(K183,K184)</f>
        <v>441.90152448000003</v>
      </c>
      <c r="L186" s="314">
        <f>K186-H186</f>
        <v>-2.0996756000000119</v>
      </c>
      <c r="M186" s="315">
        <f>IF((H186)=0,"",(L186/H186))</f>
        <v>-4.728986317202955E-3</v>
      </c>
    </row>
    <row r="187" spans="1:20" ht="13.8" hidden="1" thickBot="1" x14ac:dyDescent="0.3">
      <c r="A187" s="58" t="str">
        <f t="shared" si="25"/>
        <v>GENERAL SERVICE LESS THAN 50 KW SERVICE CLASSIFICATION</v>
      </c>
      <c r="B187" s="58" t="s">
        <v>1429</v>
      </c>
      <c r="C187" s="357"/>
      <c r="D187" s="292"/>
      <c r="E187" s="293"/>
      <c r="F187" s="316"/>
      <c r="G187" s="317"/>
      <c r="H187" s="318"/>
      <c r="I187" s="316"/>
      <c r="J187" s="294"/>
      <c r="K187" s="318"/>
      <c r="L187" s="319"/>
      <c r="M187" s="295"/>
    </row>
    <row r="190" spans="1:20" x14ac:dyDescent="0.25">
      <c r="C190" s="58"/>
      <c r="D190" s="264" t="s">
        <v>1432</v>
      </c>
      <c r="E190" s="1952" t="str">
        <f>D32</f>
        <v>GENERAL SERVICE 50 TO 2,999 KW SERVICE CLASSIFICATION</v>
      </c>
      <c r="F190" s="1952"/>
      <c r="G190" s="1952"/>
      <c r="H190" s="1952"/>
      <c r="I190" s="1952"/>
      <c r="J190" s="1952"/>
      <c r="K190" s="58" t="str">
        <f>IF(N32="DEMAND - INTERVAL","RTSR - INTERVAL METERED","")</f>
        <v/>
      </c>
      <c r="T190" s="58" t="s">
        <v>603</v>
      </c>
    </row>
    <row r="191" spans="1:20" x14ac:dyDescent="0.25">
      <c r="C191" s="58"/>
      <c r="D191" s="264" t="s">
        <v>1433</v>
      </c>
      <c r="E191" s="1953" t="str">
        <f>H32</f>
        <v>Non-RPP (Other)</v>
      </c>
      <c r="F191" s="1953"/>
      <c r="G191" s="1953"/>
      <c r="H191" s="265"/>
      <c r="I191" s="265"/>
    </row>
    <row r="192" spans="1:20" ht="15.6" x14ac:dyDescent="0.25">
      <c r="C192" s="58"/>
      <c r="D192" s="264" t="s">
        <v>153</v>
      </c>
      <c r="E192" s="1626">
        <f>K32</f>
        <v>332500</v>
      </c>
      <c r="F192" s="267" t="s">
        <v>154</v>
      </c>
      <c r="G192" s="783"/>
      <c r="J192" s="268"/>
      <c r="K192" s="268"/>
      <c r="L192" s="268"/>
      <c r="M192" s="268"/>
      <c r="N192" s="268"/>
    </row>
    <row r="193" spans="1:13" ht="15.6" x14ac:dyDescent="0.3">
      <c r="C193" s="58"/>
      <c r="D193" s="264" t="s">
        <v>360</v>
      </c>
      <c r="E193" s="1626">
        <f>L32</f>
        <v>840</v>
      </c>
      <c r="F193" s="269" t="s">
        <v>155</v>
      </c>
      <c r="G193" s="270"/>
      <c r="H193" s="271"/>
      <c r="I193" s="271"/>
      <c r="J193" s="271"/>
    </row>
    <row r="194" spans="1:13" x14ac:dyDescent="0.25">
      <c r="C194" s="58"/>
      <c r="D194" s="264" t="s">
        <v>1464</v>
      </c>
      <c r="E194" s="272">
        <f>I32</f>
        <v>1.0452999999999999</v>
      </c>
    </row>
    <row r="195" spans="1:13" x14ac:dyDescent="0.25">
      <c r="C195" s="58"/>
      <c r="D195" s="264" t="s">
        <v>1465</v>
      </c>
      <c r="E195" s="272">
        <f>J32</f>
        <v>1.0452999999999999</v>
      </c>
    </row>
    <row r="196" spans="1:13" x14ac:dyDescent="0.25">
      <c r="C196" s="58"/>
      <c r="D196" s="783"/>
    </row>
    <row r="197" spans="1:13" x14ac:dyDescent="0.25">
      <c r="C197" s="58"/>
      <c r="D197" s="783"/>
      <c r="E197" s="273"/>
      <c r="F197" s="1944" t="s">
        <v>1943</v>
      </c>
      <c r="G197" s="1954"/>
      <c r="H197" s="1945"/>
      <c r="I197" s="1944" t="s">
        <v>341</v>
      </c>
      <c r="J197" s="1954"/>
      <c r="K197" s="1945"/>
      <c r="L197" s="1944" t="s">
        <v>342</v>
      </c>
      <c r="M197" s="1945"/>
    </row>
    <row r="198" spans="1:13" x14ac:dyDescent="0.25">
      <c r="C198" s="58"/>
      <c r="D198" s="783"/>
      <c r="E198" s="1946"/>
      <c r="F198" s="274" t="s">
        <v>343</v>
      </c>
      <c r="G198" s="274" t="s">
        <v>146</v>
      </c>
      <c r="H198" s="275" t="s">
        <v>344</v>
      </c>
      <c r="I198" s="274" t="s">
        <v>343</v>
      </c>
      <c r="J198" s="276" t="s">
        <v>146</v>
      </c>
      <c r="K198" s="275" t="s">
        <v>344</v>
      </c>
      <c r="L198" s="1948" t="s">
        <v>345</v>
      </c>
      <c r="M198" s="1950" t="s">
        <v>346</v>
      </c>
    </row>
    <row r="199" spans="1:13" x14ac:dyDescent="0.25">
      <c r="C199" s="58"/>
      <c r="D199" s="783"/>
      <c r="E199" s="1947"/>
      <c r="F199" s="277" t="s">
        <v>347</v>
      </c>
      <c r="G199" s="277"/>
      <c r="H199" s="278" t="s">
        <v>347</v>
      </c>
      <c r="I199" s="277" t="s">
        <v>347</v>
      </c>
      <c r="J199" s="278"/>
      <c r="K199" s="278" t="s">
        <v>347</v>
      </c>
      <c r="L199" s="1949"/>
      <c r="M199" s="1951"/>
    </row>
    <row r="200" spans="1:13" x14ac:dyDescent="0.25">
      <c r="A200" s="58" t="str">
        <f>$E190</f>
        <v>GENERAL SERVICE 50 TO 2,999 KW SERVICE CLASSIFICATION</v>
      </c>
      <c r="C200" s="357"/>
      <c r="D200" s="68" t="s">
        <v>348</v>
      </c>
      <c r="E200" s="322"/>
      <c r="F200" s="345">
        <v>175.16</v>
      </c>
      <c r="G200" s="304">
        <v>1</v>
      </c>
      <c r="H200" s="346">
        <f>G200*F200</f>
        <v>175.16</v>
      </c>
      <c r="I200" s="982">
        <v>178.14</v>
      </c>
      <c r="J200" s="989">
        <f>G200</f>
        <v>1</v>
      </c>
      <c r="K200" s="988">
        <f>J200*I200</f>
        <v>178.14</v>
      </c>
      <c r="L200" s="329">
        <f t="shared" ref="L200:L221" si="30">K200-H200</f>
        <v>2.9799999999999898</v>
      </c>
      <c r="M200" s="347">
        <f>IF(ISERROR(L200/H200), "", L200/H200)</f>
        <v>1.7013016670472652E-2</v>
      </c>
    </row>
    <row r="201" spans="1:13" x14ac:dyDescent="0.25">
      <c r="A201" s="58" t="str">
        <f>A200</f>
        <v>GENERAL SERVICE 50 TO 2,999 KW SERVICE CLASSIFICATION</v>
      </c>
      <c r="C201" s="357"/>
      <c r="D201" s="68" t="s">
        <v>80</v>
      </c>
      <c r="E201" s="322"/>
      <c r="F201" s="326">
        <v>4.3140999999999998</v>
      </c>
      <c r="G201" s="304">
        <f>IF($E193&gt;0, $E193, $E192)</f>
        <v>840</v>
      </c>
      <c r="H201" s="346">
        <f t="shared" ref="H201:H213" si="31">G201*F201</f>
        <v>3623.8440000000001</v>
      </c>
      <c r="I201" s="983">
        <v>4.3874000000000004</v>
      </c>
      <c r="J201" s="989">
        <f>IF($E193&gt;0, $E193, $E192)</f>
        <v>840</v>
      </c>
      <c r="K201" s="988">
        <f>J201*I201</f>
        <v>3685.4160000000002</v>
      </c>
      <c r="L201" s="329">
        <f t="shared" si="30"/>
        <v>61.572000000000116</v>
      </c>
      <c r="M201" s="347">
        <f t="shared" ref="M201:M211" si="32">IF(ISERROR(L201/H201), "", L201/H201)</f>
        <v>1.6990797617115999E-2</v>
      </c>
    </row>
    <row r="202" spans="1:13" hidden="1" x14ac:dyDescent="0.25">
      <c r="A202" s="58" t="str">
        <f t="shared" ref="A202:A243" si="33">A201</f>
        <v>GENERAL SERVICE 50 TO 2,999 KW SERVICE CLASSIFICATION</v>
      </c>
      <c r="C202" s="357"/>
      <c r="D202" s="68" t="s">
        <v>4311</v>
      </c>
      <c r="E202" s="322"/>
      <c r="F202" s="326"/>
      <c r="G202" s="304">
        <f>IF($E193&gt;0, $E193, $E192)</f>
        <v>840</v>
      </c>
      <c r="H202" s="346">
        <v>0</v>
      </c>
      <c r="I202" s="983"/>
      <c r="J202" s="989">
        <f>IF($E193&gt;0, $E193, $E192)</f>
        <v>840</v>
      </c>
      <c r="K202" s="988">
        <v>0</v>
      </c>
      <c r="L202" s="329"/>
      <c r="M202" s="347"/>
    </row>
    <row r="203" spans="1:13" hidden="1" x14ac:dyDescent="0.25">
      <c r="A203" s="58" t="str">
        <f t="shared" si="33"/>
        <v>GENERAL SERVICE 50 TO 2,999 KW SERVICE CLASSIFICATION</v>
      </c>
      <c r="C203" s="357"/>
      <c r="D203" s="68" t="s">
        <v>3743</v>
      </c>
      <c r="E203" s="322"/>
      <c r="F203" s="326"/>
      <c r="G203" s="304">
        <f>IF($E193&gt;0, $E193, $E192)</f>
        <v>840</v>
      </c>
      <c r="H203" s="346">
        <v>0</v>
      </c>
      <c r="I203" s="983"/>
      <c r="J203" s="992">
        <f>IF($E193&gt;0, $E193, $E192)</f>
        <v>840</v>
      </c>
      <c r="K203" s="988">
        <v>0</v>
      </c>
      <c r="L203" s="329">
        <f>K203-H203</f>
        <v>0</v>
      </c>
      <c r="M203" s="347" t="str">
        <f>IF(ISERROR(L203/H203), "", L203/H203)</f>
        <v/>
      </c>
    </row>
    <row r="204" spans="1:13" x14ac:dyDescent="0.25">
      <c r="A204" s="58" t="str">
        <f t="shared" si="33"/>
        <v>GENERAL SERVICE 50 TO 2,999 KW SERVICE CLASSIFICATION</v>
      </c>
      <c r="C204" s="357"/>
      <c r="D204" s="69" t="s">
        <v>358</v>
      </c>
      <c r="E204" s="322"/>
      <c r="F204" s="345">
        <v>0</v>
      </c>
      <c r="G204" s="304">
        <v>1</v>
      </c>
      <c r="H204" s="346">
        <f t="shared" si="31"/>
        <v>0</v>
      </c>
      <c r="I204" s="982">
        <v>0</v>
      </c>
      <c r="J204" s="989">
        <f>G204</f>
        <v>1</v>
      </c>
      <c r="K204" s="988">
        <f t="shared" ref="K204:K211" si="34">J204*I204</f>
        <v>0</v>
      </c>
      <c r="L204" s="329">
        <f t="shared" si="30"/>
        <v>0</v>
      </c>
      <c r="M204" s="347" t="str">
        <f t="shared" si="32"/>
        <v/>
      </c>
    </row>
    <row r="205" spans="1:13" x14ac:dyDescent="0.25">
      <c r="A205" s="58" t="str">
        <f t="shared" si="33"/>
        <v>GENERAL SERVICE 50 TO 2,999 KW SERVICE CLASSIFICATION</v>
      </c>
      <c r="C205" s="357"/>
      <c r="D205" s="68" t="s">
        <v>359</v>
      </c>
      <c r="E205" s="322"/>
      <c r="F205" s="326">
        <v>0.11499999999999998</v>
      </c>
      <c r="G205" s="304">
        <f>IF($E193&gt;0, $E193, $E192)</f>
        <v>840</v>
      </c>
      <c r="H205" s="346">
        <f t="shared" si="31"/>
        <v>96.59999999999998</v>
      </c>
      <c r="I205" s="983">
        <v>-8.8700000000000001E-2</v>
      </c>
      <c r="J205" s="989">
        <f>IF($E193&gt;0, $E193, $E192)</f>
        <v>840</v>
      </c>
      <c r="K205" s="988">
        <f t="shared" si="34"/>
        <v>-74.507999999999996</v>
      </c>
      <c r="L205" s="329">
        <f t="shared" si="30"/>
        <v>-171.10799999999998</v>
      </c>
      <c r="M205" s="347">
        <f t="shared" si="32"/>
        <v>-1.771304347826087</v>
      </c>
    </row>
    <row r="206" spans="1:13" x14ac:dyDescent="0.25">
      <c r="A206" s="58" t="str">
        <f t="shared" si="33"/>
        <v>GENERAL SERVICE 50 TO 2,999 KW SERVICE CLASSIFICATION</v>
      </c>
      <c r="B206" s="280" t="s">
        <v>1434</v>
      </c>
      <c r="C206" s="357">
        <f>B32</f>
        <v>3</v>
      </c>
      <c r="D206" s="281" t="s">
        <v>349</v>
      </c>
      <c r="E206" s="282"/>
      <c r="F206" s="348"/>
      <c r="G206" s="717"/>
      <c r="H206" s="718">
        <f>SUM(H200:H205)</f>
        <v>3895.6039999999998</v>
      </c>
      <c r="I206" s="349"/>
      <c r="J206" s="289"/>
      <c r="K206" s="718">
        <f>SUM(K200:K205)</f>
        <v>3789.0480000000002</v>
      </c>
      <c r="L206" s="283">
        <f t="shared" si="30"/>
        <v>-106.55599999999959</v>
      </c>
      <c r="M206" s="284">
        <f>IF((H206)=0,"",(L206/H206))</f>
        <v>-2.7352882890560641E-2</v>
      </c>
    </row>
    <row r="207" spans="1:13" x14ac:dyDescent="0.25">
      <c r="A207" s="58" t="str">
        <f t="shared" si="33"/>
        <v>GENERAL SERVICE 50 TO 2,999 KW SERVICE CLASSIFICATION</v>
      </c>
      <c r="C207" s="357"/>
      <c r="D207" s="72" t="s">
        <v>421</v>
      </c>
      <c r="E207" s="322"/>
      <c r="F207" s="326">
        <f>IF((E192*12&gt;=150000), 0, IF(E191="RPP",(F223*0.64+F224*0.18+F225*0.18),IF(E191="Non-RPP (Retailer)",F226,F227)))</f>
        <v>0</v>
      </c>
      <c r="G207" s="332">
        <f>IF(F207=0, 0, $E192*E194-E192)</f>
        <v>0</v>
      </c>
      <c r="H207" s="346">
        <f>G207*F207</f>
        <v>0</v>
      </c>
      <c r="I207" s="983">
        <f>IF((E192*12&gt;=150000), 0, IF(E191="RPP",(I223*0.64+I224*0.18+I225*0.18),IF(E191="Non-RPP (Retailer)",I226,I227)))</f>
        <v>0</v>
      </c>
      <c r="J207" s="987">
        <f>IF(I207=0, 0, E192*E195-E192)</f>
        <v>0</v>
      </c>
      <c r="K207" s="988">
        <f>J207*I207</f>
        <v>0</v>
      </c>
      <c r="L207" s="329">
        <f>K207-H207</f>
        <v>0</v>
      </c>
      <c r="M207" s="347" t="str">
        <f>IF(ISERROR(L207/H207), "", L207/H207)</f>
        <v/>
      </c>
    </row>
    <row r="208" spans="1:13" ht="26.4" x14ac:dyDescent="0.25">
      <c r="A208" s="58" t="str">
        <f t="shared" si="33"/>
        <v>GENERAL SERVICE 50 TO 2,999 KW SERVICE CLASSIFICATION</v>
      </c>
      <c r="C208" s="357"/>
      <c r="D208" s="72" t="s">
        <v>357</v>
      </c>
      <c r="E208" s="322"/>
      <c r="F208" s="326">
        <v>0</v>
      </c>
      <c r="G208" s="333">
        <f>IF($E193&gt;0, $E193, $E192)</f>
        <v>840</v>
      </c>
      <c r="H208" s="346">
        <f t="shared" si="31"/>
        <v>0</v>
      </c>
      <c r="I208" s="983">
        <v>0</v>
      </c>
      <c r="J208" s="991">
        <f>IF($E193&gt;0, $E193, $E192)</f>
        <v>840</v>
      </c>
      <c r="K208" s="988">
        <f t="shared" si="34"/>
        <v>0</v>
      </c>
      <c r="L208" s="329">
        <f t="shared" si="30"/>
        <v>0</v>
      </c>
      <c r="M208" s="347" t="str">
        <f t="shared" si="32"/>
        <v/>
      </c>
    </row>
    <row r="209" spans="1:14" x14ac:dyDescent="0.25">
      <c r="A209" s="58" t="str">
        <f t="shared" si="33"/>
        <v>GENERAL SERVICE 50 TO 2,999 KW SERVICE CLASSIFICATION</v>
      </c>
      <c r="C209" s="357"/>
      <c r="D209" s="72" t="s">
        <v>2299</v>
      </c>
      <c r="E209" s="322"/>
      <c r="F209" s="326">
        <v>0</v>
      </c>
      <c r="G209" s="333">
        <f>IF($E193&gt;0, $E193, $E192)</f>
        <v>840</v>
      </c>
      <c r="H209" s="346">
        <f>G209*F209</f>
        <v>0</v>
      </c>
      <c r="I209" s="983">
        <v>0</v>
      </c>
      <c r="J209" s="991">
        <f>IF($E193&gt;0, $E193, $E192)</f>
        <v>840</v>
      </c>
      <c r="K209" s="988">
        <f>J209*I209</f>
        <v>0</v>
      </c>
      <c r="L209" s="329">
        <f t="shared" si="30"/>
        <v>0</v>
      </c>
      <c r="M209" s="347" t="str">
        <f t="shared" si="32"/>
        <v/>
      </c>
    </row>
    <row r="210" spans="1:14" x14ac:dyDescent="0.25">
      <c r="A210" s="58" t="str">
        <f t="shared" si="33"/>
        <v>GENERAL SERVICE 50 TO 2,999 KW SERVICE CLASSIFICATION</v>
      </c>
      <c r="C210" s="357"/>
      <c r="D210" s="72" t="s">
        <v>1953</v>
      </c>
      <c r="E210" s="322"/>
      <c r="F210" s="326">
        <v>0</v>
      </c>
      <c r="G210" s="333">
        <f>E192</f>
        <v>332500</v>
      </c>
      <c r="H210" s="346">
        <f>G210*F210</f>
        <v>0</v>
      </c>
      <c r="I210" s="983">
        <v>0</v>
      </c>
      <c r="J210" s="991">
        <f>E192</f>
        <v>332500</v>
      </c>
      <c r="K210" s="988">
        <f t="shared" si="34"/>
        <v>0</v>
      </c>
      <c r="L210" s="329">
        <f t="shared" si="30"/>
        <v>0</v>
      </c>
      <c r="M210" s="347" t="str">
        <f t="shared" si="32"/>
        <v/>
      </c>
    </row>
    <row r="211" spans="1:14" x14ac:dyDescent="0.25">
      <c r="A211" s="58" t="str">
        <f t="shared" si="33"/>
        <v>GENERAL SERVICE 50 TO 2,999 KW SERVICE CLASSIFICATION</v>
      </c>
      <c r="C211" s="357"/>
      <c r="D211" s="74" t="s">
        <v>141</v>
      </c>
      <c r="E211" s="322"/>
      <c r="F211" s="326">
        <v>0.99870000000000003</v>
      </c>
      <c r="G211" s="333">
        <f>IF($E193&gt;0, $E193, $E192)</f>
        <v>840</v>
      </c>
      <c r="H211" s="346">
        <f t="shared" si="31"/>
        <v>838.90800000000002</v>
      </c>
      <c r="I211" s="983">
        <v>0.99870000000000003</v>
      </c>
      <c r="J211" s="991">
        <f>IF($E193&gt;0, $E193, $E192)</f>
        <v>840</v>
      </c>
      <c r="K211" s="988">
        <f t="shared" si="34"/>
        <v>838.90800000000002</v>
      </c>
      <c r="L211" s="329">
        <f t="shared" si="30"/>
        <v>0</v>
      </c>
      <c r="M211" s="347">
        <f t="shared" si="32"/>
        <v>0</v>
      </c>
    </row>
    <row r="212" spans="1:14" ht="26.4" x14ac:dyDescent="0.25">
      <c r="A212" s="58" t="str">
        <f t="shared" si="33"/>
        <v>GENERAL SERVICE 50 TO 2,999 KW SERVICE CLASSIFICATION</v>
      </c>
      <c r="C212" s="357"/>
      <c r="D212" s="391" t="s">
        <v>4312</v>
      </c>
      <c r="E212" s="322"/>
      <c r="F212" s="768">
        <f>IF(OR(ISNUMBER(SEARCH("RESIDENTIAL", E190))=TRUE, ISNUMBER(SEARCH("GENERAL SERVICE LESS THAN 50", E190))=TRUE), SME, 0)</f>
        <v>0</v>
      </c>
      <c r="G212" s="304">
        <v>1</v>
      </c>
      <c r="H212" s="346">
        <f>G212*F212</f>
        <v>0</v>
      </c>
      <c r="I212" s="984">
        <f>IF(OR(ISNUMBER(SEARCH("RESIDENTIAL", E190))=TRUE, ISNUMBER(SEARCH("GENERAL SERVICE LESS THAN 50", E190))=TRUE), SME, 0)</f>
        <v>0</v>
      </c>
      <c r="J212" s="992">
        <v>1</v>
      </c>
      <c r="K212" s="988">
        <f>J212*I212</f>
        <v>0</v>
      </c>
      <c r="L212" s="329">
        <f t="shared" si="30"/>
        <v>0</v>
      </c>
      <c r="M212" s="347" t="str">
        <f>IF(ISERROR(L212/H212), "", L212/H212)</f>
        <v/>
      </c>
    </row>
    <row r="213" spans="1:14" x14ac:dyDescent="0.25">
      <c r="A213" s="58" t="str">
        <f t="shared" si="33"/>
        <v>GENERAL SERVICE 50 TO 2,999 KW SERVICE CLASSIFICATION</v>
      </c>
      <c r="C213" s="357"/>
      <c r="D213" s="74" t="s">
        <v>3742</v>
      </c>
      <c r="E213" s="322"/>
      <c r="F213" s="345">
        <v>0</v>
      </c>
      <c r="G213" s="304">
        <v>1</v>
      </c>
      <c r="H213" s="346">
        <f t="shared" si="31"/>
        <v>0</v>
      </c>
      <c r="I213" s="982">
        <v>0</v>
      </c>
      <c r="J213" s="992">
        <v>1</v>
      </c>
      <c r="K213" s="988">
        <f>J213*I213</f>
        <v>0</v>
      </c>
      <c r="L213" s="329">
        <f>K213-H213</f>
        <v>0</v>
      </c>
      <c r="M213" s="347" t="str">
        <f>IF(ISERROR(L213/H213), "", L213/H213)</f>
        <v/>
      </c>
    </row>
    <row r="214" spans="1:14" x14ac:dyDescent="0.25">
      <c r="A214" s="58" t="str">
        <f t="shared" si="33"/>
        <v>GENERAL SERVICE 50 TO 2,999 KW SERVICE CLASSIFICATION</v>
      </c>
      <c r="C214" s="357"/>
      <c r="D214" s="74" t="s">
        <v>3741</v>
      </c>
      <c r="E214" s="322"/>
      <c r="F214" s="326">
        <v>0</v>
      </c>
      <c r="G214" s="333">
        <f>IF($E193&gt;0, $E193, $E192)</f>
        <v>840</v>
      </c>
      <c r="H214" s="346">
        <f>G214*F214</f>
        <v>0</v>
      </c>
      <c r="I214" s="983">
        <v>0</v>
      </c>
      <c r="J214" s="991">
        <f>IF($E193&gt;0, $E193, $E192)</f>
        <v>840</v>
      </c>
      <c r="K214" s="988">
        <f>J214*I214</f>
        <v>0</v>
      </c>
      <c r="L214" s="329">
        <f t="shared" si="30"/>
        <v>0</v>
      </c>
      <c r="M214" s="347" t="str">
        <f>IF(ISERROR(L214/H214), "", L214/H214)</f>
        <v/>
      </c>
    </row>
    <row r="215" spans="1:14" ht="26.4" x14ac:dyDescent="0.25">
      <c r="A215" s="58" t="str">
        <f t="shared" si="33"/>
        <v>GENERAL SERVICE 50 TO 2,999 KW SERVICE CLASSIFICATION</v>
      </c>
      <c r="B215" s="783" t="s">
        <v>1435</v>
      </c>
      <c r="C215" s="357">
        <f>B32</f>
        <v>3</v>
      </c>
      <c r="D215" s="286" t="s">
        <v>1466</v>
      </c>
      <c r="E215" s="287"/>
      <c r="F215" s="323"/>
      <c r="G215" s="330"/>
      <c r="H215" s="288">
        <f>SUM(H206:H214)</f>
        <v>4734.5119999999997</v>
      </c>
      <c r="I215" s="324"/>
      <c r="J215" s="331"/>
      <c r="K215" s="288">
        <f>SUM(K206:K214)</f>
        <v>4627.9560000000001</v>
      </c>
      <c r="L215" s="283">
        <f t="shared" si="30"/>
        <v>-106.55599999999959</v>
      </c>
      <c r="M215" s="284">
        <f>IF((H215)=0,"",(L215/H215))</f>
        <v>-2.2506226618498295E-2</v>
      </c>
    </row>
    <row r="216" spans="1:14" x14ac:dyDescent="0.25">
      <c r="A216" s="58" t="str">
        <f t="shared" si="33"/>
        <v>GENERAL SERVICE 50 TO 2,999 KW SERVICE CLASSIFICATION</v>
      </c>
      <c r="C216" s="357"/>
      <c r="D216" s="76" t="s">
        <v>351</v>
      </c>
      <c r="E216" s="322"/>
      <c r="F216" s="326">
        <v>2.4415</v>
      </c>
      <c r="G216" s="332">
        <f>IF($E193&gt;0, $E193, $E192*$E194)</f>
        <v>840</v>
      </c>
      <c r="H216" s="346">
        <f>G216*F216</f>
        <v>2050.86</v>
      </c>
      <c r="I216" s="325">
        <v>2.3963999999999999</v>
      </c>
      <c r="J216" s="987">
        <f>IF($E193&gt;0, $E193, $E192*$E195)</f>
        <v>840</v>
      </c>
      <c r="K216" s="988">
        <f>J216*I216</f>
        <v>2012.9759999999999</v>
      </c>
      <c r="L216" s="329">
        <f t="shared" si="30"/>
        <v>-37.884000000000242</v>
      </c>
      <c r="M216" s="347">
        <f>IF(ISERROR(L216/H216), "", L216/H216)</f>
        <v>-1.847225066557456E-2</v>
      </c>
      <c r="N216" s="1090" t="str">
        <f>IF(ISERROR(ABS(M216)), "", IF(ABS(M216)&gt;=4%, "In the manager's summary, discuss the reasoning for the change in RTSR rates", ""))</f>
        <v/>
      </c>
    </row>
    <row r="217" spans="1:14" ht="26.4" x14ac:dyDescent="0.25">
      <c r="A217" s="58" t="str">
        <f t="shared" si="33"/>
        <v>GENERAL SERVICE 50 TO 2,999 KW SERVICE CLASSIFICATION</v>
      </c>
      <c r="C217" s="357"/>
      <c r="D217" s="169" t="s">
        <v>361</v>
      </c>
      <c r="E217" s="322"/>
      <c r="F217" s="326">
        <v>2.0007000000000001</v>
      </c>
      <c r="G217" s="332">
        <f>IF($E193&gt;0, $E193, $E192*$E194)</f>
        <v>840</v>
      </c>
      <c r="H217" s="346">
        <f>G217*F217</f>
        <v>1680.5880000000002</v>
      </c>
      <c r="I217" s="325">
        <v>1.9529000000000001</v>
      </c>
      <c r="J217" s="987">
        <f>IF($E193&gt;0, $E193, $E192*$E195)</f>
        <v>840</v>
      </c>
      <c r="K217" s="988">
        <f>J217*I217</f>
        <v>1640.4360000000001</v>
      </c>
      <c r="L217" s="329">
        <f t="shared" si="30"/>
        <v>-40.152000000000044</v>
      </c>
      <c r="M217" s="347">
        <f>IF(ISERROR(L217/H217), "", L217/H217)</f>
        <v>-2.3891637926725669E-2</v>
      </c>
      <c r="N217" s="1090" t="str">
        <f>IF(ISERROR(ABS(M217)), "", IF(ABS(M217)&gt;=4%, "In the manager's summary, discuss the reasoning for the change in RTSR rates", ""))</f>
        <v/>
      </c>
    </row>
    <row r="218" spans="1:14" ht="26.4" x14ac:dyDescent="0.25">
      <c r="A218" s="58" t="str">
        <f t="shared" si="33"/>
        <v>GENERAL SERVICE 50 TO 2,999 KW SERVICE CLASSIFICATION</v>
      </c>
      <c r="B218" s="783" t="s">
        <v>1436</v>
      </c>
      <c r="C218" s="357">
        <f>B32</f>
        <v>3</v>
      </c>
      <c r="D218" s="286" t="s">
        <v>1467</v>
      </c>
      <c r="E218" s="282"/>
      <c r="F218" s="323"/>
      <c r="G218" s="330"/>
      <c r="H218" s="288">
        <f>SUM(H215:H217)</f>
        <v>8465.9599999999991</v>
      </c>
      <c r="I218" s="324"/>
      <c r="J218" s="289"/>
      <c r="K218" s="288">
        <f>SUM(K215:K217)</f>
        <v>8281.3680000000004</v>
      </c>
      <c r="L218" s="283">
        <f t="shared" si="30"/>
        <v>-184.59199999999873</v>
      </c>
      <c r="M218" s="284">
        <f>IF((H218)=0,"",(L218/H218))</f>
        <v>-2.1804024587878841E-2</v>
      </c>
    </row>
    <row r="219" spans="1:14" ht="26.4" x14ac:dyDescent="0.25">
      <c r="A219" s="58" t="str">
        <f t="shared" si="33"/>
        <v>GENERAL SERVICE 50 TO 2,999 KW SERVICE CLASSIFICATION</v>
      </c>
      <c r="C219" s="357"/>
      <c r="D219" s="290" t="s">
        <v>352</v>
      </c>
      <c r="E219" s="322"/>
      <c r="F219" s="326">
        <f>IF(AND('1. Information Sheet'!$F$26:$H$26&gt;='17. Regulatory Charges'!$D$14,'1. Information Sheet'!$F$26:$H$26&lt;'17. Regulatory Charges'!$E$14),'17. Regulatory Charges'!$D$15+'17. Regulatory Charges'!$D$16,'17. Regulatory Charges'!$E$15+'17. Regulatory Charges'!$E$16)</f>
        <v>3.4000000000000002E-3</v>
      </c>
      <c r="G219" s="332">
        <f>E192*E194</f>
        <v>347562.24999999994</v>
      </c>
      <c r="H219" s="334">
        <f t="shared" ref="H219:H225" si="35">G219*F219</f>
        <v>1181.71165</v>
      </c>
      <c r="I219" s="983">
        <f>'17. Regulatory Charges'!$E$15+'17. Regulatory Charges'!$E$16</f>
        <v>3.4000000000000002E-3</v>
      </c>
      <c r="J219" s="987">
        <f>E192*E195</f>
        <v>347562.24999999994</v>
      </c>
      <c r="K219" s="988">
        <f t="shared" ref="K219:K225" si="36">J219*I219</f>
        <v>1181.71165</v>
      </c>
      <c r="L219" s="329">
        <f t="shared" si="30"/>
        <v>0</v>
      </c>
      <c r="M219" s="347">
        <f t="shared" ref="M219:M227" si="37">IF(ISERROR(L219/H219), "", L219/H219)</f>
        <v>0</v>
      </c>
    </row>
    <row r="220" spans="1:14" ht="26.4" x14ac:dyDescent="0.25">
      <c r="A220" s="58" t="str">
        <f t="shared" si="33"/>
        <v>GENERAL SERVICE 50 TO 2,999 KW SERVICE CLASSIFICATION</v>
      </c>
      <c r="C220" s="357"/>
      <c r="D220" s="290" t="s">
        <v>353</v>
      </c>
      <c r="E220" s="322"/>
      <c r="F220" s="326">
        <f>IF(AND('1. Information Sheet'!$F$26:$H$26&gt;='17. Regulatory Charges'!$D$14,'1. Information Sheet'!$F$26:$H$26&lt;'17. Regulatory Charges'!$D$14),'17. Regulatory Charges'!$D$17,'17. Regulatory Charges'!$E$17)</f>
        <v>5.0000000000000001E-4</v>
      </c>
      <c r="G220" s="332">
        <f>E192*E194</f>
        <v>347562.24999999994</v>
      </c>
      <c r="H220" s="334">
        <f t="shared" si="35"/>
        <v>173.78112499999997</v>
      </c>
      <c r="I220" s="983">
        <f>'17. Regulatory Charges'!$E$17</f>
        <v>5.0000000000000001E-4</v>
      </c>
      <c r="J220" s="987">
        <f>E192*E195</f>
        <v>347562.24999999994</v>
      </c>
      <c r="K220" s="988">
        <f t="shared" si="36"/>
        <v>173.78112499999997</v>
      </c>
      <c r="L220" s="329">
        <f t="shared" si="30"/>
        <v>0</v>
      </c>
      <c r="M220" s="347">
        <f t="shared" si="37"/>
        <v>0</v>
      </c>
    </row>
    <row r="221" spans="1:14" x14ac:dyDescent="0.25">
      <c r="A221" s="58" t="str">
        <f t="shared" si="33"/>
        <v>GENERAL SERVICE 50 TO 2,999 KW SERVICE CLASSIFICATION</v>
      </c>
      <c r="C221" s="357"/>
      <c r="D221" s="279" t="s">
        <v>354</v>
      </c>
      <c r="E221" s="322"/>
      <c r="F221" s="768">
        <f>IF(AND('1. Information Sheet'!$F$26:$H$26&gt;='17. Regulatory Charges'!$D$14,'1. Information Sheet'!$F$26:$H$26&lt;'17. Regulatory Charges'!$D$14),'17. Regulatory Charges'!$D$18,'17. Regulatory Charges'!$E$18)</f>
        <v>0.25</v>
      </c>
      <c r="G221" s="304">
        <v>1</v>
      </c>
      <c r="H221" s="334">
        <f t="shared" si="35"/>
        <v>0.25</v>
      </c>
      <c r="I221" s="984">
        <f>'17. Regulatory Charges'!$E$18</f>
        <v>0.25</v>
      </c>
      <c r="J221" s="989">
        <v>1</v>
      </c>
      <c r="K221" s="988">
        <f t="shared" si="36"/>
        <v>0.25</v>
      </c>
      <c r="L221" s="329">
        <f t="shared" si="30"/>
        <v>0</v>
      </c>
      <c r="M221" s="347">
        <f t="shared" si="37"/>
        <v>0</v>
      </c>
    </row>
    <row r="222" spans="1:14" ht="26.4" hidden="1" x14ac:dyDescent="0.25">
      <c r="A222" s="58" t="str">
        <f t="shared" si="33"/>
        <v>GENERAL SERVICE 50 TO 2,999 KW SERVICE CLASSIFICATION</v>
      </c>
      <c r="C222" s="357"/>
      <c r="D222" s="290" t="s">
        <v>1468</v>
      </c>
      <c r="E222" s="322"/>
      <c r="F222" s="326"/>
      <c r="G222" s="332"/>
      <c r="H222" s="334"/>
      <c r="I222" s="983"/>
      <c r="J222" s="987"/>
      <c r="K222" s="988"/>
      <c r="L222" s="329"/>
      <c r="M222" s="347"/>
    </row>
    <row r="223" spans="1:14" hidden="1" x14ac:dyDescent="0.25">
      <c r="A223" s="58" t="str">
        <f t="shared" si="33"/>
        <v>GENERAL SERVICE 50 TO 2,999 KW SERVICE CLASSIFICATION</v>
      </c>
      <c r="B223" s="783" t="s">
        <v>1427</v>
      </c>
      <c r="C223" s="357"/>
      <c r="D223" s="285" t="s">
        <v>220</v>
      </c>
      <c r="E223" s="322"/>
      <c r="F223" s="327">
        <f>OffPeak</f>
        <v>0.105</v>
      </c>
      <c r="G223" s="291">
        <f>IF(AND(E192*12&gt;=150000),0.64*E192*E194,0.64*E192)</f>
        <v>222439.83999999997</v>
      </c>
      <c r="H223" s="334">
        <f t="shared" si="35"/>
        <v>23356.183199999996</v>
      </c>
      <c r="I223" s="985">
        <f>OffPeak</f>
        <v>0.105</v>
      </c>
      <c r="J223" s="990">
        <f>IF(AND(E192*12&gt;=150000),0.64*E192*E195,0.64*E192)</f>
        <v>222439.83999999997</v>
      </c>
      <c r="K223" s="988">
        <f t="shared" si="36"/>
        <v>23356.183199999996</v>
      </c>
      <c r="L223" s="329">
        <f>K223-H223</f>
        <v>0</v>
      </c>
      <c r="M223" s="347">
        <f t="shared" si="37"/>
        <v>0</v>
      </c>
    </row>
    <row r="224" spans="1:14" hidden="1" x14ac:dyDescent="0.25">
      <c r="A224" s="58" t="str">
        <f t="shared" si="33"/>
        <v>GENERAL SERVICE 50 TO 2,999 KW SERVICE CLASSIFICATION</v>
      </c>
      <c r="B224" s="783" t="s">
        <v>1427</v>
      </c>
      <c r="C224" s="357"/>
      <c r="D224" s="285" t="s">
        <v>221</v>
      </c>
      <c r="E224" s="322"/>
      <c r="F224" s="327">
        <f>MidPeak</f>
        <v>0.15</v>
      </c>
      <c r="G224" s="291">
        <f>IF(AND(E192*12&gt;=150000),0.18*E192*E194,0.18*E192)</f>
        <v>62561.204999999994</v>
      </c>
      <c r="H224" s="334">
        <f t="shared" si="35"/>
        <v>9384.1807499999995</v>
      </c>
      <c r="I224" s="985">
        <f>MidPeak</f>
        <v>0.15</v>
      </c>
      <c r="J224" s="990">
        <f>IF(AND(E192*12&gt;=150000),0.18*E192*E195,0.18*E192)</f>
        <v>62561.204999999994</v>
      </c>
      <c r="K224" s="988">
        <f t="shared" si="36"/>
        <v>9384.1807499999995</v>
      </c>
      <c r="L224" s="329">
        <f>K224-H224</f>
        <v>0</v>
      </c>
      <c r="M224" s="347">
        <f t="shared" si="37"/>
        <v>0</v>
      </c>
    </row>
    <row r="225" spans="1:13" hidden="1" x14ac:dyDescent="0.25">
      <c r="A225" s="58" t="str">
        <f t="shared" si="33"/>
        <v>GENERAL SERVICE 50 TO 2,999 KW SERVICE CLASSIFICATION</v>
      </c>
      <c r="B225" s="783" t="s">
        <v>1427</v>
      </c>
      <c r="C225" s="357"/>
      <c r="D225" s="783" t="s">
        <v>222</v>
      </c>
      <c r="E225" s="322"/>
      <c r="F225" s="327">
        <f>OnPeak</f>
        <v>0.217</v>
      </c>
      <c r="G225" s="291">
        <f>IF(AND(E192*12&gt;=150000),0.18*E192*E194,0.18*E192)</f>
        <v>62561.204999999994</v>
      </c>
      <c r="H225" s="334">
        <f t="shared" si="35"/>
        <v>13575.781485</v>
      </c>
      <c r="I225" s="985">
        <f>OnPeak</f>
        <v>0.217</v>
      </c>
      <c r="J225" s="990">
        <f>IF(AND(E192*12&gt;=150000),0.18*E192*E195,0.18*E192)</f>
        <v>62561.204999999994</v>
      </c>
      <c r="K225" s="988">
        <f t="shared" si="36"/>
        <v>13575.781485</v>
      </c>
      <c r="L225" s="329">
        <f>K225-H225</f>
        <v>0</v>
      </c>
      <c r="M225" s="347">
        <f t="shared" si="37"/>
        <v>0</v>
      </c>
    </row>
    <row r="226" spans="1:13" hidden="1" x14ac:dyDescent="0.25">
      <c r="A226" s="58" t="str">
        <f t="shared" si="33"/>
        <v>GENERAL SERVICE 50 TO 2,999 KW SERVICE CLASSIFICATION</v>
      </c>
      <c r="B226" s="58" t="s">
        <v>1428</v>
      </c>
      <c r="C226" s="357"/>
      <c r="D226" s="285" t="s">
        <v>1437</v>
      </c>
      <c r="E226" s="322"/>
      <c r="F226" s="328">
        <v>0.1368</v>
      </c>
      <c r="G226" s="291">
        <f>IF(AND(E192*12&gt;=150000),E192*E194,E192)</f>
        <v>347562.24999999994</v>
      </c>
      <c r="H226" s="334">
        <f>G226*F226</f>
        <v>47546.515799999994</v>
      </c>
      <c r="I226" s="986">
        <f>F226</f>
        <v>0.1368</v>
      </c>
      <c r="J226" s="990">
        <f>IF(AND(E192*12&gt;=150000),E192*E195,E192)</f>
        <v>347562.24999999994</v>
      </c>
      <c r="K226" s="988">
        <f>J226*I226</f>
        <v>47546.515799999994</v>
      </c>
      <c r="L226" s="329">
        <f>K226-H226</f>
        <v>0</v>
      </c>
      <c r="M226" s="347">
        <f t="shared" si="37"/>
        <v>0</v>
      </c>
    </row>
    <row r="227" spans="1:13" ht="13.8" thickBot="1" x14ac:dyDescent="0.3">
      <c r="A227" s="58" t="str">
        <f t="shared" si="33"/>
        <v>GENERAL SERVICE 50 TO 2,999 KW SERVICE CLASSIFICATION</v>
      </c>
      <c r="B227" s="58" t="s">
        <v>1429</v>
      </c>
      <c r="C227" s="357"/>
      <c r="D227" s="285" t="s">
        <v>1438</v>
      </c>
      <c r="E227" s="322"/>
      <c r="F227" s="328">
        <v>0.1368</v>
      </c>
      <c r="G227" s="291">
        <f>IF(AND(E192*12&gt;=150000),E192*E194,E192)</f>
        <v>347562.24999999994</v>
      </c>
      <c r="H227" s="334">
        <f>G227*F227</f>
        <v>47546.515799999994</v>
      </c>
      <c r="I227" s="986">
        <f>F227</f>
        <v>0.1368</v>
      </c>
      <c r="J227" s="990">
        <f>IF(AND(E192*12&gt;=150000),E192*E195,E192)</f>
        <v>347562.24999999994</v>
      </c>
      <c r="K227" s="988">
        <f>J227*I227</f>
        <v>47546.515799999994</v>
      </c>
      <c r="L227" s="329">
        <f>K227-H227</f>
        <v>0</v>
      </c>
      <c r="M227" s="347">
        <f t="shared" si="37"/>
        <v>0</v>
      </c>
    </row>
    <row r="228" spans="1:13" ht="13.8" thickBot="1" x14ac:dyDescent="0.3">
      <c r="A228" s="58" t="str">
        <f t="shared" si="33"/>
        <v>GENERAL SERVICE 50 TO 2,999 KW SERVICE CLASSIFICATION</v>
      </c>
      <c r="B228" s="783"/>
      <c r="C228" s="357"/>
      <c r="D228" s="292"/>
      <c r="E228" s="293"/>
      <c r="F228" s="335"/>
      <c r="G228" s="216"/>
      <c r="H228" s="336"/>
      <c r="I228" s="335"/>
      <c r="J228" s="337"/>
      <c r="K228" s="336"/>
      <c r="L228" s="338"/>
      <c r="M228" s="219"/>
    </row>
    <row r="229" spans="1:13" hidden="1" x14ac:dyDescent="0.25">
      <c r="A229" s="58" t="str">
        <f t="shared" si="33"/>
        <v>GENERAL SERVICE 50 TO 2,999 KW SERVICE CLASSIFICATION</v>
      </c>
      <c r="B229" s="783" t="s">
        <v>1427</v>
      </c>
      <c r="C229" s="357"/>
      <c r="D229" s="296" t="s">
        <v>356</v>
      </c>
      <c r="E229" s="279"/>
      <c r="F229" s="311"/>
      <c r="G229" s="339"/>
      <c r="H229" s="297">
        <f>SUM(H219:H225,H218)</f>
        <v>56137.848209999989</v>
      </c>
      <c r="I229" s="298"/>
      <c r="J229" s="298"/>
      <c r="K229" s="297">
        <f>SUM(K219:K225,K218)</f>
        <v>55953.256209999992</v>
      </c>
      <c r="L229" s="299">
        <f>K229-H229</f>
        <v>-184.59199999999691</v>
      </c>
      <c r="M229" s="300">
        <f>IF((H229)=0,"",(L229/H229))</f>
        <v>-3.2881915835013256E-3</v>
      </c>
    </row>
    <row r="230" spans="1:13" hidden="1" x14ac:dyDescent="0.25">
      <c r="A230" s="58" t="str">
        <f t="shared" si="33"/>
        <v>GENERAL SERVICE 50 TO 2,999 KW SERVICE CLASSIFICATION</v>
      </c>
      <c r="B230" s="783" t="s">
        <v>1427</v>
      </c>
      <c r="C230" s="357"/>
      <c r="D230" s="301" t="s">
        <v>148</v>
      </c>
      <c r="E230" s="279"/>
      <c r="F230" s="311">
        <v>0.13</v>
      </c>
      <c r="G230" s="340"/>
      <c r="H230" s="302">
        <f>H229*F230</f>
        <v>7297.9202672999991</v>
      </c>
      <c r="I230" s="303">
        <v>0.13</v>
      </c>
      <c r="J230" s="304"/>
      <c r="K230" s="302">
        <f>K229*I230</f>
        <v>7273.9233072999996</v>
      </c>
      <c r="L230" s="305">
        <f>K230-H230</f>
        <v>-23.99695999999949</v>
      </c>
      <c r="M230" s="306">
        <f>IF((H230)=0,"",(L230/H230))</f>
        <v>-3.2881915835013104E-3</v>
      </c>
    </row>
    <row r="231" spans="1:13" hidden="1" x14ac:dyDescent="0.25">
      <c r="A231" s="58" t="str">
        <f t="shared" si="33"/>
        <v>GENERAL SERVICE 50 TO 2,999 KW SERVICE CLASSIFICATION</v>
      </c>
      <c r="B231" s="783" t="s">
        <v>1427</v>
      </c>
      <c r="C231" s="357"/>
      <c r="D231" s="301" t="s">
        <v>5907</v>
      </c>
      <c r="E231" s="279"/>
      <c r="F231" s="1238">
        <v>0.318</v>
      </c>
      <c r="G231" s="340"/>
      <c r="H231" s="302">
        <f>IF(OR(ISNUMBER(SEARCH("[DGEN]", E190))=TRUE, ISNUMBER(SEARCH("STREET LIGHT", E190))=TRUE), 0, IF(AND(E192=0, E193=0),0, IF(AND(E193=0, E192*12&gt;250000), 0, IF(AND(E192=0, E193&gt;=50), 0, IF(E192*12&lt;=250000, F231*H229*-1, IF(E193&lt;50, F231*H229*-1, 0))))))</f>
        <v>0</v>
      </c>
      <c r="I231" s="1238">
        <v>0.318</v>
      </c>
      <c r="J231" s="304"/>
      <c r="K231" s="302">
        <f>IF(OR(ISNUMBER(SEARCH("[DGEN]", E190))=TRUE, ISNUMBER(SEARCH("STREET LIGHT", E190))=TRUE), 0, IF(AND(E192=0, E193=0),0, IF(AND(E193=0, E192*12&gt;250000), 0, IF(AND(E192=0, E193&gt;=50), 0, IF(E192*12&lt;=250000, I231*K229*-1, IF(E193&lt;50, I231*K229*-1, 0))))))</f>
        <v>0</v>
      </c>
      <c r="L231" s="305">
        <f>K231-H231</f>
        <v>0</v>
      </c>
      <c r="M231" s="306"/>
    </row>
    <row r="232" spans="1:13" ht="13.8" hidden="1" thickBot="1" x14ac:dyDescent="0.3">
      <c r="A232" s="58" t="str">
        <f t="shared" si="33"/>
        <v>GENERAL SERVICE 50 TO 2,999 KW SERVICE CLASSIFICATION</v>
      </c>
      <c r="B232" s="783" t="s">
        <v>1439</v>
      </c>
      <c r="C232" s="357"/>
      <c r="D232" s="1943" t="s">
        <v>1440</v>
      </c>
      <c r="E232" s="1943"/>
      <c r="F232" s="341"/>
      <c r="G232" s="342"/>
      <c r="H232" s="312">
        <f>H229+H230+H231</f>
        <v>63435.768477299986</v>
      </c>
      <c r="I232" s="308"/>
      <c r="J232" s="308"/>
      <c r="K232" s="307">
        <f>K229+K230+K231</f>
        <v>63227.179517299992</v>
      </c>
      <c r="L232" s="309">
        <f>K232-H232</f>
        <v>-208.58895999999368</v>
      </c>
      <c r="M232" s="310">
        <f>IF((H232)=0,"",(L232/H232))</f>
        <v>-3.2881915835012809E-3</v>
      </c>
    </row>
    <row r="233" spans="1:13" ht="13.8" hidden="1" thickBot="1" x14ac:dyDescent="0.3">
      <c r="A233" s="58" t="str">
        <f t="shared" si="33"/>
        <v>GENERAL SERVICE 50 TO 2,999 KW SERVICE CLASSIFICATION</v>
      </c>
      <c r="B233" s="58" t="s">
        <v>1427</v>
      </c>
      <c r="C233" s="357"/>
      <c r="D233" s="292"/>
      <c r="E233" s="293"/>
      <c r="F233" s="335"/>
      <c r="G233" s="216"/>
      <c r="H233" s="336"/>
      <c r="I233" s="335"/>
      <c r="J233" s="337"/>
      <c r="K233" s="336"/>
      <c r="L233" s="338"/>
      <c r="M233" s="219"/>
    </row>
    <row r="234" spans="1:13" hidden="1" x14ac:dyDescent="0.25">
      <c r="A234" s="58" t="str">
        <f t="shared" si="33"/>
        <v>GENERAL SERVICE 50 TO 2,999 KW SERVICE CLASSIFICATION</v>
      </c>
      <c r="B234" s="58" t="s">
        <v>1428</v>
      </c>
      <c r="C234" s="357"/>
      <c r="D234" s="296" t="s">
        <v>1441</v>
      </c>
      <c r="E234" s="279"/>
      <c r="F234" s="311"/>
      <c r="G234" s="339"/>
      <c r="H234" s="297">
        <f>SUM(H226,H219:H222,H218)</f>
        <v>57368.218574999992</v>
      </c>
      <c r="I234" s="298"/>
      <c r="J234" s="298"/>
      <c r="K234" s="297">
        <f>SUM(K226,K219:K222,K218)</f>
        <v>57183.626574999995</v>
      </c>
      <c r="L234" s="299">
        <f>K234-H234</f>
        <v>-184.59199999999691</v>
      </c>
      <c r="M234" s="300">
        <f>IF((H234)=0,"",(L234/H234))</f>
        <v>-3.2176700721266373E-3</v>
      </c>
    </row>
    <row r="235" spans="1:13" hidden="1" x14ac:dyDescent="0.25">
      <c r="A235" s="58" t="str">
        <f t="shared" si="33"/>
        <v>GENERAL SERVICE 50 TO 2,999 KW SERVICE CLASSIFICATION</v>
      </c>
      <c r="B235" s="58" t="s">
        <v>1428</v>
      </c>
      <c r="C235" s="357"/>
      <c r="D235" s="301" t="s">
        <v>148</v>
      </c>
      <c r="E235" s="279"/>
      <c r="F235" s="311">
        <v>0.13</v>
      </c>
      <c r="G235" s="339"/>
      <c r="H235" s="302">
        <f>H234*F235</f>
        <v>7457.8684147499989</v>
      </c>
      <c r="I235" s="311">
        <v>0.13</v>
      </c>
      <c r="J235" s="303"/>
      <c r="K235" s="302">
        <f>K234*I235</f>
        <v>7433.8714547499994</v>
      </c>
      <c r="L235" s="305">
        <f>K235-H235</f>
        <v>-23.99695999999949</v>
      </c>
      <c r="M235" s="306">
        <f>IF((H235)=0,"",(L235/H235))</f>
        <v>-3.2176700721266225E-3</v>
      </c>
    </row>
    <row r="236" spans="1:13" hidden="1" x14ac:dyDescent="0.25">
      <c r="A236" s="58" t="str">
        <f t="shared" si="33"/>
        <v>GENERAL SERVICE 50 TO 2,999 KW SERVICE CLASSIFICATION</v>
      </c>
      <c r="B236" s="58" t="s">
        <v>1428</v>
      </c>
      <c r="C236" s="357"/>
      <c r="D236" s="301" t="s">
        <v>5907</v>
      </c>
      <c r="E236" s="279"/>
      <c r="F236" s="1238">
        <v>0.318</v>
      </c>
      <c r="G236" s="339"/>
      <c r="H236" s="707">
        <f>IF(OR(ISNUMBER(SEARCH("[DGEN]", E190))=TRUE, ISNUMBER(SEARCH("STREET LIGHT", E190))=TRUE), 0, IF(AND(E192=0, E193=0),0, IF(AND(E193=0, E192*12&gt;250000), 0, IF(AND(E192=0, E193&gt;=50), 0, IF(E192*12&lt;=250000, F236*H234*-1, IF(E193&lt;50, F236*H234*-1, 0))))))</f>
        <v>0</v>
      </c>
      <c r="I236" s="1238">
        <v>0.318</v>
      </c>
      <c r="J236" s="303"/>
      <c r="K236" s="707">
        <f>IF(OR(ISNUMBER(SEARCH("[DGEN]", E190))=TRUE, ISNUMBER(SEARCH("STREET LIGHT", E190))=TRUE), 0, IF(AND(E192=0, E193=0),0, IF(AND(E193=0, E192*12&gt;250000), 0, IF(AND(E192=0, E193&gt;=50), 0, IF(E192*12&lt;=250000, I236*K234*-1, IF(E193&lt;50, I236*K234*-1, 0))))))</f>
        <v>0</v>
      </c>
      <c r="L236" s="305"/>
      <c r="M236" s="306"/>
    </row>
    <row r="237" spans="1:13" ht="13.8" hidden="1" thickBot="1" x14ac:dyDescent="0.3">
      <c r="A237" s="58" t="str">
        <f t="shared" si="33"/>
        <v>GENERAL SERVICE 50 TO 2,999 KW SERVICE CLASSIFICATION</v>
      </c>
      <c r="B237" s="58" t="s">
        <v>1442</v>
      </c>
      <c r="C237" s="357"/>
      <c r="D237" s="1943" t="s">
        <v>1441</v>
      </c>
      <c r="E237" s="1943"/>
      <c r="F237" s="343"/>
      <c r="G237" s="344"/>
      <c r="H237" s="312">
        <f>SUM(H234,H235)</f>
        <v>64826.086989749994</v>
      </c>
      <c r="I237" s="313"/>
      <c r="J237" s="313"/>
      <c r="K237" s="312">
        <f>SUM(K234,K235)</f>
        <v>64617.498029749993</v>
      </c>
      <c r="L237" s="314">
        <f>K237-H237</f>
        <v>-208.58896000000095</v>
      </c>
      <c r="M237" s="315">
        <f>IF((H237)=0,"",(L237/H237))</f>
        <v>-3.2176700721267054E-3</v>
      </c>
    </row>
    <row r="238" spans="1:13" ht="13.8" hidden="1" thickBot="1" x14ac:dyDescent="0.3">
      <c r="A238" s="58" t="str">
        <f t="shared" si="33"/>
        <v>GENERAL SERVICE 50 TO 2,999 KW SERVICE CLASSIFICATION</v>
      </c>
      <c r="B238" s="58" t="s">
        <v>1428</v>
      </c>
      <c r="C238" s="357"/>
      <c r="D238" s="292"/>
      <c r="E238" s="293"/>
      <c r="F238" s="213"/>
      <c r="G238" s="214"/>
      <c r="H238" s="215"/>
      <c r="I238" s="213"/>
      <c r="J238" s="216"/>
      <c r="K238" s="215"/>
      <c r="L238" s="218"/>
      <c r="M238" s="219"/>
    </row>
    <row r="239" spans="1:13" x14ac:dyDescent="0.25">
      <c r="A239" s="58" t="str">
        <f t="shared" si="33"/>
        <v>GENERAL SERVICE 50 TO 2,999 KW SERVICE CLASSIFICATION</v>
      </c>
      <c r="B239" s="58" t="s">
        <v>1429</v>
      </c>
      <c r="C239" s="357"/>
      <c r="D239" s="296" t="s">
        <v>1443</v>
      </c>
      <c r="E239" s="279"/>
      <c r="F239" s="311"/>
      <c r="G239" s="339"/>
      <c r="H239" s="297">
        <f>SUM(H227,H219:H222,H218)</f>
        <v>57368.218574999992</v>
      </c>
      <c r="I239" s="298"/>
      <c r="J239" s="298"/>
      <c r="K239" s="297">
        <f>SUM(K227,K219:K222,K218)</f>
        <v>57183.626574999995</v>
      </c>
      <c r="L239" s="299">
        <f>K239-H239</f>
        <v>-184.59199999999691</v>
      </c>
      <c r="M239" s="300">
        <f>IF((H239)=0,"",(L239/H239))</f>
        <v>-3.2176700721266373E-3</v>
      </c>
    </row>
    <row r="240" spans="1:13" x14ac:dyDescent="0.25">
      <c r="A240" s="58" t="str">
        <f t="shared" si="33"/>
        <v>GENERAL SERVICE 50 TO 2,999 KW SERVICE CLASSIFICATION</v>
      </c>
      <c r="B240" s="58" t="s">
        <v>1429</v>
      </c>
      <c r="C240" s="357"/>
      <c r="D240" s="301" t="s">
        <v>148</v>
      </c>
      <c r="E240" s="279"/>
      <c r="F240" s="311">
        <v>0.13</v>
      </c>
      <c r="G240" s="339"/>
      <c r="H240" s="302">
        <f>H239*F240</f>
        <v>7457.8684147499989</v>
      </c>
      <c r="I240" s="311">
        <v>0.13</v>
      </c>
      <c r="J240" s="303"/>
      <c r="K240" s="302">
        <f>K239*I240</f>
        <v>7433.8714547499994</v>
      </c>
      <c r="L240" s="305">
        <f>K240-H240</f>
        <v>-23.99695999999949</v>
      </c>
      <c r="M240" s="306">
        <f>IF((H240)=0,"",(L240/H240))</f>
        <v>-3.2176700721266225E-3</v>
      </c>
    </row>
    <row r="241" spans="1:20" x14ac:dyDescent="0.25">
      <c r="A241" s="58" t="str">
        <f t="shared" si="33"/>
        <v>GENERAL SERVICE 50 TO 2,999 KW SERVICE CLASSIFICATION</v>
      </c>
      <c r="B241" s="58" t="s">
        <v>1429</v>
      </c>
      <c r="C241" s="357"/>
      <c r="D241" s="301" t="s">
        <v>5907</v>
      </c>
      <c r="E241" s="279"/>
      <c r="F241" s="1238">
        <v>0.318</v>
      </c>
      <c r="G241" s="339"/>
      <c r="H241" s="707">
        <f>IF(OR(ISNUMBER(SEARCH("[DGEN]", E190))=TRUE, ISNUMBER(SEARCH("STREET LIGHT", E190))=TRUE), 0, IF(AND(E192=0, E193=0),0, IF(AND(E193=0, E192*12&gt;250000), 0, IF(AND(E192=0, E193&gt;=50), 0, IF(E192*12&lt;=250000, F241*H239*-1, IF(E193&lt;50, F241*H239*-1, 0))))))</f>
        <v>0</v>
      </c>
      <c r="I241" s="1238">
        <v>0.318</v>
      </c>
      <c r="J241" s="303"/>
      <c r="K241" s="707">
        <f>IF(OR(ISNUMBER(SEARCH("[DGEN]", E190))=TRUE, ISNUMBER(SEARCH("STREET LIGHT", E190))=TRUE), 0, IF(AND(E192=0, E193=0),0, IF(AND(E193=0, E192*12&gt;250000), 0, IF(AND(E192=0, E193&gt;=50), 0, IF(E192*12&lt;=250000, I241*K239*-1, IF(E193&lt;50, I241*K239*-1, 0))))))</f>
        <v>0</v>
      </c>
      <c r="L241" s="305"/>
      <c r="M241" s="306"/>
    </row>
    <row r="242" spans="1:20" ht="13.8" thickBot="1" x14ac:dyDescent="0.3">
      <c r="A242" s="58" t="str">
        <f t="shared" si="33"/>
        <v>GENERAL SERVICE 50 TO 2,999 KW SERVICE CLASSIFICATION</v>
      </c>
      <c r="B242" s="58" t="s">
        <v>1444</v>
      </c>
      <c r="C242" s="357">
        <f>B32</f>
        <v>3</v>
      </c>
      <c r="D242" s="1943" t="s">
        <v>1443</v>
      </c>
      <c r="E242" s="1943"/>
      <c r="F242" s="343"/>
      <c r="G242" s="344"/>
      <c r="H242" s="312">
        <f>SUM(H239,H240)</f>
        <v>64826.086989749994</v>
      </c>
      <c r="I242" s="313"/>
      <c r="J242" s="313"/>
      <c r="K242" s="312">
        <f>SUM(K239,K240)</f>
        <v>64617.498029749993</v>
      </c>
      <c r="L242" s="314">
        <f>K242-H242</f>
        <v>-208.58896000000095</v>
      </c>
      <c r="M242" s="315">
        <f>IF((H242)=0,"",(L242/H242))</f>
        <v>-3.2176700721267054E-3</v>
      </c>
    </row>
    <row r="243" spans="1:20" ht="13.8" thickBot="1" x14ac:dyDescent="0.3">
      <c r="A243" s="58" t="str">
        <f t="shared" si="33"/>
        <v>GENERAL SERVICE 50 TO 2,999 KW SERVICE CLASSIFICATION</v>
      </c>
      <c r="B243" s="58" t="s">
        <v>1429</v>
      </c>
      <c r="C243" s="357"/>
      <c r="D243" s="292"/>
      <c r="E243" s="293"/>
      <c r="F243" s="316"/>
      <c r="G243" s="317"/>
      <c r="H243" s="318"/>
      <c r="I243" s="316"/>
      <c r="J243" s="294"/>
      <c r="K243" s="318"/>
      <c r="L243" s="319"/>
      <c r="M243" s="295"/>
    </row>
    <row r="246" spans="1:20" x14ac:dyDescent="0.25">
      <c r="C246" s="58"/>
      <c r="D246" s="264" t="s">
        <v>1432</v>
      </c>
      <c r="E246" s="1952" t="str">
        <f>D33</f>
        <v>GENERAL SERVICE 3,000 TO 4,999 KW SERVICE CLASSIFICATION</v>
      </c>
      <c r="F246" s="1952"/>
      <c r="G246" s="1952"/>
      <c r="H246" s="1952"/>
      <c r="I246" s="1952"/>
      <c r="J246" s="1952"/>
      <c r="K246" s="58" t="str">
        <f>IF(N33="DEMAND - INTERVAL","RTSR - INTERVAL METERED","")</f>
        <v/>
      </c>
      <c r="T246" s="58" t="s">
        <v>603</v>
      </c>
    </row>
    <row r="247" spans="1:20" x14ac:dyDescent="0.25">
      <c r="C247" s="58"/>
      <c r="D247" s="264" t="s">
        <v>1433</v>
      </c>
      <c r="E247" s="1953" t="str">
        <f>H33</f>
        <v>Non-RPP (Other)</v>
      </c>
      <c r="F247" s="1953"/>
      <c r="G247" s="1953"/>
      <c r="H247" s="265"/>
      <c r="I247" s="265"/>
    </row>
    <row r="248" spans="1:20" ht="15.6" x14ac:dyDescent="0.25">
      <c r="C248" s="58"/>
      <c r="D248" s="264" t="s">
        <v>153</v>
      </c>
      <c r="E248" s="1626">
        <f>K33</f>
        <v>1507000</v>
      </c>
      <c r="F248" s="267" t="s">
        <v>154</v>
      </c>
      <c r="G248" s="783"/>
      <c r="J248" s="268"/>
      <c r="K248" s="268"/>
      <c r="L248" s="268"/>
      <c r="M248" s="268"/>
      <c r="N248" s="268"/>
    </row>
    <row r="249" spans="1:20" ht="15.6" x14ac:dyDescent="0.3">
      <c r="C249" s="58"/>
      <c r="D249" s="264" t="s">
        <v>360</v>
      </c>
      <c r="E249" s="1626">
        <f>L33</f>
        <v>3600</v>
      </c>
      <c r="F249" s="269" t="s">
        <v>155</v>
      </c>
      <c r="G249" s="270"/>
      <c r="H249" s="271"/>
      <c r="I249" s="271"/>
      <c r="J249" s="271"/>
    </row>
    <row r="250" spans="1:20" x14ac:dyDescent="0.25">
      <c r="C250" s="58"/>
      <c r="D250" s="264" t="s">
        <v>1464</v>
      </c>
      <c r="E250" s="272">
        <f>I33</f>
        <v>1.0452999999999999</v>
      </c>
    </row>
    <row r="251" spans="1:20" x14ac:dyDescent="0.25">
      <c r="C251" s="58"/>
      <c r="D251" s="264" t="s">
        <v>1465</v>
      </c>
      <c r="E251" s="272">
        <f>J33</f>
        <v>1.0452999999999999</v>
      </c>
    </row>
    <row r="252" spans="1:20" x14ac:dyDescent="0.25">
      <c r="C252" s="58"/>
      <c r="D252" s="783"/>
    </row>
    <row r="253" spans="1:20" x14ac:dyDescent="0.25">
      <c r="C253" s="58"/>
      <c r="D253" s="783"/>
      <c r="E253" s="273"/>
      <c r="F253" s="1944" t="s">
        <v>1943</v>
      </c>
      <c r="G253" s="1954"/>
      <c r="H253" s="1945"/>
      <c r="I253" s="1944" t="s">
        <v>341</v>
      </c>
      <c r="J253" s="1954"/>
      <c r="K253" s="1945"/>
      <c r="L253" s="1944" t="s">
        <v>342</v>
      </c>
      <c r="M253" s="1945"/>
    </row>
    <row r="254" spans="1:20" x14ac:dyDescent="0.25">
      <c r="C254" s="58"/>
      <c r="D254" s="783"/>
      <c r="E254" s="1946"/>
      <c r="F254" s="274" t="s">
        <v>343</v>
      </c>
      <c r="G254" s="274" t="s">
        <v>146</v>
      </c>
      <c r="H254" s="275" t="s">
        <v>344</v>
      </c>
      <c r="I254" s="274" t="s">
        <v>343</v>
      </c>
      <c r="J254" s="276" t="s">
        <v>146</v>
      </c>
      <c r="K254" s="275" t="s">
        <v>344</v>
      </c>
      <c r="L254" s="1948" t="s">
        <v>345</v>
      </c>
      <c r="M254" s="1950" t="s">
        <v>346</v>
      </c>
    </row>
    <row r="255" spans="1:20" x14ac:dyDescent="0.25">
      <c r="C255" s="58"/>
      <c r="D255" s="783"/>
      <c r="E255" s="1947"/>
      <c r="F255" s="277" t="s">
        <v>347</v>
      </c>
      <c r="G255" s="277"/>
      <c r="H255" s="278" t="s">
        <v>347</v>
      </c>
      <c r="I255" s="277" t="s">
        <v>347</v>
      </c>
      <c r="J255" s="278"/>
      <c r="K255" s="278" t="s">
        <v>347</v>
      </c>
      <c r="L255" s="1949"/>
      <c r="M255" s="1951"/>
    </row>
    <row r="256" spans="1:20" x14ac:dyDescent="0.25">
      <c r="A256" s="58" t="str">
        <f>$E246</f>
        <v>GENERAL SERVICE 3,000 TO 4,999 KW SERVICE CLASSIFICATION</v>
      </c>
      <c r="C256" s="357"/>
      <c r="D256" s="68" t="s">
        <v>348</v>
      </c>
      <c r="E256" s="322"/>
      <c r="F256" s="345">
        <v>705.89</v>
      </c>
      <c r="G256" s="304">
        <v>1</v>
      </c>
      <c r="H256" s="346">
        <f>G256*F256</f>
        <v>705.89</v>
      </c>
      <c r="I256" s="982">
        <v>717.89</v>
      </c>
      <c r="J256" s="989">
        <f>G256</f>
        <v>1</v>
      </c>
      <c r="K256" s="988">
        <f>J256*I256</f>
        <v>717.89</v>
      </c>
      <c r="L256" s="329">
        <f t="shared" ref="L256:L277" si="38">K256-H256</f>
        <v>12</v>
      </c>
      <c r="M256" s="347">
        <f>IF(ISERROR(L256/H256), "", L256/H256)</f>
        <v>1.699981583532845E-2</v>
      </c>
    </row>
    <row r="257" spans="1:14" x14ac:dyDescent="0.25">
      <c r="A257" s="58" t="str">
        <f>A256</f>
        <v>GENERAL SERVICE 3,000 TO 4,999 KW SERVICE CLASSIFICATION</v>
      </c>
      <c r="C257" s="357"/>
      <c r="D257" s="68" t="s">
        <v>80</v>
      </c>
      <c r="E257" s="322"/>
      <c r="F257" s="326">
        <v>3.2704</v>
      </c>
      <c r="G257" s="304">
        <f>IF($E249&gt;0, $E249, $E248)</f>
        <v>3600</v>
      </c>
      <c r="H257" s="346">
        <f t="shared" ref="H257:H269" si="39">G257*F257</f>
        <v>11773.44</v>
      </c>
      <c r="I257" s="983">
        <v>3.3260000000000001</v>
      </c>
      <c r="J257" s="989">
        <f>IF($E249&gt;0, $E249, $E248)</f>
        <v>3600</v>
      </c>
      <c r="K257" s="988">
        <f>J257*I257</f>
        <v>11973.6</v>
      </c>
      <c r="L257" s="329">
        <f t="shared" si="38"/>
        <v>200.15999999999985</v>
      </c>
      <c r="M257" s="347">
        <f t="shared" ref="M257:M267" si="40">IF(ISERROR(L257/H257), "", L257/H257)</f>
        <v>1.7000978473581198E-2</v>
      </c>
    </row>
    <row r="258" spans="1:14" hidden="1" x14ac:dyDescent="0.25">
      <c r="A258" s="58" t="str">
        <f t="shared" ref="A258:A299" si="41">A257</f>
        <v>GENERAL SERVICE 3,000 TO 4,999 KW SERVICE CLASSIFICATION</v>
      </c>
      <c r="C258" s="357"/>
      <c r="D258" s="68" t="s">
        <v>4311</v>
      </c>
      <c r="E258" s="322"/>
      <c r="F258" s="326"/>
      <c r="G258" s="304">
        <f>IF($E249&gt;0, $E249, $E248)</f>
        <v>3600</v>
      </c>
      <c r="H258" s="346">
        <v>0</v>
      </c>
      <c r="I258" s="983"/>
      <c r="J258" s="989">
        <f>IF($E249&gt;0, $E249, $E248)</f>
        <v>3600</v>
      </c>
      <c r="K258" s="988">
        <v>0</v>
      </c>
      <c r="L258" s="329"/>
      <c r="M258" s="347"/>
    </row>
    <row r="259" spans="1:14" hidden="1" x14ac:dyDescent="0.25">
      <c r="A259" s="58" t="str">
        <f t="shared" si="41"/>
        <v>GENERAL SERVICE 3,000 TO 4,999 KW SERVICE CLASSIFICATION</v>
      </c>
      <c r="C259" s="357"/>
      <c r="D259" s="68" t="s">
        <v>3743</v>
      </c>
      <c r="E259" s="322"/>
      <c r="F259" s="326"/>
      <c r="G259" s="304">
        <f>IF($E249&gt;0, $E249, $E248)</f>
        <v>3600</v>
      </c>
      <c r="H259" s="346">
        <v>0</v>
      </c>
      <c r="I259" s="983"/>
      <c r="J259" s="992">
        <f>IF($E249&gt;0, $E249, $E248)</f>
        <v>3600</v>
      </c>
      <c r="K259" s="988">
        <v>0</v>
      </c>
      <c r="L259" s="329">
        <f>K259-H259</f>
        <v>0</v>
      </c>
      <c r="M259" s="347" t="str">
        <f>IF(ISERROR(L259/H259), "", L259/H259)</f>
        <v/>
      </c>
    </row>
    <row r="260" spans="1:14" x14ac:dyDescent="0.25">
      <c r="A260" s="58" t="str">
        <f t="shared" si="41"/>
        <v>GENERAL SERVICE 3,000 TO 4,999 KW SERVICE CLASSIFICATION</v>
      </c>
      <c r="C260" s="357"/>
      <c r="D260" s="69" t="s">
        <v>358</v>
      </c>
      <c r="E260" s="322"/>
      <c r="F260" s="345">
        <v>0</v>
      </c>
      <c r="G260" s="304">
        <v>1</v>
      </c>
      <c r="H260" s="346">
        <f t="shared" si="39"/>
        <v>0</v>
      </c>
      <c r="I260" s="982">
        <v>0</v>
      </c>
      <c r="J260" s="989">
        <f>G260</f>
        <v>1</v>
      </c>
      <c r="K260" s="988">
        <f t="shared" ref="K260:K267" si="42">J260*I260</f>
        <v>0</v>
      </c>
      <c r="L260" s="329">
        <f t="shared" si="38"/>
        <v>0</v>
      </c>
      <c r="M260" s="347" t="str">
        <f t="shared" si="40"/>
        <v/>
      </c>
    </row>
    <row r="261" spans="1:14" x14ac:dyDescent="0.25">
      <c r="A261" s="58" t="str">
        <f t="shared" si="41"/>
        <v>GENERAL SERVICE 3,000 TO 4,999 KW SERVICE CLASSIFICATION</v>
      </c>
      <c r="C261" s="357"/>
      <c r="D261" s="68" t="s">
        <v>359</v>
      </c>
      <c r="E261" s="322"/>
      <c r="F261" s="326">
        <v>-0.38520000000000004</v>
      </c>
      <c r="G261" s="304">
        <f>IF($E249&gt;0, $E249, $E248)</f>
        <v>3600</v>
      </c>
      <c r="H261" s="346">
        <f t="shared" si="39"/>
        <v>-1386.7200000000003</v>
      </c>
      <c r="I261" s="983">
        <v>-8.3100000000000007E-2</v>
      </c>
      <c r="J261" s="989">
        <f>IF($E249&gt;0, $E249, $E248)</f>
        <v>3600</v>
      </c>
      <c r="K261" s="988">
        <f t="shared" si="42"/>
        <v>-299.16000000000003</v>
      </c>
      <c r="L261" s="329">
        <f t="shared" si="38"/>
        <v>1087.5600000000002</v>
      </c>
      <c r="M261" s="347">
        <f t="shared" si="40"/>
        <v>-0.78426791277258567</v>
      </c>
    </row>
    <row r="262" spans="1:14" x14ac:dyDescent="0.25">
      <c r="A262" s="58" t="str">
        <f t="shared" si="41"/>
        <v>GENERAL SERVICE 3,000 TO 4,999 KW SERVICE CLASSIFICATION</v>
      </c>
      <c r="B262" s="280" t="s">
        <v>1434</v>
      </c>
      <c r="C262" s="357">
        <f>B33</f>
        <v>4</v>
      </c>
      <c r="D262" s="281" t="s">
        <v>349</v>
      </c>
      <c r="E262" s="282"/>
      <c r="F262" s="348"/>
      <c r="G262" s="717"/>
      <c r="H262" s="718">
        <f>SUM(H256:H261)</f>
        <v>11092.61</v>
      </c>
      <c r="I262" s="349"/>
      <c r="J262" s="289"/>
      <c r="K262" s="718">
        <f>SUM(K256:K261)</f>
        <v>12392.33</v>
      </c>
      <c r="L262" s="283">
        <f t="shared" si="38"/>
        <v>1299.7199999999993</v>
      </c>
      <c r="M262" s="284">
        <f>IF((H262)=0,"",(L262/H262))</f>
        <v>0.1171698995998236</v>
      </c>
    </row>
    <row r="263" spans="1:14" x14ac:dyDescent="0.25">
      <c r="A263" s="58" t="str">
        <f t="shared" si="41"/>
        <v>GENERAL SERVICE 3,000 TO 4,999 KW SERVICE CLASSIFICATION</v>
      </c>
      <c r="C263" s="357"/>
      <c r="D263" s="72" t="s">
        <v>421</v>
      </c>
      <c r="E263" s="322"/>
      <c r="F263" s="326">
        <f>IF((E248*12&gt;=150000), 0, IF(E247="RPP",(F279*0.64+F280*0.18+F281*0.18),IF(E247="Non-RPP (Retailer)",F282,F283)))</f>
        <v>0</v>
      </c>
      <c r="G263" s="332">
        <f>IF(F263=0, 0, $E248*E250-E248)</f>
        <v>0</v>
      </c>
      <c r="H263" s="346">
        <f>G263*F263</f>
        <v>0</v>
      </c>
      <c r="I263" s="983">
        <f>IF((E248*12&gt;=150000), 0, IF(E247="RPP",(I279*0.64+I280*0.18+I281*0.18),IF(E247="Non-RPP (Retailer)",I282,I283)))</f>
        <v>0</v>
      </c>
      <c r="J263" s="987">
        <f>IF(I263=0, 0, E248*E251-E248)</f>
        <v>0</v>
      </c>
      <c r="K263" s="988">
        <f>J263*I263</f>
        <v>0</v>
      </c>
      <c r="L263" s="329">
        <f>K263-H263</f>
        <v>0</v>
      </c>
      <c r="M263" s="347" t="str">
        <f>IF(ISERROR(L263/H263), "", L263/H263)</f>
        <v/>
      </c>
    </row>
    <row r="264" spans="1:14" ht="26.4" x14ac:dyDescent="0.25">
      <c r="A264" s="58" t="str">
        <f t="shared" si="41"/>
        <v>GENERAL SERVICE 3,000 TO 4,999 KW SERVICE CLASSIFICATION</v>
      </c>
      <c r="C264" s="357"/>
      <c r="D264" s="72" t="s">
        <v>357</v>
      </c>
      <c r="E264" s="322"/>
      <c r="F264" s="326">
        <v>0</v>
      </c>
      <c r="G264" s="333">
        <f>IF($E249&gt;0, $E249, $E248)</f>
        <v>3600</v>
      </c>
      <c r="H264" s="346">
        <f t="shared" si="39"/>
        <v>0</v>
      </c>
      <c r="I264" s="983">
        <v>0</v>
      </c>
      <c r="J264" s="991">
        <f>IF($E249&gt;0, $E249, $E248)</f>
        <v>3600</v>
      </c>
      <c r="K264" s="988">
        <f t="shared" si="42"/>
        <v>0</v>
      </c>
      <c r="L264" s="329">
        <f t="shared" si="38"/>
        <v>0</v>
      </c>
      <c r="M264" s="347" t="str">
        <f t="shared" si="40"/>
        <v/>
      </c>
    </row>
    <row r="265" spans="1:14" x14ac:dyDescent="0.25">
      <c r="A265" s="58" t="str">
        <f t="shared" si="41"/>
        <v>GENERAL SERVICE 3,000 TO 4,999 KW SERVICE CLASSIFICATION</v>
      </c>
      <c r="C265" s="357"/>
      <c r="D265" s="72" t="s">
        <v>2299</v>
      </c>
      <c r="E265" s="322"/>
      <c r="F265" s="326">
        <v>0</v>
      </c>
      <c r="G265" s="333">
        <f>IF($E249&gt;0, $E249, $E248)</f>
        <v>3600</v>
      </c>
      <c r="H265" s="346">
        <f>G265*F265</f>
        <v>0</v>
      </c>
      <c r="I265" s="983">
        <v>0</v>
      </c>
      <c r="J265" s="991">
        <f>IF($E249&gt;0, $E249, $E248)</f>
        <v>3600</v>
      </c>
      <c r="K265" s="988">
        <f>J265*I265</f>
        <v>0</v>
      </c>
      <c r="L265" s="329">
        <f t="shared" si="38"/>
        <v>0</v>
      </c>
      <c r="M265" s="347" t="str">
        <f t="shared" si="40"/>
        <v/>
      </c>
    </row>
    <row r="266" spans="1:14" x14ac:dyDescent="0.25">
      <c r="A266" s="58" t="str">
        <f t="shared" si="41"/>
        <v>GENERAL SERVICE 3,000 TO 4,999 KW SERVICE CLASSIFICATION</v>
      </c>
      <c r="C266" s="357"/>
      <c r="D266" s="72" t="s">
        <v>1953</v>
      </c>
      <c r="E266" s="322"/>
      <c r="F266" s="326">
        <v>0</v>
      </c>
      <c r="G266" s="333">
        <f>E248</f>
        <v>1507000</v>
      </c>
      <c r="H266" s="346">
        <f>G266*F266</f>
        <v>0</v>
      </c>
      <c r="I266" s="983">
        <v>0</v>
      </c>
      <c r="J266" s="991">
        <f>E248</f>
        <v>1507000</v>
      </c>
      <c r="K266" s="988">
        <f t="shared" si="42"/>
        <v>0</v>
      </c>
      <c r="L266" s="329">
        <f t="shared" si="38"/>
        <v>0</v>
      </c>
      <c r="M266" s="347" t="str">
        <f t="shared" si="40"/>
        <v/>
      </c>
    </row>
    <row r="267" spans="1:14" x14ac:dyDescent="0.25">
      <c r="A267" s="58" t="str">
        <f t="shared" si="41"/>
        <v>GENERAL SERVICE 3,000 TO 4,999 KW SERVICE CLASSIFICATION</v>
      </c>
      <c r="C267" s="357"/>
      <c r="D267" s="74" t="s">
        <v>141</v>
      </c>
      <c r="E267" s="322"/>
      <c r="F267" s="326">
        <v>1.1778</v>
      </c>
      <c r="G267" s="333">
        <f>IF($E249&gt;0, $E249, $E248)</f>
        <v>3600</v>
      </c>
      <c r="H267" s="346">
        <f t="shared" si="39"/>
        <v>4240.08</v>
      </c>
      <c r="I267" s="983">
        <v>1.1778</v>
      </c>
      <c r="J267" s="991">
        <f>IF($E249&gt;0, $E249, $E248)</f>
        <v>3600</v>
      </c>
      <c r="K267" s="988">
        <f t="shared" si="42"/>
        <v>4240.08</v>
      </c>
      <c r="L267" s="329">
        <f t="shared" si="38"/>
        <v>0</v>
      </c>
      <c r="M267" s="347">
        <f t="shared" si="40"/>
        <v>0</v>
      </c>
    </row>
    <row r="268" spans="1:14" ht="26.4" x14ac:dyDescent="0.25">
      <c r="A268" s="58" t="str">
        <f t="shared" si="41"/>
        <v>GENERAL SERVICE 3,000 TO 4,999 KW SERVICE CLASSIFICATION</v>
      </c>
      <c r="C268" s="357"/>
      <c r="D268" s="391" t="s">
        <v>4312</v>
      </c>
      <c r="E268" s="322"/>
      <c r="F268" s="768">
        <f>IF(OR(ISNUMBER(SEARCH("RESIDENTIAL", E246))=TRUE, ISNUMBER(SEARCH("GENERAL SERVICE LESS THAN 50", E246))=TRUE), SME, 0)</f>
        <v>0</v>
      </c>
      <c r="G268" s="304">
        <v>1</v>
      </c>
      <c r="H268" s="346">
        <f>G268*F268</f>
        <v>0</v>
      </c>
      <c r="I268" s="984">
        <f>IF(OR(ISNUMBER(SEARCH("RESIDENTIAL", E246))=TRUE, ISNUMBER(SEARCH("GENERAL SERVICE LESS THAN 50", E246))=TRUE), SME, 0)</f>
        <v>0</v>
      </c>
      <c r="J268" s="992">
        <v>1</v>
      </c>
      <c r="K268" s="988">
        <f>J268*I268</f>
        <v>0</v>
      </c>
      <c r="L268" s="329">
        <f t="shared" si="38"/>
        <v>0</v>
      </c>
      <c r="M268" s="347" t="str">
        <f>IF(ISERROR(L268/H268), "", L268/H268)</f>
        <v/>
      </c>
    </row>
    <row r="269" spans="1:14" x14ac:dyDescent="0.25">
      <c r="A269" s="58" t="str">
        <f t="shared" si="41"/>
        <v>GENERAL SERVICE 3,000 TO 4,999 KW SERVICE CLASSIFICATION</v>
      </c>
      <c r="C269" s="357"/>
      <c r="D269" s="74" t="s">
        <v>3742</v>
      </c>
      <c r="E269" s="322"/>
      <c r="F269" s="345">
        <v>0</v>
      </c>
      <c r="G269" s="304">
        <v>1</v>
      </c>
      <c r="H269" s="346">
        <f t="shared" si="39"/>
        <v>0</v>
      </c>
      <c r="I269" s="982">
        <v>0</v>
      </c>
      <c r="J269" s="992">
        <v>1</v>
      </c>
      <c r="K269" s="988">
        <f>J269*I269</f>
        <v>0</v>
      </c>
      <c r="L269" s="329">
        <f>K269-H269</f>
        <v>0</v>
      </c>
      <c r="M269" s="347" t="str">
        <f>IF(ISERROR(L269/H269), "", L269/H269)</f>
        <v/>
      </c>
    </row>
    <row r="270" spans="1:14" x14ac:dyDescent="0.25">
      <c r="A270" s="58" t="str">
        <f t="shared" si="41"/>
        <v>GENERAL SERVICE 3,000 TO 4,999 KW SERVICE CLASSIFICATION</v>
      </c>
      <c r="C270" s="357"/>
      <c r="D270" s="74" t="s">
        <v>3741</v>
      </c>
      <c r="E270" s="322"/>
      <c r="F270" s="326">
        <v>0</v>
      </c>
      <c r="G270" s="333">
        <f>IF($E249&gt;0, $E249, $E248)</f>
        <v>3600</v>
      </c>
      <c r="H270" s="346">
        <f>G270*F270</f>
        <v>0</v>
      </c>
      <c r="I270" s="983">
        <v>0</v>
      </c>
      <c r="J270" s="991">
        <f>IF($E249&gt;0, $E249, $E248)</f>
        <v>3600</v>
      </c>
      <c r="K270" s="988">
        <f>J270*I270</f>
        <v>0</v>
      </c>
      <c r="L270" s="329">
        <f t="shared" si="38"/>
        <v>0</v>
      </c>
      <c r="M270" s="347" t="str">
        <f>IF(ISERROR(L270/H270), "", L270/H270)</f>
        <v/>
      </c>
    </row>
    <row r="271" spans="1:14" ht="26.4" x14ac:dyDescent="0.25">
      <c r="A271" s="58" t="str">
        <f t="shared" si="41"/>
        <v>GENERAL SERVICE 3,000 TO 4,999 KW SERVICE CLASSIFICATION</v>
      </c>
      <c r="B271" s="783" t="s">
        <v>1435</v>
      </c>
      <c r="C271" s="357">
        <f>B33</f>
        <v>4</v>
      </c>
      <c r="D271" s="286" t="s">
        <v>1466</v>
      </c>
      <c r="E271" s="287"/>
      <c r="F271" s="323"/>
      <c r="G271" s="330"/>
      <c r="H271" s="288">
        <f>SUM(H262:H270)</f>
        <v>15332.69</v>
      </c>
      <c r="I271" s="324"/>
      <c r="J271" s="331"/>
      <c r="K271" s="288">
        <f>SUM(K262:K270)</f>
        <v>16632.41</v>
      </c>
      <c r="L271" s="283">
        <f t="shared" si="38"/>
        <v>1299.7199999999993</v>
      </c>
      <c r="M271" s="284">
        <f>IF((H271)=0,"",(L271/H271))</f>
        <v>8.4767904392510335E-2</v>
      </c>
    </row>
    <row r="272" spans="1:14" x14ac:dyDescent="0.25">
      <c r="A272" s="58" t="str">
        <f t="shared" si="41"/>
        <v>GENERAL SERVICE 3,000 TO 4,999 KW SERVICE CLASSIFICATION</v>
      </c>
      <c r="C272" s="357"/>
      <c r="D272" s="76" t="s">
        <v>351</v>
      </c>
      <c r="E272" s="322"/>
      <c r="F272" s="326">
        <v>2.7305000000000001</v>
      </c>
      <c r="G272" s="332">
        <f>IF($E249&gt;0, $E249, $E248*$E250)</f>
        <v>3600</v>
      </c>
      <c r="H272" s="346">
        <f>G272*F272</f>
        <v>9829.8000000000011</v>
      </c>
      <c r="I272" s="325">
        <v>2.6800999999999999</v>
      </c>
      <c r="J272" s="987">
        <f>IF($E249&gt;0, $E249, $E248*$E251)</f>
        <v>3600</v>
      </c>
      <c r="K272" s="988">
        <f>J272*I272</f>
        <v>9648.36</v>
      </c>
      <c r="L272" s="329">
        <f t="shared" si="38"/>
        <v>-181.44000000000051</v>
      </c>
      <c r="M272" s="347">
        <f>IF(ISERROR(L272/H272), "", L272/H272)</f>
        <v>-1.84581578465483E-2</v>
      </c>
      <c r="N272" s="1090" t="str">
        <f>IF(ISERROR(ABS(M272)), "", IF(ABS(M272)&gt;=4%, "In the manager's summary, discuss the reasoning for the change in RTSR rates", ""))</f>
        <v/>
      </c>
    </row>
    <row r="273" spans="1:14" ht="26.4" x14ac:dyDescent="0.25">
      <c r="A273" s="58" t="str">
        <f t="shared" si="41"/>
        <v>GENERAL SERVICE 3,000 TO 4,999 KW SERVICE CLASSIFICATION</v>
      </c>
      <c r="C273" s="357"/>
      <c r="D273" s="169" t="s">
        <v>361</v>
      </c>
      <c r="E273" s="322"/>
      <c r="F273" s="326">
        <v>2.3595000000000002</v>
      </c>
      <c r="G273" s="332">
        <f>IF($E249&gt;0, $E249, $E248*$E250)</f>
        <v>3600</v>
      </c>
      <c r="H273" s="346">
        <f>G273*F273</f>
        <v>8494.2000000000007</v>
      </c>
      <c r="I273" s="325">
        <v>2.3031000000000001</v>
      </c>
      <c r="J273" s="987">
        <f>IF($E249&gt;0, $E249, $E248*$E251)</f>
        <v>3600</v>
      </c>
      <c r="K273" s="988">
        <f>J273*I273</f>
        <v>8291.16</v>
      </c>
      <c r="L273" s="329">
        <f t="shared" si="38"/>
        <v>-203.04000000000087</v>
      </c>
      <c r="M273" s="347">
        <f>IF(ISERROR(L273/H273), "", L273/H273)</f>
        <v>-2.3903369357914914E-2</v>
      </c>
      <c r="N273" s="1090" t="str">
        <f>IF(ISERROR(ABS(M273)), "", IF(ABS(M273)&gt;=4%, "In the manager's summary, discuss the reasoning for the change in RTSR rates", ""))</f>
        <v/>
      </c>
    </row>
    <row r="274" spans="1:14" ht="26.4" x14ac:dyDescent="0.25">
      <c r="A274" s="58" t="str">
        <f t="shared" si="41"/>
        <v>GENERAL SERVICE 3,000 TO 4,999 KW SERVICE CLASSIFICATION</v>
      </c>
      <c r="B274" s="783" t="s">
        <v>1436</v>
      </c>
      <c r="C274" s="357">
        <f>B33</f>
        <v>4</v>
      </c>
      <c r="D274" s="286" t="s">
        <v>1467</v>
      </c>
      <c r="E274" s="282"/>
      <c r="F274" s="323"/>
      <c r="G274" s="330"/>
      <c r="H274" s="288">
        <f>SUM(H271:H273)</f>
        <v>33656.69</v>
      </c>
      <c r="I274" s="324"/>
      <c r="J274" s="289"/>
      <c r="K274" s="288">
        <f>SUM(K271:K273)</f>
        <v>34571.93</v>
      </c>
      <c r="L274" s="283">
        <f t="shared" si="38"/>
        <v>915.23999999999796</v>
      </c>
      <c r="M274" s="284">
        <f>IF((H274)=0,"",(L274/H274))</f>
        <v>2.7193404936730198E-2</v>
      </c>
    </row>
    <row r="275" spans="1:14" ht="26.4" x14ac:dyDescent="0.25">
      <c r="A275" s="58" t="str">
        <f t="shared" si="41"/>
        <v>GENERAL SERVICE 3,000 TO 4,999 KW SERVICE CLASSIFICATION</v>
      </c>
      <c r="C275" s="357"/>
      <c r="D275" s="290" t="s">
        <v>352</v>
      </c>
      <c r="E275" s="322"/>
      <c r="F275" s="326">
        <f>IF(AND('1. Information Sheet'!$F$26:$H$26&gt;='17. Regulatory Charges'!$D$14,'1. Information Sheet'!$F$26:$H$26&lt;'17. Regulatory Charges'!$E$14),'17. Regulatory Charges'!$D$15+'17. Regulatory Charges'!$D$16,'17. Regulatory Charges'!$E$15+'17. Regulatory Charges'!$E$16)</f>
        <v>3.4000000000000002E-3</v>
      </c>
      <c r="G275" s="332">
        <f>E248*E250</f>
        <v>1575267.0999999999</v>
      </c>
      <c r="H275" s="334">
        <f t="shared" ref="H275:H281" si="43">G275*F275</f>
        <v>5355.9081399999995</v>
      </c>
      <c r="I275" s="983">
        <f>'17. Regulatory Charges'!$E$15+'17. Regulatory Charges'!$E$16</f>
        <v>3.4000000000000002E-3</v>
      </c>
      <c r="J275" s="987">
        <f>E248*E251</f>
        <v>1575267.0999999999</v>
      </c>
      <c r="K275" s="988">
        <f t="shared" ref="K275:K281" si="44">J275*I275</f>
        <v>5355.9081399999995</v>
      </c>
      <c r="L275" s="329">
        <f t="shared" si="38"/>
        <v>0</v>
      </c>
      <c r="M275" s="347">
        <f t="shared" ref="M275:M283" si="45">IF(ISERROR(L275/H275), "", L275/H275)</f>
        <v>0</v>
      </c>
    </row>
    <row r="276" spans="1:14" ht="26.4" x14ac:dyDescent="0.25">
      <c r="A276" s="58" t="str">
        <f t="shared" si="41"/>
        <v>GENERAL SERVICE 3,000 TO 4,999 KW SERVICE CLASSIFICATION</v>
      </c>
      <c r="C276" s="357"/>
      <c r="D276" s="290" t="s">
        <v>353</v>
      </c>
      <c r="E276" s="322"/>
      <c r="F276" s="326">
        <f>IF(AND('1. Information Sheet'!$F$26:$H$26&gt;='17. Regulatory Charges'!$D$14,'1. Information Sheet'!$F$26:$H$26&lt;'17. Regulatory Charges'!$D$14),'17. Regulatory Charges'!$D$17,'17. Regulatory Charges'!$E$17)</f>
        <v>5.0000000000000001E-4</v>
      </c>
      <c r="G276" s="332">
        <f>E248*E250</f>
        <v>1575267.0999999999</v>
      </c>
      <c r="H276" s="334">
        <f t="shared" si="43"/>
        <v>787.6335499999999</v>
      </c>
      <c r="I276" s="983">
        <f>'17. Regulatory Charges'!$E$17</f>
        <v>5.0000000000000001E-4</v>
      </c>
      <c r="J276" s="987">
        <f>E248*E251</f>
        <v>1575267.0999999999</v>
      </c>
      <c r="K276" s="988">
        <f t="shared" si="44"/>
        <v>787.6335499999999</v>
      </c>
      <c r="L276" s="329">
        <f t="shared" si="38"/>
        <v>0</v>
      </c>
      <c r="M276" s="347">
        <f t="shared" si="45"/>
        <v>0</v>
      </c>
    </row>
    <row r="277" spans="1:14" x14ac:dyDescent="0.25">
      <c r="A277" s="58" t="str">
        <f t="shared" si="41"/>
        <v>GENERAL SERVICE 3,000 TO 4,999 KW SERVICE CLASSIFICATION</v>
      </c>
      <c r="C277" s="357"/>
      <c r="D277" s="279" t="s">
        <v>354</v>
      </c>
      <c r="E277" s="322"/>
      <c r="F277" s="768">
        <f>IF(AND('1. Information Sheet'!$F$26:$H$26&gt;='17. Regulatory Charges'!$D$14,'1. Information Sheet'!$F$26:$H$26&lt;'17. Regulatory Charges'!$D$14),'17. Regulatory Charges'!$D$18,'17. Regulatory Charges'!$E$18)</f>
        <v>0.25</v>
      </c>
      <c r="G277" s="304">
        <v>1</v>
      </c>
      <c r="H277" s="334">
        <f t="shared" si="43"/>
        <v>0.25</v>
      </c>
      <c r="I277" s="984">
        <f>'17. Regulatory Charges'!$E$18</f>
        <v>0.25</v>
      </c>
      <c r="J277" s="989">
        <v>1</v>
      </c>
      <c r="K277" s="988">
        <f t="shared" si="44"/>
        <v>0.25</v>
      </c>
      <c r="L277" s="329">
        <f t="shared" si="38"/>
        <v>0</v>
      </c>
      <c r="M277" s="347">
        <f t="shared" si="45"/>
        <v>0</v>
      </c>
    </row>
    <row r="278" spans="1:14" ht="26.4" hidden="1" x14ac:dyDescent="0.25">
      <c r="A278" s="58" t="str">
        <f t="shared" si="41"/>
        <v>GENERAL SERVICE 3,000 TO 4,999 KW SERVICE CLASSIFICATION</v>
      </c>
      <c r="C278" s="357"/>
      <c r="D278" s="290" t="s">
        <v>1468</v>
      </c>
      <c r="E278" s="322"/>
      <c r="F278" s="326"/>
      <c r="G278" s="332"/>
      <c r="H278" s="334"/>
      <c r="I278" s="983"/>
      <c r="J278" s="987"/>
      <c r="K278" s="988"/>
      <c r="L278" s="329"/>
      <c r="M278" s="347"/>
    </row>
    <row r="279" spans="1:14" hidden="1" x14ac:dyDescent="0.25">
      <c r="A279" s="58" t="str">
        <f t="shared" si="41"/>
        <v>GENERAL SERVICE 3,000 TO 4,999 KW SERVICE CLASSIFICATION</v>
      </c>
      <c r="B279" s="783" t="s">
        <v>1427</v>
      </c>
      <c r="C279" s="357"/>
      <c r="D279" s="285" t="s">
        <v>220</v>
      </c>
      <c r="E279" s="322"/>
      <c r="F279" s="327">
        <f>OffPeak</f>
        <v>0.105</v>
      </c>
      <c r="G279" s="291">
        <f>IF(AND(E248*12&gt;=150000),0.64*E248*E250,0.64*E248)</f>
        <v>1008170.9439999999</v>
      </c>
      <c r="H279" s="334">
        <f t="shared" si="43"/>
        <v>105857.94911999999</v>
      </c>
      <c r="I279" s="985">
        <f>OffPeak</f>
        <v>0.105</v>
      </c>
      <c r="J279" s="990">
        <f>IF(AND(E248*12&gt;=150000),0.64*E248*E251,0.64*E248)</f>
        <v>1008170.9439999999</v>
      </c>
      <c r="K279" s="988">
        <f t="shared" si="44"/>
        <v>105857.94911999999</v>
      </c>
      <c r="L279" s="329">
        <f>K279-H279</f>
        <v>0</v>
      </c>
      <c r="M279" s="347">
        <f t="shared" si="45"/>
        <v>0</v>
      </c>
    </row>
    <row r="280" spans="1:14" hidden="1" x14ac:dyDescent="0.25">
      <c r="A280" s="58" t="str">
        <f t="shared" si="41"/>
        <v>GENERAL SERVICE 3,000 TO 4,999 KW SERVICE CLASSIFICATION</v>
      </c>
      <c r="B280" s="783" t="s">
        <v>1427</v>
      </c>
      <c r="C280" s="357"/>
      <c r="D280" s="285" t="s">
        <v>221</v>
      </c>
      <c r="E280" s="322"/>
      <c r="F280" s="327">
        <f>MidPeak</f>
        <v>0.15</v>
      </c>
      <c r="G280" s="291">
        <f>IF(AND(E248*12&gt;=150000),0.18*E248*E250,0.18*E248)</f>
        <v>283548.07799999998</v>
      </c>
      <c r="H280" s="334">
        <f t="shared" si="43"/>
        <v>42532.211699999993</v>
      </c>
      <c r="I280" s="985">
        <f>MidPeak</f>
        <v>0.15</v>
      </c>
      <c r="J280" s="990">
        <f>IF(AND(E248*12&gt;=150000),0.18*E248*E251,0.18*E248)</f>
        <v>283548.07799999998</v>
      </c>
      <c r="K280" s="988">
        <f t="shared" si="44"/>
        <v>42532.211699999993</v>
      </c>
      <c r="L280" s="329">
        <f>K280-H280</f>
        <v>0</v>
      </c>
      <c r="M280" s="347">
        <f t="shared" si="45"/>
        <v>0</v>
      </c>
    </row>
    <row r="281" spans="1:14" hidden="1" x14ac:dyDescent="0.25">
      <c r="A281" s="58" t="str">
        <f t="shared" si="41"/>
        <v>GENERAL SERVICE 3,000 TO 4,999 KW SERVICE CLASSIFICATION</v>
      </c>
      <c r="B281" s="783" t="s">
        <v>1427</v>
      </c>
      <c r="C281" s="357"/>
      <c r="D281" s="783" t="s">
        <v>222</v>
      </c>
      <c r="E281" s="322"/>
      <c r="F281" s="327">
        <f>OnPeak</f>
        <v>0.217</v>
      </c>
      <c r="G281" s="291">
        <f>IF(AND(E248*12&gt;=150000),0.18*E248*E250,0.18*E248)</f>
        <v>283548.07799999998</v>
      </c>
      <c r="H281" s="334">
        <f t="shared" si="43"/>
        <v>61529.932925999994</v>
      </c>
      <c r="I281" s="985">
        <f>OnPeak</f>
        <v>0.217</v>
      </c>
      <c r="J281" s="990">
        <f>IF(AND(E248*12&gt;=150000),0.18*E248*E251,0.18*E248)</f>
        <v>283548.07799999998</v>
      </c>
      <c r="K281" s="988">
        <f t="shared" si="44"/>
        <v>61529.932925999994</v>
      </c>
      <c r="L281" s="329">
        <f>K281-H281</f>
        <v>0</v>
      </c>
      <c r="M281" s="347">
        <f t="shared" si="45"/>
        <v>0</v>
      </c>
    </row>
    <row r="282" spans="1:14" hidden="1" x14ac:dyDescent="0.25">
      <c r="A282" s="58" t="str">
        <f t="shared" si="41"/>
        <v>GENERAL SERVICE 3,000 TO 4,999 KW SERVICE CLASSIFICATION</v>
      </c>
      <c r="B282" s="58" t="s">
        <v>1428</v>
      </c>
      <c r="C282" s="357"/>
      <c r="D282" s="285" t="s">
        <v>1437</v>
      </c>
      <c r="E282" s="322"/>
      <c r="F282" s="328">
        <v>0.1368</v>
      </c>
      <c r="G282" s="291">
        <f>IF(AND(E248*12&gt;=150000),E248*E250,E248)</f>
        <v>1575267.0999999999</v>
      </c>
      <c r="H282" s="334">
        <f>G282*F282</f>
        <v>215496.53928</v>
      </c>
      <c r="I282" s="986">
        <f>F282</f>
        <v>0.1368</v>
      </c>
      <c r="J282" s="990">
        <f>IF(AND(E248*12&gt;=150000),E248*E251,E248)</f>
        <v>1575267.0999999999</v>
      </c>
      <c r="K282" s="988">
        <f>J282*I282</f>
        <v>215496.53928</v>
      </c>
      <c r="L282" s="329">
        <f>K282-H282</f>
        <v>0</v>
      </c>
      <c r="M282" s="347">
        <f t="shared" si="45"/>
        <v>0</v>
      </c>
    </row>
    <row r="283" spans="1:14" ht="13.8" thickBot="1" x14ac:dyDescent="0.3">
      <c r="A283" s="58" t="str">
        <f t="shared" si="41"/>
        <v>GENERAL SERVICE 3,000 TO 4,999 KW SERVICE CLASSIFICATION</v>
      </c>
      <c r="B283" s="58" t="s">
        <v>1429</v>
      </c>
      <c r="C283" s="357"/>
      <c r="D283" s="285" t="s">
        <v>1438</v>
      </c>
      <c r="E283" s="322"/>
      <c r="F283" s="328">
        <v>0.1368</v>
      </c>
      <c r="G283" s="291">
        <f>IF(AND(E248*12&gt;=150000),E248*E250,E248)</f>
        <v>1575267.0999999999</v>
      </c>
      <c r="H283" s="334">
        <f>G283*F283</f>
        <v>215496.53928</v>
      </c>
      <c r="I283" s="986">
        <f>F283</f>
        <v>0.1368</v>
      </c>
      <c r="J283" s="990">
        <f>IF(AND(E248*12&gt;=150000),E248*E251,E248)</f>
        <v>1575267.0999999999</v>
      </c>
      <c r="K283" s="988">
        <f>J283*I283</f>
        <v>215496.53928</v>
      </c>
      <c r="L283" s="329">
        <f>K283-H283</f>
        <v>0</v>
      </c>
      <c r="M283" s="347">
        <f t="shared" si="45"/>
        <v>0</v>
      </c>
    </row>
    <row r="284" spans="1:14" ht="13.8" thickBot="1" x14ac:dyDescent="0.3">
      <c r="A284" s="58" t="str">
        <f t="shared" si="41"/>
        <v>GENERAL SERVICE 3,000 TO 4,999 KW SERVICE CLASSIFICATION</v>
      </c>
      <c r="B284" s="783"/>
      <c r="C284" s="357"/>
      <c r="D284" s="292"/>
      <c r="E284" s="293"/>
      <c r="F284" s="335"/>
      <c r="G284" s="216"/>
      <c r="H284" s="336"/>
      <c r="I284" s="335"/>
      <c r="J284" s="337"/>
      <c r="K284" s="336"/>
      <c r="L284" s="338"/>
      <c r="M284" s="219"/>
    </row>
    <row r="285" spans="1:14" hidden="1" x14ac:dyDescent="0.25">
      <c r="A285" s="58" t="str">
        <f t="shared" si="41"/>
        <v>GENERAL SERVICE 3,000 TO 4,999 KW SERVICE CLASSIFICATION</v>
      </c>
      <c r="B285" s="783" t="s">
        <v>1427</v>
      </c>
      <c r="C285" s="357"/>
      <c r="D285" s="296" t="s">
        <v>356</v>
      </c>
      <c r="E285" s="279"/>
      <c r="F285" s="311"/>
      <c r="G285" s="339"/>
      <c r="H285" s="297">
        <f>SUM(H275:H281,H274)</f>
        <v>249720.57543599996</v>
      </c>
      <c r="I285" s="298"/>
      <c r="J285" s="298"/>
      <c r="K285" s="297">
        <f>SUM(K275:K281,K274)</f>
        <v>250635.81543599995</v>
      </c>
      <c r="L285" s="299">
        <f>K285-H285</f>
        <v>915.23999999999069</v>
      </c>
      <c r="M285" s="300">
        <f>IF((H285)=0,"",(L285/H285))</f>
        <v>3.6650564271767604E-3</v>
      </c>
    </row>
    <row r="286" spans="1:14" hidden="1" x14ac:dyDescent="0.25">
      <c r="A286" s="58" t="str">
        <f t="shared" si="41"/>
        <v>GENERAL SERVICE 3,000 TO 4,999 KW SERVICE CLASSIFICATION</v>
      </c>
      <c r="B286" s="783" t="s">
        <v>1427</v>
      </c>
      <c r="C286" s="357"/>
      <c r="D286" s="301" t="s">
        <v>148</v>
      </c>
      <c r="E286" s="279"/>
      <c r="F286" s="311">
        <v>0.13</v>
      </c>
      <c r="G286" s="340"/>
      <c r="H286" s="302">
        <f>H285*F286</f>
        <v>32463.674806679996</v>
      </c>
      <c r="I286" s="303">
        <v>0.13</v>
      </c>
      <c r="J286" s="304"/>
      <c r="K286" s="302">
        <f>K285*I286</f>
        <v>32582.656006679994</v>
      </c>
      <c r="L286" s="305">
        <f>K286-H286</f>
        <v>118.98119999999835</v>
      </c>
      <c r="M286" s="306">
        <f>IF((H286)=0,"",(L286/H286))</f>
        <v>3.665056427176747E-3</v>
      </c>
    </row>
    <row r="287" spans="1:14" hidden="1" x14ac:dyDescent="0.25">
      <c r="A287" s="58" t="str">
        <f t="shared" si="41"/>
        <v>GENERAL SERVICE 3,000 TO 4,999 KW SERVICE CLASSIFICATION</v>
      </c>
      <c r="B287" s="783" t="s">
        <v>1427</v>
      </c>
      <c r="C287" s="357"/>
      <c r="D287" s="301" t="s">
        <v>5907</v>
      </c>
      <c r="E287" s="279"/>
      <c r="F287" s="1238">
        <v>0.318</v>
      </c>
      <c r="G287" s="340"/>
      <c r="H287" s="302">
        <f>IF(OR(ISNUMBER(SEARCH("[DGEN]", E246))=TRUE, ISNUMBER(SEARCH("STREET LIGHT", E246))=TRUE), 0, IF(AND(E248=0, E249=0),0, IF(AND(E249=0, E248*12&gt;250000), 0, IF(AND(E248=0, E249&gt;=50), 0, IF(E248*12&lt;=250000, F287*H285*-1, IF(E249&lt;50, F287*H285*-1, 0))))))</f>
        <v>0</v>
      </c>
      <c r="I287" s="1238">
        <v>0.318</v>
      </c>
      <c r="J287" s="304"/>
      <c r="K287" s="302">
        <f>IF(OR(ISNUMBER(SEARCH("[DGEN]", E246))=TRUE, ISNUMBER(SEARCH("STREET LIGHT", E246))=TRUE), 0, IF(AND(E248=0, E249=0),0, IF(AND(E249=0, E248*12&gt;250000), 0, IF(AND(E248=0, E249&gt;=50), 0, IF(E248*12&lt;=250000, I287*K285*-1, IF(E249&lt;50, I287*K285*-1, 0))))))</f>
        <v>0</v>
      </c>
      <c r="L287" s="305">
        <f>K287-H287</f>
        <v>0</v>
      </c>
      <c r="M287" s="306"/>
    </row>
    <row r="288" spans="1:14" ht="13.8" hidden="1" thickBot="1" x14ac:dyDescent="0.3">
      <c r="A288" s="58" t="str">
        <f t="shared" si="41"/>
        <v>GENERAL SERVICE 3,000 TO 4,999 KW SERVICE CLASSIFICATION</v>
      </c>
      <c r="B288" s="783" t="s">
        <v>1439</v>
      </c>
      <c r="C288" s="357"/>
      <c r="D288" s="1943" t="s">
        <v>1440</v>
      </c>
      <c r="E288" s="1943"/>
      <c r="F288" s="341"/>
      <c r="G288" s="342"/>
      <c r="H288" s="312">
        <f>H285+H286+H287</f>
        <v>282184.25024267996</v>
      </c>
      <c r="I288" s="308"/>
      <c r="J288" s="308"/>
      <c r="K288" s="307">
        <f>K285+K286+K287</f>
        <v>283218.47144267993</v>
      </c>
      <c r="L288" s="309">
        <f>K288-H288</f>
        <v>1034.2211999999708</v>
      </c>
      <c r="M288" s="310">
        <f>IF((H288)=0,"",(L288/H288))</f>
        <v>3.6650564271766945E-3</v>
      </c>
    </row>
    <row r="289" spans="1:20" ht="13.8" hidden="1" thickBot="1" x14ac:dyDescent="0.3">
      <c r="A289" s="58" t="str">
        <f t="shared" si="41"/>
        <v>GENERAL SERVICE 3,000 TO 4,999 KW SERVICE CLASSIFICATION</v>
      </c>
      <c r="B289" s="58" t="s">
        <v>1427</v>
      </c>
      <c r="C289" s="357"/>
      <c r="D289" s="292"/>
      <c r="E289" s="293"/>
      <c r="F289" s="335"/>
      <c r="G289" s="216"/>
      <c r="H289" s="336"/>
      <c r="I289" s="335"/>
      <c r="J289" s="337"/>
      <c r="K289" s="336"/>
      <c r="L289" s="338"/>
      <c r="M289" s="219"/>
    </row>
    <row r="290" spans="1:20" hidden="1" x14ac:dyDescent="0.25">
      <c r="A290" s="58" t="str">
        <f t="shared" si="41"/>
        <v>GENERAL SERVICE 3,000 TO 4,999 KW SERVICE CLASSIFICATION</v>
      </c>
      <c r="B290" s="58" t="s">
        <v>1428</v>
      </c>
      <c r="C290" s="357"/>
      <c r="D290" s="296" t="s">
        <v>1441</v>
      </c>
      <c r="E290" s="279"/>
      <c r="F290" s="311"/>
      <c r="G290" s="339"/>
      <c r="H290" s="297">
        <f>SUM(H282,H275:H278,H274)</f>
        <v>255297.02096999998</v>
      </c>
      <c r="I290" s="298"/>
      <c r="J290" s="298"/>
      <c r="K290" s="297">
        <f>SUM(K282,K275:K278,K274)</f>
        <v>256212.26096999997</v>
      </c>
      <c r="L290" s="299">
        <f>K290-H290</f>
        <v>915.23999999999069</v>
      </c>
      <c r="M290" s="300">
        <f>IF((H290)=0,"",(L290/H290))</f>
        <v>3.585000704365997E-3</v>
      </c>
    </row>
    <row r="291" spans="1:20" hidden="1" x14ac:dyDescent="0.25">
      <c r="A291" s="58" t="str">
        <f t="shared" si="41"/>
        <v>GENERAL SERVICE 3,000 TO 4,999 KW SERVICE CLASSIFICATION</v>
      </c>
      <c r="B291" s="58" t="s">
        <v>1428</v>
      </c>
      <c r="C291" s="357"/>
      <c r="D291" s="301" t="s">
        <v>148</v>
      </c>
      <c r="E291" s="279"/>
      <c r="F291" s="311">
        <v>0.13</v>
      </c>
      <c r="G291" s="339"/>
      <c r="H291" s="302">
        <f>H290*F291</f>
        <v>33188.6127261</v>
      </c>
      <c r="I291" s="311">
        <v>0.13</v>
      </c>
      <c r="J291" s="303"/>
      <c r="K291" s="302">
        <f>K290*I291</f>
        <v>33307.593926099995</v>
      </c>
      <c r="L291" s="305">
        <f>K291-H291</f>
        <v>118.98119999999471</v>
      </c>
      <c r="M291" s="306">
        <f>IF((H291)=0,"",(L291/H291))</f>
        <v>3.5850007043658743E-3</v>
      </c>
    </row>
    <row r="292" spans="1:20" hidden="1" x14ac:dyDescent="0.25">
      <c r="A292" s="58" t="str">
        <f t="shared" si="41"/>
        <v>GENERAL SERVICE 3,000 TO 4,999 KW SERVICE CLASSIFICATION</v>
      </c>
      <c r="B292" s="58" t="s">
        <v>1428</v>
      </c>
      <c r="C292" s="357"/>
      <c r="D292" s="301" t="s">
        <v>5907</v>
      </c>
      <c r="E292" s="279"/>
      <c r="F292" s="1238">
        <v>0.318</v>
      </c>
      <c r="G292" s="339"/>
      <c r="H292" s="707">
        <f>IF(OR(ISNUMBER(SEARCH("[DGEN]", E246))=TRUE, ISNUMBER(SEARCH("STREET LIGHT", E246))=TRUE), 0, IF(AND(E248=0, E249=0),0, IF(AND(E249=0, E248*12&gt;250000), 0, IF(AND(E248=0, E249&gt;=50), 0, IF(E248*12&lt;=250000, F292*H290*-1, IF(E249&lt;50, F292*H290*-1, 0))))))</f>
        <v>0</v>
      </c>
      <c r="I292" s="1238">
        <v>0.318</v>
      </c>
      <c r="J292" s="303"/>
      <c r="K292" s="707">
        <f>IF(OR(ISNUMBER(SEARCH("[DGEN]", E246))=TRUE, ISNUMBER(SEARCH("STREET LIGHT", E246))=TRUE), 0, IF(AND(E248=0, E249=0),0, IF(AND(E249=0, E248*12&gt;250000), 0, IF(AND(E248=0, E249&gt;=50), 0, IF(E248*12&lt;=250000, I292*K290*-1, IF(E249&lt;50, I292*K290*-1, 0))))))</f>
        <v>0</v>
      </c>
      <c r="L292" s="305"/>
      <c r="M292" s="306"/>
    </row>
    <row r="293" spans="1:20" ht="13.8" hidden="1" thickBot="1" x14ac:dyDescent="0.3">
      <c r="A293" s="58" t="str">
        <f t="shared" si="41"/>
        <v>GENERAL SERVICE 3,000 TO 4,999 KW SERVICE CLASSIFICATION</v>
      </c>
      <c r="B293" s="58" t="s">
        <v>1442</v>
      </c>
      <c r="C293" s="357"/>
      <c r="D293" s="1943" t="s">
        <v>1441</v>
      </c>
      <c r="E293" s="1943"/>
      <c r="F293" s="343"/>
      <c r="G293" s="344"/>
      <c r="H293" s="312">
        <f>SUM(H290,H291)</f>
        <v>288485.63369609998</v>
      </c>
      <c r="I293" s="313"/>
      <c r="J293" s="313"/>
      <c r="K293" s="312">
        <f>SUM(K290,K291)</f>
        <v>289519.85489609995</v>
      </c>
      <c r="L293" s="314">
        <f>K293-H293</f>
        <v>1034.2211999999708</v>
      </c>
      <c r="M293" s="315">
        <f>IF((H293)=0,"",(L293/H293))</f>
        <v>3.5850007043659328E-3</v>
      </c>
    </row>
    <row r="294" spans="1:20" ht="13.8" hidden="1" thickBot="1" x14ac:dyDescent="0.3">
      <c r="A294" s="58" t="str">
        <f t="shared" si="41"/>
        <v>GENERAL SERVICE 3,000 TO 4,999 KW SERVICE CLASSIFICATION</v>
      </c>
      <c r="B294" s="58" t="s">
        <v>1428</v>
      </c>
      <c r="C294" s="357"/>
      <c r="D294" s="292"/>
      <c r="E294" s="293"/>
      <c r="F294" s="213"/>
      <c r="G294" s="214"/>
      <c r="H294" s="215"/>
      <c r="I294" s="213"/>
      <c r="J294" s="216"/>
      <c r="K294" s="215"/>
      <c r="L294" s="218"/>
      <c r="M294" s="219"/>
    </row>
    <row r="295" spans="1:20" x14ac:dyDescent="0.25">
      <c r="A295" s="58" t="str">
        <f t="shared" si="41"/>
        <v>GENERAL SERVICE 3,000 TO 4,999 KW SERVICE CLASSIFICATION</v>
      </c>
      <c r="B295" s="58" t="s">
        <v>1429</v>
      </c>
      <c r="C295" s="357"/>
      <c r="D295" s="296" t="s">
        <v>1443</v>
      </c>
      <c r="E295" s="279"/>
      <c r="F295" s="311"/>
      <c r="G295" s="339"/>
      <c r="H295" s="297">
        <f>SUM(H283,H275:H278,H274)</f>
        <v>255297.02096999998</v>
      </c>
      <c r="I295" s="298"/>
      <c r="J295" s="298"/>
      <c r="K295" s="297">
        <f>SUM(K283,K275:K278,K274)</f>
        <v>256212.26096999997</v>
      </c>
      <c r="L295" s="299">
        <f>K295-H295</f>
        <v>915.23999999999069</v>
      </c>
      <c r="M295" s="300">
        <f>IF((H295)=0,"",(L295/H295))</f>
        <v>3.585000704365997E-3</v>
      </c>
    </row>
    <row r="296" spans="1:20" x14ac:dyDescent="0.25">
      <c r="A296" s="58" t="str">
        <f t="shared" si="41"/>
        <v>GENERAL SERVICE 3,000 TO 4,999 KW SERVICE CLASSIFICATION</v>
      </c>
      <c r="B296" s="58" t="s">
        <v>1429</v>
      </c>
      <c r="C296" s="357"/>
      <c r="D296" s="301" t="s">
        <v>148</v>
      </c>
      <c r="E296" s="279"/>
      <c r="F296" s="311">
        <v>0.13</v>
      </c>
      <c r="G296" s="339"/>
      <c r="H296" s="302">
        <f>H295*F296</f>
        <v>33188.6127261</v>
      </c>
      <c r="I296" s="311">
        <v>0.13</v>
      </c>
      <c r="J296" s="303"/>
      <c r="K296" s="302">
        <f>K295*I296</f>
        <v>33307.593926099995</v>
      </c>
      <c r="L296" s="305">
        <f>K296-H296</f>
        <v>118.98119999999471</v>
      </c>
      <c r="M296" s="306">
        <f>IF((H296)=0,"",(L296/H296))</f>
        <v>3.5850007043658743E-3</v>
      </c>
    </row>
    <row r="297" spans="1:20" x14ac:dyDescent="0.25">
      <c r="A297" s="58" t="str">
        <f t="shared" si="41"/>
        <v>GENERAL SERVICE 3,000 TO 4,999 KW SERVICE CLASSIFICATION</v>
      </c>
      <c r="B297" s="58" t="s">
        <v>1429</v>
      </c>
      <c r="C297" s="357"/>
      <c r="D297" s="301" t="s">
        <v>5907</v>
      </c>
      <c r="E297" s="279"/>
      <c r="F297" s="1238">
        <v>0.318</v>
      </c>
      <c r="G297" s="339"/>
      <c r="H297" s="707">
        <f>IF(OR(ISNUMBER(SEARCH("[DGEN]", E246))=TRUE, ISNUMBER(SEARCH("STREET LIGHT", E246))=TRUE), 0, IF(AND(E248=0, E249=0),0, IF(AND(E249=0, E248*12&gt;250000), 0, IF(AND(E248=0, E249&gt;=50), 0, IF(E248*12&lt;=250000, F297*H295*-1, IF(E249&lt;50, F297*H295*-1, 0))))))</f>
        <v>0</v>
      </c>
      <c r="I297" s="1238">
        <v>0.318</v>
      </c>
      <c r="J297" s="303"/>
      <c r="K297" s="707">
        <f>IF(OR(ISNUMBER(SEARCH("[DGEN]", E246))=TRUE, ISNUMBER(SEARCH("STREET LIGHT", E246))=TRUE), 0, IF(AND(E248=0, E249=0),0, IF(AND(E249=0, E248*12&gt;250000), 0, IF(AND(E248=0, E249&gt;=50), 0, IF(E248*12&lt;=250000, I297*K295*-1, IF(E249&lt;50, I297*K295*-1, 0))))))</f>
        <v>0</v>
      </c>
      <c r="L297" s="305"/>
      <c r="M297" s="306"/>
    </row>
    <row r="298" spans="1:20" ht="13.8" thickBot="1" x14ac:dyDescent="0.3">
      <c r="A298" s="58" t="str">
        <f t="shared" si="41"/>
        <v>GENERAL SERVICE 3,000 TO 4,999 KW SERVICE CLASSIFICATION</v>
      </c>
      <c r="B298" s="58" t="s">
        <v>1444</v>
      </c>
      <c r="C298" s="357">
        <f>B33</f>
        <v>4</v>
      </c>
      <c r="D298" s="1943" t="s">
        <v>1443</v>
      </c>
      <c r="E298" s="1943"/>
      <c r="F298" s="343"/>
      <c r="G298" s="344"/>
      <c r="H298" s="312">
        <f>SUM(H295,H296)</f>
        <v>288485.63369609998</v>
      </c>
      <c r="I298" s="313"/>
      <c r="J298" s="313"/>
      <c r="K298" s="312">
        <f>SUM(K295,K296)</f>
        <v>289519.85489609995</v>
      </c>
      <c r="L298" s="314">
        <f>K298-H298</f>
        <v>1034.2211999999708</v>
      </c>
      <c r="M298" s="315">
        <f>IF((H298)=0,"",(L298/H298))</f>
        <v>3.5850007043659328E-3</v>
      </c>
    </row>
    <row r="299" spans="1:20" ht="13.8" thickBot="1" x14ac:dyDescent="0.3">
      <c r="A299" s="58" t="str">
        <f t="shared" si="41"/>
        <v>GENERAL SERVICE 3,000 TO 4,999 KW SERVICE CLASSIFICATION</v>
      </c>
      <c r="B299" s="58" t="s">
        <v>1429</v>
      </c>
      <c r="C299" s="357"/>
      <c r="D299" s="292"/>
      <c r="E299" s="293"/>
      <c r="F299" s="316"/>
      <c r="G299" s="317"/>
      <c r="H299" s="318"/>
      <c r="I299" s="316"/>
      <c r="J299" s="294"/>
      <c r="K299" s="318"/>
      <c r="L299" s="319"/>
      <c r="M299" s="295"/>
    </row>
    <row r="302" spans="1:20" x14ac:dyDescent="0.25">
      <c r="C302" s="58"/>
      <c r="D302" s="264" t="s">
        <v>1432</v>
      </c>
      <c r="E302" s="1952" t="str">
        <f>D34</f>
        <v>UNMETERED SCATTERED LOAD SERVICE CLASSIFICATION</v>
      </c>
      <c r="F302" s="1952"/>
      <c r="G302" s="1952"/>
      <c r="H302" s="1952"/>
      <c r="I302" s="1952"/>
      <c r="J302" s="1952"/>
      <c r="K302" s="58" t="str">
        <f>IF(N34="DEMAND - INTERVAL","RTSR - INTERVAL METERED","")</f>
        <v/>
      </c>
      <c r="T302" s="58" t="s">
        <v>603</v>
      </c>
    </row>
    <row r="303" spans="1:20" x14ac:dyDescent="0.25">
      <c r="C303" s="58"/>
      <c r="D303" s="264" t="s">
        <v>1433</v>
      </c>
      <c r="E303" s="1953" t="str">
        <f>H34</f>
        <v>RPP</v>
      </c>
      <c r="F303" s="1953"/>
      <c r="G303" s="1953"/>
      <c r="H303" s="265"/>
      <c r="I303" s="265"/>
    </row>
    <row r="304" spans="1:20" ht="15.6" x14ac:dyDescent="0.25">
      <c r="C304" s="58"/>
      <c r="D304" s="264" t="s">
        <v>153</v>
      </c>
      <c r="E304" s="1626">
        <f>K34</f>
        <v>275</v>
      </c>
      <c r="F304" s="267" t="s">
        <v>154</v>
      </c>
      <c r="G304" s="783"/>
      <c r="J304" s="268"/>
      <c r="K304" s="268"/>
      <c r="L304" s="268"/>
      <c r="M304" s="268"/>
      <c r="N304" s="268"/>
    </row>
    <row r="305" spans="1:13" ht="15.6" x14ac:dyDescent="0.3">
      <c r="C305" s="58"/>
      <c r="D305" s="264" t="s">
        <v>360</v>
      </c>
      <c r="E305" s="1626">
        <f>L34</f>
        <v>0</v>
      </c>
      <c r="F305" s="269" t="s">
        <v>155</v>
      </c>
      <c r="G305" s="270"/>
      <c r="H305" s="271"/>
      <c r="I305" s="271"/>
      <c r="J305" s="271"/>
    </row>
    <row r="306" spans="1:13" x14ac:dyDescent="0.25">
      <c r="C306" s="58"/>
      <c r="D306" s="264" t="s">
        <v>1464</v>
      </c>
      <c r="E306" s="272">
        <f>I34</f>
        <v>1.0452999999999999</v>
      </c>
    </row>
    <row r="307" spans="1:13" x14ac:dyDescent="0.25">
      <c r="C307" s="58"/>
      <c r="D307" s="264" t="s">
        <v>1465</v>
      </c>
      <c r="E307" s="272">
        <f>J34</f>
        <v>1.0452999999999999</v>
      </c>
    </row>
    <row r="308" spans="1:13" x14ac:dyDescent="0.25">
      <c r="C308" s="58"/>
      <c r="D308" s="783"/>
    </row>
    <row r="309" spans="1:13" x14ac:dyDescent="0.25">
      <c r="C309" s="58"/>
      <c r="D309" s="783"/>
      <c r="E309" s="273"/>
      <c r="F309" s="1944" t="s">
        <v>1943</v>
      </c>
      <c r="G309" s="1954"/>
      <c r="H309" s="1945"/>
      <c r="I309" s="1944" t="s">
        <v>341</v>
      </c>
      <c r="J309" s="1954"/>
      <c r="K309" s="1945"/>
      <c r="L309" s="1944" t="s">
        <v>342</v>
      </c>
      <c r="M309" s="1945"/>
    </row>
    <row r="310" spans="1:13" x14ac:dyDescent="0.25">
      <c r="C310" s="58"/>
      <c r="D310" s="783"/>
      <c r="E310" s="1946"/>
      <c r="F310" s="274" t="s">
        <v>343</v>
      </c>
      <c r="G310" s="274" t="s">
        <v>146</v>
      </c>
      <c r="H310" s="275" t="s">
        <v>344</v>
      </c>
      <c r="I310" s="274" t="s">
        <v>343</v>
      </c>
      <c r="J310" s="276" t="s">
        <v>146</v>
      </c>
      <c r="K310" s="275" t="s">
        <v>344</v>
      </c>
      <c r="L310" s="1948" t="s">
        <v>345</v>
      </c>
      <c r="M310" s="1950" t="s">
        <v>346</v>
      </c>
    </row>
    <row r="311" spans="1:13" x14ac:dyDescent="0.25">
      <c r="C311" s="58"/>
      <c r="D311" s="783"/>
      <c r="E311" s="1947"/>
      <c r="F311" s="277" t="s">
        <v>347</v>
      </c>
      <c r="G311" s="277"/>
      <c r="H311" s="278" t="s">
        <v>347</v>
      </c>
      <c r="I311" s="277" t="s">
        <v>347</v>
      </c>
      <c r="J311" s="278"/>
      <c r="K311" s="278" t="s">
        <v>347</v>
      </c>
      <c r="L311" s="1949"/>
      <c r="M311" s="1951"/>
    </row>
    <row r="312" spans="1:13" x14ac:dyDescent="0.25">
      <c r="A312" s="58" t="str">
        <f>$E302</f>
        <v>UNMETERED SCATTERED LOAD SERVICE CLASSIFICATION</v>
      </c>
      <c r="C312" s="357"/>
      <c r="D312" s="68" t="s">
        <v>348</v>
      </c>
      <c r="E312" s="322"/>
      <c r="F312" s="345">
        <v>8.0500000000000007</v>
      </c>
      <c r="G312" s="304"/>
      <c r="H312" s="346">
        <f>G312*F312</f>
        <v>0</v>
      </c>
      <c r="I312" s="982">
        <v>8.19</v>
      </c>
      <c r="J312" s="989"/>
      <c r="K312" s="988">
        <f>J312*I312</f>
        <v>0</v>
      </c>
      <c r="L312" s="329">
        <f t="shared" ref="L312:L333" si="46">K312-H312</f>
        <v>0</v>
      </c>
      <c r="M312" s="347" t="str">
        <f>IF(ISERROR(L312/H312), "", L312/H312)</f>
        <v/>
      </c>
    </row>
    <row r="313" spans="1:13" x14ac:dyDescent="0.25">
      <c r="A313" s="58" t="str">
        <f>A312</f>
        <v>UNMETERED SCATTERED LOAD SERVICE CLASSIFICATION</v>
      </c>
      <c r="C313" s="357"/>
      <c r="D313" s="68" t="s">
        <v>80</v>
      </c>
      <c r="E313" s="322"/>
      <c r="F313" s="326">
        <v>1.26E-2</v>
      </c>
      <c r="G313" s="304">
        <f>IF($E305&gt;0, $E305, $E304)</f>
        <v>275</v>
      </c>
      <c r="H313" s="346">
        <f t="shared" ref="H313:H325" si="47">G313*F313</f>
        <v>3.4649999999999999</v>
      </c>
      <c r="I313" s="983">
        <v>1.2800000000000001E-2</v>
      </c>
      <c r="J313" s="989">
        <f>IF($E305&gt;0, $E305, $E304)</f>
        <v>275</v>
      </c>
      <c r="K313" s="988">
        <f>J313*I313</f>
        <v>3.52</v>
      </c>
      <c r="L313" s="329">
        <f t="shared" si="46"/>
        <v>5.500000000000016E-2</v>
      </c>
      <c r="M313" s="347">
        <f t="shared" ref="M313:M323" si="48">IF(ISERROR(L313/H313), "", L313/H313)</f>
        <v>1.5873015873015921E-2</v>
      </c>
    </row>
    <row r="314" spans="1:13" hidden="1" x14ac:dyDescent="0.25">
      <c r="A314" s="58" t="str">
        <f t="shared" ref="A314:A355" si="49">A313</f>
        <v>UNMETERED SCATTERED LOAD SERVICE CLASSIFICATION</v>
      </c>
      <c r="C314" s="357"/>
      <c r="D314" s="68" t="s">
        <v>4311</v>
      </c>
      <c r="E314" s="322"/>
      <c r="F314" s="326"/>
      <c r="G314" s="304">
        <f>IF($E305&gt;0, $E305, $E304)</f>
        <v>275</v>
      </c>
      <c r="H314" s="346">
        <v>0</v>
      </c>
      <c r="I314" s="983"/>
      <c r="J314" s="989">
        <f>IF($E305&gt;0, $E305, $E304)</f>
        <v>275</v>
      </c>
      <c r="K314" s="988">
        <v>0</v>
      </c>
      <c r="L314" s="329"/>
      <c r="M314" s="347"/>
    </row>
    <row r="315" spans="1:13" hidden="1" x14ac:dyDescent="0.25">
      <c r="A315" s="58" t="str">
        <f t="shared" si="49"/>
        <v>UNMETERED SCATTERED LOAD SERVICE CLASSIFICATION</v>
      </c>
      <c r="C315" s="357"/>
      <c r="D315" s="68" t="s">
        <v>3743</v>
      </c>
      <c r="E315" s="322"/>
      <c r="F315" s="326"/>
      <c r="G315" s="304">
        <f>IF($E305&gt;0, $E305, $E304)</f>
        <v>275</v>
      </c>
      <c r="H315" s="346">
        <v>0</v>
      </c>
      <c r="I315" s="983"/>
      <c r="J315" s="992">
        <f>IF($E305&gt;0, $E305, $E304)</f>
        <v>275</v>
      </c>
      <c r="K315" s="988">
        <v>0</v>
      </c>
      <c r="L315" s="329">
        <f>K315-H315</f>
        <v>0</v>
      </c>
      <c r="M315" s="347" t="str">
        <f>IF(ISERROR(L315/H315), "", L315/H315)</f>
        <v/>
      </c>
    </row>
    <row r="316" spans="1:13" x14ac:dyDescent="0.25">
      <c r="A316" s="58" t="str">
        <f t="shared" si="49"/>
        <v>UNMETERED SCATTERED LOAD SERVICE CLASSIFICATION</v>
      </c>
      <c r="C316" s="357"/>
      <c r="D316" s="69" t="s">
        <v>358</v>
      </c>
      <c r="E316" s="322"/>
      <c r="F316" s="345">
        <v>0</v>
      </c>
      <c r="G316" s="304"/>
      <c r="H316" s="346">
        <f t="shared" si="47"/>
        <v>0</v>
      </c>
      <c r="I316" s="982">
        <v>0</v>
      </c>
      <c r="J316" s="989"/>
      <c r="K316" s="988">
        <f t="shared" ref="K316:K323" si="50">J316*I316</f>
        <v>0</v>
      </c>
      <c r="L316" s="329">
        <f t="shared" si="46"/>
        <v>0</v>
      </c>
      <c r="M316" s="347" t="str">
        <f t="shared" si="48"/>
        <v/>
      </c>
    </row>
    <row r="317" spans="1:13" x14ac:dyDescent="0.25">
      <c r="A317" s="58" t="str">
        <f t="shared" si="49"/>
        <v>UNMETERED SCATTERED LOAD SERVICE CLASSIFICATION</v>
      </c>
      <c r="C317" s="357"/>
      <c r="D317" s="68" t="s">
        <v>359</v>
      </c>
      <c r="E317" s="322"/>
      <c r="F317" s="326">
        <v>-3.0000000000000003E-4</v>
      </c>
      <c r="G317" s="304">
        <f>IF($E305&gt;0, $E305, $E304)</f>
        <v>275</v>
      </c>
      <c r="H317" s="346">
        <f t="shared" si="47"/>
        <v>-8.2500000000000004E-2</v>
      </c>
      <c r="I317" s="983">
        <v>-3.9999999999999996E-4</v>
      </c>
      <c r="J317" s="989">
        <f>IF($E305&gt;0, $E305, $E304)</f>
        <v>275</v>
      </c>
      <c r="K317" s="988">
        <f t="shared" si="50"/>
        <v>-0.10999999999999999</v>
      </c>
      <c r="L317" s="329">
        <f t="shared" si="46"/>
        <v>-2.7499999999999983E-2</v>
      </c>
      <c r="M317" s="347">
        <f t="shared" si="48"/>
        <v>0.33333333333333309</v>
      </c>
    </row>
    <row r="318" spans="1:13" x14ac:dyDescent="0.25">
      <c r="A318" s="58" t="str">
        <f t="shared" si="49"/>
        <v>UNMETERED SCATTERED LOAD SERVICE CLASSIFICATION</v>
      </c>
      <c r="B318" s="280" t="s">
        <v>1434</v>
      </c>
      <c r="C318" s="357">
        <f>B34</f>
        <v>5</v>
      </c>
      <c r="D318" s="281" t="s">
        <v>349</v>
      </c>
      <c r="E318" s="282"/>
      <c r="F318" s="348"/>
      <c r="G318" s="717"/>
      <c r="H318" s="718">
        <f>SUM(H312:H317)</f>
        <v>3.3824999999999998</v>
      </c>
      <c r="I318" s="349"/>
      <c r="J318" s="289"/>
      <c r="K318" s="718">
        <f>SUM(K312:K317)</f>
        <v>3.41</v>
      </c>
      <c r="L318" s="283">
        <f t="shared" si="46"/>
        <v>2.7500000000000302E-2</v>
      </c>
      <c r="M318" s="284">
        <f>IF((H318)=0,"",(L318/H318))</f>
        <v>8.1300813008130975E-3</v>
      </c>
    </row>
    <row r="319" spans="1:13" x14ac:dyDescent="0.25">
      <c r="A319" s="58" t="str">
        <f t="shared" si="49"/>
        <v>UNMETERED SCATTERED LOAD SERVICE CLASSIFICATION</v>
      </c>
      <c r="C319" s="357"/>
      <c r="D319" s="72" t="s">
        <v>421</v>
      </c>
      <c r="E319" s="322"/>
      <c r="F319" s="326">
        <f>IF((E304*12&gt;=150000), 0, IF(E303="RPP",(F335*0.64+F336*0.18+F337*0.18),IF(E303="Non-RPP (Retailer)",F338,F339)))</f>
        <v>0.13325999999999999</v>
      </c>
      <c r="G319" s="332">
        <f>IF(F319=0, 0, $E304*E306-E304)</f>
        <v>12.457499999999982</v>
      </c>
      <c r="H319" s="346">
        <f>G319*F319</f>
        <v>1.6600864499999974</v>
      </c>
      <c r="I319" s="983">
        <f>IF((E304*12&gt;=150000), 0, IF(E303="RPP",(I335*0.64+I336*0.18+I337*0.18),IF(E303="Non-RPP (Retailer)",I338,I339)))</f>
        <v>0.13325999999999999</v>
      </c>
      <c r="J319" s="987">
        <f>IF(I319=0, 0, E304*E307-E304)</f>
        <v>12.457499999999982</v>
      </c>
      <c r="K319" s="988">
        <f>J319*I319</f>
        <v>1.6600864499999974</v>
      </c>
      <c r="L319" s="329">
        <f>K319-H319</f>
        <v>0</v>
      </c>
      <c r="M319" s="347">
        <f>IF(ISERROR(L319/H319), "", L319/H319)</f>
        <v>0</v>
      </c>
    </row>
    <row r="320" spans="1:13" ht="26.4" x14ac:dyDescent="0.25">
      <c r="A320" s="58" t="str">
        <f t="shared" si="49"/>
        <v>UNMETERED SCATTERED LOAD SERVICE CLASSIFICATION</v>
      </c>
      <c r="C320" s="357"/>
      <c r="D320" s="72" t="s">
        <v>357</v>
      </c>
      <c r="E320" s="322"/>
      <c r="F320" s="326">
        <v>0</v>
      </c>
      <c r="G320" s="333">
        <f>IF($E305&gt;0, $E305, $E304)</f>
        <v>275</v>
      </c>
      <c r="H320" s="346">
        <f t="shared" si="47"/>
        <v>0</v>
      </c>
      <c r="I320" s="983">
        <v>0</v>
      </c>
      <c r="J320" s="991">
        <f>IF($E305&gt;0, $E305, $E304)</f>
        <v>275</v>
      </c>
      <c r="K320" s="988">
        <f t="shared" si="50"/>
        <v>0</v>
      </c>
      <c r="L320" s="329">
        <f t="shared" si="46"/>
        <v>0</v>
      </c>
      <c r="M320" s="347" t="str">
        <f t="shared" si="48"/>
        <v/>
      </c>
    </row>
    <row r="321" spans="1:14" x14ac:dyDescent="0.25">
      <c r="A321" s="58" t="str">
        <f t="shared" si="49"/>
        <v>UNMETERED SCATTERED LOAD SERVICE CLASSIFICATION</v>
      </c>
      <c r="C321" s="357"/>
      <c r="D321" s="72" t="s">
        <v>2299</v>
      </c>
      <c r="E321" s="322"/>
      <c r="F321" s="326">
        <v>0</v>
      </c>
      <c r="G321" s="333">
        <f>IF($E305&gt;0, $E305, $E304)</f>
        <v>275</v>
      </c>
      <c r="H321" s="346">
        <f>G321*F321</f>
        <v>0</v>
      </c>
      <c r="I321" s="983">
        <v>0</v>
      </c>
      <c r="J321" s="991">
        <f>IF($E305&gt;0, $E305, $E304)</f>
        <v>275</v>
      </c>
      <c r="K321" s="988">
        <f>J321*I321</f>
        <v>0</v>
      </c>
      <c r="L321" s="329">
        <f t="shared" si="46"/>
        <v>0</v>
      </c>
      <c r="M321" s="347" t="str">
        <f t="shared" si="48"/>
        <v/>
      </c>
    </row>
    <row r="322" spans="1:14" x14ac:dyDescent="0.25">
      <c r="A322" s="58" t="str">
        <f t="shared" si="49"/>
        <v>UNMETERED SCATTERED LOAD SERVICE CLASSIFICATION</v>
      </c>
      <c r="C322" s="357"/>
      <c r="D322" s="72" t="s">
        <v>1953</v>
      </c>
      <c r="E322" s="322"/>
      <c r="F322" s="326">
        <v>0</v>
      </c>
      <c r="G322" s="333">
        <f>E304</f>
        <v>275</v>
      </c>
      <c r="H322" s="346">
        <f>G322*F322</f>
        <v>0</v>
      </c>
      <c r="I322" s="983">
        <v>0</v>
      </c>
      <c r="J322" s="991">
        <f>E304</f>
        <v>275</v>
      </c>
      <c r="K322" s="988">
        <f t="shared" si="50"/>
        <v>0</v>
      </c>
      <c r="L322" s="329">
        <f t="shared" si="46"/>
        <v>0</v>
      </c>
      <c r="M322" s="347" t="str">
        <f t="shared" si="48"/>
        <v/>
      </c>
    </row>
    <row r="323" spans="1:14" x14ac:dyDescent="0.25">
      <c r="A323" s="58" t="str">
        <f t="shared" si="49"/>
        <v>UNMETERED SCATTERED LOAD SERVICE CLASSIFICATION</v>
      </c>
      <c r="C323" s="357"/>
      <c r="D323" s="74" t="s">
        <v>141</v>
      </c>
      <c r="E323" s="322"/>
      <c r="F323" s="326">
        <v>2.7000000000000001E-3</v>
      </c>
      <c r="G323" s="333">
        <f>IF($E305&gt;0, $E305, $E304)</f>
        <v>275</v>
      </c>
      <c r="H323" s="346">
        <f t="shared" si="47"/>
        <v>0.74250000000000005</v>
      </c>
      <c r="I323" s="983">
        <v>2.7000000000000001E-3</v>
      </c>
      <c r="J323" s="991">
        <f>IF($E305&gt;0, $E305, $E304)</f>
        <v>275</v>
      </c>
      <c r="K323" s="988">
        <f t="shared" si="50"/>
        <v>0.74250000000000005</v>
      </c>
      <c r="L323" s="329">
        <f t="shared" si="46"/>
        <v>0</v>
      </c>
      <c r="M323" s="347">
        <f t="shared" si="48"/>
        <v>0</v>
      </c>
    </row>
    <row r="324" spans="1:14" ht="26.4" x14ac:dyDescent="0.25">
      <c r="A324" s="58" t="str">
        <f t="shared" si="49"/>
        <v>UNMETERED SCATTERED LOAD SERVICE CLASSIFICATION</v>
      </c>
      <c r="C324" s="357"/>
      <c r="D324" s="391" t="s">
        <v>4312</v>
      </c>
      <c r="E324" s="322"/>
      <c r="F324" s="768">
        <f>IF(OR(ISNUMBER(SEARCH("RESIDENTIAL", E302))=TRUE, ISNUMBER(SEARCH("GENERAL SERVICE LESS THAN 50", E302))=TRUE), SME, 0)</f>
        <v>0</v>
      </c>
      <c r="G324" s="304"/>
      <c r="H324" s="346">
        <f>G324*F324</f>
        <v>0</v>
      </c>
      <c r="I324" s="984">
        <f>IF(OR(ISNUMBER(SEARCH("RESIDENTIAL", E302))=TRUE, ISNUMBER(SEARCH("GENERAL SERVICE LESS THAN 50", E302))=TRUE), SME, 0)</f>
        <v>0</v>
      </c>
      <c r="J324" s="992"/>
      <c r="K324" s="988">
        <f>J324*I324</f>
        <v>0</v>
      </c>
      <c r="L324" s="329">
        <f t="shared" si="46"/>
        <v>0</v>
      </c>
      <c r="M324" s="347" t="str">
        <f>IF(ISERROR(L324/H324), "", L324/H324)</f>
        <v/>
      </c>
    </row>
    <row r="325" spans="1:14" x14ac:dyDescent="0.25">
      <c r="A325" s="58" t="str">
        <f t="shared" si="49"/>
        <v>UNMETERED SCATTERED LOAD SERVICE CLASSIFICATION</v>
      </c>
      <c r="C325" s="357"/>
      <c r="D325" s="74" t="s">
        <v>3742</v>
      </c>
      <c r="E325" s="322"/>
      <c r="F325" s="345">
        <v>0</v>
      </c>
      <c r="G325" s="304"/>
      <c r="H325" s="346">
        <f t="shared" si="47"/>
        <v>0</v>
      </c>
      <c r="I325" s="982">
        <v>0</v>
      </c>
      <c r="J325" s="992"/>
      <c r="K325" s="988">
        <f>J325*I325</f>
        <v>0</v>
      </c>
      <c r="L325" s="329">
        <f>K325-H325</f>
        <v>0</v>
      </c>
      <c r="M325" s="347" t="str">
        <f>IF(ISERROR(L325/H325), "", L325/H325)</f>
        <v/>
      </c>
    </row>
    <row r="326" spans="1:14" x14ac:dyDescent="0.25">
      <c r="A326" s="58" t="str">
        <f t="shared" si="49"/>
        <v>UNMETERED SCATTERED LOAD SERVICE CLASSIFICATION</v>
      </c>
      <c r="C326" s="357"/>
      <c r="D326" s="74" t="s">
        <v>3741</v>
      </c>
      <c r="E326" s="322"/>
      <c r="F326" s="326">
        <v>0</v>
      </c>
      <c r="G326" s="333">
        <f>IF($E305&gt;0, $E305, $E304)</f>
        <v>275</v>
      </c>
      <c r="H326" s="346">
        <f>G326*F326</f>
        <v>0</v>
      </c>
      <c r="I326" s="983">
        <v>0</v>
      </c>
      <c r="J326" s="991">
        <f>IF($E305&gt;0, $E305, $E304)</f>
        <v>275</v>
      </c>
      <c r="K326" s="988">
        <f>J326*I326</f>
        <v>0</v>
      </c>
      <c r="L326" s="329">
        <f t="shared" si="46"/>
        <v>0</v>
      </c>
      <c r="M326" s="347" t="str">
        <f>IF(ISERROR(L326/H326), "", L326/H326)</f>
        <v/>
      </c>
    </row>
    <row r="327" spans="1:14" ht="26.4" x14ac:dyDescent="0.25">
      <c r="A327" s="58" t="str">
        <f t="shared" si="49"/>
        <v>UNMETERED SCATTERED LOAD SERVICE CLASSIFICATION</v>
      </c>
      <c r="B327" s="783" t="s">
        <v>1435</v>
      </c>
      <c r="C327" s="357">
        <f>B34</f>
        <v>5</v>
      </c>
      <c r="D327" s="286" t="s">
        <v>1466</v>
      </c>
      <c r="E327" s="287"/>
      <c r="F327" s="323"/>
      <c r="G327" s="330"/>
      <c r="H327" s="288">
        <f>SUM(H318:H326)</f>
        <v>5.785086449999997</v>
      </c>
      <c r="I327" s="324"/>
      <c r="J327" s="331"/>
      <c r="K327" s="288">
        <f>SUM(K318:K326)</f>
        <v>5.8125864499999977</v>
      </c>
      <c r="L327" s="283">
        <f t="shared" si="46"/>
        <v>2.7500000000000746E-2</v>
      </c>
      <c r="M327" s="284">
        <f>IF((H327)=0,"",(L327/H327))</f>
        <v>4.7536022560217333E-3</v>
      </c>
    </row>
    <row r="328" spans="1:14" x14ac:dyDescent="0.25">
      <c r="A328" s="58" t="str">
        <f t="shared" si="49"/>
        <v>UNMETERED SCATTERED LOAD SERVICE CLASSIFICATION</v>
      </c>
      <c r="C328" s="357"/>
      <c r="D328" s="76" t="s">
        <v>351</v>
      </c>
      <c r="E328" s="322"/>
      <c r="F328" s="326">
        <v>6.1000000000000004E-3</v>
      </c>
      <c r="G328" s="332">
        <f>IF($E305&gt;0, $E305, $E304*$E306)</f>
        <v>287.45749999999998</v>
      </c>
      <c r="H328" s="346">
        <f>G328*F328</f>
        <v>1.7534907500000001</v>
      </c>
      <c r="I328" s="325">
        <v>6.0000000000000001E-3</v>
      </c>
      <c r="J328" s="987">
        <f>IF($E305&gt;0, $E305, $E304*$E307)</f>
        <v>287.45749999999998</v>
      </c>
      <c r="K328" s="988">
        <f>J328*I328</f>
        <v>1.724745</v>
      </c>
      <c r="L328" s="329">
        <f t="shared" si="46"/>
        <v>-2.8745750000000125E-2</v>
      </c>
      <c r="M328" s="347">
        <f>IF(ISERROR(L328/H328), "", L328/H328)</f>
        <v>-1.639344262295089E-2</v>
      </c>
      <c r="N328" s="1090" t="str">
        <f>IF(ISERROR(ABS(M328)), "", IF(ABS(M328)&gt;=4%, "In the manager's summary, discuss the reasoning for the change in RTSR rates", ""))</f>
        <v/>
      </c>
    </row>
    <row r="329" spans="1:14" ht="26.4" x14ac:dyDescent="0.25">
      <c r="A329" s="58" t="str">
        <f t="shared" si="49"/>
        <v>UNMETERED SCATTERED LOAD SERVICE CLASSIFICATION</v>
      </c>
      <c r="C329" s="357"/>
      <c r="D329" s="169" t="s">
        <v>361</v>
      </c>
      <c r="E329" s="322"/>
      <c r="F329" s="326">
        <v>5.1000000000000004E-3</v>
      </c>
      <c r="G329" s="332">
        <f>IF($E305&gt;0, $E305, $E304*$E306)</f>
        <v>287.45749999999998</v>
      </c>
      <c r="H329" s="346">
        <f>G329*F329</f>
        <v>1.46603325</v>
      </c>
      <c r="I329" s="325">
        <v>5.0000000000000001E-3</v>
      </c>
      <c r="J329" s="987">
        <f>IF($E305&gt;0, $E305, $E304*$E307)</f>
        <v>287.45749999999998</v>
      </c>
      <c r="K329" s="988">
        <f>J329*I329</f>
        <v>1.4372874999999998</v>
      </c>
      <c r="L329" s="329">
        <f t="shared" si="46"/>
        <v>-2.8745750000000125E-2</v>
      </c>
      <c r="M329" s="347">
        <f>IF(ISERROR(L329/H329), "", L329/H329)</f>
        <v>-1.9607843137254988E-2</v>
      </c>
      <c r="N329" s="1090" t="str">
        <f>IF(ISERROR(ABS(M329)), "", IF(ABS(M329)&gt;=4%, "In the manager's summary, discuss the reasoning for the change in RTSR rates", ""))</f>
        <v/>
      </c>
    </row>
    <row r="330" spans="1:14" ht="26.4" x14ac:dyDescent="0.25">
      <c r="A330" s="58" t="str">
        <f t="shared" si="49"/>
        <v>UNMETERED SCATTERED LOAD SERVICE CLASSIFICATION</v>
      </c>
      <c r="B330" s="783" t="s">
        <v>1436</v>
      </c>
      <c r="C330" s="357">
        <f>B34</f>
        <v>5</v>
      </c>
      <c r="D330" s="286" t="s">
        <v>1467</v>
      </c>
      <c r="E330" s="282"/>
      <c r="F330" s="323"/>
      <c r="G330" s="330"/>
      <c r="H330" s="288">
        <f>SUM(H327:H329)</f>
        <v>9.0046104499999977</v>
      </c>
      <c r="I330" s="324"/>
      <c r="J330" s="289"/>
      <c r="K330" s="288">
        <f>SUM(K327:K329)</f>
        <v>8.9746189499999982</v>
      </c>
      <c r="L330" s="283">
        <f t="shared" si="46"/>
        <v>-2.9991499999999505E-2</v>
      </c>
      <c r="M330" s="284">
        <f>IF((H330)=0,"",(L330/H330))</f>
        <v>-3.3306826726745868E-3</v>
      </c>
    </row>
    <row r="331" spans="1:14" ht="26.4" x14ac:dyDescent="0.25">
      <c r="A331" s="58" t="str">
        <f t="shared" si="49"/>
        <v>UNMETERED SCATTERED LOAD SERVICE CLASSIFICATION</v>
      </c>
      <c r="C331" s="357"/>
      <c r="D331" s="290" t="s">
        <v>352</v>
      </c>
      <c r="E331" s="322"/>
      <c r="F331" s="326">
        <f>IF(AND('1. Information Sheet'!$F$26:$H$26&gt;='17. Regulatory Charges'!$D$14,'1. Information Sheet'!$F$26:$H$26&lt;'17. Regulatory Charges'!$E$14),'17. Regulatory Charges'!$D$15+'17. Regulatory Charges'!$D$16,'17. Regulatory Charges'!$E$15+'17. Regulatory Charges'!$E$16)</f>
        <v>3.4000000000000002E-3</v>
      </c>
      <c r="G331" s="332">
        <f>E304*E306</f>
        <v>287.45749999999998</v>
      </c>
      <c r="H331" s="334">
        <f t="shared" ref="H331:H337" si="51">G331*F331</f>
        <v>0.97735550000000004</v>
      </c>
      <c r="I331" s="983">
        <f>'17. Regulatory Charges'!$E$15+'17. Regulatory Charges'!$E$16</f>
        <v>3.4000000000000002E-3</v>
      </c>
      <c r="J331" s="987">
        <f>E304*E307</f>
        <v>287.45749999999998</v>
      </c>
      <c r="K331" s="988">
        <f t="shared" ref="K331:K337" si="52">J331*I331</f>
        <v>0.97735550000000004</v>
      </c>
      <c r="L331" s="329">
        <f t="shared" si="46"/>
        <v>0</v>
      </c>
      <c r="M331" s="347">
        <f t="shared" ref="M331:M339" si="53">IF(ISERROR(L331/H331), "", L331/H331)</f>
        <v>0</v>
      </c>
    </row>
    <row r="332" spans="1:14" ht="26.4" x14ac:dyDescent="0.25">
      <c r="A332" s="58" t="str">
        <f t="shared" si="49"/>
        <v>UNMETERED SCATTERED LOAD SERVICE CLASSIFICATION</v>
      </c>
      <c r="C332" s="357"/>
      <c r="D332" s="290" t="s">
        <v>353</v>
      </c>
      <c r="E332" s="322"/>
      <c r="F332" s="326">
        <f>IF(AND('1. Information Sheet'!$F$26:$H$26&gt;='17. Regulatory Charges'!$D$14,'1. Information Sheet'!$F$26:$H$26&lt;'17. Regulatory Charges'!$D$14),'17. Regulatory Charges'!$D$17,'17. Regulatory Charges'!$E$17)</f>
        <v>5.0000000000000001E-4</v>
      </c>
      <c r="G332" s="332">
        <f>E304*E306</f>
        <v>287.45749999999998</v>
      </c>
      <c r="H332" s="334">
        <f t="shared" si="51"/>
        <v>0.14372874999999999</v>
      </c>
      <c r="I332" s="983">
        <f>'17. Regulatory Charges'!$E$17</f>
        <v>5.0000000000000001E-4</v>
      </c>
      <c r="J332" s="987">
        <f>E304*E307</f>
        <v>287.45749999999998</v>
      </c>
      <c r="K332" s="988">
        <f t="shared" si="52"/>
        <v>0.14372874999999999</v>
      </c>
      <c r="L332" s="329">
        <f t="shared" si="46"/>
        <v>0</v>
      </c>
      <c r="M332" s="347">
        <f t="shared" si="53"/>
        <v>0</v>
      </c>
    </row>
    <row r="333" spans="1:14" x14ac:dyDescent="0.25">
      <c r="A333" s="58" t="str">
        <f t="shared" si="49"/>
        <v>UNMETERED SCATTERED LOAD SERVICE CLASSIFICATION</v>
      </c>
      <c r="C333" s="357"/>
      <c r="D333" s="279" t="s">
        <v>354</v>
      </c>
      <c r="E333" s="322"/>
      <c r="F333" s="768">
        <f>IF(AND('1. Information Sheet'!$F$26:$H$26&gt;='17. Regulatory Charges'!$D$14,'1. Information Sheet'!$F$26:$H$26&lt;'17. Regulatory Charges'!$D$14),'17. Regulatory Charges'!$D$18,'17. Regulatory Charges'!$E$18)</f>
        <v>0.25</v>
      </c>
      <c r="G333" s="304"/>
      <c r="H333" s="334">
        <f t="shared" si="51"/>
        <v>0</v>
      </c>
      <c r="I333" s="984">
        <f>'17. Regulatory Charges'!$E$18</f>
        <v>0.25</v>
      </c>
      <c r="J333" s="989"/>
      <c r="K333" s="988">
        <f t="shared" si="52"/>
        <v>0</v>
      </c>
      <c r="L333" s="329">
        <f t="shared" si="46"/>
        <v>0</v>
      </c>
      <c r="M333" s="347" t="str">
        <f t="shared" si="53"/>
        <v/>
      </c>
    </row>
    <row r="334" spans="1:14" ht="26.4" hidden="1" x14ac:dyDescent="0.25">
      <c r="A334" s="58" t="str">
        <f t="shared" si="49"/>
        <v>UNMETERED SCATTERED LOAD SERVICE CLASSIFICATION</v>
      </c>
      <c r="C334" s="357"/>
      <c r="D334" s="290" t="s">
        <v>1468</v>
      </c>
      <c r="E334" s="322"/>
      <c r="F334" s="326"/>
      <c r="G334" s="332"/>
      <c r="H334" s="334"/>
      <c r="I334" s="983"/>
      <c r="J334" s="987"/>
      <c r="K334" s="988"/>
      <c r="L334" s="329"/>
      <c r="M334" s="347"/>
    </row>
    <row r="335" spans="1:14" x14ac:dyDescent="0.25">
      <c r="A335" s="58" t="str">
        <f t="shared" si="49"/>
        <v>UNMETERED SCATTERED LOAD SERVICE CLASSIFICATION</v>
      </c>
      <c r="B335" s="783" t="s">
        <v>1427</v>
      </c>
      <c r="C335" s="357"/>
      <c r="D335" s="285" t="s">
        <v>220</v>
      </c>
      <c r="E335" s="322"/>
      <c r="F335" s="327">
        <f>OffPeak</f>
        <v>0.105</v>
      </c>
      <c r="G335" s="291">
        <f>IF(AND(E304*12&gt;=150000),0.64*E304*E306,0.64*E304)</f>
        <v>176</v>
      </c>
      <c r="H335" s="334">
        <f t="shared" si="51"/>
        <v>18.48</v>
      </c>
      <c r="I335" s="985">
        <f>OffPeak</f>
        <v>0.105</v>
      </c>
      <c r="J335" s="990">
        <f>IF(AND(E304*12&gt;=150000),0.64*E304*E307,0.64*E304)</f>
        <v>176</v>
      </c>
      <c r="K335" s="988">
        <f t="shared" si="52"/>
        <v>18.48</v>
      </c>
      <c r="L335" s="329">
        <f>K335-H335</f>
        <v>0</v>
      </c>
      <c r="M335" s="347">
        <f t="shared" si="53"/>
        <v>0</v>
      </c>
    </row>
    <row r="336" spans="1:14" x14ac:dyDescent="0.25">
      <c r="A336" s="58" t="str">
        <f t="shared" si="49"/>
        <v>UNMETERED SCATTERED LOAD SERVICE CLASSIFICATION</v>
      </c>
      <c r="B336" s="783" t="s">
        <v>1427</v>
      </c>
      <c r="C336" s="357"/>
      <c r="D336" s="285" t="s">
        <v>221</v>
      </c>
      <c r="E336" s="322"/>
      <c r="F336" s="327">
        <f>MidPeak</f>
        <v>0.15</v>
      </c>
      <c r="G336" s="291">
        <f>IF(AND(E304*12&gt;=150000),0.18*E304*E306,0.18*E304)</f>
        <v>49.5</v>
      </c>
      <c r="H336" s="334">
        <f t="shared" si="51"/>
        <v>7.4249999999999998</v>
      </c>
      <c r="I336" s="985">
        <f>MidPeak</f>
        <v>0.15</v>
      </c>
      <c r="J336" s="990">
        <f>IF(AND(E304*12&gt;=150000),0.18*E304*E307,0.18*E304)</f>
        <v>49.5</v>
      </c>
      <c r="K336" s="988">
        <f t="shared" si="52"/>
        <v>7.4249999999999998</v>
      </c>
      <c r="L336" s="329">
        <f>K336-H336</f>
        <v>0</v>
      </c>
      <c r="M336" s="347">
        <f t="shared" si="53"/>
        <v>0</v>
      </c>
    </row>
    <row r="337" spans="1:13" ht="13.8" thickBot="1" x14ac:dyDescent="0.3">
      <c r="A337" s="58" t="str">
        <f t="shared" si="49"/>
        <v>UNMETERED SCATTERED LOAD SERVICE CLASSIFICATION</v>
      </c>
      <c r="B337" s="783" t="s">
        <v>1427</v>
      </c>
      <c r="C337" s="357"/>
      <c r="D337" s="783" t="s">
        <v>222</v>
      </c>
      <c r="E337" s="322"/>
      <c r="F337" s="327">
        <f>OnPeak</f>
        <v>0.217</v>
      </c>
      <c r="G337" s="291">
        <f>IF(AND(E304*12&gt;=150000),0.18*E304*E306,0.18*E304)</f>
        <v>49.5</v>
      </c>
      <c r="H337" s="334">
        <f t="shared" si="51"/>
        <v>10.7415</v>
      </c>
      <c r="I337" s="985">
        <f>OnPeak</f>
        <v>0.217</v>
      </c>
      <c r="J337" s="990">
        <f>IF(AND(E304*12&gt;=150000),0.18*E304*E307,0.18*E304)</f>
        <v>49.5</v>
      </c>
      <c r="K337" s="988">
        <f t="shared" si="52"/>
        <v>10.7415</v>
      </c>
      <c r="L337" s="329">
        <f>K337-H337</f>
        <v>0</v>
      </c>
      <c r="M337" s="347">
        <f t="shared" si="53"/>
        <v>0</v>
      </c>
    </row>
    <row r="338" spans="1:13" hidden="1" x14ac:dyDescent="0.25">
      <c r="A338" s="58" t="str">
        <f t="shared" si="49"/>
        <v>UNMETERED SCATTERED LOAD SERVICE CLASSIFICATION</v>
      </c>
      <c r="B338" s="58" t="s">
        <v>1428</v>
      </c>
      <c r="C338" s="357"/>
      <c r="D338" s="285" t="s">
        <v>1437</v>
      </c>
      <c r="E338" s="322"/>
      <c r="F338" s="328">
        <v>0.1368</v>
      </c>
      <c r="G338" s="291">
        <f>IF(AND(E304*12&gt;=150000),E304*E306,E304)</f>
        <v>275</v>
      </c>
      <c r="H338" s="334">
        <f>G338*F338</f>
        <v>37.620000000000005</v>
      </c>
      <c r="I338" s="986">
        <f>F338</f>
        <v>0.1368</v>
      </c>
      <c r="J338" s="990">
        <f>IF(AND(E304*12&gt;=150000),E304*E307,E304)</f>
        <v>275</v>
      </c>
      <c r="K338" s="988">
        <f>J338*I338</f>
        <v>37.620000000000005</v>
      </c>
      <c r="L338" s="329">
        <f>K338-H338</f>
        <v>0</v>
      </c>
      <c r="M338" s="347">
        <f t="shared" si="53"/>
        <v>0</v>
      </c>
    </row>
    <row r="339" spans="1:13" ht="13.8" hidden="1" thickBot="1" x14ac:dyDescent="0.3">
      <c r="A339" s="58" t="str">
        <f t="shared" si="49"/>
        <v>UNMETERED SCATTERED LOAD SERVICE CLASSIFICATION</v>
      </c>
      <c r="B339" s="58" t="s">
        <v>1429</v>
      </c>
      <c r="C339" s="357"/>
      <c r="D339" s="285" t="s">
        <v>1438</v>
      </c>
      <c r="E339" s="322"/>
      <c r="F339" s="328">
        <v>0.1368</v>
      </c>
      <c r="G339" s="291">
        <f>IF(AND(E304*12&gt;=150000),E304*E306,E304)</f>
        <v>275</v>
      </c>
      <c r="H339" s="334">
        <f>G339*F339</f>
        <v>37.620000000000005</v>
      </c>
      <c r="I339" s="986">
        <f>F339</f>
        <v>0.1368</v>
      </c>
      <c r="J339" s="990">
        <f>IF(AND(E304*12&gt;=150000),E304*E307,E304)</f>
        <v>275</v>
      </c>
      <c r="K339" s="988">
        <f>J339*I339</f>
        <v>37.620000000000005</v>
      </c>
      <c r="L339" s="329">
        <f>K339-H339</f>
        <v>0</v>
      </c>
      <c r="M339" s="347">
        <f t="shared" si="53"/>
        <v>0</v>
      </c>
    </row>
    <row r="340" spans="1:13" ht="13.8" thickBot="1" x14ac:dyDescent="0.3">
      <c r="A340" s="58" t="str">
        <f t="shared" si="49"/>
        <v>UNMETERED SCATTERED LOAD SERVICE CLASSIFICATION</v>
      </c>
      <c r="B340" s="783"/>
      <c r="C340" s="357"/>
      <c r="D340" s="292"/>
      <c r="E340" s="293"/>
      <c r="F340" s="335"/>
      <c r="G340" s="216"/>
      <c r="H340" s="336"/>
      <c r="I340" s="335"/>
      <c r="J340" s="337"/>
      <c r="K340" s="336"/>
      <c r="L340" s="338"/>
      <c r="M340" s="219"/>
    </row>
    <row r="341" spans="1:13" x14ac:dyDescent="0.25">
      <c r="A341" s="58" t="str">
        <f t="shared" si="49"/>
        <v>UNMETERED SCATTERED LOAD SERVICE CLASSIFICATION</v>
      </c>
      <c r="B341" s="783" t="s">
        <v>1427</v>
      </c>
      <c r="C341" s="357"/>
      <c r="D341" s="296" t="s">
        <v>356</v>
      </c>
      <c r="E341" s="279"/>
      <c r="F341" s="311"/>
      <c r="G341" s="339"/>
      <c r="H341" s="297">
        <f>SUM(H331:H337,H330)</f>
        <v>46.7721947</v>
      </c>
      <c r="I341" s="298"/>
      <c r="J341" s="298"/>
      <c r="K341" s="297">
        <f>SUM(K331:K337,K330)</f>
        <v>46.742203199999999</v>
      </c>
      <c r="L341" s="299">
        <f>K341-H341</f>
        <v>-2.9991500000001281E-2</v>
      </c>
      <c r="M341" s="300">
        <f>IF((H341)=0,"",(L341/H341))</f>
        <v>-6.4122498831557459E-4</v>
      </c>
    </row>
    <row r="342" spans="1:13" x14ac:dyDescent="0.25">
      <c r="A342" s="58" t="str">
        <f t="shared" si="49"/>
        <v>UNMETERED SCATTERED LOAD SERVICE CLASSIFICATION</v>
      </c>
      <c r="B342" s="783" t="s">
        <v>1427</v>
      </c>
      <c r="C342" s="357"/>
      <c r="D342" s="301" t="s">
        <v>148</v>
      </c>
      <c r="E342" s="279"/>
      <c r="F342" s="311">
        <v>0.13</v>
      </c>
      <c r="G342" s="340"/>
      <c r="H342" s="302">
        <f>H341*F342</f>
        <v>6.0803853110000006</v>
      </c>
      <c r="I342" s="303">
        <v>0.13</v>
      </c>
      <c r="J342" s="304"/>
      <c r="K342" s="302">
        <f>K341*I342</f>
        <v>6.0764864159999998</v>
      </c>
      <c r="L342" s="305">
        <f>K342-H342</f>
        <v>-3.898895000000735E-3</v>
      </c>
      <c r="M342" s="306">
        <f>IF((H342)=0,"",(L342/H342))</f>
        <v>-6.4122498831566805E-4</v>
      </c>
    </row>
    <row r="343" spans="1:13" x14ac:dyDescent="0.25">
      <c r="A343" s="58" t="str">
        <f t="shared" si="49"/>
        <v>UNMETERED SCATTERED LOAD SERVICE CLASSIFICATION</v>
      </c>
      <c r="B343" s="783" t="s">
        <v>1427</v>
      </c>
      <c r="C343" s="357"/>
      <c r="D343" s="301" t="s">
        <v>5907</v>
      </c>
      <c r="E343" s="279"/>
      <c r="F343" s="1238">
        <v>0.318</v>
      </c>
      <c r="G343" s="340"/>
      <c r="H343" s="302">
        <f>IF(OR(ISNUMBER(SEARCH("[DGEN]", E302))=TRUE, ISNUMBER(SEARCH("STREET LIGHT", E302))=TRUE), 0, IF(AND(E304=0, E305=0),0, IF(AND(E305=0, E304*12&gt;250000), 0, IF(AND(E304=0, E305&gt;=50), 0, IF(E304*12&lt;=250000, F343*H341*-1, IF(E305&lt;50, F343*H341*-1, 0))))))</f>
        <v>-14.873557914600001</v>
      </c>
      <c r="I343" s="1238">
        <v>0.318</v>
      </c>
      <c r="J343" s="304"/>
      <c r="K343" s="302">
        <f>IF(OR(ISNUMBER(SEARCH("[DGEN]", E302))=TRUE, ISNUMBER(SEARCH("STREET LIGHT", E302))=TRUE), 0, IF(AND(E304=0, E305=0),0, IF(AND(E305=0, E304*12&gt;250000), 0, IF(AND(E304=0, E305&gt;=50), 0, IF(E304*12&lt;=250000, I343*K341*-1, IF(E305&lt;50, I343*K341*-1, 0))))))</f>
        <v>-14.8640206176</v>
      </c>
      <c r="L343" s="305">
        <f>K343-H343</f>
        <v>9.5372970000013879E-3</v>
      </c>
      <c r="M343" s="306"/>
    </row>
    <row r="344" spans="1:13" ht="13.8" thickBot="1" x14ac:dyDescent="0.3">
      <c r="A344" s="58" t="str">
        <f t="shared" si="49"/>
        <v>UNMETERED SCATTERED LOAD SERVICE CLASSIFICATION</v>
      </c>
      <c r="B344" s="783" t="s">
        <v>1439</v>
      </c>
      <c r="C344" s="357">
        <f>B34</f>
        <v>5</v>
      </c>
      <c r="D344" s="1943" t="s">
        <v>1440</v>
      </c>
      <c r="E344" s="1943"/>
      <c r="F344" s="341"/>
      <c r="G344" s="342"/>
      <c r="H344" s="312">
        <f>H341+H342+H343</f>
        <v>37.979022096400001</v>
      </c>
      <c r="I344" s="308"/>
      <c r="J344" s="308"/>
      <c r="K344" s="307">
        <f>K341+K342+K343</f>
        <v>37.954668998400003</v>
      </c>
      <c r="L344" s="309">
        <f>K344-H344</f>
        <v>-2.4353097999998852E-2</v>
      </c>
      <c r="M344" s="310">
        <f>IF((H344)=0,"",(L344/H344))</f>
        <v>-6.4122498831551702E-4</v>
      </c>
    </row>
    <row r="345" spans="1:13" ht="13.8" thickBot="1" x14ac:dyDescent="0.3">
      <c r="A345" s="58" t="str">
        <f t="shared" si="49"/>
        <v>UNMETERED SCATTERED LOAD SERVICE CLASSIFICATION</v>
      </c>
      <c r="B345" s="58" t="s">
        <v>1427</v>
      </c>
      <c r="C345" s="357"/>
      <c r="D345" s="292"/>
      <c r="E345" s="293"/>
      <c r="F345" s="335"/>
      <c r="G345" s="216"/>
      <c r="H345" s="336"/>
      <c r="I345" s="335"/>
      <c r="J345" s="337"/>
      <c r="K345" s="336"/>
      <c r="L345" s="338"/>
      <c r="M345" s="219"/>
    </row>
    <row r="346" spans="1:13" hidden="1" x14ac:dyDescent="0.25">
      <c r="A346" s="58" t="str">
        <f t="shared" si="49"/>
        <v>UNMETERED SCATTERED LOAD SERVICE CLASSIFICATION</v>
      </c>
      <c r="B346" s="58" t="s">
        <v>1428</v>
      </c>
      <c r="C346" s="357"/>
      <c r="D346" s="296" t="s">
        <v>1441</v>
      </c>
      <c r="E346" s="279"/>
      <c r="F346" s="311"/>
      <c r="G346" s="339"/>
      <c r="H346" s="297">
        <f>SUM(H338,H331:H334,H330)</f>
        <v>47.745694700000001</v>
      </c>
      <c r="I346" s="298"/>
      <c r="J346" s="298"/>
      <c r="K346" s="297">
        <f>SUM(K338,K331:K334,K330)</f>
        <v>47.715703200000007</v>
      </c>
      <c r="L346" s="299">
        <f>K346-H346</f>
        <v>-2.9991499999994176E-2</v>
      </c>
      <c r="M346" s="300">
        <f>IF((H346)=0,"",(L346/H346))</f>
        <v>-6.2815087702544571E-4</v>
      </c>
    </row>
    <row r="347" spans="1:13" hidden="1" x14ac:dyDescent="0.25">
      <c r="A347" s="58" t="str">
        <f t="shared" si="49"/>
        <v>UNMETERED SCATTERED LOAD SERVICE CLASSIFICATION</v>
      </c>
      <c r="B347" s="58" t="s">
        <v>1428</v>
      </c>
      <c r="C347" s="357"/>
      <c r="D347" s="301" t="s">
        <v>148</v>
      </c>
      <c r="E347" s="279"/>
      <c r="F347" s="311">
        <v>0.13</v>
      </c>
      <c r="G347" s="339"/>
      <c r="H347" s="302">
        <f>H346*F347</f>
        <v>6.2069403110000003</v>
      </c>
      <c r="I347" s="311">
        <v>0.13</v>
      </c>
      <c r="J347" s="303"/>
      <c r="K347" s="302">
        <f>K346*I347</f>
        <v>6.2030414160000014</v>
      </c>
      <c r="L347" s="305">
        <f>K347-H347</f>
        <v>-3.8988949999989586E-3</v>
      </c>
      <c r="M347" s="306">
        <f>IF((H347)=0,"",(L347/H347))</f>
        <v>-6.2815087702539985E-4</v>
      </c>
    </row>
    <row r="348" spans="1:13" hidden="1" x14ac:dyDescent="0.25">
      <c r="A348" s="58" t="str">
        <f t="shared" si="49"/>
        <v>UNMETERED SCATTERED LOAD SERVICE CLASSIFICATION</v>
      </c>
      <c r="B348" s="58" t="s">
        <v>1428</v>
      </c>
      <c r="C348" s="357"/>
      <c r="D348" s="301" t="s">
        <v>5907</v>
      </c>
      <c r="E348" s="279"/>
      <c r="F348" s="1238">
        <v>0.318</v>
      </c>
      <c r="G348" s="339"/>
      <c r="H348" s="707">
        <f>IF(OR(ISNUMBER(SEARCH("[DGEN]", E302))=TRUE, ISNUMBER(SEARCH("STREET LIGHT", E302))=TRUE), 0, IF(AND(E304=0, E305=0),0, IF(AND(E305=0, E304*12&gt;250000), 0, IF(AND(E304=0, E305&gt;=50), 0, IF(E304*12&lt;=250000, F348*H346*-1, IF(E305&lt;50, F348*H346*-1, 0))))))</f>
        <v>-15.183130914600001</v>
      </c>
      <c r="I348" s="1238">
        <v>0.318</v>
      </c>
      <c r="J348" s="303"/>
      <c r="K348" s="707">
        <f>IF(OR(ISNUMBER(SEARCH("[DGEN]", E302))=TRUE, ISNUMBER(SEARCH("STREET LIGHT", E302))=TRUE), 0, IF(AND(E304=0, E305=0),0, IF(AND(E305=0, E304*12&gt;250000), 0, IF(AND(E304=0, E305&gt;=50), 0, IF(E304*12&lt;=250000, I348*K346*-1, IF(E305&lt;50, I348*K346*-1, 0))))))</f>
        <v>-15.173593617600002</v>
      </c>
      <c r="L348" s="305"/>
      <c r="M348" s="306"/>
    </row>
    <row r="349" spans="1:13" ht="13.8" hidden="1" thickBot="1" x14ac:dyDescent="0.3">
      <c r="A349" s="58" t="str">
        <f t="shared" si="49"/>
        <v>UNMETERED SCATTERED LOAD SERVICE CLASSIFICATION</v>
      </c>
      <c r="B349" s="58" t="s">
        <v>1442</v>
      </c>
      <c r="C349" s="357"/>
      <c r="D349" s="1943" t="s">
        <v>1441</v>
      </c>
      <c r="E349" s="1943"/>
      <c r="F349" s="343"/>
      <c r="G349" s="344"/>
      <c r="H349" s="312">
        <f>SUM(H346,H347)</f>
        <v>53.952635010999998</v>
      </c>
      <c r="I349" s="313"/>
      <c r="J349" s="313"/>
      <c r="K349" s="312">
        <f>SUM(K346,K347)</f>
        <v>53.918744616000012</v>
      </c>
      <c r="L349" s="314">
        <f>K349-H349</f>
        <v>-3.3890394999986029E-2</v>
      </c>
      <c r="M349" s="315">
        <f>IF((H349)=0,"",(L349/H349))</f>
        <v>-6.2815087702530878E-4</v>
      </c>
    </row>
    <row r="350" spans="1:13" ht="13.8" hidden="1" thickBot="1" x14ac:dyDescent="0.3">
      <c r="A350" s="58" t="str">
        <f t="shared" si="49"/>
        <v>UNMETERED SCATTERED LOAD SERVICE CLASSIFICATION</v>
      </c>
      <c r="B350" s="58" t="s">
        <v>1428</v>
      </c>
      <c r="C350" s="357"/>
      <c r="D350" s="292"/>
      <c r="E350" s="293"/>
      <c r="F350" s="213"/>
      <c r="G350" s="214"/>
      <c r="H350" s="215"/>
      <c r="I350" s="213"/>
      <c r="J350" s="216"/>
      <c r="K350" s="215"/>
      <c r="L350" s="218"/>
      <c r="M350" s="219"/>
    </row>
    <row r="351" spans="1:13" hidden="1" x14ac:dyDescent="0.25">
      <c r="A351" s="58" t="str">
        <f t="shared" si="49"/>
        <v>UNMETERED SCATTERED LOAD SERVICE CLASSIFICATION</v>
      </c>
      <c r="B351" s="58" t="s">
        <v>1429</v>
      </c>
      <c r="C351" s="357"/>
      <c r="D351" s="296" t="s">
        <v>1443</v>
      </c>
      <c r="E351" s="279"/>
      <c r="F351" s="311"/>
      <c r="G351" s="339"/>
      <c r="H351" s="297">
        <f>SUM(H339,H331:H334,H330)</f>
        <v>47.745694700000001</v>
      </c>
      <c r="I351" s="298"/>
      <c r="J351" s="298"/>
      <c r="K351" s="297">
        <f>SUM(K339,K331:K334,K330)</f>
        <v>47.715703200000007</v>
      </c>
      <c r="L351" s="299">
        <f>K351-H351</f>
        <v>-2.9991499999994176E-2</v>
      </c>
      <c r="M351" s="300">
        <f>IF((H351)=0,"",(L351/H351))</f>
        <v>-6.2815087702544571E-4</v>
      </c>
    </row>
    <row r="352" spans="1:13" hidden="1" x14ac:dyDescent="0.25">
      <c r="A352" s="58" t="str">
        <f t="shared" si="49"/>
        <v>UNMETERED SCATTERED LOAD SERVICE CLASSIFICATION</v>
      </c>
      <c r="B352" s="58" t="s">
        <v>1429</v>
      </c>
      <c r="C352" s="357"/>
      <c r="D352" s="301" t="s">
        <v>148</v>
      </c>
      <c r="E352" s="279"/>
      <c r="F352" s="311">
        <v>0.13</v>
      </c>
      <c r="G352" s="339"/>
      <c r="H352" s="302">
        <f>H351*F352</f>
        <v>6.2069403110000003</v>
      </c>
      <c r="I352" s="311">
        <v>0.13</v>
      </c>
      <c r="J352" s="303"/>
      <c r="K352" s="302">
        <f>K351*I352</f>
        <v>6.2030414160000014</v>
      </c>
      <c r="L352" s="305">
        <f>K352-H352</f>
        <v>-3.8988949999989586E-3</v>
      </c>
      <c r="M352" s="306">
        <f>IF((H352)=0,"",(L352/H352))</f>
        <v>-6.2815087702539985E-4</v>
      </c>
    </row>
    <row r="353" spans="1:20" hidden="1" x14ac:dyDescent="0.25">
      <c r="A353" s="58" t="str">
        <f t="shared" si="49"/>
        <v>UNMETERED SCATTERED LOAD SERVICE CLASSIFICATION</v>
      </c>
      <c r="B353" s="58" t="s">
        <v>1429</v>
      </c>
      <c r="C353" s="357"/>
      <c r="D353" s="301" t="s">
        <v>5907</v>
      </c>
      <c r="E353" s="279"/>
      <c r="F353" s="1238">
        <v>0.318</v>
      </c>
      <c r="G353" s="339"/>
      <c r="H353" s="707">
        <f>IF(OR(ISNUMBER(SEARCH("[DGEN]", E302))=TRUE, ISNUMBER(SEARCH("STREET LIGHT", E302))=TRUE), 0, IF(AND(E304=0, E305=0),0, IF(AND(E305=0, E304*12&gt;250000), 0, IF(AND(E304=0, E305&gt;=50), 0, IF(E304*12&lt;=250000, F353*H351*-1, IF(E305&lt;50, F353*H351*-1, 0))))))</f>
        <v>-15.183130914600001</v>
      </c>
      <c r="I353" s="1238">
        <v>0.318</v>
      </c>
      <c r="J353" s="303"/>
      <c r="K353" s="707">
        <f>IF(OR(ISNUMBER(SEARCH("[DGEN]", E302))=TRUE, ISNUMBER(SEARCH("STREET LIGHT", E302))=TRUE), 0, IF(AND(E304=0, E305=0),0, IF(AND(E305=0, E304*12&gt;250000), 0, IF(AND(E304=0, E305&gt;=50), 0, IF(E304*12&lt;=250000, I353*K351*-1, IF(E305&lt;50, I353*K351*-1, 0))))))</f>
        <v>-15.173593617600002</v>
      </c>
      <c r="L353" s="305"/>
      <c r="M353" s="306"/>
    </row>
    <row r="354" spans="1:20" ht="13.8" hidden="1" thickBot="1" x14ac:dyDescent="0.3">
      <c r="A354" s="58" t="str">
        <f t="shared" si="49"/>
        <v>UNMETERED SCATTERED LOAD SERVICE CLASSIFICATION</v>
      </c>
      <c r="B354" s="58" t="s">
        <v>1444</v>
      </c>
      <c r="C354" s="357"/>
      <c r="D354" s="1943" t="s">
        <v>1443</v>
      </c>
      <c r="E354" s="1943"/>
      <c r="F354" s="343"/>
      <c r="G354" s="344"/>
      <c r="H354" s="312">
        <f>SUM(H351,H352)</f>
        <v>53.952635010999998</v>
      </c>
      <c r="I354" s="313"/>
      <c r="J354" s="313"/>
      <c r="K354" s="312">
        <f>SUM(K351,K352)</f>
        <v>53.918744616000012</v>
      </c>
      <c r="L354" s="314">
        <f>K354-H354</f>
        <v>-3.3890394999986029E-2</v>
      </c>
      <c r="M354" s="315">
        <f>IF((H354)=0,"",(L354/H354))</f>
        <v>-6.2815087702530878E-4</v>
      </c>
    </row>
    <row r="355" spans="1:20" ht="13.8" hidden="1" thickBot="1" x14ac:dyDescent="0.3">
      <c r="A355" s="58" t="str">
        <f t="shared" si="49"/>
        <v>UNMETERED SCATTERED LOAD SERVICE CLASSIFICATION</v>
      </c>
      <c r="B355" s="58" t="s">
        <v>1429</v>
      </c>
      <c r="C355" s="357"/>
      <c r="D355" s="292"/>
      <c r="E355" s="293"/>
      <c r="F355" s="316"/>
      <c r="G355" s="317"/>
      <c r="H355" s="318"/>
      <c r="I355" s="316"/>
      <c r="J355" s="294"/>
      <c r="K355" s="318"/>
      <c r="L355" s="319"/>
      <c r="M355" s="295"/>
    </row>
    <row r="358" spans="1:20" x14ac:dyDescent="0.25">
      <c r="C358" s="58"/>
      <c r="D358" s="264" t="s">
        <v>1432</v>
      </c>
      <c r="E358" s="1952" t="str">
        <f>D35</f>
        <v>SENTINEL LIGHTING SERVICE CLASSIFICATION</v>
      </c>
      <c r="F358" s="1952"/>
      <c r="G358" s="1952"/>
      <c r="H358" s="1952"/>
      <c r="I358" s="1952"/>
      <c r="J358" s="1952"/>
      <c r="K358" s="58" t="str">
        <f>IF(N35="DEMAND - INTERVAL","RTSR - INTERVAL METERED","")</f>
        <v/>
      </c>
      <c r="T358" s="58" t="s">
        <v>603</v>
      </c>
    </row>
    <row r="359" spans="1:20" x14ac:dyDescent="0.25">
      <c r="C359" s="58"/>
      <c r="D359" s="264" t="s">
        <v>1433</v>
      </c>
      <c r="E359" s="1953" t="str">
        <f>H35</f>
        <v>RPP</v>
      </c>
      <c r="F359" s="1953"/>
      <c r="G359" s="1953"/>
      <c r="H359" s="265"/>
      <c r="I359" s="265"/>
    </row>
    <row r="360" spans="1:20" ht="15.6" x14ac:dyDescent="0.25">
      <c r="C360" s="58"/>
      <c r="D360" s="264" t="s">
        <v>153</v>
      </c>
      <c r="E360" s="1626">
        <f>K35</f>
        <v>75</v>
      </c>
      <c r="F360" s="267" t="s">
        <v>154</v>
      </c>
      <c r="G360" s="783"/>
      <c r="J360" s="268"/>
      <c r="K360" s="268"/>
      <c r="L360" s="268"/>
      <c r="M360" s="268"/>
      <c r="N360" s="268"/>
    </row>
    <row r="361" spans="1:20" ht="15.6" x14ac:dyDescent="0.3">
      <c r="C361" s="58"/>
      <c r="D361" s="264" t="s">
        <v>360</v>
      </c>
      <c r="E361" s="1626">
        <f>L35</f>
        <v>0</v>
      </c>
      <c r="F361" s="269" t="s">
        <v>155</v>
      </c>
      <c r="G361" s="270"/>
      <c r="H361" s="271"/>
      <c r="I361" s="271"/>
      <c r="J361" s="271"/>
    </row>
    <row r="362" spans="1:20" x14ac:dyDescent="0.25">
      <c r="C362" s="58"/>
      <c r="D362" s="264" t="s">
        <v>1464</v>
      </c>
      <c r="E362" s="272">
        <f>I35</f>
        <v>1.0452999999999999</v>
      </c>
    </row>
    <row r="363" spans="1:20" x14ac:dyDescent="0.25">
      <c r="C363" s="58"/>
      <c r="D363" s="264" t="s">
        <v>1465</v>
      </c>
      <c r="E363" s="272">
        <f>J35</f>
        <v>1.0452999999999999</v>
      </c>
    </row>
    <row r="364" spans="1:20" x14ac:dyDescent="0.25">
      <c r="C364" s="58"/>
      <c r="D364" s="783"/>
    </row>
    <row r="365" spans="1:20" x14ac:dyDescent="0.25">
      <c r="C365" s="58"/>
      <c r="D365" s="783"/>
      <c r="E365" s="273"/>
      <c r="F365" s="1944" t="s">
        <v>1943</v>
      </c>
      <c r="G365" s="1954"/>
      <c r="H365" s="1945"/>
      <c r="I365" s="1944" t="s">
        <v>341</v>
      </c>
      <c r="J365" s="1954"/>
      <c r="K365" s="1945"/>
      <c r="L365" s="1944" t="s">
        <v>342</v>
      </c>
      <c r="M365" s="1945"/>
    </row>
    <row r="366" spans="1:20" x14ac:dyDescent="0.25">
      <c r="C366" s="58"/>
      <c r="D366" s="783"/>
      <c r="E366" s="1946"/>
      <c r="F366" s="274" t="s">
        <v>343</v>
      </c>
      <c r="G366" s="274" t="s">
        <v>146</v>
      </c>
      <c r="H366" s="275" t="s">
        <v>344</v>
      </c>
      <c r="I366" s="274" t="s">
        <v>343</v>
      </c>
      <c r="J366" s="276" t="s">
        <v>146</v>
      </c>
      <c r="K366" s="275" t="s">
        <v>344</v>
      </c>
      <c r="L366" s="1948" t="s">
        <v>345</v>
      </c>
      <c r="M366" s="1950" t="s">
        <v>346</v>
      </c>
    </row>
    <row r="367" spans="1:20" x14ac:dyDescent="0.25">
      <c r="C367" s="58"/>
      <c r="D367" s="783"/>
      <c r="E367" s="1947"/>
      <c r="F367" s="277" t="s">
        <v>347</v>
      </c>
      <c r="G367" s="277"/>
      <c r="H367" s="278" t="s">
        <v>347</v>
      </c>
      <c r="I367" s="277" t="s">
        <v>347</v>
      </c>
      <c r="J367" s="278"/>
      <c r="K367" s="278" t="s">
        <v>347</v>
      </c>
      <c r="L367" s="1949"/>
      <c r="M367" s="1951"/>
    </row>
    <row r="368" spans="1:20" x14ac:dyDescent="0.25">
      <c r="A368" s="58" t="str">
        <f>$E358</f>
        <v>SENTINEL LIGHTING SERVICE CLASSIFICATION</v>
      </c>
      <c r="C368" s="357"/>
      <c r="D368" s="68" t="s">
        <v>348</v>
      </c>
      <c r="E368" s="322"/>
      <c r="F368" s="345">
        <v>5.95</v>
      </c>
      <c r="G368" s="304"/>
      <c r="H368" s="346">
        <f>G368*F368</f>
        <v>0</v>
      </c>
      <c r="I368" s="982">
        <v>6.05</v>
      </c>
      <c r="J368" s="989"/>
      <c r="K368" s="988">
        <f>J368*I368</f>
        <v>0</v>
      </c>
      <c r="L368" s="329">
        <f t="shared" ref="L368:L389" si="54">K368-H368</f>
        <v>0</v>
      </c>
      <c r="M368" s="347" t="str">
        <f>IF(ISERROR(L368/H368), "", L368/H368)</f>
        <v/>
      </c>
    </row>
    <row r="369" spans="1:14" x14ac:dyDescent="0.25">
      <c r="A369" s="58" t="str">
        <f>A368</f>
        <v>SENTINEL LIGHTING SERVICE CLASSIFICATION</v>
      </c>
      <c r="C369" s="357"/>
      <c r="D369" s="68" t="s">
        <v>80</v>
      </c>
      <c r="E369" s="322"/>
      <c r="F369" s="326">
        <v>15.737399999999999</v>
      </c>
      <c r="G369" s="304">
        <f>IF($E361&gt;0, $E361, $E360)</f>
        <v>75</v>
      </c>
      <c r="H369" s="346">
        <f t="shared" ref="H369:H381" si="55">G369*F369</f>
        <v>1180.3049999999998</v>
      </c>
      <c r="I369" s="983">
        <v>16.004899999999999</v>
      </c>
      <c r="J369" s="989">
        <f>IF($E361&gt;0, $E361, $E360)</f>
        <v>75</v>
      </c>
      <c r="K369" s="988">
        <f>J369*I369</f>
        <v>1200.3674999999998</v>
      </c>
      <c r="L369" s="329">
        <f t="shared" si="54"/>
        <v>20.0625</v>
      </c>
      <c r="M369" s="347">
        <f t="shared" ref="M369:M379" si="56">IF(ISERROR(L369/H369), "", L369/H369)</f>
        <v>1.6997725164258393E-2</v>
      </c>
    </row>
    <row r="370" spans="1:14" hidden="1" x14ac:dyDescent="0.25">
      <c r="A370" s="58" t="str">
        <f t="shared" ref="A370:A411" si="57">A369</f>
        <v>SENTINEL LIGHTING SERVICE CLASSIFICATION</v>
      </c>
      <c r="C370" s="357"/>
      <c r="D370" s="68" t="s">
        <v>4311</v>
      </c>
      <c r="E370" s="322"/>
      <c r="F370" s="326"/>
      <c r="G370" s="304">
        <f>IF($E361&gt;0, $E361, $E360)</f>
        <v>75</v>
      </c>
      <c r="H370" s="346">
        <v>0</v>
      </c>
      <c r="I370" s="983"/>
      <c r="J370" s="989">
        <f>IF($E361&gt;0, $E361, $E360)</f>
        <v>75</v>
      </c>
      <c r="K370" s="988">
        <v>0</v>
      </c>
      <c r="L370" s="329"/>
      <c r="M370" s="347"/>
    </row>
    <row r="371" spans="1:14" hidden="1" x14ac:dyDescent="0.25">
      <c r="A371" s="58" t="str">
        <f t="shared" si="57"/>
        <v>SENTINEL LIGHTING SERVICE CLASSIFICATION</v>
      </c>
      <c r="C371" s="357"/>
      <c r="D371" s="68" t="s">
        <v>3743</v>
      </c>
      <c r="E371" s="322"/>
      <c r="F371" s="326"/>
      <c r="G371" s="304">
        <f>IF($E361&gt;0, $E361, $E360)</f>
        <v>75</v>
      </c>
      <c r="H371" s="346">
        <v>0</v>
      </c>
      <c r="I371" s="983"/>
      <c r="J371" s="992">
        <f>IF($E361&gt;0, $E361, $E360)</f>
        <v>75</v>
      </c>
      <c r="K371" s="988">
        <v>0</v>
      </c>
      <c r="L371" s="329">
        <f>K371-H371</f>
        <v>0</v>
      </c>
      <c r="M371" s="347" t="str">
        <f>IF(ISERROR(L371/H371), "", L371/H371)</f>
        <v/>
      </c>
    </row>
    <row r="372" spans="1:14" x14ac:dyDescent="0.25">
      <c r="A372" s="58" t="str">
        <f t="shared" si="57"/>
        <v>SENTINEL LIGHTING SERVICE CLASSIFICATION</v>
      </c>
      <c r="C372" s="357"/>
      <c r="D372" s="69" t="s">
        <v>358</v>
      </c>
      <c r="E372" s="322"/>
      <c r="F372" s="345">
        <v>0</v>
      </c>
      <c r="G372" s="304"/>
      <c r="H372" s="346">
        <f t="shared" si="55"/>
        <v>0</v>
      </c>
      <c r="I372" s="982">
        <v>0</v>
      </c>
      <c r="J372" s="989"/>
      <c r="K372" s="988">
        <f t="shared" ref="K372:K379" si="58">J372*I372</f>
        <v>0</v>
      </c>
      <c r="L372" s="329">
        <f t="shared" si="54"/>
        <v>0</v>
      </c>
      <c r="M372" s="347" t="str">
        <f t="shared" si="56"/>
        <v/>
      </c>
    </row>
    <row r="373" spans="1:14" x14ac:dyDescent="0.25">
      <c r="A373" s="58" t="str">
        <f t="shared" si="57"/>
        <v>SENTINEL LIGHTING SERVICE CLASSIFICATION</v>
      </c>
      <c r="C373" s="357"/>
      <c r="D373" s="68" t="s">
        <v>359</v>
      </c>
      <c r="E373" s="322"/>
      <c r="F373" s="326">
        <v>-0.66589999999999994</v>
      </c>
      <c r="G373" s="304">
        <f>IF($E361&gt;0, $E361, $E360)</f>
        <v>75</v>
      </c>
      <c r="H373" s="346">
        <f t="shared" si="55"/>
        <v>-49.942499999999995</v>
      </c>
      <c r="I373" s="983">
        <v>-0.85609999999999997</v>
      </c>
      <c r="J373" s="989">
        <f>IF($E361&gt;0, $E361, $E360)</f>
        <v>75</v>
      </c>
      <c r="K373" s="988">
        <f t="shared" si="58"/>
        <v>-64.207499999999996</v>
      </c>
      <c r="L373" s="329">
        <f t="shared" si="54"/>
        <v>-14.265000000000001</v>
      </c>
      <c r="M373" s="347">
        <f t="shared" si="56"/>
        <v>0.28562847274365522</v>
      </c>
    </row>
    <row r="374" spans="1:14" x14ac:dyDescent="0.25">
      <c r="A374" s="58" t="str">
        <f t="shared" si="57"/>
        <v>SENTINEL LIGHTING SERVICE CLASSIFICATION</v>
      </c>
      <c r="B374" s="280" t="s">
        <v>1434</v>
      </c>
      <c r="C374" s="357">
        <f>B35</f>
        <v>6</v>
      </c>
      <c r="D374" s="281" t="s">
        <v>349</v>
      </c>
      <c r="E374" s="282"/>
      <c r="F374" s="348"/>
      <c r="G374" s="717"/>
      <c r="H374" s="718">
        <f>SUM(H368:H373)</f>
        <v>1130.3624999999997</v>
      </c>
      <c r="I374" s="349"/>
      <c r="J374" s="289"/>
      <c r="K374" s="718">
        <f>SUM(K368:K373)</f>
        <v>1136.1599999999999</v>
      </c>
      <c r="L374" s="283">
        <f t="shared" si="54"/>
        <v>5.7975000000001273</v>
      </c>
      <c r="M374" s="284">
        <f>IF((H374)=0,"",(L374/H374))</f>
        <v>5.1288856450918434E-3</v>
      </c>
    </row>
    <row r="375" spans="1:14" x14ac:dyDescent="0.25">
      <c r="A375" s="58" t="str">
        <f t="shared" si="57"/>
        <v>SENTINEL LIGHTING SERVICE CLASSIFICATION</v>
      </c>
      <c r="C375" s="357"/>
      <c r="D375" s="72" t="s">
        <v>421</v>
      </c>
      <c r="E375" s="322"/>
      <c r="F375" s="326">
        <f>IF((E360*12&gt;=150000), 0, IF(E359="RPP",(F391*0.64+F392*0.18+F393*0.18),IF(E359="Non-RPP (Retailer)",F394,F395)))</f>
        <v>0.13325999999999999</v>
      </c>
      <c r="G375" s="332">
        <f>IF(F375=0, 0, $E360*E362-E360)</f>
        <v>3.3974999999999937</v>
      </c>
      <c r="H375" s="346">
        <f>G375*F375</f>
        <v>0.45275084999999915</v>
      </c>
      <c r="I375" s="983">
        <f>IF((E360*12&gt;=150000), 0, IF(E359="RPP",(I391*0.64+I392*0.18+I393*0.18),IF(E359="Non-RPP (Retailer)",I394,I395)))</f>
        <v>0.13325999999999999</v>
      </c>
      <c r="J375" s="987">
        <f>IF(I375=0, 0, E360*E363-E360)</f>
        <v>3.3974999999999937</v>
      </c>
      <c r="K375" s="988">
        <f>J375*I375</f>
        <v>0.45275084999999915</v>
      </c>
      <c r="L375" s="329">
        <f>K375-H375</f>
        <v>0</v>
      </c>
      <c r="M375" s="347">
        <f>IF(ISERROR(L375/H375), "", L375/H375)</f>
        <v>0</v>
      </c>
    </row>
    <row r="376" spans="1:14" ht="26.4" x14ac:dyDescent="0.25">
      <c r="A376" s="58" t="str">
        <f t="shared" si="57"/>
        <v>SENTINEL LIGHTING SERVICE CLASSIFICATION</v>
      </c>
      <c r="C376" s="357"/>
      <c r="D376" s="72" t="s">
        <v>357</v>
      </c>
      <c r="E376" s="322"/>
      <c r="F376" s="326">
        <v>0</v>
      </c>
      <c r="G376" s="333">
        <f>IF($E361&gt;0, $E361, $E360)</f>
        <v>75</v>
      </c>
      <c r="H376" s="346">
        <f t="shared" si="55"/>
        <v>0</v>
      </c>
      <c r="I376" s="983">
        <v>0</v>
      </c>
      <c r="J376" s="991">
        <f>IF($E361&gt;0, $E361, $E360)</f>
        <v>75</v>
      </c>
      <c r="K376" s="988">
        <f t="shared" si="58"/>
        <v>0</v>
      </c>
      <c r="L376" s="329">
        <f t="shared" si="54"/>
        <v>0</v>
      </c>
      <c r="M376" s="347" t="str">
        <f t="shared" si="56"/>
        <v/>
      </c>
    </row>
    <row r="377" spans="1:14" x14ac:dyDescent="0.25">
      <c r="A377" s="58" t="str">
        <f t="shared" si="57"/>
        <v>SENTINEL LIGHTING SERVICE CLASSIFICATION</v>
      </c>
      <c r="C377" s="357"/>
      <c r="D377" s="72" t="s">
        <v>2299</v>
      </c>
      <c r="E377" s="322"/>
      <c r="F377" s="326">
        <v>0</v>
      </c>
      <c r="G377" s="333">
        <f>IF($E361&gt;0, $E361, $E360)</f>
        <v>75</v>
      </c>
      <c r="H377" s="346">
        <f>G377*F377</f>
        <v>0</v>
      </c>
      <c r="I377" s="983">
        <v>0</v>
      </c>
      <c r="J377" s="991">
        <f>IF($E361&gt;0, $E361, $E360)</f>
        <v>75</v>
      </c>
      <c r="K377" s="988">
        <f>J377*I377</f>
        <v>0</v>
      </c>
      <c r="L377" s="329">
        <f t="shared" si="54"/>
        <v>0</v>
      </c>
      <c r="M377" s="347" t="str">
        <f t="shared" si="56"/>
        <v/>
      </c>
    </row>
    <row r="378" spans="1:14" x14ac:dyDescent="0.25">
      <c r="A378" s="58" t="str">
        <f t="shared" si="57"/>
        <v>SENTINEL LIGHTING SERVICE CLASSIFICATION</v>
      </c>
      <c r="C378" s="357"/>
      <c r="D378" s="72" t="s">
        <v>1953</v>
      </c>
      <c r="E378" s="322"/>
      <c r="F378" s="326">
        <v>0</v>
      </c>
      <c r="G378" s="333">
        <f>E360</f>
        <v>75</v>
      </c>
      <c r="H378" s="346">
        <f>G378*F378</f>
        <v>0</v>
      </c>
      <c r="I378" s="983">
        <v>0</v>
      </c>
      <c r="J378" s="991">
        <f>E360</f>
        <v>75</v>
      </c>
      <c r="K378" s="988">
        <f t="shared" si="58"/>
        <v>0</v>
      </c>
      <c r="L378" s="329">
        <f t="shared" si="54"/>
        <v>0</v>
      </c>
      <c r="M378" s="347" t="str">
        <f t="shared" si="56"/>
        <v/>
      </c>
    </row>
    <row r="379" spans="1:14" x14ac:dyDescent="0.25">
      <c r="A379" s="58" t="str">
        <f t="shared" si="57"/>
        <v>SENTINEL LIGHTING SERVICE CLASSIFICATION</v>
      </c>
      <c r="C379" s="357"/>
      <c r="D379" s="74" t="s">
        <v>141</v>
      </c>
      <c r="E379" s="322"/>
      <c r="F379" s="326">
        <v>0.78820000000000001</v>
      </c>
      <c r="G379" s="333">
        <f>IF($E361&gt;0, $E361, $E360)</f>
        <v>75</v>
      </c>
      <c r="H379" s="346">
        <f t="shared" si="55"/>
        <v>59.115000000000002</v>
      </c>
      <c r="I379" s="983">
        <v>0.78820000000000001</v>
      </c>
      <c r="J379" s="991">
        <f>IF($E361&gt;0, $E361, $E360)</f>
        <v>75</v>
      </c>
      <c r="K379" s="988">
        <f t="shared" si="58"/>
        <v>59.115000000000002</v>
      </c>
      <c r="L379" s="329">
        <f t="shared" si="54"/>
        <v>0</v>
      </c>
      <c r="M379" s="347">
        <f t="shared" si="56"/>
        <v>0</v>
      </c>
    </row>
    <row r="380" spans="1:14" ht="26.4" x14ac:dyDescent="0.25">
      <c r="A380" s="58" t="str">
        <f t="shared" si="57"/>
        <v>SENTINEL LIGHTING SERVICE CLASSIFICATION</v>
      </c>
      <c r="C380" s="357"/>
      <c r="D380" s="391" t="s">
        <v>4312</v>
      </c>
      <c r="E380" s="322"/>
      <c r="F380" s="768">
        <f>IF(OR(ISNUMBER(SEARCH("RESIDENTIAL", E358))=TRUE, ISNUMBER(SEARCH("GENERAL SERVICE LESS THAN 50", E358))=TRUE), SME, 0)</f>
        <v>0</v>
      </c>
      <c r="G380" s="304"/>
      <c r="H380" s="346">
        <f>G380*F380</f>
        <v>0</v>
      </c>
      <c r="I380" s="984">
        <f>IF(OR(ISNUMBER(SEARCH("RESIDENTIAL", E358))=TRUE, ISNUMBER(SEARCH("GENERAL SERVICE LESS THAN 50", E358))=TRUE), SME, 0)</f>
        <v>0</v>
      </c>
      <c r="J380" s="992"/>
      <c r="K380" s="988">
        <f>J380*I380</f>
        <v>0</v>
      </c>
      <c r="L380" s="329">
        <f t="shared" si="54"/>
        <v>0</v>
      </c>
      <c r="M380" s="347" t="str">
        <f>IF(ISERROR(L380/H380), "", L380/H380)</f>
        <v/>
      </c>
    </row>
    <row r="381" spans="1:14" x14ac:dyDescent="0.25">
      <c r="A381" s="58" t="str">
        <f t="shared" si="57"/>
        <v>SENTINEL LIGHTING SERVICE CLASSIFICATION</v>
      </c>
      <c r="C381" s="357"/>
      <c r="D381" s="74" t="s">
        <v>3742</v>
      </c>
      <c r="E381" s="322"/>
      <c r="F381" s="345">
        <v>0</v>
      </c>
      <c r="G381" s="304"/>
      <c r="H381" s="346">
        <f t="shared" si="55"/>
        <v>0</v>
      </c>
      <c r="I381" s="982">
        <v>0</v>
      </c>
      <c r="J381" s="992"/>
      <c r="K381" s="988">
        <f>J381*I381</f>
        <v>0</v>
      </c>
      <c r="L381" s="329">
        <f>K381-H381</f>
        <v>0</v>
      </c>
      <c r="M381" s="347" t="str">
        <f>IF(ISERROR(L381/H381), "", L381/H381)</f>
        <v/>
      </c>
    </row>
    <row r="382" spans="1:14" x14ac:dyDescent="0.25">
      <c r="A382" s="58" t="str">
        <f t="shared" si="57"/>
        <v>SENTINEL LIGHTING SERVICE CLASSIFICATION</v>
      </c>
      <c r="C382" s="357"/>
      <c r="D382" s="74" t="s">
        <v>3741</v>
      </c>
      <c r="E382" s="322"/>
      <c r="F382" s="326">
        <v>0</v>
      </c>
      <c r="G382" s="333">
        <f>IF($E361&gt;0, $E361, $E360)</f>
        <v>75</v>
      </c>
      <c r="H382" s="346">
        <f>G382*F382</f>
        <v>0</v>
      </c>
      <c r="I382" s="983">
        <v>0</v>
      </c>
      <c r="J382" s="991">
        <f>IF($E361&gt;0, $E361, $E360)</f>
        <v>75</v>
      </c>
      <c r="K382" s="988">
        <f>J382*I382</f>
        <v>0</v>
      </c>
      <c r="L382" s="329">
        <f t="shared" si="54"/>
        <v>0</v>
      </c>
      <c r="M382" s="347" t="str">
        <f>IF(ISERROR(L382/H382), "", L382/H382)</f>
        <v/>
      </c>
    </row>
    <row r="383" spans="1:14" ht="26.4" x14ac:dyDescent="0.25">
      <c r="A383" s="58" t="str">
        <f t="shared" si="57"/>
        <v>SENTINEL LIGHTING SERVICE CLASSIFICATION</v>
      </c>
      <c r="B383" s="783" t="s">
        <v>1435</v>
      </c>
      <c r="C383" s="357">
        <f>B35</f>
        <v>6</v>
      </c>
      <c r="D383" s="286" t="s">
        <v>1466</v>
      </c>
      <c r="E383" s="287"/>
      <c r="F383" s="323"/>
      <c r="G383" s="330"/>
      <c r="H383" s="288">
        <f>SUM(H374:H382)</f>
        <v>1189.9302508499998</v>
      </c>
      <c r="I383" s="324"/>
      <c r="J383" s="331"/>
      <c r="K383" s="288">
        <f>SUM(K374:K382)</f>
        <v>1195.7277508499999</v>
      </c>
      <c r="L383" s="283">
        <f t="shared" si="54"/>
        <v>5.7975000000001273</v>
      </c>
      <c r="M383" s="284">
        <f>IF((H383)=0,"",(L383/H383))</f>
        <v>4.8721343085939822E-3</v>
      </c>
    </row>
    <row r="384" spans="1:14" x14ac:dyDescent="0.25">
      <c r="A384" s="58" t="str">
        <f t="shared" si="57"/>
        <v>SENTINEL LIGHTING SERVICE CLASSIFICATION</v>
      </c>
      <c r="C384" s="357"/>
      <c r="D384" s="76" t="s">
        <v>351</v>
      </c>
      <c r="E384" s="322"/>
      <c r="F384" s="326">
        <v>1.8505</v>
      </c>
      <c r="G384" s="332">
        <f>IF($E361&gt;0, $E361, $E360*$E362)</f>
        <v>78.397499999999994</v>
      </c>
      <c r="H384" s="346">
        <f>G384*F384</f>
        <v>145.07457374999998</v>
      </c>
      <c r="I384" s="325">
        <v>1.8164</v>
      </c>
      <c r="J384" s="987">
        <f>IF($E361&gt;0, $E361, $E360*$E363)</f>
        <v>78.397499999999994</v>
      </c>
      <c r="K384" s="988">
        <f>J384*I384</f>
        <v>142.401219</v>
      </c>
      <c r="L384" s="329">
        <f t="shared" si="54"/>
        <v>-2.6733547499999872</v>
      </c>
      <c r="M384" s="347">
        <f>IF(ISERROR(L384/H384), "", L384/H384)</f>
        <v>-1.8427452039989106E-2</v>
      </c>
      <c r="N384" s="1090" t="str">
        <f>IF(ISERROR(ABS(M384)), "", IF(ABS(M384)&gt;=4%, "In the manager's summary, discuss the reasoning for the change in RTSR rates", ""))</f>
        <v/>
      </c>
    </row>
    <row r="385" spans="1:14" ht="26.4" x14ac:dyDescent="0.25">
      <c r="A385" s="58" t="str">
        <f t="shared" si="57"/>
        <v>SENTINEL LIGHTING SERVICE CLASSIFICATION</v>
      </c>
      <c r="C385" s="357"/>
      <c r="D385" s="169" t="s">
        <v>361</v>
      </c>
      <c r="E385" s="322"/>
      <c r="F385" s="326">
        <v>1.5789</v>
      </c>
      <c r="G385" s="332">
        <f>IF($E361&gt;0, $E361, $E360*$E362)</f>
        <v>78.397499999999994</v>
      </c>
      <c r="H385" s="346">
        <f>G385*F385</f>
        <v>123.78181274999999</v>
      </c>
      <c r="I385" s="325">
        <v>1.5411999999999999</v>
      </c>
      <c r="J385" s="987">
        <f>IF($E361&gt;0, $E361, $E360*$E363)</f>
        <v>78.397499999999994</v>
      </c>
      <c r="K385" s="988">
        <f>J385*I385</f>
        <v>120.82622699999999</v>
      </c>
      <c r="L385" s="329">
        <f t="shared" si="54"/>
        <v>-2.9555857499999973</v>
      </c>
      <c r="M385" s="347">
        <f>IF(ISERROR(L385/H385), "", L385/H385)</f>
        <v>-2.3877382988156292E-2</v>
      </c>
      <c r="N385" s="1090" t="str">
        <f>IF(ISERROR(ABS(M385)), "", IF(ABS(M385)&gt;=4%, "In the manager's summary, discuss the reasoning for the change in RTSR rates", ""))</f>
        <v/>
      </c>
    </row>
    <row r="386" spans="1:14" ht="26.4" x14ac:dyDescent="0.25">
      <c r="A386" s="58" t="str">
        <f t="shared" si="57"/>
        <v>SENTINEL LIGHTING SERVICE CLASSIFICATION</v>
      </c>
      <c r="B386" s="783" t="s">
        <v>1436</v>
      </c>
      <c r="C386" s="357">
        <f>B35</f>
        <v>6</v>
      </c>
      <c r="D386" s="286" t="s">
        <v>1467</v>
      </c>
      <c r="E386" s="282"/>
      <c r="F386" s="323"/>
      <c r="G386" s="330"/>
      <c r="H386" s="288">
        <f>SUM(H383:H385)</f>
        <v>1458.7866373499996</v>
      </c>
      <c r="I386" s="324"/>
      <c r="J386" s="289"/>
      <c r="K386" s="288">
        <f>SUM(K383:K385)</f>
        <v>1458.95519685</v>
      </c>
      <c r="L386" s="283">
        <f t="shared" si="54"/>
        <v>0.16855950000035591</v>
      </c>
      <c r="M386" s="284">
        <f>IF((H386)=0,"",(L386/H386))</f>
        <v>1.1554774062542653E-4</v>
      </c>
    </row>
    <row r="387" spans="1:14" ht="26.4" x14ac:dyDescent="0.25">
      <c r="A387" s="58" t="str">
        <f t="shared" si="57"/>
        <v>SENTINEL LIGHTING SERVICE CLASSIFICATION</v>
      </c>
      <c r="C387" s="357"/>
      <c r="D387" s="290" t="s">
        <v>352</v>
      </c>
      <c r="E387" s="322"/>
      <c r="F387" s="326">
        <f>IF(AND('1. Information Sheet'!$F$26:$H$26&gt;='17. Regulatory Charges'!$D$14,'1. Information Sheet'!$F$26:$H$26&lt;'17. Regulatory Charges'!$E$14),'17. Regulatory Charges'!$D$15+'17. Regulatory Charges'!$D$16,'17. Regulatory Charges'!$E$15+'17. Regulatory Charges'!$E$16)</f>
        <v>3.4000000000000002E-3</v>
      </c>
      <c r="G387" s="332">
        <f>E360*E362</f>
        <v>78.397499999999994</v>
      </c>
      <c r="H387" s="334">
        <f t="shared" ref="H387:H393" si="59">G387*F387</f>
        <v>0.2665515</v>
      </c>
      <c r="I387" s="983">
        <f>'17. Regulatory Charges'!$E$15+'17. Regulatory Charges'!$E$16</f>
        <v>3.4000000000000002E-3</v>
      </c>
      <c r="J387" s="987">
        <f>E360*E363</f>
        <v>78.397499999999994</v>
      </c>
      <c r="K387" s="988">
        <f t="shared" ref="K387:K393" si="60">J387*I387</f>
        <v>0.2665515</v>
      </c>
      <c r="L387" s="329">
        <f t="shared" si="54"/>
        <v>0</v>
      </c>
      <c r="M387" s="347">
        <f t="shared" ref="M387:M395" si="61">IF(ISERROR(L387/H387), "", L387/H387)</f>
        <v>0</v>
      </c>
    </row>
    <row r="388" spans="1:14" ht="26.4" x14ac:dyDescent="0.25">
      <c r="A388" s="58" t="str">
        <f t="shared" si="57"/>
        <v>SENTINEL LIGHTING SERVICE CLASSIFICATION</v>
      </c>
      <c r="C388" s="357"/>
      <c r="D388" s="290" t="s">
        <v>353</v>
      </c>
      <c r="E388" s="322"/>
      <c r="F388" s="326">
        <f>IF(AND('1. Information Sheet'!$F$26:$H$26&gt;='17. Regulatory Charges'!$D$14,'1. Information Sheet'!$F$26:$H$26&lt;'17. Regulatory Charges'!$D$14),'17. Regulatory Charges'!$D$17,'17. Regulatory Charges'!$E$17)</f>
        <v>5.0000000000000001E-4</v>
      </c>
      <c r="G388" s="332">
        <f>E360*E362</f>
        <v>78.397499999999994</v>
      </c>
      <c r="H388" s="334">
        <f t="shared" si="59"/>
        <v>3.9198749999999997E-2</v>
      </c>
      <c r="I388" s="983">
        <f>'17. Regulatory Charges'!$E$17</f>
        <v>5.0000000000000001E-4</v>
      </c>
      <c r="J388" s="987">
        <f>E360*E363</f>
        <v>78.397499999999994</v>
      </c>
      <c r="K388" s="988">
        <f t="shared" si="60"/>
        <v>3.9198749999999997E-2</v>
      </c>
      <c r="L388" s="329">
        <f t="shared" si="54"/>
        <v>0</v>
      </c>
      <c r="M388" s="347">
        <f t="shared" si="61"/>
        <v>0</v>
      </c>
    </row>
    <row r="389" spans="1:14" x14ac:dyDescent="0.25">
      <c r="A389" s="58" t="str">
        <f t="shared" si="57"/>
        <v>SENTINEL LIGHTING SERVICE CLASSIFICATION</v>
      </c>
      <c r="C389" s="357"/>
      <c r="D389" s="279" t="s">
        <v>354</v>
      </c>
      <c r="E389" s="322"/>
      <c r="F389" s="768">
        <f>IF(AND('1. Information Sheet'!$F$26:$H$26&gt;='17. Regulatory Charges'!$D$14,'1. Information Sheet'!$F$26:$H$26&lt;'17. Regulatory Charges'!$D$14),'17. Regulatory Charges'!$D$18,'17. Regulatory Charges'!$E$18)</f>
        <v>0.25</v>
      </c>
      <c r="G389" s="304"/>
      <c r="H389" s="334">
        <f t="shared" si="59"/>
        <v>0</v>
      </c>
      <c r="I389" s="984">
        <f>'17. Regulatory Charges'!$E$18</f>
        <v>0.25</v>
      </c>
      <c r="J389" s="989"/>
      <c r="K389" s="988">
        <f t="shared" si="60"/>
        <v>0</v>
      </c>
      <c r="L389" s="329">
        <f t="shared" si="54"/>
        <v>0</v>
      </c>
      <c r="M389" s="347" t="str">
        <f t="shared" si="61"/>
        <v/>
      </c>
    </row>
    <row r="390" spans="1:14" ht="26.4" hidden="1" x14ac:dyDescent="0.25">
      <c r="A390" s="58" t="str">
        <f t="shared" si="57"/>
        <v>SENTINEL LIGHTING SERVICE CLASSIFICATION</v>
      </c>
      <c r="C390" s="357"/>
      <c r="D390" s="290" t="s">
        <v>1468</v>
      </c>
      <c r="E390" s="322"/>
      <c r="F390" s="326"/>
      <c r="G390" s="332"/>
      <c r="H390" s="334"/>
      <c r="I390" s="983"/>
      <c r="J390" s="987"/>
      <c r="K390" s="988"/>
      <c r="L390" s="329"/>
      <c r="M390" s="347"/>
    </row>
    <row r="391" spans="1:14" x14ac:dyDescent="0.25">
      <c r="A391" s="58" t="str">
        <f t="shared" si="57"/>
        <v>SENTINEL LIGHTING SERVICE CLASSIFICATION</v>
      </c>
      <c r="B391" s="783" t="s">
        <v>1427</v>
      </c>
      <c r="C391" s="357"/>
      <c r="D391" s="285" t="s">
        <v>220</v>
      </c>
      <c r="E391" s="322"/>
      <c r="F391" s="327">
        <f>OffPeak</f>
        <v>0.105</v>
      </c>
      <c r="G391" s="291">
        <f>IF(AND(E360*12&gt;=150000),0.64*E360*E362,0.64*E360)</f>
        <v>48</v>
      </c>
      <c r="H391" s="334">
        <f t="shared" si="59"/>
        <v>5.04</v>
      </c>
      <c r="I391" s="985">
        <f>OffPeak</f>
        <v>0.105</v>
      </c>
      <c r="J391" s="990">
        <f>IF(AND(E360*12&gt;=150000),0.64*E360*E363,0.64*E360)</f>
        <v>48</v>
      </c>
      <c r="K391" s="988">
        <f t="shared" si="60"/>
        <v>5.04</v>
      </c>
      <c r="L391" s="329">
        <f>K391-H391</f>
        <v>0</v>
      </c>
      <c r="M391" s="347">
        <f t="shared" si="61"/>
        <v>0</v>
      </c>
    </row>
    <row r="392" spans="1:14" x14ac:dyDescent="0.25">
      <c r="A392" s="58" t="str">
        <f t="shared" si="57"/>
        <v>SENTINEL LIGHTING SERVICE CLASSIFICATION</v>
      </c>
      <c r="B392" s="783" t="s">
        <v>1427</v>
      </c>
      <c r="C392" s="357"/>
      <c r="D392" s="285" t="s">
        <v>221</v>
      </c>
      <c r="E392" s="322"/>
      <c r="F392" s="327">
        <f>MidPeak</f>
        <v>0.15</v>
      </c>
      <c r="G392" s="291">
        <f>IF(AND(E360*12&gt;=150000),0.18*E360*E362,0.18*E360)</f>
        <v>13.5</v>
      </c>
      <c r="H392" s="334">
        <f t="shared" si="59"/>
        <v>2.0249999999999999</v>
      </c>
      <c r="I392" s="985">
        <f>MidPeak</f>
        <v>0.15</v>
      </c>
      <c r="J392" s="990">
        <f>IF(AND(E360*12&gt;=150000),0.18*E360*E363,0.18*E360)</f>
        <v>13.5</v>
      </c>
      <c r="K392" s="988">
        <f t="shared" si="60"/>
        <v>2.0249999999999999</v>
      </c>
      <c r="L392" s="329">
        <f>K392-H392</f>
        <v>0</v>
      </c>
      <c r="M392" s="347">
        <f t="shared" si="61"/>
        <v>0</v>
      </c>
    </row>
    <row r="393" spans="1:14" ht="13.8" thickBot="1" x14ac:dyDescent="0.3">
      <c r="A393" s="58" t="str">
        <f t="shared" si="57"/>
        <v>SENTINEL LIGHTING SERVICE CLASSIFICATION</v>
      </c>
      <c r="B393" s="783" t="s">
        <v>1427</v>
      </c>
      <c r="C393" s="357"/>
      <c r="D393" s="783" t="s">
        <v>222</v>
      </c>
      <c r="E393" s="322"/>
      <c r="F393" s="327">
        <f>OnPeak</f>
        <v>0.217</v>
      </c>
      <c r="G393" s="291">
        <f>IF(AND(E360*12&gt;=150000),0.18*E360*E362,0.18*E360)</f>
        <v>13.5</v>
      </c>
      <c r="H393" s="334">
        <f t="shared" si="59"/>
        <v>2.9295</v>
      </c>
      <c r="I393" s="985">
        <f>OnPeak</f>
        <v>0.217</v>
      </c>
      <c r="J393" s="990">
        <f>IF(AND(E360*12&gt;=150000),0.18*E360*E363,0.18*E360)</f>
        <v>13.5</v>
      </c>
      <c r="K393" s="988">
        <f t="shared" si="60"/>
        <v>2.9295</v>
      </c>
      <c r="L393" s="329">
        <f>K393-H393</f>
        <v>0</v>
      </c>
      <c r="M393" s="347">
        <f t="shared" si="61"/>
        <v>0</v>
      </c>
    </row>
    <row r="394" spans="1:14" hidden="1" x14ac:dyDescent="0.25">
      <c r="A394" s="58" t="str">
        <f t="shared" si="57"/>
        <v>SENTINEL LIGHTING SERVICE CLASSIFICATION</v>
      </c>
      <c r="B394" s="58" t="s">
        <v>1428</v>
      </c>
      <c r="C394" s="357"/>
      <c r="D394" s="285" t="s">
        <v>1437</v>
      </c>
      <c r="E394" s="322"/>
      <c r="F394" s="328">
        <v>0.1368</v>
      </c>
      <c r="G394" s="291">
        <f>IF(AND(E360*12&gt;=150000),E360*E362,E360)</f>
        <v>75</v>
      </c>
      <c r="H394" s="334">
        <f>G394*F394</f>
        <v>10.26</v>
      </c>
      <c r="I394" s="986">
        <f>F394</f>
        <v>0.1368</v>
      </c>
      <c r="J394" s="990">
        <f>IF(AND(E360*12&gt;=150000),E360*E363,E360)</f>
        <v>75</v>
      </c>
      <c r="K394" s="988">
        <f>J394*I394</f>
        <v>10.26</v>
      </c>
      <c r="L394" s="329">
        <f>K394-H394</f>
        <v>0</v>
      </c>
      <c r="M394" s="347">
        <f t="shared" si="61"/>
        <v>0</v>
      </c>
    </row>
    <row r="395" spans="1:14" ht="13.8" hidden="1" thickBot="1" x14ac:dyDescent="0.3">
      <c r="A395" s="58" t="str">
        <f t="shared" si="57"/>
        <v>SENTINEL LIGHTING SERVICE CLASSIFICATION</v>
      </c>
      <c r="B395" s="58" t="s">
        <v>1429</v>
      </c>
      <c r="C395" s="357"/>
      <c r="D395" s="285" t="s">
        <v>1438</v>
      </c>
      <c r="E395" s="322"/>
      <c r="F395" s="328">
        <v>0.1368</v>
      </c>
      <c r="G395" s="291">
        <f>IF(AND(E360*12&gt;=150000),E360*E362,E360)</f>
        <v>75</v>
      </c>
      <c r="H395" s="334">
        <f>G395*F395</f>
        <v>10.26</v>
      </c>
      <c r="I395" s="986">
        <f>F395</f>
        <v>0.1368</v>
      </c>
      <c r="J395" s="990">
        <f>IF(AND(E360*12&gt;=150000),E360*E363,E360)</f>
        <v>75</v>
      </c>
      <c r="K395" s="988">
        <f>J395*I395</f>
        <v>10.26</v>
      </c>
      <c r="L395" s="329">
        <f>K395-H395</f>
        <v>0</v>
      </c>
      <c r="M395" s="347">
        <f t="shared" si="61"/>
        <v>0</v>
      </c>
    </row>
    <row r="396" spans="1:14" ht="13.8" thickBot="1" x14ac:dyDescent="0.3">
      <c r="A396" s="58" t="str">
        <f t="shared" si="57"/>
        <v>SENTINEL LIGHTING SERVICE CLASSIFICATION</v>
      </c>
      <c r="B396" s="783"/>
      <c r="C396" s="357"/>
      <c r="D396" s="292"/>
      <c r="E396" s="293"/>
      <c r="F396" s="335"/>
      <c r="G396" s="216"/>
      <c r="H396" s="336"/>
      <c r="I396" s="335"/>
      <c r="J396" s="337"/>
      <c r="K396" s="336"/>
      <c r="L396" s="338"/>
      <c r="M396" s="219"/>
    </row>
    <row r="397" spans="1:14" x14ac:dyDescent="0.25">
      <c r="A397" s="58" t="str">
        <f t="shared" si="57"/>
        <v>SENTINEL LIGHTING SERVICE CLASSIFICATION</v>
      </c>
      <c r="B397" s="783" t="s">
        <v>1427</v>
      </c>
      <c r="C397" s="357"/>
      <c r="D397" s="296" t="s">
        <v>356</v>
      </c>
      <c r="E397" s="279"/>
      <c r="F397" s="311"/>
      <c r="G397" s="339"/>
      <c r="H397" s="297">
        <f>SUM(H387:H393,H386)</f>
        <v>1469.0868875999997</v>
      </c>
      <c r="I397" s="298"/>
      <c r="J397" s="298"/>
      <c r="K397" s="297">
        <f>SUM(K387:K393,K386)</f>
        <v>1469.2554471000001</v>
      </c>
      <c r="L397" s="299">
        <f>K397-H397</f>
        <v>0.16855950000035591</v>
      </c>
      <c r="M397" s="300">
        <f>IF((H397)=0,"",(L397/H397))</f>
        <v>1.1473759749889687E-4</v>
      </c>
    </row>
    <row r="398" spans="1:14" x14ac:dyDescent="0.25">
      <c r="A398" s="58" t="str">
        <f t="shared" si="57"/>
        <v>SENTINEL LIGHTING SERVICE CLASSIFICATION</v>
      </c>
      <c r="B398" s="783" t="s">
        <v>1427</v>
      </c>
      <c r="C398" s="357"/>
      <c r="D398" s="301" t="s">
        <v>148</v>
      </c>
      <c r="E398" s="279"/>
      <c r="F398" s="311">
        <v>0.13</v>
      </c>
      <c r="G398" s="340"/>
      <c r="H398" s="302">
        <f>H397*F398</f>
        <v>190.98129538799998</v>
      </c>
      <c r="I398" s="303">
        <v>0.13</v>
      </c>
      <c r="J398" s="304"/>
      <c r="K398" s="302">
        <f>K397*I398</f>
        <v>191.00320812300001</v>
      </c>
      <c r="L398" s="305">
        <f>K398-H398</f>
        <v>2.1912735000029215E-2</v>
      </c>
      <c r="M398" s="306">
        <f>IF((H398)=0,"",(L398/H398))</f>
        <v>1.1473759749880756E-4</v>
      </c>
    </row>
    <row r="399" spans="1:14" x14ac:dyDescent="0.25">
      <c r="A399" s="58" t="str">
        <f t="shared" si="57"/>
        <v>SENTINEL LIGHTING SERVICE CLASSIFICATION</v>
      </c>
      <c r="B399" s="783" t="s">
        <v>1427</v>
      </c>
      <c r="C399" s="357"/>
      <c r="D399" s="301" t="s">
        <v>5907</v>
      </c>
      <c r="E399" s="279"/>
      <c r="F399" s="1238">
        <v>0.318</v>
      </c>
      <c r="G399" s="340"/>
      <c r="H399" s="302">
        <f>IF(OR(ISNUMBER(SEARCH("[DGEN]", E358))=TRUE, ISNUMBER(SEARCH("STREET LIGHT", E358))=TRUE), 0, IF(AND(E360=0, E361=0),0, IF(AND(E361=0, E360*12&gt;250000), 0, IF(AND(E360=0, E361&gt;=50), 0, IF(E360*12&lt;=250000, F399*H397*-1, IF(E361&lt;50, F399*H397*-1, 0))))))</f>
        <v>-467.16963025679991</v>
      </c>
      <c r="I399" s="1238">
        <v>0.318</v>
      </c>
      <c r="J399" s="304"/>
      <c r="K399" s="302">
        <f>IF(OR(ISNUMBER(SEARCH("[DGEN]", E358))=TRUE, ISNUMBER(SEARCH("STREET LIGHT", E358))=TRUE), 0, IF(AND(E360=0, E361=0),0, IF(AND(E361=0, E360*12&gt;250000), 0, IF(AND(E360=0, E361&gt;=50), 0, IF(E360*12&lt;=250000, I399*K397*-1, IF(E361&lt;50, I399*K397*-1, 0))))))</f>
        <v>-467.22323217780001</v>
      </c>
      <c r="L399" s="305">
        <f>K399-H399</f>
        <v>-5.3601921000108632E-2</v>
      </c>
      <c r="M399" s="306"/>
    </row>
    <row r="400" spans="1:14" ht="13.8" thickBot="1" x14ac:dyDescent="0.3">
      <c r="A400" s="58" t="str">
        <f t="shared" si="57"/>
        <v>SENTINEL LIGHTING SERVICE CLASSIFICATION</v>
      </c>
      <c r="B400" s="783" t="s">
        <v>1439</v>
      </c>
      <c r="C400" s="357">
        <f>B35</f>
        <v>6</v>
      </c>
      <c r="D400" s="1943" t="s">
        <v>1440</v>
      </c>
      <c r="E400" s="1943"/>
      <c r="F400" s="341"/>
      <c r="G400" s="342"/>
      <c r="H400" s="312">
        <f>H397+H398+H399</f>
        <v>1192.8985527311997</v>
      </c>
      <c r="I400" s="308"/>
      <c r="J400" s="308"/>
      <c r="K400" s="307">
        <f>K397+K398+K399</f>
        <v>1193.0354230451999</v>
      </c>
      <c r="L400" s="309">
        <f>K400-H400</f>
        <v>0.13687031400013439</v>
      </c>
      <c r="M400" s="310">
        <f>IF((H400)=0,"",(L400/H400))</f>
        <v>1.1473759749876726E-4</v>
      </c>
    </row>
    <row r="401" spans="1:20" ht="13.8" thickBot="1" x14ac:dyDescent="0.3">
      <c r="A401" s="58" t="str">
        <f t="shared" si="57"/>
        <v>SENTINEL LIGHTING SERVICE CLASSIFICATION</v>
      </c>
      <c r="B401" s="58" t="s">
        <v>1427</v>
      </c>
      <c r="C401" s="357"/>
      <c r="D401" s="292"/>
      <c r="E401" s="293"/>
      <c r="F401" s="335"/>
      <c r="G401" s="216"/>
      <c r="H401" s="336"/>
      <c r="I401" s="335"/>
      <c r="J401" s="337"/>
      <c r="K401" s="336"/>
      <c r="L401" s="338"/>
      <c r="M401" s="219"/>
    </row>
    <row r="402" spans="1:20" hidden="1" x14ac:dyDescent="0.25">
      <c r="A402" s="58" t="str">
        <f t="shared" si="57"/>
        <v>SENTINEL LIGHTING SERVICE CLASSIFICATION</v>
      </c>
      <c r="B402" s="58" t="s">
        <v>1428</v>
      </c>
      <c r="C402" s="357"/>
      <c r="D402" s="296" t="s">
        <v>1441</v>
      </c>
      <c r="E402" s="279"/>
      <c r="F402" s="311"/>
      <c r="G402" s="339"/>
      <c r="H402" s="297">
        <f>SUM(H394,H387:H390,H386)</f>
        <v>1469.3523875999997</v>
      </c>
      <c r="I402" s="298"/>
      <c r="J402" s="298"/>
      <c r="K402" s="297">
        <f>SUM(K394,K387:K390,K386)</f>
        <v>1469.5209471000001</v>
      </c>
      <c r="L402" s="299">
        <f>K402-H402</f>
        <v>0.16855950000035591</v>
      </c>
      <c r="M402" s="300">
        <f>IF((H402)=0,"",(L402/H402))</f>
        <v>1.1471686535023529E-4</v>
      </c>
    </row>
    <row r="403" spans="1:20" hidden="1" x14ac:dyDescent="0.25">
      <c r="A403" s="58" t="str">
        <f t="shared" si="57"/>
        <v>SENTINEL LIGHTING SERVICE CLASSIFICATION</v>
      </c>
      <c r="B403" s="58" t="s">
        <v>1428</v>
      </c>
      <c r="C403" s="357"/>
      <c r="D403" s="301" t="s">
        <v>148</v>
      </c>
      <c r="E403" s="279"/>
      <c r="F403" s="311">
        <v>0.13</v>
      </c>
      <c r="G403" s="339"/>
      <c r="H403" s="302">
        <f>H402*F403</f>
        <v>191.01581038799998</v>
      </c>
      <c r="I403" s="311">
        <v>0.13</v>
      </c>
      <c r="J403" s="303"/>
      <c r="K403" s="302">
        <f>K402*I403</f>
        <v>191.03772312300001</v>
      </c>
      <c r="L403" s="305">
        <f>K403-H403</f>
        <v>2.1912735000029215E-2</v>
      </c>
      <c r="M403" s="306">
        <f>IF((H403)=0,"",(L403/H403))</f>
        <v>1.1471686535014601E-4</v>
      </c>
    </row>
    <row r="404" spans="1:20" hidden="1" x14ac:dyDescent="0.25">
      <c r="A404" s="58" t="str">
        <f t="shared" si="57"/>
        <v>SENTINEL LIGHTING SERVICE CLASSIFICATION</v>
      </c>
      <c r="B404" s="58" t="s">
        <v>1428</v>
      </c>
      <c r="C404" s="357"/>
      <c r="D404" s="301" t="s">
        <v>5907</v>
      </c>
      <c r="E404" s="279"/>
      <c r="F404" s="1238">
        <v>0.318</v>
      </c>
      <c r="G404" s="339"/>
      <c r="H404" s="707">
        <f>IF(OR(ISNUMBER(SEARCH("[DGEN]", E358))=TRUE, ISNUMBER(SEARCH("STREET LIGHT", E358))=TRUE), 0, IF(AND(E360=0, E361=0),0, IF(AND(E361=0, E360*12&gt;250000), 0, IF(AND(E360=0, E361&gt;=50), 0, IF(E360*12&lt;=250000, F404*H402*-1, IF(E361&lt;50, F404*H402*-1, 0))))))</f>
        <v>-467.25405925679991</v>
      </c>
      <c r="I404" s="1238">
        <v>0.318</v>
      </c>
      <c r="J404" s="303"/>
      <c r="K404" s="707">
        <f>IF(OR(ISNUMBER(SEARCH("[DGEN]", E358))=TRUE, ISNUMBER(SEARCH("STREET LIGHT", E358))=TRUE), 0, IF(AND(E360=0, E361=0),0, IF(AND(E361=0, E360*12&gt;250000), 0, IF(AND(E360=0, E361&gt;=50), 0, IF(E360*12&lt;=250000, I404*K402*-1, IF(E361&lt;50, I404*K402*-1, 0))))))</f>
        <v>-467.30766117780001</v>
      </c>
      <c r="L404" s="305"/>
      <c r="M404" s="306"/>
    </row>
    <row r="405" spans="1:20" ht="13.8" hidden="1" thickBot="1" x14ac:dyDescent="0.3">
      <c r="A405" s="58" t="str">
        <f t="shared" si="57"/>
        <v>SENTINEL LIGHTING SERVICE CLASSIFICATION</v>
      </c>
      <c r="B405" s="58" t="s">
        <v>1442</v>
      </c>
      <c r="C405" s="357"/>
      <c r="D405" s="1943" t="s">
        <v>1441</v>
      </c>
      <c r="E405" s="1943"/>
      <c r="F405" s="343"/>
      <c r="G405" s="344"/>
      <c r="H405" s="312">
        <f>SUM(H402,H403)</f>
        <v>1660.3681979879998</v>
      </c>
      <c r="I405" s="313"/>
      <c r="J405" s="313"/>
      <c r="K405" s="312">
        <f>SUM(K402,K403)</f>
        <v>1660.558670223</v>
      </c>
      <c r="L405" s="314">
        <f>K405-H405</f>
        <v>0.19047223500024302</v>
      </c>
      <c r="M405" s="315">
        <f>IF((H405)=0,"",(L405/H405))</f>
        <v>1.1471686535013944E-4</v>
      </c>
    </row>
    <row r="406" spans="1:20" ht="13.8" hidden="1" thickBot="1" x14ac:dyDescent="0.3">
      <c r="A406" s="58" t="str">
        <f t="shared" si="57"/>
        <v>SENTINEL LIGHTING SERVICE CLASSIFICATION</v>
      </c>
      <c r="B406" s="58" t="s">
        <v>1428</v>
      </c>
      <c r="C406" s="357"/>
      <c r="D406" s="292"/>
      <c r="E406" s="293"/>
      <c r="F406" s="213"/>
      <c r="G406" s="214"/>
      <c r="H406" s="215"/>
      <c r="I406" s="213"/>
      <c r="J406" s="216"/>
      <c r="K406" s="215"/>
      <c r="L406" s="218"/>
      <c r="M406" s="219"/>
    </row>
    <row r="407" spans="1:20" hidden="1" x14ac:dyDescent="0.25">
      <c r="A407" s="58" t="str">
        <f t="shared" si="57"/>
        <v>SENTINEL LIGHTING SERVICE CLASSIFICATION</v>
      </c>
      <c r="B407" s="58" t="s">
        <v>1429</v>
      </c>
      <c r="C407" s="357"/>
      <c r="D407" s="296" t="s">
        <v>1443</v>
      </c>
      <c r="E407" s="279"/>
      <c r="F407" s="311"/>
      <c r="G407" s="339"/>
      <c r="H407" s="297">
        <f>SUM(H395,H387:H390,H386)</f>
        <v>1469.3523875999997</v>
      </c>
      <c r="I407" s="298"/>
      <c r="J407" s="298"/>
      <c r="K407" s="297">
        <f>SUM(K395,K387:K390,K386)</f>
        <v>1469.5209471000001</v>
      </c>
      <c r="L407" s="299">
        <f>K407-H407</f>
        <v>0.16855950000035591</v>
      </c>
      <c r="M407" s="300">
        <f>IF((H407)=0,"",(L407/H407))</f>
        <v>1.1471686535023529E-4</v>
      </c>
    </row>
    <row r="408" spans="1:20" hidden="1" x14ac:dyDescent="0.25">
      <c r="A408" s="58" t="str">
        <f t="shared" si="57"/>
        <v>SENTINEL LIGHTING SERVICE CLASSIFICATION</v>
      </c>
      <c r="B408" s="58" t="s">
        <v>1429</v>
      </c>
      <c r="C408" s="357"/>
      <c r="D408" s="301" t="s">
        <v>148</v>
      </c>
      <c r="E408" s="279"/>
      <c r="F408" s="311">
        <v>0.13</v>
      </c>
      <c r="G408" s="339"/>
      <c r="H408" s="302">
        <f>H407*F408</f>
        <v>191.01581038799998</v>
      </c>
      <c r="I408" s="311">
        <v>0.13</v>
      </c>
      <c r="J408" s="303"/>
      <c r="K408" s="302">
        <f>K407*I408</f>
        <v>191.03772312300001</v>
      </c>
      <c r="L408" s="305">
        <f>K408-H408</f>
        <v>2.1912735000029215E-2</v>
      </c>
      <c r="M408" s="306">
        <f>IF((H408)=0,"",(L408/H408))</f>
        <v>1.1471686535014601E-4</v>
      </c>
    </row>
    <row r="409" spans="1:20" hidden="1" x14ac:dyDescent="0.25">
      <c r="A409" s="58" t="str">
        <f t="shared" si="57"/>
        <v>SENTINEL LIGHTING SERVICE CLASSIFICATION</v>
      </c>
      <c r="B409" s="58" t="s">
        <v>1429</v>
      </c>
      <c r="C409" s="357"/>
      <c r="D409" s="301" t="s">
        <v>5907</v>
      </c>
      <c r="E409" s="279"/>
      <c r="F409" s="1238">
        <v>0.318</v>
      </c>
      <c r="G409" s="339"/>
      <c r="H409" s="707">
        <f>IF(OR(ISNUMBER(SEARCH("[DGEN]", E358))=TRUE, ISNUMBER(SEARCH("STREET LIGHT", E358))=TRUE), 0, IF(AND(E360=0, E361=0),0, IF(AND(E361=0, E360*12&gt;250000), 0, IF(AND(E360=0, E361&gt;=50), 0, IF(E360*12&lt;=250000, F409*H407*-1, IF(E361&lt;50, F409*H407*-1, 0))))))</f>
        <v>-467.25405925679991</v>
      </c>
      <c r="I409" s="1238">
        <v>0.318</v>
      </c>
      <c r="J409" s="303"/>
      <c r="K409" s="707">
        <f>IF(OR(ISNUMBER(SEARCH("[DGEN]", E358))=TRUE, ISNUMBER(SEARCH("STREET LIGHT", E358))=TRUE), 0, IF(AND(E360=0, E361=0),0, IF(AND(E361=0, E360*12&gt;250000), 0, IF(AND(E360=0, E361&gt;=50), 0, IF(E360*12&lt;=250000, I409*K407*-1, IF(E361&lt;50, I409*K407*-1, 0))))))</f>
        <v>-467.30766117780001</v>
      </c>
      <c r="L409" s="305"/>
      <c r="M409" s="306"/>
    </row>
    <row r="410" spans="1:20" ht="13.8" hidden="1" thickBot="1" x14ac:dyDescent="0.3">
      <c r="A410" s="58" t="str">
        <f t="shared" si="57"/>
        <v>SENTINEL LIGHTING SERVICE CLASSIFICATION</v>
      </c>
      <c r="B410" s="58" t="s">
        <v>1444</v>
      </c>
      <c r="C410" s="357"/>
      <c r="D410" s="1943" t="s">
        <v>1443</v>
      </c>
      <c r="E410" s="1943"/>
      <c r="F410" s="343"/>
      <c r="G410" s="344"/>
      <c r="H410" s="312">
        <f>SUM(H407,H408)</f>
        <v>1660.3681979879998</v>
      </c>
      <c r="I410" s="313"/>
      <c r="J410" s="313"/>
      <c r="K410" s="312">
        <f>SUM(K407,K408)</f>
        <v>1660.558670223</v>
      </c>
      <c r="L410" s="314">
        <f>K410-H410</f>
        <v>0.19047223500024302</v>
      </c>
      <c r="M410" s="315">
        <f>IF((H410)=0,"",(L410/H410))</f>
        <v>1.1471686535013944E-4</v>
      </c>
    </row>
    <row r="411" spans="1:20" ht="13.8" hidden="1" thickBot="1" x14ac:dyDescent="0.3">
      <c r="A411" s="58" t="str">
        <f t="shared" si="57"/>
        <v>SENTINEL LIGHTING SERVICE CLASSIFICATION</v>
      </c>
      <c r="B411" s="58" t="s">
        <v>1429</v>
      </c>
      <c r="C411" s="357"/>
      <c r="D411" s="292"/>
      <c r="E411" s="293"/>
      <c r="F411" s="316"/>
      <c r="G411" s="317"/>
      <c r="H411" s="318"/>
      <c r="I411" s="316"/>
      <c r="J411" s="294"/>
      <c r="K411" s="318"/>
      <c r="L411" s="319"/>
      <c r="M411" s="295"/>
    </row>
    <row r="414" spans="1:20" x14ac:dyDescent="0.25">
      <c r="C414" s="58"/>
      <c r="D414" s="264" t="s">
        <v>1432</v>
      </c>
      <c r="E414" s="1952" t="str">
        <f>D36</f>
        <v>STREET LIGHTING SERVICE CLASSIFICATION</v>
      </c>
      <c r="F414" s="1952"/>
      <c r="G414" s="1952"/>
      <c r="H414" s="1952"/>
      <c r="I414" s="1952"/>
      <c r="J414" s="1952"/>
      <c r="K414" s="58" t="str">
        <f>IF(N36="DEMAND - INTERVAL","RTSR - INTERVAL METERED","")</f>
        <v/>
      </c>
      <c r="T414" s="58" t="s">
        <v>603</v>
      </c>
    </row>
    <row r="415" spans="1:20" x14ac:dyDescent="0.25">
      <c r="C415" s="58"/>
      <c r="D415" s="264" t="s">
        <v>1433</v>
      </c>
      <c r="E415" s="1953" t="str">
        <f>H36</f>
        <v>Non-RPP (Other)</v>
      </c>
      <c r="F415" s="1953"/>
      <c r="G415" s="1953"/>
      <c r="H415" s="265"/>
      <c r="I415" s="265"/>
    </row>
    <row r="416" spans="1:20" ht="15.6" x14ac:dyDescent="0.25">
      <c r="C416" s="58"/>
      <c r="D416" s="264" t="s">
        <v>153</v>
      </c>
      <c r="E416" s="1626">
        <f>K36</f>
        <v>19051</v>
      </c>
      <c r="F416" s="267" t="s">
        <v>154</v>
      </c>
      <c r="G416" s="783"/>
      <c r="J416" s="268"/>
      <c r="K416" s="268"/>
      <c r="L416" s="268"/>
      <c r="M416" s="268"/>
      <c r="N416" s="268"/>
    </row>
    <row r="417" spans="1:13" ht="15.6" x14ac:dyDescent="0.3">
      <c r="C417" s="58"/>
      <c r="D417" s="264" t="s">
        <v>360</v>
      </c>
      <c r="E417" s="1626">
        <f>L36</f>
        <v>45</v>
      </c>
      <c r="F417" s="269" t="s">
        <v>155</v>
      </c>
      <c r="G417" s="270"/>
      <c r="H417" s="271"/>
      <c r="I417" s="271"/>
      <c r="J417" s="271"/>
    </row>
    <row r="418" spans="1:13" x14ac:dyDescent="0.25">
      <c r="C418" s="58"/>
      <c r="D418" s="264" t="s">
        <v>1464</v>
      </c>
      <c r="E418" s="272">
        <f>I36</f>
        <v>1.0452999999999999</v>
      </c>
    </row>
    <row r="419" spans="1:13" x14ac:dyDescent="0.25">
      <c r="C419" s="58"/>
      <c r="D419" s="264" t="s">
        <v>1465</v>
      </c>
      <c r="E419" s="272">
        <f>J36</f>
        <v>1.0452999999999999</v>
      </c>
    </row>
    <row r="420" spans="1:13" x14ac:dyDescent="0.25">
      <c r="C420" s="58"/>
      <c r="D420" s="783"/>
    </row>
    <row r="421" spans="1:13" x14ac:dyDescent="0.25">
      <c r="C421" s="58"/>
      <c r="D421" s="783"/>
      <c r="E421" s="273"/>
      <c r="F421" s="1944" t="s">
        <v>1943</v>
      </c>
      <c r="G421" s="1954"/>
      <c r="H421" s="1945"/>
      <c r="I421" s="1944" t="s">
        <v>341</v>
      </c>
      <c r="J421" s="1954"/>
      <c r="K421" s="1945"/>
      <c r="L421" s="1944" t="s">
        <v>342</v>
      </c>
      <c r="M421" s="1945"/>
    </row>
    <row r="422" spans="1:13" x14ac:dyDescent="0.25">
      <c r="C422" s="58"/>
      <c r="D422" s="783"/>
      <c r="E422" s="1946"/>
      <c r="F422" s="274" t="s">
        <v>343</v>
      </c>
      <c r="G422" s="274" t="s">
        <v>146</v>
      </c>
      <c r="H422" s="275" t="s">
        <v>344</v>
      </c>
      <c r="I422" s="274" t="s">
        <v>343</v>
      </c>
      <c r="J422" s="276" t="s">
        <v>146</v>
      </c>
      <c r="K422" s="275" t="s">
        <v>344</v>
      </c>
      <c r="L422" s="1948" t="s">
        <v>345</v>
      </c>
      <c r="M422" s="1950" t="s">
        <v>346</v>
      </c>
    </row>
    <row r="423" spans="1:13" x14ac:dyDescent="0.25">
      <c r="C423" s="58"/>
      <c r="D423" s="783"/>
      <c r="E423" s="1947"/>
      <c r="F423" s="277" t="s">
        <v>347</v>
      </c>
      <c r="G423" s="277"/>
      <c r="H423" s="278" t="s">
        <v>347</v>
      </c>
      <c r="I423" s="277" t="s">
        <v>347</v>
      </c>
      <c r="J423" s="278"/>
      <c r="K423" s="278" t="s">
        <v>347</v>
      </c>
      <c r="L423" s="1949"/>
      <c r="M423" s="1951"/>
    </row>
    <row r="424" spans="1:13" x14ac:dyDescent="0.25">
      <c r="A424" s="58" t="str">
        <f>$E414</f>
        <v>STREET LIGHTING SERVICE CLASSIFICATION</v>
      </c>
      <c r="C424" s="357"/>
      <c r="D424" s="68" t="s">
        <v>348</v>
      </c>
      <c r="E424" s="322"/>
      <c r="F424" s="345">
        <v>2.25</v>
      </c>
      <c r="G424" s="304"/>
      <c r="H424" s="346">
        <f>G424*F424</f>
        <v>0</v>
      </c>
      <c r="I424" s="982">
        <v>2.29</v>
      </c>
      <c r="J424" s="989"/>
      <c r="K424" s="988">
        <f>J424*I424</f>
        <v>0</v>
      </c>
      <c r="L424" s="329">
        <f t="shared" ref="L424:L445" si="62">K424-H424</f>
        <v>0</v>
      </c>
      <c r="M424" s="347" t="str">
        <f>IF(ISERROR(L424/H424), "", L424/H424)</f>
        <v/>
      </c>
    </row>
    <row r="425" spans="1:13" x14ac:dyDescent="0.25">
      <c r="A425" s="58" t="str">
        <f>A424</f>
        <v>STREET LIGHTING SERVICE CLASSIFICATION</v>
      </c>
      <c r="C425" s="357"/>
      <c r="D425" s="68" t="s">
        <v>80</v>
      </c>
      <c r="E425" s="322"/>
      <c r="F425" s="326">
        <v>10.8757</v>
      </c>
      <c r="G425" s="304">
        <f>IF($E417&gt;0, $E417, $E416)</f>
        <v>45</v>
      </c>
      <c r="H425" s="346">
        <f t="shared" ref="H425:H437" si="63">G425*F425</f>
        <v>489.40649999999999</v>
      </c>
      <c r="I425" s="983">
        <v>11.060600000000001</v>
      </c>
      <c r="J425" s="989">
        <f>IF($E417&gt;0, $E417, $E416)</f>
        <v>45</v>
      </c>
      <c r="K425" s="988">
        <f>J425*I425</f>
        <v>497.72700000000003</v>
      </c>
      <c r="L425" s="329">
        <f t="shared" si="62"/>
        <v>8.3205000000000382</v>
      </c>
      <c r="M425" s="347">
        <f t="shared" ref="M425:M435" si="64">IF(ISERROR(L425/H425), "", L425/H425)</f>
        <v>1.7001204520168896E-2</v>
      </c>
    </row>
    <row r="426" spans="1:13" hidden="1" x14ac:dyDescent="0.25">
      <c r="A426" s="58" t="str">
        <f t="shared" ref="A426:A467" si="65">A425</f>
        <v>STREET LIGHTING SERVICE CLASSIFICATION</v>
      </c>
      <c r="C426" s="357"/>
      <c r="D426" s="68" t="s">
        <v>4311</v>
      </c>
      <c r="E426" s="322"/>
      <c r="F426" s="326"/>
      <c r="G426" s="304">
        <f>IF($E417&gt;0, $E417, $E416)</f>
        <v>45</v>
      </c>
      <c r="H426" s="346">
        <v>0</v>
      </c>
      <c r="I426" s="983"/>
      <c r="J426" s="989">
        <f>IF($E417&gt;0, $E417, $E416)</f>
        <v>45</v>
      </c>
      <c r="K426" s="988">
        <v>0</v>
      </c>
      <c r="L426" s="329"/>
      <c r="M426" s="347"/>
    </row>
    <row r="427" spans="1:13" hidden="1" x14ac:dyDescent="0.25">
      <c r="A427" s="58" t="str">
        <f t="shared" si="65"/>
        <v>STREET LIGHTING SERVICE CLASSIFICATION</v>
      </c>
      <c r="C427" s="357"/>
      <c r="D427" s="68" t="s">
        <v>3743</v>
      </c>
      <c r="E427" s="322"/>
      <c r="F427" s="326"/>
      <c r="G427" s="304">
        <f>IF($E417&gt;0, $E417, $E416)</f>
        <v>45</v>
      </c>
      <c r="H427" s="346">
        <v>0</v>
      </c>
      <c r="I427" s="983"/>
      <c r="J427" s="992">
        <f>IF($E417&gt;0, $E417, $E416)</f>
        <v>45</v>
      </c>
      <c r="K427" s="988">
        <v>0</v>
      </c>
      <c r="L427" s="329">
        <f>K427-H427</f>
        <v>0</v>
      </c>
      <c r="M427" s="347" t="str">
        <f>IF(ISERROR(L427/H427), "", L427/H427)</f>
        <v/>
      </c>
    </row>
    <row r="428" spans="1:13" x14ac:dyDescent="0.25">
      <c r="A428" s="58" t="str">
        <f t="shared" si="65"/>
        <v>STREET LIGHTING SERVICE CLASSIFICATION</v>
      </c>
      <c r="C428" s="357"/>
      <c r="D428" s="69" t="s">
        <v>358</v>
      </c>
      <c r="E428" s="322"/>
      <c r="F428" s="345">
        <v>0</v>
      </c>
      <c r="G428" s="304"/>
      <c r="H428" s="346">
        <f t="shared" si="63"/>
        <v>0</v>
      </c>
      <c r="I428" s="982">
        <v>0</v>
      </c>
      <c r="J428" s="989"/>
      <c r="K428" s="988">
        <f t="shared" ref="K428:K435" si="66">J428*I428</f>
        <v>0</v>
      </c>
      <c r="L428" s="329">
        <f t="shared" si="62"/>
        <v>0</v>
      </c>
      <c r="M428" s="347" t="str">
        <f t="shared" si="64"/>
        <v/>
      </c>
    </row>
    <row r="429" spans="1:13" x14ac:dyDescent="0.25">
      <c r="A429" s="58" t="str">
        <f t="shared" si="65"/>
        <v>STREET LIGHTING SERVICE CLASSIFICATION</v>
      </c>
      <c r="C429" s="357"/>
      <c r="D429" s="68" t="s">
        <v>359</v>
      </c>
      <c r="E429" s="322"/>
      <c r="F429" s="326">
        <v>-3.1346000000000003</v>
      </c>
      <c r="G429" s="304">
        <f>IF($E417&gt;0, $E417, $E416)</f>
        <v>45</v>
      </c>
      <c r="H429" s="346">
        <f t="shared" si="63"/>
        <v>-141.05700000000002</v>
      </c>
      <c r="I429" s="983">
        <v>2.1963999999999997</v>
      </c>
      <c r="J429" s="989">
        <f>IF($E417&gt;0, $E417, $E416)</f>
        <v>45</v>
      </c>
      <c r="K429" s="988">
        <f t="shared" si="66"/>
        <v>98.83799999999998</v>
      </c>
      <c r="L429" s="329">
        <f t="shared" si="62"/>
        <v>239.89499999999998</v>
      </c>
      <c r="M429" s="347">
        <f t="shared" si="64"/>
        <v>-1.700695463536017</v>
      </c>
    </row>
    <row r="430" spans="1:13" x14ac:dyDescent="0.25">
      <c r="A430" s="58" t="str">
        <f t="shared" si="65"/>
        <v>STREET LIGHTING SERVICE CLASSIFICATION</v>
      </c>
      <c r="B430" s="280" t="s">
        <v>1434</v>
      </c>
      <c r="C430" s="357">
        <f>B36</f>
        <v>7</v>
      </c>
      <c r="D430" s="281" t="s">
        <v>349</v>
      </c>
      <c r="E430" s="282"/>
      <c r="F430" s="348"/>
      <c r="G430" s="717"/>
      <c r="H430" s="718">
        <f>SUM(H424:H429)</f>
        <v>348.34949999999998</v>
      </c>
      <c r="I430" s="349"/>
      <c r="J430" s="289"/>
      <c r="K430" s="718">
        <f>SUM(K424:K429)</f>
        <v>596.56500000000005</v>
      </c>
      <c r="L430" s="283">
        <f t="shared" si="62"/>
        <v>248.21550000000008</v>
      </c>
      <c r="M430" s="284">
        <f>IF((H430)=0,"",(L430/H430))</f>
        <v>0.71254731239746316</v>
      </c>
    </row>
    <row r="431" spans="1:13" x14ac:dyDescent="0.25">
      <c r="A431" s="58" t="str">
        <f t="shared" si="65"/>
        <v>STREET LIGHTING SERVICE CLASSIFICATION</v>
      </c>
      <c r="C431" s="357"/>
      <c r="D431" s="72" t="s">
        <v>421</v>
      </c>
      <c r="E431" s="322"/>
      <c r="F431" s="326">
        <f>IF((E416*12&gt;=150000), 0, IF(E415="RPP",(F447*0.64+F448*0.18+F449*0.18),IF(E415="Non-RPP (Retailer)",F450,F451)))</f>
        <v>0</v>
      </c>
      <c r="G431" s="332">
        <f>IF(F431=0, 0, $E416*E418-E416)</f>
        <v>0</v>
      </c>
      <c r="H431" s="346">
        <f>G431*F431</f>
        <v>0</v>
      </c>
      <c r="I431" s="983">
        <f>IF((E416*12&gt;=150000), 0, IF(E415="RPP",(I447*0.64+I448*0.18+I449*0.18),IF(E415="Non-RPP (Retailer)",I450,I451)))</f>
        <v>0</v>
      </c>
      <c r="J431" s="987">
        <f>IF(I431=0, 0, E416*E419-E416)</f>
        <v>0</v>
      </c>
      <c r="K431" s="988">
        <f>J431*I431</f>
        <v>0</v>
      </c>
      <c r="L431" s="329">
        <f>K431-H431</f>
        <v>0</v>
      </c>
      <c r="M431" s="347" t="str">
        <f>IF(ISERROR(L431/H431), "", L431/H431)</f>
        <v/>
      </c>
    </row>
    <row r="432" spans="1:13" ht="26.4" x14ac:dyDescent="0.25">
      <c r="A432" s="58" t="str">
        <f t="shared" si="65"/>
        <v>STREET LIGHTING SERVICE CLASSIFICATION</v>
      </c>
      <c r="C432" s="357"/>
      <c r="D432" s="72" t="s">
        <v>357</v>
      </c>
      <c r="E432" s="322"/>
      <c r="F432" s="326">
        <v>0</v>
      </c>
      <c r="G432" s="333">
        <f>IF($E417&gt;0, $E417, $E416)</f>
        <v>45</v>
      </c>
      <c r="H432" s="346">
        <f t="shared" si="63"/>
        <v>0</v>
      </c>
      <c r="I432" s="983">
        <v>0</v>
      </c>
      <c r="J432" s="991">
        <f>IF($E417&gt;0, $E417, $E416)</f>
        <v>45</v>
      </c>
      <c r="K432" s="988">
        <f t="shared" si="66"/>
        <v>0</v>
      </c>
      <c r="L432" s="329">
        <f t="shared" si="62"/>
        <v>0</v>
      </c>
      <c r="M432" s="347" t="str">
        <f t="shared" si="64"/>
        <v/>
      </c>
    </row>
    <row r="433" spans="1:14" x14ac:dyDescent="0.25">
      <c r="A433" s="58" t="str">
        <f t="shared" si="65"/>
        <v>STREET LIGHTING SERVICE CLASSIFICATION</v>
      </c>
      <c r="C433" s="357"/>
      <c r="D433" s="72" t="s">
        <v>2299</v>
      </c>
      <c r="E433" s="322"/>
      <c r="F433" s="326">
        <v>0</v>
      </c>
      <c r="G433" s="333">
        <f>IF($E417&gt;0, $E417, $E416)</f>
        <v>45</v>
      </c>
      <c r="H433" s="346">
        <f>G433*F433</f>
        <v>0</v>
      </c>
      <c r="I433" s="983">
        <v>0</v>
      </c>
      <c r="J433" s="991">
        <f>IF($E417&gt;0, $E417, $E416)</f>
        <v>45</v>
      </c>
      <c r="K433" s="988">
        <f>J433*I433</f>
        <v>0</v>
      </c>
      <c r="L433" s="329">
        <f t="shared" si="62"/>
        <v>0</v>
      </c>
      <c r="M433" s="347" t="str">
        <f t="shared" si="64"/>
        <v/>
      </c>
    </row>
    <row r="434" spans="1:14" x14ac:dyDescent="0.25">
      <c r="A434" s="58" t="str">
        <f t="shared" si="65"/>
        <v>STREET LIGHTING SERVICE CLASSIFICATION</v>
      </c>
      <c r="C434" s="357"/>
      <c r="D434" s="72" t="s">
        <v>1953</v>
      </c>
      <c r="E434" s="322"/>
      <c r="F434" s="326">
        <v>0</v>
      </c>
      <c r="G434" s="333">
        <f>E416</f>
        <v>19051</v>
      </c>
      <c r="H434" s="346">
        <f>G434*F434</f>
        <v>0</v>
      </c>
      <c r="I434" s="983">
        <v>0</v>
      </c>
      <c r="J434" s="991">
        <f>E416</f>
        <v>19051</v>
      </c>
      <c r="K434" s="988">
        <f t="shared" si="66"/>
        <v>0</v>
      </c>
      <c r="L434" s="329">
        <f t="shared" si="62"/>
        <v>0</v>
      </c>
      <c r="M434" s="347" t="str">
        <f t="shared" si="64"/>
        <v/>
      </c>
    </row>
    <row r="435" spans="1:14" x14ac:dyDescent="0.25">
      <c r="A435" s="58" t="str">
        <f t="shared" si="65"/>
        <v>STREET LIGHTING SERVICE CLASSIFICATION</v>
      </c>
      <c r="C435" s="357"/>
      <c r="D435" s="74" t="s">
        <v>141</v>
      </c>
      <c r="E435" s="322"/>
      <c r="F435" s="326">
        <v>0.77200000000000002</v>
      </c>
      <c r="G435" s="333">
        <f>IF($E417&gt;0, $E417, $E416)</f>
        <v>45</v>
      </c>
      <c r="H435" s="346">
        <f t="shared" si="63"/>
        <v>34.74</v>
      </c>
      <c r="I435" s="983">
        <v>0.77200000000000002</v>
      </c>
      <c r="J435" s="991">
        <f>IF($E417&gt;0, $E417, $E416)</f>
        <v>45</v>
      </c>
      <c r="K435" s="988">
        <f t="shared" si="66"/>
        <v>34.74</v>
      </c>
      <c r="L435" s="329">
        <f t="shared" si="62"/>
        <v>0</v>
      </c>
      <c r="M435" s="347">
        <f t="shared" si="64"/>
        <v>0</v>
      </c>
    </row>
    <row r="436" spans="1:14" ht="26.4" x14ac:dyDescent="0.25">
      <c r="A436" s="58" t="str">
        <f t="shared" si="65"/>
        <v>STREET LIGHTING SERVICE CLASSIFICATION</v>
      </c>
      <c r="C436" s="357"/>
      <c r="D436" s="391" t="s">
        <v>4312</v>
      </c>
      <c r="E436" s="322"/>
      <c r="F436" s="768">
        <f>IF(OR(ISNUMBER(SEARCH("RESIDENTIAL", E414))=TRUE, ISNUMBER(SEARCH("GENERAL SERVICE LESS THAN 50", E414))=TRUE), SME, 0)</f>
        <v>0</v>
      </c>
      <c r="G436" s="304"/>
      <c r="H436" s="346">
        <f>G436*F436</f>
        <v>0</v>
      </c>
      <c r="I436" s="984">
        <f>IF(OR(ISNUMBER(SEARCH("RESIDENTIAL", E414))=TRUE, ISNUMBER(SEARCH("GENERAL SERVICE LESS THAN 50", E414))=TRUE), SME, 0)</f>
        <v>0</v>
      </c>
      <c r="J436" s="992"/>
      <c r="K436" s="988">
        <f>J436*I436</f>
        <v>0</v>
      </c>
      <c r="L436" s="329">
        <f t="shared" si="62"/>
        <v>0</v>
      </c>
      <c r="M436" s="347" t="str">
        <f>IF(ISERROR(L436/H436), "", L436/H436)</f>
        <v/>
      </c>
    </row>
    <row r="437" spans="1:14" x14ac:dyDescent="0.25">
      <c r="A437" s="58" t="str">
        <f t="shared" si="65"/>
        <v>STREET LIGHTING SERVICE CLASSIFICATION</v>
      </c>
      <c r="C437" s="357"/>
      <c r="D437" s="74" t="s">
        <v>3742</v>
      </c>
      <c r="E437" s="322"/>
      <c r="F437" s="345">
        <v>0</v>
      </c>
      <c r="G437" s="304"/>
      <c r="H437" s="346">
        <f t="shared" si="63"/>
        <v>0</v>
      </c>
      <c r="I437" s="982">
        <v>0</v>
      </c>
      <c r="J437" s="992"/>
      <c r="K437" s="988">
        <f>J437*I437</f>
        <v>0</v>
      </c>
      <c r="L437" s="329">
        <f>K437-H437</f>
        <v>0</v>
      </c>
      <c r="M437" s="347" t="str">
        <f>IF(ISERROR(L437/H437), "", L437/H437)</f>
        <v/>
      </c>
    </row>
    <row r="438" spans="1:14" x14ac:dyDescent="0.25">
      <c r="A438" s="58" t="str">
        <f t="shared" si="65"/>
        <v>STREET LIGHTING SERVICE CLASSIFICATION</v>
      </c>
      <c r="C438" s="357"/>
      <c r="D438" s="74" t="s">
        <v>3741</v>
      </c>
      <c r="E438" s="322"/>
      <c r="F438" s="326">
        <v>0</v>
      </c>
      <c r="G438" s="333">
        <f>IF($E417&gt;0, $E417, $E416)</f>
        <v>45</v>
      </c>
      <c r="H438" s="346">
        <f>G438*F438</f>
        <v>0</v>
      </c>
      <c r="I438" s="983">
        <v>0</v>
      </c>
      <c r="J438" s="991">
        <f>IF($E417&gt;0, $E417, $E416)</f>
        <v>45</v>
      </c>
      <c r="K438" s="988">
        <f>J438*I438</f>
        <v>0</v>
      </c>
      <c r="L438" s="329">
        <f t="shared" si="62"/>
        <v>0</v>
      </c>
      <c r="M438" s="347" t="str">
        <f>IF(ISERROR(L438/H438), "", L438/H438)</f>
        <v/>
      </c>
    </row>
    <row r="439" spans="1:14" ht="26.4" x14ac:dyDescent="0.25">
      <c r="A439" s="58" t="str">
        <f t="shared" si="65"/>
        <v>STREET LIGHTING SERVICE CLASSIFICATION</v>
      </c>
      <c r="B439" s="783" t="s">
        <v>1435</v>
      </c>
      <c r="C439" s="357">
        <f>B36</f>
        <v>7</v>
      </c>
      <c r="D439" s="286" t="s">
        <v>1466</v>
      </c>
      <c r="E439" s="287"/>
      <c r="F439" s="323"/>
      <c r="G439" s="330"/>
      <c r="H439" s="288">
        <f>SUM(H430:H438)</f>
        <v>383.08949999999999</v>
      </c>
      <c r="I439" s="324"/>
      <c r="J439" s="331"/>
      <c r="K439" s="288">
        <f>SUM(K430:K438)</f>
        <v>631.30500000000006</v>
      </c>
      <c r="L439" s="283">
        <f t="shared" si="62"/>
        <v>248.21550000000008</v>
      </c>
      <c r="M439" s="284">
        <f>IF((H439)=0,"",(L439/H439))</f>
        <v>0.64793083600568557</v>
      </c>
    </row>
    <row r="440" spans="1:14" x14ac:dyDescent="0.25">
      <c r="A440" s="58" t="str">
        <f t="shared" si="65"/>
        <v>STREET LIGHTING SERVICE CLASSIFICATION</v>
      </c>
      <c r="C440" s="357"/>
      <c r="D440" s="76" t="s">
        <v>351</v>
      </c>
      <c r="E440" s="322"/>
      <c r="F440" s="326">
        <v>1.8411999999999999</v>
      </c>
      <c r="G440" s="332">
        <f>IF($E417&gt;0, $E417, $E416*$E418)</f>
        <v>45</v>
      </c>
      <c r="H440" s="346">
        <f>G440*F440</f>
        <v>82.853999999999999</v>
      </c>
      <c r="I440" s="325">
        <v>1.8071999999999999</v>
      </c>
      <c r="J440" s="987">
        <f>IF($E417&gt;0, $E417, $E416*$E419)</f>
        <v>45</v>
      </c>
      <c r="K440" s="988">
        <f>J440*I440</f>
        <v>81.323999999999998</v>
      </c>
      <c r="L440" s="329">
        <f t="shared" si="62"/>
        <v>-1.5300000000000011</v>
      </c>
      <c r="M440" s="347">
        <f>IF(ISERROR(L440/H440), "", L440/H440)</f>
        <v>-1.8466217684119067E-2</v>
      </c>
      <c r="N440" s="1090" t="str">
        <f>IF(ISERROR(ABS(M440)), "", IF(ABS(M440)&gt;=4%, "In the manager's summary, discuss the reasoning for the change in RTSR rates", ""))</f>
        <v/>
      </c>
    </row>
    <row r="441" spans="1:14" ht="26.4" x14ac:dyDescent="0.25">
      <c r="A441" s="58" t="str">
        <f t="shared" si="65"/>
        <v>STREET LIGHTING SERVICE CLASSIFICATION</v>
      </c>
      <c r="C441" s="357"/>
      <c r="D441" s="169" t="s">
        <v>361</v>
      </c>
      <c r="E441" s="322"/>
      <c r="F441" s="326">
        <v>1.5467</v>
      </c>
      <c r="G441" s="332">
        <f>IF($E417&gt;0, $E417, $E416*$E418)</f>
        <v>45</v>
      </c>
      <c r="H441" s="346">
        <f>G441*F441</f>
        <v>69.601500000000001</v>
      </c>
      <c r="I441" s="325">
        <v>1.5097</v>
      </c>
      <c r="J441" s="987">
        <f>IF($E417&gt;0, $E417, $E416*$E419)</f>
        <v>45</v>
      </c>
      <c r="K441" s="988">
        <f>J441*I441</f>
        <v>67.936499999999995</v>
      </c>
      <c r="L441" s="329">
        <f t="shared" si="62"/>
        <v>-1.6650000000000063</v>
      </c>
      <c r="M441" s="347">
        <f>IF(ISERROR(L441/H441), "", L441/H441)</f>
        <v>-2.3921898234951923E-2</v>
      </c>
      <c r="N441" s="1090" t="str">
        <f>IF(ISERROR(ABS(M441)), "", IF(ABS(M441)&gt;=4%, "In the manager's summary, discuss the reasoning for the change in RTSR rates", ""))</f>
        <v/>
      </c>
    </row>
    <row r="442" spans="1:14" ht="26.4" x14ac:dyDescent="0.25">
      <c r="A442" s="58" t="str">
        <f t="shared" si="65"/>
        <v>STREET LIGHTING SERVICE CLASSIFICATION</v>
      </c>
      <c r="B442" s="783" t="s">
        <v>1436</v>
      </c>
      <c r="C442" s="357">
        <f>B36</f>
        <v>7</v>
      </c>
      <c r="D442" s="286" t="s">
        <v>1467</v>
      </c>
      <c r="E442" s="282"/>
      <c r="F442" s="323"/>
      <c r="G442" s="330"/>
      <c r="H442" s="288">
        <f>SUM(H439:H441)</f>
        <v>535.54499999999996</v>
      </c>
      <c r="I442" s="324"/>
      <c r="J442" s="289"/>
      <c r="K442" s="288">
        <f>SUM(K439:K441)</f>
        <v>780.56550000000004</v>
      </c>
      <c r="L442" s="283">
        <f t="shared" si="62"/>
        <v>245.02050000000008</v>
      </c>
      <c r="M442" s="284">
        <f>IF((H442)=0,"",(L442/H442))</f>
        <v>0.45751617511133535</v>
      </c>
    </row>
    <row r="443" spans="1:14" ht="26.4" x14ac:dyDescent="0.25">
      <c r="A443" s="58" t="str">
        <f t="shared" si="65"/>
        <v>STREET LIGHTING SERVICE CLASSIFICATION</v>
      </c>
      <c r="C443" s="357"/>
      <c r="D443" s="290" t="s">
        <v>352</v>
      </c>
      <c r="E443" s="322"/>
      <c r="F443" s="326">
        <f>IF(AND('1. Information Sheet'!$F$26:$H$26&gt;='17. Regulatory Charges'!$D$14,'1. Information Sheet'!$F$26:$H$26&lt;'17. Regulatory Charges'!$E$14),'17. Regulatory Charges'!$D$15+'17. Regulatory Charges'!$D$16,'17. Regulatory Charges'!$E$15+'17. Regulatory Charges'!$E$16)</f>
        <v>3.4000000000000002E-3</v>
      </c>
      <c r="G443" s="332">
        <f>E416*E418</f>
        <v>19914.010299999998</v>
      </c>
      <c r="H443" s="334">
        <f t="shared" ref="H443:H449" si="67">G443*F443</f>
        <v>67.707635019999998</v>
      </c>
      <c r="I443" s="983">
        <f>'17. Regulatory Charges'!$E$15+'17. Regulatory Charges'!$E$16</f>
        <v>3.4000000000000002E-3</v>
      </c>
      <c r="J443" s="987">
        <f>E416*E419</f>
        <v>19914.010299999998</v>
      </c>
      <c r="K443" s="988">
        <f t="shared" ref="K443:K449" si="68">J443*I443</f>
        <v>67.707635019999998</v>
      </c>
      <c r="L443" s="329">
        <f t="shared" si="62"/>
        <v>0</v>
      </c>
      <c r="M443" s="347">
        <f t="shared" ref="M443:M451" si="69">IF(ISERROR(L443/H443), "", L443/H443)</f>
        <v>0</v>
      </c>
    </row>
    <row r="444" spans="1:14" ht="26.4" x14ac:dyDescent="0.25">
      <c r="A444" s="58" t="str">
        <f t="shared" si="65"/>
        <v>STREET LIGHTING SERVICE CLASSIFICATION</v>
      </c>
      <c r="C444" s="357"/>
      <c r="D444" s="290" t="s">
        <v>353</v>
      </c>
      <c r="E444" s="322"/>
      <c r="F444" s="326">
        <f>IF(AND('1. Information Sheet'!$F$26:$H$26&gt;='17. Regulatory Charges'!$D$14,'1. Information Sheet'!$F$26:$H$26&lt;'17. Regulatory Charges'!$D$14),'17. Regulatory Charges'!$D$17,'17. Regulatory Charges'!$E$17)</f>
        <v>5.0000000000000001E-4</v>
      </c>
      <c r="G444" s="332">
        <f>E416*E418</f>
        <v>19914.010299999998</v>
      </c>
      <c r="H444" s="334">
        <f t="shared" si="67"/>
        <v>9.9570051499999987</v>
      </c>
      <c r="I444" s="983">
        <f>'17. Regulatory Charges'!$E$17</f>
        <v>5.0000000000000001E-4</v>
      </c>
      <c r="J444" s="987">
        <f>E416*E419</f>
        <v>19914.010299999998</v>
      </c>
      <c r="K444" s="988">
        <f t="shared" si="68"/>
        <v>9.9570051499999987</v>
      </c>
      <c r="L444" s="329">
        <f t="shared" si="62"/>
        <v>0</v>
      </c>
      <c r="M444" s="347">
        <f t="shared" si="69"/>
        <v>0</v>
      </c>
    </row>
    <row r="445" spans="1:14" x14ac:dyDescent="0.25">
      <c r="A445" s="58" t="str">
        <f t="shared" si="65"/>
        <v>STREET LIGHTING SERVICE CLASSIFICATION</v>
      </c>
      <c r="C445" s="357"/>
      <c r="D445" s="279" t="s">
        <v>354</v>
      </c>
      <c r="E445" s="322"/>
      <c r="F445" s="768">
        <f>IF(AND('1. Information Sheet'!$F$26:$H$26&gt;='17. Regulatory Charges'!$D$14,'1. Information Sheet'!$F$26:$H$26&lt;'17. Regulatory Charges'!$D$14),'17. Regulatory Charges'!$D$18,'17. Regulatory Charges'!$E$18)</f>
        <v>0.25</v>
      </c>
      <c r="G445" s="304"/>
      <c r="H445" s="334">
        <f t="shared" si="67"/>
        <v>0</v>
      </c>
      <c r="I445" s="984">
        <f>'17. Regulatory Charges'!$E$18</f>
        <v>0.25</v>
      </c>
      <c r="J445" s="989"/>
      <c r="K445" s="988">
        <f t="shared" si="68"/>
        <v>0</v>
      </c>
      <c r="L445" s="329">
        <f t="shared" si="62"/>
        <v>0</v>
      </c>
      <c r="M445" s="347" t="str">
        <f t="shared" si="69"/>
        <v/>
      </c>
    </row>
    <row r="446" spans="1:14" ht="26.4" hidden="1" x14ac:dyDescent="0.25">
      <c r="A446" s="58" t="str">
        <f t="shared" si="65"/>
        <v>STREET LIGHTING SERVICE CLASSIFICATION</v>
      </c>
      <c r="C446" s="357"/>
      <c r="D446" s="290" t="s">
        <v>1468</v>
      </c>
      <c r="E446" s="322"/>
      <c r="F446" s="326"/>
      <c r="G446" s="332"/>
      <c r="H446" s="334"/>
      <c r="I446" s="983"/>
      <c r="J446" s="987"/>
      <c r="K446" s="988"/>
      <c r="L446" s="329"/>
      <c r="M446" s="347"/>
    </row>
    <row r="447" spans="1:14" hidden="1" x14ac:dyDescent="0.25">
      <c r="A447" s="58" t="str">
        <f t="shared" si="65"/>
        <v>STREET LIGHTING SERVICE CLASSIFICATION</v>
      </c>
      <c r="B447" s="783" t="s">
        <v>1427</v>
      </c>
      <c r="C447" s="357"/>
      <c r="D447" s="285" t="s">
        <v>220</v>
      </c>
      <c r="E447" s="322"/>
      <c r="F447" s="327">
        <f>OffPeak</f>
        <v>0.105</v>
      </c>
      <c r="G447" s="291">
        <f>IF(AND(E416*12&gt;=150000),0.64*E416*E418,0.64*E416)</f>
        <v>12744.966591999999</v>
      </c>
      <c r="H447" s="334">
        <f t="shared" si="67"/>
        <v>1338.2214921599998</v>
      </c>
      <c r="I447" s="985">
        <f>OffPeak</f>
        <v>0.105</v>
      </c>
      <c r="J447" s="990">
        <f>IF(AND(E416*12&gt;=150000),0.64*E416*E419,0.64*E416)</f>
        <v>12744.966591999999</v>
      </c>
      <c r="K447" s="988">
        <f t="shared" si="68"/>
        <v>1338.2214921599998</v>
      </c>
      <c r="L447" s="329">
        <f>K447-H447</f>
        <v>0</v>
      </c>
      <c r="M447" s="347">
        <f t="shared" si="69"/>
        <v>0</v>
      </c>
    </row>
    <row r="448" spans="1:14" hidden="1" x14ac:dyDescent="0.25">
      <c r="A448" s="58" t="str">
        <f t="shared" si="65"/>
        <v>STREET LIGHTING SERVICE CLASSIFICATION</v>
      </c>
      <c r="B448" s="783" t="s">
        <v>1427</v>
      </c>
      <c r="C448" s="357"/>
      <c r="D448" s="285" t="s">
        <v>221</v>
      </c>
      <c r="E448" s="322"/>
      <c r="F448" s="327">
        <f>MidPeak</f>
        <v>0.15</v>
      </c>
      <c r="G448" s="291">
        <f>IF(AND(E416*12&gt;=150000),0.18*E416*E418,0.18*E416)</f>
        <v>3584.5218539999996</v>
      </c>
      <c r="H448" s="334">
        <f t="shared" si="67"/>
        <v>537.67827809999994</v>
      </c>
      <c r="I448" s="985">
        <f>MidPeak</f>
        <v>0.15</v>
      </c>
      <c r="J448" s="990">
        <f>IF(AND(E416*12&gt;=150000),0.18*E416*E419,0.18*E416)</f>
        <v>3584.5218539999996</v>
      </c>
      <c r="K448" s="988">
        <f t="shared" si="68"/>
        <v>537.67827809999994</v>
      </c>
      <c r="L448" s="329">
        <f>K448-H448</f>
        <v>0</v>
      </c>
      <c r="M448" s="347">
        <f t="shared" si="69"/>
        <v>0</v>
      </c>
    </row>
    <row r="449" spans="1:13" hidden="1" x14ac:dyDescent="0.25">
      <c r="A449" s="58" t="str">
        <f t="shared" si="65"/>
        <v>STREET LIGHTING SERVICE CLASSIFICATION</v>
      </c>
      <c r="B449" s="783" t="s">
        <v>1427</v>
      </c>
      <c r="C449" s="357"/>
      <c r="D449" s="783" t="s">
        <v>222</v>
      </c>
      <c r="E449" s="322"/>
      <c r="F449" s="327">
        <f>OnPeak</f>
        <v>0.217</v>
      </c>
      <c r="G449" s="291">
        <f>IF(AND(E416*12&gt;=150000),0.18*E416*E418,0.18*E416)</f>
        <v>3584.5218539999996</v>
      </c>
      <c r="H449" s="334">
        <f t="shared" si="67"/>
        <v>777.8412423179999</v>
      </c>
      <c r="I449" s="985">
        <f>OnPeak</f>
        <v>0.217</v>
      </c>
      <c r="J449" s="990">
        <f>IF(AND(E416*12&gt;=150000),0.18*E416*E419,0.18*E416)</f>
        <v>3584.5218539999996</v>
      </c>
      <c r="K449" s="988">
        <f t="shared" si="68"/>
        <v>777.8412423179999</v>
      </c>
      <c r="L449" s="329">
        <f>K449-H449</f>
        <v>0</v>
      </c>
      <c r="M449" s="347">
        <f t="shared" si="69"/>
        <v>0</v>
      </c>
    </row>
    <row r="450" spans="1:13" hidden="1" x14ac:dyDescent="0.25">
      <c r="A450" s="58" t="str">
        <f t="shared" si="65"/>
        <v>STREET LIGHTING SERVICE CLASSIFICATION</v>
      </c>
      <c r="B450" s="58" t="s">
        <v>1428</v>
      </c>
      <c r="C450" s="357"/>
      <c r="D450" s="285" t="s">
        <v>1437</v>
      </c>
      <c r="E450" s="322"/>
      <c r="F450" s="328">
        <v>0.1368</v>
      </c>
      <c r="G450" s="291">
        <f>IF(AND(E416*12&gt;=150000),E416*E418,E416)</f>
        <v>19914.010299999998</v>
      </c>
      <c r="H450" s="334">
        <f>G450*F450</f>
        <v>2724.2366090399996</v>
      </c>
      <c r="I450" s="986">
        <f>F450</f>
        <v>0.1368</v>
      </c>
      <c r="J450" s="990">
        <f>IF(AND(E416*12&gt;=150000),E416*E419,E416)</f>
        <v>19914.010299999998</v>
      </c>
      <c r="K450" s="988">
        <f>J450*I450</f>
        <v>2724.2366090399996</v>
      </c>
      <c r="L450" s="329">
        <f>K450-H450</f>
        <v>0</v>
      </c>
      <c r="M450" s="347">
        <f t="shared" si="69"/>
        <v>0</v>
      </c>
    </row>
    <row r="451" spans="1:13" ht="13.8" thickBot="1" x14ac:dyDescent="0.3">
      <c r="A451" s="58" t="str">
        <f t="shared" si="65"/>
        <v>STREET LIGHTING SERVICE CLASSIFICATION</v>
      </c>
      <c r="B451" s="58" t="s">
        <v>1429</v>
      </c>
      <c r="C451" s="357"/>
      <c r="D451" s="285" t="s">
        <v>1438</v>
      </c>
      <c r="E451" s="322"/>
      <c r="F451" s="328">
        <v>0.1368</v>
      </c>
      <c r="G451" s="291">
        <f>IF(AND(E416*12&gt;=150000),E416*E418,E416)</f>
        <v>19914.010299999998</v>
      </c>
      <c r="H451" s="334">
        <f>G451*F451</f>
        <v>2724.2366090399996</v>
      </c>
      <c r="I451" s="986">
        <f>F451</f>
        <v>0.1368</v>
      </c>
      <c r="J451" s="990">
        <f>IF(AND(E416*12&gt;=150000),E416*E419,E416)</f>
        <v>19914.010299999998</v>
      </c>
      <c r="K451" s="988">
        <f>J451*I451</f>
        <v>2724.2366090399996</v>
      </c>
      <c r="L451" s="329">
        <f>K451-H451</f>
        <v>0</v>
      </c>
      <c r="M451" s="347">
        <f t="shared" si="69"/>
        <v>0</v>
      </c>
    </row>
    <row r="452" spans="1:13" ht="13.8" thickBot="1" x14ac:dyDescent="0.3">
      <c r="A452" s="58" t="str">
        <f t="shared" si="65"/>
        <v>STREET LIGHTING SERVICE CLASSIFICATION</v>
      </c>
      <c r="B452" s="783"/>
      <c r="C452" s="357"/>
      <c r="D452" s="292"/>
      <c r="E452" s="293"/>
      <c r="F452" s="335"/>
      <c r="G452" s="216"/>
      <c r="H452" s="336"/>
      <c r="I452" s="335"/>
      <c r="J452" s="337"/>
      <c r="K452" s="336"/>
      <c r="L452" s="338"/>
      <c r="M452" s="219"/>
    </row>
    <row r="453" spans="1:13" hidden="1" x14ac:dyDescent="0.25">
      <c r="A453" s="58" t="str">
        <f t="shared" si="65"/>
        <v>STREET LIGHTING SERVICE CLASSIFICATION</v>
      </c>
      <c r="B453" s="783" t="s">
        <v>1427</v>
      </c>
      <c r="C453" s="357"/>
      <c r="D453" s="296" t="s">
        <v>356</v>
      </c>
      <c r="E453" s="279"/>
      <c r="F453" s="311"/>
      <c r="G453" s="339"/>
      <c r="H453" s="297">
        <f>SUM(H443:H449,H442)</f>
        <v>3266.9506527479998</v>
      </c>
      <c r="I453" s="298"/>
      <c r="J453" s="298"/>
      <c r="K453" s="297">
        <f>SUM(K443:K449,K442)</f>
        <v>3511.9711527479999</v>
      </c>
      <c r="L453" s="299">
        <f>K453-H453</f>
        <v>245.02050000000008</v>
      </c>
      <c r="M453" s="300">
        <f>IF((H453)=0,"",(L453/H453))</f>
        <v>7.4999755442862526E-2</v>
      </c>
    </row>
    <row r="454" spans="1:13" hidden="1" x14ac:dyDescent="0.25">
      <c r="A454" s="58" t="str">
        <f t="shared" si="65"/>
        <v>STREET LIGHTING SERVICE CLASSIFICATION</v>
      </c>
      <c r="B454" s="783" t="s">
        <v>1427</v>
      </c>
      <c r="C454" s="357"/>
      <c r="D454" s="301" t="s">
        <v>148</v>
      </c>
      <c r="E454" s="279"/>
      <c r="F454" s="311">
        <v>0.13</v>
      </c>
      <c r="G454" s="340"/>
      <c r="H454" s="302">
        <f>H453*F454</f>
        <v>424.70358485724</v>
      </c>
      <c r="I454" s="303">
        <v>0.13</v>
      </c>
      <c r="J454" s="304"/>
      <c r="K454" s="302">
        <f>K453*I454</f>
        <v>456.55624985724</v>
      </c>
      <c r="L454" s="305">
        <f>K454-H454</f>
        <v>31.852665000000002</v>
      </c>
      <c r="M454" s="306">
        <f>IF((H454)=0,"",(L454/H454))</f>
        <v>7.4999755442862498E-2</v>
      </c>
    </row>
    <row r="455" spans="1:13" hidden="1" x14ac:dyDescent="0.25">
      <c r="A455" s="58" t="str">
        <f t="shared" si="65"/>
        <v>STREET LIGHTING SERVICE CLASSIFICATION</v>
      </c>
      <c r="B455" s="783" t="s">
        <v>1427</v>
      </c>
      <c r="C455" s="357"/>
      <c r="D455" s="301" t="s">
        <v>5907</v>
      </c>
      <c r="E455" s="279"/>
      <c r="F455" s="1238">
        <v>0.318</v>
      </c>
      <c r="G455" s="340"/>
      <c r="H455" s="302">
        <f>IF(OR(ISNUMBER(SEARCH("[DGEN]", E414))=TRUE, ISNUMBER(SEARCH("STREET LIGHT", E414))=TRUE), 0, IF(AND(E416=0, E417=0),0, IF(AND(E417=0, E416*12&gt;250000), 0, IF(AND(E416=0, E417&gt;=50), 0, IF(E416*12&lt;=250000, F455*H453*-1, IF(E417&lt;50, F455*H453*-1, 0))))))</f>
        <v>0</v>
      </c>
      <c r="I455" s="1238">
        <v>0.318</v>
      </c>
      <c r="J455" s="304"/>
      <c r="K455" s="302">
        <f>IF(OR(ISNUMBER(SEARCH("[DGEN]", E414))=TRUE, ISNUMBER(SEARCH("STREET LIGHT", E414))=TRUE), 0, IF(AND(E416=0, E417=0),0, IF(AND(E417=0, E416*12&gt;250000), 0, IF(AND(E416=0, E417&gt;=50), 0, IF(E416*12&lt;=250000, I455*K453*-1, IF(E417&lt;50, I455*K453*-1, 0))))))</f>
        <v>0</v>
      </c>
      <c r="L455" s="305">
        <f>K455-H455</f>
        <v>0</v>
      </c>
      <c r="M455" s="306"/>
    </row>
    <row r="456" spans="1:13" ht="13.8" hidden="1" thickBot="1" x14ac:dyDescent="0.3">
      <c r="A456" s="58" t="str">
        <f t="shared" si="65"/>
        <v>STREET LIGHTING SERVICE CLASSIFICATION</v>
      </c>
      <c r="B456" s="783" t="s">
        <v>1439</v>
      </c>
      <c r="C456" s="357"/>
      <c r="D456" s="1943" t="s">
        <v>1440</v>
      </c>
      <c r="E456" s="1943"/>
      <c r="F456" s="341"/>
      <c r="G456" s="342"/>
      <c r="H456" s="312">
        <f>H453+H454+H455</f>
        <v>3691.6542376052398</v>
      </c>
      <c r="I456" s="308"/>
      <c r="J456" s="308"/>
      <c r="K456" s="307">
        <f>K453+K454+K455</f>
        <v>3968.5274026052398</v>
      </c>
      <c r="L456" s="309">
        <f>K456-H456</f>
        <v>276.87316499999997</v>
      </c>
      <c r="M456" s="310">
        <f>IF((H456)=0,"",(L456/H456))</f>
        <v>7.4999755442862498E-2</v>
      </c>
    </row>
    <row r="457" spans="1:13" ht="13.8" hidden="1" thickBot="1" x14ac:dyDescent="0.3">
      <c r="A457" s="58" t="str">
        <f t="shared" si="65"/>
        <v>STREET LIGHTING SERVICE CLASSIFICATION</v>
      </c>
      <c r="B457" s="58" t="s">
        <v>1427</v>
      </c>
      <c r="C457" s="357"/>
      <c r="D457" s="292"/>
      <c r="E457" s="293"/>
      <c r="F457" s="335"/>
      <c r="G457" s="216"/>
      <c r="H457" s="336"/>
      <c r="I457" s="335"/>
      <c r="J457" s="337"/>
      <c r="K457" s="336"/>
      <c r="L457" s="338"/>
      <c r="M457" s="219"/>
    </row>
    <row r="458" spans="1:13" hidden="1" x14ac:dyDescent="0.25">
      <c r="A458" s="58" t="str">
        <f t="shared" si="65"/>
        <v>STREET LIGHTING SERVICE CLASSIFICATION</v>
      </c>
      <c r="B458" s="58" t="s">
        <v>1428</v>
      </c>
      <c r="C458" s="357"/>
      <c r="D458" s="296" t="s">
        <v>1441</v>
      </c>
      <c r="E458" s="279"/>
      <c r="F458" s="311"/>
      <c r="G458" s="339"/>
      <c r="H458" s="297">
        <f>SUM(H450,H443:H446,H442)</f>
        <v>3337.4462492099997</v>
      </c>
      <c r="I458" s="298"/>
      <c r="J458" s="298"/>
      <c r="K458" s="297">
        <f>SUM(K450,K443:K446,K442)</f>
        <v>3582.4667492099998</v>
      </c>
      <c r="L458" s="299">
        <f>K458-H458</f>
        <v>245.02050000000008</v>
      </c>
      <c r="M458" s="300">
        <f>IF((H458)=0,"",(L458/H458))</f>
        <v>7.3415564387890417E-2</v>
      </c>
    </row>
    <row r="459" spans="1:13" hidden="1" x14ac:dyDescent="0.25">
      <c r="A459" s="58" t="str">
        <f t="shared" si="65"/>
        <v>STREET LIGHTING SERVICE CLASSIFICATION</v>
      </c>
      <c r="B459" s="58" t="s">
        <v>1428</v>
      </c>
      <c r="C459" s="357"/>
      <c r="D459" s="301" t="s">
        <v>148</v>
      </c>
      <c r="E459" s="279"/>
      <c r="F459" s="311">
        <v>0.13</v>
      </c>
      <c r="G459" s="339"/>
      <c r="H459" s="302">
        <f>H458*F459</f>
        <v>433.86801239729999</v>
      </c>
      <c r="I459" s="311">
        <v>0.13</v>
      </c>
      <c r="J459" s="303"/>
      <c r="K459" s="302">
        <f>K458*I459</f>
        <v>465.72067739729999</v>
      </c>
      <c r="L459" s="305">
        <f>K459-H459</f>
        <v>31.852665000000002</v>
      </c>
      <c r="M459" s="306">
        <f>IF((H459)=0,"",(L459/H459))</f>
        <v>7.3415564387890389E-2</v>
      </c>
    </row>
    <row r="460" spans="1:13" hidden="1" x14ac:dyDescent="0.25">
      <c r="A460" s="58" t="str">
        <f t="shared" si="65"/>
        <v>STREET LIGHTING SERVICE CLASSIFICATION</v>
      </c>
      <c r="B460" s="58" t="s">
        <v>1428</v>
      </c>
      <c r="C460" s="357"/>
      <c r="D460" s="301" t="s">
        <v>5907</v>
      </c>
      <c r="E460" s="279"/>
      <c r="F460" s="1238">
        <v>0.318</v>
      </c>
      <c r="G460" s="339"/>
      <c r="H460" s="707">
        <f>IF(OR(ISNUMBER(SEARCH("[DGEN]", E414))=TRUE, ISNUMBER(SEARCH("STREET LIGHT", E414))=TRUE), 0, IF(AND(E416=0, E417=0),0, IF(AND(E417=0, E416*12&gt;250000), 0, IF(AND(E416=0, E417&gt;=50), 0, IF(E416*12&lt;=250000, F460*H458*-1, IF(E417&lt;50, F460*H458*-1, 0))))))</f>
        <v>0</v>
      </c>
      <c r="I460" s="1238">
        <v>0.318</v>
      </c>
      <c r="J460" s="303"/>
      <c r="K460" s="707">
        <f>IF(OR(ISNUMBER(SEARCH("[DGEN]", E414))=TRUE, ISNUMBER(SEARCH("STREET LIGHT", E414))=TRUE), 0, IF(AND(E416=0, E417=0),0, IF(AND(E417=0, E416*12&gt;250000), 0, IF(AND(E416=0, E417&gt;=50), 0, IF(E416*12&lt;=250000, I460*K458*-1, IF(E417&lt;50, I460*K458*-1, 0))))))</f>
        <v>0</v>
      </c>
      <c r="L460" s="305"/>
      <c r="M460" s="306"/>
    </row>
    <row r="461" spans="1:13" ht="13.8" hidden="1" thickBot="1" x14ac:dyDescent="0.3">
      <c r="A461" s="58" t="str">
        <f t="shared" si="65"/>
        <v>STREET LIGHTING SERVICE CLASSIFICATION</v>
      </c>
      <c r="B461" s="58" t="s">
        <v>1442</v>
      </c>
      <c r="C461" s="357"/>
      <c r="D461" s="1943" t="s">
        <v>1441</v>
      </c>
      <c r="E461" s="1943"/>
      <c r="F461" s="343"/>
      <c r="G461" s="344"/>
      <c r="H461" s="312">
        <f>SUM(H458,H459)</f>
        <v>3771.3142616072996</v>
      </c>
      <c r="I461" s="313"/>
      <c r="J461" s="313"/>
      <c r="K461" s="312">
        <f>SUM(K458,K459)</f>
        <v>4048.1874266072996</v>
      </c>
      <c r="L461" s="314">
        <f>K461-H461</f>
        <v>276.87316499999997</v>
      </c>
      <c r="M461" s="315">
        <f>IF((H461)=0,"",(L461/H461))</f>
        <v>7.3415564387890375E-2</v>
      </c>
    </row>
    <row r="462" spans="1:13" ht="13.8" hidden="1" thickBot="1" x14ac:dyDescent="0.3">
      <c r="A462" s="58" t="str">
        <f t="shared" si="65"/>
        <v>STREET LIGHTING SERVICE CLASSIFICATION</v>
      </c>
      <c r="B462" s="58" t="s">
        <v>1428</v>
      </c>
      <c r="C462" s="357"/>
      <c r="D462" s="292"/>
      <c r="E462" s="293"/>
      <c r="F462" s="213"/>
      <c r="G462" s="214"/>
      <c r="H462" s="215"/>
      <c r="I462" s="213"/>
      <c r="J462" s="216"/>
      <c r="K462" s="215"/>
      <c r="L462" s="218"/>
      <c r="M462" s="219"/>
    </row>
    <row r="463" spans="1:13" x14ac:dyDescent="0.25">
      <c r="A463" s="58" t="str">
        <f t="shared" si="65"/>
        <v>STREET LIGHTING SERVICE CLASSIFICATION</v>
      </c>
      <c r="B463" s="58" t="s">
        <v>1429</v>
      </c>
      <c r="C463" s="357"/>
      <c r="D463" s="296" t="s">
        <v>1443</v>
      </c>
      <c r="E463" s="279"/>
      <c r="F463" s="311"/>
      <c r="G463" s="339"/>
      <c r="H463" s="297">
        <f>SUM(H451,H443:H446,H442)</f>
        <v>3337.4462492099997</v>
      </c>
      <c r="I463" s="298"/>
      <c r="J463" s="298"/>
      <c r="K463" s="297">
        <f>SUM(K451,K443:K446,K442)</f>
        <v>3582.4667492099998</v>
      </c>
      <c r="L463" s="299">
        <f>K463-H463</f>
        <v>245.02050000000008</v>
      </c>
      <c r="M463" s="300">
        <f>IF((H463)=0,"",(L463/H463))</f>
        <v>7.3415564387890417E-2</v>
      </c>
    </row>
    <row r="464" spans="1:13" x14ac:dyDescent="0.25">
      <c r="A464" s="58" t="str">
        <f t="shared" si="65"/>
        <v>STREET LIGHTING SERVICE CLASSIFICATION</v>
      </c>
      <c r="B464" s="58" t="s">
        <v>1429</v>
      </c>
      <c r="C464" s="357"/>
      <c r="D464" s="301" t="s">
        <v>148</v>
      </c>
      <c r="E464" s="279"/>
      <c r="F464" s="311">
        <v>0.13</v>
      </c>
      <c r="G464" s="339"/>
      <c r="H464" s="302">
        <f>H463*F464</f>
        <v>433.86801239729999</v>
      </c>
      <c r="I464" s="311">
        <v>0.13</v>
      </c>
      <c r="J464" s="303"/>
      <c r="K464" s="302">
        <f>K463*I464</f>
        <v>465.72067739729999</v>
      </c>
      <c r="L464" s="305">
        <f>K464-H464</f>
        <v>31.852665000000002</v>
      </c>
      <c r="M464" s="306">
        <f>IF((H464)=0,"",(L464/H464))</f>
        <v>7.3415564387890389E-2</v>
      </c>
    </row>
    <row r="465" spans="1:20" x14ac:dyDescent="0.25">
      <c r="A465" s="58" t="str">
        <f t="shared" si="65"/>
        <v>STREET LIGHTING SERVICE CLASSIFICATION</v>
      </c>
      <c r="B465" s="58" t="s">
        <v>1429</v>
      </c>
      <c r="C465" s="357"/>
      <c r="D465" s="301" t="s">
        <v>5907</v>
      </c>
      <c r="E465" s="279"/>
      <c r="F465" s="1238">
        <v>0.318</v>
      </c>
      <c r="G465" s="339"/>
      <c r="H465" s="707">
        <f>IF(OR(ISNUMBER(SEARCH("[DGEN]", E414))=TRUE, ISNUMBER(SEARCH("STREET LIGHT", E414))=TRUE), 0, IF(AND(E416=0, E417=0),0, IF(AND(E417=0, E416*12&gt;250000), 0, IF(AND(E416=0, E417&gt;=50), 0, IF(E416*12&lt;=250000, F465*H463*-1, IF(E417&lt;50, F465*H463*-1, 0))))))</f>
        <v>0</v>
      </c>
      <c r="I465" s="1238">
        <v>0.318</v>
      </c>
      <c r="J465" s="303"/>
      <c r="K465" s="707">
        <f>IF(OR(ISNUMBER(SEARCH("[DGEN]", E414))=TRUE, ISNUMBER(SEARCH("STREET LIGHT", E414))=TRUE), 0, IF(AND(E416=0, E417=0),0, IF(AND(E417=0, E416*12&gt;250000), 0, IF(AND(E416=0, E417&gt;=50), 0, IF(E416*12&lt;=250000, I465*K463*-1, IF(E417&lt;50, I465*K463*-1, 0))))))</f>
        <v>0</v>
      </c>
      <c r="L465" s="305"/>
      <c r="M465" s="306"/>
    </row>
    <row r="466" spans="1:20" ht="13.8" thickBot="1" x14ac:dyDescent="0.3">
      <c r="A466" s="58" t="str">
        <f t="shared" si="65"/>
        <v>STREET LIGHTING SERVICE CLASSIFICATION</v>
      </c>
      <c r="B466" s="58" t="s">
        <v>1444</v>
      </c>
      <c r="C466" s="357">
        <f>B36</f>
        <v>7</v>
      </c>
      <c r="D466" s="1943" t="s">
        <v>1443</v>
      </c>
      <c r="E466" s="1943"/>
      <c r="F466" s="343"/>
      <c r="G466" s="344"/>
      <c r="H466" s="312">
        <f>SUM(H463,H464)</f>
        <v>3771.3142616072996</v>
      </c>
      <c r="I466" s="313"/>
      <c r="J466" s="313"/>
      <c r="K466" s="312">
        <f>SUM(K463,K464)</f>
        <v>4048.1874266072996</v>
      </c>
      <c r="L466" s="314">
        <f>K466-H466</f>
        <v>276.87316499999997</v>
      </c>
      <c r="M466" s="315">
        <f>IF((H466)=0,"",(L466/H466))</f>
        <v>7.3415564387890375E-2</v>
      </c>
    </row>
    <row r="467" spans="1:20" ht="13.8" thickBot="1" x14ac:dyDescent="0.3">
      <c r="A467" s="58" t="str">
        <f t="shared" si="65"/>
        <v>STREET LIGHTING SERVICE CLASSIFICATION</v>
      </c>
      <c r="B467" s="58" t="s">
        <v>1429</v>
      </c>
      <c r="C467" s="357"/>
      <c r="D467" s="292"/>
      <c r="E467" s="293"/>
      <c r="F467" s="316"/>
      <c r="G467" s="317"/>
      <c r="H467" s="318"/>
      <c r="I467" s="316"/>
      <c r="J467" s="294"/>
      <c r="K467" s="318"/>
      <c r="L467" s="319"/>
      <c r="M467" s="295"/>
    </row>
    <row r="470" spans="1:20" x14ac:dyDescent="0.25">
      <c r="C470" s="58"/>
      <c r="D470" s="264" t="s">
        <v>1432</v>
      </c>
      <c r="E470" s="1952" t="str">
        <f>D37</f>
        <v>RESIDENTIAL SERVICE CLASSIFICATION</v>
      </c>
      <c r="F470" s="1952"/>
      <c r="G470" s="1952"/>
      <c r="H470" s="1952"/>
      <c r="I470" s="1952"/>
      <c r="J470" s="1952"/>
      <c r="K470" s="58" t="str">
        <f>IF(N37="DEMAND - INTERVAL","RTSR - INTERVAL METERED","")</f>
        <v/>
      </c>
      <c r="T470" s="58" t="s">
        <v>603</v>
      </c>
    </row>
    <row r="471" spans="1:20" x14ac:dyDescent="0.25">
      <c r="C471" s="58"/>
      <c r="D471" s="264" t="s">
        <v>1433</v>
      </c>
      <c r="E471" s="1953" t="str">
        <f>H37</f>
        <v>Non-RPP (Retailer)</v>
      </c>
      <c r="F471" s="1953"/>
      <c r="G471" s="1953"/>
      <c r="H471" s="265"/>
      <c r="I471" s="265"/>
    </row>
    <row r="472" spans="1:20" ht="15.6" x14ac:dyDescent="0.25">
      <c r="C472" s="58"/>
      <c r="D472" s="264" t="s">
        <v>153</v>
      </c>
      <c r="E472" s="1626">
        <f>K37</f>
        <v>750</v>
      </c>
      <c r="F472" s="267" t="s">
        <v>154</v>
      </c>
      <c r="G472" s="783"/>
      <c r="J472" s="268"/>
      <c r="K472" s="268"/>
      <c r="L472" s="268"/>
      <c r="M472" s="268"/>
      <c r="N472" s="268"/>
    </row>
    <row r="473" spans="1:20" ht="15.6" x14ac:dyDescent="0.3">
      <c r="C473" s="58"/>
      <c r="D473" s="264" t="s">
        <v>360</v>
      </c>
      <c r="E473" s="1626">
        <f>L37</f>
        <v>0</v>
      </c>
      <c r="F473" s="269" t="s">
        <v>155</v>
      </c>
      <c r="G473" s="270"/>
      <c r="H473" s="271"/>
      <c r="I473" s="271"/>
      <c r="J473" s="271"/>
    </row>
    <row r="474" spans="1:20" x14ac:dyDescent="0.25">
      <c r="C474" s="58"/>
      <c r="D474" s="264" t="s">
        <v>1464</v>
      </c>
      <c r="E474" s="272">
        <f>I37</f>
        <v>1.0452999999999999</v>
      </c>
    </row>
    <row r="475" spans="1:20" x14ac:dyDescent="0.25">
      <c r="C475" s="58"/>
      <c r="D475" s="264" t="s">
        <v>1465</v>
      </c>
      <c r="E475" s="272">
        <f>J37</f>
        <v>1.0452999999999999</v>
      </c>
    </row>
    <row r="476" spans="1:20" x14ac:dyDescent="0.25">
      <c r="C476" s="58"/>
      <c r="D476" s="783"/>
    </row>
    <row r="477" spans="1:20" x14ac:dyDescent="0.25">
      <c r="C477" s="58"/>
      <c r="D477" s="783"/>
      <c r="E477" s="273"/>
      <c r="F477" s="1944" t="s">
        <v>1943</v>
      </c>
      <c r="G477" s="1954"/>
      <c r="H477" s="1945"/>
      <c r="I477" s="1944" t="s">
        <v>341</v>
      </c>
      <c r="J477" s="1954"/>
      <c r="K477" s="1945"/>
      <c r="L477" s="1944" t="s">
        <v>342</v>
      </c>
      <c r="M477" s="1945"/>
    </row>
    <row r="478" spans="1:20" x14ac:dyDescent="0.25">
      <c r="C478" s="58"/>
      <c r="D478" s="783"/>
      <c r="E478" s="1946"/>
      <c r="F478" s="274" t="s">
        <v>343</v>
      </c>
      <c r="G478" s="274" t="s">
        <v>146</v>
      </c>
      <c r="H478" s="275" t="s">
        <v>344</v>
      </c>
      <c r="I478" s="274" t="s">
        <v>343</v>
      </c>
      <c r="J478" s="276" t="s">
        <v>146</v>
      </c>
      <c r="K478" s="275" t="s">
        <v>344</v>
      </c>
      <c r="L478" s="1948" t="s">
        <v>345</v>
      </c>
      <c r="M478" s="1950" t="s">
        <v>346</v>
      </c>
    </row>
    <row r="479" spans="1:20" x14ac:dyDescent="0.25">
      <c r="C479" s="58"/>
      <c r="D479" s="783"/>
      <c r="E479" s="1947"/>
      <c r="F479" s="277" t="s">
        <v>347</v>
      </c>
      <c r="G479" s="277"/>
      <c r="H479" s="278" t="s">
        <v>347</v>
      </c>
      <c r="I479" s="277" t="s">
        <v>347</v>
      </c>
      <c r="J479" s="278"/>
      <c r="K479" s="278" t="s">
        <v>347</v>
      </c>
      <c r="L479" s="1949"/>
      <c r="M479" s="1951"/>
    </row>
    <row r="480" spans="1:20" x14ac:dyDescent="0.25">
      <c r="A480" s="58" t="str">
        <f>$E470</f>
        <v>RESIDENTIAL SERVICE CLASSIFICATION</v>
      </c>
      <c r="C480" s="357"/>
      <c r="D480" s="68" t="s">
        <v>348</v>
      </c>
      <c r="E480" s="322"/>
      <c r="F480" s="345">
        <v>29.75</v>
      </c>
      <c r="G480" s="304">
        <v>1</v>
      </c>
      <c r="H480" s="346">
        <f>G480*F480</f>
        <v>29.75</v>
      </c>
      <c r="I480" s="982">
        <v>30.26</v>
      </c>
      <c r="J480" s="989">
        <f>G480</f>
        <v>1</v>
      </c>
      <c r="K480" s="988">
        <f>J480*I480</f>
        <v>30.26</v>
      </c>
      <c r="L480" s="329">
        <f t="shared" ref="L480:L500" si="70">K480-H480</f>
        <v>0.51000000000000156</v>
      </c>
      <c r="M480" s="347">
        <f>IF(ISERROR(L480/H480), "", L480/H480)</f>
        <v>1.7142857142857196E-2</v>
      </c>
    </row>
    <row r="481" spans="1:14" x14ac:dyDescent="0.25">
      <c r="A481" s="58" t="str">
        <f>A480</f>
        <v>RESIDENTIAL SERVICE CLASSIFICATION</v>
      </c>
      <c r="C481" s="357"/>
      <c r="D481" s="68" t="s">
        <v>80</v>
      </c>
      <c r="E481" s="322"/>
      <c r="F481" s="326">
        <v>0</v>
      </c>
      <c r="G481" s="304">
        <f>IF($E473&gt;0, $E473, $E472)</f>
        <v>750</v>
      </c>
      <c r="H481" s="346">
        <f t="shared" ref="H481:H493" si="71">G481*F481</f>
        <v>0</v>
      </c>
      <c r="I481" s="983">
        <v>0</v>
      </c>
      <c r="J481" s="989">
        <f>IF($E473&gt;0, $E473, $E472)</f>
        <v>750</v>
      </c>
      <c r="K481" s="988">
        <f>J481*I481</f>
        <v>0</v>
      </c>
      <c r="L481" s="329">
        <f t="shared" si="70"/>
        <v>0</v>
      </c>
      <c r="M481" s="347" t="str">
        <f t="shared" ref="M481:M491" si="72">IF(ISERROR(L481/H481), "", L481/H481)</f>
        <v/>
      </c>
    </row>
    <row r="482" spans="1:14" hidden="1" x14ac:dyDescent="0.25">
      <c r="A482" s="58" t="str">
        <f t="shared" ref="A482:A523" si="73">A481</f>
        <v>RESIDENTIAL SERVICE CLASSIFICATION</v>
      </c>
      <c r="C482" s="357"/>
      <c r="D482" s="68" t="s">
        <v>4311</v>
      </c>
      <c r="E482" s="322"/>
      <c r="F482" s="326"/>
      <c r="G482" s="304">
        <f>IF($E473&gt;0, $E473, $E472)</f>
        <v>750</v>
      </c>
      <c r="H482" s="346">
        <v>0</v>
      </c>
      <c r="I482" s="983"/>
      <c r="J482" s="989">
        <f>IF($E473&gt;0, $E473, $E472)</f>
        <v>750</v>
      </c>
      <c r="K482" s="988">
        <v>0</v>
      </c>
      <c r="L482" s="329"/>
      <c r="M482" s="347"/>
    </row>
    <row r="483" spans="1:14" hidden="1" x14ac:dyDescent="0.25">
      <c r="A483" s="58" t="str">
        <f t="shared" si="73"/>
        <v>RESIDENTIAL SERVICE CLASSIFICATION</v>
      </c>
      <c r="C483" s="357"/>
      <c r="D483" s="68" t="s">
        <v>3743</v>
      </c>
      <c r="E483" s="322"/>
      <c r="F483" s="326"/>
      <c r="G483" s="304">
        <f>IF($E473&gt;0, $E473, $E472)</f>
        <v>750</v>
      </c>
      <c r="H483" s="346">
        <v>0</v>
      </c>
      <c r="I483" s="983"/>
      <c r="J483" s="992">
        <f>IF($E473&gt;0, $E473, $E472)</f>
        <v>750</v>
      </c>
      <c r="K483" s="988">
        <v>0</v>
      </c>
      <c r="L483" s="329">
        <f>K483-H483</f>
        <v>0</v>
      </c>
      <c r="M483" s="347" t="str">
        <f>IF(ISERROR(L483/H483), "", L483/H483)</f>
        <v/>
      </c>
    </row>
    <row r="484" spans="1:14" x14ac:dyDescent="0.25">
      <c r="A484" s="58" t="str">
        <f t="shared" si="73"/>
        <v>RESIDENTIAL SERVICE CLASSIFICATION</v>
      </c>
      <c r="C484" s="357"/>
      <c r="D484" s="69" t="s">
        <v>358</v>
      </c>
      <c r="E484" s="322"/>
      <c r="F484" s="345">
        <v>-0.48</v>
      </c>
      <c r="G484" s="304">
        <v>1</v>
      </c>
      <c r="H484" s="346">
        <f t="shared" si="71"/>
        <v>-0.48</v>
      </c>
      <c r="I484" s="982">
        <v>-0.64</v>
      </c>
      <c r="J484" s="989">
        <f>G484</f>
        <v>1</v>
      </c>
      <c r="K484" s="988">
        <f t="shared" ref="K484:K491" si="74">J484*I484</f>
        <v>-0.64</v>
      </c>
      <c r="L484" s="329">
        <f t="shared" si="70"/>
        <v>-0.16000000000000003</v>
      </c>
      <c r="M484" s="347">
        <f t="shared" si="72"/>
        <v>0.33333333333333343</v>
      </c>
    </row>
    <row r="485" spans="1:14" x14ac:dyDescent="0.25">
      <c r="A485" s="58" t="str">
        <f t="shared" si="73"/>
        <v>RESIDENTIAL SERVICE CLASSIFICATION</v>
      </c>
      <c r="C485" s="357"/>
      <c r="D485" s="68" t="s">
        <v>359</v>
      </c>
      <c r="E485" s="322"/>
      <c r="F485" s="326">
        <v>2.0000000000000001E-4</v>
      </c>
      <c r="G485" s="304">
        <f>IF($E473&gt;0, $E473, $E472)</f>
        <v>750</v>
      </c>
      <c r="H485" s="346">
        <f t="shared" si="71"/>
        <v>0.15</v>
      </c>
      <c r="I485" s="983">
        <v>1E-4</v>
      </c>
      <c r="J485" s="989">
        <f>IF($E473&gt;0, $E473, $E472)</f>
        <v>750</v>
      </c>
      <c r="K485" s="988">
        <f t="shared" si="74"/>
        <v>7.4999999999999997E-2</v>
      </c>
      <c r="L485" s="329">
        <f t="shared" si="70"/>
        <v>-7.4999999999999997E-2</v>
      </c>
      <c r="M485" s="347">
        <f t="shared" si="72"/>
        <v>-0.5</v>
      </c>
    </row>
    <row r="486" spans="1:14" x14ac:dyDescent="0.25">
      <c r="A486" s="58" t="str">
        <f t="shared" si="73"/>
        <v>RESIDENTIAL SERVICE CLASSIFICATION</v>
      </c>
      <c r="B486" s="280" t="s">
        <v>1434</v>
      </c>
      <c r="C486" s="357">
        <f>B37</f>
        <v>8</v>
      </c>
      <c r="D486" s="281" t="s">
        <v>349</v>
      </c>
      <c r="E486" s="282"/>
      <c r="F486" s="348"/>
      <c r="G486" s="717"/>
      <c r="H486" s="718">
        <f>SUM(H480:H485)</f>
        <v>29.419999999999998</v>
      </c>
      <c r="I486" s="349"/>
      <c r="J486" s="289"/>
      <c r="K486" s="718">
        <f>SUM(K480:K485)</f>
        <v>29.695</v>
      </c>
      <c r="L486" s="283">
        <f t="shared" si="70"/>
        <v>0.27500000000000213</v>
      </c>
      <c r="M486" s="284">
        <f>IF((H486)=0,"",(L486/H486))</f>
        <v>9.3473827328348792E-3</v>
      </c>
    </row>
    <row r="487" spans="1:14" x14ac:dyDescent="0.25">
      <c r="A487" s="58" t="str">
        <f t="shared" si="73"/>
        <v>RESIDENTIAL SERVICE CLASSIFICATION</v>
      </c>
      <c r="C487" s="357"/>
      <c r="D487" s="72" t="s">
        <v>421</v>
      </c>
      <c r="E487" s="322"/>
      <c r="F487" s="326">
        <f>IF((E472*12&gt;=150000), 0, IF(E471="RPP",(F503*0.64+F504*0.18+F505*0.18),IF(E471="Non-RPP (Retailer)",F506,F507)))</f>
        <v>0.1368</v>
      </c>
      <c r="G487" s="332">
        <f>IF(F487=0, 0, $E472*E474-E472)</f>
        <v>33.974999999999909</v>
      </c>
      <c r="H487" s="346">
        <f>G487*F487</f>
        <v>4.6477799999999876</v>
      </c>
      <c r="I487" s="983">
        <f>IF((E472*12&gt;=150000), 0, IF(E471="RPP",(I503*0.64+I504*0.18+I505*0.18),IF(E471="Non-RPP (Retailer)",I506,I507)))</f>
        <v>0.1368</v>
      </c>
      <c r="J487" s="987">
        <f>IF(I487=0, 0, E472*E475-E472)</f>
        <v>33.974999999999909</v>
      </c>
      <c r="K487" s="988">
        <f>J487*I487</f>
        <v>4.6477799999999876</v>
      </c>
      <c r="L487" s="329">
        <f>K487-H487</f>
        <v>0</v>
      </c>
      <c r="M487" s="347">
        <f>IF(ISERROR(L487/H487), "", L487/H487)</f>
        <v>0</v>
      </c>
    </row>
    <row r="488" spans="1:14" ht="26.4" x14ac:dyDescent="0.25">
      <c r="A488" s="58" t="str">
        <f t="shared" si="73"/>
        <v>RESIDENTIAL SERVICE CLASSIFICATION</v>
      </c>
      <c r="C488" s="357"/>
      <c r="D488" s="72" t="s">
        <v>357</v>
      </c>
      <c r="E488" s="322"/>
      <c r="F488" s="326">
        <v>0</v>
      </c>
      <c r="G488" s="333">
        <f>IF($E473&gt;0, $E473, $E472)</f>
        <v>750</v>
      </c>
      <c r="H488" s="346">
        <f t="shared" si="71"/>
        <v>0</v>
      </c>
      <c r="I488" s="983">
        <v>0</v>
      </c>
      <c r="J488" s="991">
        <f>IF($E473&gt;0, $E473, $E472)</f>
        <v>750</v>
      </c>
      <c r="K488" s="988">
        <f t="shared" si="74"/>
        <v>0</v>
      </c>
      <c r="L488" s="329">
        <f t="shared" si="70"/>
        <v>0</v>
      </c>
      <c r="M488" s="347" t="str">
        <f t="shared" si="72"/>
        <v/>
      </c>
    </row>
    <row r="489" spans="1:14" x14ac:dyDescent="0.25">
      <c r="A489" s="58" t="str">
        <f t="shared" si="73"/>
        <v>RESIDENTIAL SERVICE CLASSIFICATION</v>
      </c>
      <c r="C489" s="357"/>
      <c r="D489" s="72" t="s">
        <v>2299</v>
      </c>
      <c r="E489" s="322"/>
      <c r="F489" s="326">
        <v>0</v>
      </c>
      <c r="G489" s="333">
        <f>IF($E473&gt;0, $E473, $E472)</f>
        <v>750</v>
      </c>
      <c r="H489" s="346">
        <f>G489*F489</f>
        <v>0</v>
      </c>
      <c r="I489" s="983">
        <v>0</v>
      </c>
      <c r="J489" s="991">
        <f>IF($E473&gt;0, $E473, $E472)</f>
        <v>750</v>
      </c>
      <c r="K489" s="988">
        <f>J489*I489</f>
        <v>0</v>
      </c>
      <c r="L489" s="329">
        <f t="shared" si="70"/>
        <v>0</v>
      </c>
      <c r="M489" s="347" t="str">
        <f t="shared" si="72"/>
        <v/>
      </c>
    </row>
    <row r="490" spans="1:14" x14ac:dyDescent="0.25">
      <c r="A490" s="58" t="str">
        <f t="shared" si="73"/>
        <v>RESIDENTIAL SERVICE CLASSIFICATION</v>
      </c>
      <c r="C490" s="357"/>
      <c r="D490" s="72" t="s">
        <v>1953</v>
      </c>
      <c r="E490" s="322"/>
      <c r="F490" s="326">
        <v>0</v>
      </c>
      <c r="G490" s="333">
        <f>E472</f>
        <v>750</v>
      </c>
      <c r="H490" s="346">
        <f>G490*F490</f>
        <v>0</v>
      </c>
      <c r="I490" s="983">
        <v>0</v>
      </c>
      <c r="J490" s="991">
        <f>E472</f>
        <v>750</v>
      </c>
      <c r="K490" s="988">
        <f t="shared" si="74"/>
        <v>0</v>
      </c>
      <c r="L490" s="329">
        <f t="shared" si="70"/>
        <v>0</v>
      </c>
      <c r="M490" s="347" t="str">
        <f t="shared" si="72"/>
        <v/>
      </c>
    </row>
    <row r="491" spans="1:14" x14ac:dyDescent="0.25">
      <c r="A491" s="58" t="str">
        <f t="shared" si="73"/>
        <v>RESIDENTIAL SERVICE CLASSIFICATION</v>
      </c>
      <c r="C491" s="357"/>
      <c r="D491" s="74" t="s">
        <v>141</v>
      </c>
      <c r="E491" s="322"/>
      <c r="F491" s="326">
        <v>3.0000000000000001E-3</v>
      </c>
      <c r="G491" s="333">
        <f>IF($E473&gt;0, $E473, $E472)</f>
        <v>750</v>
      </c>
      <c r="H491" s="346">
        <f t="shared" si="71"/>
        <v>2.25</v>
      </c>
      <c r="I491" s="983">
        <v>3.0000000000000001E-3</v>
      </c>
      <c r="J491" s="991">
        <f>IF($E473&gt;0, $E473, $E472)</f>
        <v>750</v>
      </c>
      <c r="K491" s="988">
        <f t="shared" si="74"/>
        <v>2.25</v>
      </c>
      <c r="L491" s="329">
        <f t="shared" si="70"/>
        <v>0</v>
      </c>
      <c r="M491" s="347">
        <f t="shared" si="72"/>
        <v>0</v>
      </c>
    </row>
    <row r="492" spans="1:14" ht="26.4" x14ac:dyDescent="0.25">
      <c r="A492" s="58" t="str">
        <f t="shared" si="73"/>
        <v>RESIDENTIAL SERVICE CLASSIFICATION</v>
      </c>
      <c r="C492" s="357"/>
      <c r="D492" s="391" t="s">
        <v>4312</v>
      </c>
      <c r="E492" s="322"/>
      <c r="F492" s="768">
        <f>IF(OR(ISNUMBER(SEARCH("RESIDENTIAL", E470))=TRUE, ISNUMBER(SEARCH("GENERAL SERVICE LESS THAN 50", E470))=TRUE), SME, 0)</f>
        <v>0.56999999999999995</v>
      </c>
      <c r="G492" s="304">
        <v>1</v>
      </c>
      <c r="H492" s="346">
        <f>G492*F492</f>
        <v>0.56999999999999995</v>
      </c>
      <c r="I492" s="984">
        <f>IF(OR(ISNUMBER(SEARCH("RESIDENTIAL", E470))=TRUE, ISNUMBER(SEARCH("GENERAL SERVICE LESS THAN 50", E470))=TRUE), SME, 0)</f>
        <v>0.56999999999999995</v>
      </c>
      <c r="J492" s="992">
        <v>1</v>
      </c>
      <c r="K492" s="988">
        <f>J492*I492</f>
        <v>0.56999999999999995</v>
      </c>
      <c r="L492" s="329">
        <f t="shared" si="70"/>
        <v>0</v>
      </c>
      <c r="M492" s="347">
        <f>IF(ISERROR(L492/H492), "", L492/H492)</f>
        <v>0</v>
      </c>
    </row>
    <row r="493" spans="1:14" x14ac:dyDescent="0.25">
      <c r="A493" s="58" t="str">
        <f t="shared" si="73"/>
        <v>RESIDENTIAL SERVICE CLASSIFICATION</v>
      </c>
      <c r="C493" s="357"/>
      <c r="D493" s="74" t="s">
        <v>3742</v>
      </c>
      <c r="E493" s="322"/>
      <c r="F493" s="345">
        <v>0</v>
      </c>
      <c r="G493" s="304">
        <v>1</v>
      </c>
      <c r="H493" s="346">
        <f t="shared" si="71"/>
        <v>0</v>
      </c>
      <c r="I493" s="982">
        <v>0</v>
      </c>
      <c r="J493" s="992">
        <v>1</v>
      </c>
      <c r="K493" s="988">
        <f>J493*I493</f>
        <v>0</v>
      </c>
      <c r="L493" s="329">
        <f>K493-H493</f>
        <v>0</v>
      </c>
      <c r="M493" s="347" t="str">
        <f>IF(ISERROR(L493/H493), "", L493/H493)</f>
        <v/>
      </c>
    </row>
    <row r="494" spans="1:14" x14ac:dyDescent="0.25">
      <c r="A494" s="58" t="str">
        <f t="shared" si="73"/>
        <v>RESIDENTIAL SERVICE CLASSIFICATION</v>
      </c>
      <c r="C494" s="357"/>
      <c r="D494" s="74" t="s">
        <v>3741</v>
      </c>
      <c r="E494" s="322"/>
      <c r="F494" s="326">
        <v>0</v>
      </c>
      <c r="G494" s="333">
        <f>IF($E473&gt;0, $E473, $E472)</f>
        <v>750</v>
      </c>
      <c r="H494" s="346">
        <f>G494*F494</f>
        <v>0</v>
      </c>
      <c r="I494" s="983">
        <v>0</v>
      </c>
      <c r="J494" s="991">
        <f>IF($E473&gt;0, $E473, $E472)</f>
        <v>750</v>
      </c>
      <c r="K494" s="988">
        <f>J494*I494</f>
        <v>0</v>
      </c>
      <c r="L494" s="329">
        <f t="shared" si="70"/>
        <v>0</v>
      </c>
      <c r="M494" s="347" t="str">
        <f>IF(ISERROR(L494/H494), "", L494/H494)</f>
        <v/>
      </c>
    </row>
    <row r="495" spans="1:14" ht="26.4" x14ac:dyDescent="0.25">
      <c r="A495" s="58" t="str">
        <f t="shared" si="73"/>
        <v>RESIDENTIAL SERVICE CLASSIFICATION</v>
      </c>
      <c r="B495" s="783" t="s">
        <v>1435</v>
      </c>
      <c r="C495" s="357">
        <f>B37</f>
        <v>8</v>
      </c>
      <c r="D495" s="286" t="s">
        <v>1466</v>
      </c>
      <c r="E495" s="287"/>
      <c r="F495" s="323"/>
      <c r="G495" s="330"/>
      <c r="H495" s="288">
        <f>SUM(H486:H494)</f>
        <v>36.887779999999985</v>
      </c>
      <c r="I495" s="324"/>
      <c r="J495" s="331"/>
      <c r="K495" s="288">
        <f>SUM(K486:K494)</f>
        <v>37.162779999999991</v>
      </c>
      <c r="L495" s="283">
        <f t="shared" si="70"/>
        <v>0.27500000000000568</v>
      </c>
      <c r="M495" s="284">
        <f>IF((H495)=0,"",(L495/H495))</f>
        <v>7.4550433775089145E-3</v>
      </c>
    </row>
    <row r="496" spans="1:14" x14ac:dyDescent="0.25">
      <c r="A496" s="58" t="str">
        <f t="shared" si="73"/>
        <v>RESIDENTIAL SERVICE CLASSIFICATION</v>
      </c>
      <c r="C496" s="357"/>
      <c r="D496" s="76" t="s">
        <v>351</v>
      </c>
      <c r="E496" s="322"/>
      <c r="F496" s="326">
        <v>6.6E-3</v>
      </c>
      <c r="G496" s="332">
        <f>IF($E473&gt;0, $E473, $E472*$E474)</f>
        <v>783.97499999999991</v>
      </c>
      <c r="H496" s="346">
        <f>G496*F496</f>
        <v>5.1742349999999995</v>
      </c>
      <c r="I496" s="325">
        <v>6.4999999999999997E-3</v>
      </c>
      <c r="J496" s="987">
        <f>IF($E473&gt;0, $E473, $E472*$E475)</f>
        <v>783.97499999999991</v>
      </c>
      <c r="K496" s="988">
        <f>J496*I496</f>
        <v>5.0958374999999991</v>
      </c>
      <c r="L496" s="329">
        <f t="shared" si="70"/>
        <v>-7.8397500000000342E-2</v>
      </c>
      <c r="M496" s="347">
        <f>IF(ISERROR(L496/H496), "", L496/H496)</f>
        <v>-1.515151515151522E-2</v>
      </c>
      <c r="N496" s="1090" t="str">
        <f>IF(ISERROR(ABS(M496)), "", IF(ABS(M496)&gt;=4%, "In the manager's summary, discuss the reasoning for the change in RTSR rates", ""))</f>
        <v/>
      </c>
    </row>
    <row r="497" spans="1:14" ht="26.4" x14ac:dyDescent="0.25">
      <c r="A497" s="58" t="str">
        <f t="shared" si="73"/>
        <v>RESIDENTIAL SERVICE CLASSIFICATION</v>
      </c>
      <c r="C497" s="357"/>
      <c r="D497" s="169" t="s">
        <v>361</v>
      </c>
      <c r="E497" s="322"/>
      <c r="F497" s="326">
        <v>5.5999999999999999E-3</v>
      </c>
      <c r="G497" s="332">
        <f>IF($E473&gt;0, $E473, $E472*$E474)</f>
        <v>783.97499999999991</v>
      </c>
      <c r="H497" s="346">
        <f>G497*F497</f>
        <v>4.3902599999999996</v>
      </c>
      <c r="I497" s="325">
        <v>5.4999999999999997E-3</v>
      </c>
      <c r="J497" s="987">
        <f>IF($E473&gt;0, $E473, $E472*$E475)</f>
        <v>783.97499999999991</v>
      </c>
      <c r="K497" s="988">
        <f>J497*I497</f>
        <v>4.3118624999999993</v>
      </c>
      <c r="L497" s="329">
        <f t="shared" si="70"/>
        <v>-7.8397500000000342E-2</v>
      </c>
      <c r="M497" s="347">
        <f>IF(ISERROR(L497/H497), "", L497/H497)</f>
        <v>-1.7857142857142936E-2</v>
      </c>
      <c r="N497" s="1090" t="str">
        <f>IF(ISERROR(ABS(M497)), "", IF(ABS(M497)&gt;=4%, "In the manager's summary, discuss the reasoning for the change in RTSR rates", ""))</f>
        <v/>
      </c>
    </row>
    <row r="498" spans="1:14" ht="26.4" x14ac:dyDescent="0.25">
      <c r="A498" s="58" t="str">
        <f t="shared" si="73"/>
        <v>RESIDENTIAL SERVICE CLASSIFICATION</v>
      </c>
      <c r="B498" s="783" t="s">
        <v>1436</v>
      </c>
      <c r="C498" s="357">
        <f>B37</f>
        <v>8</v>
      </c>
      <c r="D498" s="286" t="s">
        <v>1467</v>
      </c>
      <c r="E498" s="282"/>
      <c r="F498" s="323"/>
      <c r="G498" s="330"/>
      <c r="H498" s="288">
        <f>SUM(H495:H497)</f>
        <v>46.452274999999986</v>
      </c>
      <c r="I498" s="324"/>
      <c r="J498" s="289"/>
      <c r="K498" s="288">
        <f>SUM(K495:K497)</f>
        <v>46.570479999999989</v>
      </c>
      <c r="L498" s="283">
        <f t="shared" si="70"/>
        <v>0.11820500000000322</v>
      </c>
      <c r="M498" s="284">
        <f>IF((H498)=0,"",(L498/H498))</f>
        <v>2.5446547020571814E-3</v>
      </c>
    </row>
    <row r="499" spans="1:14" ht="26.4" x14ac:dyDescent="0.25">
      <c r="A499" s="58" t="str">
        <f t="shared" si="73"/>
        <v>RESIDENTIAL SERVICE CLASSIFICATION</v>
      </c>
      <c r="C499" s="357"/>
      <c r="D499" s="290" t="s">
        <v>352</v>
      </c>
      <c r="E499" s="322"/>
      <c r="F499" s="326">
        <f>IF(AND('1. Information Sheet'!$F$26:$H$26&gt;='17. Regulatory Charges'!$D$14,'1. Information Sheet'!$F$26:$H$26&lt;'17. Regulatory Charges'!$E$14),'17. Regulatory Charges'!$D$15+'17. Regulatory Charges'!$D$16,'17. Regulatory Charges'!$E$15+'17. Regulatory Charges'!$E$16)</f>
        <v>3.4000000000000002E-3</v>
      </c>
      <c r="G499" s="332">
        <f>E472*E474</f>
        <v>783.97499999999991</v>
      </c>
      <c r="H499" s="334">
        <f t="shared" ref="H499:H505" si="75">G499*F499</f>
        <v>2.6655150000000001</v>
      </c>
      <c r="I499" s="983">
        <f>'17. Regulatory Charges'!$E$15+'17. Regulatory Charges'!$E$16</f>
        <v>3.4000000000000002E-3</v>
      </c>
      <c r="J499" s="987">
        <f>E472*E475</f>
        <v>783.97499999999991</v>
      </c>
      <c r="K499" s="988">
        <f t="shared" ref="K499:K505" si="76">J499*I499</f>
        <v>2.6655150000000001</v>
      </c>
      <c r="L499" s="329">
        <f t="shared" si="70"/>
        <v>0</v>
      </c>
      <c r="M499" s="347">
        <f t="shared" ref="M499:M507" si="77">IF(ISERROR(L499/H499), "", L499/H499)</f>
        <v>0</v>
      </c>
    </row>
    <row r="500" spans="1:14" ht="26.4" x14ac:dyDescent="0.25">
      <c r="A500" s="58" t="str">
        <f t="shared" si="73"/>
        <v>RESIDENTIAL SERVICE CLASSIFICATION</v>
      </c>
      <c r="C500" s="357"/>
      <c r="D500" s="290" t="s">
        <v>353</v>
      </c>
      <c r="E500" s="322"/>
      <c r="F500" s="326">
        <f>IF(AND('1. Information Sheet'!$F$26:$H$26&gt;='17. Regulatory Charges'!$D$14,'1. Information Sheet'!$F$26:$H$26&lt;'17. Regulatory Charges'!$D$14),'17. Regulatory Charges'!$D$17,'17. Regulatory Charges'!$E$17)</f>
        <v>5.0000000000000001E-4</v>
      </c>
      <c r="G500" s="332">
        <f>E472*E474</f>
        <v>783.97499999999991</v>
      </c>
      <c r="H500" s="334">
        <f t="shared" si="75"/>
        <v>0.39198749999999999</v>
      </c>
      <c r="I500" s="983">
        <f>'17. Regulatory Charges'!$E$17</f>
        <v>5.0000000000000001E-4</v>
      </c>
      <c r="J500" s="987">
        <f>E472*E475</f>
        <v>783.97499999999991</v>
      </c>
      <c r="K500" s="988">
        <f t="shared" si="76"/>
        <v>0.39198749999999999</v>
      </c>
      <c r="L500" s="329">
        <f t="shared" si="70"/>
        <v>0</v>
      </c>
      <c r="M500" s="347">
        <f t="shared" si="77"/>
        <v>0</v>
      </c>
    </row>
    <row r="501" spans="1:14" x14ac:dyDescent="0.25">
      <c r="A501" s="58" t="str">
        <f t="shared" si="73"/>
        <v>RESIDENTIAL SERVICE CLASSIFICATION</v>
      </c>
      <c r="C501" s="357"/>
      <c r="D501" s="279" t="s">
        <v>354</v>
      </c>
      <c r="E501" s="322"/>
      <c r="F501" s="1627"/>
      <c r="G501" s="1628"/>
      <c r="H501" s="1629"/>
      <c r="I501" s="1630"/>
      <c r="J501" s="1631"/>
      <c r="K501" s="1632"/>
      <c r="L501" s="1633"/>
      <c r="M501" s="1634"/>
    </row>
    <row r="502" spans="1:14" ht="26.4" hidden="1" x14ac:dyDescent="0.25">
      <c r="A502" s="58" t="str">
        <f t="shared" si="73"/>
        <v>RESIDENTIAL SERVICE CLASSIFICATION</v>
      </c>
      <c r="C502" s="357"/>
      <c r="D502" s="290" t="s">
        <v>1468</v>
      </c>
      <c r="E502" s="322"/>
      <c r="F502" s="326"/>
      <c r="G502" s="332"/>
      <c r="H502" s="334"/>
      <c r="I502" s="983"/>
      <c r="J502" s="987"/>
      <c r="K502" s="988"/>
      <c r="L502" s="329"/>
      <c r="M502" s="347"/>
    </row>
    <row r="503" spans="1:14" hidden="1" x14ac:dyDescent="0.25">
      <c r="A503" s="58" t="str">
        <f t="shared" si="73"/>
        <v>RESIDENTIAL SERVICE CLASSIFICATION</v>
      </c>
      <c r="B503" s="783" t="s">
        <v>1427</v>
      </c>
      <c r="C503" s="357"/>
      <c r="D503" s="285" t="s">
        <v>220</v>
      </c>
      <c r="E503" s="322"/>
      <c r="F503" s="327">
        <f>OffPeak</f>
        <v>0.105</v>
      </c>
      <c r="G503" s="291">
        <f>IF(AND(E472*12&gt;=150000),0.64*E472*E474,0.64*E472)</f>
        <v>480</v>
      </c>
      <c r="H503" s="334">
        <f t="shared" si="75"/>
        <v>50.4</v>
      </c>
      <c r="I503" s="985">
        <f>OffPeak</f>
        <v>0.105</v>
      </c>
      <c r="J503" s="990">
        <f>IF(AND(E472*12&gt;=150000),0.64*E472*E475,0.64*E472)</f>
        <v>480</v>
      </c>
      <c r="K503" s="988">
        <f t="shared" si="76"/>
        <v>50.4</v>
      </c>
      <c r="L503" s="329">
        <f>K503-H503</f>
        <v>0</v>
      </c>
      <c r="M503" s="347">
        <f t="shared" si="77"/>
        <v>0</v>
      </c>
    </row>
    <row r="504" spans="1:14" hidden="1" x14ac:dyDescent="0.25">
      <c r="A504" s="58" t="str">
        <f t="shared" si="73"/>
        <v>RESIDENTIAL SERVICE CLASSIFICATION</v>
      </c>
      <c r="B504" s="783" t="s">
        <v>1427</v>
      </c>
      <c r="C504" s="357"/>
      <c r="D504" s="285" t="s">
        <v>221</v>
      </c>
      <c r="E504" s="322"/>
      <c r="F504" s="327">
        <f>MidPeak</f>
        <v>0.15</v>
      </c>
      <c r="G504" s="291">
        <f>IF(AND(E472*12&gt;=150000),0.18*E472*E474,0.18*E472)</f>
        <v>135</v>
      </c>
      <c r="H504" s="334">
        <f t="shared" si="75"/>
        <v>20.25</v>
      </c>
      <c r="I504" s="985">
        <f>MidPeak</f>
        <v>0.15</v>
      </c>
      <c r="J504" s="990">
        <f>IF(AND(E472*12&gt;=150000),0.18*E472*E475,0.18*E472)</f>
        <v>135</v>
      </c>
      <c r="K504" s="988">
        <f t="shared" si="76"/>
        <v>20.25</v>
      </c>
      <c r="L504" s="329">
        <f>K504-H504</f>
        <v>0</v>
      </c>
      <c r="M504" s="347">
        <f t="shared" si="77"/>
        <v>0</v>
      </c>
    </row>
    <row r="505" spans="1:14" hidden="1" x14ac:dyDescent="0.25">
      <c r="A505" s="58" t="str">
        <f t="shared" si="73"/>
        <v>RESIDENTIAL SERVICE CLASSIFICATION</v>
      </c>
      <c r="B505" s="783" t="s">
        <v>1427</v>
      </c>
      <c r="C505" s="357"/>
      <c r="D505" s="783" t="s">
        <v>222</v>
      </c>
      <c r="E505" s="322"/>
      <c r="F505" s="327">
        <f>OnPeak</f>
        <v>0.217</v>
      </c>
      <c r="G505" s="291">
        <f>IF(AND(E472*12&gt;=150000),0.18*E472*E474,0.18*E472)</f>
        <v>135</v>
      </c>
      <c r="H505" s="334">
        <f t="shared" si="75"/>
        <v>29.294999999999998</v>
      </c>
      <c r="I505" s="985">
        <f>OnPeak</f>
        <v>0.217</v>
      </c>
      <c r="J505" s="990">
        <f>IF(AND(E472*12&gt;=150000),0.18*E472*E475,0.18*E472)</f>
        <v>135</v>
      </c>
      <c r="K505" s="988">
        <f t="shared" si="76"/>
        <v>29.294999999999998</v>
      </c>
      <c r="L505" s="329">
        <f>K505-H505</f>
        <v>0</v>
      </c>
      <c r="M505" s="347">
        <f t="shared" si="77"/>
        <v>0</v>
      </c>
    </row>
    <row r="506" spans="1:14" ht="13.8" thickBot="1" x14ac:dyDescent="0.3">
      <c r="A506" s="58" t="str">
        <f t="shared" si="73"/>
        <v>RESIDENTIAL SERVICE CLASSIFICATION</v>
      </c>
      <c r="B506" s="58" t="s">
        <v>1428</v>
      </c>
      <c r="C506" s="357"/>
      <c r="D506" s="285" t="s">
        <v>1437</v>
      </c>
      <c r="E506" s="322"/>
      <c r="F506" s="328">
        <v>0.1368</v>
      </c>
      <c r="G506" s="291">
        <f>IF(AND(E472*12&gt;=150000),E472*E474,E472)</f>
        <v>750</v>
      </c>
      <c r="H506" s="334">
        <f>G506*F506</f>
        <v>102.60000000000001</v>
      </c>
      <c r="I506" s="986">
        <f>F506</f>
        <v>0.1368</v>
      </c>
      <c r="J506" s="990">
        <f>IF(AND(E472*12&gt;=150000),E472*E475,E472)</f>
        <v>750</v>
      </c>
      <c r="K506" s="988">
        <f>J506*I506</f>
        <v>102.60000000000001</v>
      </c>
      <c r="L506" s="329">
        <f>K506-H506</f>
        <v>0</v>
      </c>
      <c r="M506" s="347">
        <f t="shared" si="77"/>
        <v>0</v>
      </c>
    </row>
    <row r="507" spans="1:14" ht="13.8" hidden="1" thickBot="1" x14ac:dyDescent="0.3">
      <c r="A507" s="58" t="str">
        <f t="shared" si="73"/>
        <v>RESIDENTIAL SERVICE CLASSIFICATION</v>
      </c>
      <c r="B507" s="58" t="s">
        <v>1429</v>
      </c>
      <c r="C507" s="357"/>
      <c r="D507" s="285" t="s">
        <v>1438</v>
      </c>
      <c r="E507" s="322"/>
      <c r="F507" s="328">
        <v>0.1368</v>
      </c>
      <c r="G507" s="291">
        <f>IF(AND(E472*12&gt;=150000),E472*E474,E472)</f>
        <v>750</v>
      </c>
      <c r="H507" s="334">
        <f>G507*F507</f>
        <v>102.60000000000001</v>
      </c>
      <c r="I507" s="986">
        <f>F507</f>
        <v>0.1368</v>
      </c>
      <c r="J507" s="990">
        <f>IF(AND(E472*12&gt;=150000),E472*E475,E472)</f>
        <v>750</v>
      </c>
      <c r="K507" s="988">
        <f>J507*I507</f>
        <v>102.60000000000001</v>
      </c>
      <c r="L507" s="329">
        <f>K507-H507</f>
        <v>0</v>
      </c>
      <c r="M507" s="347">
        <f t="shared" si="77"/>
        <v>0</v>
      </c>
    </row>
    <row r="508" spans="1:14" ht="13.8" thickBot="1" x14ac:dyDescent="0.3">
      <c r="A508" s="58" t="str">
        <f t="shared" si="73"/>
        <v>RESIDENTIAL SERVICE CLASSIFICATION</v>
      </c>
      <c r="B508" s="783"/>
      <c r="C508" s="357"/>
      <c r="D508" s="292"/>
      <c r="E508" s="293"/>
      <c r="F508" s="335"/>
      <c r="G508" s="216"/>
      <c r="H508" s="336"/>
      <c r="I508" s="335"/>
      <c r="J508" s="337"/>
      <c r="K508" s="336"/>
      <c r="L508" s="338"/>
      <c r="M508" s="219"/>
    </row>
    <row r="509" spans="1:14" hidden="1" x14ac:dyDescent="0.25">
      <c r="A509" s="58" t="str">
        <f t="shared" si="73"/>
        <v>RESIDENTIAL SERVICE CLASSIFICATION</v>
      </c>
      <c r="B509" s="783" t="s">
        <v>1427</v>
      </c>
      <c r="C509" s="357"/>
      <c r="D509" s="296" t="s">
        <v>356</v>
      </c>
      <c r="E509" s="279"/>
      <c r="F509" s="311"/>
      <c r="G509" s="339"/>
      <c r="H509" s="297">
        <f>SUM(H499:H505,H498)</f>
        <v>149.45477749999998</v>
      </c>
      <c r="I509" s="298"/>
      <c r="J509" s="298"/>
      <c r="K509" s="297">
        <f>SUM(K499:K505,K498)</f>
        <v>149.57298249999999</v>
      </c>
      <c r="L509" s="299">
        <f>K509-H509</f>
        <v>0.11820500000001744</v>
      </c>
      <c r="M509" s="300">
        <f>IF((H509)=0,"",(L509/H509))</f>
        <v>7.9090813942041737E-4</v>
      </c>
    </row>
    <row r="510" spans="1:14" hidden="1" x14ac:dyDescent="0.25">
      <c r="A510" s="58" t="str">
        <f t="shared" si="73"/>
        <v>RESIDENTIAL SERVICE CLASSIFICATION</v>
      </c>
      <c r="B510" s="783" t="s">
        <v>1427</v>
      </c>
      <c r="C510" s="357"/>
      <c r="D510" s="301" t="s">
        <v>148</v>
      </c>
      <c r="E510" s="279"/>
      <c r="F510" s="311">
        <v>0.13</v>
      </c>
      <c r="G510" s="340"/>
      <c r="H510" s="302">
        <f>H509*F510</f>
        <v>19.429121074999998</v>
      </c>
      <c r="I510" s="303">
        <v>0.13</v>
      </c>
      <c r="J510" s="304"/>
      <c r="K510" s="302">
        <f>K509*I510</f>
        <v>19.444487724999998</v>
      </c>
      <c r="L510" s="305">
        <f>K510-H510</f>
        <v>1.5366650000000703E-2</v>
      </c>
      <c r="M510" s="306">
        <f>IF((H510)=0,"",(L510/H510))</f>
        <v>7.9090813942033682E-4</v>
      </c>
    </row>
    <row r="511" spans="1:14" hidden="1" x14ac:dyDescent="0.25">
      <c r="A511" s="58" t="str">
        <f t="shared" si="73"/>
        <v>RESIDENTIAL SERVICE CLASSIFICATION</v>
      </c>
      <c r="B511" s="783" t="s">
        <v>1427</v>
      </c>
      <c r="C511" s="357"/>
      <c r="D511" s="301" t="s">
        <v>5907</v>
      </c>
      <c r="E511" s="279"/>
      <c r="F511" s="1238">
        <v>0.318</v>
      </c>
      <c r="G511" s="340"/>
      <c r="H511" s="302">
        <f>IF(OR(ISNUMBER(SEARCH("[DGEN]", E470))=TRUE, ISNUMBER(SEARCH("STREET LIGHT", E470))=TRUE), 0, IF(AND(E472=0, E473=0),0, IF(AND(E473=0, E472*12&gt;250000), 0, IF(AND(E472=0, E473&gt;=50), 0, IF(E472*12&lt;=250000, F511*H509*-1, IF(E473&lt;50, F511*H509*-1, 0))))))</f>
        <v>-47.526619244999992</v>
      </c>
      <c r="I511" s="1238">
        <v>0.318</v>
      </c>
      <c r="J511" s="304"/>
      <c r="K511" s="302">
        <f>IF(OR(ISNUMBER(SEARCH("[DGEN]", E470))=TRUE, ISNUMBER(SEARCH("STREET LIGHT", E470))=TRUE), 0, IF(AND(E472=0, E473=0),0, IF(AND(E473=0, E472*12&gt;250000), 0, IF(AND(E472=0, E473&gt;=50), 0, IF(E472*12&lt;=250000, I511*K509*-1, IF(E473&lt;50, I511*K509*-1, 0))))))</f>
        <v>-47.564208434999998</v>
      </c>
      <c r="L511" s="305">
        <f>K511-H511</f>
        <v>-3.7589190000005601E-2</v>
      </c>
      <c r="M511" s="306"/>
    </row>
    <row r="512" spans="1:14" ht="13.8" hidden="1" thickBot="1" x14ac:dyDescent="0.3">
      <c r="A512" s="58" t="str">
        <f t="shared" si="73"/>
        <v>RESIDENTIAL SERVICE CLASSIFICATION</v>
      </c>
      <c r="B512" s="783" t="s">
        <v>1439</v>
      </c>
      <c r="C512" s="357"/>
      <c r="D512" s="1943" t="s">
        <v>1440</v>
      </c>
      <c r="E512" s="1943"/>
      <c r="F512" s="341"/>
      <c r="G512" s="342"/>
      <c r="H512" s="312">
        <f>H509+H510+H511</f>
        <v>121.35727933</v>
      </c>
      <c r="I512" s="308"/>
      <c r="J512" s="308"/>
      <c r="K512" s="307">
        <f>K509+K510+K511</f>
        <v>121.45326178999998</v>
      </c>
      <c r="L512" s="309">
        <f>K512-H512</f>
        <v>9.5982459999987668E-2</v>
      </c>
      <c r="M512" s="310">
        <f>IF((H512)=0,"",(L512/H512))</f>
        <v>7.9090813942019902E-4</v>
      </c>
    </row>
    <row r="513" spans="1:20" ht="13.8" hidden="1" thickBot="1" x14ac:dyDescent="0.3">
      <c r="A513" s="58" t="str">
        <f t="shared" si="73"/>
        <v>RESIDENTIAL SERVICE CLASSIFICATION</v>
      </c>
      <c r="B513" s="58" t="s">
        <v>1427</v>
      </c>
      <c r="C513" s="357"/>
      <c r="D513" s="292"/>
      <c r="E513" s="293"/>
      <c r="F513" s="335"/>
      <c r="G513" s="216"/>
      <c r="H513" s="336"/>
      <c r="I513" s="335"/>
      <c r="J513" s="337"/>
      <c r="K513" s="336"/>
      <c r="L513" s="338"/>
      <c r="M513" s="219"/>
    </row>
    <row r="514" spans="1:20" x14ac:dyDescent="0.25">
      <c r="A514" s="58" t="str">
        <f t="shared" si="73"/>
        <v>RESIDENTIAL SERVICE CLASSIFICATION</v>
      </c>
      <c r="B514" s="58" t="s">
        <v>1428</v>
      </c>
      <c r="C514" s="357"/>
      <c r="D514" s="296" t="s">
        <v>1441</v>
      </c>
      <c r="E514" s="279"/>
      <c r="F514" s="311"/>
      <c r="G514" s="339"/>
      <c r="H514" s="297">
        <f>SUM(H506,H499:H502,H498)</f>
        <v>152.10977750000001</v>
      </c>
      <c r="I514" s="298"/>
      <c r="J514" s="298"/>
      <c r="K514" s="297">
        <f>SUM(K506,K499:K502,K498)</f>
        <v>152.2279825</v>
      </c>
      <c r="L514" s="299">
        <f>K514-H514</f>
        <v>0.11820499999998901</v>
      </c>
      <c r="M514" s="300">
        <f>IF((H514)=0,"",(L514/H514))</f>
        <v>7.771032338798143E-4</v>
      </c>
    </row>
    <row r="515" spans="1:20" x14ac:dyDescent="0.25">
      <c r="A515" s="58" t="str">
        <f t="shared" si="73"/>
        <v>RESIDENTIAL SERVICE CLASSIFICATION</v>
      </c>
      <c r="B515" s="58" t="s">
        <v>1428</v>
      </c>
      <c r="C515" s="357"/>
      <c r="D515" s="301" t="s">
        <v>148</v>
      </c>
      <c r="E515" s="279"/>
      <c r="F515" s="311">
        <v>0.13</v>
      </c>
      <c r="G515" s="339"/>
      <c r="H515" s="302">
        <f>H514*F515</f>
        <v>19.774271075000001</v>
      </c>
      <c r="I515" s="311">
        <v>0.13</v>
      </c>
      <c r="J515" s="303"/>
      <c r="K515" s="302">
        <f>K514*I515</f>
        <v>19.789637724999999</v>
      </c>
      <c r="L515" s="305">
        <f>K515-H515</f>
        <v>1.5366649999997151E-2</v>
      </c>
      <c r="M515" s="306">
        <f>IF((H515)=0,"",(L515/H515))</f>
        <v>7.7710323387974241E-4</v>
      </c>
    </row>
    <row r="516" spans="1:20" x14ac:dyDescent="0.25">
      <c r="A516" s="58" t="str">
        <f t="shared" si="73"/>
        <v>RESIDENTIAL SERVICE CLASSIFICATION</v>
      </c>
      <c r="B516" s="58" t="s">
        <v>1428</v>
      </c>
      <c r="C516" s="357"/>
      <c r="D516" s="301" t="s">
        <v>5907</v>
      </c>
      <c r="E516" s="279"/>
      <c r="F516" s="1238">
        <v>0.318</v>
      </c>
      <c r="G516" s="339"/>
      <c r="H516" s="707">
        <f>IF(OR(ISNUMBER(SEARCH("[DGEN]", E470))=TRUE, ISNUMBER(SEARCH("STREET LIGHT", E470))=TRUE), 0, IF(AND(E472=0, E473=0),0, IF(AND(E473=0, E472*12&gt;250000), 0, IF(AND(E472=0, E473&gt;=50), 0, IF(E472*12&lt;=250000, F516*H514*-1, IF(E473&lt;50, F516*H514*-1, 0))))))</f>
        <v>-48.370909245</v>
      </c>
      <c r="I516" s="1238">
        <v>0.318</v>
      </c>
      <c r="J516" s="303"/>
      <c r="K516" s="707">
        <f>IF(OR(ISNUMBER(SEARCH("[DGEN]", E470))=TRUE, ISNUMBER(SEARCH("STREET LIGHT", E470))=TRUE), 0, IF(AND(E472=0, E473=0),0, IF(AND(E473=0, E472*12&gt;250000), 0, IF(AND(E472=0, E473&gt;=50), 0, IF(E472*12&lt;=250000, I516*K514*-1, IF(E473&lt;50, I516*K514*-1, 0))))))</f>
        <v>-48.408498434999998</v>
      </c>
      <c r="L516" s="305"/>
      <c r="M516" s="306"/>
    </row>
    <row r="517" spans="1:20" ht="13.8" thickBot="1" x14ac:dyDescent="0.3">
      <c r="A517" s="58" t="str">
        <f t="shared" si="73"/>
        <v>RESIDENTIAL SERVICE CLASSIFICATION</v>
      </c>
      <c r="B517" s="58" t="s">
        <v>1442</v>
      </c>
      <c r="C517" s="357">
        <f>B37</f>
        <v>8</v>
      </c>
      <c r="D517" s="1943" t="s">
        <v>1441</v>
      </c>
      <c r="E517" s="1943"/>
      <c r="F517" s="343"/>
      <c r="G517" s="344"/>
      <c r="H517" s="312">
        <f>SUM(H514,H515)</f>
        <v>171.88404857500001</v>
      </c>
      <c r="I517" s="313"/>
      <c r="J517" s="313"/>
      <c r="K517" s="312">
        <f>SUM(K514,K515)</f>
        <v>172.017620225</v>
      </c>
      <c r="L517" s="314">
        <f>K517-H517</f>
        <v>0.13357164999999327</v>
      </c>
      <c r="M517" s="315">
        <f>IF((H517)=0,"",(L517/H517))</f>
        <v>7.7710323387984736E-4</v>
      </c>
    </row>
    <row r="518" spans="1:20" ht="13.8" thickBot="1" x14ac:dyDescent="0.3">
      <c r="A518" s="58" t="str">
        <f t="shared" si="73"/>
        <v>RESIDENTIAL SERVICE CLASSIFICATION</v>
      </c>
      <c r="B518" s="58" t="s">
        <v>1428</v>
      </c>
      <c r="C518" s="357"/>
      <c r="D518" s="292"/>
      <c r="E518" s="293"/>
      <c r="F518" s="213"/>
      <c r="G518" s="214"/>
      <c r="H518" s="215"/>
      <c r="I518" s="213"/>
      <c r="J518" s="216"/>
      <c r="K518" s="215"/>
      <c r="L518" s="218"/>
      <c r="M518" s="219"/>
    </row>
    <row r="519" spans="1:20" hidden="1" x14ac:dyDescent="0.25">
      <c r="A519" s="58" t="str">
        <f t="shared" si="73"/>
        <v>RESIDENTIAL SERVICE CLASSIFICATION</v>
      </c>
      <c r="B519" s="58" t="s">
        <v>1429</v>
      </c>
      <c r="C519" s="357"/>
      <c r="D519" s="296" t="s">
        <v>1443</v>
      </c>
      <c r="E519" s="279"/>
      <c r="F519" s="311"/>
      <c r="G519" s="339"/>
      <c r="H519" s="297">
        <f>SUM(H507,H499:H502,H498)</f>
        <v>152.10977750000001</v>
      </c>
      <c r="I519" s="298"/>
      <c r="J519" s="298"/>
      <c r="K519" s="297">
        <f>SUM(K507,K499:K502,K498)</f>
        <v>152.2279825</v>
      </c>
      <c r="L519" s="299">
        <f>K519-H519</f>
        <v>0.11820499999998901</v>
      </c>
      <c r="M519" s="300">
        <f>IF((H519)=0,"",(L519/H519))</f>
        <v>7.771032338798143E-4</v>
      </c>
    </row>
    <row r="520" spans="1:20" hidden="1" x14ac:dyDescent="0.25">
      <c r="A520" s="58" t="str">
        <f t="shared" si="73"/>
        <v>RESIDENTIAL SERVICE CLASSIFICATION</v>
      </c>
      <c r="B520" s="58" t="s">
        <v>1429</v>
      </c>
      <c r="C520" s="357"/>
      <c r="D520" s="301" t="s">
        <v>148</v>
      </c>
      <c r="E520" s="279"/>
      <c r="F520" s="311">
        <v>0.13</v>
      </c>
      <c r="G520" s="339"/>
      <c r="H520" s="302">
        <f>H519*F520</f>
        <v>19.774271075000001</v>
      </c>
      <c r="I520" s="311">
        <v>0.13</v>
      </c>
      <c r="J520" s="303"/>
      <c r="K520" s="302">
        <f>K519*I520</f>
        <v>19.789637724999999</v>
      </c>
      <c r="L520" s="305">
        <f>K520-H520</f>
        <v>1.5366649999997151E-2</v>
      </c>
      <c r="M520" s="306">
        <f>IF((H520)=0,"",(L520/H520))</f>
        <v>7.7710323387974241E-4</v>
      </c>
    </row>
    <row r="521" spans="1:20" hidden="1" x14ac:dyDescent="0.25">
      <c r="A521" s="58" t="str">
        <f t="shared" si="73"/>
        <v>RESIDENTIAL SERVICE CLASSIFICATION</v>
      </c>
      <c r="B521" s="58" t="s">
        <v>1429</v>
      </c>
      <c r="C521" s="357"/>
      <c r="D521" s="301" t="s">
        <v>5907</v>
      </c>
      <c r="E521" s="279"/>
      <c r="F521" s="1238">
        <v>0.318</v>
      </c>
      <c r="G521" s="339"/>
      <c r="H521" s="707">
        <f>IF(OR(ISNUMBER(SEARCH("[DGEN]", E470))=TRUE, ISNUMBER(SEARCH("STREET LIGHT", E470))=TRUE), 0, IF(AND(E472=0, E473=0),0, IF(AND(E473=0, E472*12&gt;250000), 0, IF(AND(E472=0, E473&gt;=50), 0, IF(E472*12&lt;=250000, F521*H519*-1, IF(E473&lt;50, F521*H519*-1, 0))))))</f>
        <v>-48.370909245</v>
      </c>
      <c r="I521" s="1238">
        <v>0.318</v>
      </c>
      <c r="J521" s="303"/>
      <c r="K521" s="707">
        <f>IF(OR(ISNUMBER(SEARCH("[DGEN]", E470))=TRUE, ISNUMBER(SEARCH("STREET LIGHT", E470))=TRUE), 0, IF(AND(E472=0, E473=0),0, IF(AND(E473=0, E472*12&gt;250000), 0, IF(AND(E472=0, E473&gt;=50), 0, IF(E472*12&lt;=250000, I521*K519*-1, IF(E473&lt;50, I521*K519*-1, 0))))))</f>
        <v>-48.408498434999998</v>
      </c>
      <c r="L521" s="305"/>
      <c r="M521" s="306"/>
    </row>
    <row r="522" spans="1:20" ht="13.8" hidden="1" thickBot="1" x14ac:dyDescent="0.3">
      <c r="A522" s="58" t="str">
        <f t="shared" si="73"/>
        <v>RESIDENTIAL SERVICE CLASSIFICATION</v>
      </c>
      <c r="B522" s="58" t="s">
        <v>1444</v>
      </c>
      <c r="C522" s="357"/>
      <c r="D522" s="1943" t="s">
        <v>1443</v>
      </c>
      <c r="E522" s="1943"/>
      <c r="F522" s="343"/>
      <c r="G522" s="344"/>
      <c r="H522" s="312">
        <f>SUM(H519,H520)</f>
        <v>171.88404857500001</v>
      </c>
      <c r="I522" s="313"/>
      <c r="J522" s="313"/>
      <c r="K522" s="312">
        <f>SUM(K519,K520)</f>
        <v>172.017620225</v>
      </c>
      <c r="L522" s="314">
        <f>K522-H522</f>
        <v>0.13357164999999327</v>
      </c>
      <c r="M522" s="315">
        <f>IF((H522)=0,"",(L522/H522))</f>
        <v>7.7710323387984736E-4</v>
      </c>
    </row>
    <row r="523" spans="1:20" ht="13.8" hidden="1" thickBot="1" x14ac:dyDescent="0.3">
      <c r="A523" s="58" t="str">
        <f t="shared" si="73"/>
        <v>RESIDENTIAL SERVICE CLASSIFICATION</v>
      </c>
      <c r="B523" s="58" t="s">
        <v>1429</v>
      </c>
      <c r="C523" s="357"/>
      <c r="D523" s="292"/>
      <c r="E523" s="293"/>
      <c r="F523" s="316"/>
      <c r="G523" s="317"/>
      <c r="H523" s="318"/>
      <c r="I523" s="316"/>
      <c r="J523" s="294"/>
      <c r="K523" s="318"/>
      <c r="L523" s="319"/>
      <c r="M523" s="295"/>
    </row>
    <row r="526" spans="1:20" x14ac:dyDescent="0.25">
      <c r="C526" s="58"/>
      <c r="D526" s="264" t="s">
        <v>1432</v>
      </c>
      <c r="E526" s="1952" t="str">
        <f>D38</f>
        <v>GENERAL SERVICE LESS THAN 50 KW SERVICE CLASSIFICATION</v>
      </c>
      <c r="F526" s="1952"/>
      <c r="G526" s="1952"/>
      <c r="H526" s="1952"/>
      <c r="I526" s="1952"/>
      <c r="J526" s="1952"/>
      <c r="K526" s="58" t="str">
        <f>IF(N38="DEMAND - INTERVAL","RTSR - INTERVAL METERED","")</f>
        <v/>
      </c>
      <c r="T526" s="58" t="s">
        <v>603</v>
      </c>
    </row>
    <row r="527" spans="1:20" x14ac:dyDescent="0.25">
      <c r="C527" s="58"/>
      <c r="D527" s="264" t="s">
        <v>1433</v>
      </c>
      <c r="E527" s="1953" t="str">
        <f>H38</f>
        <v>Non-RPP (Retailer)</v>
      </c>
      <c r="F527" s="1953"/>
      <c r="G527" s="1953"/>
      <c r="H527" s="265"/>
      <c r="I527" s="265"/>
    </row>
    <row r="528" spans="1:20" ht="15.6" x14ac:dyDescent="0.25">
      <c r="C528" s="58"/>
      <c r="D528" s="264" t="s">
        <v>153</v>
      </c>
      <c r="E528" s="1626">
        <f>K38</f>
        <v>2000</v>
      </c>
      <c r="F528" s="267" t="s">
        <v>154</v>
      </c>
      <c r="G528" s="783"/>
      <c r="J528" s="268"/>
      <c r="K528" s="268"/>
      <c r="L528" s="268"/>
      <c r="M528" s="268"/>
      <c r="N528" s="268"/>
    </row>
    <row r="529" spans="1:13" ht="15.6" x14ac:dyDescent="0.3">
      <c r="C529" s="58"/>
      <c r="D529" s="264" t="s">
        <v>360</v>
      </c>
      <c r="E529" s="1626">
        <f>L38</f>
        <v>0</v>
      </c>
      <c r="F529" s="269" t="s">
        <v>155</v>
      </c>
      <c r="G529" s="270"/>
      <c r="H529" s="271"/>
      <c r="I529" s="271"/>
      <c r="J529" s="271"/>
    </row>
    <row r="530" spans="1:13" x14ac:dyDescent="0.25">
      <c r="C530" s="58"/>
      <c r="D530" s="264" t="s">
        <v>1464</v>
      </c>
      <c r="E530" s="272">
        <f>I38</f>
        <v>1.0452999999999999</v>
      </c>
    </row>
    <row r="531" spans="1:13" x14ac:dyDescent="0.25">
      <c r="C531" s="58"/>
      <c r="D531" s="264" t="s">
        <v>1465</v>
      </c>
      <c r="E531" s="272">
        <f>J38</f>
        <v>1.0452999999999999</v>
      </c>
    </row>
    <row r="532" spans="1:13" x14ac:dyDescent="0.25">
      <c r="C532" s="58"/>
      <c r="D532" s="783"/>
    </row>
    <row r="533" spans="1:13" x14ac:dyDescent="0.25">
      <c r="C533" s="58"/>
      <c r="D533" s="783"/>
      <c r="E533" s="273"/>
      <c r="F533" s="1944" t="s">
        <v>1943</v>
      </c>
      <c r="G533" s="1954"/>
      <c r="H533" s="1945"/>
      <c r="I533" s="1944" t="s">
        <v>341</v>
      </c>
      <c r="J533" s="1954"/>
      <c r="K533" s="1945"/>
      <c r="L533" s="1944" t="s">
        <v>342</v>
      </c>
      <c r="M533" s="1945"/>
    </row>
    <row r="534" spans="1:13" x14ac:dyDescent="0.25">
      <c r="C534" s="58"/>
      <c r="D534" s="783"/>
      <c r="E534" s="1946"/>
      <c r="F534" s="274" t="s">
        <v>343</v>
      </c>
      <c r="G534" s="274" t="s">
        <v>146</v>
      </c>
      <c r="H534" s="275" t="s">
        <v>344</v>
      </c>
      <c r="I534" s="274" t="s">
        <v>343</v>
      </c>
      <c r="J534" s="276" t="s">
        <v>146</v>
      </c>
      <c r="K534" s="275" t="s">
        <v>344</v>
      </c>
      <c r="L534" s="1948" t="s">
        <v>345</v>
      </c>
      <c r="M534" s="1950" t="s">
        <v>346</v>
      </c>
    </row>
    <row r="535" spans="1:13" x14ac:dyDescent="0.25">
      <c r="C535" s="58"/>
      <c r="D535" s="783"/>
      <c r="E535" s="1947"/>
      <c r="F535" s="277" t="s">
        <v>347</v>
      </c>
      <c r="G535" s="277"/>
      <c r="H535" s="278" t="s">
        <v>347</v>
      </c>
      <c r="I535" s="277" t="s">
        <v>347</v>
      </c>
      <c r="J535" s="278"/>
      <c r="K535" s="278" t="s">
        <v>347</v>
      </c>
      <c r="L535" s="1949"/>
      <c r="M535" s="1951"/>
    </row>
    <row r="536" spans="1:13" x14ac:dyDescent="0.25">
      <c r="A536" s="58" t="str">
        <f>$E526</f>
        <v>GENERAL SERVICE LESS THAN 50 KW SERVICE CLASSIFICATION</v>
      </c>
      <c r="C536" s="357"/>
      <c r="D536" s="68" t="s">
        <v>348</v>
      </c>
      <c r="E536" s="322"/>
      <c r="F536" s="345">
        <v>21.46</v>
      </c>
      <c r="G536" s="304">
        <v>1</v>
      </c>
      <c r="H536" s="346">
        <f>G536*F536</f>
        <v>21.46</v>
      </c>
      <c r="I536" s="982">
        <v>21.82</v>
      </c>
      <c r="J536" s="989">
        <f>G536</f>
        <v>1</v>
      </c>
      <c r="K536" s="988">
        <f>J536*I536</f>
        <v>21.82</v>
      </c>
      <c r="L536" s="329">
        <f t="shared" ref="L536:L556" si="78">K536-H536</f>
        <v>0.35999999999999943</v>
      </c>
      <c r="M536" s="347">
        <f>IF(ISERROR(L536/H536), "", L536/H536)</f>
        <v>1.6775396085740885E-2</v>
      </c>
    </row>
    <row r="537" spans="1:13" x14ac:dyDescent="0.25">
      <c r="A537" s="58" t="str">
        <f>A536</f>
        <v>GENERAL SERVICE LESS THAN 50 KW SERVICE CLASSIFICATION</v>
      </c>
      <c r="C537" s="357"/>
      <c r="D537" s="68" t="s">
        <v>80</v>
      </c>
      <c r="E537" s="322"/>
      <c r="F537" s="326">
        <v>2.24E-2</v>
      </c>
      <c r="G537" s="304">
        <f>IF($E529&gt;0, $E529, $E528)</f>
        <v>2000</v>
      </c>
      <c r="H537" s="346">
        <f t="shared" ref="H537:H549" si="79">G537*F537</f>
        <v>44.8</v>
      </c>
      <c r="I537" s="983">
        <v>2.2800000000000001E-2</v>
      </c>
      <c r="J537" s="989">
        <f>IF($E529&gt;0, $E529, $E528)</f>
        <v>2000</v>
      </c>
      <c r="K537" s="988">
        <f>J537*I537</f>
        <v>45.6</v>
      </c>
      <c r="L537" s="329">
        <f t="shared" si="78"/>
        <v>0.80000000000000426</v>
      </c>
      <c r="M537" s="347">
        <f t="shared" ref="M537:M547" si="80">IF(ISERROR(L537/H537), "", L537/H537)</f>
        <v>1.7857142857142953E-2</v>
      </c>
    </row>
    <row r="538" spans="1:13" hidden="1" x14ac:dyDescent="0.25">
      <c r="A538" s="58" t="str">
        <f t="shared" ref="A538:A579" si="81">A537</f>
        <v>GENERAL SERVICE LESS THAN 50 KW SERVICE CLASSIFICATION</v>
      </c>
      <c r="C538" s="357"/>
      <c r="D538" s="68" t="s">
        <v>4311</v>
      </c>
      <c r="E538" s="322"/>
      <c r="F538" s="326"/>
      <c r="G538" s="304">
        <f>IF($E529&gt;0, $E529, $E528)</f>
        <v>2000</v>
      </c>
      <c r="H538" s="346">
        <v>0</v>
      </c>
      <c r="I538" s="983"/>
      <c r="J538" s="989">
        <f>IF($E529&gt;0, $E529, $E528)</f>
        <v>2000</v>
      </c>
      <c r="K538" s="988">
        <v>0</v>
      </c>
      <c r="L538" s="329"/>
      <c r="M538" s="347"/>
    </row>
    <row r="539" spans="1:13" hidden="1" x14ac:dyDescent="0.25">
      <c r="A539" s="58" t="str">
        <f t="shared" si="81"/>
        <v>GENERAL SERVICE LESS THAN 50 KW SERVICE CLASSIFICATION</v>
      </c>
      <c r="C539" s="357"/>
      <c r="D539" s="68" t="s">
        <v>3743</v>
      </c>
      <c r="E539" s="322"/>
      <c r="F539" s="326"/>
      <c r="G539" s="304">
        <f>IF($E529&gt;0, $E529, $E528)</f>
        <v>2000</v>
      </c>
      <c r="H539" s="346">
        <v>0</v>
      </c>
      <c r="I539" s="983"/>
      <c r="J539" s="992">
        <f>IF($E529&gt;0, $E529, $E528)</f>
        <v>2000</v>
      </c>
      <c r="K539" s="988">
        <v>0</v>
      </c>
      <c r="L539" s="329">
        <f>K539-H539</f>
        <v>0</v>
      </c>
      <c r="M539" s="347" t="str">
        <f>IF(ISERROR(L539/H539), "", L539/H539)</f>
        <v/>
      </c>
    </row>
    <row r="540" spans="1:13" x14ac:dyDescent="0.25">
      <c r="A540" s="58" t="str">
        <f t="shared" si="81"/>
        <v>GENERAL SERVICE LESS THAN 50 KW SERVICE CLASSIFICATION</v>
      </c>
      <c r="C540" s="357"/>
      <c r="D540" s="69" t="s">
        <v>358</v>
      </c>
      <c r="E540" s="322"/>
      <c r="F540" s="345">
        <v>0</v>
      </c>
      <c r="G540" s="304">
        <v>1</v>
      </c>
      <c r="H540" s="346">
        <f t="shared" si="79"/>
        <v>0</v>
      </c>
      <c r="I540" s="982">
        <v>0</v>
      </c>
      <c r="J540" s="989">
        <f>G540</f>
        <v>1</v>
      </c>
      <c r="K540" s="988">
        <f t="shared" ref="K540:K547" si="82">J540*I540</f>
        <v>0</v>
      </c>
      <c r="L540" s="329">
        <f t="shared" si="78"/>
        <v>0</v>
      </c>
      <c r="M540" s="347" t="str">
        <f t="shared" si="80"/>
        <v/>
      </c>
    </row>
    <row r="541" spans="1:13" x14ac:dyDescent="0.25">
      <c r="A541" s="58" t="str">
        <f t="shared" si="81"/>
        <v>GENERAL SERVICE LESS THAN 50 KW SERVICE CLASSIFICATION</v>
      </c>
      <c r="C541" s="357"/>
      <c r="D541" s="68" t="s">
        <v>359</v>
      </c>
      <c r="E541" s="322"/>
      <c r="F541" s="326">
        <v>1.6000000000000003E-3</v>
      </c>
      <c r="G541" s="304">
        <f>IF($E529&gt;0, $E529, $E528)</f>
        <v>2000</v>
      </c>
      <c r="H541" s="346">
        <f t="shared" si="79"/>
        <v>3.2000000000000006</v>
      </c>
      <c r="I541" s="983">
        <v>3.0000000000000003E-4</v>
      </c>
      <c r="J541" s="989">
        <f>IF($E529&gt;0, $E529, $E528)</f>
        <v>2000</v>
      </c>
      <c r="K541" s="988">
        <f t="shared" si="82"/>
        <v>0.60000000000000009</v>
      </c>
      <c r="L541" s="329">
        <f t="shared" si="78"/>
        <v>-2.6000000000000005</v>
      </c>
      <c r="M541" s="347">
        <f t="shared" si="80"/>
        <v>-0.8125</v>
      </c>
    </row>
    <row r="542" spans="1:13" x14ac:dyDescent="0.25">
      <c r="A542" s="58" t="str">
        <f t="shared" si="81"/>
        <v>GENERAL SERVICE LESS THAN 50 KW SERVICE CLASSIFICATION</v>
      </c>
      <c r="B542" s="280" t="s">
        <v>1434</v>
      </c>
      <c r="C542" s="357">
        <f>B38</f>
        <v>9</v>
      </c>
      <c r="D542" s="281" t="s">
        <v>349</v>
      </c>
      <c r="E542" s="282"/>
      <c r="F542" s="348"/>
      <c r="G542" s="717"/>
      <c r="H542" s="718">
        <f>SUM(H536:H541)</f>
        <v>69.459999999999994</v>
      </c>
      <c r="I542" s="349"/>
      <c r="J542" s="289"/>
      <c r="K542" s="718">
        <f>SUM(K536:K541)</f>
        <v>68.02</v>
      </c>
      <c r="L542" s="283">
        <f t="shared" si="78"/>
        <v>-1.4399999999999977</v>
      </c>
      <c r="M542" s="284">
        <f>IF((H542)=0,"",(L542/H542))</f>
        <v>-2.0731356176216496E-2</v>
      </c>
    </row>
    <row r="543" spans="1:13" x14ac:dyDescent="0.25">
      <c r="A543" s="58" t="str">
        <f t="shared" si="81"/>
        <v>GENERAL SERVICE LESS THAN 50 KW SERVICE CLASSIFICATION</v>
      </c>
      <c r="C543" s="357"/>
      <c r="D543" s="72" t="s">
        <v>421</v>
      </c>
      <c r="E543" s="322"/>
      <c r="F543" s="326">
        <f>IF((E528*12&gt;=150000), 0, IF(E527="RPP",(F559*0.64+F560*0.18+F561*0.18),IF(E527="Non-RPP (Retailer)",F562,F563)))</f>
        <v>0.1368</v>
      </c>
      <c r="G543" s="332">
        <f>IF(F543=0, 0, $E528*E530-E528)</f>
        <v>90.599999999999909</v>
      </c>
      <c r="H543" s="346">
        <f>G543*F543</f>
        <v>12.394079999999988</v>
      </c>
      <c r="I543" s="983">
        <f>IF((E528*12&gt;=150000), 0, IF(E527="RPP",(I559*0.64+I560*0.18+I561*0.18),IF(E527="Non-RPP (Retailer)",I562,I563)))</f>
        <v>0.1368</v>
      </c>
      <c r="J543" s="987">
        <f>IF(I543=0, 0, E528*E531-E528)</f>
        <v>90.599999999999909</v>
      </c>
      <c r="K543" s="988">
        <f>J543*I543</f>
        <v>12.394079999999988</v>
      </c>
      <c r="L543" s="329">
        <f>K543-H543</f>
        <v>0</v>
      </c>
      <c r="M543" s="347">
        <f>IF(ISERROR(L543/H543), "", L543/H543)</f>
        <v>0</v>
      </c>
    </row>
    <row r="544" spans="1:13" ht="26.4" x14ac:dyDescent="0.25">
      <c r="A544" s="58" t="str">
        <f t="shared" si="81"/>
        <v>GENERAL SERVICE LESS THAN 50 KW SERVICE CLASSIFICATION</v>
      </c>
      <c r="C544" s="357"/>
      <c r="D544" s="72" t="s">
        <v>357</v>
      </c>
      <c r="E544" s="322"/>
      <c r="F544" s="326">
        <v>0</v>
      </c>
      <c r="G544" s="333">
        <f>IF($E529&gt;0, $E529, $E528)</f>
        <v>2000</v>
      </c>
      <c r="H544" s="346">
        <f t="shared" si="79"/>
        <v>0</v>
      </c>
      <c r="I544" s="983">
        <v>0</v>
      </c>
      <c r="J544" s="991">
        <f>IF($E529&gt;0, $E529, $E528)</f>
        <v>2000</v>
      </c>
      <c r="K544" s="988">
        <f t="shared" si="82"/>
        <v>0</v>
      </c>
      <c r="L544" s="329">
        <f t="shared" si="78"/>
        <v>0</v>
      </c>
      <c r="M544" s="347" t="str">
        <f t="shared" si="80"/>
        <v/>
      </c>
    </row>
    <row r="545" spans="1:14" x14ac:dyDescent="0.25">
      <c r="A545" s="58" t="str">
        <f t="shared" si="81"/>
        <v>GENERAL SERVICE LESS THAN 50 KW SERVICE CLASSIFICATION</v>
      </c>
      <c r="C545" s="357"/>
      <c r="D545" s="72" t="s">
        <v>2299</v>
      </c>
      <c r="E545" s="322"/>
      <c r="F545" s="326">
        <v>0</v>
      </c>
      <c r="G545" s="333">
        <f>IF($E529&gt;0, $E529, $E528)</f>
        <v>2000</v>
      </c>
      <c r="H545" s="346">
        <f>G545*F545</f>
        <v>0</v>
      </c>
      <c r="I545" s="983">
        <v>0</v>
      </c>
      <c r="J545" s="991">
        <f>IF($E529&gt;0, $E529, $E528)</f>
        <v>2000</v>
      </c>
      <c r="K545" s="988">
        <f>J545*I545</f>
        <v>0</v>
      </c>
      <c r="L545" s="329">
        <f t="shared" si="78"/>
        <v>0</v>
      </c>
      <c r="M545" s="347" t="str">
        <f t="shared" si="80"/>
        <v/>
      </c>
    </row>
    <row r="546" spans="1:14" x14ac:dyDescent="0.25">
      <c r="A546" s="58" t="str">
        <f t="shared" si="81"/>
        <v>GENERAL SERVICE LESS THAN 50 KW SERVICE CLASSIFICATION</v>
      </c>
      <c r="C546" s="357"/>
      <c r="D546" s="72" t="s">
        <v>1953</v>
      </c>
      <c r="E546" s="322"/>
      <c r="F546" s="326">
        <v>0</v>
      </c>
      <c r="G546" s="333">
        <f>E528</f>
        <v>2000</v>
      </c>
      <c r="H546" s="346">
        <f>G546*F546</f>
        <v>0</v>
      </c>
      <c r="I546" s="983">
        <v>0</v>
      </c>
      <c r="J546" s="991">
        <f>E528</f>
        <v>2000</v>
      </c>
      <c r="K546" s="988">
        <f t="shared" si="82"/>
        <v>0</v>
      </c>
      <c r="L546" s="329">
        <f t="shared" si="78"/>
        <v>0</v>
      </c>
      <c r="M546" s="347" t="str">
        <f t="shared" si="80"/>
        <v/>
      </c>
    </row>
    <row r="547" spans="1:14" x14ac:dyDescent="0.25">
      <c r="A547" s="58" t="str">
        <f t="shared" si="81"/>
        <v>GENERAL SERVICE LESS THAN 50 KW SERVICE CLASSIFICATION</v>
      </c>
      <c r="C547" s="357"/>
      <c r="D547" s="74" t="s">
        <v>141</v>
      </c>
      <c r="E547" s="322"/>
      <c r="F547" s="326">
        <v>2.7000000000000001E-3</v>
      </c>
      <c r="G547" s="333">
        <f>IF($E529&gt;0, $E529, $E528)</f>
        <v>2000</v>
      </c>
      <c r="H547" s="346">
        <f t="shared" si="79"/>
        <v>5.4</v>
      </c>
      <c r="I547" s="983">
        <v>2.7000000000000001E-3</v>
      </c>
      <c r="J547" s="991">
        <f>IF($E529&gt;0, $E529, $E528)</f>
        <v>2000</v>
      </c>
      <c r="K547" s="988">
        <f t="shared" si="82"/>
        <v>5.4</v>
      </c>
      <c r="L547" s="329">
        <f t="shared" si="78"/>
        <v>0</v>
      </c>
      <c r="M547" s="347">
        <f t="shared" si="80"/>
        <v>0</v>
      </c>
    </row>
    <row r="548" spans="1:14" ht="26.4" x14ac:dyDescent="0.25">
      <c r="A548" s="58" t="str">
        <f t="shared" si="81"/>
        <v>GENERAL SERVICE LESS THAN 50 KW SERVICE CLASSIFICATION</v>
      </c>
      <c r="C548" s="357"/>
      <c r="D548" s="391" t="s">
        <v>4312</v>
      </c>
      <c r="E548" s="322"/>
      <c r="F548" s="768">
        <f>IF(OR(ISNUMBER(SEARCH("RESIDENTIAL", E526))=TRUE, ISNUMBER(SEARCH("GENERAL SERVICE LESS THAN 50", E526))=TRUE), SME, 0)</f>
        <v>0.56999999999999995</v>
      </c>
      <c r="G548" s="304">
        <v>1</v>
      </c>
      <c r="H548" s="346">
        <f>G548*F548</f>
        <v>0.56999999999999995</v>
      </c>
      <c r="I548" s="984">
        <f>IF(OR(ISNUMBER(SEARCH("RESIDENTIAL", E526))=TRUE, ISNUMBER(SEARCH("GENERAL SERVICE LESS THAN 50", E526))=TRUE), SME, 0)</f>
        <v>0.56999999999999995</v>
      </c>
      <c r="J548" s="992">
        <v>1</v>
      </c>
      <c r="K548" s="988">
        <f>J548*I548</f>
        <v>0.56999999999999995</v>
      </c>
      <c r="L548" s="329">
        <f t="shared" si="78"/>
        <v>0</v>
      </c>
      <c r="M548" s="347">
        <f>IF(ISERROR(L548/H548), "", L548/H548)</f>
        <v>0</v>
      </c>
    </row>
    <row r="549" spans="1:14" x14ac:dyDescent="0.25">
      <c r="A549" s="58" t="str">
        <f t="shared" si="81"/>
        <v>GENERAL SERVICE LESS THAN 50 KW SERVICE CLASSIFICATION</v>
      </c>
      <c r="C549" s="357"/>
      <c r="D549" s="74" t="s">
        <v>3742</v>
      </c>
      <c r="E549" s="322"/>
      <c r="F549" s="345">
        <v>0</v>
      </c>
      <c r="G549" s="304">
        <v>1</v>
      </c>
      <c r="H549" s="346">
        <f t="shared" si="79"/>
        <v>0</v>
      </c>
      <c r="I549" s="982">
        <v>0</v>
      </c>
      <c r="J549" s="992">
        <v>1</v>
      </c>
      <c r="K549" s="988">
        <f>J549*I549</f>
        <v>0</v>
      </c>
      <c r="L549" s="329">
        <f>K549-H549</f>
        <v>0</v>
      </c>
      <c r="M549" s="347" t="str">
        <f>IF(ISERROR(L549/H549), "", L549/H549)</f>
        <v/>
      </c>
    </row>
    <row r="550" spans="1:14" x14ac:dyDescent="0.25">
      <c r="A550" s="58" t="str">
        <f t="shared" si="81"/>
        <v>GENERAL SERVICE LESS THAN 50 KW SERVICE CLASSIFICATION</v>
      </c>
      <c r="C550" s="357"/>
      <c r="D550" s="74" t="s">
        <v>3741</v>
      </c>
      <c r="E550" s="322"/>
      <c r="F550" s="326">
        <v>0</v>
      </c>
      <c r="G550" s="333">
        <f>IF($E529&gt;0, $E529, $E528)</f>
        <v>2000</v>
      </c>
      <c r="H550" s="346">
        <f>G550*F550</f>
        <v>0</v>
      </c>
      <c r="I550" s="983">
        <v>0</v>
      </c>
      <c r="J550" s="991">
        <f>IF($E529&gt;0, $E529, $E528)</f>
        <v>2000</v>
      </c>
      <c r="K550" s="988">
        <f>J550*I550</f>
        <v>0</v>
      </c>
      <c r="L550" s="329">
        <f t="shared" si="78"/>
        <v>0</v>
      </c>
      <c r="M550" s="347" t="str">
        <f>IF(ISERROR(L550/H550), "", L550/H550)</f>
        <v/>
      </c>
    </row>
    <row r="551" spans="1:14" ht="26.4" x14ac:dyDescent="0.25">
      <c r="A551" s="58" t="str">
        <f t="shared" si="81"/>
        <v>GENERAL SERVICE LESS THAN 50 KW SERVICE CLASSIFICATION</v>
      </c>
      <c r="B551" s="783" t="s">
        <v>1435</v>
      </c>
      <c r="C551" s="357">
        <f>B38</f>
        <v>9</v>
      </c>
      <c r="D551" s="286" t="s">
        <v>1466</v>
      </c>
      <c r="E551" s="287"/>
      <c r="F551" s="323"/>
      <c r="G551" s="330"/>
      <c r="H551" s="288">
        <f>SUM(H542:H550)</f>
        <v>87.824079999999981</v>
      </c>
      <c r="I551" s="324"/>
      <c r="J551" s="331"/>
      <c r="K551" s="288">
        <f>SUM(K542:K550)</f>
        <v>86.384079999999983</v>
      </c>
      <c r="L551" s="283">
        <f t="shared" si="78"/>
        <v>-1.4399999999999977</v>
      </c>
      <c r="M551" s="284">
        <f>IF((H551)=0,"",(L551/H551))</f>
        <v>-1.6396414286377926E-2</v>
      </c>
    </row>
    <row r="552" spans="1:14" x14ac:dyDescent="0.25">
      <c r="A552" s="58" t="str">
        <f t="shared" si="81"/>
        <v>GENERAL SERVICE LESS THAN 50 KW SERVICE CLASSIFICATION</v>
      </c>
      <c r="C552" s="357"/>
      <c r="D552" s="76" t="s">
        <v>351</v>
      </c>
      <c r="E552" s="322"/>
      <c r="F552" s="326">
        <v>6.1000000000000004E-3</v>
      </c>
      <c r="G552" s="332">
        <f>IF($E529&gt;0, $E529, $E528*$E530)</f>
        <v>2090.6</v>
      </c>
      <c r="H552" s="346">
        <f>G552*F552</f>
        <v>12.752660000000001</v>
      </c>
      <c r="I552" s="325">
        <v>6.0000000000000001E-3</v>
      </c>
      <c r="J552" s="987">
        <f>IF($E529&gt;0, $E529, $E528*$E531)</f>
        <v>2090.6</v>
      </c>
      <c r="K552" s="988">
        <f>J552*I552</f>
        <v>12.5436</v>
      </c>
      <c r="L552" s="329">
        <f t="shared" si="78"/>
        <v>-0.20906000000000091</v>
      </c>
      <c r="M552" s="347">
        <f>IF(ISERROR(L552/H552), "", L552/H552)</f>
        <v>-1.639344262295089E-2</v>
      </c>
      <c r="N552" s="1090" t="str">
        <f>IF(ISERROR(ABS(M552)), "", IF(ABS(M552)&gt;=4%, "In the manager's summary, discuss the reasoning for the change in RTSR rates", ""))</f>
        <v/>
      </c>
    </row>
    <row r="553" spans="1:14" ht="26.4" x14ac:dyDescent="0.25">
      <c r="A553" s="58" t="str">
        <f t="shared" si="81"/>
        <v>GENERAL SERVICE LESS THAN 50 KW SERVICE CLASSIFICATION</v>
      </c>
      <c r="C553" s="357"/>
      <c r="D553" s="169" t="s">
        <v>361</v>
      </c>
      <c r="E553" s="322"/>
      <c r="F553" s="326">
        <v>5.1000000000000004E-3</v>
      </c>
      <c r="G553" s="332">
        <f>IF($E529&gt;0, $E529, $E528*$E530)</f>
        <v>2090.6</v>
      </c>
      <c r="H553" s="346">
        <f>G553*F553</f>
        <v>10.66206</v>
      </c>
      <c r="I553" s="325">
        <v>5.0000000000000001E-3</v>
      </c>
      <c r="J553" s="987">
        <f>IF($E529&gt;0, $E529, $E528*$E531)</f>
        <v>2090.6</v>
      </c>
      <c r="K553" s="988">
        <f>J553*I553</f>
        <v>10.452999999999999</v>
      </c>
      <c r="L553" s="329">
        <f t="shared" si="78"/>
        <v>-0.20906000000000091</v>
      </c>
      <c r="M553" s="347">
        <f>IF(ISERROR(L553/H553), "", L553/H553)</f>
        <v>-1.9607843137254988E-2</v>
      </c>
      <c r="N553" s="1090" t="str">
        <f>IF(ISERROR(ABS(M553)), "", IF(ABS(M553)&gt;=4%, "In the manager's summary, discuss the reasoning for the change in RTSR rates", ""))</f>
        <v/>
      </c>
    </row>
    <row r="554" spans="1:14" ht="26.4" x14ac:dyDescent="0.25">
      <c r="A554" s="58" t="str">
        <f t="shared" si="81"/>
        <v>GENERAL SERVICE LESS THAN 50 KW SERVICE CLASSIFICATION</v>
      </c>
      <c r="B554" s="783" t="s">
        <v>1436</v>
      </c>
      <c r="C554" s="357">
        <f>B38</f>
        <v>9</v>
      </c>
      <c r="D554" s="286" t="s">
        <v>1467</v>
      </c>
      <c r="E554" s="282"/>
      <c r="F554" s="323"/>
      <c r="G554" s="330"/>
      <c r="H554" s="288">
        <f>SUM(H551:H553)</f>
        <v>111.23879999999998</v>
      </c>
      <c r="I554" s="324"/>
      <c r="J554" s="289"/>
      <c r="K554" s="288">
        <f>SUM(K551:K553)</f>
        <v>109.38067999999998</v>
      </c>
      <c r="L554" s="283">
        <f t="shared" si="78"/>
        <v>-1.8581199999999995</v>
      </c>
      <c r="M554" s="284">
        <f>IF((H554)=0,"",(L554/H554))</f>
        <v>-1.6703883896625995E-2</v>
      </c>
    </row>
    <row r="555" spans="1:14" ht="26.4" x14ac:dyDescent="0.25">
      <c r="A555" s="58" t="str">
        <f t="shared" si="81"/>
        <v>GENERAL SERVICE LESS THAN 50 KW SERVICE CLASSIFICATION</v>
      </c>
      <c r="C555" s="357"/>
      <c r="D555" s="290" t="s">
        <v>352</v>
      </c>
      <c r="E555" s="322"/>
      <c r="F555" s="326">
        <f>IF(AND('1. Information Sheet'!$F$26:$H$26&gt;='17. Regulatory Charges'!$D$14,'1. Information Sheet'!$F$26:$H$26&lt;'17. Regulatory Charges'!$E$14),'17. Regulatory Charges'!$D$15+'17. Regulatory Charges'!$D$16,'17. Regulatory Charges'!$E$15+'17. Regulatory Charges'!$E$16)</f>
        <v>3.4000000000000002E-3</v>
      </c>
      <c r="G555" s="332">
        <f>E528*E530</f>
        <v>2090.6</v>
      </c>
      <c r="H555" s="334">
        <f t="shared" ref="H555:H561" si="83">G555*F555</f>
        <v>7.1080399999999999</v>
      </c>
      <c r="I555" s="983">
        <f>'17. Regulatory Charges'!$E$15+'17. Regulatory Charges'!$E$16</f>
        <v>3.4000000000000002E-3</v>
      </c>
      <c r="J555" s="987">
        <f>E528*E531</f>
        <v>2090.6</v>
      </c>
      <c r="K555" s="988">
        <f t="shared" ref="K555:K561" si="84">J555*I555</f>
        <v>7.1080399999999999</v>
      </c>
      <c r="L555" s="329">
        <f t="shared" si="78"/>
        <v>0</v>
      </c>
      <c r="M555" s="347">
        <f t="shared" ref="M555:M563" si="85">IF(ISERROR(L555/H555), "", L555/H555)</f>
        <v>0</v>
      </c>
    </row>
    <row r="556" spans="1:14" ht="26.4" x14ac:dyDescent="0.25">
      <c r="A556" s="58" t="str">
        <f t="shared" si="81"/>
        <v>GENERAL SERVICE LESS THAN 50 KW SERVICE CLASSIFICATION</v>
      </c>
      <c r="C556" s="357"/>
      <c r="D556" s="290" t="s">
        <v>353</v>
      </c>
      <c r="E556" s="322"/>
      <c r="F556" s="326">
        <f>IF(AND('1. Information Sheet'!$F$26:$H$26&gt;='17. Regulatory Charges'!$D$14,'1. Information Sheet'!$F$26:$H$26&lt;'17. Regulatory Charges'!$D$14),'17. Regulatory Charges'!$D$17,'17. Regulatory Charges'!$E$17)</f>
        <v>5.0000000000000001E-4</v>
      </c>
      <c r="G556" s="332">
        <f>E528*E530</f>
        <v>2090.6</v>
      </c>
      <c r="H556" s="334">
        <f t="shared" si="83"/>
        <v>1.0452999999999999</v>
      </c>
      <c r="I556" s="983">
        <f>'17. Regulatory Charges'!$E$17</f>
        <v>5.0000000000000001E-4</v>
      </c>
      <c r="J556" s="987">
        <f>E528*E531</f>
        <v>2090.6</v>
      </c>
      <c r="K556" s="988">
        <f t="shared" si="84"/>
        <v>1.0452999999999999</v>
      </c>
      <c r="L556" s="329">
        <f t="shared" si="78"/>
        <v>0</v>
      </c>
      <c r="M556" s="347">
        <f t="shared" si="85"/>
        <v>0</v>
      </c>
    </row>
    <row r="557" spans="1:14" x14ac:dyDescent="0.25">
      <c r="A557" s="58" t="str">
        <f t="shared" si="81"/>
        <v>GENERAL SERVICE LESS THAN 50 KW SERVICE CLASSIFICATION</v>
      </c>
      <c r="C557" s="357"/>
      <c r="D557" s="279" t="s">
        <v>354</v>
      </c>
      <c r="E557" s="322"/>
      <c r="F557" s="1627"/>
      <c r="G557" s="1628"/>
      <c r="H557" s="1629"/>
      <c r="I557" s="1630"/>
      <c r="J557" s="1631"/>
      <c r="K557" s="1632"/>
      <c r="L557" s="1633"/>
      <c r="M557" s="1634"/>
    </row>
    <row r="558" spans="1:14" ht="26.4" hidden="1" x14ac:dyDescent="0.25">
      <c r="A558" s="58" t="str">
        <f t="shared" si="81"/>
        <v>GENERAL SERVICE LESS THAN 50 KW SERVICE CLASSIFICATION</v>
      </c>
      <c r="C558" s="357"/>
      <c r="D558" s="290" t="s">
        <v>1468</v>
      </c>
      <c r="E558" s="322"/>
      <c r="F558" s="326"/>
      <c r="G558" s="332"/>
      <c r="H558" s="334"/>
      <c r="I558" s="983"/>
      <c r="J558" s="987"/>
      <c r="K558" s="988"/>
      <c r="L558" s="329"/>
      <c r="M558" s="347"/>
    </row>
    <row r="559" spans="1:14" hidden="1" x14ac:dyDescent="0.25">
      <c r="A559" s="58" t="str">
        <f t="shared" si="81"/>
        <v>GENERAL SERVICE LESS THAN 50 KW SERVICE CLASSIFICATION</v>
      </c>
      <c r="B559" s="783" t="s">
        <v>1427</v>
      </c>
      <c r="C559" s="357"/>
      <c r="D559" s="285" t="s">
        <v>220</v>
      </c>
      <c r="E559" s="322"/>
      <c r="F559" s="327">
        <f>OffPeak</f>
        <v>0.105</v>
      </c>
      <c r="G559" s="291">
        <f>IF(AND(E528*12&gt;=150000),0.64*E528*E530,0.64*E528)</f>
        <v>1280</v>
      </c>
      <c r="H559" s="334">
        <f t="shared" si="83"/>
        <v>134.4</v>
      </c>
      <c r="I559" s="985">
        <f>OffPeak</f>
        <v>0.105</v>
      </c>
      <c r="J559" s="990">
        <f>IF(AND(E528*12&gt;=150000),0.64*E528*E531,0.64*E528)</f>
        <v>1280</v>
      </c>
      <c r="K559" s="988">
        <f t="shared" si="84"/>
        <v>134.4</v>
      </c>
      <c r="L559" s="329">
        <f>K559-H559</f>
        <v>0</v>
      </c>
      <c r="M559" s="347">
        <f t="shared" si="85"/>
        <v>0</v>
      </c>
    </row>
    <row r="560" spans="1:14" hidden="1" x14ac:dyDescent="0.25">
      <c r="A560" s="58" t="str">
        <f t="shared" si="81"/>
        <v>GENERAL SERVICE LESS THAN 50 KW SERVICE CLASSIFICATION</v>
      </c>
      <c r="B560" s="783" t="s">
        <v>1427</v>
      </c>
      <c r="C560" s="357"/>
      <c r="D560" s="285" t="s">
        <v>221</v>
      </c>
      <c r="E560" s="322"/>
      <c r="F560" s="327">
        <f>MidPeak</f>
        <v>0.15</v>
      </c>
      <c r="G560" s="291">
        <f>IF(AND(E528*12&gt;=150000),0.18*E528*E530,0.18*E528)</f>
        <v>360</v>
      </c>
      <c r="H560" s="334">
        <f t="shared" si="83"/>
        <v>54</v>
      </c>
      <c r="I560" s="985">
        <f>MidPeak</f>
        <v>0.15</v>
      </c>
      <c r="J560" s="990">
        <f>IF(AND(E528*12&gt;=150000),0.18*E528*E531,0.18*E528)</f>
        <v>360</v>
      </c>
      <c r="K560" s="988">
        <f t="shared" si="84"/>
        <v>54</v>
      </c>
      <c r="L560" s="329">
        <f>K560-H560</f>
        <v>0</v>
      </c>
      <c r="M560" s="347">
        <f t="shared" si="85"/>
        <v>0</v>
      </c>
    </row>
    <row r="561" spans="1:13" hidden="1" x14ac:dyDescent="0.25">
      <c r="A561" s="58" t="str">
        <f t="shared" si="81"/>
        <v>GENERAL SERVICE LESS THAN 50 KW SERVICE CLASSIFICATION</v>
      </c>
      <c r="B561" s="783" t="s">
        <v>1427</v>
      </c>
      <c r="C561" s="357"/>
      <c r="D561" s="783" t="s">
        <v>222</v>
      </c>
      <c r="E561" s="322"/>
      <c r="F561" s="327">
        <f>OnPeak</f>
        <v>0.217</v>
      </c>
      <c r="G561" s="291">
        <f>IF(AND(E528*12&gt;=150000),0.18*E528*E530,0.18*E528)</f>
        <v>360</v>
      </c>
      <c r="H561" s="334">
        <f t="shared" si="83"/>
        <v>78.12</v>
      </c>
      <c r="I561" s="985">
        <f>OnPeak</f>
        <v>0.217</v>
      </c>
      <c r="J561" s="990">
        <f>IF(AND(E528*12&gt;=150000),0.18*E528*E531,0.18*E528)</f>
        <v>360</v>
      </c>
      <c r="K561" s="988">
        <f t="shared" si="84"/>
        <v>78.12</v>
      </c>
      <c r="L561" s="329">
        <f>K561-H561</f>
        <v>0</v>
      </c>
      <c r="M561" s="347">
        <f t="shared" si="85"/>
        <v>0</v>
      </c>
    </row>
    <row r="562" spans="1:13" ht="13.8" thickBot="1" x14ac:dyDescent="0.3">
      <c r="A562" s="58" t="str">
        <f t="shared" si="81"/>
        <v>GENERAL SERVICE LESS THAN 50 KW SERVICE CLASSIFICATION</v>
      </c>
      <c r="B562" s="58" t="s">
        <v>1428</v>
      </c>
      <c r="C562" s="357"/>
      <c r="D562" s="285" t="s">
        <v>1437</v>
      </c>
      <c r="E562" s="322"/>
      <c r="F562" s="328">
        <v>0.1368</v>
      </c>
      <c r="G562" s="291">
        <f>IF(AND(E528*12&gt;=150000),E528*E530,E528)</f>
        <v>2000</v>
      </c>
      <c r="H562" s="334">
        <f>G562*F562</f>
        <v>273.60000000000002</v>
      </c>
      <c r="I562" s="986">
        <f>F562</f>
        <v>0.1368</v>
      </c>
      <c r="J562" s="990">
        <f>IF(AND(E528*12&gt;=150000),E528*E531,E528)</f>
        <v>2000</v>
      </c>
      <c r="K562" s="988">
        <f>J562*I562</f>
        <v>273.60000000000002</v>
      </c>
      <c r="L562" s="329">
        <f>K562-H562</f>
        <v>0</v>
      </c>
      <c r="M562" s="347">
        <f t="shared" si="85"/>
        <v>0</v>
      </c>
    </row>
    <row r="563" spans="1:13" ht="13.8" hidden="1" thickBot="1" x14ac:dyDescent="0.3">
      <c r="A563" s="58" t="str">
        <f t="shared" si="81"/>
        <v>GENERAL SERVICE LESS THAN 50 KW SERVICE CLASSIFICATION</v>
      </c>
      <c r="B563" s="58" t="s">
        <v>1429</v>
      </c>
      <c r="C563" s="357"/>
      <c r="D563" s="285" t="s">
        <v>1438</v>
      </c>
      <c r="E563" s="322"/>
      <c r="F563" s="328">
        <v>0.1368</v>
      </c>
      <c r="G563" s="291">
        <f>IF(AND(E528*12&gt;=150000),E528*E530,E528)</f>
        <v>2000</v>
      </c>
      <c r="H563" s="334">
        <f>G563*F563</f>
        <v>273.60000000000002</v>
      </c>
      <c r="I563" s="986">
        <f>F563</f>
        <v>0.1368</v>
      </c>
      <c r="J563" s="990">
        <f>IF(AND(E528*12&gt;=150000),E528*E531,E528)</f>
        <v>2000</v>
      </c>
      <c r="K563" s="988">
        <f>J563*I563</f>
        <v>273.60000000000002</v>
      </c>
      <c r="L563" s="329">
        <f>K563-H563</f>
        <v>0</v>
      </c>
      <c r="M563" s="347">
        <f t="shared" si="85"/>
        <v>0</v>
      </c>
    </row>
    <row r="564" spans="1:13" ht="13.8" thickBot="1" x14ac:dyDescent="0.3">
      <c r="A564" s="58" t="str">
        <f t="shared" si="81"/>
        <v>GENERAL SERVICE LESS THAN 50 KW SERVICE CLASSIFICATION</v>
      </c>
      <c r="B564" s="783"/>
      <c r="C564" s="357"/>
      <c r="D564" s="292"/>
      <c r="E564" s="293"/>
      <c r="F564" s="335"/>
      <c r="G564" s="216"/>
      <c r="H564" s="336"/>
      <c r="I564" s="335"/>
      <c r="J564" s="337"/>
      <c r="K564" s="336"/>
      <c r="L564" s="338"/>
      <c r="M564" s="219"/>
    </row>
    <row r="565" spans="1:13" hidden="1" x14ac:dyDescent="0.25">
      <c r="A565" s="58" t="str">
        <f t="shared" si="81"/>
        <v>GENERAL SERVICE LESS THAN 50 KW SERVICE CLASSIFICATION</v>
      </c>
      <c r="B565" s="783" t="s">
        <v>1427</v>
      </c>
      <c r="C565" s="357"/>
      <c r="D565" s="296" t="s">
        <v>356</v>
      </c>
      <c r="E565" s="279"/>
      <c r="F565" s="311"/>
      <c r="G565" s="339"/>
      <c r="H565" s="297">
        <f>SUM(H555:H561,H554)</f>
        <v>385.91213999999997</v>
      </c>
      <c r="I565" s="298"/>
      <c r="J565" s="298"/>
      <c r="K565" s="297">
        <f>SUM(K555:K561,K554)</f>
        <v>384.05401999999998</v>
      </c>
      <c r="L565" s="299">
        <f>K565-H565</f>
        <v>-1.8581199999999853</v>
      </c>
      <c r="M565" s="300">
        <f>IF((H565)=0,"",(L565/H565))</f>
        <v>-4.814878329559639E-3</v>
      </c>
    </row>
    <row r="566" spans="1:13" hidden="1" x14ac:dyDescent="0.25">
      <c r="A566" s="58" t="str">
        <f t="shared" si="81"/>
        <v>GENERAL SERVICE LESS THAN 50 KW SERVICE CLASSIFICATION</v>
      </c>
      <c r="B566" s="783" t="s">
        <v>1427</v>
      </c>
      <c r="C566" s="357"/>
      <c r="D566" s="301" t="s">
        <v>148</v>
      </c>
      <c r="E566" s="279"/>
      <c r="F566" s="311">
        <v>0.13</v>
      </c>
      <c r="G566" s="340"/>
      <c r="H566" s="302">
        <f>H565*F566</f>
        <v>50.168578199999999</v>
      </c>
      <c r="I566" s="303">
        <v>0.13</v>
      </c>
      <c r="J566" s="304"/>
      <c r="K566" s="302">
        <f>K565*I566</f>
        <v>49.927022600000001</v>
      </c>
      <c r="L566" s="305">
        <f>K566-H566</f>
        <v>-0.24155559999999809</v>
      </c>
      <c r="M566" s="306">
        <f>IF((H566)=0,"",(L566/H566))</f>
        <v>-4.814878329559639E-3</v>
      </c>
    </row>
    <row r="567" spans="1:13" hidden="1" x14ac:dyDescent="0.25">
      <c r="A567" s="58" t="str">
        <f t="shared" si="81"/>
        <v>GENERAL SERVICE LESS THAN 50 KW SERVICE CLASSIFICATION</v>
      </c>
      <c r="B567" s="783" t="s">
        <v>1427</v>
      </c>
      <c r="C567" s="357"/>
      <c r="D567" s="301" t="s">
        <v>5907</v>
      </c>
      <c r="E567" s="279"/>
      <c r="F567" s="1238">
        <v>0.318</v>
      </c>
      <c r="G567" s="340"/>
      <c r="H567" s="302">
        <f>IF(OR(ISNUMBER(SEARCH("[DGEN]", E526))=TRUE, ISNUMBER(SEARCH("STREET LIGHT", E526))=TRUE), 0, IF(AND(E528=0, E529=0),0, IF(AND(E529=0, E528*12&gt;250000), 0, IF(AND(E528=0, E529&gt;=50), 0, IF(E528*12&lt;=250000, F567*H565*-1, IF(E529&lt;50, F567*H565*-1, 0))))))</f>
        <v>-122.72006051999999</v>
      </c>
      <c r="I567" s="1238">
        <v>0.318</v>
      </c>
      <c r="J567" s="304"/>
      <c r="K567" s="302">
        <f>IF(OR(ISNUMBER(SEARCH("[DGEN]", E526))=TRUE, ISNUMBER(SEARCH("STREET LIGHT", E526))=TRUE), 0, IF(AND(E528=0, E529=0),0, IF(AND(E529=0, E528*12&gt;250000), 0, IF(AND(E528=0, E529&gt;=50), 0, IF(E528*12&lt;=250000, I567*K565*-1, IF(E529&lt;50, I567*K565*-1, 0))))))</f>
        <v>-122.12917836</v>
      </c>
      <c r="L567" s="305">
        <f>K567-H567</f>
        <v>0.5908821599999925</v>
      </c>
      <c r="M567" s="306"/>
    </row>
    <row r="568" spans="1:13" ht="13.8" hidden="1" thickBot="1" x14ac:dyDescent="0.3">
      <c r="A568" s="58" t="str">
        <f t="shared" si="81"/>
        <v>GENERAL SERVICE LESS THAN 50 KW SERVICE CLASSIFICATION</v>
      </c>
      <c r="B568" s="783" t="s">
        <v>1439</v>
      </c>
      <c r="C568" s="357"/>
      <c r="D568" s="1943" t="s">
        <v>1440</v>
      </c>
      <c r="E568" s="1943"/>
      <c r="F568" s="341"/>
      <c r="G568" s="342"/>
      <c r="H568" s="312">
        <f>H565+H566+H567</f>
        <v>313.36065767999997</v>
      </c>
      <c r="I568" s="308"/>
      <c r="J568" s="308"/>
      <c r="K568" s="307">
        <f>K565+K566+K567</f>
        <v>311.85186423999994</v>
      </c>
      <c r="L568" s="309">
        <f>K568-H568</f>
        <v>-1.5087934400000336</v>
      </c>
      <c r="M568" s="310">
        <f>IF((H568)=0,"",(L568/H568))</f>
        <v>-4.8148783295597838E-3</v>
      </c>
    </row>
    <row r="569" spans="1:13" ht="13.8" hidden="1" thickBot="1" x14ac:dyDescent="0.3">
      <c r="A569" s="58" t="str">
        <f t="shared" si="81"/>
        <v>GENERAL SERVICE LESS THAN 50 KW SERVICE CLASSIFICATION</v>
      </c>
      <c r="B569" s="58" t="s">
        <v>1427</v>
      </c>
      <c r="C569" s="357"/>
      <c r="D569" s="292"/>
      <c r="E569" s="293"/>
      <c r="F569" s="335"/>
      <c r="G569" s="216"/>
      <c r="H569" s="336"/>
      <c r="I569" s="335"/>
      <c r="J569" s="337"/>
      <c r="K569" s="336"/>
      <c r="L569" s="338"/>
      <c r="M569" s="219"/>
    </row>
    <row r="570" spans="1:13" x14ac:dyDescent="0.25">
      <c r="A570" s="58" t="str">
        <f t="shared" si="81"/>
        <v>GENERAL SERVICE LESS THAN 50 KW SERVICE CLASSIFICATION</v>
      </c>
      <c r="B570" s="58" t="s">
        <v>1428</v>
      </c>
      <c r="C570" s="357"/>
      <c r="D570" s="296" t="s">
        <v>1441</v>
      </c>
      <c r="E570" s="279"/>
      <c r="F570" s="311"/>
      <c r="G570" s="339"/>
      <c r="H570" s="297">
        <f>SUM(H562,H555:H558,H554)</f>
        <v>392.99214000000001</v>
      </c>
      <c r="I570" s="298"/>
      <c r="J570" s="298"/>
      <c r="K570" s="297">
        <f>SUM(K562,K555:K558,K554)</f>
        <v>391.13402000000002</v>
      </c>
      <c r="L570" s="299">
        <f>K570-H570</f>
        <v>-1.8581199999999853</v>
      </c>
      <c r="M570" s="300">
        <f>IF((H570)=0,"",(L570/H570))</f>
        <v>-4.7281352751736595E-3</v>
      </c>
    </row>
    <row r="571" spans="1:13" x14ac:dyDescent="0.25">
      <c r="A571" s="58" t="str">
        <f t="shared" si="81"/>
        <v>GENERAL SERVICE LESS THAN 50 KW SERVICE CLASSIFICATION</v>
      </c>
      <c r="B571" s="58" t="s">
        <v>1428</v>
      </c>
      <c r="C571" s="357"/>
      <c r="D571" s="301" t="s">
        <v>148</v>
      </c>
      <c r="E571" s="279"/>
      <c r="F571" s="311">
        <v>0.13</v>
      </c>
      <c r="G571" s="339"/>
      <c r="H571" s="302">
        <f>H570*F571</f>
        <v>51.0889782</v>
      </c>
      <c r="I571" s="311">
        <v>0.13</v>
      </c>
      <c r="J571" s="303"/>
      <c r="K571" s="302">
        <f>K570*I571</f>
        <v>50.847422600000002</v>
      </c>
      <c r="L571" s="305">
        <f>K571-H571</f>
        <v>-0.24155559999999809</v>
      </c>
      <c r="M571" s="306">
        <f>IF((H571)=0,"",(L571/H571))</f>
        <v>-4.7281352751736595E-3</v>
      </c>
    </row>
    <row r="572" spans="1:13" x14ac:dyDescent="0.25">
      <c r="A572" s="58" t="str">
        <f t="shared" si="81"/>
        <v>GENERAL SERVICE LESS THAN 50 KW SERVICE CLASSIFICATION</v>
      </c>
      <c r="B572" s="58" t="s">
        <v>1428</v>
      </c>
      <c r="C572" s="357"/>
      <c r="D572" s="301" t="s">
        <v>5907</v>
      </c>
      <c r="E572" s="279"/>
      <c r="F572" s="1238">
        <v>0.318</v>
      </c>
      <c r="G572" s="339"/>
      <c r="H572" s="707">
        <f>IF(OR(ISNUMBER(SEARCH("[DGEN]", E526))=TRUE, ISNUMBER(SEARCH("STREET LIGHT", E526))=TRUE), 0, IF(AND(E528=0, E529=0),0, IF(AND(E529=0, E528*12&gt;250000), 0, IF(AND(E528=0, E529&gt;=50), 0, IF(E528*12&lt;=250000, F572*H570*-1, IF(E529&lt;50, F572*H570*-1, 0))))))</f>
        <v>-124.97150052000001</v>
      </c>
      <c r="I572" s="1238">
        <v>0.318</v>
      </c>
      <c r="J572" s="303"/>
      <c r="K572" s="707">
        <f>IF(OR(ISNUMBER(SEARCH("[DGEN]", E526))=TRUE, ISNUMBER(SEARCH("STREET LIGHT", E526))=TRUE), 0, IF(AND(E528=0, E529=0),0, IF(AND(E529=0, E528*12&gt;250000), 0, IF(AND(E528=0, E529&gt;=50), 0, IF(E528*12&lt;=250000, I572*K570*-1, IF(E529&lt;50, I572*K570*-1, 0))))))</f>
        <v>-124.38061836000001</v>
      </c>
      <c r="L572" s="305"/>
      <c r="M572" s="306"/>
    </row>
    <row r="573" spans="1:13" ht="13.8" thickBot="1" x14ac:dyDescent="0.3">
      <c r="A573" s="58" t="str">
        <f t="shared" si="81"/>
        <v>GENERAL SERVICE LESS THAN 50 KW SERVICE CLASSIFICATION</v>
      </c>
      <c r="B573" s="58" t="s">
        <v>1442</v>
      </c>
      <c r="C573" s="357">
        <f>B38</f>
        <v>9</v>
      </c>
      <c r="D573" s="1943" t="s">
        <v>1441</v>
      </c>
      <c r="E573" s="1943"/>
      <c r="F573" s="343"/>
      <c r="G573" s="344"/>
      <c r="H573" s="312">
        <f>SUM(H570,H571)</f>
        <v>444.08111819999999</v>
      </c>
      <c r="I573" s="313"/>
      <c r="J573" s="313"/>
      <c r="K573" s="312">
        <f>SUM(K570,K571)</f>
        <v>441.98144260000004</v>
      </c>
      <c r="L573" s="314">
        <f>K573-H573</f>
        <v>-2.099675599999955</v>
      </c>
      <c r="M573" s="315">
        <f>IF((H573)=0,"",(L573/H573))</f>
        <v>-4.7281352751735953E-3</v>
      </c>
    </row>
    <row r="574" spans="1:13" ht="13.8" thickBot="1" x14ac:dyDescent="0.3">
      <c r="A574" s="58" t="str">
        <f t="shared" si="81"/>
        <v>GENERAL SERVICE LESS THAN 50 KW SERVICE CLASSIFICATION</v>
      </c>
      <c r="B574" s="58" t="s">
        <v>1428</v>
      </c>
      <c r="C574" s="357"/>
      <c r="D574" s="292"/>
      <c r="E574" s="293"/>
      <c r="F574" s="213"/>
      <c r="G574" s="214"/>
      <c r="H574" s="215"/>
      <c r="I574" s="213"/>
      <c r="J574" s="216"/>
      <c r="K574" s="215"/>
      <c r="L574" s="218"/>
      <c r="M574" s="219"/>
    </row>
    <row r="575" spans="1:13" hidden="1" x14ac:dyDescent="0.25">
      <c r="A575" s="58" t="str">
        <f t="shared" si="81"/>
        <v>GENERAL SERVICE LESS THAN 50 KW SERVICE CLASSIFICATION</v>
      </c>
      <c r="B575" s="58" t="s">
        <v>1429</v>
      </c>
      <c r="C575" s="357"/>
      <c r="D575" s="296" t="s">
        <v>1443</v>
      </c>
      <c r="E575" s="279"/>
      <c r="F575" s="311"/>
      <c r="G575" s="339"/>
      <c r="H575" s="297">
        <f>SUM(H563,H555:H558,H554)</f>
        <v>392.99214000000001</v>
      </c>
      <c r="I575" s="298"/>
      <c r="J575" s="298"/>
      <c r="K575" s="297">
        <f>SUM(K563,K555:K558,K554)</f>
        <v>391.13402000000002</v>
      </c>
      <c r="L575" s="299">
        <f>K575-H575</f>
        <v>-1.8581199999999853</v>
      </c>
      <c r="M575" s="300">
        <f>IF((H575)=0,"",(L575/H575))</f>
        <v>-4.7281352751736595E-3</v>
      </c>
    </row>
    <row r="576" spans="1:13" hidden="1" x14ac:dyDescent="0.25">
      <c r="A576" s="58" t="str">
        <f t="shared" si="81"/>
        <v>GENERAL SERVICE LESS THAN 50 KW SERVICE CLASSIFICATION</v>
      </c>
      <c r="B576" s="58" t="s">
        <v>1429</v>
      </c>
      <c r="C576" s="357"/>
      <c r="D576" s="301" t="s">
        <v>148</v>
      </c>
      <c r="E576" s="279"/>
      <c r="F576" s="311">
        <v>0.13</v>
      </c>
      <c r="G576" s="339"/>
      <c r="H576" s="302">
        <f>H575*F576</f>
        <v>51.0889782</v>
      </c>
      <c r="I576" s="311">
        <v>0.13</v>
      </c>
      <c r="J576" s="303"/>
      <c r="K576" s="302">
        <f>K575*I576</f>
        <v>50.847422600000002</v>
      </c>
      <c r="L576" s="305">
        <f>K576-H576</f>
        <v>-0.24155559999999809</v>
      </c>
      <c r="M576" s="306">
        <f>IF((H576)=0,"",(L576/H576))</f>
        <v>-4.7281352751736595E-3</v>
      </c>
    </row>
    <row r="577" spans="1:20" hidden="1" x14ac:dyDescent="0.25">
      <c r="A577" s="58" t="str">
        <f t="shared" si="81"/>
        <v>GENERAL SERVICE LESS THAN 50 KW SERVICE CLASSIFICATION</v>
      </c>
      <c r="B577" s="58" t="s">
        <v>1429</v>
      </c>
      <c r="C577" s="357"/>
      <c r="D577" s="301" t="s">
        <v>5907</v>
      </c>
      <c r="E577" s="279"/>
      <c r="F577" s="1238">
        <v>0.318</v>
      </c>
      <c r="G577" s="339"/>
      <c r="H577" s="707">
        <f>IF(OR(ISNUMBER(SEARCH("[DGEN]", E526))=TRUE, ISNUMBER(SEARCH("STREET LIGHT", E526))=TRUE), 0, IF(AND(E528=0, E529=0),0, IF(AND(E529=0, E528*12&gt;250000), 0, IF(AND(E528=0, E529&gt;=50), 0, IF(E528*12&lt;=250000, F577*H575*-1, IF(E529&lt;50, F577*H575*-1, 0))))))</f>
        <v>-124.97150052000001</v>
      </c>
      <c r="I577" s="1238">
        <v>0.318</v>
      </c>
      <c r="J577" s="303"/>
      <c r="K577" s="707">
        <f>IF(OR(ISNUMBER(SEARCH("[DGEN]", E526))=TRUE, ISNUMBER(SEARCH("STREET LIGHT", E526))=TRUE), 0, IF(AND(E528=0, E529=0),0, IF(AND(E529=0, E528*12&gt;250000), 0, IF(AND(E528=0, E529&gt;=50), 0, IF(E528*12&lt;=250000, I577*K575*-1, IF(E529&lt;50, I577*K575*-1, 0))))))</f>
        <v>-124.38061836000001</v>
      </c>
      <c r="L577" s="305"/>
      <c r="M577" s="306"/>
    </row>
    <row r="578" spans="1:20" ht="13.8" hidden="1" thickBot="1" x14ac:dyDescent="0.3">
      <c r="A578" s="58" t="str">
        <f t="shared" si="81"/>
        <v>GENERAL SERVICE LESS THAN 50 KW SERVICE CLASSIFICATION</v>
      </c>
      <c r="B578" s="58" t="s">
        <v>1444</v>
      </c>
      <c r="C578" s="357"/>
      <c r="D578" s="1943" t="s">
        <v>1443</v>
      </c>
      <c r="E578" s="1943"/>
      <c r="F578" s="343"/>
      <c r="G578" s="344"/>
      <c r="H578" s="312">
        <f>SUM(H575,H576)</f>
        <v>444.08111819999999</v>
      </c>
      <c r="I578" s="313"/>
      <c r="J578" s="313"/>
      <c r="K578" s="312">
        <f>SUM(K575,K576)</f>
        <v>441.98144260000004</v>
      </c>
      <c r="L578" s="314">
        <f>K578-H578</f>
        <v>-2.099675599999955</v>
      </c>
      <c r="M578" s="315">
        <f>IF((H578)=0,"",(L578/H578))</f>
        <v>-4.7281352751735953E-3</v>
      </c>
    </row>
    <row r="579" spans="1:20" ht="13.8" hidden="1" thickBot="1" x14ac:dyDescent="0.3">
      <c r="A579" s="58" t="str">
        <f t="shared" si="81"/>
        <v>GENERAL SERVICE LESS THAN 50 KW SERVICE CLASSIFICATION</v>
      </c>
      <c r="B579" s="58" t="s">
        <v>1429</v>
      </c>
      <c r="C579" s="357"/>
      <c r="D579" s="292"/>
      <c r="E579" s="293"/>
      <c r="F579" s="316"/>
      <c r="G579" s="317"/>
      <c r="H579" s="318"/>
      <c r="I579" s="316"/>
      <c r="J579" s="294"/>
      <c r="K579" s="318"/>
      <c r="L579" s="319"/>
      <c r="M579" s="295"/>
    </row>
    <row r="582" spans="1:20" x14ac:dyDescent="0.25">
      <c r="C582" s="58"/>
      <c r="D582" s="264" t="s">
        <v>1432</v>
      </c>
      <c r="E582" s="1952" t="str">
        <f>D39</f>
        <v>UNMETERED SCATTERED LOAD SERVICE CLASSIFICATION</v>
      </c>
      <c r="F582" s="1952"/>
      <c r="G582" s="1952"/>
      <c r="H582" s="1952"/>
      <c r="I582" s="1952"/>
      <c r="J582" s="1952"/>
      <c r="K582" s="58" t="str">
        <f>IF(N39="DEMAND - INTERVAL","RTSR - INTERVAL METERED","")</f>
        <v/>
      </c>
      <c r="T582" s="58" t="s">
        <v>603</v>
      </c>
    </row>
    <row r="583" spans="1:20" x14ac:dyDescent="0.25">
      <c r="C583" s="58"/>
      <c r="D583" s="264" t="s">
        <v>1433</v>
      </c>
      <c r="E583" s="1953" t="str">
        <f>H39</f>
        <v>Non-RPP (Retailer)</v>
      </c>
      <c r="F583" s="1953"/>
      <c r="G583" s="1953"/>
      <c r="H583" s="265"/>
      <c r="I583" s="265"/>
    </row>
    <row r="584" spans="1:20" ht="15.6" x14ac:dyDescent="0.25">
      <c r="C584" s="58"/>
      <c r="D584" s="264" t="s">
        <v>153</v>
      </c>
      <c r="E584" s="1626">
        <f>K39</f>
        <v>275</v>
      </c>
      <c r="F584" s="267" t="s">
        <v>154</v>
      </c>
      <c r="G584" s="783"/>
      <c r="J584" s="268"/>
      <c r="K584" s="268"/>
      <c r="L584" s="268"/>
      <c r="M584" s="268"/>
      <c r="N584" s="268"/>
    </row>
    <row r="585" spans="1:20" ht="15.6" x14ac:dyDescent="0.3">
      <c r="C585" s="58"/>
      <c r="D585" s="264" t="s">
        <v>360</v>
      </c>
      <c r="E585" s="1626">
        <f>L39</f>
        <v>0</v>
      </c>
      <c r="F585" s="269" t="s">
        <v>155</v>
      </c>
      <c r="G585" s="270"/>
      <c r="H585" s="271"/>
      <c r="I585" s="271"/>
      <c r="J585" s="271"/>
    </row>
    <row r="586" spans="1:20" x14ac:dyDescent="0.25">
      <c r="C586" s="58"/>
      <c r="D586" s="264" t="s">
        <v>1464</v>
      </c>
      <c r="E586" s="272">
        <f>I39</f>
        <v>1.0452999999999999</v>
      </c>
    </row>
    <row r="587" spans="1:20" x14ac:dyDescent="0.25">
      <c r="C587" s="58"/>
      <c r="D587" s="264" t="s">
        <v>1465</v>
      </c>
      <c r="E587" s="272">
        <f>J39</f>
        <v>1.0452999999999999</v>
      </c>
    </row>
    <row r="588" spans="1:20" x14ac:dyDescent="0.25">
      <c r="C588" s="58"/>
      <c r="D588" s="783"/>
    </row>
    <row r="589" spans="1:20" x14ac:dyDescent="0.25">
      <c r="C589" s="58"/>
      <c r="D589" s="783"/>
      <c r="E589" s="273"/>
      <c r="F589" s="1944" t="s">
        <v>1943</v>
      </c>
      <c r="G589" s="1954"/>
      <c r="H589" s="1945"/>
      <c r="I589" s="1944" t="s">
        <v>341</v>
      </c>
      <c r="J589" s="1954"/>
      <c r="K589" s="1945"/>
      <c r="L589" s="1944" t="s">
        <v>342</v>
      </c>
      <c r="M589" s="1945"/>
    </row>
    <row r="590" spans="1:20" x14ac:dyDescent="0.25">
      <c r="C590" s="58"/>
      <c r="D590" s="783"/>
      <c r="E590" s="1946"/>
      <c r="F590" s="274" t="s">
        <v>343</v>
      </c>
      <c r="G590" s="274" t="s">
        <v>146</v>
      </c>
      <c r="H590" s="275" t="s">
        <v>344</v>
      </c>
      <c r="I590" s="274" t="s">
        <v>343</v>
      </c>
      <c r="J590" s="276" t="s">
        <v>146</v>
      </c>
      <c r="K590" s="275" t="s">
        <v>344</v>
      </c>
      <c r="L590" s="1948" t="s">
        <v>345</v>
      </c>
      <c r="M590" s="1950" t="s">
        <v>346</v>
      </c>
    </row>
    <row r="591" spans="1:20" x14ac:dyDescent="0.25">
      <c r="C591" s="58"/>
      <c r="D591" s="783"/>
      <c r="E591" s="1947"/>
      <c r="F591" s="277" t="s">
        <v>347</v>
      </c>
      <c r="G591" s="277"/>
      <c r="H591" s="278" t="s">
        <v>347</v>
      </c>
      <c r="I591" s="277" t="s">
        <v>347</v>
      </c>
      <c r="J591" s="278"/>
      <c r="K591" s="278" t="s">
        <v>347</v>
      </c>
      <c r="L591" s="1949"/>
      <c r="M591" s="1951"/>
    </row>
    <row r="592" spans="1:20" x14ac:dyDescent="0.25">
      <c r="A592" s="58" t="str">
        <f>$E582</f>
        <v>UNMETERED SCATTERED LOAD SERVICE CLASSIFICATION</v>
      </c>
      <c r="C592" s="357"/>
      <c r="D592" s="68" t="s">
        <v>348</v>
      </c>
      <c r="E592" s="322"/>
      <c r="F592" s="345">
        <v>8.0500000000000007</v>
      </c>
      <c r="G592" s="304"/>
      <c r="H592" s="346">
        <f>G592*F592</f>
        <v>0</v>
      </c>
      <c r="I592" s="982">
        <v>8.19</v>
      </c>
      <c r="J592" s="989"/>
      <c r="K592" s="988">
        <f>J592*I592</f>
        <v>0</v>
      </c>
      <c r="L592" s="329">
        <f t="shared" ref="L592:L612" si="86">K592-H592</f>
        <v>0</v>
      </c>
      <c r="M592" s="347" t="str">
        <f>IF(ISERROR(L592/H592), "", L592/H592)</f>
        <v/>
      </c>
    </row>
    <row r="593" spans="1:14" x14ac:dyDescent="0.25">
      <c r="A593" s="58" t="str">
        <f>A592</f>
        <v>UNMETERED SCATTERED LOAD SERVICE CLASSIFICATION</v>
      </c>
      <c r="C593" s="357"/>
      <c r="D593" s="68" t="s">
        <v>80</v>
      </c>
      <c r="E593" s="322"/>
      <c r="F593" s="326">
        <v>1.26E-2</v>
      </c>
      <c r="G593" s="304">
        <f>IF($E585&gt;0, $E585, $E584)</f>
        <v>275</v>
      </c>
      <c r="H593" s="346">
        <f t="shared" ref="H593:H605" si="87">G593*F593</f>
        <v>3.4649999999999999</v>
      </c>
      <c r="I593" s="983">
        <v>1.2800000000000001E-2</v>
      </c>
      <c r="J593" s="989">
        <f>IF($E585&gt;0, $E585, $E584)</f>
        <v>275</v>
      </c>
      <c r="K593" s="988">
        <f>J593*I593</f>
        <v>3.52</v>
      </c>
      <c r="L593" s="329">
        <f t="shared" si="86"/>
        <v>5.500000000000016E-2</v>
      </c>
      <c r="M593" s="347">
        <f t="shared" ref="M593:M603" si="88">IF(ISERROR(L593/H593), "", L593/H593)</f>
        <v>1.5873015873015921E-2</v>
      </c>
    </row>
    <row r="594" spans="1:14" hidden="1" x14ac:dyDescent="0.25">
      <c r="A594" s="58" t="str">
        <f t="shared" ref="A594:A635" si="89">A593</f>
        <v>UNMETERED SCATTERED LOAD SERVICE CLASSIFICATION</v>
      </c>
      <c r="C594" s="357"/>
      <c r="D594" s="68" t="s">
        <v>4311</v>
      </c>
      <c r="E594" s="322"/>
      <c r="F594" s="326"/>
      <c r="G594" s="304">
        <f>IF($E585&gt;0, $E585, $E584)</f>
        <v>275</v>
      </c>
      <c r="H594" s="346">
        <v>0</v>
      </c>
      <c r="I594" s="983"/>
      <c r="J594" s="989">
        <f>IF($E585&gt;0, $E585, $E584)</f>
        <v>275</v>
      </c>
      <c r="K594" s="988">
        <v>0</v>
      </c>
      <c r="L594" s="329"/>
      <c r="M594" s="347"/>
    </row>
    <row r="595" spans="1:14" hidden="1" x14ac:dyDescent="0.25">
      <c r="A595" s="58" t="str">
        <f t="shared" si="89"/>
        <v>UNMETERED SCATTERED LOAD SERVICE CLASSIFICATION</v>
      </c>
      <c r="C595" s="357"/>
      <c r="D595" s="68" t="s">
        <v>3743</v>
      </c>
      <c r="E595" s="322"/>
      <c r="F595" s="326"/>
      <c r="G595" s="304">
        <f>IF($E585&gt;0, $E585, $E584)</f>
        <v>275</v>
      </c>
      <c r="H595" s="346">
        <v>0</v>
      </c>
      <c r="I595" s="983"/>
      <c r="J595" s="992">
        <f>IF($E585&gt;0, $E585, $E584)</f>
        <v>275</v>
      </c>
      <c r="K595" s="988">
        <v>0</v>
      </c>
      <c r="L595" s="329">
        <f>K595-H595</f>
        <v>0</v>
      </c>
      <c r="M595" s="347" t="str">
        <f>IF(ISERROR(L595/H595), "", L595/H595)</f>
        <v/>
      </c>
    </row>
    <row r="596" spans="1:14" x14ac:dyDescent="0.25">
      <c r="A596" s="58" t="str">
        <f t="shared" si="89"/>
        <v>UNMETERED SCATTERED LOAD SERVICE CLASSIFICATION</v>
      </c>
      <c r="C596" s="357"/>
      <c r="D596" s="69" t="s">
        <v>358</v>
      </c>
      <c r="E596" s="322"/>
      <c r="F596" s="345">
        <v>0</v>
      </c>
      <c r="G596" s="304"/>
      <c r="H596" s="346">
        <f t="shared" si="87"/>
        <v>0</v>
      </c>
      <c r="I596" s="982">
        <v>0</v>
      </c>
      <c r="J596" s="989"/>
      <c r="K596" s="988">
        <f t="shared" ref="K596:K603" si="90">J596*I596</f>
        <v>0</v>
      </c>
      <c r="L596" s="329">
        <f t="shared" si="86"/>
        <v>0</v>
      </c>
      <c r="M596" s="347" t="str">
        <f t="shared" si="88"/>
        <v/>
      </c>
    </row>
    <row r="597" spans="1:14" x14ac:dyDescent="0.25">
      <c r="A597" s="58" t="str">
        <f t="shared" si="89"/>
        <v>UNMETERED SCATTERED LOAD SERVICE CLASSIFICATION</v>
      </c>
      <c r="C597" s="357"/>
      <c r="D597" s="68" t="s">
        <v>359</v>
      </c>
      <c r="E597" s="322"/>
      <c r="F597" s="326">
        <v>-3.0000000000000003E-4</v>
      </c>
      <c r="G597" s="304">
        <f>IF($E585&gt;0, $E585, $E584)</f>
        <v>275</v>
      </c>
      <c r="H597" s="346">
        <f t="shared" si="87"/>
        <v>-8.2500000000000004E-2</v>
      </c>
      <c r="I597" s="983">
        <v>-3.9999999999999996E-4</v>
      </c>
      <c r="J597" s="989">
        <f>IF($E585&gt;0, $E585, $E584)</f>
        <v>275</v>
      </c>
      <c r="K597" s="988">
        <f t="shared" si="90"/>
        <v>-0.10999999999999999</v>
      </c>
      <c r="L597" s="329">
        <f t="shared" si="86"/>
        <v>-2.7499999999999983E-2</v>
      </c>
      <c r="M597" s="347">
        <f t="shared" si="88"/>
        <v>0.33333333333333309</v>
      </c>
    </row>
    <row r="598" spans="1:14" x14ac:dyDescent="0.25">
      <c r="A598" s="58" t="str">
        <f t="shared" si="89"/>
        <v>UNMETERED SCATTERED LOAD SERVICE CLASSIFICATION</v>
      </c>
      <c r="B598" s="280" t="s">
        <v>1434</v>
      </c>
      <c r="C598" s="357">
        <f>B39</f>
        <v>10</v>
      </c>
      <c r="D598" s="281" t="s">
        <v>349</v>
      </c>
      <c r="E598" s="282"/>
      <c r="F598" s="348"/>
      <c r="G598" s="717"/>
      <c r="H598" s="718">
        <f>SUM(H592:H597)</f>
        <v>3.3824999999999998</v>
      </c>
      <c r="I598" s="349"/>
      <c r="J598" s="289"/>
      <c r="K598" s="718">
        <f>SUM(K592:K597)</f>
        <v>3.41</v>
      </c>
      <c r="L598" s="283">
        <f t="shared" si="86"/>
        <v>2.7500000000000302E-2</v>
      </c>
      <c r="M598" s="284">
        <f>IF((H598)=0,"",(L598/H598))</f>
        <v>8.1300813008130975E-3</v>
      </c>
    </row>
    <row r="599" spans="1:14" x14ac:dyDescent="0.25">
      <c r="A599" s="58" t="str">
        <f t="shared" si="89"/>
        <v>UNMETERED SCATTERED LOAD SERVICE CLASSIFICATION</v>
      </c>
      <c r="C599" s="357"/>
      <c r="D599" s="72" t="s">
        <v>421</v>
      </c>
      <c r="E599" s="322"/>
      <c r="F599" s="326">
        <f>IF((E584*12&gt;=150000), 0, IF(E583="RPP",(F615*0.64+F616*0.18+F617*0.18),IF(E583="Non-RPP (Retailer)",F618,F619)))</f>
        <v>0.1368</v>
      </c>
      <c r="G599" s="332">
        <f>IF(F599=0, 0, $E584*E586-E584)</f>
        <v>12.457499999999982</v>
      </c>
      <c r="H599" s="346">
        <f>G599*F599</f>
        <v>1.7041859999999975</v>
      </c>
      <c r="I599" s="983">
        <f>IF((E584*12&gt;=150000), 0, IF(E583="RPP",(I615*0.64+I616*0.18+I617*0.18),IF(E583="Non-RPP (Retailer)",I618,I619)))</f>
        <v>0.1368</v>
      </c>
      <c r="J599" s="987">
        <f>IF(I599=0, 0, E584*E587-E584)</f>
        <v>12.457499999999982</v>
      </c>
      <c r="K599" s="988">
        <f>J599*I599</f>
        <v>1.7041859999999975</v>
      </c>
      <c r="L599" s="329">
        <f>K599-H599</f>
        <v>0</v>
      </c>
      <c r="M599" s="347">
        <f>IF(ISERROR(L599/H599), "", L599/H599)</f>
        <v>0</v>
      </c>
    </row>
    <row r="600" spans="1:14" ht="26.4" x14ac:dyDescent="0.25">
      <c r="A600" s="58" t="str">
        <f t="shared" si="89"/>
        <v>UNMETERED SCATTERED LOAD SERVICE CLASSIFICATION</v>
      </c>
      <c r="C600" s="357"/>
      <c r="D600" s="72" t="s">
        <v>357</v>
      </c>
      <c r="E600" s="322"/>
      <c r="F600" s="326">
        <v>0</v>
      </c>
      <c r="G600" s="333">
        <f>IF($E585&gt;0, $E585, $E584)</f>
        <v>275</v>
      </c>
      <c r="H600" s="346">
        <f t="shared" si="87"/>
        <v>0</v>
      </c>
      <c r="I600" s="983">
        <v>0</v>
      </c>
      <c r="J600" s="991">
        <f>IF($E585&gt;0, $E585, $E584)</f>
        <v>275</v>
      </c>
      <c r="K600" s="988">
        <f t="shared" si="90"/>
        <v>0</v>
      </c>
      <c r="L600" s="329">
        <f t="shared" si="86"/>
        <v>0</v>
      </c>
      <c r="M600" s="347" t="str">
        <f t="shared" si="88"/>
        <v/>
      </c>
    </row>
    <row r="601" spans="1:14" x14ac:dyDescent="0.25">
      <c r="A601" s="58" t="str">
        <f t="shared" si="89"/>
        <v>UNMETERED SCATTERED LOAD SERVICE CLASSIFICATION</v>
      </c>
      <c r="C601" s="357"/>
      <c r="D601" s="72" t="s">
        <v>2299</v>
      </c>
      <c r="E601" s="322"/>
      <c r="F601" s="326">
        <v>0</v>
      </c>
      <c r="G601" s="333">
        <f>IF($E585&gt;0, $E585, $E584)</f>
        <v>275</v>
      </c>
      <c r="H601" s="346">
        <f>G601*F601</f>
        <v>0</v>
      </c>
      <c r="I601" s="983">
        <v>0</v>
      </c>
      <c r="J601" s="991">
        <f>IF($E585&gt;0, $E585, $E584)</f>
        <v>275</v>
      </c>
      <c r="K601" s="988">
        <f>J601*I601</f>
        <v>0</v>
      </c>
      <c r="L601" s="329">
        <f t="shared" si="86"/>
        <v>0</v>
      </c>
      <c r="M601" s="347" t="str">
        <f t="shared" si="88"/>
        <v/>
      </c>
    </row>
    <row r="602" spans="1:14" x14ac:dyDescent="0.25">
      <c r="A602" s="58" t="str">
        <f t="shared" si="89"/>
        <v>UNMETERED SCATTERED LOAD SERVICE CLASSIFICATION</v>
      </c>
      <c r="C602" s="357"/>
      <c r="D602" s="72" t="s">
        <v>1953</v>
      </c>
      <c r="E602" s="322"/>
      <c r="F602" s="326">
        <v>0</v>
      </c>
      <c r="G602" s="333">
        <f>E584</f>
        <v>275</v>
      </c>
      <c r="H602" s="346">
        <f>G602*F602</f>
        <v>0</v>
      </c>
      <c r="I602" s="983">
        <v>0</v>
      </c>
      <c r="J602" s="991">
        <f>E584</f>
        <v>275</v>
      </c>
      <c r="K602" s="988">
        <f t="shared" si="90"/>
        <v>0</v>
      </c>
      <c r="L602" s="329">
        <f t="shared" si="86"/>
        <v>0</v>
      </c>
      <c r="M602" s="347" t="str">
        <f t="shared" si="88"/>
        <v/>
      </c>
    </row>
    <row r="603" spans="1:14" x14ac:dyDescent="0.25">
      <c r="A603" s="58" t="str">
        <f t="shared" si="89"/>
        <v>UNMETERED SCATTERED LOAD SERVICE CLASSIFICATION</v>
      </c>
      <c r="C603" s="357"/>
      <c r="D603" s="74" t="s">
        <v>141</v>
      </c>
      <c r="E603" s="322"/>
      <c r="F603" s="326">
        <v>2.7000000000000001E-3</v>
      </c>
      <c r="G603" s="333">
        <f>IF($E585&gt;0, $E585, $E584)</f>
        <v>275</v>
      </c>
      <c r="H603" s="346">
        <f t="shared" si="87"/>
        <v>0.74250000000000005</v>
      </c>
      <c r="I603" s="983">
        <v>2.7000000000000001E-3</v>
      </c>
      <c r="J603" s="991">
        <f>IF($E585&gt;0, $E585, $E584)</f>
        <v>275</v>
      </c>
      <c r="K603" s="988">
        <f t="shared" si="90"/>
        <v>0.74250000000000005</v>
      </c>
      <c r="L603" s="329">
        <f t="shared" si="86"/>
        <v>0</v>
      </c>
      <c r="M603" s="347">
        <f t="shared" si="88"/>
        <v>0</v>
      </c>
    </row>
    <row r="604" spans="1:14" ht="26.4" x14ac:dyDescent="0.25">
      <c r="A604" s="58" t="str">
        <f t="shared" si="89"/>
        <v>UNMETERED SCATTERED LOAD SERVICE CLASSIFICATION</v>
      </c>
      <c r="C604" s="357"/>
      <c r="D604" s="391" t="s">
        <v>4312</v>
      </c>
      <c r="E604" s="322"/>
      <c r="F604" s="768">
        <f>IF(OR(ISNUMBER(SEARCH("RESIDENTIAL", E582))=TRUE, ISNUMBER(SEARCH("GENERAL SERVICE LESS THAN 50", E582))=TRUE), SME, 0)</f>
        <v>0</v>
      </c>
      <c r="G604" s="304"/>
      <c r="H604" s="346">
        <f>G604*F604</f>
        <v>0</v>
      </c>
      <c r="I604" s="984">
        <f>IF(OR(ISNUMBER(SEARCH("RESIDENTIAL", E582))=TRUE, ISNUMBER(SEARCH("GENERAL SERVICE LESS THAN 50", E582))=TRUE), SME, 0)</f>
        <v>0</v>
      </c>
      <c r="J604" s="992"/>
      <c r="K604" s="988">
        <f>J604*I604</f>
        <v>0</v>
      </c>
      <c r="L604" s="329">
        <f t="shared" si="86"/>
        <v>0</v>
      </c>
      <c r="M604" s="347" t="str">
        <f>IF(ISERROR(L604/H604), "", L604/H604)</f>
        <v/>
      </c>
    </row>
    <row r="605" spans="1:14" x14ac:dyDescent="0.25">
      <c r="A605" s="58" t="str">
        <f t="shared" si="89"/>
        <v>UNMETERED SCATTERED LOAD SERVICE CLASSIFICATION</v>
      </c>
      <c r="C605" s="357"/>
      <c r="D605" s="74" t="s">
        <v>3742</v>
      </c>
      <c r="E605" s="322"/>
      <c r="F605" s="345">
        <v>0</v>
      </c>
      <c r="G605" s="304"/>
      <c r="H605" s="346">
        <f t="shared" si="87"/>
        <v>0</v>
      </c>
      <c r="I605" s="982">
        <v>0</v>
      </c>
      <c r="J605" s="992"/>
      <c r="K605" s="988">
        <f>J605*I605</f>
        <v>0</v>
      </c>
      <c r="L605" s="329">
        <f>K605-H605</f>
        <v>0</v>
      </c>
      <c r="M605" s="347" t="str">
        <f>IF(ISERROR(L605/H605), "", L605/H605)</f>
        <v/>
      </c>
    </row>
    <row r="606" spans="1:14" x14ac:dyDescent="0.25">
      <c r="A606" s="58" t="str">
        <f t="shared" si="89"/>
        <v>UNMETERED SCATTERED LOAD SERVICE CLASSIFICATION</v>
      </c>
      <c r="C606" s="357"/>
      <c r="D606" s="74" t="s">
        <v>3741</v>
      </c>
      <c r="E606" s="322"/>
      <c r="F606" s="326">
        <v>0</v>
      </c>
      <c r="G606" s="333">
        <f>IF($E585&gt;0, $E585, $E584)</f>
        <v>275</v>
      </c>
      <c r="H606" s="346">
        <f>G606*F606</f>
        <v>0</v>
      </c>
      <c r="I606" s="983">
        <v>0</v>
      </c>
      <c r="J606" s="991">
        <f>IF($E585&gt;0, $E585, $E584)</f>
        <v>275</v>
      </c>
      <c r="K606" s="988">
        <f>J606*I606</f>
        <v>0</v>
      </c>
      <c r="L606" s="329">
        <f t="shared" si="86"/>
        <v>0</v>
      </c>
      <c r="M606" s="347" t="str">
        <f>IF(ISERROR(L606/H606), "", L606/H606)</f>
        <v/>
      </c>
    </row>
    <row r="607" spans="1:14" ht="26.4" x14ac:dyDescent="0.25">
      <c r="A607" s="58" t="str">
        <f t="shared" si="89"/>
        <v>UNMETERED SCATTERED LOAD SERVICE CLASSIFICATION</v>
      </c>
      <c r="B607" s="783" t="s">
        <v>1435</v>
      </c>
      <c r="C607" s="357">
        <f>B39</f>
        <v>10</v>
      </c>
      <c r="D607" s="286" t="s">
        <v>1466</v>
      </c>
      <c r="E607" s="287"/>
      <c r="F607" s="323"/>
      <c r="G607" s="330"/>
      <c r="H607" s="288">
        <f>SUM(H598:H606)</f>
        <v>5.8291859999999973</v>
      </c>
      <c r="I607" s="324"/>
      <c r="J607" s="331"/>
      <c r="K607" s="288">
        <f>SUM(K598:K606)</f>
        <v>5.8566859999999972</v>
      </c>
      <c r="L607" s="283">
        <f t="shared" si="86"/>
        <v>2.7499999999999858E-2</v>
      </c>
      <c r="M607" s="284">
        <f>IF((H607)=0,"",(L607/H607))</f>
        <v>4.7176398214090051E-3</v>
      </c>
    </row>
    <row r="608" spans="1:14" x14ac:dyDescent="0.25">
      <c r="A608" s="58" t="str">
        <f t="shared" si="89"/>
        <v>UNMETERED SCATTERED LOAD SERVICE CLASSIFICATION</v>
      </c>
      <c r="C608" s="357"/>
      <c r="D608" s="76" t="s">
        <v>351</v>
      </c>
      <c r="E608" s="322"/>
      <c r="F608" s="326">
        <v>6.1000000000000004E-3</v>
      </c>
      <c r="G608" s="332">
        <f>IF($E585&gt;0, $E585, $E584*$E586)</f>
        <v>287.45749999999998</v>
      </c>
      <c r="H608" s="346">
        <f>G608*F608</f>
        <v>1.7534907500000001</v>
      </c>
      <c r="I608" s="325">
        <v>6.0000000000000001E-3</v>
      </c>
      <c r="J608" s="987">
        <f>IF($E585&gt;0, $E585, $E584*$E587)</f>
        <v>287.45749999999998</v>
      </c>
      <c r="K608" s="988">
        <f>J608*I608</f>
        <v>1.724745</v>
      </c>
      <c r="L608" s="329">
        <f t="shared" si="86"/>
        <v>-2.8745750000000125E-2</v>
      </c>
      <c r="M608" s="347">
        <f>IF(ISERROR(L608/H608), "", L608/H608)</f>
        <v>-1.639344262295089E-2</v>
      </c>
      <c r="N608" s="1090" t="str">
        <f>IF(ISERROR(ABS(M608)), "", IF(ABS(M608)&gt;=4%, "In the manager's summary, discuss the reasoning for the change in RTSR rates", ""))</f>
        <v/>
      </c>
    </row>
    <row r="609" spans="1:14" ht="26.4" x14ac:dyDescent="0.25">
      <c r="A609" s="58" t="str">
        <f t="shared" si="89"/>
        <v>UNMETERED SCATTERED LOAD SERVICE CLASSIFICATION</v>
      </c>
      <c r="C609" s="357"/>
      <c r="D609" s="169" t="s">
        <v>361</v>
      </c>
      <c r="E609" s="322"/>
      <c r="F609" s="326">
        <v>5.1000000000000004E-3</v>
      </c>
      <c r="G609" s="332">
        <f>IF($E585&gt;0, $E585, $E584*$E586)</f>
        <v>287.45749999999998</v>
      </c>
      <c r="H609" s="346">
        <f>G609*F609</f>
        <v>1.46603325</v>
      </c>
      <c r="I609" s="325">
        <v>5.0000000000000001E-3</v>
      </c>
      <c r="J609" s="987">
        <f>IF($E585&gt;0, $E585, $E584*$E587)</f>
        <v>287.45749999999998</v>
      </c>
      <c r="K609" s="988">
        <f>J609*I609</f>
        <v>1.4372874999999998</v>
      </c>
      <c r="L609" s="329">
        <f t="shared" si="86"/>
        <v>-2.8745750000000125E-2</v>
      </c>
      <c r="M609" s="347">
        <f>IF(ISERROR(L609/H609), "", L609/H609)</f>
        <v>-1.9607843137254988E-2</v>
      </c>
      <c r="N609" s="1090" t="str">
        <f>IF(ISERROR(ABS(M609)), "", IF(ABS(M609)&gt;=4%, "In the manager's summary, discuss the reasoning for the change in RTSR rates", ""))</f>
        <v/>
      </c>
    </row>
    <row r="610" spans="1:14" ht="26.4" x14ac:dyDescent="0.25">
      <c r="A610" s="58" t="str">
        <f t="shared" si="89"/>
        <v>UNMETERED SCATTERED LOAD SERVICE CLASSIFICATION</v>
      </c>
      <c r="B610" s="783" t="s">
        <v>1436</v>
      </c>
      <c r="C610" s="357">
        <f>B39</f>
        <v>10</v>
      </c>
      <c r="D610" s="286" t="s">
        <v>1467</v>
      </c>
      <c r="E610" s="282"/>
      <c r="F610" s="323"/>
      <c r="G610" s="330"/>
      <c r="H610" s="288">
        <f>SUM(H607:H609)</f>
        <v>9.048709999999998</v>
      </c>
      <c r="I610" s="324"/>
      <c r="J610" s="289"/>
      <c r="K610" s="288">
        <f>SUM(K607:K609)</f>
        <v>9.0187184999999968</v>
      </c>
      <c r="L610" s="283">
        <f t="shared" si="86"/>
        <v>-2.9991500000001281E-2</v>
      </c>
      <c r="M610" s="284">
        <f>IF((H610)=0,"",(L610/H610))</f>
        <v>-3.3144503470661883E-3</v>
      </c>
    </row>
    <row r="611" spans="1:14" ht="26.4" x14ac:dyDescent="0.25">
      <c r="A611" s="58" t="str">
        <f t="shared" si="89"/>
        <v>UNMETERED SCATTERED LOAD SERVICE CLASSIFICATION</v>
      </c>
      <c r="C611" s="357"/>
      <c r="D611" s="290" t="s">
        <v>352</v>
      </c>
      <c r="E611" s="322"/>
      <c r="F611" s="326">
        <f>IF(AND('1. Information Sheet'!$F$26:$H$26&gt;='17. Regulatory Charges'!$D$14,'1. Information Sheet'!$F$26:$H$26&lt;'17. Regulatory Charges'!$E$14),'17. Regulatory Charges'!$D$15+'17. Regulatory Charges'!$D$16,'17. Regulatory Charges'!$E$15+'17. Regulatory Charges'!$E$16)</f>
        <v>3.4000000000000002E-3</v>
      </c>
      <c r="G611" s="332">
        <f>E584*E586</f>
        <v>287.45749999999998</v>
      </c>
      <c r="H611" s="334">
        <f t="shared" ref="H611:H617" si="91">G611*F611</f>
        <v>0.97735550000000004</v>
      </c>
      <c r="I611" s="983">
        <f>'17. Regulatory Charges'!$E$15+'17. Regulatory Charges'!$E$16</f>
        <v>3.4000000000000002E-3</v>
      </c>
      <c r="J611" s="987">
        <f>E584*E587</f>
        <v>287.45749999999998</v>
      </c>
      <c r="K611" s="988">
        <f t="shared" ref="K611:K617" si="92">J611*I611</f>
        <v>0.97735550000000004</v>
      </c>
      <c r="L611" s="329">
        <f t="shared" si="86"/>
        <v>0</v>
      </c>
      <c r="M611" s="347">
        <f t="shared" ref="M611:M619" si="93">IF(ISERROR(L611/H611), "", L611/H611)</f>
        <v>0</v>
      </c>
    </row>
    <row r="612" spans="1:14" ht="26.4" x14ac:dyDescent="0.25">
      <c r="A612" s="58" t="str">
        <f t="shared" si="89"/>
        <v>UNMETERED SCATTERED LOAD SERVICE CLASSIFICATION</v>
      </c>
      <c r="C612" s="357"/>
      <c r="D612" s="290" t="s">
        <v>353</v>
      </c>
      <c r="E612" s="322"/>
      <c r="F612" s="326">
        <f>IF(AND('1. Information Sheet'!$F$26:$H$26&gt;='17. Regulatory Charges'!$D$14,'1. Information Sheet'!$F$26:$H$26&lt;'17. Regulatory Charges'!$D$14),'17. Regulatory Charges'!$D$17,'17. Regulatory Charges'!$E$17)</f>
        <v>5.0000000000000001E-4</v>
      </c>
      <c r="G612" s="332">
        <f>E584*E586</f>
        <v>287.45749999999998</v>
      </c>
      <c r="H612" s="334">
        <f t="shared" si="91"/>
        <v>0.14372874999999999</v>
      </c>
      <c r="I612" s="983">
        <f>'17. Regulatory Charges'!$E$17</f>
        <v>5.0000000000000001E-4</v>
      </c>
      <c r="J612" s="987">
        <f>E584*E587</f>
        <v>287.45749999999998</v>
      </c>
      <c r="K612" s="988">
        <f t="shared" si="92"/>
        <v>0.14372874999999999</v>
      </c>
      <c r="L612" s="329">
        <f t="shared" si="86"/>
        <v>0</v>
      </c>
      <c r="M612" s="347">
        <f t="shared" si="93"/>
        <v>0</v>
      </c>
    </row>
    <row r="613" spans="1:14" x14ac:dyDescent="0.25">
      <c r="A613" s="58" t="str">
        <f t="shared" si="89"/>
        <v>UNMETERED SCATTERED LOAD SERVICE CLASSIFICATION</v>
      </c>
      <c r="C613" s="357"/>
      <c r="D613" s="279" t="s">
        <v>354</v>
      </c>
      <c r="E613" s="322"/>
      <c r="F613" s="1627"/>
      <c r="G613" s="1628"/>
      <c r="H613" s="1629"/>
      <c r="I613" s="1630"/>
      <c r="J613" s="1631"/>
      <c r="K613" s="1632"/>
      <c r="L613" s="1633"/>
      <c r="M613" s="1634"/>
    </row>
    <row r="614" spans="1:14" ht="26.4" hidden="1" x14ac:dyDescent="0.25">
      <c r="A614" s="58" t="str">
        <f t="shared" si="89"/>
        <v>UNMETERED SCATTERED LOAD SERVICE CLASSIFICATION</v>
      </c>
      <c r="C614" s="357"/>
      <c r="D614" s="290" t="s">
        <v>1468</v>
      </c>
      <c r="E614" s="322"/>
      <c r="F614" s="326"/>
      <c r="G614" s="332"/>
      <c r="H614" s="334"/>
      <c r="I614" s="983"/>
      <c r="J614" s="987"/>
      <c r="K614" s="988"/>
      <c r="L614" s="329"/>
      <c r="M614" s="347"/>
    </row>
    <row r="615" spans="1:14" hidden="1" x14ac:dyDescent="0.25">
      <c r="A615" s="58" t="str">
        <f t="shared" si="89"/>
        <v>UNMETERED SCATTERED LOAD SERVICE CLASSIFICATION</v>
      </c>
      <c r="B615" s="783" t="s">
        <v>1427</v>
      </c>
      <c r="C615" s="357"/>
      <c r="D615" s="285" t="s">
        <v>220</v>
      </c>
      <c r="E615" s="322"/>
      <c r="F615" s="327">
        <f>OffPeak</f>
        <v>0.105</v>
      </c>
      <c r="G615" s="291">
        <f>IF(AND(E584*12&gt;=150000),0.64*E584*E586,0.64*E584)</f>
        <v>176</v>
      </c>
      <c r="H615" s="334">
        <f t="shared" si="91"/>
        <v>18.48</v>
      </c>
      <c r="I615" s="985">
        <f>OffPeak</f>
        <v>0.105</v>
      </c>
      <c r="J615" s="990">
        <f>IF(AND(E584*12&gt;=150000),0.64*E584*E587,0.64*E584)</f>
        <v>176</v>
      </c>
      <c r="K615" s="988">
        <f t="shared" si="92"/>
        <v>18.48</v>
      </c>
      <c r="L615" s="329">
        <f>K615-H615</f>
        <v>0</v>
      </c>
      <c r="M615" s="347">
        <f t="shared" si="93"/>
        <v>0</v>
      </c>
    </row>
    <row r="616" spans="1:14" hidden="1" x14ac:dyDescent="0.25">
      <c r="A616" s="58" t="str">
        <f t="shared" si="89"/>
        <v>UNMETERED SCATTERED LOAD SERVICE CLASSIFICATION</v>
      </c>
      <c r="B616" s="783" t="s">
        <v>1427</v>
      </c>
      <c r="C616" s="357"/>
      <c r="D616" s="285" t="s">
        <v>221</v>
      </c>
      <c r="E616" s="322"/>
      <c r="F616" s="327">
        <f>MidPeak</f>
        <v>0.15</v>
      </c>
      <c r="G616" s="291">
        <f>IF(AND(E584*12&gt;=150000),0.18*E584*E586,0.18*E584)</f>
        <v>49.5</v>
      </c>
      <c r="H616" s="334">
        <f t="shared" si="91"/>
        <v>7.4249999999999998</v>
      </c>
      <c r="I616" s="985">
        <f>MidPeak</f>
        <v>0.15</v>
      </c>
      <c r="J616" s="990">
        <f>IF(AND(E584*12&gt;=150000),0.18*E584*E587,0.18*E584)</f>
        <v>49.5</v>
      </c>
      <c r="K616" s="988">
        <f t="shared" si="92"/>
        <v>7.4249999999999998</v>
      </c>
      <c r="L616" s="329">
        <f>K616-H616</f>
        <v>0</v>
      </c>
      <c r="M616" s="347">
        <f t="shared" si="93"/>
        <v>0</v>
      </c>
    </row>
    <row r="617" spans="1:14" hidden="1" x14ac:dyDescent="0.25">
      <c r="A617" s="58" t="str">
        <f t="shared" si="89"/>
        <v>UNMETERED SCATTERED LOAD SERVICE CLASSIFICATION</v>
      </c>
      <c r="B617" s="783" t="s">
        <v>1427</v>
      </c>
      <c r="C617" s="357"/>
      <c r="D617" s="783" t="s">
        <v>222</v>
      </c>
      <c r="E617" s="322"/>
      <c r="F617" s="327">
        <f>OnPeak</f>
        <v>0.217</v>
      </c>
      <c r="G617" s="291">
        <f>IF(AND(E584*12&gt;=150000),0.18*E584*E586,0.18*E584)</f>
        <v>49.5</v>
      </c>
      <c r="H617" s="334">
        <f t="shared" si="91"/>
        <v>10.7415</v>
      </c>
      <c r="I617" s="985">
        <f>OnPeak</f>
        <v>0.217</v>
      </c>
      <c r="J617" s="990">
        <f>IF(AND(E584*12&gt;=150000),0.18*E584*E587,0.18*E584)</f>
        <v>49.5</v>
      </c>
      <c r="K617" s="988">
        <f t="shared" si="92"/>
        <v>10.7415</v>
      </c>
      <c r="L617" s="329">
        <f>K617-H617</f>
        <v>0</v>
      </c>
      <c r="M617" s="347">
        <f t="shared" si="93"/>
        <v>0</v>
      </c>
    </row>
    <row r="618" spans="1:14" ht="13.8" thickBot="1" x14ac:dyDescent="0.3">
      <c r="A618" s="58" t="str">
        <f t="shared" si="89"/>
        <v>UNMETERED SCATTERED LOAD SERVICE CLASSIFICATION</v>
      </c>
      <c r="B618" s="58" t="s">
        <v>1428</v>
      </c>
      <c r="C618" s="357"/>
      <c r="D618" s="285" t="s">
        <v>1437</v>
      </c>
      <c r="E618" s="322"/>
      <c r="F618" s="328">
        <v>0.1368</v>
      </c>
      <c r="G618" s="291">
        <f>IF(AND(E584*12&gt;=150000),E584*E586,E584)</f>
        <v>275</v>
      </c>
      <c r="H618" s="334">
        <f>G618*F618</f>
        <v>37.620000000000005</v>
      </c>
      <c r="I618" s="986">
        <f>F618</f>
        <v>0.1368</v>
      </c>
      <c r="J618" s="990">
        <f>IF(AND(E584*12&gt;=150000),E584*E587,E584)</f>
        <v>275</v>
      </c>
      <c r="K618" s="988">
        <f>J618*I618</f>
        <v>37.620000000000005</v>
      </c>
      <c r="L618" s="329">
        <f>K618-H618</f>
        <v>0</v>
      </c>
      <c r="M618" s="347">
        <f t="shared" si="93"/>
        <v>0</v>
      </c>
    </row>
    <row r="619" spans="1:14" ht="13.8" hidden="1" thickBot="1" x14ac:dyDescent="0.3">
      <c r="A619" s="58" t="str">
        <f t="shared" si="89"/>
        <v>UNMETERED SCATTERED LOAD SERVICE CLASSIFICATION</v>
      </c>
      <c r="B619" s="58" t="s">
        <v>1429</v>
      </c>
      <c r="C619" s="357"/>
      <c r="D619" s="285" t="s">
        <v>1438</v>
      </c>
      <c r="E619" s="322"/>
      <c r="F619" s="328">
        <v>0.1368</v>
      </c>
      <c r="G619" s="291">
        <f>IF(AND(E584*12&gt;=150000),E584*E586,E584)</f>
        <v>275</v>
      </c>
      <c r="H619" s="334">
        <f>G619*F619</f>
        <v>37.620000000000005</v>
      </c>
      <c r="I619" s="986">
        <f>F619</f>
        <v>0.1368</v>
      </c>
      <c r="J619" s="990">
        <f>IF(AND(E584*12&gt;=150000),E584*E587,E584)</f>
        <v>275</v>
      </c>
      <c r="K619" s="988">
        <f>J619*I619</f>
        <v>37.620000000000005</v>
      </c>
      <c r="L619" s="329">
        <f>K619-H619</f>
        <v>0</v>
      </c>
      <c r="M619" s="347">
        <f t="shared" si="93"/>
        <v>0</v>
      </c>
    </row>
    <row r="620" spans="1:14" ht="13.8" thickBot="1" x14ac:dyDescent="0.3">
      <c r="A620" s="58" t="str">
        <f t="shared" si="89"/>
        <v>UNMETERED SCATTERED LOAD SERVICE CLASSIFICATION</v>
      </c>
      <c r="B620" s="783"/>
      <c r="C620" s="357"/>
      <c r="D620" s="292"/>
      <c r="E620" s="293"/>
      <c r="F620" s="335"/>
      <c r="G620" s="216"/>
      <c r="H620" s="336"/>
      <c r="I620" s="335"/>
      <c r="J620" s="337"/>
      <c r="K620" s="336"/>
      <c r="L620" s="338"/>
      <c r="M620" s="219"/>
    </row>
    <row r="621" spans="1:14" hidden="1" x14ac:dyDescent="0.25">
      <c r="A621" s="58" t="str">
        <f t="shared" si="89"/>
        <v>UNMETERED SCATTERED LOAD SERVICE CLASSIFICATION</v>
      </c>
      <c r="B621" s="783" t="s">
        <v>1427</v>
      </c>
      <c r="C621" s="357"/>
      <c r="D621" s="296" t="s">
        <v>356</v>
      </c>
      <c r="E621" s="279"/>
      <c r="F621" s="311"/>
      <c r="G621" s="339"/>
      <c r="H621" s="297">
        <f>SUM(H611:H617,H610)</f>
        <v>46.816294249999999</v>
      </c>
      <c r="I621" s="298"/>
      <c r="J621" s="298"/>
      <c r="K621" s="297">
        <f>SUM(K611:K617,K610)</f>
        <v>46.786302749999997</v>
      </c>
      <c r="L621" s="299">
        <f>K621-H621</f>
        <v>-2.9991500000001281E-2</v>
      </c>
      <c r="M621" s="300">
        <f>IF((H621)=0,"",(L621/H621))</f>
        <v>-6.40620973540666E-4</v>
      </c>
    </row>
    <row r="622" spans="1:14" hidden="1" x14ac:dyDescent="0.25">
      <c r="A622" s="58" t="str">
        <f t="shared" si="89"/>
        <v>UNMETERED SCATTERED LOAD SERVICE CLASSIFICATION</v>
      </c>
      <c r="B622" s="783" t="s">
        <v>1427</v>
      </c>
      <c r="C622" s="357"/>
      <c r="D622" s="301" t="s">
        <v>148</v>
      </c>
      <c r="E622" s="279"/>
      <c r="F622" s="311">
        <v>0.13</v>
      </c>
      <c r="G622" s="340"/>
      <c r="H622" s="302">
        <f>H621*F622</f>
        <v>6.0861182525000004</v>
      </c>
      <c r="I622" s="303">
        <v>0.13</v>
      </c>
      <c r="J622" s="304"/>
      <c r="K622" s="302">
        <f>K621*I622</f>
        <v>6.0822193574999996</v>
      </c>
      <c r="L622" s="305">
        <f>K622-H622</f>
        <v>-3.898895000000735E-3</v>
      </c>
      <c r="M622" s="306">
        <f>IF((H622)=0,"",(L622/H622))</f>
        <v>-6.4062097354075935E-4</v>
      </c>
    </row>
    <row r="623" spans="1:14" hidden="1" x14ac:dyDescent="0.25">
      <c r="A623" s="58" t="str">
        <f t="shared" si="89"/>
        <v>UNMETERED SCATTERED LOAD SERVICE CLASSIFICATION</v>
      </c>
      <c r="B623" s="783" t="s">
        <v>1427</v>
      </c>
      <c r="C623" s="357"/>
      <c r="D623" s="301" t="s">
        <v>5907</v>
      </c>
      <c r="E623" s="279"/>
      <c r="F623" s="1238">
        <v>0.318</v>
      </c>
      <c r="G623" s="340"/>
      <c r="H623" s="302">
        <f>IF(OR(ISNUMBER(SEARCH("[DGEN]", E582))=TRUE, ISNUMBER(SEARCH("STREET LIGHT", E582))=TRUE), 0, IF(AND(E584=0, E585=0),0, IF(AND(E585=0, E584*12&gt;250000), 0, IF(AND(E584=0, E585&gt;=50), 0, IF(E584*12&lt;=250000, F623*H621*-1, IF(E585&lt;50, F623*H621*-1, 0))))))</f>
        <v>-14.8875815715</v>
      </c>
      <c r="I623" s="1238">
        <v>0.318</v>
      </c>
      <c r="J623" s="304"/>
      <c r="K623" s="302">
        <f>IF(OR(ISNUMBER(SEARCH("[DGEN]", E582))=TRUE, ISNUMBER(SEARCH("STREET LIGHT", E582))=TRUE), 0, IF(AND(E584=0, E585=0),0, IF(AND(E585=0, E584*12&gt;250000), 0, IF(AND(E584=0, E585&gt;=50), 0, IF(E584*12&lt;=250000, I623*K621*-1, IF(E585&lt;50, I623*K621*-1, 0))))))</f>
        <v>-14.878044274499999</v>
      </c>
      <c r="L623" s="305">
        <f>K623-H623</f>
        <v>9.5372970000013879E-3</v>
      </c>
      <c r="M623" s="306"/>
    </row>
    <row r="624" spans="1:14" ht="13.8" hidden="1" thickBot="1" x14ac:dyDescent="0.3">
      <c r="A624" s="58" t="str">
        <f t="shared" si="89"/>
        <v>UNMETERED SCATTERED LOAD SERVICE CLASSIFICATION</v>
      </c>
      <c r="B624" s="783" t="s">
        <v>1439</v>
      </c>
      <c r="C624" s="357"/>
      <c r="D624" s="1943" t="s">
        <v>1440</v>
      </c>
      <c r="E624" s="1943"/>
      <c r="F624" s="341"/>
      <c r="G624" s="342"/>
      <c r="H624" s="312">
        <f>H621+H622+H623</f>
        <v>38.014830930999999</v>
      </c>
      <c r="I624" s="308"/>
      <c r="J624" s="308"/>
      <c r="K624" s="307">
        <f>K621+K622+K623</f>
        <v>37.990477833</v>
      </c>
      <c r="L624" s="309">
        <f>K624-H624</f>
        <v>-2.4353097999998852E-2</v>
      </c>
      <c r="M624" s="310">
        <f>IF((H624)=0,"",(L624/H624))</f>
        <v>-6.4062097354060843E-4</v>
      </c>
    </row>
    <row r="625" spans="1:20" ht="13.8" hidden="1" thickBot="1" x14ac:dyDescent="0.3">
      <c r="A625" s="58" t="str">
        <f t="shared" si="89"/>
        <v>UNMETERED SCATTERED LOAD SERVICE CLASSIFICATION</v>
      </c>
      <c r="B625" s="58" t="s">
        <v>1427</v>
      </c>
      <c r="C625" s="357"/>
      <c r="D625" s="292"/>
      <c r="E625" s="293"/>
      <c r="F625" s="335"/>
      <c r="G625" s="216"/>
      <c r="H625" s="336"/>
      <c r="I625" s="335"/>
      <c r="J625" s="337"/>
      <c r="K625" s="336"/>
      <c r="L625" s="338"/>
      <c r="M625" s="219"/>
    </row>
    <row r="626" spans="1:20" x14ac:dyDescent="0.25">
      <c r="A626" s="58" t="str">
        <f t="shared" si="89"/>
        <v>UNMETERED SCATTERED LOAD SERVICE CLASSIFICATION</v>
      </c>
      <c r="B626" s="58" t="s">
        <v>1428</v>
      </c>
      <c r="C626" s="357"/>
      <c r="D626" s="296" t="s">
        <v>1441</v>
      </c>
      <c r="E626" s="279"/>
      <c r="F626" s="311"/>
      <c r="G626" s="339"/>
      <c r="H626" s="297">
        <f>SUM(H618,H611:H614,H610)</f>
        <v>47.789794250000007</v>
      </c>
      <c r="I626" s="298"/>
      <c r="J626" s="298"/>
      <c r="K626" s="297">
        <f>SUM(K618,K611:K614,K610)</f>
        <v>47.759802750000006</v>
      </c>
      <c r="L626" s="299">
        <f>K626-H626</f>
        <v>-2.9991500000001281E-2</v>
      </c>
      <c r="M626" s="300">
        <f>IF((H626)=0,"",(L626/H626))</f>
        <v>-6.2757123085963647E-4</v>
      </c>
    </row>
    <row r="627" spans="1:20" x14ac:dyDescent="0.25">
      <c r="A627" s="58" t="str">
        <f t="shared" si="89"/>
        <v>UNMETERED SCATTERED LOAD SERVICE CLASSIFICATION</v>
      </c>
      <c r="B627" s="58" t="s">
        <v>1428</v>
      </c>
      <c r="C627" s="357"/>
      <c r="D627" s="301" t="s">
        <v>148</v>
      </c>
      <c r="E627" s="279"/>
      <c r="F627" s="311">
        <v>0.13</v>
      </c>
      <c r="G627" s="339"/>
      <c r="H627" s="302">
        <f>H626*F627</f>
        <v>6.212673252500001</v>
      </c>
      <c r="I627" s="311">
        <v>0.13</v>
      </c>
      <c r="J627" s="303"/>
      <c r="K627" s="302">
        <f>K626*I627</f>
        <v>6.2087743575000012</v>
      </c>
      <c r="L627" s="305">
        <f>K627-H627</f>
        <v>-3.8988949999998468E-3</v>
      </c>
      <c r="M627" s="306">
        <f>IF((H627)=0,"",(L627/H627))</f>
        <v>-6.2757123085958497E-4</v>
      </c>
    </row>
    <row r="628" spans="1:20" x14ac:dyDescent="0.25">
      <c r="A628" s="58" t="str">
        <f t="shared" si="89"/>
        <v>UNMETERED SCATTERED LOAD SERVICE CLASSIFICATION</v>
      </c>
      <c r="B628" s="58" t="s">
        <v>1428</v>
      </c>
      <c r="C628" s="357"/>
      <c r="D628" s="301" t="s">
        <v>5907</v>
      </c>
      <c r="E628" s="279"/>
      <c r="F628" s="1238">
        <v>0.318</v>
      </c>
      <c r="G628" s="339"/>
      <c r="H628" s="707">
        <f>IF(OR(ISNUMBER(SEARCH("[DGEN]", E582))=TRUE, ISNUMBER(SEARCH("STREET LIGHT", E582))=TRUE), 0, IF(AND(E584=0, E585=0),0, IF(AND(E585=0, E584*12&gt;250000), 0, IF(AND(E584=0, E585&gt;=50), 0, IF(E584*12&lt;=250000, F628*H626*-1, IF(E585&lt;50, F628*H626*-1, 0))))))</f>
        <v>-15.197154571500002</v>
      </c>
      <c r="I628" s="1238">
        <v>0.318</v>
      </c>
      <c r="J628" s="303"/>
      <c r="K628" s="707">
        <f>IF(OR(ISNUMBER(SEARCH("[DGEN]", E582))=TRUE, ISNUMBER(SEARCH("STREET LIGHT", E582))=TRUE), 0, IF(AND(E584=0, E585=0),0, IF(AND(E585=0, E584*12&gt;250000), 0, IF(AND(E584=0, E585&gt;=50), 0, IF(E584*12&lt;=250000, I628*K626*-1, IF(E585&lt;50, I628*K626*-1, 0))))))</f>
        <v>-15.187617274500003</v>
      </c>
      <c r="L628" s="305"/>
      <c r="M628" s="306"/>
    </row>
    <row r="629" spans="1:20" ht="13.8" thickBot="1" x14ac:dyDescent="0.3">
      <c r="A629" s="58" t="str">
        <f t="shared" si="89"/>
        <v>UNMETERED SCATTERED LOAD SERVICE CLASSIFICATION</v>
      </c>
      <c r="B629" s="58" t="s">
        <v>1442</v>
      </c>
      <c r="C629" s="357">
        <f>B39</f>
        <v>10</v>
      </c>
      <c r="D629" s="1943" t="s">
        <v>1441</v>
      </c>
      <c r="E629" s="1943"/>
      <c r="F629" s="343"/>
      <c r="G629" s="344"/>
      <c r="H629" s="312">
        <f>SUM(H626,H627)</f>
        <v>54.002467502500011</v>
      </c>
      <c r="I629" s="313"/>
      <c r="J629" s="313"/>
      <c r="K629" s="312">
        <f>SUM(K626,K627)</f>
        <v>53.96857710750001</v>
      </c>
      <c r="L629" s="314">
        <f>K629-H629</f>
        <v>-3.389039500000024E-2</v>
      </c>
      <c r="M629" s="315">
        <f>IF((H629)=0,"",(L629/H629))</f>
        <v>-6.2757123085961403E-4</v>
      </c>
    </row>
    <row r="630" spans="1:20" ht="13.8" thickBot="1" x14ac:dyDescent="0.3">
      <c r="A630" s="58" t="str">
        <f t="shared" si="89"/>
        <v>UNMETERED SCATTERED LOAD SERVICE CLASSIFICATION</v>
      </c>
      <c r="B630" s="58" t="s">
        <v>1428</v>
      </c>
      <c r="C630" s="357"/>
      <c r="D630" s="292"/>
      <c r="E630" s="293"/>
      <c r="F630" s="213"/>
      <c r="G630" s="214"/>
      <c r="H630" s="215"/>
      <c r="I630" s="213"/>
      <c r="J630" s="216"/>
      <c r="K630" s="215"/>
      <c r="L630" s="218"/>
      <c r="M630" s="219"/>
    </row>
    <row r="631" spans="1:20" hidden="1" x14ac:dyDescent="0.25">
      <c r="A631" s="58" t="str">
        <f t="shared" si="89"/>
        <v>UNMETERED SCATTERED LOAD SERVICE CLASSIFICATION</v>
      </c>
      <c r="B631" s="58" t="s">
        <v>1429</v>
      </c>
      <c r="C631" s="357"/>
      <c r="D631" s="296" t="s">
        <v>1443</v>
      </c>
      <c r="E631" s="279"/>
      <c r="F631" s="311"/>
      <c r="G631" s="339"/>
      <c r="H631" s="297">
        <f>SUM(H619,H611:H614,H610)</f>
        <v>47.789794250000007</v>
      </c>
      <c r="I631" s="298"/>
      <c r="J631" s="298"/>
      <c r="K631" s="297">
        <f>SUM(K619,K611:K614,K610)</f>
        <v>47.759802750000006</v>
      </c>
      <c r="L631" s="299">
        <f>K631-H631</f>
        <v>-2.9991500000001281E-2</v>
      </c>
      <c r="M631" s="300">
        <f>IF((H631)=0,"",(L631/H631))</f>
        <v>-6.2757123085963647E-4</v>
      </c>
    </row>
    <row r="632" spans="1:20" hidden="1" x14ac:dyDescent="0.25">
      <c r="A632" s="58" t="str">
        <f t="shared" si="89"/>
        <v>UNMETERED SCATTERED LOAD SERVICE CLASSIFICATION</v>
      </c>
      <c r="B632" s="58" t="s">
        <v>1429</v>
      </c>
      <c r="C632" s="357"/>
      <c r="D632" s="301" t="s">
        <v>148</v>
      </c>
      <c r="E632" s="279"/>
      <c r="F632" s="311">
        <v>0.13</v>
      </c>
      <c r="G632" s="339"/>
      <c r="H632" s="302">
        <f>H631*F632</f>
        <v>6.212673252500001</v>
      </c>
      <c r="I632" s="311">
        <v>0.13</v>
      </c>
      <c r="J632" s="303"/>
      <c r="K632" s="302">
        <f>K631*I632</f>
        <v>6.2087743575000012</v>
      </c>
      <c r="L632" s="305">
        <f>K632-H632</f>
        <v>-3.8988949999998468E-3</v>
      </c>
      <c r="M632" s="306">
        <f>IF((H632)=0,"",(L632/H632))</f>
        <v>-6.2757123085958497E-4</v>
      </c>
    </row>
    <row r="633" spans="1:20" hidden="1" x14ac:dyDescent="0.25">
      <c r="A633" s="58" t="str">
        <f t="shared" si="89"/>
        <v>UNMETERED SCATTERED LOAD SERVICE CLASSIFICATION</v>
      </c>
      <c r="B633" s="58" t="s">
        <v>1429</v>
      </c>
      <c r="C633" s="357"/>
      <c r="D633" s="301" t="s">
        <v>5907</v>
      </c>
      <c r="E633" s="279"/>
      <c r="F633" s="1238">
        <v>0.318</v>
      </c>
      <c r="G633" s="339"/>
      <c r="H633" s="707">
        <f>IF(OR(ISNUMBER(SEARCH("[DGEN]", E582))=TRUE, ISNUMBER(SEARCH("STREET LIGHT", E582))=TRUE), 0, IF(AND(E584=0, E585=0),0, IF(AND(E585=0, E584*12&gt;250000), 0, IF(AND(E584=0, E585&gt;=50), 0, IF(E584*12&lt;=250000, F633*H631*-1, IF(E585&lt;50, F633*H631*-1, 0))))))</f>
        <v>-15.197154571500002</v>
      </c>
      <c r="I633" s="1238">
        <v>0.318</v>
      </c>
      <c r="J633" s="303"/>
      <c r="K633" s="707">
        <f>IF(OR(ISNUMBER(SEARCH("[DGEN]", E582))=TRUE, ISNUMBER(SEARCH("STREET LIGHT", E582))=TRUE), 0, IF(AND(E584=0, E585=0),0, IF(AND(E585=0, E584*12&gt;250000), 0, IF(AND(E584=0, E585&gt;=50), 0, IF(E584*12&lt;=250000, I633*K631*-1, IF(E585&lt;50, I633*K631*-1, 0))))))</f>
        <v>-15.187617274500003</v>
      </c>
      <c r="L633" s="305"/>
      <c r="M633" s="306"/>
    </row>
    <row r="634" spans="1:20" ht="13.8" hidden="1" thickBot="1" x14ac:dyDescent="0.3">
      <c r="A634" s="58" t="str">
        <f t="shared" si="89"/>
        <v>UNMETERED SCATTERED LOAD SERVICE CLASSIFICATION</v>
      </c>
      <c r="B634" s="58" t="s">
        <v>1444</v>
      </c>
      <c r="C634" s="357"/>
      <c r="D634" s="1943" t="s">
        <v>1443</v>
      </c>
      <c r="E634" s="1943"/>
      <c r="F634" s="343"/>
      <c r="G634" s="344"/>
      <c r="H634" s="312">
        <f>SUM(H631,H632)</f>
        <v>54.002467502500011</v>
      </c>
      <c r="I634" s="313"/>
      <c r="J634" s="313"/>
      <c r="K634" s="312">
        <f>SUM(K631,K632)</f>
        <v>53.96857710750001</v>
      </c>
      <c r="L634" s="314">
        <f>K634-H634</f>
        <v>-3.389039500000024E-2</v>
      </c>
      <c r="M634" s="315">
        <f>IF((H634)=0,"",(L634/H634))</f>
        <v>-6.2757123085961403E-4</v>
      </c>
    </row>
    <row r="635" spans="1:20" ht="13.8" hidden="1" thickBot="1" x14ac:dyDescent="0.3">
      <c r="A635" s="58" t="str">
        <f t="shared" si="89"/>
        <v>UNMETERED SCATTERED LOAD SERVICE CLASSIFICATION</v>
      </c>
      <c r="B635" s="58" t="s">
        <v>1429</v>
      </c>
      <c r="C635" s="357"/>
      <c r="D635" s="292"/>
      <c r="E635" s="293"/>
      <c r="F635" s="316"/>
      <c r="G635" s="317"/>
      <c r="H635" s="318"/>
      <c r="I635" s="316"/>
      <c r="J635" s="294"/>
      <c r="K635" s="318"/>
      <c r="L635" s="319"/>
      <c r="M635" s="295"/>
    </row>
    <row r="638" spans="1:20" x14ac:dyDescent="0.25">
      <c r="C638" s="58"/>
      <c r="D638" s="264" t="s">
        <v>1432</v>
      </c>
      <c r="E638" s="1952" t="str">
        <f>D40</f>
        <v>SENTINEL LIGHTING SERVICE CLASSIFICATION</v>
      </c>
      <c r="F638" s="1952"/>
      <c r="G638" s="1952"/>
      <c r="H638" s="1952"/>
      <c r="I638" s="1952"/>
      <c r="J638" s="1952"/>
      <c r="K638" s="58" t="str">
        <f>IF(N40="DEMAND - INTERVAL","RTSR - INTERVAL METERED","")</f>
        <v/>
      </c>
      <c r="T638" s="58" t="s">
        <v>603</v>
      </c>
    </row>
    <row r="639" spans="1:20" x14ac:dyDescent="0.25">
      <c r="C639" s="58"/>
      <c r="D639" s="264" t="s">
        <v>1433</v>
      </c>
      <c r="E639" s="1953" t="str">
        <f>H40</f>
        <v>Non-RPP (Retailer)</v>
      </c>
      <c r="F639" s="1953"/>
      <c r="G639" s="1953"/>
      <c r="H639" s="265"/>
      <c r="I639" s="265"/>
    </row>
    <row r="640" spans="1:20" ht="15.6" x14ac:dyDescent="0.25">
      <c r="C640" s="58"/>
      <c r="D640" s="264" t="s">
        <v>153</v>
      </c>
      <c r="E640" s="1626">
        <f>K40</f>
        <v>75</v>
      </c>
      <c r="F640" s="267" t="s">
        <v>154</v>
      </c>
      <c r="G640" s="783"/>
      <c r="J640" s="268"/>
      <c r="K640" s="268"/>
      <c r="L640" s="268"/>
      <c r="M640" s="268"/>
      <c r="N640" s="268"/>
    </row>
    <row r="641" spans="1:13" ht="15.6" x14ac:dyDescent="0.3">
      <c r="C641" s="58"/>
      <c r="D641" s="264" t="s">
        <v>360</v>
      </c>
      <c r="E641" s="1626">
        <f>L40</f>
        <v>0</v>
      </c>
      <c r="F641" s="269" t="s">
        <v>155</v>
      </c>
      <c r="G641" s="270"/>
      <c r="H641" s="271"/>
      <c r="I641" s="271"/>
      <c r="J641" s="271"/>
    </row>
    <row r="642" spans="1:13" x14ac:dyDescent="0.25">
      <c r="C642" s="58"/>
      <c r="D642" s="264" t="s">
        <v>1464</v>
      </c>
      <c r="E642" s="272">
        <f>I40</f>
        <v>1.0452999999999999</v>
      </c>
    </row>
    <row r="643" spans="1:13" x14ac:dyDescent="0.25">
      <c r="C643" s="58"/>
      <c r="D643" s="264" t="s">
        <v>1465</v>
      </c>
      <c r="E643" s="272">
        <f>J40</f>
        <v>1.0452999999999999</v>
      </c>
    </row>
    <row r="644" spans="1:13" x14ac:dyDescent="0.25">
      <c r="C644" s="58"/>
      <c r="D644" s="783"/>
    </row>
    <row r="645" spans="1:13" x14ac:dyDescent="0.25">
      <c r="C645" s="58"/>
      <c r="D645" s="783"/>
      <c r="E645" s="273"/>
      <c r="F645" s="1944" t="s">
        <v>1943</v>
      </c>
      <c r="G645" s="1954"/>
      <c r="H645" s="1945"/>
      <c r="I645" s="1944" t="s">
        <v>341</v>
      </c>
      <c r="J645" s="1954"/>
      <c r="K645" s="1945"/>
      <c r="L645" s="1944" t="s">
        <v>342</v>
      </c>
      <c r="M645" s="1945"/>
    </row>
    <row r="646" spans="1:13" x14ac:dyDescent="0.25">
      <c r="C646" s="58"/>
      <c r="D646" s="783"/>
      <c r="E646" s="1946"/>
      <c r="F646" s="274" t="s">
        <v>343</v>
      </c>
      <c r="G646" s="274" t="s">
        <v>146</v>
      </c>
      <c r="H646" s="275" t="s">
        <v>344</v>
      </c>
      <c r="I646" s="274" t="s">
        <v>343</v>
      </c>
      <c r="J646" s="276" t="s">
        <v>146</v>
      </c>
      <c r="K646" s="275" t="s">
        <v>344</v>
      </c>
      <c r="L646" s="1948" t="s">
        <v>345</v>
      </c>
      <c r="M646" s="1950" t="s">
        <v>346</v>
      </c>
    </row>
    <row r="647" spans="1:13" x14ac:dyDescent="0.25">
      <c r="C647" s="58"/>
      <c r="D647" s="783"/>
      <c r="E647" s="1947"/>
      <c r="F647" s="277" t="s">
        <v>347</v>
      </c>
      <c r="G647" s="277"/>
      <c r="H647" s="278" t="s">
        <v>347</v>
      </c>
      <c r="I647" s="277" t="s">
        <v>347</v>
      </c>
      <c r="J647" s="278"/>
      <c r="K647" s="278" t="s">
        <v>347</v>
      </c>
      <c r="L647" s="1949"/>
      <c r="M647" s="1951"/>
    </row>
    <row r="648" spans="1:13" x14ac:dyDescent="0.25">
      <c r="A648" s="58" t="str">
        <f>$E638</f>
        <v>SENTINEL LIGHTING SERVICE CLASSIFICATION</v>
      </c>
      <c r="C648" s="357"/>
      <c r="D648" s="68" t="s">
        <v>348</v>
      </c>
      <c r="E648" s="322"/>
      <c r="F648" s="345">
        <v>5.95</v>
      </c>
      <c r="G648" s="304"/>
      <c r="H648" s="346">
        <f>G648*F648</f>
        <v>0</v>
      </c>
      <c r="I648" s="982">
        <v>6.05</v>
      </c>
      <c r="J648" s="989"/>
      <c r="K648" s="988">
        <f>J648*I648</f>
        <v>0</v>
      </c>
      <c r="L648" s="329">
        <f t="shared" ref="L648:L668" si="94">K648-H648</f>
        <v>0</v>
      </c>
      <c r="M648" s="347" t="str">
        <f>IF(ISERROR(L648/H648), "", L648/H648)</f>
        <v/>
      </c>
    </row>
    <row r="649" spans="1:13" x14ac:dyDescent="0.25">
      <c r="A649" s="58" t="str">
        <f>A648</f>
        <v>SENTINEL LIGHTING SERVICE CLASSIFICATION</v>
      </c>
      <c r="C649" s="357"/>
      <c r="D649" s="68" t="s">
        <v>80</v>
      </c>
      <c r="E649" s="322"/>
      <c r="F649" s="326">
        <v>15.737399999999999</v>
      </c>
      <c r="G649" s="304">
        <f>IF($E641&gt;0, $E641, $E640)</f>
        <v>75</v>
      </c>
      <c r="H649" s="346">
        <f t="shared" ref="H649:H661" si="95">G649*F649</f>
        <v>1180.3049999999998</v>
      </c>
      <c r="I649" s="983">
        <v>16.004899999999999</v>
      </c>
      <c r="J649" s="989">
        <f>IF($E641&gt;0, $E641, $E640)</f>
        <v>75</v>
      </c>
      <c r="K649" s="988">
        <f>J649*I649</f>
        <v>1200.3674999999998</v>
      </c>
      <c r="L649" s="329">
        <f t="shared" si="94"/>
        <v>20.0625</v>
      </c>
      <c r="M649" s="347">
        <f t="shared" ref="M649:M659" si="96">IF(ISERROR(L649/H649), "", L649/H649)</f>
        <v>1.6997725164258393E-2</v>
      </c>
    </row>
    <row r="650" spans="1:13" hidden="1" x14ac:dyDescent="0.25">
      <c r="A650" s="58" t="str">
        <f t="shared" ref="A650:A691" si="97">A649</f>
        <v>SENTINEL LIGHTING SERVICE CLASSIFICATION</v>
      </c>
      <c r="C650" s="357"/>
      <c r="D650" s="68" t="s">
        <v>4311</v>
      </c>
      <c r="E650" s="322"/>
      <c r="F650" s="326"/>
      <c r="G650" s="304">
        <f>IF($E641&gt;0, $E641, $E640)</f>
        <v>75</v>
      </c>
      <c r="H650" s="346">
        <v>0</v>
      </c>
      <c r="I650" s="983"/>
      <c r="J650" s="989">
        <f>IF($E641&gt;0, $E641, $E640)</f>
        <v>75</v>
      </c>
      <c r="K650" s="988">
        <v>0</v>
      </c>
      <c r="L650" s="329"/>
      <c r="M650" s="347"/>
    </row>
    <row r="651" spans="1:13" hidden="1" x14ac:dyDescent="0.25">
      <c r="A651" s="58" t="str">
        <f t="shared" si="97"/>
        <v>SENTINEL LIGHTING SERVICE CLASSIFICATION</v>
      </c>
      <c r="C651" s="357"/>
      <c r="D651" s="68" t="s">
        <v>3743</v>
      </c>
      <c r="E651" s="322"/>
      <c r="F651" s="326"/>
      <c r="G651" s="304">
        <f>IF($E641&gt;0, $E641, $E640)</f>
        <v>75</v>
      </c>
      <c r="H651" s="346">
        <v>0</v>
      </c>
      <c r="I651" s="983"/>
      <c r="J651" s="992">
        <f>IF($E641&gt;0, $E641, $E640)</f>
        <v>75</v>
      </c>
      <c r="K651" s="988">
        <v>0</v>
      </c>
      <c r="L651" s="329">
        <f>K651-H651</f>
        <v>0</v>
      </c>
      <c r="M651" s="347" t="str">
        <f>IF(ISERROR(L651/H651), "", L651/H651)</f>
        <v/>
      </c>
    </row>
    <row r="652" spans="1:13" x14ac:dyDescent="0.25">
      <c r="A652" s="58" t="str">
        <f t="shared" si="97"/>
        <v>SENTINEL LIGHTING SERVICE CLASSIFICATION</v>
      </c>
      <c r="C652" s="357"/>
      <c r="D652" s="69" t="s">
        <v>358</v>
      </c>
      <c r="E652" s="322"/>
      <c r="F652" s="345">
        <v>0</v>
      </c>
      <c r="G652" s="304"/>
      <c r="H652" s="346">
        <f t="shared" si="95"/>
        <v>0</v>
      </c>
      <c r="I652" s="982">
        <v>0</v>
      </c>
      <c r="J652" s="989"/>
      <c r="K652" s="988">
        <f t="shared" ref="K652:K659" si="98">J652*I652</f>
        <v>0</v>
      </c>
      <c r="L652" s="329">
        <f t="shared" si="94"/>
        <v>0</v>
      </c>
      <c r="M652" s="347" t="str">
        <f t="shared" si="96"/>
        <v/>
      </c>
    </row>
    <row r="653" spans="1:13" x14ac:dyDescent="0.25">
      <c r="A653" s="58" t="str">
        <f t="shared" si="97"/>
        <v>SENTINEL LIGHTING SERVICE CLASSIFICATION</v>
      </c>
      <c r="C653" s="357"/>
      <c r="D653" s="68" t="s">
        <v>359</v>
      </c>
      <c r="E653" s="322"/>
      <c r="F653" s="326">
        <v>-0.66589999999999994</v>
      </c>
      <c r="G653" s="304">
        <f>IF($E641&gt;0, $E641, $E640)</f>
        <v>75</v>
      </c>
      <c r="H653" s="346">
        <f t="shared" si="95"/>
        <v>-49.942499999999995</v>
      </c>
      <c r="I653" s="983">
        <v>-0.85609999999999997</v>
      </c>
      <c r="J653" s="989">
        <f>IF($E641&gt;0, $E641, $E640)</f>
        <v>75</v>
      </c>
      <c r="K653" s="988">
        <f t="shared" si="98"/>
        <v>-64.207499999999996</v>
      </c>
      <c r="L653" s="329">
        <f t="shared" si="94"/>
        <v>-14.265000000000001</v>
      </c>
      <c r="M653" s="347">
        <f t="shared" si="96"/>
        <v>0.28562847274365522</v>
      </c>
    </row>
    <row r="654" spans="1:13" x14ac:dyDescent="0.25">
      <c r="A654" s="58" t="str">
        <f t="shared" si="97"/>
        <v>SENTINEL LIGHTING SERVICE CLASSIFICATION</v>
      </c>
      <c r="B654" s="280" t="s">
        <v>1434</v>
      </c>
      <c r="C654" s="357">
        <f>B40</f>
        <v>11</v>
      </c>
      <c r="D654" s="281" t="s">
        <v>349</v>
      </c>
      <c r="E654" s="282"/>
      <c r="F654" s="348"/>
      <c r="G654" s="717"/>
      <c r="H654" s="718">
        <f>SUM(H648:H653)</f>
        <v>1130.3624999999997</v>
      </c>
      <c r="I654" s="349"/>
      <c r="J654" s="289"/>
      <c r="K654" s="718">
        <f>SUM(K648:K653)</f>
        <v>1136.1599999999999</v>
      </c>
      <c r="L654" s="283">
        <f t="shared" si="94"/>
        <v>5.7975000000001273</v>
      </c>
      <c r="M654" s="284">
        <f>IF((H654)=0,"",(L654/H654))</f>
        <v>5.1288856450918434E-3</v>
      </c>
    </row>
    <row r="655" spans="1:13" x14ac:dyDescent="0.25">
      <c r="A655" s="58" t="str">
        <f t="shared" si="97"/>
        <v>SENTINEL LIGHTING SERVICE CLASSIFICATION</v>
      </c>
      <c r="C655" s="357"/>
      <c r="D655" s="72" t="s">
        <v>421</v>
      </c>
      <c r="E655" s="322"/>
      <c r="F655" s="326">
        <f>IF((E640*12&gt;=150000), 0, IF(E639="RPP",(F671*0.64+F672*0.18+F673*0.18),IF(E639="Non-RPP (Retailer)",F674,F675)))</f>
        <v>0.1368</v>
      </c>
      <c r="G655" s="332">
        <f>IF(F655=0, 0, $E640*E642-E640)</f>
        <v>3.3974999999999937</v>
      </c>
      <c r="H655" s="346">
        <f>G655*F655</f>
        <v>0.46477799999999914</v>
      </c>
      <c r="I655" s="983">
        <f>IF((E640*12&gt;=150000), 0, IF(E639="RPP",(I671*0.64+I672*0.18+I673*0.18),IF(E639="Non-RPP (Retailer)",I674,I675)))</f>
        <v>0.1368</v>
      </c>
      <c r="J655" s="987">
        <f>IF(I655=0, 0, E640*E643-E640)</f>
        <v>3.3974999999999937</v>
      </c>
      <c r="K655" s="988">
        <f>J655*I655</f>
        <v>0.46477799999999914</v>
      </c>
      <c r="L655" s="329">
        <f>K655-H655</f>
        <v>0</v>
      </c>
      <c r="M655" s="347">
        <f>IF(ISERROR(L655/H655), "", L655/H655)</f>
        <v>0</v>
      </c>
    </row>
    <row r="656" spans="1:13" ht="26.4" x14ac:dyDescent="0.25">
      <c r="A656" s="58" t="str">
        <f t="shared" si="97"/>
        <v>SENTINEL LIGHTING SERVICE CLASSIFICATION</v>
      </c>
      <c r="C656" s="357"/>
      <c r="D656" s="72" t="s">
        <v>357</v>
      </c>
      <c r="E656" s="322"/>
      <c r="F656" s="326">
        <v>0</v>
      </c>
      <c r="G656" s="333">
        <f>IF($E641&gt;0, $E641, $E640)</f>
        <v>75</v>
      </c>
      <c r="H656" s="346">
        <f t="shared" si="95"/>
        <v>0</v>
      </c>
      <c r="I656" s="983">
        <v>0</v>
      </c>
      <c r="J656" s="991">
        <f>IF($E641&gt;0, $E641, $E640)</f>
        <v>75</v>
      </c>
      <c r="K656" s="988">
        <f t="shared" si="98"/>
        <v>0</v>
      </c>
      <c r="L656" s="329">
        <f t="shared" si="94"/>
        <v>0</v>
      </c>
      <c r="M656" s="347" t="str">
        <f t="shared" si="96"/>
        <v/>
      </c>
    </row>
    <row r="657" spans="1:14" x14ac:dyDescent="0.25">
      <c r="A657" s="58" t="str">
        <f t="shared" si="97"/>
        <v>SENTINEL LIGHTING SERVICE CLASSIFICATION</v>
      </c>
      <c r="C657" s="357"/>
      <c r="D657" s="72" t="s">
        <v>2299</v>
      </c>
      <c r="E657" s="322"/>
      <c r="F657" s="326">
        <v>0</v>
      </c>
      <c r="G657" s="333">
        <f>IF($E641&gt;0, $E641, $E640)</f>
        <v>75</v>
      </c>
      <c r="H657" s="346">
        <f>G657*F657</f>
        <v>0</v>
      </c>
      <c r="I657" s="983">
        <v>0</v>
      </c>
      <c r="J657" s="991">
        <f>IF($E641&gt;0, $E641, $E640)</f>
        <v>75</v>
      </c>
      <c r="K657" s="988">
        <f>J657*I657</f>
        <v>0</v>
      </c>
      <c r="L657" s="329">
        <f t="shared" si="94"/>
        <v>0</v>
      </c>
      <c r="M657" s="347" t="str">
        <f t="shared" si="96"/>
        <v/>
      </c>
    </row>
    <row r="658" spans="1:14" x14ac:dyDescent="0.25">
      <c r="A658" s="58" t="str">
        <f t="shared" si="97"/>
        <v>SENTINEL LIGHTING SERVICE CLASSIFICATION</v>
      </c>
      <c r="C658" s="357"/>
      <c r="D658" s="72" t="s">
        <v>1953</v>
      </c>
      <c r="E658" s="322"/>
      <c r="F658" s="326">
        <v>0</v>
      </c>
      <c r="G658" s="333">
        <f>E640</f>
        <v>75</v>
      </c>
      <c r="H658" s="346">
        <f>G658*F658</f>
        <v>0</v>
      </c>
      <c r="I658" s="983">
        <v>0</v>
      </c>
      <c r="J658" s="991">
        <f>E640</f>
        <v>75</v>
      </c>
      <c r="K658" s="988">
        <f t="shared" si="98"/>
        <v>0</v>
      </c>
      <c r="L658" s="329">
        <f t="shared" si="94"/>
        <v>0</v>
      </c>
      <c r="M658" s="347" t="str">
        <f t="shared" si="96"/>
        <v/>
      </c>
    </row>
    <row r="659" spans="1:14" x14ac:dyDescent="0.25">
      <c r="A659" s="58" t="str">
        <f t="shared" si="97"/>
        <v>SENTINEL LIGHTING SERVICE CLASSIFICATION</v>
      </c>
      <c r="C659" s="357"/>
      <c r="D659" s="74" t="s">
        <v>141</v>
      </c>
      <c r="E659" s="322"/>
      <c r="F659" s="326">
        <v>0.78820000000000001</v>
      </c>
      <c r="G659" s="333">
        <f>IF($E641&gt;0, $E641, $E640)</f>
        <v>75</v>
      </c>
      <c r="H659" s="346">
        <f t="shared" si="95"/>
        <v>59.115000000000002</v>
      </c>
      <c r="I659" s="983">
        <v>0.78820000000000001</v>
      </c>
      <c r="J659" s="991">
        <f>IF($E641&gt;0, $E641, $E640)</f>
        <v>75</v>
      </c>
      <c r="K659" s="988">
        <f t="shared" si="98"/>
        <v>59.115000000000002</v>
      </c>
      <c r="L659" s="329">
        <f t="shared" si="94"/>
        <v>0</v>
      </c>
      <c r="M659" s="347">
        <f t="shared" si="96"/>
        <v>0</v>
      </c>
    </row>
    <row r="660" spans="1:14" ht="26.4" x14ac:dyDescent="0.25">
      <c r="A660" s="58" t="str">
        <f t="shared" si="97"/>
        <v>SENTINEL LIGHTING SERVICE CLASSIFICATION</v>
      </c>
      <c r="C660" s="357"/>
      <c r="D660" s="391" t="s">
        <v>4312</v>
      </c>
      <c r="E660" s="322"/>
      <c r="F660" s="768">
        <f>IF(OR(ISNUMBER(SEARCH("RESIDENTIAL", E638))=TRUE, ISNUMBER(SEARCH("GENERAL SERVICE LESS THAN 50", E638))=TRUE), SME, 0)</f>
        <v>0</v>
      </c>
      <c r="G660" s="304"/>
      <c r="H660" s="346">
        <f>G660*F660</f>
        <v>0</v>
      </c>
      <c r="I660" s="984">
        <f>IF(OR(ISNUMBER(SEARCH("RESIDENTIAL", E638))=TRUE, ISNUMBER(SEARCH("GENERAL SERVICE LESS THAN 50", E638))=TRUE), SME, 0)</f>
        <v>0</v>
      </c>
      <c r="J660" s="992"/>
      <c r="K660" s="988">
        <f>J660*I660</f>
        <v>0</v>
      </c>
      <c r="L660" s="329">
        <f t="shared" si="94"/>
        <v>0</v>
      </c>
      <c r="M660" s="347" t="str">
        <f>IF(ISERROR(L660/H660), "", L660/H660)</f>
        <v/>
      </c>
    </row>
    <row r="661" spans="1:14" x14ac:dyDescent="0.25">
      <c r="A661" s="58" t="str">
        <f t="shared" si="97"/>
        <v>SENTINEL LIGHTING SERVICE CLASSIFICATION</v>
      </c>
      <c r="C661" s="357"/>
      <c r="D661" s="74" t="s">
        <v>3742</v>
      </c>
      <c r="E661" s="322"/>
      <c r="F661" s="345">
        <v>0</v>
      </c>
      <c r="G661" s="304"/>
      <c r="H661" s="346">
        <f t="shared" si="95"/>
        <v>0</v>
      </c>
      <c r="I661" s="982">
        <v>0</v>
      </c>
      <c r="J661" s="992"/>
      <c r="K661" s="988">
        <f>J661*I661</f>
        <v>0</v>
      </c>
      <c r="L661" s="329">
        <f>K661-H661</f>
        <v>0</v>
      </c>
      <c r="M661" s="347" t="str">
        <f>IF(ISERROR(L661/H661), "", L661/H661)</f>
        <v/>
      </c>
    </row>
    <row r="662" spans="1:14" x14ac:dyDescent="0.25">
      <c r="A662" s="58" t="str">
        <f t="shared" si="97"/>
        <v>SENTINEL LIGHTING SERVICE CLASSIFICATION</v>
      </c>
      <c r="C662" s="357"/>
      <c r="D662" s="74" t="s">
        <v>3741</v>
      </c>
      <c r="E662" s="322"/>
      <c r="F662" s="326">
        <v>0</v>
      </c>
      <c r="G662" s="333">
        <f>IF($E641&gt;0, $E641, $E640)</f>
        <v>75</v>
      </c>
      <c r="H662" s="346">
        <f>G662*F662</f>
        <v>0</v>
      </c>
      <c r="I662" s="983">
        <v>0</v>
      </c>
      <c r="J662" s="991">
        <f>IF($E641&gt;0, $E641, $E640)</f>
        <v>75</v>
      </c>
      <c r="K662" s="988">
        <f>J662*I662</f>
        <v>0</v>
      </c>
      <c r="L662" s="329">
        <f t="shared" si="94"/>
        <v>0</v>
      </c>
      <c r="M662" s="347" t="str">
        <f>IF(ISERROR(L662/H662), "", L662/H662)</f>
        <v/>
      </c>
    </row>
    <row r="663" spans="1:14" ht="26.4" x14ac:dyDescent="0.25">
      <c r="A663" s="58" t="str">
        <f t="shared" si="97"/>
        <v>SENTINEL LIGHTING SERVICE CLASSIFICATION</v>
      </c>
      <c r="B663" s="783" t="s">
        <v>1435</v>
      </c>
      <c r="C663" s="357">
        <f>B40</f>
        <v>11</v>
      </c>
      <c r="D663" s="286" t="s">
        <v>1466</v>
      </c>
      <c r="E663" s="287"/>
      <c r="F663" s="323"/>
      <c r="G663" s="330"/>
      <c r="H663" s="288">
        <f>SUM(H654:H662)</f>
        <v>1189.9422779999998</v>
      </c>
      <c r="I663" s="324"/>
      <c r="J663" s="331"/>
      <c r="K663" s="288">
        <f>SUM(K654:K662)</f>
        <v>1195.7397779999999</v>
      </c>
      <c r="L663" s="283">
        <f t="shared" si="94"/>
        <v>5.7975000000001273</v>
      </c>
      <c r="M663" s="284">
        <f>IF((H663)=0,"",(L663/H663))</f>
        <v>4.872085064280848E-3</v>
      </c>
    </row>
    <row r="664" spans="1:14" x14ac:dyDescent="0.25">
      <c r="A664" s="58" t="str">
        <f t="shared" si="97"/>
        <v>SENTINEL LIGHTING SERVICE CLASSIFICATION</v>
      </c>
      <c r="C664" s="357"/>
      <c r="D664" s="76" t="s">
        <v>351</v>
      </c>
      <c r="E664" s="322"/>
      <c r="F664" s="326">
        <v>1.8505</v>
      </c>
      <c r="G664" s="332">
        <f>IF($E641&gt;0, $E641, $E640*$E642)</f>
        <v>78.397499999999994</v>
      </c>
      <c r="H664" s="346">
        <f>G664*F664</f>
        <v>145.07457374999998</v>
      </c>
      <c r="I664" s="325">
        <v>1.8164</v>
      </c>
      <c r="J664" s="987">
        <f>IF($E641&gt;0, $E641, $E640*$E643)</f>
        <v>78.397499999999994</v>
      </c>
      <c r="K664" s="988">
        <f>J664*I664</f>
        <v>142.401219</v>
      </c>
      <c r="L664" s="329">
        <f t="shared" si="94"/>
        <v>-2.6733547499999872</v>
      </c>
      <c r="M664" s="347">
        <f>IF(ISERROR(L664/H664), "", L664/H664)</f>
        <v>-1.8427452039989106E-2</v>
      </c>
      <c r="N664" s="1090" t="str">
        <f>IF(ISERROR(ABS(M664)), "", IF(ABS(M664)&gt;=4%, "In the manager's summary, discuss the reasoning for the change in RTSR rates", ""))</f>
        <v/>
      </c>
    </row>
    <row r="665" spans="1:14" ht="26.4" x14ac:dyDescent="0.25">
      <c r="A665" s="58" t="str">
        <f t="shared" si="97"/>
        <v>SENTINEL LIGHTING SERVICE CLASSIFICATION</v>
      </c>
      <c r="C665" s="357"/>
      <c r="D665" s="169" t="s">
        <v>361</v>
      </c>
      <c r="E665" s="322"/>
      <c r="F665" s="326">
        <v>1.5789</v>
      </c>
      <c r="G665" s="332">
        <f>IF($E641&gt;0, $E641, $E640*$E642)</f>
        <v>78.397499999999994</v>
      </c>
      <c r="H665" s="346">
        <f>G665*F665</f>
        <v>123.78181274999999</v>
      </c>
      <c r="I665" s="325">
        <v>1.5411999999999999</v>
      </c>
      <c r="J665" s="987">
        <f>IF($E641&gt;0, $E641, $E640*$E643)</f>
        <v>78.397499999999994</v>
      </c>
      <c r="K665" s="988">
        <f>J665*I665</f>
        <v>120.82622699999999</v>
      </c>
      <c r="L665" s="329">
        <f t="shared" si="94"/>
        <v>-2.9555857499999973</v>
      </c>
      <c r="M665" s="347">
        <f>IF(ISERROR(L665/H665), "", L665/H665)</f>
        <v>-2.3877382988156292E-2</v>
      </c>
      <c r="N665" s="1090" t="str">
        <f>IF(ISERROR(ABS(M665)), "", IF(ABS(M665)&gt;=4%, "In the manager's summary, discuss the reasoning for the change in RTSR rates", ""))</f>
        <v/>
      </c>
    </row>
    <row r="666" spans="1:14" ht="26.4" x14ac:dyDescent="0.25">
      <c r="A666" s="58" t="str">
        <f t="shared" si="97"/>
        <v>SENTINEL LIGHTING SERVICE CLASSIFICATION</v>
      </c>
      <c r="B666" s="783" t="s">
        <v>1436</v>
      </c>
      <c r="C666" s="357">
        <f>B40</f>
        <v>11</v>
      </c>
      <c r="D666" s="286" t="s">
        <v>1467</v>
      </c>
      <c r="E666" s="282"/>
      <c r="F666" s="323"/>
      <c r="G666" s="330"/>
      <c r="H666" s="288">
        <f>SUM(H663:H665)</f>
        <v>1458.7986644999996</v>
      </c>
      <c r="I666" s="324"/>
      <c r="J666" s="289"/>
      <c r="K666" s="288">
        <f>SUM(K663:K665)</f>
        <v>1458.967224</v>
      </c>
      <c r="L666" s="283">
        <f t="shared" si="94"/>
        <v>0.16855950000035591</v>
      </c>
      <c r="M666" s="284">
        <f>IF((H666)=0,"",(L666/H666))</f>
        <v>1.1554678798539299E-4</v>
      </c>
    </row>
    <row r="667" spans="1:14" ht="26.4" x14ac:dyDescent="0.25">
      <c r="A667" s="58" t="str">
        <f t="shared" si="97"/>
        <v>SENTINEL LIGHTING SERVICE CLASSIFICATION</v>
      </c>
      <c r="C667" s="357"/>
      <c r="D667" s="290" t="s">
        <v>352</v>
      </c>
      <c r="E667" s="322"/>
      <c r="F667" s="326">
        <f>IF(AND('1. Information Sheet'!$F$26:$H$26&gt;='17. Regulatory Charges'!$D$14,'1. Information Sheet'!$F$26:$H$26&lt;'17. Regulatory Charges'!$E$14),'17. Regulatory Charges'!$D$15+'17. Regulatory Charges'!$D$16,'17. Regulatory Charges'!$E$15+'17. Regulatory Charges'!$E$16)</f>
        <v>3.4000000000000002E-3</v>
      </c>
      <c r="G667" s="332">
        <f>E640*E642</f>
        <v>78.397499999999994</v>
      </c>
      <c r="H667" s="334">
        <f t="shared" ref="H667:H673" si="99">G667*F667</f>
        <v>0.2665515</v>
      </c>
      <c r="I667" s="983">
        <f>'17. Regulatory Charges'!$E$15+'17. Regulatory Charges'!$E$16</f>
        <v>3.4000000000000002E-3</v>
      </c>
      <c r="J667" s="987">
        <f>E640*E643</f>
        <v>78.397499999999994</v>
      </c>
      <c r="K667" s="988">
        <f t="shared" ref="K667:K673" si="100">J667*I667</f>
        <v>0.2665515</v>
      </c>
      <c r="L667" s="329">
        <f t="shared" si="94"/>
        <v>0</v>
      </c>
      <c r="M667" s="347">
        <f t="shared" ref="M667:M675" si="101">IF(ISERROR(L667/H667), "", L667/H667)</f>
        <v>0</v>
      </c>
    </row>
    <row r="668" spans="1:14" ht="26.4" x14ac:dyDescent="0.25">
      <c r="A668" s="58" t="str">
        <f t="shared" si="97"/>
        <v>SENTINEL LIGHTING SERVICE CLASSIFICATION</v>
      </c>
      <c r="C668" s="357"/>
      <c r="D668" s="290" t="s">
        <v>353</v>
      </c>
      <c r="E668" s="322"/>
      <c r="F668" s="326">
        <f>IF(AND('1. Information Sheet'!$F$26:$H$26&gt;='17. Regulatory Charges'!$D$14,'1. Information Sheet'!$F$26:$H$26&lt;'17. Regulatory Charges'!$D$14),'17. Regulatory Charges'!$D$17,'17. Regulatory Charges'!$E$17)</f>
        <v>5.0000000000000001E-4</v>
      </c>
      <c r="G668" s="332">
        <f>E640*E642</f>
        <v>78.397499999999994</v>
      </c>
      <c r="H668" s="334">
        <f t="shared" si="99"/>
        <v>3.9198749999999997E-2</v>
      </c>
      <c r="I668" s="983">
        <f>'17. Regulatory Charges'!$E$17</f>
        <v>5.0000000000000001E-4</v>
      </c>
      <c r="J668" s="987">
        <f>E640*E643</f>
        <v>78.397499999999994</v>
      </c>
      <c r="K668" s="988">
        <f t="shared" si="100"/>
        <v>3.9198749999999997E-2</v>
      </c>
      <c r="L668" s="329">
        <f t="shared" si="94"/>
        <v>0</v>
      </c>
      <c r="M668" s="347">
        <f t="shared" si="101"/>
        <v>0</v>
      </c>
    </row>
    <row r="669" spans="1:14" x14ac:dyDescent="0.25">
      <c r="A669" s="58" t="str">
        <f t="shared" si="97"/>
        <v>SENTINEL LIGHTING SERVICE CLASSIFICATION</v>
      </c>
      <c r="C669" s="357"/>
      <c r="D669" s="279" t="s">
        <v>354</v>
      </c>
      <c r="E669" s="322"/>
      <c r="F669" s="1627"/>
      <c r="G669" s="1628"/>
      <c r="H669" s="1629"/>
      <c r="I669" s="1630"/>
      <c r="J669" s="1631"/>
      <c r="K669" s="1632"/>
      <c r="L669" s="1633"/>
      <c r="M669" s="1634"/>
    </row>
    <row r="670" spans="1:14" ht="26.4" hidden="1" x14ac:dyDescent="0.25">
      <c r="A670" s="58" t="str">
        <f t="shared" si="97"/>
        <v>SENTINEL LIGHTING SERVICE CLASSIFICATION</v>
      </c>
      <c r="C670" s="357"/>
      <c r="D670" s="290" t="s">
        <v>1468</v>
      </c>
      <c r="E670" s="322"/>
      <c r="F670" s="326"/>
      <c r="G670" s="332"/>
      <c r="H670" s="334"/>
      <c r="I670" s="983"/>
      <c r="J670" s="987"/>
      <c r="K670" s="988"/>
      <c r="L670" s="329"/>
      <c r="M670" s="347"/>
    </row>
    <row r="671" spans="1:14" hidden="1" x14ac:dyDescent="0.25">
      <c r="A671" s="58" t="str">
        <f t="shared" si="97"/>
        <v>SENTINEL LIGHTING SERVICE CLASSIFICATION</v>
      </c>
      <c r="B671" s="783" t="s">
        <v>1427</v>
      </c>
      <c r="C671" s="357"/>
      <c r="D671" s="285" t="s">
        <v>220</v>
      </c>
      <c r="E671" s="322"/>
      <c r="F671" s="327">
        <f>OffPeak</f>
        <v>0.105</v>
      </c>
      <c r="G671" s="291">
        <f>IF(AND(E640*12&gt;=150000),0.64*E640*E642,0.64*E640)</f>
        <v>48</v>
      </c>
      <c r="H671" s="334">
        <f t="shared" si="99"/>
        <v>5.04</v>
      </c>
      <c r="I671" s="985">
        <f>OffPeak</f>
        <v>0.105</v>
      </c>
      <c r="J671" s="990">
        <f>IF(AND(E640*12&gt;=150000),0.64*E640*E643,0.64*E640)</f>
        <v>48</v>
      </c>
      <c r="K671" s="988">
        <f t="shared" si="100"/>
        <v>5.04</v>
      </c>
      <c r="L671" s="329">
        <f>K671-H671</f>
        <v>0</v>
      </c>
      <c r="M671" s="347">
        <f t="shared" si="101"/>
        <v>0</v>
      </c>
    </row>
    <row r="672" spans="1:14" hidden="1" x14ac:dyDescent="0.25">
      <c r="A672" s="58" t="str">
        <f t="shared" si="97"/>
        <v>SENTINEL LIGHTING SERVICE CLASSIFICATION</v>
      </c>
      <c r="B672" s="783" t="s">
        <v>1427</v>
      </c>
      <c r="C672" s="357"/>
      <c r="D672" s="285" t="s">
        <v>221</v>
      </c>
      <c r="E672" s="322"/>
      <c r="F672" s="327">
        <f>MidPeak</f>
        <v>0.15</v>
      </c>
      <c r="G672" s="291">
        <f>IF(AND(E640*12&gt;=150000),0.18*E640*E642,0.18*E640)</f>
        <v>13.5</v>
      </c>
      <c r="H672" s="334">
        <f t="shared" si="99"/>
        <v>2.0249999999999999</v>
      </c>
      <c r="I672" s="985">
        <f>MidPeak</f>
        <v>0.15</v>
      </c>
      <c r="J672" s="990">
        <f>IF(AND(E640*12&gt;=150000),0.18*E640*E643,0.18*E640)</f>
        <v>13.5</v>
      </c>
      <c r="K672" s="988">
        <f t="shared" si="100"/>
        <v>2.0249999999999999</v>
      </c>
      <c r="L672" s="329">
        <f>K672-H672</f>
        <v>0</v>
      </c>
      <c r="M672" s="347">
        <f t="shared" si="101"/>
        <v>0</v>
      </c>
    </row>
    <row r="673" spans="1:13" hidden="1" x14ac:dyDescent="0.25">
      <c r="A673" s="58" t="str">
        <f t="shared" si="97"/>
        <v>SENTINEL LIGHTING SERVICE CLASSIFICATION</v>
      </c>
      <c r="B673" s="783" t="s">
        <v>1427</v>
      </c>
      <c r="C673" s="357"/>
      <c r="D673" s="783" t="s">
        <v>222</v>
      </c>
      <c r="E673" s="322"/>
      <c r="F673" s="327">
        <f>OnPeak</f>
        <v>0.217</v>
      </c>
      <c r="G673" s="291">
        <f>IF(AND(E640*12&gt;=150000),0.18*E640*E642,0.18*E640)</f>
        <v>13.5</v>
      </c>
      <c r="H673" s="334">
        <f t="shared" si="99"/>
        <v>2.9295</v>
      </c>
      <c r="I673" s="985">
        <f>OnPeak</f>
        <v>0.217</v>
      </c>
      <c r="J673" s="990">
        <f>IF(AND(E640*12&gt;=150000),0.18*E640*E643,0.18*E640)</f>
        <v>13.5</v>
      </c>
      <c r="K673" s="988">
        <f t="shared" si="100"/>
        <v>2.9295</v>
      </c>
      <c r="L673" s="329">
        <f>K673-H673</f>
        <v>0</v>
      </c>
      <c r="M673" s="347">
        <f t="shared" si="101"/>
        <v>0</v>
      </c>
    </row>
    <row r="674" spans="1:13" ht="13.8" thickBot="1" x14ac:dyDescent="0.3">
      <c r="A674" s="58" t="str">
        <f t="shared" si="97"/>
        <v>SENTINEL LIGHTING SERVICE CLASSIFICATION</v>
      </c>
      <c r="B674" s="58" t="s">
        <v>1428</v>
      </c>
      <c r="C674" s="357"/>
      <c r="D674" s="285" t="s">
        <v>1437</v>
      </c>
      <c r="E674" s="322"/>
      <c r="F674" s="328">
        <v>0.1368</v>
      </c>
      <c r="G674" s="291">
        <f>IF(AND(E640*12&gt;=150000),E640*E642,E640)</f>
        <v>75</v>
      </c>
      <c r="H674" s="334">
        <f>G674*F674</f>
        <v>10.26</v>
      </c>
      <c r="I674" s="986">
        <f>F674</f>
        <v>0.1368</v>
      </c>
      <c r="J674" s="990">
        <f>IF(AND(E640*12&gt;=150000),E640*E643,E640)</f>
        <v>75</v>
      </c>
      <c r="K674" s="988">
        <f>J674*I674</f>
        <v>10.26</v>
      </c>
      <c r="L674" s="329">
        <f>K674-H674</f>
        <v>0</v>
      </c>
      <c r="M674" s="347">
        <f t="shared" si="101"/>
        <v>0</v>
      </c>
    </row>
    <row r="675" spans="1:13" ht="13.8" hidden="1" thickBot="1" x14ac:dyDescent="0.3">
      <c r="A675" s="58" t="str">
        <f t="shared" si="97"/>
        <v>SENTINEL LIGHTING SERVICE CLASSIFICATION</v>
      </c>
      <c r="B675" s="58" t="s">
        <v>1429</v>
      </c>
      <c r="C675" s="357"/>
      <c r="D675" s="285" t="s">
        <v>1438</v>
      </c>
      <c r="E675" s="322"/>
      <c r="F675" s="328">
        <v>0.1368</v>
      </c>
      <c r="G675" s="291">
        <f>IF(AND(E640*12&gt;=150000),E640*E642,E640)</f>
        <v>75</v>
      </c>
      <c r="H675" s="334">
        <f>G675*F675</f>
        <v>10.26</v>
      </c>
      <c r="I675" s="986">
        <f>F675</f>
        <v>0.1368</v>
      </c>
      <c r="J675" s="990">
        <f>IF(AND(E640*12&gt;=150000),E640*E643,E640)</f>
        <v>75</v>
      </c>
      <c r="K675" s="988">
        <f>J675*I675</f>
        <v>10.26</v>
      </c>
      <c r="L675" s="329">
        <f>K675-H675</f>
        <v>0</v>
      </c>
      <c r="M675" s="347">
        <f t="shared" si="101"/>
        <v>0</v>
      </c>
    </row>
    <row r="676" spans="1:13" ht="13.8" thickBot="1" x14ac:dyDescent="0.3">
      <c r="A676" s="58" t="str">
        <f t="shared" si="97"/>
        <v>SENTINEL LIGHTING SERVICE CLASSIFICATION</v>
      </c>
      <c r="B676" s="783"/>
      <c r="C676" s="357"/>
      <c r="D676" s="292"/>
      <c r="E676" s="293"/>
      <c r="F676" s="335"/>
      <c r="G676" s="216"/>
      <c r="H676" s="336"/>
      <c r="I676" s="335"/>
      <c r="J676" s="337"/>
      <c r="K676" s="336"/>
      <c r="L676" s="338"/>
      <c r="M676" s="219"/>
    </row>
    <row r="677" spans="1:13" hidden="1" x14ac:dyDescent="0.25">
      <c r="A677" s="58" t="str">
        <f t="shared" si="97"/>
        <v>SENTINEL LIGHTING SERVICE CLASSIFICATION</v>
      </c>
      <c r="B677" s="783" t="s">
        <v>1427</v>
      </c>
      <c r="C677" s="357"/>
      <c r="D677" s="296" t="s">
        <v>356</v>
      </c>
      <c r="E677" s="279"/>
      <c r="F677" s="311"/>
      <c r="G677" s="339"/>
      <c r="H677" s="297">
        <f>SUM(H667:H673,H666)</f>
        <v>1469.0989147499997</v>
      </c>
      <c r="I677" s="298"/>
      <c r="J677" s="298"/>
      <c r="K677" s="297">
        <f>SUM(K667:K673,K666)</f>
        <v>1469.2674742500001</v>
      </c>
      <c r="L677" s="299">
        <f>K677-H677</f>
        <v>0.16855950000035591</v>
      </c>
      <c r="M677" s="300">
        <f>IF((H677)=0,"",(L677/H677))</f>
        <v>1.1473665817052224E-4</v>
      </c>
    </row>
    <row r="678" spans="1:13" hidden="1" x14ac:dyDescent="0.25">
      <c r="A678" s="58" t="str">
        <f t="shared" si="97"/>
        <v>SENTINEL LIGHTING SERVICE CLASSIFICATION</v>
      </c>
      <c r="B678" s="783" t="s">
        <v>1427</v>
      </c>
      <c r="C678" s="357"/>
      <c r="D678" s="301" t="s">
        <v>148</v>
      </c>
      <c r="E678" s="279"/>
      <c r="F678" s="311">
        <v>0.13</v>
      </c>
      <c r="G678" s="340"/>
      <c r="H678" s="302">
        <f>H677*F678</f>
        <v>190.98285891749998</v>
      </c>
      <c r="I678" s="303">
        <v>0.13</v>
      </c>
      <c r="J678" s="304"/>
      <c r="K678" s="302">
        <f>K677*I678</f>
        <v>191.00477165250001</v>
      </c>
      <c r="L678" s="305">
        <f>K678-H678</f>
        <v>2.1912735000029215E-2</v>
      </c>
      <c r="M678" s="306">
        <f>IF((H678)=0,"",(L678/H678))</f>
        <v>1.1473665817043294E-4</v>
      </c>
    </row>
    <row r="679" spans="1:13" hidden="1" x14ac:dyDescent="0.25">
      <c r="A679" s="58" t="str">
        <f t="shared" si="97"/>
        <v>SENTINEL LIGHTING SERVICE CLASSIFICATION</v>
      </c>
      <c r="B679" s="783" t="s">
        <v>1427</v>
      </c>
      <c r="C679" s="357"/>
      <c r="D679" s="301" t="s">
        <v>5907</v>
      </c>
      <c r="E679" s="279"/>
      <c r="F679" s="1238">
        <v>0.318</v>
      </c>
      <c r="G679" s="340"/>
      <c r="H679" s="302">
        <f>IF(OR(ISNUMBER(SEARCH("[DGEN]", E638))=TRUE, ISNUMBER(SEARCH("STREET LIGHT", E638))=TRUE), 0, IF(AND(E640=0, E641=0),0, IF(AND(E641=0, E640*12&gt;250000), 0, IF(AND(E640=0, E641&gt;=50), 0, IF(E640*12&lt;=250000, F679*H677*-1, IF(E641&lt;50, F679*H677*-1, 0))))))</f>
        <v>-467.1734548904999</v>
      </c>
      <c r="I679" s="1238">
        <v>0.318</v>
      </c>
      <c r="J679" s="304"/>
      <c r="K679" s="302">
        <f>IF(OR(ISNUMBER(SEARCH("[DGEN]", E638))=TRUE, ISNUMBER(SEARCH("STREET LIGHT", E638))=TRUE), 0, IF(AND(E640=0, E641=0),0, IF(AND(E641=0, E640*12&gt;250000), 0, IF(AND(E640=0, E641&gt;=50), 0, IF(E640*12&lt;=250000, I679*K677*-1, IF(E641&lt;50, I679*K677*-1, 0))))))</f>
        <v>-467.22705681150001</v>
      </c>
      <c r="L679" s="305">
        <f>K679-H679</f>
        <v>-5.3601921000108632E-2</v>
      </c>
      <c r="M679" s="306"/>
    </row>
    <row r="680" spans="1:13" ht="13.8" hidden="1" thickBot="1" x14ac:dyDescent="0.3">
      <c r="A680" s="58" t="str">
        <f t="shared" si="97"/>
        <v>SENTINEL LIGHTING SERVICE CLASSIFICATION</v>
      </c>
      <c r="B680" s="783" t="s">
        <v>1439</v>
      </c>
      <c r="C680" s="357"/>
      <c r="D680" s="1943" t="s">
        <v>1440</v>
      </c>
      <c r="E680" s="1943"/>
      <c r="F680" s="341"/>
      <c r="G680" s="342"/>
      <c r="H680" s="312">
        <f>H677+H678+H679</f>
        <v>1192.9083187769997</v>
      </c>
      <c r="I680" s="308"/>
      <c r="J680" s="308"/>
      <c r="K680" s="307">
        <f>K677+K678+K679</f>
        <v>1193.0451890910001</v>
      </c>
      <c r="L680" s="309">
        <f>K680-H680</f>
        <v>0.13687031400036176</v>
      </c>
      <c r="M680" s="310">
        <f>IF((H680)=0,"",(L680/H680))</f>
        <v>1.1473665817058324E-4</v>
      </c>
    </row>
    <row r="681" spans="1:13" ht="13.8" hidden="1" thickBot="1" x14ac:dyDescent="0.3">
      <c r="A681" s="58" t="str">
        <f t="shared" si="97"/>
        <v>SENTINEL LIGHTING SERVICE CLASSIFICATION</v>
      </c>
      <c r="B681" s="58" t="s">
        <v>1427</v>
      </c>
      <c r="C681" s="357"/>
      <c r="D681" s="292"/>
      <c r="E681" s="293"/>
      <c r="F681" s="335"/>
      <c r="G681" s="216"/>
      <c r="H681" s="336"/>
      <c r="I681" s="335"/>
      <c r="J681" s="337"/>
      <c r="K681" s="336"/>
      <c r="L681" s="338"/>
      <c r="M681" s="219"/>
    </row>
    <row r="682" spans="1:13" x14ac:dyDescent="0.25">
      <c r="A682" s="58" t="str">
        <f t="shared" si="97"/>
        <v>SENTINEL LIGHTING SERVICE CLASSIFICATION</v>
      </c>
      <c r="B682" s="58" t="s">
        <v>1428</v>
      </c>
      <c r="C682" s="357"/>
      <c r="D682" s="296" t="s">
        <v>1441</v>
      </c>
      <c r="E682" s="279"/>
      <c r="F682" s="311"/>
      <c r="G682" s="339"/>
      <c r="H682" s="297">
        <f>SUM(H674,H667:H670,H666)</f>
        <v>1469.3644147499997</v>
      </c>
      <c r="I682" s="298"/>
      <c r="J682" s="298"/>
      <c r="K682" s="297">
        <f>SUM(K674,K667:K670,K666)</f>
        <v>1469.5329742500001</v>
      </c>
      <c r="L682" s="299">
        <f>K682-H682</f>
        <v>0.16855950000035591</v>
      </c>
      <c r="M682" s="300">
        <f>IF((H682)=0,"",(L682/H682))</f>
        <v>1.1471592636128658E-4</v>
      </c>
    </row>
    <row r="683" spans="1:13" x14ac:dyDescent="0.25">
      <c r="A683" s="58" t="str">
        <f t="shared" si="97"/>
        <v>SENTINEL LIGHTING SERVICE CLASSIFICATION</v>
      </c>
      <c r="B683" s="58" t="s">
        <v>1428</v>
      </c>
      <c r="C683" s="357"/>
      <c r="D683" s="301" t="s">
        <v>148</v>
      </c>
      <c r="E683" s="279"/>
      <c r="F683" s="311">
        <v>0.13</v>
      </c>
      <c r="G683" s="339"/>
      <c r="H683" s="302">
        <f>H682*F683</f>
        <v>191.01737391749998</v>
      </c>
      <c r="I683" s="311">
        <v>0.13</v>
      </c>
      <c r="J683" s="303"/>
      <c r="K683" s="302">
        <f>K682*I683</f>
        <v>191.03928665250001</v>
      </c>
      <c r="L683" s="305">
        <f>K683-H683</f>
        <v>2.1912735000029215E-2</v>
      </c>
      <c r="M683" s="306">
        <f>IF((H683)=0,"",(L683/H683))</f>
        <v>1.1471592636119729E-4</v>
      </c>
    </row>
    <row r="684" spans="1:13" x14ac:dyDescent="0.25">
      <c r="A684" s="58" t="str">
        <f t="shared" si="97"/>
        <v>SENTINEL LIGHTING SERVICE CLASSIFICATION</v>
      </c>
      <c r="B684" s="58" t="s">
        <v>1428</v>
      </c>
      <c r="C684" s="357"/>
      <c r="D684" s="301" t="s">
        <v>5907</v>
      </c>
      <c r="E684" s="279"/>
      <c r="F684" s="1238">
        <v>0.318</v>
      </c>
      <c r="G684" s="339"/>
      <c r="H684" s="707">
        <f>IF(OR(ISNUMBER(SEARCH("[DGEN]", E638))=TRUE, ISNUMBER(SEARCH("STREET LIGHT", E638))=TRUE), 0, IF(AND(E640=0, E641=0),0, IF(AND(E641=0, E640*12&gt;250000), 0, IF(AND(E640=0, E641&gt;=50), 0, IF(E640*12&lt;=250000, F684*H682*-1, IF(E641&lt;50, F684*H682*-1, 0))))))</f>
        <v>-467.2578838904999</v>
      </c>
      <c r="I684" s="1238">
        <v>0.318</v>
      </c>
      <c r="J684" s="303"/>
      <c r="K684" s="707">
        <f>IF(OR(ISNUMBER(SEARCH("[DGEN]", E638))=TRUE, ISNUMBER(SEARCH("STREET LIGHT", E638))=TRUE), 0, IF(AND(E640=0, E641=0),0, IF(AND(E641=0, E640*12&gt;250000), 0, IF(AND(E640=0, E641&gt;=50), 0, IF(E640*12&lt;=250000, I684*K682*-1, IF(E641&lt;50, I684*K682*-1, 0))))))</f>
        <v>-467.31148581150001</v>
      </c>
      <c r="L684" s="305"/>
      <c r="M684" s="306"/>
    </row>
    <row r="685" spans="1:13" ht="13.8" thickBot="1" x14ac:dyDescent="0.3">
      <c r="A685" s="58" t="str">
        <f t="shared" si="97"/>
        <v>SENTINEL LIGHTING SERVICE CLASSIFICATION</v>
      </c>
      <c r="B685" s="58" t="s">
        <v>1442</v>
      </c>
      <c r="C685" s="357">
        <f>B40</f>
        <v>11</v>
      </c>
      <c r="D685" s="1943" t="s">
        <v>1441</v>
      </c>
      <c r="E685" s="1943"/>
      <c r="F685" s="343"/>
      <c r="G685" s="344"/>
      <c r="H685" s="312">
        <f>SUM(H682,H683)</f>
        <v>1660.3817886674997</v>
      </c>
      <c r="I685" s="313"/>
      <c r="J685" s="313"/>
      <c r="K685" s="312">
        <f>SUM(K682,K683)</f>
        <v>1660.5722609025001</v>
      </c>
      <c r="L685" s="314">
        <f>K685-H685</f>
        <v>0.19047223500047039</v>
      </c>
      <c r="M685" s="315">
        <f>IF((H685)=0,"",(L685/H685))</f>
        <v>1.1471592636132766E-4</v>
      </c>
    </row>
    <row r="686" spans="1:13" ht="13.8" thickBot="1" x14ac:dyDescent="0.3">
      <c r="A686" s="58" t="str">
        <f t="shared" si="97"/>
        <v>SENTINEL LIGHTING SERVICE CLASSIFICATION</v>
      </c>
      <c r="B686" s="58" t="s">
        <v>1428</v>
      </c>
      <c r="C686" s="357"/>
      <c r="D686" s="292"/>
      <c r="E686" s="293"/>
      <c r="F686" s="213"/>
      <c r="G686" s="214"/>
      <c r="H686" s="215"/>
      <c r="I686" s="213"/>
      <c r="J686" s="216"/>
      <c r="K686" s="215"/>
      <c r="L686" s="218"/>
      <c r="M686" s="219"/>
    </row>
    <row r="687" spans="1:13" hidden="1" x14ac:dyDescent="0.25">
      <c r="A687" s="58" t="str">
        <f t="shared" si="97"/>
        <v>SENTINEL LIGHTING SERVICE CLASSIFICATION</v>
      </c>
      <c r="B687" s="58" t="s">
        <v>1429</v>
      </c>
      <c r="C687" s="357"/>
      <c r="D687" s="296" t="s">
        <v>1443</v>
      </c>
      <c r="E687" s="279"/>
      <c r="F687" s="311"/>
      <c r="G687" s="339"/>
      <c r="H687" s="297">
        <f>SUM(H675,H667:H670,H666)</f>
        <v>1469.3644147499997</v>
      </c>
      <c r="I687" s="298"/>
      <c r="J687" s="298"/>
      <c r="K687" s="297">
        <f>SUM(K675,K667:K670,K666)</f>
        <v>1469.5329742500001</v>
      </c>
      <c r="L687" s="299">
        <f>K687-H687</f>
        <v>0.16855950000035591</v>
      </c>
      <c r="M687" s="300">
        <f>IF((H687)=0,"",(L687/H687))</f>
        <v>1.1471592636128658E-4</v>
      </c>
    </row>
    <row r="688" spans="1:13" hidden="1" x14ac:dyDescent="0.25">
      <c r="A688" s="58" t="str">
        <f t="shared" si="97"/>
        <v>SENTINEL LIGHTING SERVICE CLASSIFICATION</v>
      </c>
      <c r="B688" s="58" t="s">
        <v>1429</v>
      </c>
      <c r="C688" s="357"/>
      <c r="D688" s="301" t="s">
        <v>148</v>
      </c>
      <c r="E688" s="279"/>
      <c r="F688" s="311">
        <v>0.13</v>
      </c>
      <c r="G688" s="339"/>
      <c r="H688" s="302">
        <f>H687*F688</f>
        <v>191.01737391749998</v>
      </c>
      <c r="I688" s="311">
        <v>0.13</v>
      </c>
      <c r="J688" s="303"/>
      <c r="K688" s="302">
        <f>K687*I688</f>
        <v>191.03928665250001</v>
      </c>
      <c r="L688" s="305">
        <f>K688-H688</f>
        <v>2.1912735000029215E-2</v>
      </c>
      <c r="M688" s="306">
        <f>IF((H688)=0,"",(L688/H688))</f>
        <v>1.1471592636119729E-4</v>
      </c>
    </row>
    <row r="689" spans="1:20" hidden="1" x14ac:dyDescent="0.25">
      <c r="A689" s="58" t="str">
        <f t="shared" si="97"/>
        <v>SENTINEL LIGHTING SERVICE CLASSIFICATION</v>
      </c>
      <c r="B689" s="58" t="s">
        <v>1429</v>
      </c>
      <c r="C689" s="357"/>
      <c r="D689" s="301" t="s">
        <v>5907</v>
      </c>
      <c r="E689" s="279"/>
      <c r="F689" s="1238">
        <v>0.318</v>
      </c>
      <c r="G689" s="339"/>
      <c r="H689" s="707">
        <f>IF(OR(ISNUMBER(SEARCH("[DGEN]", E638))=TRUE, ISNUMBER(SEARCH("STREET LIGHT", E638))=TRUE), 0, IF(AND(E640=0, E641=0),0, IF(AND(E641=0, E640*12&gt;250000), 0, IF(AND(E640=0, E641&gt;=50), 0, IF(E640*12&lt;=250000, F689*H687*-1, IF(E641&lt;50, F689*H687*-1, 0))))))</f>
        <v>-467.2578838904999</v>
      </c>
      <c r="I689" s="1238">
        <v>0.318</v>
      </c>
      <c r="J689" s="303"/>
      <c r="K689" s="707">
        <f>IF(OR(ISNUMBER(SEARCH("[DGEN]", E638))=TRUE, ISNUMBER(SEARCH("STREET LIGHT", E638))=TRUE), 0, IF(AND(E640=0, E641=0),0, IF(AND(E641=0, E640*12&gt;250000), 0, IF(AND(E640=0, E641&gt;=50), 0, IF(E640*12&lt;=250000, I689*K687*-1, IF(E641&lt;50, I689*K687*-1, 0))))))</f>
        <v>-467.31148581150001</v>
      </c>
      <c r="L689" s="305"/>
      <c r="M689" s="306"/>
    </row>
    <row r="690" spans="1:20" ht="13.8" hidden="1" thickBot="1" x14ac:dyDescent="0.3">
      <c r="A690" s="58" t="str">
        <f t="shared" si="97"/>
        <v>SENTINEL LIGHTING SERVICE CLASSIFICATION</v>
      </c>
      <c r="B690" s="58" t="s">
        <v>1444</v>
      </c>
      <c r="C690" s="357"/>
      <c r="D690" s="1943" t="s">
        <v>1443</v>
      </c>
      <c r="E690" s="1943"/>
      <c r="F690" s="343"/>
      <c r="G690" s="344"/>
      <c r="H690" s="312">
        <f>SUM(H687,H688)</f>
        <v>1660.3817886674997</v>
      </c>
      <c r="I690" s="313"/>
      <c r="J690" s="313"/>
      <c r="K690" s="312">
        <f>SUM(K687,K688)</f>
        <v>1660.5722609025001</v>
      </c>
      <c r="L690" s="314">
        <f>K690-H690</f>
        <v>0.19047223500047039</v>
      </c>
      <c r="M690" s="315">
        <f>IF((H690)=0,"",(L690/H690))</f>
        <v>1.1471592636132766E-4</v>
      </c>
    </row>
    <row r="691" spans="1:20" ht="13.8" hidden="1" thickBot="1" x14ac:dyDescent="0.3">
      <c r="A691" s="58" t="str">
        <f t="shared" si="97"/>
        <v>SENTINEL LIGHTING SERVICE CLASSIFICATION</v>
      </c>
      <c r="B691" s="58" t="s">
        <v>1429</v>
      </c>
      <c r="C691" s="357"/>
      <c r="D691" s="292"/>
      <c r="E691" s="293"/>
      <c r="F691" s="316"/>
      <c r="G691" s="317"/>
      <c r="H691" s="318"/>
      <c r="I691" s="316"/>
      <c r="J691" s="294"/>
      <c r="K691" s="318"/>
      <c r="L691" s="319"/>
      <c r="M691" s="295"/>
    </row>
    <row r="694" spans="1:20" x14ac:dyDescent="0.25">
      <c r="C694" s="58"/>
      <c r="D694" s="264" t="s">
        <v>1432</v>
      </c>
      <c r="E694" s="1952">
        <f>D41</f>
        <v>0</v>
      </c>
      <c r="F694" s="1952"/>
      <c r="G694" s="1952"/>
      <c r="H694" s="1952"/>
      <c r="I694" s="1952"/>
      <c r="J694" s="1952"/>
      <c r="K694" s="58" t="str">
        <f>IF(N41="DEMAND - INTERVAL","RTSR - INTERVAL METERED","")</f>
        <v/>
      </c>
      <c r="T694" s="58" t="s">
        <v>603</v>
      </c>
    </row>
    <row r="695" spans="1:20" x14ac:dyDescent="0.25">
      <c r="C695" s="58"/>
      <c r="D695" s="264" t="s">
        <v>1433</v>
      </c>
      <c r="E695" s="1953">
        <f>H41</f>
        <v>0</v>
      </c>
      <c r="F695" s="1953"/>
      <c r="G695" s="1953"/>
      <c r="H695" s="265"/>
      <c r="I695" s="265"/>
    </row>
    <row r="696" spans="1:20" ht="15.6" x14ac:dyDescent="0.25">
      <c r="C696" s="58"/>
      <c r="D696" s="264" t="s">
        <v>153</v>
      </c>
      <c r="E696" s="1626">
        <f>K41</f>
        <v>0</v>
      </c>
      <c r="F696" s="267" t="s">
        <v>154</v>
      </c>
      <c r="G696" s="783"/>
      <c r="J696" s="268"/>
      <c r="K696" s="268"/>
      <c r="L696" s="268"/>
      <c r="M696" s="268"/>
      <c r="N696" s="268"/>
    </row>
    <row r="697" spans="1:20" ht="15.6" x14ac:dyDescent="0.3">
      <c r="C697" s="58"/>
      <c r="D697" s="264" t="s">
        <v>360</v>
      </c>
      <c r="E697" s="1626">
        <f>L41</f>
        <v>0</v>
      </c>
      <c r="F697" s="269" t="s">
        <v>155</v>
      </c>
      <c r="G697" s="270"/>
      <c r="H697" s="271"/>
      <c r="I697" s="271"/>
      <c r="J697" s="271"/>
    </row>
    <row r="698" spans="1:20" x14ac:dyDescent="0.25">
      <c r="C698" s="58"/>
      <c r="D698" s="264" t="s">
        <v>1464</v>
      </c>
      <c r="E698" s="272">
        <f>I41</f>
        <v>1.0452999999999999</v>
      </c>
    </row>
    <row r="699" spans="1:20" x14ac:dyDescent="0.25">
      <c r="C699" s="58"/>
      <c r="D699" s="264" t="s">
        <v>1465</v>
      </c>
      <c r="E699" s="272">
        <f>J41</f>
        <v>1.0452999999999999</v>
      </c>
    </row>
    <row r="700" spans="1:20" x14ac:dyDescent="0.25">
      <c r="C700" s="58"/>
      <c r="D700" s="783"/>
    </row>
    <row r="701" spans="1:20" x14ac:dyDescent="0.25">
      <c r="C701" s="58"/>
      <c r="D701" s="783"/>
      <c r="E701" s="273"/>
      <c r="F701" s="1944" t="s">
        <v>1943</v>
      </c>
      <c r="G701" s="1954"/>
      <c r="H701" s="1945"/>
      <c r="I701" s="1944" t="s">
        <v>341</v>
      </c>
      <c r="J701" s="1954"/>
      <c r="K701" s="1945"/>
      <c r="L701" s="1944" t="s">
        <v>342</v>
      </c>
      <c r="M701" s="1945"/>
    </row>
    <row r="702" spans="1:20" x14ac:dyDescent="0.25">
      <c r="C702" s="58"/>
      <c r="D702" s="783"/>
      <c r="E702" s="1946"/>
      <c r="F702" s="274" t="s">
        <v>343</v>
      </c>
      <c r="G702" s="274" t="s">
        <v>146</v>
      </c>
      <c r="H702" s="275" t="s">
        <v>344</v>
      </c>
      <c r="I702" s="274" t="s">
        <v>343</v>
      </c>
      <c r="J702" s="276" t="s">
        <v>146</v>
      </c>
      <c r="K702" s="275" t="s">
        <v>344</v>
      </c>
      <c r="L702" s="1948" t="s">
        <v>345</v>
      </c>
      <c r="M702" s="1950" t="s">
        <v>346</v>
      </c>
    </row>
    <row r="703" spans="1:20" x14ac:dyDescent="0.25">
      <c r="C703" s="58"/>
      <c r="D703" s="783"/>
      <c r="E703" s="1947"/>
      <c r="F703" s="277" t="s">
        <v>347</v>
      </c>
      <c r="G703" s="277"/>
      <c r="H703" s="278" t="s">
        <v>347</v>
      </c>
      <c r="I703" s="277" t="s">
        <v>347</v>
      </c>
      <c r="J703" s="278"/>
      <c r="K703" s="278" t="s">
        <v>347</v>
      </c>
      <c r="L703" s="1949"/>
      <c r="M703" s="1951"/>
    </row>
    <row r="704" spans="1:20" x14ac:dyDescent="0.25">
      <c r="A704" s="58">
        <f>$E694</f>
        <v>0</v>
      </c>
      <c r="C704" s="357"/>
      <c r="D704" s="68" t="s">
        <v>348</v>
      </c>
      <c r="E704" s="322"/>
      <c r="F704" s="345">
        <v>0</v>
      </c>
      <c r="G704" s="304">
        <v>1</v>
      </c>
      <c r="H704" s="346">
        <f>G704*F704</f>
        <v>0</v>
      </c>
      <c r="I704" s="982">
        <v>0</v>
      </c>
      <c r="J704" s="989">
        <f>G704</f>
        <v>1</v>
      </c>
      <c r="K704" s="988">
        <f>J704*I704</f>
        <v>0</v>
      </c>
      <c r="L704" s="329">
        <f t="shared" ref="L704:L725" si="102">K704-H704</f>
        <v>0</v>
      </c>
      <c r="M704" s="347" t="str">
        <f>IF(ISERROR(L704/H704), "", L704/H704)</f>
        <v/>
      </c>
    </row>
    <row r="705" spans="1:14" x14ac:dyDescent="0.25">
      <c r="A705" s="58">
        <f>A704</f>
        <v>0</v>
      </c>
      <c r="C705" s="357"/>
      <c r="D705" s="68" t="s">
        <v>80</v>
      </c>
      <c r="E705" s="322"/>
      <c r="F705" s="326">
        <v>0</v>
      </c>
      <c r="G705" s="304">
        <f>IF($E697&gt;0, $E697, $E696)</f>
        <v>0</v>
      </c>
      <c r="H705" s="346">
        <f t="shared" ref="H705:H717" si="103">G705*F705</f>
        <v>0</v>
      </c>
      <c r="I705" s="983">
        <v>0</v>
      </c>
      <c r="J705" s="989">
        <f>IF($E697&gt;0, $E697, $E696)</f>
        <v>0</v>
      </c>
      <c r="K705" s="988">
        <f>J705*I705</f>
        <v>0</v>
      </c>
      <c r="L705" s="329">
        <f t="shared" si="102"/>
        <v>0</v>
      </c>
      <c r="M705" s="347" t="str">
        <f t="shared" ref="M705:M715" si="104">IF(ISERROR(L705/H705), "", L705/H705)</f>
        <v/>
      </c>
    </row>
    <row r="706" spans="1:14" hidden="1" x14ac:dyDescent="0.25">
      <c r="A706" s="58">
        <f t="shared" ref="A706:A747" si="105">A705</f>
        <v>0</v>
      </c>
      <c r="C706" s="357"/>
      <c r="D706" s="68" t="s">
        <v>4311</v>
      </c>
      <c r="E706" s="322"/>
      <c r="F706" s="326"/>
      <c r="G706" s="304">
        <f>IF($E697&gt;0, $E697, $E696)</f>
        <v>0</v>
      </c>
      <c r="H706" s="346">
        <v>0</v>
      </c>
      <c r="I706" s="983"/>
      <c r="J706" s="989">
        <f>IF($E697&gt;0, $E697, $E696)</f>
        <v>0</v>
      </c>
      <c r="K706" s="988">
        <v>0</v>
      </c>
      <c r="L706" s="329"/>
      <c r="M706" s="347"/>
    </row>
    <row r="707" spans="1:14" hidden="1" x14ac:dyDescent="0.25">
      <c r="A707" s="58">
        <f t="shared" si="105"/>
        <v>0</v>
      </c>
      <c r="C707" s="357"/>
      <c r="D707" s="68" t="s">
        <v>3743</v>
      </c>
      <c r="E707" s="322"/>
      <c r="F707" s="326"/>
      <c r="G707" s="304">
        <f>IF($E697&gt;0, $E697, $E696)</f>
        <v>0</v>
      </c>
      <c r="H707" s="346">
        <v>0</v>
      </c>
      <c r="I707" s="983"/>
      <c r="J707" s="992">
        <f>IF($E697&gt;0, $E697, $E696)</f>
        <v>0</v>
      </c>
      <c r="K707" s="988">
        <v>0</v>
      </c>
      <c r="L707" s="329">
        <f>K707-H707</f>
        <v>0</v>
      </c>
      <c r="M707" s="347" t="str">
        <f>IF(ISERROR(L707/H707), "", L707/H707)</f>
        <v/>
      </c>
    </row>
    <row r="708" spans="1:14" x14ac:dyDescent="0.25">
      <c r="A708" s="58">
        <f t="shared" si="105"/>
        <v>0</v>
      </c>
      <c r="C708" s="357"/>
      <c r="D708" s="69" t="s">
        <v>358</v>
      </c>
      <c r="E708" s="322"/>
      <c r="F708" s="345">
        <v>0</v>
      </c>
      <c r="G708" s="304">
        <v>1</v>
      </c>
      <c r="H708" s="346">
        <f t="shared" si="103"/>
        <v>0</v>
      </c>
      <c r="I708" s="982">
        <v>0</v>
      </c>
      <c r="J708" s="989">
        <f>G708</f>
        <v>1</v>
      </c>
      <c r="K708" s="988">
        <f t="shared" ref="K708:K715" si="106">J708*I708</f>
        <v>0</v>
      </c>
      <c r="L708" s="329">
        <f t="shared" si="102"/>
        <v>0</v>
      </c>
      <c r="M708" s="347" t="str">
        <f t="shared" si="104"/>
        <v/>
      </c>
    </row>
    <row r="709" spans="1:14" x14ac:dyDescent="0.25">
      <c r="A709" s="58">
        <f t="shared" si="105"/>
        <v>0</v>
      </c>
      <c r="C709" s="357"/>
      <c r="D709" s="68" t="s">
        <v>359</v>
      </c>
      <c r="E709" s="322"/>
      <c r="F709" s="326">
        <v>0</v>
      </c>
      <c r="G709" s="304">
        <f>IF($E697&gt;0, $E697, $E696)</f>
        <v>0</v>
      </c>
      <c r="H709" s="346">
        <f t="shared" si="103"/>
        <v>0</v>
      </c>
      <c r="I709" s="983">
        <v>0</v>
      </c>
      <c r="J709" s="989">
        <f>IF($E697&gt;0, $E697, $E696)</f>
        <v>0</v>
      </c>
      <c r="K709" s="988">
        <f t="shared" si="106"/>
        <v>0</v>
      </c>
      <c r="L709" s="329">
        <f t="shared" si="102"/>
        <v>0</v>
      </c>
      <c r="M709" s="347" t="str">
        <f t="shared" si="104"/>
        <v/>
      </c>
    </row>
    <row r="710" spans="1:14" x14ac:dyDescent="0.25">
      <c r="A710" s="58">
        <f t="shared" si="105"/>
        <v>0</v>
      </c>
      <c r="B710" s="280" t="s">
        <v>1434</v>
      </c>
      <c r="C710" s="357">
        <f>B41</f>
        <v>12</v>
      </c>
      <c r="D710" s="281" t="s">
        <v>349</v>
      </c>
      <c r="E710" s="282"/>
      <c r="F710" s="348"/>
      <c r="G710" s="717"/>
      <c r="H710" s="718">
        <f>SUM(H704:H709)</f>
        <v>0</v>
      </c>
      <c r="I710" s="349"/>
      <c r="J710" s="289"/>
      <c r="K710" s="718">
        <f>SUM(K704:K709)</f>
        <v>0</v>
      </c>
      <c r="L710" s="283">
        <f t="shared" si="102"/>
        <v>0</v>
      </c>
      <c r="M710" s="284" t="str">
        <f>IF((H710)=0,"",(L710/H710))</f>
        <v/>
      </c>
    </row>
    <row r="711" spans="1:14" x14ac:dyDescent="0.25">
      <c r="A711" s="58">
        <f t="shared" si="105"/>
        <v>0</v>
      </c>
      <c r="C711" s="357"/>
      <c r="D711" s="72" t="s">
        <v>421</v>
      </c>
      <c r="E711" s="322"/>
      <c r="F711" s="326">
        <f>IF((E696*12&gt;=150000), 0, IF(E695="RPP",(F727*0.64+F728*0.18+F729*0.18),IF(E695="Non-RPP (Retailer)",F730,F731)))</f>
        <v>0.1368</v>
      </c>
      <c r="G711" s="332">
        <f>IF(F711=0, 0, $E696*E698-E696)</f>
        <v>0</v>
      </c>
      <c r="H711" s="346">
        <f>G711*F711</f>
        <v>0</v>
      </c>
      <c r="I711" s="983">
        <f>IF((E696*12&gt;=150000), 0, IF(E695="RPP",(I727*0.64+I728*0.18+I729*0.18),IF(E695="Non-RPP (Retailer)",I730,I731)))</f>
        <v>0.1368</v>
      </c>
      <c r="J711" s="987">
        <f>IF(I711=0, 0, E696*E699-E696)</f>
        <v>0</v>
      </c>
      <c r="K711" s="988">
        <f>J711*I711</f>
        <v>0</v>
      </c>
      <c r="L711" s="329">
        <f>K711-H711</f>
        <v>0</v>
      </c>
      <c r="M711" s="347" t="str">
        <f>IF(ISERROR(L711/H711), "", L711/H711)</f>
        <v/>
      </c>
    </row>
    <row r="712" spans="1:14" ht="26.4" x14ac:dyDescent="0.25">
      <c r="A712" s="58">
        <f t="shared" si="105"/>
        <v>0</v>
      </c>
      <c r="C712" s="357"/>
      <c r="D712" s="72" t="s">
        <v>357</v>
      </c>
      <c r="E712" s="322"/>
      <c r="F712" s="326">
        <v>0</v>
      </c>
      <c r="G712" s="333">
        <f>IF($E697&gt;0, $E697, $E696)</f>
        <v>0</v>
      </c>
      <c r="H712" s="346">
        <f t="shared" si="103"/>
        <v>0</v>
      </c>
      <c r="I712" s="983">
        <v>0</v>
      </c>
      <c r="J712" s="991">
        <f>IF($E697&gt;0, $E697, $E696)</f>
        <v>0</v>
      </c>
      <c r="K712" s="988">
        <f t="shared" si="106"/>
        <v>0</v>
      </c>
      <c r="L712" s="329">
        <f t="shared" si="102"/>
        <v>0</v>
      </c>
      <c r="M712" s="347" t="str">
        <f t="shared" si="104"/>
        <v/>
      </c>
    </row>
    <row r="713" spans="1:14" x14ac:dyDescent="0.25">
      <c r="A713" s="58">
        <f t="shared" si="105"/>
        <v>0</v>
      </c>
      <c r="C713" s="357"/>
      <c r="D713" s="72" t="s">
        <v>2299</v>
      </c>
      <c r="E713" s="322"/>
      <c r="F713" s="326">
        <v>0</v>
      </c>
      <c r="G713" s="333">
        <f>IF($E697&gt;0, $E697, $E696)</f>
        <v>0</v>
      </c>
      <c r="H713" s="346">
        <f>G713*F713</f>
        <v>0</v>
      </c>
      <c r="I713" s="983">
        <v>0</v>
      </c>
      <c r="J713" s="991">
        <f>IF($E697&gt;0, $E697, $E696)</f>
        <v>0</v>
      </c>
      <c r="K713" s="988">
        <f>J713*I713</f>
        <v>0</v>
      </c>
      <c r="L713" s="329">
        <f t="shared" si="102"/>
        <v>0</v>
      </c>
      <c r="M713" s="347" t="str">
        <f t="shared" si="104"/>
        <v/>
      </c>
    </row>
    <row r="714" spans="1:14" x14ac:dyDescent="0.25">
      <c r="A714" s="58">
        <f t="shared" si="105"/>
        <v>0</v>
      </c>
      <c r="C714" s="357"/>
      <c r="D714" s="72" t="s">
        <v>1953</v>
      </c>
      <c r="E714" s="322"/>
      <c r="F714" s="326">
        <v>0</v>
      </c>
      <c r="G714" s="333">
        <f>E696</f>
        <v>0</v>
      </c>
      <c r="H714" s="346">
        <f>G714*F714</f>
        <v>0</v>
      </c>
      <c r="I714" s="983">
        <v>0</v>
      </c>
      <c r="J714" s="991">
        <f>E696</f>
        <v>0</v>
      </c>
      <c r="K714" s="988">
        <f t="shared" si="106"/>
        <v>0</v>
      </c>
      <c r="L714" s="329">
        <f t="shared" si="102"/>
        <v>0</v>
      </c>
      <c r="M714" s="347" t="str">
        <f t="shared" si="104"/>
        <v/>
      </c>
    </row>
    <row r="715" spans="1:14" x14ac:dyDescent="0.25">
      <c r="A715" s="58">
        <f t="shared" si="105"/>
        <v>0</v>
      </c>
      <c r="C715" s="357"/>
      <c r="D715" s="74" t="s">
        <v>141</v>
      </c>
      <c r="E715" s="322"/>
      <c r="F715" s="326">
        <v>0</v>
      </c>
      <c r="G715" s="333">
        <f>IF($E697&gt;0, $E697, $E696)</f>
        <v>0</v>
      </c>
      <c r="H715" s="346">
        <f t="shared" si="103"/>
        <v>0</v>
      </c>
      <c r="I715" s="983"/>
      <c r="J715" s="991">
        <f>IF($E697&gt;0, $E697, $E696)</f>
        <v>0</v>
      </c>
      <c r="K715" s="988">
        <f t="shared" si="106"/>
        <v>0</v>
      </c>
      <c r="L715" s="329">
        <f t="shared" si="102"/>
        <v>0</v>
      </c>
      <c r="M715" s="347" t="str">
        <f t="shared" si="104"/>
        <v/>
      </c>
    </row>
    <row r="716" spans="1:14" ht="26.4" x14ac:dyDescent="0.25">
      <c r="A716" s="58">
        <f t="shared" si="105"/>
        <v>0</v>
      </c>
      <c r="C716" s="357"/>
      <c r="D716" s="391" t="s">
        <v>4312</v>
      </c>
      <c r="E716" s="322"/>
      <c r="F716" s="768">
        <f>IF(OR(ISNUMBER(SEARCH("RESIDENTIAL", E694))=TRUE, ISNUMBER(SEARCH("GENERAL SERVICE LESS THAN 50", E694))=TRUE), SME, 0)</f>
        <v>0</v>
      </c>
      <c r="G716" s="304">
        <v>1</v>
      </c>
      <c r="H716" s="346">
        <f>G716*F716</f>
        <v>0</v>
      </c>
      <c r="I716" s="984">
        <f>IF(OR(ISNUMBER(SEARCH("RESIDENTIAL", E694))=TRUE, ISNUMBER(SEARCH("GENERAL SERVICE LESS THAN 50", E694))=TRUE), SME, 0)</f>
        <v>0</v>
      </c>
      <c r="J716" s="992">
        <v>1</v>
      </c>
      <c r="K716" s="988">
        <f>J716*I716</f>
        <v>0</v>
      </c>
      <c r="L716" s="329">
        <f t="shared" si="102"/>
        <v>0</v>
      </c>
      <c r="M716" s="347" t="str">
        <f>IF(ISERROR(L716/H716), "", L716/H716)</f>
        <v/>
      </c>
    </row>
    <row r="717" spans="1:14" x14ac:dyDescent="0.25">
      <c r="A717" s="58">
        <f t="shared" si="105"/>
        <v>0</v>
      </c>
      <c r="C717" s="357"/>
      <c r="D717" s="74" t="s">
        <v>3742</v>
      </c>
      <c r="E717" s="322"/>
      <c r="F717" s="345">
        <v>0</v>
      </c>
      <c r="G717" s="304">
        <v>1</v>
      </c>
      <c r="H717" s="346">
        <f t="shared" si="103"/>
        <v>0</v>
      </c>
      <c r="I717" s="982">
        <v>0</v>
      </c>
      <c r="J717" s="992">
        <v>1</v>
      </c>
      <c r="K717" s="988">
        <f>J717*I717</f>
        <v>0</v>
      </c>
      <c r="L717" s="329">
        <f>K717-H717</f>
        <v>0</v>
      </c>
      <c r="M717" s="347" t="str">
        <f>IF(ISERROR(L717/H717), "", L717/H717)</f>
        <v/>
      </c>
    </row>
    <row r="718" spans="1:14" x14ac:dyDescent="0.25">
      <c r="A718" s="58">
        <f t="shared" si="105"/>
        <v>0</v>
      </c>
      <c r="C718" s="357"/>
      <c r="D718" s="74" t="s">
        <v>3741</v>
      </c>
      <c r="E718" s="322"/>
      <c r="F718" s="326">
        <v>0</v>
      </c>
      <c r="G718" s="333">
        <f>IF($E697&gt;0, $E697, $E696)</f>
        <v>0</v>
      </c>
      <c r="H718" s="346">
        <f>G718*F718</f>
        <v>0</v>
      </c>
      <c r="I718" s="983">
        <v>0</v>
      </c>
      <c r="J718" s="991">
        <f>IF($E697&gt;0, $E697, $E696)</f>
        <v>0</v>
      </c>
      <c r="K718" s="988">
        <f>J718*I718</f>
        <v>0</v>
      </c>
      <c r="L718" s="329">
        <f t="shared" si="102"/>
        <v>0</v>
      </c>
      <c r="M718" s="347" t="str">
        <f>IF(ISERROR(L718/H718), "", L718/H718)</f>
        <v/>
      </c>
    </row>
    <row r="719" spans="1:14" ht="26.4" x14ac:dyDescent="0.25">
      <c r="A719" s="58">
        <f t="shared" si="105"/>
        <v>0</v>
      </c>
      <c r="B719" s="783" t="s">
        <v>1435</v>
      </c>
      <c r="C719" s="357">
        <f>B41</f>
        <v>12</v>
      </c>
      <c r="D719" s="286" t="s">
        <v>1466</v>
      </c>
      <c r="E719" s="287"/>
      <c r="F719" s="323"/>
      <c r="G719" s="330"/>
      <c r="H719" s="288">
        <f>SUM(H710:H718)</f>
        <v>0</v>
      </c>
      <c r="I719" s="324"/>
      <c r="J719" s="331"/>
      <c r="K719" s="288">
        <f>SUM(K710:K718)</f>
        <v>0</v>
      </c>
      <c r="L719" s="283">
        <f t="shared" si="102"/>
        <v>0</v>
      </c>
      <c r="M719" s="284" t="str">
        <f>IF((H719)=0,"",(L719/H719))</f>
        <v/>
      </c>
    </row>
    <row r="720" spans="1:14" x14ac:dyDescent="0.25">
      <c r="A720" s="58">
        <f t="shared" si="105"/>
        <v>0</v>
      </c>
      <c r="C720" s="357"/>
      <c r="D720" s="76" t="s">
        <v>351</v>
      </c>
      <c r="E720" s="322"/>
      <c r="F720" s="326">
        <v>0</v>
      </c>
      <c r="G720" s="332">
        <f>IF($E697&gt;0, $E697, $E696*$E698)</f>
        <v>0</v>
      </c>
      <c r="H720" s="346">
        <f>G720*F720</f>
        <v>0</v>
      </c>
      <c r="I720" s="325">
        <v>0</v>
      </c>
      <c r="J720" s="987">
        <f>IF($E697&gt;0, $E697, $E696*$E699)</f>
        <v>0</v>
      </c>
      <c r="K720" s="988">
        <f>J720*I720</f>
        <v>0</v>
      </c>
      <c r="L720" s="329">
        <f t="shared" si="102"/>
        <v>0</v>
      </c>
      <c r="M720" s="347" t="str">
        <f>IF(ISERROR(L720/H720), "", L720/H720)</f>
        <v/>
      </c>
      <c r="N720" s="1090" t="str">
        <f>IF(ISERROR(ABS(M720)), "", IF(ABS(M720)&gt;=4%, "In the manager's summary, discuss the reasoning for the change in RTSR rates", ""))</f>
        <v/>
      </c>
    </row>
    <row r="721" spans="1:14" ht="26.4" x14ac:dyDescent="0.25">
      <c r="A721" s="58">
        <f t="shared" si="105"/>
        <v>0</v>
      </c>
      <c r="C721" s="357"/>
      <c r="D721" s="169" t="s">
        <v>361</v>
      </c>
      <c r="E721" s="322"/>
      <c r="F721" s="326">
        <v>0</v>
      </c>
      <c r="G721" s="332">
        <f>IF($E697&gt;0, $E697, $E696*$E698)</f>
        <v>0</v>
      </c>
      <c r="H721" s="346">
        <f>G721*F721</f>
        <v>0</v>
      </c>
      <c r="I721" s="325">
        <v>0</v>
      </c>
      <c r="J721" s="987">
        <f>IF($E697&gt;0, $E697, $E696*$E699)</f>
        <v>0</v>
      </c>
      <c r="K721" s="988">
        <f>J721*I721</f>
        <v>0</v>
      </c>
      <c r="L721" s="329">
        <f t="shared" si="102"/>
        <v>0</v>
      </c>
      <c r="M721" s="347" t="str">
        <f>IF(ISERROR(L721/H721), "", L721/H721)</f>
        <v/>
      </c>
      <c r="N721" s="1090" t="str">
        <f>IF(ISERROR(ABS(M721)), "", IF(ABS(M721)&gt;=4%, "In the manager's summary, discuss the reasoning for the change in RTSR rates", ""))</f>
        <v/>
      </c>
    </row>
    <row r="722" spans="1:14" ht="26.4" x14ac:dyDescent="0.25">
      <c r="A722" s="58">
        <f t="shared" si="105"/>
        <v>0</v>
      </c>
      <c r="B722" s="783" t="s">
        <v>1436</v>
      </c>
      <c r="C722" s="357">
        <f>B41</f>
        <v>12</v>
      </c>
      <c r="D722" s="286" t="s">
        <v>1467</v>
      </c>
      <c r="E722" s="282"/>
      <c r="F722" s="323"/>
      <c r="G722" s="330"/>
      <c r="H722" s="288">
        <f>SUM(H719:H721)</f>
        <v>0</v>
      </c>
      <c r="I722" s="324"/>
      <c r="J722" s="289"/>
      <c r="K722" s="288">
        <f>SUM(K719:K721)</f>
        <v>0</v>
      </c>
      <c r="L722" s="283">
        <f t="shared" si="102"/>
        <v>0</v>
      </c>
      <c r="M722" s="284" t="str">
        <f>IF((H722)=0,"",(L722/H722))</f>
        <v/>
      </c>
    </row>
    <row r="723" spans="1:14" ht="26.4" x14ac:dyDescent="0.25">
      <c r="A723" s="58">
        <f t="shared" si="105"/>
        <v>0</v>
      </c>
      <c r="C723" s="357"/>
      <c r="D723" s="290" t="s">
        <v>352</v>
      </c>
      <c r="E723" s="322"/>
      <c r="F723" s="326">
        <f>IF(AND('1. Information Sheet'!$F$26:$H$26&gt;='17. Regulatory Charges'!$D$14,'1. Information Sheet'!$F$26:$H$26&lt;'17. Regulatory Charges'!$E$14),'17. Regulatory Charges'!$D$15+'17. Regulatory Charges'!$D$16,'17. Regulatory Charges'!$E$15+'17. Regulatory Charges'!$E$16)</f>
        <v>3.4000000000000002E-3</v>
      </c>
      <c r="G723" s="332">
        <f>E696*E698</f>
        <v>0</v>
      </c>
      <c r="H723" s="334">
        <f t="shared" ref="H723:H729" si="107">G723*F723</f>
        <v>0</v>
      </c>
      <c r="I723" s="983">
        <f>'17. Regulatory Charges'!$E$15+'17. Regulatory Charges'!$E$16</f>
        <v>3.4000000000000002E-3</v>
      </c>
      <c r="J723" s="987">
        <f>E696*E699</f>
        <v>0</v>
      </c>
      <c r="K723" s="988">
        <f t="shared" ref="K723:K729" si="108">J723*I723</f>
        <v>0</v>
      </c>
      <c r="L723" s="329">
        <f t="shared" si="102"/>
        <v>0</v>
      </c>
      <c r="M723" s="347" t="str">
        <f t="shared" ref="M723:M731" si="109">IF(ISERROR(L723/H723), "", L723/H723)</f>
        <v/>
      </c>
    </row>
    <row r="724" spans="1:14" ht="26.4" x14ac:dyDescent="0.25">
      <c r="A724" s="58">
        <f t="shared" si="105"/>
        <v>0</v>
      </c>
      <c r="C724" s="357"/>
      <c r="D724" s="290" t="s">
        <v>353</v>
      </c>
      <c r="E724" s="322"/>
      <c r="F724" s="326">
        <f>IF(AND('1. Information Sheet'!$F$26:$H$26&gt;='17. Regulatory Charges'!$D$14,'1. Information Sheet'!$F$26:$H$26&lt;'17. Regulatory Charges'!$D$14),'17. Regulatory Charges'!$D$17,'17. Regulatory Charges'!$E$17)</f>
        <v>5.0000000000000001E-4</v>
      </c>
      <c r="G724" s="332">
        <f>E696*E698</f>
        <v>0</v>
      </c>
      <c r="H724" s="334">
        <f t="shared" si="107"/>
        <v>0</v>
      </c>
      <c r="I724" s="983">
        <f>'17. Regulatory Charges'!$E$17</f>
        <v>5.0000000000000001E-4</v>
      </c>
      <c r="J724" s="987">
        <f>E696*E699</f>
        <v>0</v>
      </c>
      <c r="K724" s="988">
        <f t="shared" si="108"/>
        <v>0</v>
      </c>
      <c r="L724" s="329">
        <f t="shared" si="102"/>
        <v>0</v>
      </c>
      <c r="M724" s="347" t="str">
        <f t="shared" si="109"/>
        <v/>
      </c>
    </row>
    <row r="725" spans="1:14" x14ac:dyDescent="0.25">
      <c r="A725" s="58">
        <f t="shared" si="105"/>
        <v>0</v>
      </c>
      <c r="C725" s="357"/>
      <c r="D725" s="279" t="s">
        <v>354</v>
      </c>
      <c r="E725" s="322"/>
      <c r="F725" s="768">
        <f>IF(AND('1. Information Sheet'!$F$26:$H$26&gt;='17. Regulatory Charges'!$D$14,'1. Information Sheet'!$F$26:$H$26&lt;'17. Regulatory Charges'!$D$14),'17. Regulatory Charges'!$D$18,'17. Regulatory Charges'!$E$18)</f>
        <v>0.25</v>
      </c>
      <c r="G725" s="304">
        <v>1</v>
      </c>
      <c r="H725" s="334">
        <f t="shared" si="107"/>
        <v>0.25</v>
      </c>
      <c r="I725" s="984">
        <f>'17. Regulatory Charges'!$E$18</f>
        <v>0.25</v>
      </c>
      <c r="J725" s="989">
        <v>1</v>
      </c>
      <c r="K725" s="988">
        <f t="shared" si="108"/>
        <v>0.25</v>
      </c>
      <c r="L725" s="329">
        <f t="shared" si="102"/>
        <v>0</v>
      </c>
      <c r="M725" s="347">
        <f t="shared" si="109"/>
        <v>0</v>
      </c>
    </row>
    <row r="726" spans="1:14" ht="26.4" hidden="1" x14ac:dyDescent="0.25">
      <c r="A726" s="58">
        <f t="shared" si="105"/>
        <v>0</v>
      </c>
      <c r="C726" s="357"/>
      <c r="D726" s="290" t="s">
        <v>1468</v>
      </c>
      <c r="E726" s="322"/>
      <c r="F726" s="326"/>
      <c r="G726" s="332"/>
      <c r="H726" s="334"/>
      <c r="I726" s="983"/>
      <c r="J726" s="987"/>
      <c r="K726" s="988"/>
      <c r="L726" s="329"/>
      <c r="M726" s="347"/>
    </row>
    <row r="727" spans="1:14" x14ac:dyDescent="0.25">
      <c r="A727" s="58">
        <f t="shared" si="105"/>
        <v>0</v>
      </c>
      <c r="B727" s="783" t="s">
        <v>1427</v>
      </c>
      <c r="C727" s="357"/>
      <c r="D727" s="285" t="s">
        <v>220</v>
      </c>
      <c r="E727" s="322"/>
      <c r="F727" s="327">
        <f>OffPeak</f>
        <v>0.105</v>
      </c>
      <c r="G727" s="291">
        <f>IF(AND(E696*12&gt;=150000),0.64*E696*E698,0.64*E696)</f>
        <v>0</v>
      </c>
      <c r="H727" s="334">
        <f t="shared" si="107"/>
        <v>0</v>
      </c>
      <c r="I727" s="985">
        <f>OffPeak</f>
        <v>0.105</v>
      </c>
      <c r="J727" s="990">
        <f>IF(AND(E696*12&gt;=150000),0.64*E696*E699,0.64*E696)</f>
        <v>0</v>
      </c>
      <c r="K727" s="988">
        <f t="shared" si="108"/>
        <v>0</v>
      </c>
      <c r="L727" s="329">
        <f>K727-H727</f>
        <v>0</v>
      </c>
      <c r="M727" s="347" t="str">
        <f t="shared" si="109"/>
        <v/>
      </c>
    </row>
    <row r="728" spans="1:14" x14ac:dyDescent="0.25">
      <c r="A728" s="58">
        <f t="shared" si="105"/>
        <v>0</v>
      </c>
      <c r="B728" s="783" t="s">
        <v>1427</v>
      </c>
      <c r="C728" s="357"/>
      <c r="D728" s="285" t="s">
        <v>221</v>
      </c>
      <c r="E728" s="322"/>
      <c r="F728" s="327">
        <f>MidPeak</f>
        <v>0.15</v>
      </c>
      <c r="G728" s="291">
        <f>IF(AND(E696*12&gt;=150000),0.18*E696*E698,0.18*E696)</f>
        <v>0</v>
      </c>
      <c r="H728" s="334">
        <f t="shared" si="107"/>
        <v>0</v>
      </c>
      <c r="I728" s="985">
        <f>MidPeak</f>
        <v>0.15</v>
      </c>
      <c r="J728" s="990">
        <f>IF(AND(E696*12&gt;=150000),0.18*E696*E699,0.18*E696)</f>
        <v>0</v>
      </c>
      <c r="K728" s="988">
        <f t="shared" si="108"/>
        <v>0</v>
      </c>
      <c r="L728" s="329">
        <f>K728-H728</f>
        <v>0</v>
      </c>
      <c r="M728" s="347" t="str">
        <f t="shared" si="109"/>
        <v/>
      </c>
    </row>
    <row r="729" spans="1:14" x14ac:dyDescent="0.25">
      <c r="A729" s="58">
        <f t="shared" si="105"/>
        <v>0</v>
      </c>
      <c r="B729" s="783" t="s">
        <v>1427</v>
      </c>
      <c r="C729" s="357"/>
      <c r="D729" s="783" t="s">
        <v>222</v>
      </c>
      <c r="E729" s="322"/>
      <c r="F729" s="327">
        <f>OnPeak</f>
        <v>0.217</v>
      </c>
      <c r="G729" s="291">
        <f>IF(AND(E696*12&gt;=150000),0.18*E696*E698,0.18*E696)</f>
        <v>0</v>
      </c>
      <c r="H729" s="334">
        <f t="shared" si="107"/>
        <v>0</v>
      </c>
      <c r="I729" s="985">
        <f>OnPeak</f>
        <v>0.217</v>
      </c>
      <c r="J729" s="990">
        <f>IF(AND(E696*12&gt;=150000),0.18*E696*E699,0.18*E696)</f>
        <v>0</v>
      </c>
      <c r="K729" s="988">
        <f t="shared" si="108"/>
        <v>0</v>
      </c>
      <c r="L729" s="329">
        <f>K729-H729</f>
        <v>0</v>
      </c>
      <c r="M729" s="347" t="str">
        <f t="shared" si="109"/>
        <v/>
      </c>
    </row>
    <row r="730" spans="1:14" x14ac:dyDescent="0.25">
      <c r="A730" s="58">
        <f t="shared" si="105"/>
        <v>0</v>
      </c>
      <c r="B730" s="58" t="s">
        <v>1428</v>
      </c>
      <c r="C730" s="357"/>
      <c r="D730" s="285" t="s">
        <v>1437</v>
      </c>
      <c r="E730" s="322"/>
      <c r="F730" s="328">
        <v>0.1368</v>
      </c>
      <c r="G730" s="291">
        <f>IF(AND(E696*12&gt;=150000),E696*E698,E696)</f>
        <v>0</v>
      </c>
      <c r="H730" s="334">
        <f>G730*F730</f>
        <v>0</v>
      </c>
      <c r="I730" s="986">
        <f>F730</f>
        <v>0.1368</v>
      </c>
      <c r="J730" s="990">
        <f>IF(AND(E696*12&gt;=150000),E696*E699,E696)</f>
        <v>0</v>
      </c>
      <c r="K730" s="988">
        <f>J730*I730</f>
        <v>0</v>
      </c>
      <c r="L730" s="329">
        <f>K730-H730</f>
        <v>0</v>
      </c>
      <c r="M730" s="347" t="str">
        <f t="shared" si="109"/>
        <v/>
      </c>
    </row>
    <row r="731" spans="1:14" ht="13.8" thickBot="1" x14ac:dyDescent="0.3">
      <c r="A731" s="58">
        <f t="shared" si="105"/>
        <v>0</v>
      </c>
      <c r="B731" s="58" t="s">
        <v>1429</v>
      </c>
      <c r="C731" s="357"/>
      <c r="D731" s="285" t="s">
        <v>1438</v>
      </c>
      <c r="E731" s="322"/>
      <c r="F731" s="328">
        <v>0.1368</v>
      </c>
      <c r="G731" s="291">
        <f>IF(AND(E696*12&gt;=150000),E696*E698,E696)</f>
        <v>0</v>
      </c>
      <c r="H731" s="334">
        <f>G731*F731</f>
        <v>0</v>
      </c>
      <c r="I731" s="986">
        <f>F731</f>
        <v>0.1368</v>
      </c>
      <c r="J731" s="990">
        <f>IF(AND(E696*12&gt;=150000),E696*E699,E696)</f>
        <v>0</v>
      </c>
      <c r="K731" s="988">
        <f>J731*I731</f>
        <v>0</v>
      </c>
      <c r="L731" s="329">
        <f>K731-H731</f>
        <v>0</v>
      </c>
      <c r="M731" s="347" t="str">
        <f t="shared" si="109"/>
        <v/>
      </c>
    </row>
    <row r="732" spans="1:14" ht="13.8" thickBot="1" x14ac:dyDescent="0.3">
      <c r="A732" s="58">
        <f t="shared" si="105"/>
        <v>0</v>
      </c>
      <c r="B732" s="783"/>
      <c r="C732" s="357"/>
      <c r="D732" s="292"/>
      <c r="E732" s="293"/>
      <c r="F732" s="335"/>
      <c r="G732" s="216"/>
      <c r="H732" s="336"/>
      <c r="I732" s="335"/>
      <c r="J732" s="337"/>
      <c r="K732" s="336"/>
      <c r="L732" s="338"/>
      <c r="M732" s="219"/>
    </row>
    <row r="733" spans="1:14" x14ac:dyDescent="0.25">
      <c r="A733" s="58">
        <f t="shared" si="105"/>
        <v>0</v>
      </c>
      <c r="B733" s="783" t="s">
        <v>1427</v>
      </c>
      <c r="C733" s="357"/>
      <c r="D733" s="296" t="s">
        <v>356</v>
      </c>
      <c r="E733" s="279"/>
      <c r="F733" s="311"/>
      <c r="G733" s="339"/>
      <c r="H733" s="297">
        <f>SUM(H723:H729,H722)</f>
        <v>0.25</v>
      </c>
      <c r="I733" s="298"/>
      <c r="J733" s="298"/>
      <c r="K733" s="297">
        <f>SUM(K723:K729,K722)</f>
        <v>0.25</v>
      </c>
      <c r="L733" s="299">
        <f>K733-H733</f>
        <v>0</v>
      </c>
      <c r="M733" s="300">
        <f>IF((H733)=0,"",(L733/H733))</f>
        <v>0</v>
      </c>
    </row>
    <row r="734" spans="1:14" x14ac:dyDescent="0.25">
      <c r="A734" s="58">
        <f t="shared" si="105"/>
        <v>0</v>
      </c>
      <c r="B734" s="783" t="s">
        <v>1427</v>
      </c>
      <c r="C734" s="357"/>
      <c r="D734" s="301" t="s">
        <v>148</v>
      </c>
      <c r="E734" s="279"/>
      <c r="F734" s="311">
        <v>0.13</v>
      </c>
      <c r="G734" s="340"/>
      <c r="H734" s="302">
        <f>H733*F734</f>
        <v>3.2500000000000001E-2</v>
      </c>
      <c r="I734" s="303">
        <v>0.13</v>
      </c>
      <c r="J734" s="304"/>
      <c r="K734" s="302">
        <f>K733*I734</f>
        <v>3.2500000000000001E-2</v>
      </c>
      <c r="L734" s="305">
        <f>K734-H734</f>
        <v>0</v>
      </c>
      <c r="M734" s="306">
        <f>IF((H734)=0,"",(L734/H734))</f>
        <v>0</v>
      </c>
    </row>
    <row r="735" spans="1:14" x14ac:dyDescent="0.25">
      <c r="A735" s="58">
        <f t="shared" si="105"/>
        <v>0</v>
      </c>
      <c r="B735" s="783" t="s">
        <v>1427</v>
      </c>
      <c r="C735" s="357"/>
      <c r="D735" s="301" t="s">
        <v>5907</v>
      </c>
      <c r="E735" s="279"/>
      <c r="F735" s="1238">
        <v>0.318</v>
      </c>
      <c r="G735" s="340"/>
      <c r="H735" s="302">
        <f>IF(OR(ISNUMBER(SEARCH("[DGEN]", E694))=TRUE, ISNUMBER(SEARCH("STREET LIGHT", E694))=TRUE), 0, IF(AND(E696=0, E697=0),0, IF(AND(E697=0, E696*12&gt;250000), 0, IF(AND(E696=0, E697&gt;=50), 0, IF(E696*12&lt;=250000, F735*H733*-1, IF(E697&lt;50, F735*H733*-1, 0))))))</f>
        <v>0</v>
      </c>
      <c r="I735" s="1238">
        <v>0.318</v>
      </c>
      <c r="J735" s="304"/>
      <c r="K735" s="302">
        <f>IF(OR(ISNUMBER(SEARCH("[DGEN]", E694))=TRUE, ISNUMBER(SEARCH("STREET LIGHT", E694))=TRUE), 0, IF(AND(E696=0, E697=0),0, IF(AND(E697=0, E696*12&gt;250000), 0, IF(AND(E696=0, E697&gt;=50), 0, IF(E696*12&lt;=250000, I735*K733*-1, IF(E697&lt;50, I735*K733*-1, 0))))))</f>
        <v>0</v>
      </c>
      <c r="L735" s="305">
        <f>K735-H735</f>
        <v>0</v>
      </c>
      <c r="M735" s="306"/>
    </row>
    <row r="736" spans="1:14" ht="13.8" thickBot="1" x14ac:dyDescent="0.3">
      <c r="A736" s="58">
        <f t="shared" si="105"/>
        <v>0</v>
      </c>
      <c r="B736" s="783" t="s">
        <v>1439</v>
      </c>
      <c r="C736" s="357"/>
      <c r="D736" s="1943" t="s">
        <v>1440</v>
      </c>
      <c r="E736" s="1943"/>
      <c r="F736" s="341"/>
      <c r="G736" s="342"/>
      <c r="H736" s="312">
        <f>H733+H734+H735</f>
        <v>0.28249999999999997</v>
      </c>
      <c r="I736" s="308"/>
      <c r="J736" s="308"/>
      <c r="K736" s="307">
        <f>K733+K734+K735</f>
        <v>0.28249999999999997</v>
      </c>
      <c r="L736" s="309">
        <f>K736-H736</f>
        <v>0</v>
      </c>
      <c r="M736" s="310">
        <f>IF((H736)=0,"",(L736/H736))</f>
        <v>0</v>
      </c>
    </row>
    <row r="737" spans="1:20" ht="13.8" thickBot="1" x14ac:dyDescent="0.3">
      <c r="A737" s="58">
        <f t="shared" si="105"/>
        <v>0</v>
      </c>
      <c r="B737" s="58" t="s">
        <v>1427</v>
      </c>
      <c r="C737" s="357"/>
      <c r="D737" s="292"/>
      <c r="E737" s="293"/>
      <c r="F737" s="335"/>
      <c r="G737" s="216"/>
      <c r="H737" s="336"/>
      <c r="I737" s="335"/>
      <c r="J737" s="337"/>
      <c r="K737" s="336"/>
      <c r="L737" s="338"/>
      <c r="M737" s="219"/>
    </row>
    <row r="738" spans="1:20" x14ac:dyDescent="0.25">
      <c r="A738" s="58">
        <f t="shared" si="105"/>
        <v>0</v>
      </c>
      <c r="B738" s="58" t="s">
        <v>1428</v>
      </c>
      <c r="C738" s="357"/>
      <c r="D738" s="296" t="s">
        <v>1441</v>
      </c>
      <c r="E738" s="279"/>
      <c r="F738" s="311"/>
      <c r="G738" s="339"/>
      <c r="H738" s="297">
        <f>SUM(H730,H723:H726,H722)</f>
        <v>0.25</v>
      </c>
      <c r="I738" s="298"/>
      <c r="J738" s="298"/>
      <c r="K738" s="297">
        <f>SUM(K730,K723:K726,K722)</f>
        <v>0.25</v>
      </c>
      <c r="L738" s="299">
        <f>K738-H738</f>
        <v>0</v>
      </c>
      <c r="M738" s="300">
        <f>IF((H738)=0,"",(L738/H738))</f>
        <v>0</v>
      </c>
    </row>
    <row r="739" spans="1:20" x14ac:dyDescent="0.25">
      <c r="A739" s="58">
        <f t="shared" si="105"/>
        <v>0</v>
      </c>
      <c r="B739" s="58" t="s">
        <v>1428</v>
      </c>
      <c r="C739" s="357"/>
      <c r="D739" s="301" t="s">
        <v>148</v>
      </c>
      <c r="E739" s="279"/>
      <c r="F739" s="311">
        <v>0.13</v>
      </c>
      <c r="G739" s="339"/>
      <c r="H739" s="302">
        <f>H738*F739</f>
        <v>3.2500000000000001E-2</v>
      </c>
      <c r="I739" s="311">
        <v>0.13</v>
      </c>
      <c r="J739" s="303"/>
      <c r="K739" s="302">
        <f>K738*I739</f>
        <v>3.2500000000000001E-2</v>
      </c>
      <c r="L739" s="305">
        <f>K739-H739</f>
        <v>0</v>
      </c>
      <c r="M739" s="306">
        <f>IF((H739)=0,"",(L739/H739))</f>
        <v>0</v>
      </c>
    </row>
    <row r="740" spans="1:20" x14ac:dyDescent="0.25">
      <c r="A740" s="58">
        <f t="shared" si="105"/>
        <v>0</v>
      </c>
      <c r="B740" s="58" t="s">
        <v>1428</v>
      </c>
      <c r="C740" s="357"/>
      <c r="D740" s="301" t="s">
        <v>5907</v>
      </c>
      <c r="E740" s="279"/>
      <c r="F740" s="1238">
        <v>0.318</v>
      </c>
      <c r="G740" s="339"/>
      <c r="H740" s="707">
        <f>IF(OR(ISNUMBER(SEARCH("[DGEN]", E694))=TRUE, ISNUMBER(SEARCH("STREET LIGHT", E694))=TRUE), 0, IF(AND(E696=0, E697=0),0, IF(AND(E697=0, E696*12&gt;250000), 0, IF(AND(E696=0, E697&gt;=50), 0, IF(E696*12&lt;=250000, F740*H738*-1, IF(E697&lt;50, F740*H738*-1, 0))))))</f>
        <v>0</v>
      </c>
      <c r="I740" s="1238">
        <v>0.318</v>
      </c>
      <c r="J740" s="303"/>
      <c r="K740" s="707">
        <f>IF(OR(ISNUMBER(SEARCH("[DGEN]", E694))=TRUE, ISNUMBER(SEARCH("STREET LIGHT", E694))=TRUE), 0, IF(AND(E696=0, E697=0),0, IF(AND(E697=0, E696*12&gt;250000), 0, IF(AND(E696=0, E697&gt;=50), 0, IF(E696*12&lt;=250000, I740*K738*-1, IF(E697&lt;50, I740*K738*-1, 0))))))</f>
        <v>0</v>
      </c>
      <c r="L740" s="305"/>
      <c r="M740" s="306"/>
    </row>
    <row r="741" spans="1:20" ht="13.8" thickBot="1" x14ac:dyDescent="0.3">
      <c r="A741" s="58">
        <f t="shared" si="105"/>
        <v>0</v>
      </c>
      <c r="B741" s="58" t="s">
        <v>1442</v>
      </c>
      <c r="C741" s="357"/>
      <c r="D741" s="1943" t="s">
        <v>1441</v>
      </c>
      <c r="E741" s="1943"/>
      <c r="F741" s="343"/>
      <c r="G741" s="344"/>
      <c r="H741" s="312">
        <f>SUM(H738,H739)</f>
        <v>0.28249999999999997</v>
      </c>
      <c r="I741" s="313"/>
      <c r="J741" s="313"/>
      <c r="K741" s="312">
        <f>SUM(K738,K739)</f>
        <v>0.28249999999999997</v>
      </c>
      <c r="L741" s="314">
        <f>K741-H741</f>
        <v>0</v>
      </c>
      <c r="M741" s="315">
        <f>IF((H741)=0,"",(L741/H741))</f>
        <v>0</v>
      </c>
    </row>
    <row r="742" spans="1:20" ht="13.8" thickBot="1" x14ac:dyDescent="0.3">
      <c r="A742" s="58">
        <f t="shared" si="105"/>
        <v>0</v>
      </c>
      <c r="B742" s="58" t="s">
        <v>1428</v>
      </c>
      <c r="C742" s="357"/>
      <c r="D742" s="292"/>
      <c r="E742" s="293"/>
      <c r="F742" s="213"/>
      <c r="G742" s="214"/>
      <c r="H742" s="215"/>
      <c r="I742" s="213"/>
      <c r="J742" s="216"/>
      <c r="K742" s="215"/>
      <c r="L742" s="218"/>
      <c r="M742" s="219"/>
    </row>
    <row r="743" spans="1:20" x14ac:dyDescent="0.25">
      <c r="A743" s="58">
        <f t="shared" si="105"/>
        <v>0</v>
      </c>
      <c r="B743" s="58" t="s">
        <v>1429</v>
      </c>
      <c r="C743" s="357"/>
      <c r="D743" s="296" t="s">
        <v>1443</v>
      </c>
      <c r="E743" s="279"/>
      <c r="F743" s="311"/>
      <c r="G743" s="339"/>
      <c r="H743" s="297">
        <f>SUM(H731,H723:H726,H722)</f>
        <v>0.25</v>
      </c>
      <c r="I743" s="298"/>
      <c r="J743" s="298"/>
      <c r="K743" s="297">
        <f>SUM(K731,K723:K726,K722)</f>
        <v>0.25</v>
      </c>
      <c r="L743" s="299">
        <f>K743-H743</f>
        <v>0</v>
      </c>
      <c r="M743" s="300">
        <f>IF((H743)=0,"",(L743/H743))</f>
        <v>0</v>
      </c>
    </row>
    <row r="744" spans="1:20" x14ac:dyDescent="0.25">
      <c r="A744" s="58">
        <f t="shared" si="105"/>
        <v>0</v>
      </c>
      <c r="B744" s="58" t="s">
        <v>1429</v>
      </c>
      <c r="C744" s="357"/>
      <c r="D744" s="301" t="s">
        <v>148</v>
      </c>
      <c r="E744" s="279"/>
      <c r="F744" s="311">
        <v>0.13</v>
      </c>
      <c r="G744" s="339"/>
      <c r="H744" s="302">
        <f>H743*F744</f>
        <v>3.2500000000000001E-2</v>
      </c>
      <c r="I744" s="311">
        <v>0.13</v>
      </c>
      <c r="J744" s="303"/>
      <c r="K744" s="302">
        <f>K743*I744</f>
        <v>3.2500000000000001E-2</v>
      </c>
      <c r="L744" s="305">
        <f>K744-H744</f>
        <v>0</v>
      </c>
      <c r="M744" s="306">
        <f>IF((H744)=0,"",(L744/H744))</f>
        <v>0</v>
      </c>
    </row>
    <row r="745" spans="1:20" x14ac:dyDescent="0.25">
      <c r="A745" s="58">
        <f t="shared" si="105"/>
        <v>0</v>
      </c>
      <c r="B745" s="58" t="s">
        <v>1429</v>
      </c>
      <c r="C745" s="357"/>
      <c r="D745" s="301" t="s">
        <v>5907</v>
      </c>
      <c r="E745" s="279"/>
      <c r="F745" s="1238">
        <v>0.318</v>
      </c>
      <c r="G745" s="339"/>
      <c r="H745" s="707">
        <f>IF(OR(ISNUMBER(SEARCH("[DGEN]", E694))=TRUE, ISNUMBER(SEARCH("STREET LIGHT", E694))=TRUE), 0, IF(AND(E696=0, E697=0),0, IF(AND(E697=0, E696*12&gt;250000), 0, IF(AND(E696=0, E697&gt;=50), 0, IF(E696*12&lt;=250000, F745*H743*-1, IF(E697&lt;50, F745*H743*-1, 0))))))</f>
        <v>0</v>
      </c>
      <c r="I745" s="1238">
        <v>0.318</v>
      </c>
      <c r="J745" s="303"/>
      <c r="K745" s="707">
        <f>IF(OR(ISNUMBER(SEARCH("[DGEN]", E694))=TRUE, ISNUMBER(SEARCH("STREET LIGHT", E694))=TRUE), 0, IF(AND(E696=0, E697=0),0, IF(AND(E697=0, E696*12&gt;250000), 0, IF(AND(E696=0, E697&gt;=50), 0, IF(E696*12&lt;=250000, I745*K743*-1, IF(E697&lt;50, I745*K743*-1, 0))))))</f>
        <v>0</v>
      </c>
      <c r="L745" s="305"/>
      <c r="M745" s="306"/>
    </row>
    <row r="746" spans="1:20" ht="13.8" thickBot="1" x14ac:dyDescent="0.3">
      <c r="A746" s="58">
        <f t="shared" si="105"/>
        <v>0</v>
      </c>
      <c r="B746" s="58" t="s">
        <v>1444</v>
      </c>
      <c r="C746" s="357"/>
      <c r="D746" s="1943" t="s">
        <v>1443</v>
      </c>
      <c r="E746" s="1943"/>
      <c r="F746" s="343"/>
      <c r="G746" s="344"/>
      <c r="H746" s="312">
        <f>SUM(H743,H744)</f>
        <v>0.28249999999999997</v>
      </c>
      <c r="I746" s="313"/>
      <c r="J746" s="313"/>
      <c r="K746" s="312">
        <f>SUM(K743,K744)</f>
        <v>0.28249999999999997</v>
      </c>
      <c r="L746" s="314">
        <f>K746-H746</f>
        <v>0</v>
      </c>
      <c r="M746" s="315">
        <f>IF((H746)=0,"",(L746/H746))</f>
        <v>0</v>
      </c>
    </row>
    <row r="747" spans="1:20" ht="13.8" thickBot="1" x14ac:dyDescent="0.3">
      <c r="A747" s="58">
        <f t="shared" si="105"/>
        <v>0</v>
      </c>
      <c r="B747" s="58" t="s">
        <v>1429</v>
      </c>
      <c r="C747" s="357"/>
      <c r="D747" s="292"/>
      <c r="E747" s="293"/>
      <c r="F747" s="316"/>
      <c r="G747" s="317"/>
      <c r="H747" s="318"/>
      <c r="I747" s="316"/>
      <c r="J747" s="294"/>
      <c r="K747" s="318"/>
      <c r="L747" s="319"/>
      <c r="M747" s="295"/>
    </row>
    <row r="750" spans="1:20" x14ac:dyDescent="0.25">
      <c r="C750" s="58"/>
      <c r="D750" s="264" t="s">
        <v>1432</v>
      </c>
      <c r="E750" s="1952">
        <f>D42</f>
        <v>0</v>
      </c>
      <c r="F750" s="1952"/>
      <c r="G750" s="1952"/>
      <c r="H750" s="1952"/>
      <c r="I750" s="1952"/>
      <c r="J750" s="1952"/>
      <c r="K750" s="58" t="str">
        <f>IF(N42="DEMAND - INTERVAL","RTSR - INTERVAL METERED","")</f>
        <v/>
      </c>
      <c r="T750" s="58" t="s">
        <v>603</v>
      </c>
    </row>
    <row r="751" spans="1:20" x14ac:dyDescent="0.25">
      <c r="C751" s="58"/>
      <c r="D751" s="264" t="s">
        <v>1433</v>
      </c>
      <c r="E751" s="1953">
        <f>H42</f>
        <v>0</v>
      </c>
      <c r="F751" s="1953"/>
      <c r="G751" s="1953"/>
      <c r="H751" s="265"/>
      <c r="I751" s="265"/>
    </row>
    <row r="752" spans="1:20" ht="15.6" x14ac:dyDescent="0.25">
      <c r="C752" s="58"/>
      <c r="D752" s="264" t="s">
        <v>153</v>
      </c>
      <c r="E752" s="1626">
        <f>K42</f>
        <v>0</v>
      </c>
      <c r="F752" s="267" t="s">
        <v>154</v>
      </c>
      <c r="G752" s="783"/>
      <c r="J752" s="268"/>
      <c r="K752" s="268"/>
      <c r="L752" s="268"/>
      <c r="M752" s="268"/>
      <c r="N752" s="268"/>
    </row>
    <row r="753" spans="1:13" ht="15.6" x14ac:dyDescent="0.3">
      <c r="C753" s="58"/>
      <c r="D753" s="264" t="s">
        <v>360</v>
      </c>
      <c r="E753" s="1626">
        <f>L42</f>
        <v>0</v>
      </c>
      <c r="F753" s="269" t="s">
        <v>155</v>
      </c>
      <c r="G753" s="270"/>
      <c r="H753" s="271"/>
      <c r="I753" s="271"/>
      <c r="J753" s="271"/>
    </row>
    <row r="754" spans="1:13" x14ac:dyDescent="0.25">
      <c r="C754" s="58"/>
      <c r="D754" s="264" t="s">
        <v>1464</v>
      </c>
      <c r="E754" s="272">
        <f>I42</f>
        <v>1.0452999999999999</v>
      </c>
    </row>
    <row r="755" spans="1:13" x14ac:dyDescent="0.25">
      <c r="C755" s="58"/>
      <c r="D755" s="264" t="s">
        <v>1465</v>
      </c>
      <c r="E755" s="272">
        <f>J42</f>
        <v>1.0452999999999999</v>
      </c>
    </row>
    <row r="756" spans="1:13" x14ac:dyDescent="0.25">
      <c r="C756" s="58"/>
      <c r="D756" s="783"/>
    </row>
    <row r="757" spans="1:13" x14ac:dyDescent="0.25">
      <c r="C757" s="58"/>
      <c r="D757" s="783"/>
      <c r="E757" s="273"/>
      <c r="F757" s="1944" t="s">
        <v>1943</v>
      </c>
      <c r="G757" s="1954"/>
      <c r="H757" s="1945"/>
      <c r="I757" s="1944" t="s">
        <v>341</v>
      </c>
      <c r="J757" s="1954"/>
      <c r="K757" s="1945"/>
      <c r="L757" s="1944" t="s">
        <v>342</v>
      </c>
      <c r="M757" s="1945"/>
    </row>
    <row r="758" spans="1:13" x14ac:dyDescent="0.25">
      <c r="C758" s="58"/>
      <c r="D758" s="783"/>
      <c r="E758" s="1946"/>
      <c r="F758" s="274" t="s">
        <v>343</v>
      </c>
      <c r="G758" s="274" t="s">
        <v>146</v>
      </c>
      <c r="H758" s="275" t="s">
        <v>344</v>
      </c>
      <c r="I758" s="274" t="s">
        <v>343</v>
      </c>
      <c r="J758" s="276" t="s">
        <v>146</v>
      </c>
      <c r="K758" s="275" t="s">
        <v>344</v>
      </c>
      <c r="L758" s="1948" t="s">
        <v>345</v>
      </c>
      <c r="M758" s="1950" t="s">
        <v>346</v>
      </c>
    </row>
    <row r="759" spans="1:13" x14ac:dyDescent="0.25">
      <c r="C759" s="58"/>
      <c r="D759" s="783"/>
      <c r="E759" s="1947"/>
      <c r="F759" s="277" t="s">
        <v>347</v>
      </c>
      <c r="G759" s="277"/>
      <c r="H759" s="278" t="s">
        <v>347</v>
      </c>
      <c r="I759" s="277" t="s">
        <v>347</v>
      </c>
      <c r="J759" s="278"/>
      <c r="K759" s="278" t="s">
        <v>347</v>
      </c>
      <c r="L759" s="1949"/>
      <c r="M759" s="1951"/>
    </row>
    <row r="760" spans="1:13" x14ac:dyDescent="0.25">
      <c r="A760" s="58">
        <f>$E750</f>
        <v>0</v>
      </c>
      <c r="C760" s="357"/>
      <c r="D760" s="68" t="s">
        <v>348</v>
      </c>
      <c r="E760" s="322"/>
      <c r="F760" s="345">
        <v>0</v>
      </c>
      <c r="G760" s="304">
        <v>1</v>
      </c>
      <c r="H760" s="346">
        <f>G760*F760</f>
        <v>0</v>
      </c>
      <c r="I760" s="982">
        <v>0</v>
      </c>
      <c r="J760" s="989">
        <f>G760</f>
        <v>1</v>
      </c>
      <c r="K760" s="988">
        <f>J760*I760</f>
        <v>0</v>
      </c>
      <c r="L760" s="329">
        <f t="shared" ref="L760:L781" si="110">K760-H760</f>
        <v>0</v>
      </c>
      <c r="M760" s="347" t="str">
        <f>IF(ISERROR(L760/H760), "", L760/H760)</f>
        <v/>
      </c>
    </row>
    <row r="761" spans="1:13" x14ac:dyDescent="0.25">
      <c r="A761" s="58">
        <f>A760</f>
        <v>0</v>
      </c>
      <c r="C761" s="357"/>
      <c r="D761" s="68" t="s">
        <v>80</v>
      </c>
      <c r="E761" s="322"/>
      <c r="F761" s="326">
        <v>0</v>
      </c>
      <c r="G761" s="304">
        <f>IF($E753&gt;0, $E753, $E752)</f>
        <v>0</v>
      </c>
      <c r="H761" s="346">
        <f t="shared" ref="H761:H773" si="111">G761*F761</f>
        <v>0</v>
      </c>
      <c r="I761" s="983">
        <v>0</v>
      </c>
      <c r="J761" s="989">
        <f>IF($E753&gt;0, $E753, $E752)</f>
        <v>0</v>
      </c>
      <c r="K761" s="988">
        <f>J761*I761</f>
        <v>0</v>
      </c>
      <c r="L761" s="329">
        <f t="shared" si="110"/>
        <v>0</v>
      </c>
      <c r="M761" s="347" t="str">
        <f t="shared" ref="M761:M771" si="112">IF(ISERROR(L761/H761), "", L761/H761)</f>
        <v/>
      </c>
    </row>
    <row r="762" spans="1:13" hidden="1" x14ac:dyDescent="0.25">
      <c r="A762" s="58">
        <f t="shared" ref="A762:A803" si="113">A761</f>
        <v>0</v>
      </c>
      <c r="C762" s="357"/>
      <c r="D762" s="68" t="s">
        <v>4311</v>
      </c>
      <c r="E762" s="322"/>
      <c r="F762" s="326"/>
      <c r="G762" s="304">
        <f>IF($E753&gt;0, $E753, $E752)</f>
        <v>0</v>
      </c>
      <c r="H762" s="346">
        <v>0</v>
      </c>
      <c r="I762" s="983"/>
      <c r="J762" s="989">
        <f>IF($E753&gt;0, $E753, $E752)</f>
        <v>0</v>
      </c>
      <c r="K762" s="988">
        <v>0</v>
      </c>
      <c r="L762" s="329"/>
      <c r="M762" s="347"/>
    </row>
    <row r="763" spans="1:13" hidden="1" x14ac:dyDescent="0.25">
      <c r="A763" s="58">
        <f t="shared" si="113"/>
        <v>0</v>
      </c>
      <c r="C763" s="357"/>
      <c r="D763" s="68" t="s">
        <v>3743</v>
      </c>
      <c r="E763" s="322"/>
      <c r="F763" s="326"/>
      <c r="G763" s="304">
        <f>IF($E753&gt;0, $E753, $E752)</f>
        <v>0</v>
      </c>
      <c r="H763" s="346">
        <v>0</v>
      </c>
      <c r="I763" s="983"/>
      <c r="J763" s="992">
        <f>IF($E753&gt;0, $E753, $E752)</f>
        <v>0</v>
      </c>
      <c r="K763" s="988">
        <v>0</v>
      </c>
      <c r="L763" s="329">
        <f>K763-H763</f>
        <v>0</v>
      </c>
      <c r="M763" s="347" t="str">
        <f>IF(ISERROR(L763/H763), "", L763/H763)</f>
        <v/>
      </c>
    </row>
    <row r="764" spans="1:13" x14ac:dyDescent="0.25">
      <c r="A764" s="58">
        <f t="shared" si="113"/>
        <v>0</v>
      </c>
      <c r="C764" s="357"/>
      <c r="D764" s="69" t="s">
        <v>358</v>
      </c>
      <c r="E764" s="322"/>
      <c r="F764" s="345">
        <v>0</v>
      </c>
      <c r="G764" s="304">
        <v>1</v>
      </c>
      <c r="H764" s="346">
        <f t="shared" si="111"/>
        <v>0</v>
      </c>
      <c r="I764" s="982">
        <v>0</v>
      </c>
      <c r="J764" s="989">
        <f>G764</f>
        <v>1</v>
      </c>
      <c r="K764" s="988">
        <f t="shared" ref="K764:K771" si="114">J764*I764</f>
        <v>0</v>
      </c>
      <c r="L764" s="329">
        <f t="shared" si="110"/>
        <v>0</v>
      </c>
      <c r="M764" s="347" t="str">
        <f t="shared" si="112"/>
        <v/>
      </c>
    </row>
    <row r="765" spans="1:13" x14ac:dyDescent="0.25">
      <c r="A765" s="58">
        <f t="shared" si="113"/>
        <v>0</v>
      </c>
      <c r="C765" s="357"/>
      <c r="D765" s="68" t="s">
        <v>359</v>
      </c>
      <c r="E765" s="322"/>
      <c r="F765" s="326">
        <v>0</v>
      </c>
      <c r="G765" s="304">
        <f>IF($E753&gt;0, $E753, $E752)</f>
        <v>0</v>
      </c>
      <c r="H765" s="346">
        <f t="shared" si="111"/>
        <v>0</v>
      </c>
      <c r="I765" s="983">
        <v>0</v>
      </c>
      <c r="J765" s="989">
        <f>IF($E753&gt;0, $E753, $E752)</f>
        <v>0</v>
      </c>
      <c r="K765" s="988">
        <f t="shared" si="114"/>
        <v>0</v>
      </c>
      <c r="L765" s="329">
        <f t="shared" si="110"/>
        <v>0</v>
      </c>
      <c r="M765" s="347" t="str">
        <f t="shared" si="112"/>
        <v/>
      </c>
    </row>
    <row r="766" spans="1:13" x14ac:dyDescent="0.25">
      <c r="A766" s="58">
        <f t="shared" si="113"/>
        <v>0</v>
      </c>
      <c r="B766" s="280" t="s">
        <v>1434</v>
      </c>
      <c r="C766" s="357">
        <f>B42</f>
        <v>13</v>
      </c>
      <c r="D766" s="281" t="s">
        <v>349</v>
      </c>
      <c r="E766" s="282"/>
      <c r="F766" s="348"/>
      <c r="G766" s="717"/>
      <c r="H766" s="718">
        <f>SUM(H760:H765)</f>
        <v>0</v>
      </c>
      <c r="I766" s="349"/>
      <c r="J766" s="289"/>
      <c r="K766" s="718">
        <f>SUM(K760:K765)</f>
        <v>0</v>
      </c>
      <c r="L766" s="283">
        <f t="shared" si="110"/>
        <v>0</v>
      </c>
      <c r="M766" s="284" t="str">
        <f>IF((H766)=0,"",(L766/H766))</f>
        <v/>
      </c>
    </row>
    <row r="767" spans="1:13" x14ac:dyDescent="0.25">
      <c r="A767" s="58">
        <f t="shared" si="113"/>
        <v>0</v>
      </c>
      <c r="C767" s="357"/>
      <c r="D767" s="72" t="s">
        <v>421</v>
      </c>
      <c r="E767" s="322"/>
      <c r="F767" s="326">
        <f>IF((E752*12&gt;=150000), 0, IF(E751="RPP",(F783*0.64+F784*0.18+F785*0.18),IF(E751="Non-RPP (Retailer)",F786,F787)))</f>
        <v>0.1368</v>
      </c>
      <c r="G767" s="332">
        <f>IF(F767=0, 0, $E752*E754-E752)</f>
        <v>0</v>
      </c>
      <c r="H767" s="346">
        <f>G767*F767</f>
        <v>0</v>
      </c>
      <c r="I767" s="983">
        <f>IF((E752*12&gt;=150000), 0, IF(E751="RPP",(I783*0.64+I784*0.18+I785*0.18),IF(E751="Non-RPP (Retailer)",I786,I787)))</f>
        <v>0.1368</v>
      </c>
      <c r="J767" s="987">
        <f>IF(I767=0, 0, E752*E755-E752)</f>
        <v>0</v>
      </c>
      <c r="K767" s="988">
        <f>J767*I767</f>
        <v>0</v>
      </c>
      <c r="L767" s="329">
        <f>K767-H767</f>
        <v>0</v>
      </c>
      <c r="M767" s="347" t="str">
        <f>IF(ISERROR(L767/H767), "", L767/H767)</f>
        <v/>
      </c>
    </row>
    <row r="768" spans="1:13" ht="26.4" x14ac:dyDescent="0.25">
      <c r="A768" s="58">
        <f t="shared" si="113"/>
        <v>0</v>
      </c>
      <c r="C768" s="357"/>
      <c r="D768" s="72" t="s">
        <v>357</v>
      </c>
      <c r="E768" s="322"/>
      <c r="F768" s="326">
        <v>0</v>
      </c>
      <c r="G768" s="333">
        <f>IF($E753&gt;0, $E753, $E752)</f>
        <v>0</v>
      </c>
      <c r="H768" s="346">
        <f t="shared" si="111"/>
        <v>0</v>
      </c>
      <c r="I768" s="983">
        <v>0</v>
      </c>
      <c r="J768" s="991">
        <f>IF($E753&gt;0, $E753, $E752)</f>
        <v>0</v>
      </c>
      <c r="K768" s="988">
        <f t="shared" si="114"/>
        <v>0</v>
      </c>
      <c r="L768" s="329">
        <f t="shared" si="110"/>
        <v>0</v>
      </c>
      <c r="M768" s="347" t="str">
        <f t="shared" si="112"/>
        <v/>
      </c>
    </row>
    <row r="769" spans="1:14" x14ac:dyDescent="0.25">
      <c r="A769" s="58">
        <f t="shared" si="113"/>
        <v>0</v>
      </c>
      <c r="C769" s="357"/>
      <c r="D769" s="72" t="s">
        <v>2299</v>
      </c>
      <c r="E769" s="322"/>
      <c r="F769" s="326">
        <v>0</v>
      </c>
      <c r="G769" s="333">
        <f>IF($E753&gt;0, $E753, $E752)</f>
        <v>0</v>
      </c>
      <c r="H769" s="346">
        <f>G769*F769</f>
        <v>0</v>
      </c>
      <c r="I769" s="983">
        <v>0</v>
      </c>
      <c r="J769" s="991">
        <f>IF($E753&gt;0, $E753, $E752)</f>
        <v>0</v>
      </c>
      <c r="K769" s="988">
        <f>J769*I769</f>
        <v>0</v>
      </c>
      <c r="L769" s="329">
        <f t="shared" si="110"/>
        <v>0</v>
      </c>
      <c r="M769" s="347" t="str">
        <f t="shared" si="112"/>
        <v/>
      </c>
    </row>
    <row r="770" spans="1:14" x14ac:dyDescent="0.25">
      <c r="A770" s="58">
        <f t="shared" si="113"/>
        <v>0</v>
      </c>
      <c r="C770" s="357"/>
      <c r="D770" s="72" t="s">
        <v>1953</v>
      </c>
      <c r="E770" s="322"/>
      <c r="F770" s="326">
        <v>0</v>
      </c>
      <c r="G770" s="333">
        <f>E752</f>
        <v>0</v>
      </c>
      <c r="H770" s="346">
        <f>G770*F770</f>
        <v>0</v>
      </c>
      <c r="I770" s="983">
        <v>0</v>
      </c>
      <c r="J770" s="991">
        <f>E752</f>
        <v>0</v>
      </c>
      <c r="K770" s="988">
        <f t="shared" si="114"/>
        <v>0</v>
      </c>
      <c r="L770" s="329">
        <f t="shared" si="110"/>
        <v>0</v>
      </c>
      <c r="M770" s="347" t="str">
        <f t="shared" si="112"/>
        <v/>
      </c>
    </row>
    <row r="771" spans="1:14" x14ac:dyDescent="0.25">
      <c r="A771" s="58">
        <f t="shared" si="113"/>
        <v>0</v>
      </c>
      <c r="C771" s="357"/>
      <c r="D771" s="74" t="s">
        <v>141</v>
      </c>
      <c r="E771" s="322"/>
      <c r="F771" s="326">
        <v>0</v>
      </c>
      <c r="G771" s="333">
        <f>IF($E753&gt;0, $E753, $E752)</f>
        <v>0</v>
      </c>
      <c r="H771" s="346">
        <f t="shared" si="111"/>
        <v>0</v>
      </c>
      <c r="I771" s="983"/>
      <c r="J771" s="991">
        <f>IF($E753&gt;0, $E753, $E752)</f>
        <v>0</v>
      </c>
      <c r="K771" s="988">
        <f t="shared" si="114"/>
        <v>0</v>
      </c>
      <c r="L771" s="329">
        <f t="shared" si="110"/>
        <v>0</v>
      </c>
      <c r="M771" s="347" t="str">
        <f t="shared" si="112"/>
        <v/>
      </c>
    </row>
    <row r="772" spans="1:14" ht="26.4" x14ac:dyDescent="0.25">
      <c r="A772" s="58">
        <f t="shared" si="113"/>
        <v>0</v>
      </c>
      <c r="C772" s="357"/>
      <c r="D772" s="391" t="s">
        <v>4312</v>
      </c>
      <c r="E772" s="322"/>
      <c r="F772" s="768">
        <f>IF(OR(ISNUMBER(SEARCH("RESIDENTIAL", E750))=TRUE, ISNUMBER(SEARCH("GENERAL SERVICE LESS THAN 50", E750))=TRUE), SME, 0)</f>
        <v>0</v>
      </c>
      <c r="G772" s="304">
        <v>1</v>
      </c>
      <c r="H772" s="346">
        <f>G772*F772</f>
        <v>0</v>
      </c>
      <c r="I772" s="984">
        <f>IF(OR(ISNUMBER(SEARCH("RESIDENTIAL", E750))=TRUE, ISNUMBER(SEARCH("GENERAL SERVICE LESS THAN 50", E750))=TRUE), SME, 0)</f>
        <v>0</v>
      </c>
      <c r="J772" s="992">
        <v>1</v>
      </c>
      <c r="K772" s="988">
        <f>J772*I772</f>
        <v>0</v>
      </c>
      <c r="L772" s="329">
        <f t="shared" si="110"/>
        <v>0</v>
      </c>
      <c r="M772" s="347" t="str">
        <f>IF(ISERROR(L772/H772), "", L772/H772)</f>
        <v/>
      </c>
    </row>
    <row r="773" spans="1:14" x14ac:dyDescent="0.25">
      <c r="A773" s="58">
        <f t="shared" si="113"/>
        <v>0</v>
      </c>
      <c r="C773" s="357"/>
      <c r="D773" s="74" t="s">
        <v>3742</v>
      </c>
      <c r="E773" s="322"/>
      <c r="F773" s="345">
        <v>0</v>
      </c>
      <c r="G773" s="304">
        <v>1</v>
      </c>
      <c r="H773" s="346">
        <f t="shared" si="111"/>
        <v>0</v>
      </c>
      <c r="I773" s="982">
        <v>0</v>
      </c>
      <c r="J773" s="992">
        <v>1</v>
      </c>
      <c r="K773" s="988">
        <f>J773*I773</f>
        <v>0</v>
      </c>
      <c r="L773" s="329">
        <f>K773-H773</f>
        <v>0</v>
      </c>
      <c r="M773" s="347" t="str">
        <f>IF(ISERROR(L773/H773), "", L773/H773)</f>
        <v/>
      </c>
    </row>
    <row r="774" spans="1:14" x14ac:dyDescent="0.25">
      <c r="A774" s="58">
        <f t="shared" si="113"/>
        <v>0</v>
      </c>
      <c r="C774" s="357"/>
      <c r="D774" s="74" t="s">
        <v>3741</v>
      </c>
      <c r="E774" s="322"/>
      <c r="F774" s="326">
        <v>0</v>
      </c>
      <c r="G774" s="333">
        <f>IF($E753&gt;0, $E753, $E752)</f>
        <v>0</v>
      </c>
      <c r="H774" s="346">
        <f>G774*F774</f>
        <v>0</v>
      </c>
      <c r="I774" s="983">
        <v>0</v>
      </c>
      <c r="J774" s="991">
        <f>IF($E753&gt;0, $E753, $E752)</f>
        <v>0</v>
      </c>
      <c r="K774" s="988">
        <f>J774*I774</f>
        <v>0</v>
      </c>
      <c r="L774" s="329">
        <f t="shared" si="110"/>
        <v>0</v>
      </c>
      <c r="M774" s="347" t="str">
        <f>IF(ISERROR(L774/H774), "", L774/H774)</f>
        <v/>
      </c>
    </row>
    <row r="775" spans="1:14" ht="26.4" x14ac:dyDescent="0.25">
      <c r="A775" s="58">
        <f t="shared" si="113"/>
        <v>0</v>
      </c>
      <c r="B775" s="783" t="s">
        <v>1435</v>
      </c>
      <c r="C775" s="357">
        <f>B42</f>
        <v>13</v>
      </c>
      <c r="D775" s="286" t="s">
        <v>1466</v>
      </c>
      <c r="E775" s="287"/>
      <c r="F775" s="323"/>
      <c r="G775" s="330"/>
      <c r="H775" s="288">
        <f>SUM(H766:H774)</f>
        <v>0</v>
      </c>
      <c r="I775" s="324"/>
      <c r="J775" s="331"/>
      <c r="K775" s="288">
        <f>SUM(K766:K774)</f>
        <v>0</v>
      </c>
      <c r="L775" s="283">
        <f t="shared" si="110"/>
        <v>0</v>
      </c>
      <c r="M775" s="284" t="str">
        <f>IF((H775)=0,"",(L775/H775))</f>
        <v/>
      </c>
    </row>
    <row r="776" spans="1:14" x14ac:dyDescent="0.25">
      <c r="A776" s="58">
        <f t="shared" si="113"/>
        <v>0</v>
      </c>
      <c r="C776" s="357"/>
      <c r="D776" s="76" t="s">
        <v>351</v>
      </c>
      <c r="E776" s="322"/>
      <c r="F776" s="326">
        <v>0</v>
      </c>
      <c r="G776" s="332">
        <f>IF($E753&gt;0, $E753, $E752*$E754)</f>
        <v>0</v>
      </c>
      <c r="H776" s="346">
        <f>G776*F776</f>
        <v>0</v>
      </c>
      <c r="I776" s="325">
        <v>0</v>
      </c>
      <c r="J776" s="987">
        <f>IF($E753&gt;0, $E753, $E752*$E755)</f>
        <v>0</v>
      </c>
      <c r="K776" s="988">
        <f>J776*I776</f>
        <v>0</v>
      </c>
      <c r="L776" s="329">
        <f t="shared" si="110"/>
        <v>0</v>
      </c>
      <c r="M776" s="347" t="str">
        <f>IF(ISERROR(L776/H776), "", L776/H776)</f>
        <v/>
      </c>
      <c r="N776" s="1090" t="str">
        <f>IF(ISERROR(ABS(M776)), "", IF(ABS(M776)&gt;=4%, "In the manager's summary, discuss the reasoning for the change in RTSR rates", ""))</f>
        <v/>
      </c>
    </row>
    <row r="777" spans="1:14" ht="26.4" x14ac:dyDescent="0.25">
      <c r="A777" s="58">
        <f t="shared" si="113"/>
        <v>0</v>
      </c>
      <c r="C777" s="357"/>
      <c r="D777" s="169" t="s">
        <v>361</v>
      </c>
      <c r="E777" s="322"/>
      <c r="F777" s="326">
        <v>0</v>
      </c>
      <c r="G777" s="332">
        <f>IF($E753&gt;0, $E753, $E752*$E754)</f>
        <v>0</v>
      </c>
      <c r="H777" s="346">
        <f>G777*F777</f>
        <v>0</v>
      </c>
      <c r="I777" s="325">
        <v>0</v>
      </c>
      <c r="J777" s="987">
        <f>IF($E753&gt;0, $E753, $E752*$E755)</f>
        <v>0</v>
      </c>
      <c r="K777" s="988">
        <f>J777*I777</f>
        <v>0</v>
      </c>
      <c r="L777" s="329">
        <f t="shared" si="110"/>
        <v>0</v>
      </c>
      <c r="M777" s="347" t="str">
        <f>IF(ISERROR(L777/H777), "", L777/H777)</f>
        <v/>
      </c>
      <c r="N777" s="1090" t="str">
        <f>IF(ISERROR(ABS(M777)), "", IF(ABS(M777)&gt;=4%, "In the manager's summary, discuss the reasoning for the change in RTSR rates", ""))</f>
        <v/>
      </c>
    </row>
    <row r="778" spans="1:14" ht="26.4" x14ac:dyDescent="0.25">
      <c r="A778" s="58">
        <f t="shared" si="113"/>
        <v>0</v>
      </c>
      <c r="B778" s="783" t="s">
        <v>1436</v>
      </c>
      <c r="C778" s="357">
        <f>B42</f>
        <v>13</v>
      </c>
      <c r="D778" s="286" t="s">
        <v>1467</v>
      </c>
      <c r="E778" s="282"/>
      <c r="F778" s="323"/>
      <c r="G778" s="330"/>
      <c r="H778" s="288">
        <f>SUM(H775:H777)</f>
        <v>0</v>
      </c>
      <c r="I778" s="324"/>
      <c r="J778" s="289"/>
      <c r="K778" s="288">
        <f>SUM(K775:K777)</f>
        <v>0</v>
      </c>
      <c r="L778" s="283">
        <f t="shared" si="110"/>
        <v>0</v>
      </c>
      <c r="M778" s="284" t="str">
        <f>IF((H778)=0,"",(L778/H778))</f>
        <v/>
      </c>
    </row>
    <row r="779" spans="1:14" ht="26.4" x14ac:dyDescent="0.25">
      <c r="A779" s="58">
        <f t="shared" si="113"/>
        <v>0</v>
      </c>
      <c r="C779" s="357"/>
      <c r="D779" s="290" t="s">
        <v>352</v>
      </c>
      <c r="E779" s="322"/>
      <c r="F779" s="326">
        <f>IF(AND('1. Information Sheet'!$F$26:$H$26&gt;='17. Regulatory Charges'!$D$14,'1. Information Sheet'!$F$26:$H$26&lt;'17. Regulatory Charges'!$E$14),'17. Regulatory Charges'!$D$15+'17. Regulatory Charges'!$D$16,'17. Regulatory Charges'!$E$15+'17. Regulatory Charges'!$E$16)</f>
        <v>3.4000000000000002E-3</v>
      </c>
      <c r="G779" s="332">
        <f>E752*E754</f>
        <v>0</v>
      </c>
      <c r="H779" s="334">
        <f t="shared" ref="H779:H785" si="115">G779*F779</f>
        <v>0</v>
      </c>
      <c r="I779" s="983">
        <f>'17. Regulatory Charges'!$E$15+'17. Regulatory Charges'!$E$16</f>
        <v>3.4000000000000002E-3</v>
      </c>
      <c r="J779" s="987">
        <f>E752*E755</f>
        <v>0</v>
      </c>
      <c r="K779" s="988">
        <f t="shared" ref="K779:K785" si="116">J779*I779</f>
        <v>0</v>
      </c>
      <c r="L779" s="329">
        <f t="shared" si="110"/>
        <v>0</v>
      </c>
      <c r="M779" s="347" t="str">
        <f t="shared" ref="M779:M787" si="117">IF(ISERROR(L779/H779), "", L779/H779)</f>
        <v/>
      </c>
    </row>
    <row r="780" spans="1:14" ht="26.4" x14ac:dyDescent="0.25">
      <c r="A780" s="58">
        <f t="shared" si="113"/>
        <v>0</v>
      </c>
      <c r="C780" s="357"/>
      <c r="D780" s="290" t="s">
        <v>353</v>
      </c>
      <c r="E780" s="322"/>
      <c r="F780" s="326">
        <f>IF(AND('1. Information Sheet'!$F$26:$H$26&gt;='17. Regulatory Charges'!$D$14,'1. Information Sheet'!$F$26:$H$26&lt;'17. Regulatory Charges'!$D$14),'17. Regulatory Charges'!$D$17,'17. Regulatory Charges'!$E$17)</f>
        <v>5.0000000000000001E-4</v>
      </c>
      <c r="G780" s="332">
        <f>E752*E754</f>
        <v>0</v>
      </c>
      <c r="H780" s="334">
        <f t="shared" si="115"/>
        <v>0</v>
      </c>
      <c r="I780" s="983">
        <f>'17. Regulatory Charges'!$E$17</f>
        <v>5.0000000000000001E-4</v>
      </c>
      <c r="J780" s="987">
        <f>E752*E755</f>
        <v>0</v>
      </c>
      <c r="K780" s="988">
        <f t="shared" si="116"/>
        <v>0</v>
      </c>
      <c r="L780" s="329">
        <f t="shared" si="110"/>
        <v>0</v>
      </c>
      <c r="M780" s="347" t="str">
        <f t="shared" si="117"/>
        <v/>
      </c>
    </row>
    <row r="781" spans="1:14" x14ac:dyDescent="0.25">
      <c r="A781" s="58">
        <f t="shared" si="113"/>
        <v>0</v>
      </c>
      <c r="C781" s="357"/>
      <c r="D781" s="279" t="s">
        <v>354</v>
      </c>
      <c r="E781" s="322"/>
      <c r="F781" s="768">
        <f>IF(AND('1. Information Sheet'!$F$26:$H$26&gt;='17. Regulatory Charges'!$D$14,'1. Information Sheet'!$F$26:$H$26&lt;'17. Regulatory Charges'!$D$14),'17. Regulatory Charges'!$D$18,'17. Regulatory Charges'!$E$18)</f>
        <v>0.25</v>
      </c>
      <c r="G781" s="304">
        <v>1</v>
      </c>
      <c r="H781" s="334">
        <f t="shared" si="115"/>
        <v>0.25</v>
      </c>
      <c r="I781" s="984">
        <f>'17. Regulatory Charges'!$E$18</f>
        <v>0.25</v>
      </c>
      <c r="J781" s="989">
        <v>1</v>
      </c>
      <c r="K781" s="988">
        <f t="shared" si="116"/>
        <v>0.25</v>
      </c>
      <c r="L781" s="329">
        <f t="shared" si="110"/>
        <v>0</v>
      </c>
      <c r="M781" s="347">
        <f t="shared" si="117"/>
        <v>0</v>
      </c>
    </row>
    <row r="782" spans="1:14" ht="26.4" hidden="1" x14ac:dyDescent="0.25">
      <c r="A782" s="58">
        <f t="shared" si="113"/>
        <v>0</v>
      </c>
      <c r="C782" s="357"/>
      <c r="D782" s="290" t="s">
        <v>1468</v>
      </c>
      <c r="E782" s="322"/>
      <c r="F782" s="326"/>
      <c r="G782" s="332"/>
      <c r="H782" s="334"/>
      <c r="I782" s="983"/>
      <c r="J782" s="987"/>
      <c r="K782" s="988"/>
      <c r="L782" s="329"/>
      <c r="M782" s="347"/>
    </row>
    <row r="783" spans="1:14" x14ac:dyDescent="0.25">
      <c r="A783" s="58">
        <f t="shared" si="113"/>
        <v>0</v>
      </c>
      <c r="B783" s="783" t="s">
        <v>1427</v>
      </c>
      <c r="C783" s="357"/>
      <c r="D783" s="285" t="s">
        <v>220</v>
      </c>
      <c r="E783" s="322"/>
      <c r="F783" s="327">
        <f>OffPeak</f>
        <v>0.105</v>
      </c>
      <c r="G783" s="291">
        <f>IF(AND(E752*12&gt;=150000),0.64*E752*E754,0.64*E752)</f>
        <v>0</v>
      </c>
      <c r="H783" s="334">
        <f t="shared" si="115"/>
        <v>0</v>
      </c>
      <c r="I783" s="985">
        <f>OffPeak</f>
        <v>0.105</v>
      </c>
      <c r="J783" s="990">
        <f>IF(AND(E752*12&gt;=150000),0.64*E752*E755,0.64*E752)</f>
        <v>0</v>
      </c>
      <c r="K783" s="988">
        <f t="shared" si="116"/>
        <v>0</v>
      </c>
      <c r="L783" s="329">
        <f>K783-H783</f>
        <v>0</v>
      </c>
      <c r="M783" s="347" t="str">
        <f t="shared" si="117"/>
        <v/>
      </c>
    </row>
    <row r="784" spans="1:14" x14ac:dyDescent="0.25">
      <c r="A784" s="58">
        <f t="shared" si="113"/>
        <v>0</v>
      </c>
      <c r="B784" s="783" t="s">
        <v>1427</v>
      </c>
      <c r="C784" s="357"/>
      <c r="D784" s="285" t="s">
        <v>221</v>
      </c>
      <c r="E784" s="322"/>
      <c r="F784" s="327">
        <f>MidPeak</f>
        <v>0.15</v>
      </c>
      <c r="G784" s="291">
        <f>IF(AND(E752*12&gt;=150000),0.18*E752*E754,0.18*E752)</f>
        <v>0</v>
      </c>
      <c r="H784" s="334">
        <f t="shared" si="115"/>
        <v>0</v>
      </c>
      <c r="I784" s="985">
        <f>MidPeak</f>
        <v>0.15</v>
      </c>
      <c r="J784" s="990">
        <f>IF(AND(E752*12&gt;=150000),0.18*E752*E755,0.18*E752)</f>
        <v>0</v>
      </c>
      <c r="K784" s="988">
        <f t="shared" si="116"/>
        <v>0</v>
      </c>
      <c r="L784" s="329">
        <f>K784-H784</f>
        <v>0</v>
      </c>
      <c r="M784" s="347" t="str">
        <f t="shared" si="117"/>
        <v/>
      </c>
    </row>
    <row r="785" spans="1:13" x14ac:dyDescent="0.25">
      <c r="A785" s="58">
        <f t="shared" si="113"/>
        <v>0</v>
      </c>
      <c r="B785" s="783" t="s">
        <v>1427</v>
      </c>
      <c r="C785" s="357"/>
      <c r="D785" s="783" t="s">
        <v>222</v>
      </c>
      <c r="E785" s="322"/>
      <c r="F785" s="327">
        <f>OnPeak</f>
        <v>0.217</v>
      </c>
      <c r="G785" s="291">
        <f>IF(AND(E752*12&gt;=150000),0.18*E752*E754,0.18*E752)</f>
        <v>0</v>
      </c>
      <c r="H785" s="334">
        <f t="shared" si="115"/>
        <v>0</v>
      </c>
      <c r="I785" s="985">
        <f>OnPeak</f>
        <v>0.217</v>
      </c>
      <c r="J785" s="990">
        <f>IF(AND(E752*12&gt;=150000),0.18*E752*E755,0.18*E752)</f>
        <v>0</v>
      </c>
      <c r="K785" s="988">
        <f t="shared" si="116"/>
        <v>0</v>
      </c>
      <c r="L785" s="329">
        <f>K785-H785</f>
        <v>0</v>
      </c>
      <c r="M785" s="347" t="str">
        <f t="shared" si="117"/>
        <v/>
      </c>
    </row>
    <row r="786" spans="1:13" x14ac:dyDescent="0.25">
      <c r="A786" s="58">
        <f t="shared" si="113"/>
        <v>0</v>
      </c>
      <c r="B786" s="58" t="s">
        <v>1428</v>
      </c>
      <c r="C786" s="357"/>
      <c r="D786" s="285" t="s">
        <v>1437</v>
      </c>
      <c r="E786" s="322"/>
      <c r="F786" s="328">
        <v>0.1368</v>
      </c>
      <c r="G786" s="291">
        <f>IF(AND(E752*12&gt;=150000),E752*E754,E752)</f>
        <v>0</v>
      </c>
      <c r="H786" s="334">
        <f>G786*F786</f>
        <v>0</v>
      </c>
      <c r="I786" s="986">
        <f>F786</f>
        <v>0.1368</v>
      </c>
      <c r="J786" s="990">
        <f>IF(AND(E752*12&gt;=150000),E752*E755,E752)</f>
        <v>0</v>
      </c>
      <c r="K786" s="988">
        <f>J786*I786</f>
        <v>0</v>
      </c>
      <c r="L786" s="329">
        <f>K786-H786</f>
        <v>0</v>
      </c>
      <c r="M786" s="347" t="str">
        <f t="shared" si="117"/>
        <v/>
      </c>
    </row>
    <row r="787" spans="1:13" ht="13.8" thickBot="1" x14ac:dyDescent="0.3">
      <c r="A787" s="58">
        <f t="shared" si="113"/>
        <v>0</v>
      </c>
      <c r="B787" s="58" t="s">
        <v>1429</v>
      </c>
      <c r="C787" s="357"/>
      <c r="D787" s="285" t="s">
        <v>1438</v>
      </c>
      <c r="E787" s="322"/>
      <c r="F787" s="328">
        <v>0.1368</v>
      </c>
      <c r="G787" s="291">
        <f>IF(AND(E752*12&gt;=150000),E752*E754,E752)</f>
        <v>0</v>
      </c>
      <c r="H787" s="334">
        <f>G787*F787</f>
        <v>0</v>
      </c>
      <c r="I787" s="986">
        <f>F787</f>
        <v>0.1368</v>
      </c>
      <c r="J787" s="990">
        <f>IF(AND(E752*12&gt;=150000),E752*E755,E752)</f>
        <v>0</v>
      </c>
      <c r="K787" s="988">
        <f>J787*I787</f>
        <v>0</v>
      </c>
      <c r="L787" s="329">
        <f>K787-H787</f>
        <v>0</v>
      </c>
      <c r="M787" s="347" t="str">
        <f t="shared" si="117"/>
        <v/>
      </c>
    </row>
    <row r="788" spans="1:13" ht="13.8" thickBot="1" x14ac:dyDescent="0.3">
      <c r="A788" s="58">
        <f t="shared" si="113"/>
        <v>0</v>
      </c>
      <c r="B788" s="783"/>
      <c r="C788" s="357"/>
      <c r="D788" s="292"/>
      <c r="E788" s="293"/>
      <c r="F788" s="335"/>
      <c r="G788" s="216"/>
      <c r="H788" s="336"/>
      <c r="I788" s="335"/>
      <c r="J788" s="337"/>
      <c r="K788" s="336"/>
      <c r="L788" s="338"/>
      <c r="M788" s="219"/>
    </row>
    <row r="789" spans="1:13" x14ac:dyDescent="0.25">
      <c r="A789" s="58">
        <f t="shared" si="113"/>
        <v>0</v>
      </c>
      <c r="B789" s="783" t="s">
        <v>1427</v>
      </c>
      <c r="C789" s="357"/>
      <c r="D789" s="296" t="s">
        <v>356</v>
      </c>
      <c r="E789" s="279"/>
      <c r="F789" s="311"/>
      <c r="G789" s="339"/>
      <c r="H789" s="297">
        <f>SUM(H779:H785,H778)</f>
        <v>0.25</v>
      </c>
      <c r="I789" s="298"/>
      <c r="J789" s="298"/>
      <c r="K789" s="297">
        <f>SUM(K779:K785,K778)</f>
        <v>0.25</v>
      </c>
      <c r="L789" s="299">
        <f>K789-H789</f>
        <v>0</v>
      </c>
      <c r="M789" s="300">
        <f>IF((H789)=0,"",(L789/H789))</f>
        <v>0</v>
      </c>
    </row>
    <row r="790" spans="1:13" x14ac:dyDescent="0.25">
      <c r="A790" s="58">
        <f t="shared" si="113"/>
        <v>0</v>
      </c>
      <c r="B790" s="783" t="s">
        <v>1427</v>
      </c>
      <c r="C790" s="357"/>
      <c r="D790" s="301" t="s">
        <v>148</v>
      </c>
      <c r="E790" s="279"/>
      <c r="F790" s="311">
        <v>0.13</v>
      </c>
      <c r="G790" s="340"/>
      <c r="H790" s="302">
        <f>H789*F790</f>
        <v>3.2500000000000001E-2</v>
      </c>
      <c r="I790" s="303">
        <v>0.13</v>
      </c>
      <c r="J790" s="304"/>
      <c r="K790" s="302">
        <f>K789*I790</f>
        <v>3.2500000000000001E-2</v>
      </c>
      <c r="L790" s="305">
        <f>K790-H790</f>
        <v>0</v>
      </c>
      <c r="M790" s="306">
        <f>IF((H790)=0,"",(L790/H790))</f>
        <v>0</v>
      </c>
    </row>
    <row r="791" spans="1:13" x14ac:dyDescent="0.25">
      <c r="A791" s="58">
        <f t="shared" si="113"/>
        <v>0</v>
      </c>
      <c r="B791" s="783" t="s">
        <v>1427</v>
      </c>
      <c r="C791" s="357"/>
      <c r="D791" s="301" t="s">
        <v>5907</v>
      </c>
      <c r="E791" s="279"/>
      <c r="F791" s="1238">
        <v>0.318</v>
      </c>
      <c r="G791" s="340"/>
      <c r="H791" s="302">
        <f>IF(OR(ISNUMBER(SEARCH("[DGEN]", E750))=TRUE, ISNUMBER(SEARCH("STREET LIGHT", E750))=TRUE), 0, IF(AND(E752=0, E753=0),0, IF(AND(E753=0, E752*12&gt;250000), 0, IF(AND(E752=0, E753&gt;=50), 0, IF(E752*12&lt;=250000, F791*H789*-1, IF(E753&lt;50, F791*H789*-1, 0))))))</f>
        <v>0</v>
      </c>
      <c r="I791" s="1238">
        <v>0.318</v>
      </c>
      <c r="J791" s="304"/>
      <c r="K791" s="302">
        <f>IF(OR(ISNUMBER(SEARCH("[DGEN]", E750))=TRUE, ISNUMBER(SEARCH("STREET LIGHT", E750))=TRUE), 0, IF(AND(E752=0, E753=0),0, IF(AND(E753=0, E752*12&gt;250000), 0, IF(AND(E752=0, E753&gt;=50), 0, IF(E752*12&lt;=250000, I791*K789*-1, IF(E753&lt;50, I791*K789*-1, 0))))))</f>
        <v>0</v>
      </c>
      <c r="L791" s="305">
        <f>K791-H791</f>
        <v>0</v>
      </c>
      <c r="M791" s="306"/>
    </row>
    <row r="792" spans="1:13" ht="13.8" thickBot="1" x14ac:dyDescent="0.3">
      <c r="A792" s="58">
        <f t="shared" si="113"/>
        <v>0</v>
      </c>
      <c r="B792" s="783" t="s">
        <v>1439</v>
      </c>
      <c r="C792" s="357"/>
      <c r="D792" s="1943" t="s">
        <v>1440</v>
      </c>
      <c r="E792" s="1943"/>
      <c r="F792" s="341"/>
      <c r="G792" s="342"/>
      <c r="H792" s="312">
        <f>H789+H790+H791</f>
        <v>0.28249999999999997</v>
      </c>
      <c r="I792" s="308"/>
      <c r="J792" s="308"/>
      <c r="K792" s="307">
        <f>K789+K790+K791</f>
        <v>0.28249999999999997</v>
      </c>
      <c r="L792" s="309">
        <f>K792-H792</f>
        <v>0</v>
      </c>
      <c r="M792" s="310">
        <f>IF((H792)=0,"",(L792/H792))</f>
        <v>0</v>
      </c>
    </row>
    <row r="793" spans="1:13" ht="13.8" thickBot="1" x14ac:dyDescent="0.3">
      <c r="A793" s="58">
        <f t="shared" si="113"/>
        <v>0</v>
      </c>
      <c r="B793" s="58" t="s">
        <v>1427</v>
      </c>
      <c r="C793" s="357"/>
      <c r="D793" s="292"/>
      <c r="E793" s="293"/>
      <c r="F793" s="335"/>
      <c r="G793" s="216"/>
      <c r="H793" s="336"/>
      <c r="I793" s="335"/>
      <c r="J793" s="337"/>
      <c r="K793" s="336"/>
      <c r="L793" s="338"/>
      <c r="M793" s="219"/>
    </row>
    <row r="794" spans="1:13" x14ac:dyDescent="0.25">
      <c r="A794" s="58">
        <f t="shared" si="113"/>
        <v>0</v>
      </c>
      <c r="B794" s="58" t="s">
        <v>1428</v>
      </c>
      <c r="C794" s="357"/>
      <c r="D794" s="296" t="s">
        <v>1441</v>
      </c>
      <c r="E794" s="279"/>
      <c r="F794" s="311"/>
      <c r="G794" s="339"/>
      <c r="H794" s="297">
        <f>SUM(H786,H779:H782,H778)</f>
        <v>0.25</v>
      </c>
      <c r="I794" s="298"/>
      <c r="J794" s="298"/>
      <c r="K794" s="297">
        <f>SUM(K786,K779:K782,K778)</f>
        <v>0.25</v>
      </c>
      <c r="L794" s="299">
        <f>K794-H794</f>
        <v>0</v>
      </c>
      <c r="M794" s="300">
        <f>IF((H794)=0,"",(L794/H794))</f>
        <v>0</v>
      </c>
    </row>
    <row r="795" spans="1:13" x14ac:dyDescent="0.25">
      <c r="A795" s="58">
        <f t="shared" si="113"/>
        <v>0</v>
      </c>
      <c r="B795" s="58" t="s">
        <v>1428</v>
      </c>
      <c r="C795" s="357"/>
      <c r="D795" s="301" t="s">
        <v>148</v>
      </c>
      <c r="E795" s="279"/>
      <c r="F795" s="311">
        <v>0.13</v>
      </c>
      <c r="G795" s="339"/>
      <c r="H795" s="302">
        <f>H794*F795</f>
        <v>3.2500000000000001E-2</v>
      </c>
      <c r="I795" s="311">
        <v>0.13</v>
      </c>
      <c r="J795" s="303"/>
      <c r="K795" s="302">
        <f>K794*I795</f>
        <v>3.2500000000000001E-2</v>
      </c>
      <c r="L795" s="305">
        <f>K795-H795</f>
        <v>0</v>
      </c>
      <c r="M795" s="306">
        <f>IF((H795)=0,"",(L795/H795))</f>
        <v>0</v>
      </c>
    </row>
    <row r="796" spans="1:13" x14ac:dyDescent="0.25">
      <c r="A796" s="58">
        <f t="shared" si="113"/>
        <v>0</v>
      </c>
      <c r="B796" s="58" t="s">
        <v>1428</v>
      </c>
      <c r="C796" s="357"/>
      <c r="D796" s="301" t="s">
        <v>5907</v>
      </c>
      <c r="E796" s="279"/>
      <c r="F796" s="1238">
        <v>0.318</v>
      </c>
      <c r="G796" s="339"/>
      <c r="H796" s="707">
        <f>IF(OR(ISNUMBER(SEARCH("[DGEN]", E750))=TRUE, ISNUMBER(SEARCH("STREET LIGHT", E750))=TRUE), 0, IF(AND(E752=0, E753=0),0, IF(AND(E753=0, E752*12&gt;250000), 0, IF(AND(E752=0, E753&gt;=50), 0, IF(E752*12&lt;=250000, F796*H794*-1, IF(E753&lt;50, F796*H794*-1, 0))))))</f>
        <v>0</v>
      </c>
      <c r="I796" s="1238">
        <v>0.318</v>
      </c>
      <c r="J796" s="303"/>
      <c r="K796" s="707">
        <f>IF(OR(ISNUMBER(SEARCH("[DGEN]", E750))=TRUE, ISNUMBER(SEARCH("STREET LIGHT", E750))=TRUE), 0, IF(AND(E752=0, E753=0),0, IF(AND(E753=0, E752*12&gt;250000), 0, IF(AND(E752=0, E753&gt;=50), 0, IF(E752*12&lt;=250000, I796*K794*-1, IF(E753&lt;50, I796*K794*-1, 0))))))</f>
        <v>0</v>
      </c>
      <c r="L796" s="305"/>
      <c r="M796" s="306"/>
    </row>
    <row r="797" spans="1:13" ht="13.8" thickBot="1" x14ac:dyDescent="0.3">
      <c r="A797" s="58">
        <f t="shared" si="113"/>
        <v>0</v>
      </c>
      <c r="B797" s="58" t="s">
        <v>1442</v>
      </c>
      <c r="C797" s="357"/>
      <c r="D797" s="1943" t="s">
        <v>1441</v>
      </c>
      <c r="E797" s="1943"/>
      <c r="F797" s="343"/>
      <c r="G797" s="344"/>
      <c r="H797" s="312">
        <f>SUM(H794,H795)</f>
        <v>0.28249999999999997</v>
      </c>
      <c r="I797" s="313"/>
      <c r="J797" s="313"/>
      <c r="K797" s="312">
        <f>SUM(K794,K795)</f>
        <v>0.28249999999999997</v>
      </c>
      <c r="L797" s="314">
        <f>K797-H797</f>
        <v>0</v>
      </c>
      <c r="M797" s="315">
        <f>IF((H797)=0,"",(L797/H797))</f>
        <v>0</v>
      </c>
    </row>
    <row r="798" spans="1:13" ht="13.8" thickBot="1" x14ac:dyDescent="0.3">
      <c r="A798" s="58">
        <f t="shared" si="113"/>
        <v>0</v>
      </c>
      <c r="B798" s="58" t="s">
        <v>1428</v>
      </c>
      <c r="C798" s="357"/>
      <c r="D798" s="292"/>
      <c r="E798" s="293"/>
      <c r="F798" s="213"/>
      <c r="G798" s="214"/>
      <c r="H798" s="215"/>
      <c r="I798" s="213"/>
      <c r="J798" s="216"/>
      <c r="K798" s="215"/>
      <c r="L798" s="218"/>
      <c r="M798" s="219"/>
    </row>
    <row r="799" spans="1:13" x14ac:dyDescent="0.25">
      <c r="A799" s="58">
        <f t="shared" si="113"/>
        <v>0</v>
      </c>
      <c r="B799" s="58" t="s">
        <v>1429</v>
      </c>
      <c r="C799" s="357"/>
      <c r="D799" s="296" t="s">
        <v>1443</v>
      </c>
      <c r="E799" s="279"/>
      <c r="F799" s="311"/>
      <c r="G799" s="339"/>
      <c r="H799" s="297">
        <f>SUM(H787,H779:H782,H778)</f>
        <v>0.25</v>
      </c>
      <c r="I799" s="298"/>
      <c r="J799" s="298"/>
      <c r="K799" s="297">
        <f>SUM(K787,K779:K782,K778)</f>
        <v>0.25</v>
      </c>
      <c r="L799" s="299">
        <f>K799-H799</f>
        <v>0</v>
      </c>
      <c r="M799" s="300">
        <f>IF((H799)=0,"",(L799/H799))</f>
        <v>0</v>
      </c>
    </row>
    <row r="800" spans="1:13" x14ac:dyDescent="0.25">
      <c r="A800" s="58">
        <f t="shared" si="113"/>
        <v>0</v>
      </c>
      <c r="B800" s="58" t="s">
        <v>1429</v>
      </c>
      <c r="C800" s="357"/>
      <c r="D800" s="301" t="s">
        <v>148</v>
      </c>
      <c r="E800" s="279"/>
      <c r="F800" s="311">
        <v>0.13</v>
      </c>
      <c r="G800" s="339"/>
      <c r="H800" s="302">
        <f>H799*F800</f>
        <v>3.2500000000000001E-2</v>
      </c>
      <c r="I800" s="311">
        <v>0.13</v>
      </c>
      <c r="J800" s="303"/>
      <c r="K800" s="302">
        <f>K799*I800</f>
        <v>3.2500000000000001E-2</v>
      </c>
      <c r="L800" s="305">
        <f>K800-H800</f>
        <v>0</v>
      </c>
      <c r="M800" s="306">
        <f>IF((H800)=0,"",(L800/H800))</f>
        <v>0</v>
      </c>
    </row>
    <row r="801" spans="1:13" x14ac:dyDescent="0.25">
      <c r="A801" s="58">
        <f t="shared" si="113"/>
        <v>0</v>
      </c>
      <c r="B801" s="58" t="s">
        <v>1429</v>
      </c>
      <c r="C801" s="357"/>
      <c r="D801" s="301" t="s">
        <v>5907</v>
      </c>
      <c r="E801" s="279"/>
      <c r="F801" s="1238">
        <v>0.318</v>
      </c>
      <c r="G801" s="339"/>
      <c r="H801" s="707">
        <f>IF(OR(ISNUMBER(SEARCH("[DGEN]", E750))=TRUE, ISNUMBER(SEARCH("STREET LIGHT", E750))=TRUE), 0, IF(AND(E752=0, E753=0),0, IF(AND(E753=0, E752*12&gt;250000), 0, IF(AND(E752=0, E753&gt;=50), 0, IF(E752*12&lt;=250000, F801*H799*-1, IF(E753&lt;50, F801*H799*-1, 0))))))</f>
        <v>0</v>
      </c>
      <c r="I801" s="1238">
        <v>0.318</v>
      </c>
      <c r="J801" s="303"/>
      <c r="K801" s="707">
        <f>IF(OR(ISNUMBER(SEARCH("[DGEN]", E750))=TRUE, ISNUMBER(SEARCH("STREET LIGHT", E750))=TRUE), 0, IF(AND(E752=0, E753=0),0, IF(AND(E753=0, E752*12&gt;250000), 0, IF(AND(E752=0, E753&gt;=50), 0, IF(E752*12&lt;=250000, I801*K799*-1, IF(E753&lt;50, I801*K799*-1, 0))))))</f>
        <v>0</v>
      </c>
      <c r="L801" s="305"/>
      <c r="M801" s="306"/>
    </row>
    <row r="802" spans="1:13" ht="13.8" thickBot="1" x14ac:dyDescent="0.3">
      <c r="A802" s="58">
        <f t="shared" si="113"/>
        <v>0</v>
      </c>
      <c r="B802" s="58" t="s">
        <v>1444</v>
      </c>
      <c r="C802" s="357"/>
      <c r="D802" s="1943" t="s">
        <v>1443</v>
      </c>
      <c r="E802" s="1943"/>
      <c r="F802" s="343"/>
      <c r="G802" s="344"/>
      <c r="H802" s="312">
        <f>SUM(H799,H800)</f>
        <v>0.28249999999999997</v>
      </c>
      <c r="I802" s="313"/>
      <c r="J802" s="313"/>
      <c r="K802" s="312">
        <f>SUM(K799,K800)</f>
        <v>0.28249999999999997</v>
      </c>
      <c r="L802" s="314">
        <f>K802-H802</f>
        <v>0</v>
      </c>
      <c r="M802" s="315">
        <f>IF((H802)=0,"",(L802/H802))</f>
        <v>0</v>
      </c>
    </row>
    <row r="803" spans="1:13" ht="13.8" thickBot="1" x14ac:dyDescent="0.3">
      <c r="A803" s="58">
        <f t="shared" si="113"/>
        <v>0</v>
      </c>
      <c r="B803" s="58" t="s">
        <v>1429</v>
      </c>
      <c r="C803" s="357"/>
      <c r="D803" s="292"/>
      <c r="E803" s="293"/>
      <c r="F803" s="316"/>
      <c r="G803" s="317"/>
      <c r="H803" s="318"/>
      <c r="I803" s="316"/>
      <c r="J803" s="294"/>
      <c r="K803" s="318"/>
      <c r="L803" s="319"/>
      <c r="M803" s="295"/>
    </row>
  </sheetData>
  <sheetProtection algorithmName="SHA-512" hashValue="a7Jg/zK8+KGygcbE0EzbWrMC7cv3HrwDY2cKqaI8YpqvUKqUZr6AuHiFpRTS4K8J4ZEu4VA+LvGYQ5qyDYzS8Q==" saltValue="xZ6lHdqqlwyEZkR5g0pIgw==" spinCount="100000" sheet="1" objects="1" scenarios="1"/>
  <mergeCells count="177">
    <mergeCell ref="C3:K3"/>
    <mergeCell ref="D10:M10"/>
    <mergeCell ref="D11:M11"/>
    <mergeCell ref="D57:F57"/>
    <mergeCell ref="D59:F59"/>
    <mergeCell ref="D58:F58"/>
    <mergeCell ref="D55:F55"/>
    <mergeCell ref="N11:O11"/>
    <mergeCell ref="D29:F29"/>
    <mergeCell ref="D52:F54"/>
    <mergeCell ref="G52:G54"/>
    <mergeCell ref="H52:M52"/>
    <mergeCell ref="N52:O52"/>
    <mergeCell ref="H53:I53"/>
    <mergeCell ref="J53:K53"/>
    <mergeCell ref="L53:M53"/>
    <mergeCell ref="N53:O53"/>
    <mergeCell ref="D12:N12"/>
    <mergeCell ref="D73:F73"/>
    <mergeCell ref="D74:F74"/>
    <mergeCell ref="D70:F70"/>
    <mergeCell ref="D69:F69"/>
    <mergeCell ref="D56:F56"/>
    <mergeCell ref="D68:F68"/>
    <mergeCell ref="D71:F71"/>
    <mergeCell ref="D72:F72"/>
    <mergeCell ref="D64:F64"/>
    <mergeCell ref="D63:F63"/>
    <mergeCell ref="D65:F65"/>
    <mergeCell ref="D66:F66"/>
    <mergeCell ref="D67:F67"/>
    <mergeCell ref="D60:F60"/>
    <mergeCell ref="D61:F61"/>
    <mergeCell ref="D62:F62"/>
    <mergeCell ref="E86:E87"/>
    <mergeCell ref="L86:L87"/>
    <mergeCell ref="M86:M87"/>
    <mergeCell ref="D120:E120"/>
    <mergeCell ref="D125:E125"/>
    <mergeCell ref="E78:J78"/>
    <mergeCell ref="E79:G79"/>
    <mergeCell ref="F85:H85"/>
    <mergeCell ref="I85:K85"/>
    <mergeCell ref="L85:M85"/>
    <mergeCell ref="L141:M141"/>
    <mergeCell ref="E142:E143"/>
    <mergeCell ref="L142:L143"/>
    <mergeCell ref="M142:M143"/>
    <mergeCell ref="D176:E176"/>
    <mergeCell ref="D130:E130"/>
    <mergeCell ref="E134:J134"/>
    <mergeCell ref="E135:G135"/>
    <mergeCell ref="F141:H141"/>
    <mergeCell ref="I141:K141"/>
    <mergeCell ref="L197:M197"/>
    <mergeCell ref="E198:E199"/>
    <mergeCell ref="L198:L199"/>
    <mergeCell ref="M198:M199"/>
    <mergeCell ref="D232:E232"/>
    <mergeCell ref="D181:E181"/>
    <mergeCell ref="D186:E186"/>
    <mergeCell ref="E190:J190"/>
    <mergeCell ref="E191:G191"/>
    <mergeCell ref="F197:H197"/>
    <mergeCell ref="I197:K197"/>
    <mergeCell ref="L253:M253"/>
    <mergeCell ref="E254:E255"/>
    <mergeCell ref="L254:L255"/>
    <mergeCell ref="M254:M255"/>
    <mergeCell ref="D288:E288"/>
    <mergeCell ref="D237:E237"/>
    <mergeCell ref="D242:E242"/>
    <mergeCell ref="E246:J246"/>
    <mergeCell ref="E247:G247"/>
    <mergeCell ref="F253:H253"/>
    <mergeCell ref="I253:K253"/>
    <mergeCell ref="L309:M309"/>
    <mergeCell ref="E310:E311"/>
    <mergeCell ref="L310:L311"/>
    <mergeCell ref="M310:M311"/>
    <mergeCell ref="D344:E344"/>
    <mergeCell ref="D293:E293"/>
    <mergeCell ref="D298:E298"/>
    <mergeCell ref="E302:J302"/>
    <mergeCell ref="E303:G303"/>
    <mergeCell ref="F309:H309"/>
    <mergeCell ref="I309:K309"/>
    <mergeCell ref="L365:M365"/>
    <mergeCell ref="E366:E367"/>
    <mergeCell ref="L366:L367"/>
    <mergeCell ref="M366:M367"/>
    <mergeCell ref="D400:E400"/>
    <mergeCell ref="D349:E349"/>
    <mergeCell ref="D354:E354"/>
    <mergeCell ref="E358:J358"/>
    <mergeCell ref="E359:G359"/>
    <mergeCell ref="F365:H365"/>
    <mergeCell ref="I365:K365"/>
    <mergeCell ref="L421:M421"/>
    <mergeCell ref="E422:E423"/>
    <mergeCell ref="L422:L423"/>
    <mergeCell ref="M422:M423"/>
    <mergeCell ref="D456:E456"/>
    <mergeCell ref="D405:E405"/>
    <mergeCell ref="D410:E410"/>
    <mergeCell ref="E414:J414"/>
    <mergeCell ref="E415:G415"/>
    <mergeCell ref="F421:H421"/>
    <mergeCell ref="I421:K421"/>
    <mergeCell ref="L477:M477"/>
    <mergeCell ref="E478:E479"/>
    <mergeCell ref="L478:L479"/>
    <mergeCell ref="M478:M479"/>
    <mergeCell ref="D512:E512"/>
    <mergeCell ref="D461:E461"/>
    <mergeCell ref="D466:E466"/>
    <mergeCell ref="E470:J470"/>
    <mergeCell ref="E471:G471"/>
    <mergeCell ref="F477:H477"/>
    <mergeCell ref="I477:K477"/>
    <mergeCell ref="L533:M533"/>
    <mergeCell ref="E534:E535"/>
    <mergeCell ref="L534:L535"/>
    <mergeCell ref="M534:M535"/>
    <mergeCell ref="D568:E568"/>
    <mergeCell ref="D517:E517"/>
    <mergeCell ref="D522:E522"/>
    <mergeCell ref="E526:J526"/>
    <mergeCell ref="E527:G527"/>
    <mergeCell ref="F533:H533"/>
    <mergeCell ref="I533:K533"/>
    <mergeCell ref="L589:M589"/>
    <mergeCell ref="E590:E591"/>
    <mergeCell ref="L590:L591"/>
    <mergeCell ref="M590:M591"/>
    <mergeCell ref="D624:E624"/>
    <mergeCell ref="D573:E573"/>
    <mergeCell ref="D578:E578"/>
    <mergeCell ref="E582:J582"/>
    <mergeCell ref="E583:G583"/>
    <mergeCell ref="F589:H589"/>
    <mergeCell ref="I589:K589"/>
    <mergeCell ref="L645:M645"/>
    <mergeCell ref="E646:E647"/>
    <mergeCell ref="L646:L647"/>
    <mergeCell ref="M646:M647"/>
    <mergeCell ref="D680:E680"/>
    <mergeCell ref="D629:E629"/>
    <mergeCell ref="D634:E634"/>
    <mergeCell ref="E638:J638"/>
    <mergeCell ref="E639:G639"/>
    <mergeCell ref="F645:H645"/>
    <mergeCell ref="I645:K645"/>
    <mergeCell ref="L701:M701"/>
    <mergeCell ref="E702:E703"/>
    <mergeCell ref="L702:L703"/>
    <mergeCell ref="M702:M703"/>
    <mergeCell ref="D736:E736"/>
    <mergeCell ref="D685:E685"/>
    <mergeCell ref="D690:E690"/>
    <mergeCell ref="E694:J694"/>
    <mergeCell ref="E695:G695"/>
    <mergeCell ref="F701:H701"/>
    <mergeCell ref="I701:K701"/>
    <mergeCell ref="D797:E797"/>
    <mergeCell ref="D802:E802"/>
    <mergeCell ref="L757:M757"/>
    <mergeCell ref="E758:E759"/>
    <mergeCell ref="L758:L759"/>
    <mergeCell ref="M758:M759"/>
    <mergeCell ref="D792:E792"/>
    <mergeCell ref="D741:E741"/>
    <mergeCell ref="D746:E746"/>
    <mergeCell ref="E750:J750"/>
    <mergeCell ref="E751:G751"/>
    <mergeCell ref="F757:H757"/>
    <mergeCell ref="I757:K757"/>
  </mergeCells>
  <conditionalFormatting sqref="L39:L49">
    <cfRule type="expression" dxfId="7" priority="48">
      <formula>$G39="kW"</formula>
    </cfRule>
  </conditionalFormatting>
  <conditionalFormatting sqref="K39:K49">
    <cfRule type="expression" dxfId="6" priority="45">
      <formula>$G39="kW"</formula>
    </cfRule>
    <cfRule type="expression" dxfId="5" priority="46">
      <formula>$G39="kVa"</formula>
    </cfRule>
    <cfRule type="expression" dxfId="4" priority="47">
      <formula>$G39="kWh"</formula>
    </cfRule>
  </conditionalFormatting>
  <conditionalFormatting sqref="L30:L38">
    <cfRule type="expression" dxfId="3" priority="31">
      <formula>$G30="kW"</formula>
    </cfRule>
  </conditionalFormatting>
  <conditionalFormatting sqref="K30:K38">
    <cfRule type="expression" dxfId="2" priority="8">
      <formula>$G30="kW"</formula>
    </cfRule>
    <cfRule type="expression" dxfId="1" priority="9">
      <formula>$G30="kVa"</formula>
    </cfRule>
    <cfRule type="expression" dxfId="0" priority="10">
      <formula>$G30="kWh"</formula>
    </cfRule>
  </conditionalFormatting>
  <dataValidations count="4">
    <dataValidation type="list" allowBlank="1" showInputMessage="1" showErrorMessage="1" sqref="H30:H49" xr:uid="{00000000-0002-0000-1B00-000000000000}">
      <formula1>"RPP, Non-RPP (Retailer), Non-RPP (Other)"</formula1>
    </dataValidation>
    <dataValidation type="list" allowBlank="1" showInputMessage="1" showErrorMessage="1" sqref="M30:M49" xr:uid="{00000000-0002-0000-1B00-000001000000}">
      <formula1>"CONSUMPTION, DEMAND, DEMAND - INTERVAL"</formula1>
    </dataValidation>
    <dataValidation allowBlank="1" showInputMessage="1" showErrorMessage="1" sqref="D30:D36" xr:uid="{00000000-0002-0000-1B00-000003000000}"/>
    <dataValidation type="list" allowBlank="1" showInputMessage="1" showErrorMessage="1" prompt="Select Charge Unit - monthly, per kWh, per kW" sqref="E121 E126 E131 E116 E177 E182 E187 E172 E233 E238 E243 E228 E289 E294 E299 E284 E345 E350 E355 E340 E401 E406 E411 E396 E457 E462 E467 E452 E513 E518 E523 E508 E569 E574 E579 E564 E625 E630 E635 E620 E681 E686 E691 E676 E737 E742 E747 E732 E793 E798 E803 E788" xr:uid="{4CB58AAF-A96F-4E06-B1C7-DAF8C5C60D2E}">
      <formula1>"Monthly, per kWh, per kW"</formula1>
    </dataValidation>
  </dataValidations>
  <printOptions horizontalCentered="1" verticalCentered="1"/>
  <pageMargins left="0.74803149606299202" right="0.74803149606299202" top="0.39370078740157699" bottom="0.39370078740157699" header="0.511811023622047" footer="0.511811023622047"/>
  <pageSetup scale="55" orientation="landscape" r:id="rId1"/>
  <headerFooter alignWithMargins="0"/>
  <rowBreaks count="15" manualBreakCount="15">
    <brk id="49" max="16383" man="1"/>
    <brk id="77" max="16383" man="1"/>
    <brk id="133" max="16383" man="1"/>
    <brk id="189" max="16383" man="1"/>
    <brk id="245" max="16383" man="1"/>
    <brk id="301" max="16383" man="1"/>
    <brk id="357" max="16383" man="1"/>
    <brk id="413" max="16383" man="1"/>
    <brk id="469" max="16383" man="1"/>
    <brk id="525" max="16383" man="1"/>
    <brk id="581" max="16383" man="1"/>
    <brk id="637" max="16383" man="1"/>
    <brk id="693" max="16383" man="1"/>
    <brk id="749" max="16383" man="1"/>
    <brk id="81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Button 3">
              <controlPr defaultSize="0" print="0" autoFill="0" autoPict="0" macro="[0]!update_bill_impacts">
                <anchor>
                  <from>
                    <xdr:col>16</xdr:col>
                    <xdr:colOff>304800</xdr:colOff>
                    <xdr:row>35</xdr:row>
                    <xdr:rowOff>137160</xdr:rowOff>
                  </from>
                  <to>
                    <xdr:col>18</xdr:col>
                    <xdr:colOff>121920</xdr:colOff>
                    <xdr:row>37</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1B00-000004000000}">
          <x14:formula1>
            <xm:f>'2016 List'!$Q$1:$Q$7</xm:f>
          </x14:formula1>
          <xm:sqref>D37:D42 D43 D44 D45 D46 D47 D48 D49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S566"/>
  <sheetViews>
    <sheetView showGridLines="0" topLeftCell="A344" zoomScaleNormal="100" workbookViewId="0">
      <selection activeCell="B352" sqref="B352"/>
    </sheetView>
  </sheetViews>
  <sheetFormatPr defaultColWidth="9.109375" defaultRowHeight="14.4" x14ac:dyDescent="0.3"/>
  <cols>
    <col min="1" max="1" width="10.6640625" style="1192" customWidth="1"/>
    <col min="2" max="2" width="18.88671875" style="1192" customWidth="1"/>
    <col min="3" max="3" width="13.5546875" style="1192" customWidth="1"/>
    <col min="4" max="4" width="24.109375" style="1192" customWidth="1"/>
    <col min="5" max="5" width="36.33203125" style="1192" customWidth="1"/>
    <col min="6" max="6" width="26.109375" style="1192" customWidth="1"/>
    <col min="7" max="7" width="25.33203125" style="1192" customWidth="1"/>
    <col min="8" max="8" width="18" style="1192" customWidth="1"/>
    <col min="9" max="9" width="17" style="1192" customWidth="1"/>
    <col min="10" max="10" width="20.6640625" style="1192" customWidth="1"/>
    <col min="11" max="11" width="19.88671875" style="1192" customWidth="1"/>
    <col min="12" max="12" width="15" style="1192" customWidth="1"/>
    <col min="13" max="13" width="14.33203125" style="1192" customWidth="1"/>
    <col min="14" max="14" width="21.33203125" style="1192" customWidth="1"/>
    <col min="15" max="15" width="20.5546875" style="1192" customWidth="1"/>
    <col min="16" max="16" width="22.109375" style="1192" customWidth="1"/>
    <col min="17" max="17" width="21.33203125" style="1192" customWidth="1"/>
    <col min="18" max="18" width="18.5546875" style="1192" customWidth="1"/>
    <col min="19" max="19" width="17.5546875" style="1192" customWidth="1"/>
    <col min="20" max="20" width="0.6640625" style="1192" customWidth="1"/>
    <col min="21" max="16384" width="9.109375" style="1192"/>
  </cols>
  <sheetData>
    <row r="1" spans="1:19" x14ac:dyDescent="0.3">
      <c r="A1" s="1975" t="s">
        <v>6969</v>
      </c>
      <c r="B1" s="1975"/>
      <c r="C1" s="1975"/>
      <c r="D1" s="1975"/>
    </row>
    <row r="2" spans="1:19" x14ac:dyDescent="0.3">
      <c r="A2" s="1976" t="s">
        <v>7253</v>
      </c>
      <c r="B2" s="1976"/>
      <c r="C2" s="1976"/>
      <c r="D2" s="1976"/>
    </row>
    <row r="3" spans="1:19" x14ac:dyDescent="0.3">
      <c r="A3" s="758" t="s">
        <v>2045</v>
      </c>
    </row>
    <row r="4" spans="1:19" x14ac:dyDescent="0.3">
      <c r="A4" s="759" t="s">
        <v>1393</v>
      </c>
      <c r="B4" s="759" t="s">
        <v>622</v>
      </c>
      <c r="C4" s="759" t="s">
        <v>1394</v>
      </c>
      <c r="D4" s="759" t="s">
        <v>1395</v>
      </c>
      <c r="E4" s="759" t="s">
        <v>6970</v>
      </c>
      <c r="F4" s="759" t="s">
        <v>1495</v>
      </c>
      <c r="G4" s="759" t="s">
        <v>1496</v>
      </c>
      <c r="H4" s="759" t="s">
        <v>1497</v>
      </c>
      <c r="I4" s="759" t="s">
        <v>1498</v>
      </c>
      <c r="J4" s="759" t="s">
        <v>1499</v>
      </c>
      <c r="K4" s="759" t="s">
        <v>1500</v>
      </c>
      <c r="L4" s="759" t="s">
        <v>2054</v>
      </c>
      <c r="M4" s="759" t="s">
        <v>2055</v>
      </c>
      <c r="N4" s="759" t="s">
        <v>3784</v>
      </c>
      <c r="O4" s="759" t="s">
        <v>3785</v>
      </c>
      <c r="P4" s="759" t="s">
        <v>1406</v>
      </c>
      <c r="Q4" s="759" t="s">
        <v>1405</v>
      </c>
      <c r="R4" s="759" t="s">
        <v>1501</v>
      </c>
      <c r="S4" s="760" t="s">
        <v>1502</v>
      </c>
    </row>
    <row r="5" spans="1:19" ht="20.399999999999999" x14ac:dyDescent="0.3">
      <c r="A5" s="761" t="s">
        <v>6971</v>
      </c>
      <c r="B5" s="761" t="s">
        <v>3786</v>
      </c>
      <c r="C5" s="761" t="s">
        <v>1514</v>
      </c>
      <c r="D5" s="761" t="s">
        <v>3787</v>
      </c>
      <c r="E5" s="1067" t="s">
        <v>5192</v>
      </c>
      <c r="F5" s="762">
        <v>0</v>
      </c>
      <c r="G5" s="762">
        <v>0</v>
      </c>
      <c r="H5" s="762">
        <v>0</v>
      </c>
      <c r="I5" s="762">
        <v>0</v>
      </c>
      <c r="J5" s="762">
        <v>15915</v>
      </c>
      <c r="K5" s="762">
        <v>0</v>
      </c>
      <c r="L5" s="762">
        <v>0</v>
      </c>
      <c r="M5" s="762">
        <v>0</v>
      </c>
      <c r="N5" s="1187">
        <v>0</v>
      </c>
      <c r="O5" s="1187">
        <v>0</v>
      </c>
      <c r="P5" s="762">
        <v>15915</v>
      </c>
      <c r="Q5" s="762">
        <v>0</v>
      </c>
      <c r="R5" s="763">
        <v>15915</v>
      </c>
      <c r="S5" s="764">
        <v>0</v>
      </c>
    </row>
    <row r="6" spans="1:19" ht="40.799999999999997" x14ac:dyDescent="0.3">
      <c r="A6" s="761" t="s">
        <v>6971</v>
      </c>
      <c r="B6" s="761" t="s">
        <v>3786</v>
      </c>
      <c r="C6" s="761" t="s">
        <v>1504</v>
      </c>
      <c r="D6" s="761" t="s">
        <v>3788</v>
      </c>
      <c r="E6" s="1067" t="s">
        <v>5193</v>
      </c>
      <c r="F6" s="762">
        <v>319053099</v>
      </c>
      <c r="G6" s="762">
        <v>871143</v>
      </c>
      <c r="H6" s="762">
        <v>316615243</v>
      </c>
      <c r="I6" s="762">
        <v>838977</v>
      </c>
      <c r="J6" s="762">
        <v>1408812861</v>
      </c>
      <c r="K6" s="762">
        <v>3858559</v>
      </c>
      <c r="L6" s="762">
        <v>937876</v>
      </c>
      <c r="M6" s="762">
        <v>2913</v>
      </c>
      <c r="N6" s="1187">
        <v>0</v>
      </c>
      <c r="O6" s="1187">
        <v>0</v>
      </c>
      <c r="P6" s="762">
        <v>1726365980</v>
      </c>
      <c r="Q6" s="762">
        <v>4700449</v>
      </c>
      <c r="R6" s="763">
        <v>2045419079</v>
      </c>
      <c r="S6" s="764">
        <v>5571592</v>
      </c>
    </row>
    <row r="7" spans="1:19" ht="40.799999999999997" x14ac:dyDescent="0.3">
      <c r="A7" s="761" t="s">
        <v>6971</v>
      </c>
      <c r="B7" s="761" t="s">
        <v>3786</v>
      </c>
      <c r="C7" s="761" t="s">
        <v>1504</v>
      </c>
      <c r="D7" s="761" t="s">
        <v>3789</v>
      </c>
      <c r="E7" s="1067" t="s">
        <v>5194</v>
      </c>
      <c r="F7" s="762">
        <v>352857852</v>
      </c>
      <c r="G7" s="762">
        <v>835019</v>
      </c>
      <c r="H7" s="762">
        <v>142094921</v>
      </c>
      <c r="I7" s="762">
        <v>348423</v>
      </c>
      <c r="J7" s="762">
        <v>1405764332</v>
      </c>
      <c r="K7" s="762">
        <v>3348790</v>
      </c>
      <c r="L7" s="762">
        <v>13800097</v>
      </c>
      <c r="M7" s="762">
        <v>27119</v>
      </c>
      <c r="N7" s="1187">
        <v>0</v>
      </c>
      <c r="O7" s="1187">
        <v>0</v>
      </c>
      <c r="P7" s="762">
        <v>1561659350</v>
      </c>
      <c r="Q7" s="762">
        <v>3724332</v>
      </c>
      <c r="R7" s="763">
        <v>1914517202</v>
      </c>
      <c r="S7" s="764">
        <v>4559351</v>
      </c>
    </row>
    <row r="8" spans="1:19" ht="40.799999999999997" x14ac:dyDescent="0.3">
      <c r="A8" s="761" t="s">
        <v>6971</v>
      </c>
      <c r="B8" s="761" t="s">
        <v>3786</v>
      </c>
      <c r="C8" s="761" t="s">
        <v>1504</v>
      </c>
      <c r="D8" s="761" t="s">
        <v>6972</v>
      </c>
      <c r="E8" s="1067" t="s">
        <v>5759</v>
      </c>
      <c r="F8" s="762">
        <v>25313611</v>
      </c>
      <c r="G8" s="762">
        <v>46789</v>
      </c>
      <c r="H8" s="762">
        <v>0</v>
      </c>
      <c r="I8" s="762">
        <v>0</v>
      </c>
      <c r="J8" s="762">
        <v>503036196</v>
      </c>
      <c r="K8" s="762">
        <v>1061626</v>
      </c>
      <c r="L8" s="762">
        <v>0</v>
      </c>
      <c r="M8" s="762">
        <v>0</v>
      </c>
      <c r="N8" s="1187">
        <v>0</v>
      </c>
      <c r="O8" s="1187">
        <v>0</v>
      </c>
      <c r="P8" s="762">
        <v>503036196</v>
      </c>
      <c r="Q8" s="762">
        <v>1061626</v>
      </c>
      <c r="R8" s="763">
        <v>528349807</v>
      </c>
      <c r="S8" s="764">
        <v>1108415</v>
      </c>
    </row>
    <row r="9" spans="1:19" ht="40.799999999999997" x14ac:dyDescent="0.3">
      <c r="A9" s="761" t="s">
        <v>6971</v>
      </c>
      <c r="B9" s="761" t="s">
        <v>3786</v>
      </c>
      <c r="C9" s="761" t="s">
        <v>1504</v>
      </c>
      <c r="D9" s="761" t="s">
        <v>6973</v>
      </c>
      <c r="E9" s="1067" t="s">
        <v>5760</v>
      </c>
      <c r="F9" s="762">
        <v>64219717</v>
      </c>
      <c r="G9" s="762">
        <v>183325</v>
      </c>
      <c r="H9" s="762">
        <v>48154988</v>
      </c>
      <c r="I9" s="762">
        <v>127439</v>
      </c>
      <c r="J9" s="762">
        <v>280444358</v>
      </c>
      <c r="K9" s="762">
        <v>744592</v>
      </c>
      <c r="L9" s="762">
        <v>5858301</v>
      </c>
      <c r="M9" s="762">
        <v>12591</v>
      </c>
      <c r="N9" s="1187">
        <v>0</v>
      </c>
      <c r="O9" s="1187">
        <v>0</v>
      </c>
      <c r="P9" s="762">
        <v>334457647</v>
      </c>
      <c r="Q9" s="762">
        <v>884622</v>
      </c>
      <c r="R9" s="763">
        <v>398677364</v>
      </c>
      <c r="S9" s="764">
        <v>1067947</v>
      </c>
    </row>
    <row r="10" spans="1:19" ht="40.799999999999997" x14ac:dyDescent="0.3">
      <c r="A10" s="761" t="s">
        <v>6971</v>
      </c>
      <c r="B10" s="761" t="s">
        <v>3786</v>
      </c>
      <c r="C10" s="761" t="s">
        <v>1504</v>
      </c>
      <c r="D10" s="761" t="s">
        <v>3790</v>
      </c>
      <c r="E10" s="1067" t="s">
        <v>7303</v>
      </c>
      <c r="F10" s="762">
        <v>223698135</v>
      </c>
      <c r="G10" s="762">
        <v>662672</v>
      </c>
      <c r="H10" s="762">
        <v>195959217</v>
      </c>
      <c r="I10" s="762">
        <v>557090</v>
      </c>
      <c r="J10" s="762">
        <v>1373672312</v>
      </c>
      <c r="K10" s="762">
        <v>3905197</v>
      </c>
      <c r="L10" s="762">
        <v>9578684</v>
      </c>
      <c r="M10" s="762">
        <v>17960</v>
      </c>
      <c r="N10" s="1187">
        <v>0</v>
      </c>
      <c r="O10" s="1187">
        <v>0</v>
      </c>
      <c r="P10" s="762">
        <v>1579210213</v>
      </c>
      <c r="Q10" s="762">
        <v>4480247</v>
      </c>
      <c r="R10" s="763">
        <v>1802908348</v>
      </c>
      <c r="S10" s="764">
        <v>5142919</v>
      </c>
    </row>
    <row r="11" spans="1:19" ht="40.799999999999997" x14ac:dyDescent="0.3">
      <c r="A11" s="761" t="s">
        <v>6971</v>
      </c>
      <c r="B11" s="761" t="s">
        <v>3786</v>
      </c>
      <c r="C11" s="761" t="s">
        <v>1504</v>
      </c>
      <c r="D11" s="761" t="s">
        <v>3791</v>
      </c>
      <c r="E11" s="1067" t="s">
        <v>5195</v>
      </c>
      <c r="F11" s="762">
        <v>0</v>
      </c>
      <c r="G11" s="762">
        <v>0</v>
      </c>
      <c r="H11" s="762">
        <v>0</v>
      </c>
      <c r="I11" s="762">
        <v>0</v>
      </c>
      <c r="J11" s="762">
        <v>0</v>
      </c>
      <c r="K11" s="762">
        <v>0</v>
      </c>
      <c r="L11" s="762">
        <v>0</v>
      </c>
      <c r="M11" s="762">
        <v>0</v>
      </c>
      <c r="N11" s="1187">
        <v>0</v>
      </c>
      <c r="O11" s="1187">
        <v>0</v>
      </c>
      <c r="P11" s="762">
        <v>0</v>
      </c>
      <c r="Q11" s="762">
        <v>0</v>
      </c>
      <c r="R11" s="763">
        <v>0</v>
      </c>
      <c r="S11" s="764">
        <v>0</v>
      </c>
    </row>
    <row r="12" spans="1:19" ht="40.799999999999997" x14ac:dyDescent="0.3">
      <c r="A12" s="761" t="s">
        <v>6971</v>
      </c>
      <c r="B12" s="761" t="s">
        <v>3786</v>
      </c>
      <c r="C12" s="761" t="s">
        <v>1504</v>
      </c>
      <c r="D12" s="761" t="s">
        <v>3792</v>
      </c>
      <c r="E12" s="1067" t="s">
        <v>5196</v>
      </c>
      <c r="F12" s="762">
        <v>168633930</v>
      </c>
      <c r="G12" s="762">
        <v>453923</v>
      </c>
      <c r="H12" s="762">
        <v>172037715</v>
      </c>
      <c r="I12" s="762">
        <v>475285</v>
      </c>
      <c r="J12" s="762">
        <v>775802915</v>
      </c>
      <c r="K12" s="762">
        <v>2143296</v>
      </c>
      <c r="L12" s="762">
        <v>3333117</v>
      </c>
      <c r="M12" s="762">
        <v>15230</v>
      </c>
      <c r="N12" s="1187">
        <v>0</v>
      </c>
      <c r="O12" s="1187">
        <v>0</v>
      </c>
      <c r="P12" s="762">
        <v>951173747</v>
      </c>
      <c r="Q12" s="762">
        <v>2633811</v>
      </c>
      <c r="R12" s="763">
        <v>1119807677</v>
      </c>
      <c r="S12" s="764">
        <v>3087734</v>
      </c>
    </row>
    <row r="13" spans="1:19" ht="40.799999999999997" x14ac:dyDescent="0.3">
      <c r="A13" s="761" t="s">
        <v>6971</v>
      </c>
      <c r="B13" s="761" t="s">
        <v>3786</v>
      </c>
      <c r="C13" s="761" t="s">
        <v>1504</v>
      </c>
      <c r="D13" s="761" t="s">
        <v>3793</v>
      </c>
      <c r="E13" s="1067" t="s">
        <v>5197</v>
      </c>
      <c r="F13" s="762">
        <v>142842023</v>
      </c>
      <c r="G13" s="762">
        <v>353459</v>
      </c>
      <c r="H13" s="762">
        <v>2794518</v>
      </c>
      <c r="I13" s="762">
        <v>6649</v>
      </c>
      <c r="J13" s="762">
        <v>621872638</v>
      </c>
      <c r="K13" s="762">
        <v>1479614</v>
      </c>
      <c r="L13" s="762">
        <v>66899432</v>
      </c>
      <c r="M13" s="762">
        <v>111846</v>
      </c>
      <c r="N13" s="1187">
        <v>0</v>
      </c>
      <c r="O13" s="1187">
        <v>0</v>
      </c>
      <c r="P13" s="762">
        <v>691566586</v>
      </c>
      <c r="Q13" s="762">
        <v>1598109</v>
      </c>
      <c r="R13" s="763">
        <v>834408609</v>
      </c>
      <c r="S13" s="764">
        <v>1951568</v>
      </c>
    </row>
    <row r="14" spans="1:19" ht="40.799999999999997" x14ac:dyDescent="0.3">
      <c r="A14" s="761" t="s">
        <v>6971</v>
      </c>
      <c r="B14" s="761" t="s">
        <v>3786</v>
      </c>
      <c r="C14" s="761" t="s">
        <v>1504</v>
      </c>
      <c r="D14" s="761" t="s">
        <v>3794</v>
      </c>
      <c r="E14" s="1067" t="s">
        <v>5198</v>
      </c>
      <c r="F14" s="762">
        <v>580885193</v>
      </c>
      <c r="G14" s="762">
        <v>1582954</v>
      </c>
      <c r="H14" s="762">
        <v>375333859</v>
      </c>
      <c r="I14" s="762">
        <v>957612</v>
      </c>
      <c r="J14" s="762">
        <v>3667003317</v>
      </c>
      <c r="K14" s="762">
        <v>9410027</v>
      </c>
      <c r="L14" s="762">
        <v>31728324</v>
      </c>
      <c r="M14" s="762">
        <v>80908</v>
      </c>
      <c r="N14" s="1187">
        <v>0</v>
      </c>
      <c r="O14" s="1187">
        <v>0</v>
      </c>
      <c r="P14" s="762">
        <v>4074065500</v>
      </c>
      <c r="Q14" s="762">
        <v>10448547</v>
      </c>
      <c r="R14" s="763">
        <v>4654950693</v>
      </c>
      <c r="S14" s="764">
        <v>12031501</v>
      </c>
    </row>
    <row r="15" spans="1:19" ht="30.6" x14ac:dyDescent="0.3">
      <c r="A15" s="761" t="s">
        <v>6971</v>
      </c>
      <c r="B15" s="761" t="s">
        <v>3786</v>
      </c>
      <c r="C15" s="761" t="s">
        <v>288</v>
      </c>
      <c r="D15" s="761" t="s">
        <v>3795</v>
      </c>
      <c r="E15" s="1067" t="s">
        <v>5199</v>
      </c>
      <c r="F15" s="762">
        <v>94049053</v>
      </c>
      <c r="G15" s="762">
        <v>0</v>
      </c>
      <c r="H15" s="762">
        <v>563117951</v>
      </c>
      <c r="I15" s="762">
        <v>0</v>
      </c>
      <c r="J15" s="762">
        <v>0</v>
      </c>
      <c r="K15" s="762">
        <v>0</v>
      </c>
      <c r="L15" s="762">
        <v>0</v>
      </c>
      <c r="M15" s="762">
        <v>0</v>
      </c>
      <c r="N15" s="1187">
        <v>0</v>
      </c>
      <c r="O15" s="1187">
        <v>0</v>
      </c>
      <c r="P15" s="762">
        <v>563117951</v>
      </c>
      <c r="Q15" s="762">
        <v>0</v>
      </c>
      <c r="R15" s="763">
        <v>657167004</v>
      </c>
      <c r="S15" s="764">
        <v>0</v>
      </c>
    </row>
    <row r="16" spans="1:19" ht="30.6" x14ac:dyDescent="0.3">
      <c r="A16" s="761" t="s">
        <v>6971</v>
      </c>
      <c r="B16" s="761" t="s">
        <v>3786</v>
      </c>
      <c r="C16" s="761" t="s">
        <v>288</v>
      </c>
      <c r="D16" s="761" t="s">
        <v>6974</v>
      </c>
      <c r="E16" s="1067" t="s">
        <v>5761</v>
      </c>
      <c r="F16" s="762">
        <v>27369786</v>
      </c>
      <c r="G16" s="762">
        <v>0</v>
      </c>
      <c r="H16" s="762">
        <v>117438383</v>
      </c>
      <c r="I16" s="762">
        <v>0</v>
      </c>
      <c r="J16" s="762">
        <v>0</v>
      </c>
      <c r="K16" s="762">
        <v>0</v>
      </c>
      <c r="L16" s="762">
        <v>0</v>
      </c>
      <c r="M16" s="762">
        <v>0</v>
      </c>
      <c r="N16" s="1187">
        <v>0</v>
      </c>
      <c r="O16" s="1187">
        <v>0</v>
      </c>
      <c r="P16" s="762">
        <v>117438383</v>
      </c>
      <c r="Q16" s="762">
        <v>0</v>
      </c>
      <c r="R16" s="763">
        <v>144808169</v>
      </c>
      <c r="S16" s="764">
        <v>0</v>
      </c>
    </row>
    <row r="17" spans="1:19" ht="30.6" x14ac:dyDescent="0.3">
      <c r="A17" s="761" t="s">
        <v>6971</v>
      </c>
      <c r="B17" s="761" t="s">
        <v>3786</v>
      </c>
      <c r="C17" s="761" t="s">
        <v>288</v>
      </c>
      <c r="D17" s="761" t="s">
        <v>3796</v>
      </c>
      <c r="E17" s="1067" t="s">
        <v>7304</v>
      </c>
      <c r="F17" s="762">
        <v>96072996</v>
      </c>
      <c r="G17" s="762">
        <v>0</v>
      </c>
      <c r="H17" s="762">
        <v>485255538</v>
      </c>
      <c r="I17" s="762">
        <v>0</v>
      </c>
      <c r="J17" s="762">
        <v>1977216</v>
      </c>
      <c r="K17" s="762">
        <v>0</v>
      </c>
      <c r="L17" s="762">
        <v>0</v>
      </c>
      <c r="M17" s="762">
        <v>0</v>
      </c>
      <c r="N17" s="1187">
        <v>0</v>
      </c>
      <c r="O17" s="1187">
        <v>0</v>
      </c>
      <c r="P17" s="762">
        <v>487232754</v>
      </c>
      <c r="Q17" s="762">
        <v>0</v>
      </c>
      <c r="R17" s="763">
        <v>583305750</v>
      </c>
      <c r="S17" s="764">
        <v>0</v>
      </c>
    </row>
    <row r="18" spans="1:19" ht="30.6" x14ac:dyDescent="0.3">
      <c r="A18" s="761" t="s">
        <v>6971</v>
      </c>
      <c r="B18" s="761" t="s">
        <v>3786</v>
      </c>
      <c r="C18" s="761" t="s">
        <v>288</v>
      </c>
      <c r="D18" s="761" t="s">
        <v>4760</v>
      </c>
      <c r="E18" s="1067" t="s">
        <v>5200</v>
      </c>
      <c r="F18" s="762">
        <v>0</v>
      </c>
      <c r="G18" s="762">
        <v>0</v>
      </c>
      <c r="H18" s="762">
        <v>0</v>
      </c>
      <c r="I18" s="762">
        <v>0</v>
      </c>
      <c r="J18" s="762">
        <v>293427</v>
      </c>
      <c r="K18" s="762">
        <v>0</v>
      </c>
      <c r="L18" s="762">
        <v>0</v>
      </c>
      <c r="M18" s="762">
        <v>0</v>
      </c>
      <c r="N18" s="1187">
        <v>0</v>
      </c>
      <c r="O18" s="1187">
        <v>0</v>
      </c>
      <c r="P18" s="762">
        <v>293427</v>
      </c>
      <c r="Q18" s="762">
        <v>0</v>
      </c>
      <c r="R18" s="763">
        <v>293427</v>
      </c>
      <c r="S18" s="764">
        <v>0</v>
      </c>
    </row>
    <row r="19" spans="1:19" ht="30.6" x14ac:dyDescent="0.3">
      <c r="A19" s="761" t="s">
        <v>6971</v>
      </c>
      <c r="B19" s="761" t="s">
        <v>3786</v>
      </c>
      <c r="C19" s="761" t="s">
        <v>288</v>
      </c>
      <c r="D19" s="761" t="s">
        <v>3797</v>
      </c>
      <c r="E19" s="1067" t="s">
        <v>5201</v>
      </c>
      <c r="F19" s="762">
        <v>64022415</v>
      </c>
      <c r="G19" s="762">
        <v>0</v>
      </c>
      <c r="H19" s="762">
        <v>286058004</v>
      </c>
      <c r="I19" s="762">
        <v>0</v>
      </c>
      <c r="J19" s="762">
        <v>21271</v>
      </c>
      <c r="K19" s="762">
        <v>0</v>
      </c>
      <c r="L19" s="762">
        <v>0</v>
      </c>
      <c r="M19" s="762">
        <v>0</v>
      </c>
      <c r="N19" s="1187">
        <v>0</v>
      </c>
      <c r="O19" s="1187">
        <v>0</v>
      </c>
      <c r="P19" s="762">
        <v>286079275</v>
      </c>
      <c r="Q19" s="762">
        <v>0</v>
      </c>
      <c r="R19" s="763">
        <v>350101690</v>
      </c>
      <c r="S19" s="764">
        <v>0</v>
      </c>
    </row>
    <row r="20" spans="1:19" ht="30.6" x14ac:dyDescent="0.3">
      <c r="A20" s="761" t="s">
        <v>6971</v>
      </c>
      <c r="B20" s="761" t="s">
        <v>3786</v>
      </c>
      <c r="C20" s="761" t="s">
        <v>288</v>
      </c>
      <c r="D20" s="761" t="s">
        <v>3798</v>
      </c>
      <c r="E20" s="1067" t="s">
        <v>5202</v>
      </c>
      <c r="F20" s="762">
        <v>129475115</v>
      </c>
      <c r="G20" s="762">
        <v>0</v>
      </c>
      <c r="H20" s="762">
        <v>860178040</v>
      </c>
      <c r="I20" s="762">
        <v>0</v>
      </c>
      <c r="J20" s="762">
        <v>4525282</v>
      </c>
      <c r="K20" s="762">
        <v>0</v>
      </c>
      <c r="L20" s="762">
        <v>0</v>
      </c>
      <c r="M20" s="762">
        <v>0</v>
      </c>
      <c r="N20" s="1187">
        <v>0</v>
      </c>
      <c r="O20" s="1187">
        <v>0</v>
      </c>
      <c r="P20" s="762">
        <v>864703322</v>
      </c>
      <c r="Q20" s="762">
        <v>0</v>
      </c>
      <c r="R20" s="763">
        <v>994178437</v>
      </c>
      <c r="S20" s="764">
        <v>0</v>
      </c>
    </row>
    <row r="21" spans="1:19" ht="20.399999999999999" x14ac:dyDescent="0.3">
      <c r="A21" s="761" t="s">
        <v>6971</v>
      </c>
      <c r="B21" s="761" t="s">
        <v>3786</v>
      </c>
      <c r="C21" s="761" t="s">
        <v>1510</v>
      </c>
      <c r="D21" s="761" t="s">
        <v>3799</v>
      </c>
      <c r="E21" s="1067" t="s">
        <v>5203</v>
      </c>
      <c r="F21" s="762">
        <v>103686606</v>
      </c>
      <c r="G21" s="762">
        <v>179928</v>
      </c>
      <c r="H21" s="762">
        <v>0</v>
      </c>
      <c r="I21" s="762">
        <v>0</v>
      </c>
      <c r="J21" s="762">
        <v>907573690</v>
      </c>
      <c r="K21" s="762">
        <v>1574919</v>
      </c>
      <c r="L21" s="762">
        <v>0</v>
      </c>
      <c r="M21" s="762">
        <v>0</v>
      </c>
      <c r="N21" s="1187">
        <v>0</v>
      </c>
      <c r="O21" s="1187">
        <v>0</v>
      </c>
      <c r="P21" s="762">
        <v>907573690</v>
      </c>
      <c r="Q21" s="762">
        <v>1574919</v>
      </c>
      <c r="R21" s="763">
        <v>1011260296</v>
      </c>
      <c r="S21" s="764">
        <v>1754847</v>
      </c>
    </row>
    <row r="22" spans="1:19" ht="20.399999999999999" x14ac:dyDescent="0.3">
      <c r="A22" s="761" t="s">
        <v>6971</v>
      </c>
      <c r="B22" s="761" t="s">
        <v>3786</v>
      </c>
      <c r="C22" s="761" t="s">
        <v>1510</v>
      </c>
      <c r="D22" s="761" t="s">
        <v>3800</v>
      </c>
      <c r="E22" s="1067" t="s">
        <v>7305</v>
      </c>
      <c r="F22" s="762">
        <v>32960927</v>
      </c>
      <c r="G22" s="762">
        <v>73431</v>
      </c>
      <c r="H22" s="762">
        <v>0</v>
      </c>
      <c r="I22" s="762">
        <v>0</v>
      </c>
      <c r="J22" s="762">
        <v>156507075</v>
      </c>
      <c r="K22" s="762">
        <v>257584</v>
      </c>
      <c r="L22" s="762">
        <v>0</v>
      </c>
      <c r="M22" s="762">
        <v>0</v>
      </c>
      <c r="N22" s="1187">
        <v>0</v>
      </c>
      <c r="O22" s="1187">
        <v>0</v>
      </c>
      <c r="P22" s="762">
        <v>156507075</v>
      </c>
      <c r="Q22" s="762">
        <v>257584</v>
      </c>
      <c r="R22" s="763">
        <v>189468002</v>
      </c>
      <c r="S22" s="764">
        <v>331015</v>
      </c>
    </row>
    <row r="23" spans="1:19" ht="30.6" x14ac:dyDescent="0.3">
      <c r="A23" s="761" t="s">
        <v>6971</v>
      </c>
      <c r="B23" s="761" t="s">
        <v>3786</v>
      </c>
      <c r="C23" s="761" t="s">
        <v>1510</v>
      </c>
      <c r="D23" s="761" t="s">
        <v>3801</v>
      </c>
      <c r="E23" s="1067" t="s">
        <v>7306</v>
      </c>
      <c r="F23" s="762">
        <v>0</v>
      </c>
      <c r="G23" s="762">
        <v>0</v>
      </c>
      <c r="H23" s="762">
        <v>0</v>
      </c>
      <c r="I23" s="762">
        <v>0</v>
      </c>
      <c r="J23" s="762">
        <v>336810179</v>
      </c>
      <c r="K23" s="762">
        <v>735801</v>
      </c>
      <c r="L23" s="762">
        <v>775606464</v>
      </c>
      <c r="M23" s="762">
        <v>1241577</v>
      </c>
      <c r="N23" s="1187">
        <v>0</v>
      </c>
      <c r="O23" s="1187">
        <v>0</v>
      </c>
      <c r="P23" s="762">
        <v>1112416629</v>
      </c>
      <c r="Q23" s="762">
        <v>1977378</v>
      </c>
      <c r="R23" s="763">
        <v>1112416629</v>
      </c>
      <c r="S23" s="764">
        <v>1977378</v>
      </c>
    </row>
    <row r="24" spans="1:19" ht="20.399999999999999" x14ac:dyDescent="0.3">
      <c r="A24" s="761" t="s">
        <v>6971</v>
      </c>
      <c r="B24" s="761" t="s">
        <v>3786</v>
      </c>
      <c r="C24" s="761" t="s">
        <v>1510</v>
      </c>
      <c r="D24" s="761" t="s">
        <v>3802</v>
      </c>
      <c r="E24" s="1067" t="s">
        <v>5204</v>
      </c>
      <c r="F24" s="762">
        <v>35167323</v>
      </c>
      <c r="G24" s="762">
        <v>62459</v>
      </c>
      <c r="H24" s="762">
        <v>0</v>
      </c>
      <c r="I24" s="762">
        <v>0</v>
      </c>
      <c r="J24" s="762">
        <v>311935095</v>
      </c>
      <c r="K24" s="762">
        <v>594129</v>
      </c>
      <c r="L24" s="762">
        <v>0</v>
      </c>
      <c r="M24" s="762">
        <v>0</v>
      </c>
      <c r="N24" s="1187">
        <v>0</v>
      </c>
      <c r="O24" s="1187">
        <v>0</v>
      </c>
      <c r="P24" s="762">
        <v>311935095</v>
      </c>
      <c r="Q24" s="762">
        <v>594129</v>
      </c>
      <c r="R24" s="763">
        <v>347102418</v>
      </c>
      <c r="S24" s="764">
        <v>656588</v>
      </c>
    </row>
    <row r="25" spans="1:19" ht="20.399999999999999" x14ac:dyDescent="0.3">
      <c r="A25" s="761" t="s">
        <v>6971</v>
      </c>
      <c r="B25" s="761" t="s">
        <v>3786</v>
      </c>
      <c r="C25" s="761" t="s">
        <v>1510</v>
      </c>
      <c r="D25" s="761" t="s">
        <v>6975</v>
      </c>
      <c r="E25" s="1067" t="s">
        <v>5762</v>
      </c>
      <c r="F25" s="762">
        <v>0</v>
      </c>
      <c r="G25" s="762">
        <v>0</v>
      </c>
      <c r="H25" s="762">
        <v>0</v>
      </c>
      <c r="I25" s="762">
        <v>0</v>
      </c>
      <c r="J25" s="762">
        <v>190036607</v>
      </c>
      <c r="K25" s="762">
        <v>412025</v>
      </c>
      <c r="L25" s="762">
        <v>272353</v>
      </c>
      <c r="M25" s="762">
        <v>1396</v>
      </c>
      <c r="N25" s="1187">
        <v>0</v>
      </c>
      <c r="O25" s="1187">
        <v>0</v>
      </c>
      <c r="P25" s="762">
        <v>190308960</v>
      </c>
      <c r="Q25" s="762">
        <v>413421</v>
      </c>
      <c r="R25" s="763">
        <v>190308960</v>
      </c>
      <c r="S25" s="764">
        <v>413421</v>
      </c>
    </row>
    <row r="26" spans="1:19" ht="20.399999999999999" x14ac:dyDescent="0.3">
      <c r="A26" s="761" t="s">
        <v>6971</v>
      </c>
      <c r="B26" s="761" t="s">
        <v>3786</v>
      </c>
      <c r="C26" s="761" t="s">
        <v>1510</v>
      </c>
      <c r="D26" s="761" t="s">
        <v>3803</v>
      </c>
      <c r="E26" s="1067" t="s">
        <v>5205</v>
      </c>
      <c r="F26" s="762">
        <v>0</v>
      </c>
      <c r="G26" s="762">
        <v>0</v>
      </c>
      <c r="H26" s="762">
        <v>0</v>
      </c>
      <c r="I26" s="762">
        <v>0</v>
      </c>
      <c r="J26" s="762">
        <v>54612241</v>
      </c>
      <c r="K26" s="762">
        <v>95900</v>
      </c>
      <c r="L26" s="762">
        <v>0</v>
      </c>
      <c r="M26" s="762">
        <v>0</v>
      </c>
      <c r="N26" s="1187">
        <v>0</v>
      </c>
      <c r="O26" s="1187">
        <v>0</v>
      </c>
      <c r="P26" s="762">
        <v>54612241</v>
      </c>
      <c r="Q26" s="762">
        <v>95900</v>
      </c>
      <c r="R26" s="763">
        <v>54612241</v>
      </c>
      <c r="S26" s="764">
        <v>95900</v>
      </c>
    </row>
    <row r="27" spans="1:19" ht="20.399999999999999" x14ac:dyDescent="0.3">
      <c r="A27" s="761" t="s">
        <v>6971</v>
      </c>
      <c r="B27" s="761" t="s">
        <v>3786</v>
      </c>
      <c r="C27" s="761" t="s">
        <v>3804</v>
      </c>
      <c r="D27" s="761" t="s">
        <v>3804</v>
      </c>
      <c r="E27" s="761" t="s">
        <v>3805</v>
      </c>
      <c r="F27" s="762">
        <v>0</v>
      </c>
      <c r="G27" s="762">
        <v>0</v>
      </c>
      <c r="H27" s="762">
        <v>0</v>
      </c>
      <c r="I27" s="762">
        <v>0</v>
      </c>
      <c r="J27" s="762">
        <v>0</v>
      </c>
      <c r="K27" s="762">
        <v>0</v>
      </c>
      <c r="L27" s="762">
        <v>0</v>
      </c>
      <c r="M27" s="762">
        <v>0</v>
      </c>
      <c r="N27" s="1187">
        <v>6159397376</v>
      </c>
      <c r="O27" s="1187">
        <v>12564498</v>
      </c>
      <c r="P27" s="762">
        <v>0</v>
      </c>
      <c r="Q27" s="762">
        <v>0</v>
      </c>
      <c r="R27" s="763">
        <v>0</v>
      </c>
      <c r="S27" s="764">
        <v>0</v>
      </c>
    </row>
    <row r="28" spans="1:19" ht="20.399999999999999" x14ac:dyDescent="0.3">
      <c r="A28" s="761" t="s">
        <v>6971</v>
      </c>
      <c r="B28" s="761" t="s">
        <v>3786</v>
      </c>
      <c r="C28" s="761" t="s">
        <v>307</v>
      </c>
      <c r="D28" s="761" t="s">
        <v>3806</v>
      </c>
      <c r="E28" s="1067" t="s">
        <v>5206</v>
      </c>
      <c r="F28" s="762">
        <v>34870784</v>
      </c>
      <c r="G28" s="762">
        <v>0</v>
      </c>
      <c r="H28" s="762">
        <v>1394158063</v>
      </c>
      <c r="I28" s="762">
        <v>0</v>
      </c>
      <c r="J28" s="762">
        <v>0</v>
      </c>
      <c r="K28" s="762">
        <v>0</v>
      </c>
      <c r="L28" s="762">
        <v>0</v>
      </c>
      <c r="M28" s="762">
        <v>0</v>
      </c>
      <c r="N28" s="1187">
        <v>0</v>
      </c>
      <c r="O28" s="1187">
        <v>0</v>
      </c>
      <c r="P28" s="762">
        <v>1394158063</v>
      </c>
      <c r="Q28" s="762">
        <v>0</v>
      </c>
      <c r="R28" s="763">
        <v>1429028847</v>
      </c>
      <c r="S28" s="764">
        <v>0</v>
      </c>
    </row>
    <row r="29" spans="1:19" ht="20.399999999999999" x14ac:dyDescent="0.3">
      <c r="A29" s="761" t="s">
        <v>6971</v>
      </c>
      <c r="B29" s="761" t="s">
        <v>3786</v>
      </c>
      <c r="C29" s="761" t="s">
        <v>307</v>
      </c>
      <c r="D29" s="761" t="s">
        <v>3807</v>
      </c>
      <c r="E29" s="1067" t="s">
        <v>7307</v>
      </c>
      <c r="F29" s="762">
        <v>43940817</v>
      </c>
      <c r="G29" s="762">
        <v>0</v>
      </c>
      <c r="H29" s="762">
        <v>1528610246</v>
      </c>
      <c r="I29" s="762">
        <v>0</v>
      </c>
      <c r="J29" s="762">
        <v>0</v>
      </c>
      <c r="K29" s="762">
        <v>0</v>
      </c>
      <c r="L29" s="762">
        <v>0</v>
      </c>
      <c r="M29" s="762">
        <v>0</v>
      </c>
      <c r="N29" s="1187">
        <v>0</v>
      </c>
      <c r="O29" s="1187">
        <v>0</v>
      </c>
      <c r="P29" s="762">
        <v>1528610246</v>
      </c>
      <c r="Q29" s="762">
        <v>0</v>
      </c>
      <c r="R29" s="763">
        <v>1572551063</v>
      </c>
      <c r="S29" s="764">
        <v>0</v>
      </c>
    </row>
    <row r="30" spans="1:19" ht="20.399999999999999" x14ac:dyDescent="0.3">
      <c r="A30" s="761" t="s">
        <v>6971</v>
      </c>
      <c r="B30" s="761" t="s">
        <v>3786</v>
      </c>
      <c r="C30" s="761" t="s">
        <v>307</v>
      </c>
      <c r="D30" s="761" t="s">
        <v>3808</v>
      </c>
      <c r="E30" s="1067" t="s">
        <v>5207</v>
      </c>
      <c r="F30" s="762">
        <v>41540160</v>
      </c>
      <c r="G30" s="762">
        <v>0</v>
      </c>
      <c r="H30" s="762">
        <v>1297175977</v>
      </c>
      <c r="I30" s="762">
        <v>0</v>
      </c>
      <c r="J30" s="762">
        <v>0</v>
      </c>
      <c r="K30" s="762">
        <v>0</v>
      </c>
      <c r="L30" s="762">
        <v>0</v>
      </c>
      <c r="M30" s="762">
        <v>0</v>
      </c>
      <c r="N30" s="1187">
        <v>0</v>
      </c>
      <c r="O30" s="1187">
        <v>0</v>
      </c>
      <c r="P30" s="762">
        <v>1297175977</v>
      </c>
      <c r="Q30" s="762">
        <v>0</v>
      </c>
      <c r="R30" s="763">
        <v>1338716137</v>
      </c>
      <c r="S30" s="764">
        <v>0</v>
      </c>
    </row>
    <row r="31" spans="1:19" ht="20.399999999999999" x14ac:dyDescent="0.3">
      <c r="A31" s="761" t="s">
        <v>6971</v>
      </c>
      <c r="B31" s="761" t="s">
        <v>3786</v>
      </c>
      <c r="C31" s="761" t="s">
        <v>307</v>
      </c>
      <c r="D31" s="761" t="s">
        <v>3809</v>
      </c>
      <c r="E31" s="1067" t="s">
        <v>5208</v>
      </c>
      <c r="F31" s="762">
        <v>61935611</v>
      </c>
      <c r="G31" s="762">
        <v>0</v>
      </c>
      <c r="H31" s="762">
        <v>2634858752</v>
      </c>
      <c r="I31" s="762">
        <v>0</v>
      </c>
      <c r="J31" s="762">
        <v>0</v>
      </c>
      <c r="K31" s="762">
        <v>0</v>
      </c>
      <c r="L31" s="762">
        <v>0</v>
      </c>
      <c r="M31" s="762">
        <v>0</v>
      </c>
      <c r="N31" s="1187">
        <v>0</v>
      </c>
      <c r="O31" s="1187">
        <v>0</v>
      </c>
      <c r="P31" s="762">
        <v>2634858752</v>
      </c>
      <c r="Q31" s="762">
        <v>0</v>
      </c>
      <c r="R31" s="763">
        <v>2696794363</v>
      </c>
      <c r="S31" s="764">
        <v>0</v>
      </c>
    </row>
    <row r="32" spans="1:19" ht="20.399999999999999" x14ac:dyDescent="0.3">
      <c r="A32" s="761" t="s">
        <v>6971</v>
      </c>
      <c r="B32" s="761" t="s">
        <v>3786</v>
      </c>
      <c r="C32" s="761" t="s">
        <v>307</v>
      </c>
      <c r="D32" s="761" t="s">
        <v>6976</v>
      </c>
      <c r="E32" s="1067" t="s">
        <v>5763</v>
      </c>
      <c r="F32" s="762">
        <v>9132080</v>
      </c>
      <c r="G32" s="762">
        <v>0</v>
      </c>
      <c r="H32" s="762">
        <v>374942874</v>
      </c>
      <c r="I32" s="762">
        <v>0</v>
      </c>
      <c r="J32" s="762">
        <v>0</v>
      </c>
      <c r="K32" s="762">
        <v>0</v>
      </c>
      <c r="L32" s="762">
        <v>0</v>
      </c>
      <c r="M32" s="762">
        <v>0</v>
      </c>
      <c r="N32" s="1187">
        <v>0</v>
      </c>
      <c r="O32" s="1187">
        <v>0</v>
      </c>
      <c r="P32" s="762">
        <v>374942874</v>
      </c>
      <c r="Q32" s="762">
        <v>0</v>
      </c>
      <c r="R32" s="763">
        <v>384074954</v>
      </c>
      <c r="S32" s="764">
        <v>0</v>
      </c>
    </row>
    <row r="33" spans="1:19" ht="20.399999999999999" x14ac:dyDescent="0.3">
      <c r="A33" s="761" t="s">
        <v>6971</v>
      </c>
      <c r="B33" s="761" t="s">
        <v>3786</v>
      </c>
      <c r="C33" s="761" t="s">
        <v>1511</v>
      </c>
      <c r="D33" s="761" t="s">
        <v>3810</v>
      </c>
      <c r="E33" s="1067" t="s">
        <v>7308</v>
      </c>
      <c r="F33" s="762">
        <v>3816</v>
      </c>
      <c r="G33" s="762">
        <v>11</v>
      </c>
      <c r="H33" s="762">
        <v>156827</v>
      </c>
      <c r="I33" s="762">
        <v>428</v>
      </c>
      <c r="J33" s="762">
        <v>223042</v>
      </c>
      <c r="K33" s="762">
        <v>608</v>
      </c>
      <c r="L33" s="762">
        <v>0</v>
      </c>
      <c r="M33" s="762">
        <v>0</v>
      </c>
      <c r="N33" s="1187">
        <v>0</v>
      </c>
      <c r="O33" s="1187">
        <v>0</v>
      </c>
      <c r="P33" s="762">
        <v>379869</v>
      </c>
      <c r="Q33" s="762">
        <v>1036</v>
      </c>
      <c r="R33" s="763">
        <v>383685</v>
      </c>
      <c r="S33" s="764">
        <v>1047</v>
      </c>
    </row>
    <row r="34" spans="1:19" ht="20.399999999999999" x14ac:dyDescent="0.3">
      <c r="A34" s="761" t="s">
        <v>6971</v>
      </c>
      <c r="B34" s="761" t="s">
        <v>3786</v>
      </c>
      <c r="C34" s="761" t="s">
        <v>1511</v>
      </c>
      <c r="D34" s="761" t="s">
        <v>3811</v>
      </c>
      <c r="E34" s="1067" t="s">
        <v>5209</v>
      </c>
      <c r="F34" s="762">
        <v>9518</v>
      </c>
      <c r="G34" s="762">
        <v>16</v>
      </c>
      <c r="H34" s="762">
        <v>248897</v>
      </c>
      <c r="I34" s="762">
        <v>703</v>
      </c>
      <c r="J34" s="762">
        <v>11526</v>
      </c>
      <c r="K34" s="762">
        <v>20</v>
      </c>
      <c r="L34" s="762">
        <v>0</v>
      </c>
      <c r="M34" s="762">
        <v>0</v>
      </c>
      <c r="N34" s="1187">
        <v>0</v>
      </c>
      <c r="O34" s="1187">
        <v>0</v>
      </c>
      <c r="P34" s="762">
        <v>260423</v>
      </c>
      <c r="Q34" s="762">
        <v>723</v>
      </c>
      <c r="R34" s="763">
        <v>269941</v>
      </c>
      <c r="S34" s="764">
        <v>739</v>
      </c>
    </row>
    <row r="35" spans="1:19" ht="20.399999999999999" x14ac:dyDescent="0.3">
      <c r="A35" s="761" t="s">
        <v>6971</v>
      </c>
      <c r="B35" s="761" t="s">
        <v>3786</v>
      </c>
      <c r="C35" s="761" t="s">
        <v>1511</v>
      </c>
      <c r="D35" s="761" t="s">
        <v>6977</v>
      </c>
      <c r="E35" s="1067" t="s">
        <v>5764</v>
      </c>
      <c r="F35" s="762">
        <v>0</v>
      </c>
      <c r="G35" s="762">
        <v>0</v>
      </c>
      <c r="H35" s="762">
        <v>19045</v>
      </c>
      <c r="I35" s="762">
        <v>53</v>
      </c>
      <c r="J35" s="762">
        <v>0</v>
      </c>
      <c r="K35" s="762">
        <v>0</v>
      </c>
      <c r="L35" s="762">
        <v>0</v>
      </c>
      <c r="M35" s="762">
        <v>0</v>
      </c>
      <c r="N35" s="1187">
        <v>0</v>
      </c>
      <c r="O35" s="1187">
        <v>0</v>
      </c>
      <c r="P35" s="762">
        <v>19045</v>
      </c>
      <c r="Q35" s="762">
        <v>53</v>
      </c>
      <c r="R35" s="763">
        <v>19045</v>
      </c>
      <c r="S35" s="764">
        <v>53</v>
      </c>
    </row>
    <row r="36" spans="1:19" ht="20.399999999999999" x14ac:dyDescent="0.3">
      <c r="A36" s="761" t="s">
        <v>6971</v>
      </c>
      <c r="B36" s="761" t="s">
        <v>3786</v>
      </c>
      <c r="C36" s="761" t="s">
        <v>1508</v>
      </c>
      <c r="D36" s="761" t="s">
        <v>3812</v>
      </c>
      <c r="E36" s="1067" t="s">
        <v>5210</v>
      </c>
      <c r="F36" s="762">
        <v>0</v>
      </c>
      <c r="G36" s="762">
        <v>0</v>
      </c>
      <c r="H36" s="762">
        <v>0</v>
      </c>
      <c r="I36" s="762">
        <v>0</v>
      </c>
      <c r="J36" s="762">
        <v>10872800</v>
      </c>
      <c r="K36" s="762">
        <v>38469</v>
      </c>
      <c r="L36" s="762">
        <v>0</v>
      </c>
      <c r="M36" s="762">
        <v>0</v>
      </c>
      <c r="N36" s="1187">
        <v>0</v>
      </c>
      <c r="O36" s="1187">
        <v>0</v>
      </c>
      <c r="P36" s="762">
        <v>10872800</v>
      </c>
      <c r="Q36" s="762">
        <v>38469</v>
      </c>
      <c r="R36" s="763">
        <v>10872800</v>
      </c>
      <c r="S36" s="764">
        <v>38469</v>
      </c>
    </row>
    <row r="37" spans="1:19" ht="20.399999999999999" x14ac:dyDescent="0.3">
      <c r="A37" s="761" t="s">
        <v>6971</v>
      </c>
      <c r="B37" s="761" t="s">
        <v>3786</v>
      </c>
      <c r="C37" s="761" t="s">
        <v>1508</v>
      </c>
      <c r="D37" s="761" t="s">
        <v>3813</v>
      </c>
      <c r="E37" s="1067" t="s">
        <v>7309</v>
      </c>
      <c r="F37" s="762">
        <v>0</v>
      </c>
      <c r="G37" s="762">
        <v>0</v>
      </c>
      <c r="H37" s="762">
        <v>228795</v>
      </c>
      <c r="I37" s="762">
        <v>635</v>
      </c>
      <c r="J37" s="762">
        <v>16884609</v>
      </c>
      <c r="K37" s="762">
        <v>46841</v>
      </c>
      <c r="L37" s="762">
        <v>0</v>
      </c>
      <c r="M37" s="762">
        <v>0</v>
      </c>
      <c r="N37" s="1187">
        <v>0</v>
      </c>
      <c r="O37" s="1187">
        <v>0</v>
      </c>
      <c r="P37" s="762">
        <v>17113404</v>
      </c>
      <c r="Q37" s="762">
        <v>47476</v>
      </c>
      <c r="R37" s="763">
        <v>17113404</v>
      </c>
      <c r="S37" s="764">
        <v>47476</v>
      </c>
    </row>
    <row r="38" spans="1:19" ht="20.399999999999999" x14ac:dyDescent="0.3">
      <c r="A38" s="761" t="s">
        <v>6971</v>
      </c>
      <c r="B38" s="761" t="s">
        <v>3786</v>
      </c>
      <c r="C38" s="761" t="s">
        <v>1508</v>
      </c>
      <c r="D38" s="761" t="s">
        <v>3814</v>
      </c>
      <c r="E38" s="1067" t="s">
        <v>5211</v>
      </c>
      <c r="F38" s="762">
        <v>0</v>
      </c>
      <c r="G38" s="762">
        <v>0</v>
      </c>
      <c r="H38" s="762">
        <v>0</v>
      </c>
      <c r="I38" s="762">
        <v>0</v>
      </c>
      <c r="J38" s="762">
        <v>30181776</v>
      </c>
      <c r="K38" s="762">
        <v>86164</v>
      </c>
      <c r="L38" s="762">
        <v>0</v>
      </c>
      <c r="M38" s="762">
        <v>0</v>
      </c>
      <c r="N38" s="1187">
        <v>0</v>
      </c>
      <c r="O38" s="1187">
        <v>0</v>
      </c>
      <c r="P38" s="762">
        <v>30181776</v>
      </c>
      <c r="Q38" s="762">
        <v>86164</v>
      </c>
      <c r="R38" s="763">
        <v>30181776</v>
      </c>
      <c r="S38" s="764">
        <v>86164</v>
      </c>
    </row>
    <row r="39" spans="1:19" ht="20.399999999999999" x14ac:dyDescent="0.3">
      <c r="A39" s="761" t="s">
        <v>6971</v>
      </c>
      <c r="B39" s="761" t="s">
        <v>3786</v>
      </c>
      <c r="C39" s="761" t="s">
        <v>1508</v>
      </c>
      <c r="D39" s="761" t="s">
        <v>3815</v>
      </c>
      <c r="E39" s="1067" t="s">
        <v>5212</v>
      </c>
      <c r="F39" s="762">
        <v>594370</v>
      </c>
      <c r="G39" s="762">
        <v>1686</v>
      </c>
      <c r="H39" s="762">
        <v>658258</v>
      </c>
      <c r="I39" s="762">
        <v>1850</v>
      </c>
      <c r="J39" s="762">
        <v>45759619</v>
      </c>
      <c r="K39" s="762">
        <v>130083</v>
      </c>
      <c r="L39" s="762">
        <v>0</v>
      </c>
      <c r="M39" s="762">
        <v>0</v>
      </c>
      <c r="N39" s="1187">
        <v>0</v>
      </c>
      <c r="O39" s="1187">
        <v>0</v>
      </c>
      <c r="P39" s="762">
        <v>46417877</v>
      </c>
      <c r="Q39" s="762">
        <v>131933</v>
      </c>
      <c r="R39" s="763">
        <v>47012247</v>
      </c>
      <c r="S39" s="764">
        <v>133619</v>
      </c>
    </row>
    <row r="40" spans="1:19" ht="20.399999999999999" x14ac:dyDescent="0.3">
      <c r="A40" s="761" t="s">
        <v>6971</v>
      </c>
      <c r="B40" s="761" t="s">
        <v>3786</v>
      </c>
      <c r="C40" s="761" t="s">
        <v>1508</v>
      </c>
      <c r="D40" s="761" t="s">
        <v>6978</v>
      </c>
      <c r="E40" s="1067" t="s">
        <v>5765</v>
      </c>
      <c r="F40" s="762">
        <v>137789</v>
      </c>
      <c r="G40" s="762">
        <v>396</v>
      </c>
      <c r="H40" s="762">
        <v>0</v>
      </c>
      <c r="I40" s="762">
        <v>0</v>
      </c>
      <c r="J40" s="762">
        <v>9918953</v>
      </c>
      <c r="K40" s="762">
        <v>27965</v>
      </c>
      <c r="L40" s="762">
        <v>0</v>
      </c>
      <c r="M40" s="762">
        <v>0</v>
      </c>
      <c r="N40" s="1187">
        <v>0</v>
      </c>
      <c r="O40" s="1187">
        <v>0</v>
      </c>
      <c r="P40" s="762">
        <v>9918953</v>
      </c>
      <c r="Q40" s="762">
        <v>27965</v>
      </c>
      <c r="R40" s="763">
        <v>10056742</v>
      </c>
      <c r="S40" s="764">
        <v>28361</v>
      </c>
    </row>
    <row r="41" spans="1:19" ht="30.6" x14ac:dyDescent="0.3">
      <c r="A41" s="761" t="s">
        <v>6971</v>
      </c>
      <c r="B41" s="761" t="s">
        <v>3786</v>
      </c>
      <c r="C41" s="761" t="s">
        <v>1512</v>
      </c>
      <c r="D41" s="761" t="s">
        <v>3816</v>
      </c>
      <c r="E41" s="1067" t="s">
        <v>5213</v>
      </c>
      <c r="F41" s="762">
        <v>372608</v>
      </c>
      <c r="G41" s="762">
        <v>0</v>
      </c>
      <c r="H41" s="762">
        <v>11143964</v>
      </c>
      <c r="I41" s="762">
        <v>0</v>
      </c>
      <c r="J41" s="762">
        <v>0</v>
      </c>
      <c r="K41" s="762">
        <v>0</v>
      </c>
      <c r="L41" s="762">
        <v>0</v>
      </c>
      <c r="M41" s="762">
        <v>0</v>
      </c>
      <c r="N41" s="1187">
        <v>0</v>
      </c>
      <c r="O41" s="1187">
        <v>0</v>
      </c>
      <c r="P41" s="762">
        <v>11143964</v>
      </c>
      <c r="Q41" s="762">
        <v>0</v>
      </c>
      <c r="R41" s="763">
        <v>11516572</v>
      </c>
      <c r="S41" s="764">
        <v>0</v>
      </c>
    </row>
    <row r="42" spans="1:19" ht="30.6" x14ac:dyDescent="0.3">
      <c r="A42" s="761" t="s">
        <v>6971</v>
      </c>
      <c r="B42" s="761" t="s">
        <v>3786</v>
      </c>
      <c r="C42" s="761" t="s">
        <v>1512</v>
      </c>
      <c r="D42" s="761" t="s">
        <v>3817</v>
      </c>
      <c r="E42" s="1067" t="s">
        <v>7310</v>
      </c>
      <c r="F42" s="762">
        <v>1419798</v>
      </c>
      <c r="G42" s="762">
        <v>0</v>
      </c>
      <c r="H42" s="762">
        <v>10500445</v>
      </c>
      <c r="I42" s="762">
        <v>0</v>
      </c>
      <c r="J42" s="762">
        <v>0</v>
      </c>
      <c r="K42" s="762">
        <v>0</v>
      </c>
      <c r="L42" s="762">
        <v>0</v>
      </c>
      <c r="M42" s="762">
        <v>0</v>
      </c>
      <c r="N42" s="1187">
        <v>0</v>
      </c>
      <c r="O42" s="1187">
        <v>0</v>
      </c>
      <c r="P42" s="762">
        <v>10500445</v>
      </c>
      <c r="Q42" s="762">
        <v>0</v>
      </c>
      <c r="R42" s="763">
        <v>11920243</v>
      </c>
      <c r="S42" s="764">
        <v>0</v>
      </c>
    </row>
    <row r="43" spans="1:19" ht="30.6" x14ac:dyDescent="0.3">
      <c r="A43" s="761" t="s">
        <v>6971</v>
      </c>
      <c r="B43" s="761" t="s">
        <v>3786</v>
      </c>
      <c r="C43" s="761" t="s">
        <v>1512</v>
      </c>
      <c r="D43" s="761" t="s">
        <v>3818</v>
      </c>
      <c r="E43" s="1067" t="s">
        <v>5214</v>
      </c>
      <c r="F43" s="762">
        <v>440532</v>
      </c>
      <c r="G43" s="762">
        <v>0</v>
      </c>
      <c r="H43" s="762">
        <v>6122758</v>
      </c>
      <c r="I43" s="762">
        <v>0</v>
      </c>
      <c r="J43" s="762">
        <v>0</v>
      </c>
      <c r="K43" s="762">
        <v>0</v>
      </c>
      <c r="L43" s="762">
        <v>0</v>
      </c>
      <c r="M43" s="762">
        <v>0</v>
      </c>
      <c r="N43" s="1187">
        <v>0</v>
      </c>
      <c r="O43" s="1187">
        <v>0</v>
      </c>
      <c r="P43" s="762">
        <v>6122758</v>
      </c>
      <c r="Q43" s="762">
        <v>0</v>
      </c>
      <c r="R43" s="763">
        <v>6563290</v>
      </c>
      <c r="S43" s="764">
        <v>0</v>
      </c>
    </row>
    <row r="44" spans="1:19" ht="30.6" x14ac:dyDescent="0.3">
      <c r="A44" s="761" t="s">
        <v>6971</v>
      </c>
      <c r="B44" s="761" t="s">
        <v>3786</v>
      </c>
      <c r="C44" s="761" t="s">
        <v>1512</v>
      </c>
      <c r="D44" s="761" t="s">
        <v>3819</v>
      </c>
      <c r="E44" s="1067" t="s">
        <v>5215</v>
      </c>
      <c r="F44" s="762">
        <v>184921</v>
      </c>
      <c r="G44" s="762">
        <v>0</v>
      </c>
      <c r="H44" s="762">
        <v>13714747</v>
      </c>
      <c r="I44" s="762">
        <v>0</v>
      </c>
      <c r="J44" s="762">
        <v>0</v>
      </c>
      <c r="K44" s="762">
        <v>0</v>
      </c>
      <c r="L44" s="762">
        <v>0</v>
      </c>
      <c r="M44" s="762">
        <v>0</v>
      </c>
      <c r="N44" s="1187">
        <v>0</v>
      </c>
      <c r="O44" s="1187">
        <v>0</v>
      </c>
      <c r="P44" s="762">
        <v>13714747</v>
      </c>
      <c r="Q44" s="762">
        <v>0</v>
      </c>
      <c r="R44" s="763">
        <v>13899668</v>
      </c>
      <c r="S44" s="764">
        <v>0</v>
      </c>
    </row>
    <row r="45" spans="1:19" ht="30.6" x14ac:dyDescent="0.3">
      <c r="A45" s="761" t="s">
        <v>6971</v>
      </c>
      <c r="B45" s="761" t="s">
        <v>3786</v>
      </c>
      <c r="C45" s="761" t="s">
        <v>1512</v>
      </c>
      <c r="D45" s="761" t="s">
        <v>6979</v>
      </c>
      <c r="E45" s="1067" t="s">
        <v>5766</v>
      </c>
      <c r="F45" s="762">
        <v>431880</v>
      </c>
      <c r="G45" s="762">
        <v>0</v>
      </c>
      <c r="H45" s="762">
        <v>1745719</v>
      </c>
      <c r="I45" s="762">
        <v>0</v>
      </c>
      <c r="J45" s="762">
        <v>0</v>
      </c>
      <c r="K45" s="762">
        <v>0</v>
      </c>
      <c r="L45" s="762">
        <v>0</v>
      </c>
      <c r="M45" s="762">
        <v>0</v>
      </c>
      <c r="N45" s="1187">
        <v>0</v>
      </c>
      <c r="O45" s="1187">
        <v>0</v>
      </c>
      <c r="P45" s="762">
        <v>1745719</v>
      </c>
      <c r="Q45" s="762">
        <v>0</v>
      </c>
      <c r="R45" s="763">
        <v>2177599</v>
      </c>
      <c r="S45" s="764">
        <v>0</v>
      </c>
    </row>
    <row r="46" spans="1:19" ht="40.799999999999997" x14ac:dyDescent="0.3">
      <c r="A46" s="761" t="s">
        <v>6971</v>
      </c>
      <c r="B46" s="761" t="s">
        <v>1503</v>
      </c>
      <c r="C46" s="761" t="s">
        <v>1504</v>
      </c>
      <c r="D46" s="761" t="s">
        <v>1505</v>
      </c>
      <c r="E46" s="1067" t="s">
        <v>5216</v>
      </c>
      <c r="F46" s="762">
        <v>4007807</v>
      </c>
      <c r="G46" s="762">
        <v>9889</v>
      </c>
      <c r="H46" s="762">
        <v>3108462</v>
      </c>
      <c r="I46" s="762">
        <v>9019</v>
      </c>
      <c r="J46" s="762">
        <v>108515581</v>
      </c>
      <c r="K46" s="762">
        <v>224102</v>
      </c>
      <c r="L46" s="762">
        <v>0</v>
      </c>
      <c r="M46" s="762">
        <v>0</v>
      </c>
      <c r="N46" s="1187">
        <v>0</v>
      </c>
      <c r="O46" s="1187">
        <v>0</v>
      </c>
      <c r="P46" s="762">
        <v>111624043</v>
      </c>
      <c r="Q46" s="762">
        <v>233121</v>
      </c>
      <c r="R46" s="763">
        <v>115631850</v>
      </c>
      <c r="S46" s="764">
        <v>243010</v>
      </c>
    </row>
    <row r="47" spans="1:19" ht="20.399999999999999" x14ac:dyDescent="0.3">
      <c r="A47" s="761" t="s">
        <v>6971</v>
      </c>
      <c r="B47" s="761" t="s">
        <v>1503</v>
      </c>
      <c r="C47" s="761" t="s">
        <v>3804</v>
      </c>
      <c r="D47" s="761" t="s">
        <v>3804</v>
      </c>
      <c r="E47" s="761" t="s">
        <v>3820</v>
      </c>
      <c r="F47" s="762">
        <v>0</v>
      </c>
      <c r="G47" s="762">
        <v>0</v>
      </c>
      <c r="H47" s="762">
        <v>0</v>
      </c>
      <c r="I47" s="762">
        <v>0</v>
      </c>
      <c r="J47" s="762">
        <v>0</v>
      </c>
      <c r="K47" s="762">
        <v>0</v>
      </c>
      <c r="L47" s="762">
        <v>0</v>
      </c>
      <c r="M47" s="762">
        <v>0</v>
      </c>
      <c r="N47" s="1187">
        <v>81535208</v>
      </c>
      <c r="O47" s="1187">
        <v>141198</v>
      </c>
      <c r="P47" s="762">
        <v>0</v>
      </c>
      <c r="Q47" s="762">
        <v>0</v>
      </c>
      <c r="R47" s="763">
        <v>0</v>
      </c>
      <c r="S47" s="764">
        <v>0</v>
      </c>
    </row>
    <row r="48" spans="1:19" ht="20.399999999999999" x14ac:dyDescent="0.3">
      <c r="A48" s="761" t="s">
        <v>6971</v>
      </c>
      <c r="B48" s="761" t="s">
        <v>1503</v>
      </c>
      <c r="C48" s="761" t="s">
        <v>307</v>
      </c>
      <c r="D48" s="761" t="s">
        <v>1506</v>
      </c>
      <c r="E48" s="1067" t="s">
        <v>5217</v>
      </c>
      <c r="F48" s="762">
        <v>4120068</v>
      </c>
      <c r="G48" s="762">
        <v>0</v>
      </c>
      <c r="H48" s="762">
        <v>109205017</v>
      </c>
      <c r="I48" s="762">
        <v>0</v>
      </c>
      <c r="J48" s="762">
        <v>0</v>
      </c>
      <c r="K48" s="762">
        <v>0</v>
      </c>
      <c r="L48" s="762">
        <v>0</v>
      </c>
      <c r="M48" s="762">
        <v>0</v>
      </c>
      <c r="N48" s="1187">
        <v>0</v>
      </c>
      <c r="O48" s="1187">
        <v>0</v>
      </c>
      <c r="P48" s="762">
        <v>109205017</v>
      </c>
      <c r="Q48" s="762">
        <v>0</v>
      </c>
      <c r="R48" s="763">
        <v>113325085</v>
      </c>
      <c r="S48" s="764">
        <v>0</v>
      </c>
    </row>
    <row r="49" spans="1:19" ht="20.399999999999999" x14ac:dyDescent="0.3">
      <c r="A49" s="761" t="s">
        <v>6971</v>
      </c>
      <c r="B49" s="761" t="s">
        <v>1503</v>
      </c>
      <c r="C49" s="761" t="s">
        <v>307</v>
      </c>
      <c r="D49" s="761" t="s">
        <v>1507</v>
      </c>
      <c r="E49" s="1067" t="s">
        <v>5218</v>
      </c>
      <c r="F49" s="762">
        <v>23363</v>
      </c>
      <c r="G49" s="762">
        <v>0</v>
      </c>
      <c r="H49" s="762">
        <v>6254055</v>
      </c>
      <c r="I49" s="762">
        <v>0</v>
      </c>
      <c r="J49" s="762">
        <v>0</v>
      </c>
      <c r="K49" s="762">
        <v>0</v>
      </c>
      <c r="L49" s="762">
        <v>0</v>
      </c>
      <c r="M49" s="762">
        <v>0</v>
      </c>
      <c r="N49" s="1187">
        <v>0</v>
      </c>
      <c r="O49" s="1187">
        <v>0</v>
      </c>
      <c r="P49" s="762">
        <v>6254055</v>
      </c>
      <c r="Q49" s="762">
        <v>0</v>
      </c>
      <c r="R49" s="763">
        <v>6277418</v>
      </c>
      <c r="S49" s="764">
        <v>0</v>
      </c>
    </row>
    <row r="50" spans="1:19" ht="30.6" x14ac:dyDescent="0.3">
      <c r="A50" s="761" t="s">
        <v>6971</v>
      </c>
      <c r="B50" s="761" t="s">
        <v>1503</v>
      </c>
      <c r="C50" s="761" t="s">
        <v>307</v>
      </c>
      <c r="D50" s="761" t="s">
        <v>7254</v>
      </c>
      <c r="E50" s="761" t="s">
        <v>7255</v>
      </c>
      <c r="F50" s="762">
        <v>0</v>
      </c>
      <c r="G50" s="762">
        <v>0</v>
      </c>
      <c r="H50" s="762">
        <v>0</v>
      </c>
      <c r="I50" s="762">
        <v>0</v>
      </c>
      <c r="J50" s="762">
        <v>0</v>
      </c>
      <c r="K50" s="762">
        <v>0</v>
      </c>
      <c r="L50" s="762">
        <v>0</v>
      </c>
      <c r="M50" s="762">
        <v>0</v>
      </c>
      <c r="N50" s="1187">
        <v>0</v>
      </c>
      <c r="O50" s="1187">
        <v>0</v>
      </c>
      <c r="P50" s="762">
        <v>0</v>
      </c>
      <c r="Q50" s="762">
        <v>0</v>
      </c>
      <c r="R50" s="763">
        <v>0</v>
      </c>
      <c r="S50" s="764">
        <v>0</v>
      </c>
    </row>
    <row r="51" spans="1:19" ht="20.399999999999999" x14ac:dyDescent="0.3">
      <c r="A51" s="761" t="s">
        <v>6971</v>
      </c>
      <c r="B51" s="761" t="s">
        <v>1503</v>
      </c>
      <c r="C51" s="761" t="s">
        <v>1508</v>
      </c>
      <c r="D51" s="761" t="s">
        <v>332</v>
      </c>
      <c r="E51" s="761" t="s">
        <v>1614</v>
      </c>
      <c r="F51" s="762">
        <v>126376</v>
      </c>
      <c r="G51" s="762">
        <v>0</v>
      </c>
      <c r="H51" s="762">
        <v>0</v>
      </c>
      <c r="I51" s="762">
        <v>0</v>
      </c>
      <c r="J51" s="762">
        <v>439754</v>
      </c>
      <c r="K51" s="762">
        <v>1574</v>
      </c>
      <c r="L51" s="762">
        <v>0</v>
      </c>
      <c r="M51" s="762">
        <v>0</v>
      </c>
      <c r="N51" s="1187">
        <v>0</v>
      </c>
      <c r="O51" s="1187">
        <v>0</v>
      </c>
      <c r="P51" s="762">
        <v>439754</v>
      </c>
      <c r="Q51" s="762">
        <v>1574</v>
      </c>
      <c r="R51" s="763">
        <v>566130</v>
      </c>
      <c r="S51" s="764">
        <v>1574</v>
      </c>
    </row>
    <row r="52" spans="1:19" ht="40.799999999999997" x14ac:dyDescent="0.3">
      <c r="A52" s="761" t="s">
        <v>6971</v>
      </c>
      <c r="B52" s="761" t="s">
        <v>1509</v>
      </c>
      <c r="C52" s="761" t="s">
        <v>1504</v>
      </c>
      <c r="D52" s="761" t="s">
        <v>268</v>
      </c>
      <c r="E52" s="761" t="s">
        <v>1615</v>
      </c>
      <c r="F52" s="762">
        <v>995200</v>
      </c>
      <c r="G52" s="762">
        <v>2232</v>
      </c>
      <c r="H52" s="762">
        <v>0</v>
      </c>
      <c r="I52" s="762">
        <v>0</v>
      </c>
      <c r="J52" s="762">
        <v>14426789.1</v>
      </c>
      <c r="K52" s="762">
        <v>46089.08</v>
      </c>
      <c r="L52" s="762">
        <v>0</v>
      </c>
      <c r="M52" s="762">
        <v>0</v>
      </c>
      <c r="N52" s="1187">
        <v>0</v>
      </c>
      <c r="O52" s="1187">
        <v>0</v>
      </c>
      <c r="P52" s="762">
        <v>14426789.1</v>
      </c>
      <c r="Q52" s="762">
        <v>46089.08</v>
      </c>
      <c r="R52" s="763">
        <v>15421989.1</v>
      </c>
      <c r="S52" s="764">
        <v>48321.4</v>
      </c>
    </row>
    <row r="53" spans="1:19" ht="20.399999999999999" x14ac:dyDescent="0.3">
      <c r="A53" s="761" t="s">
        <v>6971</v>
      </c>
      <c r="B53" s="761" t="s">
        <v>1509</v>
      </c>
      <c r="C53" s="761" t="s">
        <v>288</v>
      </c>
      <c r="D53" s="761" t="s">
        <v>288</v>
      </c>
      <c r="E53" s="761" t="s">
        <v>1616</v>
      </c>
      <c r="F53" s="762">
        <v>77552.88</v>
      </c>
      <c r="G53" s="762">
        <v>0</v>
      </c>
      <c r="H53" s="762">
        <v>4572411.72</v>
      </c>
      <c r="I53" s="762">
        <v>0</v>
      </c>
      <c r="J53" s="762">
        <v>0</v>
      </c>
      <c r="K53" s="762">
        <v>0</v>
      </c>
      <c r="L53" s="762">
        <v>0</v>
      </c>
      <c r="M53" s="762">
        <v>0</v>
      </c>
      <c r="N53" s="1187">
        <v>0</v>
      </c>
      <c r="O53" s="1187">
        <v>0</v>
      </c>
      <c r="P53" s="762">
        <v>4572411.72</v>
      </c>
      <c r="Q53" s="762">
        <v>0</v>
      </c>
      <c r="R53" s="763">
        <v>4649964.5999999996</v>
      </c>
      <c r="S53" s="764">
        <v>0</v>
      </c>
    </row>
    <row r="54" spans="1:19" ht="20.399999999999999" x14ac:dyDescent="0.3">
      <c r="A54" s="761" t="s">
        <v>6971</v>
      </c>
      <c r="B54" s="761" t="s">
        <v>1509</v>
      </c>
      <c r="C54" s="761" t="s">
        <v>3804</v>
      </c>
      <c r="D54" s="761" t="s">
        <v>3804</v>
      </c>
      <c r="E54" s="761" t="s">
        <v>3821</v>
      </c>
      <c r="F54" s="762">
        <v>0</v>
      </c>
      <c r="G54" s="762">
        <v>0</v>
      </c>
      <c r="H54" s="762">
        <v>0</v>
      </c>
      <c r="I54" s="762">
        <v>0</v>
      </c>
      <c r="J54" s="762">
        <v>0</v>
      </c>
      <c r="K54" s="762">
        <v>0</v>
      </c>
      <c r="L54" s="762">
        <v>0</v>
      </c>
      <c r="M54" s="762">
        <v>0</v>
      </c>
      <c r="N54" s="1187">
        <v>5254738</v>
      </c>
      <c r="O54" s="1187">
        <v>16897.599609375</v>
      </c>
      <c r="P54" s="762">
        <v>0</v>
      </c>
      <c r="Q54" s="762">
        <v>0</v>
      </c>
      <c r="R54" s="763">
        <v>0</v>
      </c>
      <c r="S54" s="764">
        <v>0</v>
      </c>
    </row>
    <row r="55" spans="1:19" ht="20.399999999999999" x14ac:dyDescent="0.3">
      <c r="A55" s="761" t="s">
        <v>6971</v>
      </c>
      <c r="B55" s="761" t="s">
        <v>1509</v>
      </c>
      <c r="C55" s="761" t="s">
        <v>307</v>
      </c>
      <c r="D55" s="761" t="s">
        <v>307</v>
      </c>
      <c r="E55" s="761" t="s">
        <v>1617</v>
      </c>
      <c r="F55" s="762">
        <v>41117.32</v>
      </c>
      <c r="G55" s="762">
        <v>0</v>
      </c>
      <c r="H55" s="762">
        <v>9053538.5800000001</v>
      </c>
      <c r="I55" s="762">
        <v>0</v>
      </c>
      <c r="J55" s="762">
        <v>0</v>
      </c>
      <c r="K55" s="762">
        <v>0</v>
      </c>
      <c r="L55" s="762">
        <v>0</v>
      </c>
      <c r="M55" s="762">
        <v>0</v>
      </c>
      <c r="N55" s="1187">
        <v>0</v>
      </c>
      <c r="O55" s="1187">
        <v>0</v>
      </c>
      <c r="P55" s="762">
        <v>9053538.5800000001</v>
      </c>
      <c r="Q55" s="762">
        <v>0</v>
      </c>
      <c r="R55" s="763">
        <v>9094655.9000000004</v>
      </c>
      <c r="S55" s="764">
        <v>0</v>
      </c>
    </row>
    <row r="56" spans="1:19" ht="20.399999999999999" x14ac:dyDescent="0.3">
      <c r="A56" s="761" t="s">
        <v>6971</v>
      </c>
      <c r="B56" s="761" t="s">
        <v>1509</v>
      </c>
      <c r="C56" s="761" t="s">
        <v>1508</v>
      </c>
      <c r="D56" s="761" t="s">
        <v>332</v>
      </c>
      <c r="E56" s="761" t="s">
        <v>1618</v>
      </c>
      <c r="F56" s="762">
        <v>0</v>
      </c>
      <c r="G56" s="762">
        <v>0</v>
      </c>
      <c r="H56" s="762">
        <v>0</v>
      </c>
      <c r="I56" s="762">
        <v>0</v>
      </c>
      <c r="J56" s="762">
        <v>407470</v>
      </c>
      <c r="K56" s="762">
        <v>1263.48</v>
      </c>
      <c r="L56" s="762">
        <v>0</v>
      </c>
      <c r="M56" s="762">
        <v>0</v>
      </c>
      <c r="N56" s="1187">
        <v>0</v>
      </c>
      <c r="O56" s="1187">
        <v>0</v>
      </c>
      <c r="P56" s="762">
        <v>407470</v>
      </c>
      <c r="Q56" s="762">
        <v>1263.48</v>
      </c>
      <c r="R56" s="763">
        <v>407470</v>
      </c>
      <c r="S56" s="764">
        <v>1263.48</v>
      </c>
    </row>
    <row r="57" spans="1:19" ht="40.799999999999997" x14ac:dyDescent="0.3">
      <c r="A57" s="761" t="s">
        <v>6971</v>
      </c>
      <c r="B57" s="761" t="s">
        <v>4472</v>
      </c>
      <c r="C57" s="761" t="s">
        <v>1504</v>
      </c>
      <c r="D57" s="761" t="s">
        <v>248</v>
      </c>
      <c r="E57" s="761" t="s">
        <v>4473</v>
      </c>
      <c r="F57" s="762">
        <v>0</v>
      </c>
      <c r="G57" s="762">
        <v>0</v>
      </c>
      <c r="H57" s="762">
        <v>0</v>
      </c>
      <c r="I57" s="762">
        <v>0</v>
      </c>
      <c r="J57" s="762">
        <v>131667230</v>
      </c>
      <c r="K57" s="762">
        <v>265773</v>
      </c>
      <c r="L57" s="762">
        <v>0</v>
      </c>
      <c r="M57" s="762">
        <v>0</v>
      </c>
      <c r="N57" s="1187">
        <v>0</v>
      </c>
      <c r="O57" s="1187">
        <v>0</v>
      </c>
      <c r="P57" s="762">
        <v>131667230</v>
      </c>
      <c r="Q57" s="762">
        <v>265773</v>
      </c>
      <c r="R57" s="763">
        <v>131667230</v>
      </c>
      <c r="S57" s="764">
        <v>265773</v>
      </c>
    </row>
    <row r="58" spans="1:19" ht="40.799999999999997" x14ac:dyDescent="0.3">
      <c r="A58" s="761" t="s">
        <v>6971</v>
      </c>
      <c r="B58" s="761" t="s">
        <v>4472</v>
      </c>
      <c r="C58" s="761" t="s">
        <v>1504</v>
      </c>
      <c r="D58" s="761" t="s">
        <v>272</v>
      </c>
      <c r="E58" s="761" t="s">
        <v>4474</v>
      </c>
      <c r="F58" s="762">
        <v>31349345</v>
      </c>
      <c r="G58" s="762">
        <v>97425</v>
      </c>
      <c r="H58" s="762">
        <v>46700292</v>
      </c>
      <c r="I58" s="762">
        <v>135260</v>
      </c>
      <c r="J58" s="762">
        <v>111107973</v>
      </c>
      <c r="K58" s="762">
        <v>287897</v>
      </c>
      <c r="L58" s="762">
        <v>4164785</v>
      </c>
      <c r="M58" s="762">
        <v>7838</v>
      </c>
      <c r="N58" s="1187">
        <v>0</v>
      </c>
      <c r="O58" s="1187">
        <v>0</v>
      </c>
      <c r="P58" s="762">
        <v>161973050</v>
      </c>
      <c r="Q58" s="762">
        <v>430995</v>
      </c>
      <c r="R58" s="763">
        <v>193322395</v>
      </c>
      <c r="S58" s="764">
        <v>528420</v>
      </c>
    </row>
    <row r="59" spans="1:19" ht="30.6" x14ac:dyDescent="0.3">
      <c r="A59" s="761" t="s">
        <v>6971</v>
      </c>
      <c r="B59" s="761" t="s">
        <v>4472</v>
      </c>
      <c r="C59" s="761" t="s">
        <v>288</v>
      </c>
      <c r="D59" s="761" t="s">
        <v>288</v>
      </c>
      <c r="E59" s="761" t="s">
        <v>4475</v>
      </c>
      <c r="F59" s="762">
        <v>17887136</v>
      </c>
      <c r="G59" s="762">
        <v>0</v>
      </c>
      <c r="H59" s="762">
        <v>83810899</v>
      </c>
      <c r="I59" s="762">
        <v>0</v>
      </c>
      <c r="J59" s="762">
        <v>25531</v>
      </c>
      <c r="K59" s="762">
        <v>0</v>
      </c>
      <c r="L59" s="762">
        <v>0</v>
      </c>
      <c r="M59" s="762">
        <v>0</v>
      </c>
      <c r="N59" s="1187">
        <v>0</v>
      </c>
      <c r="O59" s="1187">
        <v>0</v>
      </c>
      <c r="P59" s="762">
        <v>83836430</v>
      </c>
      <c r="Q59" s="762">
        <v>0</v>
      </c>
      <c r="R59" s="763">
        <v>101723566</v>
      </c>
      <c r="S59" s="764">
        <v>0</v>
      </c>
    </row>
    <row r="60" spans="1:19" ht="20.399999999999999" x14ac:dyDescent="0.3">
      <c r="A60" s="761" t="s">
        <v>6971</v>
      </c>
      <c r="B60" s="761" t="s">
        <v>4472</v>
      </c>
      <c r="C60" s="761" t="s">
        <v>1510</v>
      </c>
      <c r="D60" s="761" t="s">
        <v>297</v>
      </c>
      <c r="E60" s="761" t="s">
        <v>4476</v>
      </c>
      <c r="F60" s="762">
        <v>0</v>
      </c>
      <c r="G60" s="762">
        <v>0</v>
      </c>
      <c r="H60" s="762">
        <v>0</v>
      </c>
      <c r="I60" s="762">
        <v>0</v>
      </c>
      <c r="J60" s="762">
        <v>175606018</v>
      </c>
      <c r="K60" s="762">
        <v>291233</v>
      </c>
      <c r="L60" s="762">
        <v>115349032</v>
      </c>
      <c r="M60" s="762">
        <v>186721</v>
      </c>
      <c r="N60" s="1187">
        <v>0</v>
      </c>
      <c r="O60" s="1187">
        <v>0</v>
      </c>
      <c r="P60" s="762">
        <v>290955053</v>
      </c>
      <c r="Q60" s="762">
        <v>477954</v>
      </c>
      <c r="R60" s="763">
        <v>290955053</v>
      </c>
      <c r="S60" s="764">
        <v>477954</v>
      </c>
    </row>
    <row r="61" spans="1:19" ht="20.399999999999999" x14ac:dyDescent="0.3">
      <c r="A61" s="761" t="s">
        <v>6971</v>
      </c>
      <c r="B61" s="761" t="s">
        <v>4472</v>
      </c>
      <c r="C61" s="761" t="s">
        <v>3804</v>
      </c>
      <c r="D61" s="761" t="s">
        <v>3804</v>
      </c>
      <c r="E61" s="761" t="s">
        <v>4477</v>
      </c>
      <c r="F61" s="762">
        <v>0</v>
      </c>
      <c r="G61" s="762">
        <v>0</v>
      </c>
      <c r="H61" s="762">
        <v>0</v>
      </c>
      <c r="I61" s="762">
        <v>0</v>
      </c>
      <c r="J61" s="762">
        <v>0</v>
      </c>
      <c r="K61" s="762">
        <v>0</v>
      </c>
      <c r="L61" s="762">
        <v>0</v>
      </c>
      <c r="M61" s="762">
        <v>0</v>
      </c>
      <c r="N61" s="1187">
        <v>310820096</v>
      </c>
      <c r="O61" s="1187">
        <v>558916</v>
      </c>
      <c r="P61" s="762">
        <v>0</v>
      </c>
      <c r="Q61" s="762">
        <v>0</v>
      </c>
      <c r="R61" s="763">
        <v>0</v>
      </c>
      <c r="S61" s="764">
        <v>0</v>
      </c>
    </row>
    <row r="62" spans="1:19" ht="20.399999999999999" x14ac:dyDescent="0.3">
      <c r="A62" s="761" t="s">
        <v>6971</v>
      </c>
      <c r="B62" s="761" t="s">
        <v>4472</v>
      </c>
      <c r="C62" s="761" t="s">
        <v>307</v>
      </c>
      <c r="D62" s="761" t="s">
        <v>307</v>
      </c>
      <c r="E62" s="761" t="s">
        <v>4478</v>
      </c>
      <c r="F62" s="762">
        <v>7317353</v>
      </c>
      <c r="G62" s="762">
        <v>0</v>
      </c>
      <c r="H62" s="762">
        <v>243805194</v>
      </c>
      <c r="I62" s="762">
        <v>0</v>
      </c>
      <c r="J62" s="762">
        <v>0</v>
      </c>
      <c r="K62" s="762">
        <v>0</v>
      </c>
      <c r="L62" s="762">
        <v>0</v>
      </c>
      <c r="M62" s="762">
        <v>0</v>
      </c>
      <c r="N62" s="1187">
        <v>0</v>
      </c>
      <c r="O62" s="1187">
        <v>0</v>
      </c>
      <c r="P62" s="762">
        <v>243805194</v>
      </c>
      <c r="Q62" s="762">
        <v>0</v>
      </c>
      <c r="R62" s="763">
        <v>251122547</v>
      </c>
      <c r="S62" s="764">
        <v>0</v>
      </c>
    </row>
    <row r="63" spans="1:19" ht="30.6" x14ac:dyDescent="0.3">
      <c r="A63" s="761" t="s">
        <v>6971</v>
      </c>
      <c r="B63" s="761" t="s">
        <v>4472</v>
      </c>
      <c r="C63" s="761" t="s">
        <v>1511</v>
      </c>
      <c r="D63" s="761" t="s">
        <v>316</v>
      </c>
      <c r="E63" s="761" t="s">
        <v>4479</v>
      </c>
      <c r="F63" s="762">
        <v>32098</v>
      </c>
      <c r="G63" s="762">
        <v>88</v>
      </c>
      <c r="H63" s="762">
        <v>442496</v>
      </c>
      <c r="I63" s="762">
        <v>1211</v>
      </c>
      <c r="J63" s="762">
        <v>0</v>
      </c>
      <c r="K63" s="762">
        <v>0</v>
      </c>
      <c r="L63" s="762">
        <v>0</v>
      </c>
      <c r="M63" s="762">
        <v>0</v>
      </c>
      <c r="N63" s="1187">
        <v>0</v>
      </c>
      <c r="O63" s="1187">
        <v>0</v>
      </c>
      <c r="P63" s="762">
        <v>442496</v>
      </c>
      <c r="Q63" s="762">
        <v>1211</v>
      </c>
      <c r="R63" s="763">
        <v>474594</v>
      </c>
      <c r="S63" s="764">
        <v>1299</v>
      </c>
    </row>
    <row r="64" spans="1:19" ht="20.399999999999999" x14ac:dyDescent="0.3">
      <c r="A64" s="761" t="s">
        <v>6971</v>
      </c>
      <c r="B64" s="761" t="s">
        <v>4472</v>
      </c>
      <c r="C64" s="761" t="s">
        <v>1508</v>
      </c>
      <c r="D64" s="761" t="s">
        <v>332</v>
      </c>
      <c r="E64" s="761" t="s">
        <v>4480</v>
      </c>
      <c r="F64" s="762">
        <v>0</v>
      </c>
      <c r="G64" s="762">
        <v>0</v>
      </c>
      <c r="H64" s="762">
        <v>0</v>
      </c>
      <c r="I64" s="762">
        <v>0</v>
      </c>
      <c r="J64" s="762">
        <v>3457006</v>
      </c>
      <c r="K64" s="762">
        <v>9621</v>
      </c>
      <c r="L64" s="762">
        <v>0</v>
      </c>
      <c r="M64" s="762">
        <v>0</v>
      </c>
      <c r="N64" s="1187">
        <v>0</v>
      </c>
      <c r="O64" s="1187">
        <v>0</v>
      </c>
      <c r="P64" s="762">
        <v>3457006</v>
      </c>
      <c r="Q64" s="762">
        <v>9621</v>
      </c>
      <c r="R64" s="763">
        <v>3457006</v>
      </c>
      <c r="S64" s="764">
        <v>9621</v>
      </c>
    </row>
    <row r="65" spans="1:19" ht="30.6" x14ac:dyDescent="0.3">
      <c r="A65" s="761" t="s">
        <v>6971</v>
      </c>
      <c r="B65" s="761" t="s">
        <v>4472</v>
      </c>
      <c r="C65" s="761" t="s">
        <v>1512</v>
      </c>
      <c r="D65" s="761" t="s">
        <v>334</v>
      </c>
      <c r="E65" s="761" t="s">
        <v>4481</v>
      </c>
      <c r="F65" s="762">
        <v>329071</v>
      </c>
      <c r="G65" s="762">
        <v>0</v>
      </c>
      <c r="H65" s="762">
        <v>1873786</v>
      </c>
      <c r="I65" s="762">
        <v>0</v>
      </c>
      <c r="J65" s="762">
        <v>0</v>
      </c>
      <c r="K65" s="762">
        <v>0</v>
      </c>
      <c r="L65" s="762">
        <v>0</v>
      </c>
      <c r="M65" s="762">
        <v>0</v>
      </c>
      <c r="N65" s="1187">
        <v>0</v>
      </c>
      <c r="O65" s="1187">
        <v>0</v>
      </c>
      <c r="P65" s="762">
        <v>1873786</v>
      </c>
      <c r="Q65" s="762">
        <v>0</v>
      </c>
      <c r="R65" s="763">
        <v>2202857</v>
      </c>
      <c r="S65" s="764">
        <v>0</v>
      </c>
    </row>
    <row r="66" spans="1:19" ht="20.399999999999999" x14ac:dyDescent="0.3">
      <c r="A66" s="761" t="s">
        <v>6971</v>
      </c>
      <c r="B66" s="761" t="s">
        <v>1513</v>
      </c>
      <c r="C66" s="761" t="s">
        <v>1514</v>
      </c>
      <c r="D66" s="761" t="s">
        <v>240</v>
      </c>
      <c r="E66" s="761" t="s">
        <v>1619</v>
      </c>
      <c r="F66" s="762">
        <v>0</v>
      </c>
      <c r="G66" s="762">
        <v>0</v>
      </c>
      <c r="H66" s="762">
        <v>0</v>
      </c>
      <c r="I66" s="762">
        <v>0</v>
      </c>
      <c r="J66" s="762">
        <v>0</v>
      </c>
      <c r="K66" s="762">
        <v>0</v>
      </c>
      <c r="L66" s="762">
        <v>41261684</v>
      </c>
      <c r="M66" s="762">
        <v>97683.046875</v>
      </c>
      <c r="N66" s="1187">
        <v>0</v>
      </c>
      <c r="O66" s="1187">
        <v>0</v>
      </c>
      <c r="P66" s="762">
        <v>41261684.090000004</v>
      </c>
      <c r="Q66" s="762">
        <v>97683.05</v>
      </c>
      <c r="R66" s="763">
        <v>41261684.090000004</v>
      </c>
      <c r="S66" s="764">
        <v>97683.05</v>
      </c>
    </row>
    <row r="67" spans="1:19" ht="40.799999999999997" x14ac:dyDescent="0.3">
      <c r="A67" s="761" t="s">
        <v>6971</v>
      </c>
      <c r="B67" s="761" t="s">
        <v>1513</v>
      </c>
      <c r="C67" s="761" t="s">
        <v>1504</v>
      </c>
      <c r="D67" s="761" t="s">
        <v>268</v>
      </c>
      <c r="E67" s="761" t="s">
        <v>1620</v>
      </c>
      <c r="F67" s="762">
        <v>141749631.56</v>
      </c>
      <c r="G67" s="762">
        <v>335779</v>
      </c>
      <c r="H67" s="762">
        <v>34070575.409999996</v>
      </c>
      <c r="I67" s="762">
        <v>95246.57</v>
      </c>
      <c r="J67" s="762">
        <v>374189047.50999999</v>
      </c>
      <c r="K67" s="762">
        <v>1355662.76</v>
      </c>
      <c r="L67" s="762">
        <v>6085995</v>
      </c>
      <c r="M67" s="762">
        <v>10962.4599609375</v>
      </c>
      <c r="N67" s="1187">
        <v>0</v>
      </c>
      <c r="O67" s="1187">
        <v>0</v>
      </c>
      <c r="P67" s="762">
        <v>414345617.83999997</v>
      </c>
      <c r="Q67" s="762">
        <v>1461871.79</v>
      </c>
      <c r="R67" s="763">
        <v>556095249.39999998</v>
      </c>
      <c r="S67" s="764">
        <v>1797651.59</v>
      </c>
    </row>
    <row r="68" spans="1:19" ht="20.399999999999999" x14ac:dyDescent="0.3">
      <c r="A68" s="761" t="s">
        <v>6971</v>
      </c>
      <c r="B68" s="761" t="s">
        <v>1513</v>
      </c>
      <c r="C68" s="761" t="s">
        <v>288</v>
      </c>
      <c r="D68" s="761" t="s">
        <v>288</v>
      </c>
      <c r="E68" s="761" t="s">
        <v>1621</v>
      </c>
      <c r="F68" s="762">
        <v>13801949.41</v>
      </c>
      <c r="G68" s="762">
        <v>0</v>
      </c>
      <c r="H68" s="762">
        <v>79817344.370000005</v>
      </c>
      <c r="I68" s="762">
        <v>0</v>
      </c>
      <c r="J68" s="762">
        <v>340824.04</v>
      </c>
      <c r="K68" s="762">
        <v>0</v>
      </c>
      <c r="L68" s="762">
        <v>0</v>
      </c>
      <c r="M68" s="762">
        <v>0</v>
      </c>
      <c r="N68" s="1187">
        <v>0</v>
      </c>
      <c r="O68" s="1187">
        <v>0</v>
      </c>
      <c r="P68" s="762">
        <v>80158168.409999996</v>
      </c>
      <c r="Q68" s="762">
        <v>0</v>
      </c>
      <c r="R68" s="763">
        <v>93960117.819999993</v>
      </c>
      <c r="S68" s="764">
        <v>0</v>
      </c>
    </row>
    <row r="69" spans="1:19" ht="20.399999999999999" x14ac:dyDescent="0.3">
      <c r="A69" s="761" t="s">
        <v>6971</v>
      </c>
      <c r="B69" s="761" t="s">
        <v>1513</v>
      </c>
      <c r="C69" s="761" t="s">
        <v>3804</v>
      </c>
      <c r="D69" s="761" t="s">
        <v>3804</v>
      </c>
      <c r="E69" s="761" t="s">
        <v>3822</v>
      </c>
      <c r="F69" s="762">
        <v>0</v>
      </c>
      <c r="G69" s="762">
        <v>0</v>
      </c>
      <c r="H69" s="762">
        <v>0</v>
      </c>
      <c r="I69" s="762">
        <v>0</v>
      </c>
      <c r="J69" s="762">
        <v>0</v>
      </c>
      <c r="K69" s="762">
        <v>0</v>
      </c>
      <c r="L69" s="762">
        <v>0</v>
      </c>
      <c r="M69" s="762">
        <v>0</v>
      </c>
      <c r="N69" s="1187">
        <v>200352512</v>
      </c>
      <c r="O69" s="1187">
        <v>453512</v>
      </c>
      <c r="P69" s="762">
        <v>0</v>
      </c>
      <c r="Q69" s="762">
        <v>0</v>
      </c>
      <c r="R69" s="763">
        <v>0</v>
      </c>
      <c r="S69" s="764">
        <v>0</v>
      </c>
    </row>
    <row r="70" spans="1:19" ht="20.399999999999999" x14ac:dyDescent="0.3">
      <c r="A70" s="761" t="s">
        <v>6971</v>
      </c>
      <c r="B70" s="761" t="s">
        <v>1513</v>
      </c>
      <c r="C70" s="761" t="s">
        <v>307</v>
      </c>
      <c r="D70" s="761" t="s">
        <v>307</v>
      </c>
      <c r="E70" s="761" t="s">
        <v>1622</v>
      </c>
      <c r="F70" s="762">
        <v>9078180.9100000001</v>
      </c>
      <c r="G70" s="762">
        <v>0</v>
      </c>
      <c r="H70" s="762">
        <v>284804153.81</v>
      </c>
      <c r="I70" s="762">
        <v>0</v>
      </c>
      <c r="J70" s="762">
        <v>2800.7</v>
      </c>
      <c r="K70" s="762">
        <v>0</v>
      </c>
      <c r="L70" s="762">
        <v>0</v>
      </c>
      <c r="M70" s="762">
        <v>0</v>
      </c>
      <c r="N70" s="1187">
        <v>0</v>
      </c>
      <c r="O70" s="1187">
        <v>0</v>
      </c>
      <c r="P70" s="762">
        <v>284806954.50999999</v>
      </c>
      <c r="Q70" s="762">
        <v>0</v>
      </c>
      <c r="R70" s="763">
        <v>293885135.42000002</v>
      </c>
      <c r="S70" s="764">
        <v>0</v>
      </c>
    </row>
    <row r="71" spans="1:19" ht="20.399999999999999" x14ac:dyDescent="0.3">
      <c r="A71" s="761" t="s">
        <v>6971</v>
      </c>
      <c r="B71" s="761" t="s">
        <v>1513</v>
      </c>
      <c r="C71" s="761" t="s">
        <v>1511</v>
      </c>
      <c r="D71" s="761" t="s">
        <v>316</v>
      </c>
      <c r="E71" s="761" t="s">
        <v>1623</v>
      </c>
      <c r="F71" s="762">
        <v>0</v>
      </c>
      <c r="G71" s="762">
        <v>0</v>
      </c>
      <c r="H71" s="762">
        <v>196100.75</v>
      </c>
      <c r="I71" s="762">
        <v>567.66</v>
      </c>
      <c r="J71" s="762">
        <v>0</v>
      </c>
      <c r="K71" s="762">
        <v>0</v>
      </c>
      <c r="L71" s="762">
        <v>0</v>
      </c>
      <c r="M71" s="762">
        <v>0</v>
      </c>
      <c r="N71" s="1187">
        <v>0</v>
      </c>
      <c r="O71" s="1187">
        <v>0</v>
      </c>
      <c r="P71" s="762">
        <v>196100.75</v>
      </c>
      <c r="Q71" s="762">
        <v>567.66</v>
      </c>
      <c r="R71" s="763">
        <v>196100.75</v>
      </c>
      <c r="S71" s="764">
        <v>567.66</v>
      </c>
    </row>
    <row r="72" spans="1:19" ht="20.399999999999999" x14ac:dyDescent="0.3">
      <c r="A72" s="761" t="s">
        <v>6971</v>
      </c>
      <c r="B72" s="761" t="s">
        <v>1513</v>
      </c>
      <c r="C72" s="761" t="s">
        <v>1508</v>
      </c>
      <c r="D72" s="761" t="s">
        <v>332</v>
      </c>
      <c r="E72" s="761" t="s">
        <v>1624</v>
      </c>
      <c r="F72" s="762">
        <v>0</v>
      </c>
      <c r="G72" s="762">
        <v>0</v>
      </c>
      <c r="H72" s="762">
        <v>0</v>
      </c>
      <c r="I72" s="762">
        <v>0</v>
      </c>
      <c r="J72" s="762">
        <v>7341346.3899999997</v>
      </c>
      <c r="K72" s="762">
        <v>7336</v>
      </c>
      <c r="L72" s="762">
        <v>0</v>
      </c>
      <c r="M72" s="762">
        <v>0</v>
      </c>
      <c r="N72" s="1187">
        <v>0</v>
      </c>
      <c r="O72" s="1187">
        <v>0</v>
      </c>
      <c r="P72" s="762">
        <v>7341346.3899999997</v>
      </c>
      <c r="Q72" s="762">
        <v>7336</v>
      </c>
      <c r="R72" s="763">
        <v>7341346.3899999997</v>
      </c>
      <c r="S72" s="764">
        <v>7336</v>
      </c>
    </row>
    <row r="73" spans="1:19" ht="30.6" x14ac:dyDescent="0.3">
      <c r="A73" s="761" t="s">
        <v>6971</v>
      </c>
      <c r="B73" s="761" t="s">
        <v>1513</v>
      </c>
      <c r="C73" s="761" t="s">
        <v>1512</v>
      </c>
      <c r="D73" s="761" t="s">
        <v>334</v>
      </c>
      <c r="E73" s="761" t="s">
        <v>1625</v>
      </c>
      <c r="F73" s="762">
        <v>0</v>
      </c>
      <c r="G73" s="762">
        <v>0</v>
      </c>
      <c r="H73" s="762">
        <v>1568212.68</v>
      </c>
      <c r="I73" s="762">
        <v>0</v>
      </c>
      <c r="J73" s="762">
        <v>0</v>
      </c>
      <c r="K73" s="762">
        <v>0</v>
      </c>
      <c r="L73" s="762">
        <v>0</v>
      </c>
      <c r="M73" s="762">
        <v>0</v>
      </c>
      <c r="N73" s="1187">
        <v>0</v>
      </c>
      <c r="O73" s="1187">
        <v>0</v>
      </c>
      <c r="P73" s="762">
        <v>1568212.68</v>
      </c>
      <c r="Q73" s="762">
        <v>0</v>
      </c>
      <c r="R73" s="763">
        <v>1568212.68</v>
      </c>
      <c r="S73" s="764">
        <v>0</v>
      </c>
    </row>
    <row r="74" spans="1:19" ht="40.799999999999997" x14ac:dyDescent="0.3">
      <c r="A74" s="761" t="s">
        <v>6971</v>
      </c>
      <c r="B74" s="761" t="s">
        <v>1515</v>
      </c>
      <c r="C74" s="761" t="s">
        <v>1504</v>
      </c>
      <c r="D74" s="761" t="s">
        <v>268</v>
      </c>
      <c r="E74" s="761" t="s">
        <v>1626</v>
      </c>
      <c r="F74" s="762">
        <v>116404407</v>
      </c>
      <c r="G74" s="762">
        <v>309090</v>
      </c>
      <c r="H74" s="762">
        <v>125923413</v>
      </c>
      <c r="I74" s="762">
        <v>356622</v>
      </c>
      <c r="J74" s="762">
        <v>600681828</v>
      </c>
      <c r="K74" s="762">
        <v>1654426</v>
      </c>
      <c r="L74" s="762">
        <v>0</v>
      </c>
      <c r="M74" s="762">
        <v>0</v>
      </c>
      <c r="N74" s="1187">
        <v>0</v>
      </c>
      <c r="O74" s="1187">
        <v>0</v>
      </c>
      <c r="P74" s="762">
        <v>726605241</v>
      </c>
      <c r="Q74" s="762">
        <v>2011048</v>
      </c>
      <c r="R74" s="763">
        <v>843009648</v>
      </c>
      <c r="S74" s="764">
        <v>2320138</v>
      </c>
    </row>
    <row r="75" spans="1:19" ht="20.399999999999999" x14ac:dyDescent="0.3">
      <c r="A75" s="761" t="s">
        <v>6971</v>
      </c>
      <c r="B75" s="761" t="s">
        <v>1515</v>
      </c>
      <c r="C75" s="761" t="s">
        <v>288</v>
      </c>
      <c r="D75" s="761" t="s">
        <v>288</v>
      </c>
      <c r="E75" s="761" t="s">
        <v>1627</v>
      </c>
      <c r="F75" s="762">
        <v>22820915</v>
      </c>
      <c r="G75" s="762">
        <v>0</v>
      </c>
      <c r="H75" s="762">
        <v>146180032</v>
      </c>
      <c r="I75" s="762">
        <v>0</v>
      </c>
      <c r="J75" s="762">
        <v>312442</v>
      </c>
      <c r="K75" s="762">
        <v>0</v>
      </c>
      <c r="L75" s="762">
        <v>0</v>
      </c>
      <c r="M75" s="762">
        <v>0</v>
      </c>
      <c r="N75" s="1187">
        <v>0</v>
      </c>
      <c r="O75" s="1187">
        <v>0</v>
      </c>
      <c r="P75" s="762">
        <v>146492474</v>
      </c>
      <c r="Q75" s="762">
        <v>0</v>
      </c>
      <c r="R75" s="763">
        <v>169313389</v>
      </c>
      <c r="S75" s="764">
        <v>0</v>
      </c>
    </row>
    <row r="76" spans="1:19" ht="20.399999999999999" x14ac:dyDescent="0.3">
      <c r="A76" s="761" t="s">
        <v>6971</v>
      </c>
      <c r="B76" s="761" t="s">
        <v>1515</v>
      </c>
      <c r="C76" s="761" t="s">
        <v>3804</v>
      </c>
      <c r="D76" s="761" t="s">
        <v>3804</v>
      </c>
      <c r="E76" s="761" t="s">
        <v>3823</v>
      </c>
      <c r="F76" s="762">
        <v>0</v>
      </c>
      <c r="G76" s="762">
        <v>0</v>
      </c>
      <c r="H76" s="762">
        <v>0</v>
      </c>
      <c r="I76" s="762">
        <v>0</v>
      </c>
      <c r="J76" s="762">
        <v>0</v>
      </c>
      <c r="K76" s="762">
        <v>0</v>
      </c>
      <c r="L76" s="762">
        <v>0</v>
      </c>
      <c r="M76" s="762">
        <v>0</v>
      </c>
      <c r="N76" s="1187">
        <v>193111328</v>
      </c>
      <c r="O76" s="1187">
        <v>480613</v>
      </c>
      <c r="P76" s="762">
        <v>0</v>
      </c>
      <c r="Q76" s="762">
        <v>0</v>
      </c>
      <c r="R76" s="763">
        <v>0</v>
      </c>
      <c r="S76" s="764">
        <v>0</v>
      </c>
    </row>
    <row r="77" spans="1:19" ht="20.399999999999999" x14ac:dyDescent="0.3">
      <c r="A77" s="761" t="s">
        <v>6971</v>
      </c>
      <c r="B77" s="761" t="s">
        <v>1515</v>
      </c>
      <c r="C77" s="761" t="s">
        <v>307</v>
      </c>
      <c r="D77" s="761" t="s">
        <v>307</v>
      </c>
      <c r="E77" s="761" t="s">
        <v>1628</v>
      </c>
      <c r="F77" s="762">
        <v>6691045</v>
      </c>
      <c r="G77" s="762">
        <v>0</v>
      </c>
      <c r="H77" s="762">
        <v>502777868</v>
      </c>
      <c r="I77" s="762">
        <v>0</v>
      </c>
      <c r="J77" s="762">
        <v>0</v>
      </c>
      <c r="K77" s="762">
        <v>0</v>
      </c>
      <c r="L77" s="762">
        <v>0</v>
      </c>
      <c r="M77" s="762">
        <v>0</v>
      </c>
      <c r="N77" s="1187">
        <v>0</v>
      </c>
      <c r="O77" s="1187">
        <v>0</v>
      </c>
      <c r="P77" s="762">
        <v>502777868</v>
      </c>
      <c r="Q77" s="762">
        <v>0</v>
      </c>
      <c r="R77" s="763">
        <v>509468913</v>
      </c>
      <c r="S77" s="764">
        <v>0</v>
      </c>
    </row>
    <row r="78" spans="1:19" ht="20.399999999999999" x14ac:dyDescent="0.3">
      <c r="A78" s="761" t="s">
        <v>6971</v>
      </c>
      <c r="B78" s="761" t="s">
        <v>1515</v>
      </c>
      <c r="C78" s="761" t="s">
        <v>1508</v>
      </c>
      <c r="D78" s="761" t="s">
        <v>332</v>
      </c>
      <c r="E78" s="761" t="s">
        <v>1629</v>
      </c>
      <c r="F78" s="762">
        <v>0</v>
      </c>
      <c r="G78" s="762">
        <v>0</v>
      </c>
      <c r="H78" s="762">
        <v>46983</v>
      </c>
      <c r="I78" s="762">
        <v>131</v>
      </c>
      <c r="J78" s="762">
        <v>5490670</v>
      </c>
      <c r="K78" s="762">
        <v>15315</v>
      </c>
      <c r="L78" s="762">
        <v>0</v>
      </c>
      <c r="M78" s="762">
        <v>0</v>
      </c>
      <c r="N78" s="1187">
        <v>0</v>
      </c>
      <c r="O78" s="1187">
        <v>0</v>
      </c>
      <c r="P78" s="762">
        <v>5537653</v>
      </c>
      <c r="Q78" s="762">
        <v>15446</v>
      </c>
      <c r="R78" s="763">
        <v>5537653</v>
      </c>
      <c r="S78" s="764">
        <v>15446</v>
      </c>
    </row>
    <row r="79" spans="1:19" ht="30.6" x14ac:dyDescent="0.3">
      <c r="A79" s="761" t="s">
        <v>6971</v>
      </c>
      <c r="B79" s="761" t="s">
        <v>1515</v>
      </c>
      <c r="C79" s="761" t="s">
        <v>1512</v>
      </c>
      <c r="D79" s="761" t="s">
        <v>334</v>
      </c>
      <c r="E79" s="761" t="s">
        <v>1630</v>
      </c>
      <c r="F79" s="762">
        <v>0</v>
      </c>
      <c r="G79" s="762">
        <v>0</v>
      </c>
      <c r="H79" s="762">
        <v>3144305</v>
      </c>
      <c r="I79" s="762">
        <v>0</v>
      </c>
      <c r="J79" s="762">
        <v>0</v>
      </c>
      <c r="K79" s="762">
        <v>0</v>
      </c>
      <c r="L79" s="762">
        <v>0</v>
      </c>
      <c r="M79" s="762">
        <v>0</v>
      </c>
      <c r="N79" s="1187">
        <v>0</v>
      </c>
      <c r="O79" s="1187">
        <v>0</v>
      </c>
      <c r="P79" s="762">
        <v>3144305</v>
      </c>
      <c r="Q79" s="762">
        <v>0</v>
      </c>
      <c r="R79" s="763">
        <v>3144305</v>
      </c>
      <c r="S79" s="764">
        <v>0</v>
      </c>
    </row>
    <row r="80" spans="1:19" ht="20.399999999999999" x14ac:dyDescent="0.3">
      <c r="A80" s="761" t="s">
        <v>6971</v>
      </c>
      <c r="B80" s="761" t="s">
        <v>1516</v>
      </c>
      <c r="C80" s="761" t="s">
        <v>1514</v>
      </c>
      <c r="D80" s="761" t="s">
        <v>240</v>
      </c>
      <c r="E80" s="761" t="s">
        <v>3824</v>
      </c>
      <c r="F80" s="762">
        <v>0</v>
      </c>
      <c r="G80" s="762">
        <v>0</v>
      </c>
      <c r="H80" s="762">
        <v>0</v>
      </c>
      <c r="I80" s="762">
        <v>0</v>
      </c>
      <c r="J80" s="762">
        <v>5234524</v>
      </c>
      <c r="K80" s="762">
        <v>13276</v>
      </c>
      <c r="L80" s="762">
        <v>0</v>
      </c>
      <c r="M80" s="762">
        <v>0</v>
      </c>
      <c r="N80" s="1187">
        <v>0</v>
      </c>
      <c r="O80" s="1187">
        <v>0</v>
      </c>
      <c r="P80" s="762">
        <v>5234524</v>
      </c>
      <c r="Q80" s="762">
        <v>13276</v>
      </c>
      <c r="R80" s="763">
        <v>5234524</v>
      </c>
      <c r="S80" s="764">
        <v>13276</v>
      </c>
    </row>
    <row r="81" spans="1:19" ht="40.799999999999997" x14ac:dyDescent="0.3">
      <c r="A81" s="761" t="s">
        <v>6971</v>
      </c>
      <c r="B81" s="761" t="s">
        <v>1516</v>
      </c>
      <c r="C81" s="761" t="s">
        <v>1504</v>
      </c>
      <c r="D81" s="761" t="s">
        <v>268</v>
      </c>
      <c r="E81" s="761" t="s">
        <v>2056</v>
      </c>
      <c r="F81" s="762">
        <v>9411237</v>
      </c>
      <c r="G81" s="762">
        <v>28710</v>
      </c>
      <c r="H81" s="762">
        <v>14756525</v>
      </c>
      <c r="I81" s="762">
        <v>44888</v>
      </c>
      <c r="J81" s="762">
        <v>159037146</v>
      </c>
      <c r="K81" s="762">
        <v>480369</v>
      </c>
      <c r="L81" s="762">
        <v>0</v>
      </c>
      <c r="M81" s="762">
        <v>0</v>
      </c>
      <c r="N81" s="1187">
        <v>0</v>
      </c>
      <c r="O81" s="1187">
        <v>0</v>
      </c>
      <c r="P81" s="762">
        <v>173793671</v>
      </c>
      <c r="Q81" s="762">
        <v>525257</v>
      </c>
      <c r="R81" s="763">
        <v>183204908</v>
      </c>
      <c r="S81" s="764">
        <v>553967</v>
      </c>
    </row>
    <row r="82" spans="1:19" ht="20.399999999999999" x14ac:dyDescent="0.3">
      <c r="A82" s="761" t="s">
        <v>6971</v>
      </c>
      <c r="B82" s="761" t="s">
        <v>1516</v>
      </c>
      <c r="C82" s="761" t="s">
        <v>288</v>
      </c>
      <c r="D82" s="761" t="s">
        <v>288</v>
      </c>
      <c r="E82" s="761" t="s">
        <v>2057</v>
      </c>
      <c r="F82" s="762">
        <v>10703554</v>
      </c>
      <c r="G82" s="762">
        <v>0</v>
      </c>
      <c r="H82" s="762">
        <v>57593066</v>
      </c>
      <c r="I82" s="762">
        <v>0</v>
      </c>
      <c r="J82" s="762">
        <v>0</v>
      </c>
      <c r="K82" s="762">
        <v>0</v>
      </c>
      <c r="L82" s="762">
        <v>0</v>
      </c>
      <c r="M82" s="762">
        <v>0</v>
      </c>
      <c r="N82" s="1187">
        <v>0</v>
      </c>
      <c r="O82" s="1187">
        <v>0</v>
      </c>
      <c r="P82" s="762">
        <v>57593066</v>
      </c>
      <c r="Q82" s="762">
        <v>0</v>
      </c>
      <c r="R82" s="763">
        <v>68296620</v>
      </c>
      <c r="S82" s="764">
        <v>0</v>
      </c>
    </row>
    <row r="83" spans="1:19" ht="20.399999999999999" x14ac:dyDescent="0.3">
      <c r="A83" s="761" t="s">
        <v>6971</v>
      </c>
      <c r="B83" s="761" t="s">
        <v>1516</v>
      </c>
      <c r="C83" s="761" t="s">
        <v>3804</v>
      </c>
      <c r="D83" s="761" t="s">
        <v>3804</v>
      </c>
      <c r="E83" s="761" t="s">
        <v>3825</v>
      </c>
      <c r="F83" s="762">
        <v>0</v>
      </c>
      <c r="G83" s="762">
        <v>0</v>
      </c>
      <c r="H83" s="762">
        <v>0</v>
      </c>
      <c r="I83" s="762">
        <v>0</v>
      </c>
      <c r="J83" s="762">
        <v>0</v>
      </c>
      <c r="K83" s="762">
        <v>0</v>
      </c>
      <c r="L83" s="762">
        <v>0</v>
      </c>
      <c r="M83" s="762">
        <v>0</v>
      </c>
      <c r="N83" s="1187">
        <v>79045584</v>
      </c>
      <c r="O83" s="1187">
        <v>243850</v>
      </c>
      <c r="P83" s="762">
        <v>0</v>
      </c>
      <c r="Q83" s="762">
        <v>0</v>
      </c>
      <c r="R83" s="763">
        <v>0</v>
      </c>
      <c r="S83" s="764">
        <v>0</v>
      </c>
    </row>
    <row r="84" spans="1:19" ht="20.399999999999999" x14ac:dyDescent="0.3">
      <c r="A84" s="761" t="s">
        <v>6971</v>
      </c>
      <c r="B84" s="761" t="s">
        <v>1516</v>
      </c>
      <c r="C84" s="761" t="s">
        <v>307</v>
      </c>
      <c r="D84" s="761" t="s">
        <v>307</v>
      </c>
      <c r="E84" s="761" t="s">
        <v>2058</v>
      </c>
      <c r="F84" s="762">
        <v>5222359</v>
      </c>
      <c r="G84" s="762">
        <v>0</v>
      </c>
      <c r="H84" s="762">
        <v>203111337</v>
      </c>
      <c r="I84" s="762">
        <v>0</v>
      </c>
      <c r="J84" s="762">
        <v>0</v>
      </c>
      <c r="K84" s="762">
        <v>0</v>
      </c>
      <c r="L84" s="762">
        <v>0</v>
      </c>
      <c r="M84" s="762">
        <v>0</v>
      </c>
      <c r="N84" s="1187">
        <v>0</v>
      </c>
      <c r="O84" s="1187">
        <v>0</v>
      </c>
      <c r="P84" s="762">
        <v>203111337</v>
      </c>
      <c r="Q84" s="762">
        <v>0</v>
      </c>
      <c r="R84" s="763">
        <v>208333696</v>
      </c>
      <c r="S84" s="764">
        <v>0</v>
      </c>
    </row>
    <row r="85" spans="1:19" ht="20.399999999999999" x14ac:dyDescent="0.3">
      <c r="A85" s="761" t="s">
        <v>6971</v>
      </c>
      <c r="B85" s="761" t="s">
        <v>1516</v>
      </c>
      <c r="C85" s="761" t="s">
        <v>1511</v>
      </c>
      <c r="D85" s="761" t="s">
        <v>316</v>
      </c>
      <c r="E85" s="761" t="s">
        <v>2059</v>
      </c>
      <c r="F85" s="762">
        <v>394</v>
      </c>
      <c r="G85" s="762">
        <v>1</v>
      </c>
      <c r="H85" s="762">
        <v>565519</v>
      </c>
      <c r="I85" s="762">
        <v>1855</v>
      </c>
      <c r="J85" s="762">
        <v>0</v>
      </c>
      <c r="K85" s="762">
        <v>0</v>
      </c>
      <c r="L85" s="762">
        <v>0</v>
      </c>
      <c r="M85" s="762">
        <v>0</v>
      </c>
      <c r="N85" s="1187">
        <v>0</v>
      </c>
      <c r="O85" s="1187">
        <v>0</v>
      </c>
      <c r="P85" s="762">
        <v>565519</v>
      </c>
      <c r="Q85" s="762">
        <v>1855</v>
      </c>
      <c r="R85" s="763">
        <v>565913</v>
      </c>
      <c r="S85" s="764">
        <v>1856</v>
      </c>
    </row>
    <row r="86" spans="1:19" ht="20.399999999999999" x14ac:dyDescent="0.3">
      <c r="A86" s="761" t="s">
        <v>6971</v>
      </c>
      <c r="B86" s="761" t="s">
        <v>1516</v>
      </c>
      <c r="C86" s="761" t="s">
        <v>1508</v>
      </c>
      <c r="D86" s="761" t="s">
        <v>332</v>
      </c>
      <c r="E86" s="761" t="s">
        <v>2060</v>
      </c>
      <c r="F86" s="762">
        <v>0</v>
      </c>
      <c r="G86" s="762">
        <v>0</v>
      </c>
      <c r="H86" s="762">
        <v>81556</v>
      </c>
      <c r="I86" s="762">
        <v>269</v>
      </c>
      <c r="J86" s="762">
        <v>1320222</v>
      </c>
      <c r="K86" s="762">
        <v>4017</v>
      </c>
      <c r="L86" s="762">
        <v>0</v>
      </c>
      <c r="M86" s="762">
        <v>0</v>
      </c>
      <c r="N86" s="1187">
        <v>0</v>
      </c>
      <c r="O86" s="1187">
        <v>0</v>
      </c>
      <c r="P86" s="762">
        <v>1401778</v>
      </c>
      <c r="Q86" s="762">
        <v>4286</v>
      </c>
      <c r="R86" s="763">
        <v>1401778</v>
      </c>
      <c r="S86" s="764">
        <v>4286</v>
      </c>
    </row>
    <row r="87" spans="1:19" ht="30.6" x14ac:dyDescent="0.3">
      <c r="A87" s="761" t="s">
        <v>6971</v>
      </c>
      <c r="B87" s="761" t="s">
        <v>1516</v>
      </c>
      <c r="C87" s="761" t="s">
        <v>1512</v>
      </c>
      <c r="D87" s="761" t="s">
        <v>334</v>
      </c>
      <c r="E87" s="761" t="s">
        <v>2061</v>
      </c>
      <c r="F87" s="762">
        <v>877895</v>
      </c>
      <c r="G87" s="762">
        <v>0</v>
      </c>
      <c r="H87" s="762">
        <v>421592</v>
      </c>
      <c r="I87" s="762">
        <v>0</v>
      </c>
      <c r="J87" s="762">
        <v>0</v>
      </c>
      <c r="K87" s="762">
        <v>0</v>
      </c>
      <c r="L87" s="762">
        <v>0</v>
      </c>
      <c r="M87" s="762">
        <v>0</v>
      </c>
      <c r="N87" s="1187">
        <v>0</v>
      </c>
      <c r="O87" s="1187">
        <v>0</v>
      </c>
      <c r="P87" s="762">
        <v>421592</v>
      </c>
      <c r="Q87" s="762">
        <v>0</v>
      </c>
      <c r="R87" s="763">
        <v>1299487</v>
      </c>
      <c r="S87" s="764">
        <v>0</v>
      </c>
    </row>
    <row r="88" spans="1:19" ht="40.799999999999997" x14ac:dyDescent="0.3">
      <c r="A88" s="761" t="s">
        <v>6971</v>
      </c>
      <c r="B88" s="761" t="s">
        <v>1517</v>
      </c>
      <c r="C88" s="761" t="s">
        <v>1504</v>
      </c>
      <c r="D88" s="761" t="s">
        <v>254</v>
      </c>
      <c r="E88" s="761" t="s">
        <v>1631</v>
      </c>
      <c r="F88" s="762">
        <v>0</v>
      </c>
      <c r="G88" s="762">
        <v>0</v>
      </c>
      <c r="H88" s="762">
        <v>0</v>
      </c>
      <c r="I88" s="762">
        <v>0</v>
      </c>
      <c r="J88" s="762">
        <v>18101354.399999999</v>
      </c>
      <c r="K88" s="762">
        <v>42600.29</v>
      </c>
      <c r="L88" s="762">
        <v>0</v>
      </c>
      <c r="M88" s="762">
        <v>0</v>
      </c>
      <c r="N88" s="1187">
        <v>0</v>
      </c>
      <c r="O88" s="1187">
        <v>0</v>
      </c>
      <c r="P88" s="762">
        <v>18101354.399999999</v>
      </c>
      <c r="Q88" s="762">
        <v>42600.29</v>
      </c>
      <c r="R88" s="763">
        <v>18101354.399999999</v>
      </c>
      <c r="S88" s="764">
        <v>42600.29</v>
      </c>
    </row>
    <row r="89" spans="1:19" ht="40.799999999999997" x14ac:dyDescent="0.3">
      <c r="A89" s="761" t="s">
        <v>6971</v>
      </c>
      <c r="B89" s="761" t="s">
        <v>1517</v>
      </c>
      <c r="C89" s="761" t="s">
        <v>1504</v>
      </c>
      <c r="D89" s="761" t="s">
        <v>263</v>
      </c>
      <c r="E89" s="761" t="s">
        <v>1632</v>
      </c>
      <c r="F89" s="762">
        <v>8791949</v>
      </c>
      <c r="G89" s="762">
        <v>25784</v>
      </c>
      <c r="H89" s="762">
        <v>1576003.76</v>
      </c>
      <c r="I89" s="762">
        <v>5198.8100000000004</v>
      </c>
      <c r="J89" s="762">
        <v>39319548.939999998</v>
      </c>
      <c r="K89" s="762">
        <v>107857.38</v>
      </c>
      <c r="L89" s="762">
        <v>2736305.25</v>
      </c>
      <c r="M89" s="762">
        <v>5130.52978515625</v>
      </c>
      <c r="N89" s="1187">
        <v>0</v>
      </c>
      <c r="O89" s="1187">
        <v>0</v>
      </c>
      <c r="P89" s="762">
        <v>43631857.920000002</v>
      </c>
      <c r="Q89" s="762">
        <v>118186.72</v>
      </c>
      <c r="R89" s="763">
        <v>52423806.920000002</v>
      </c>
      <c r="S89" s="764">
        <v>143971.16</v>
      </c>
    </row>
    <row r="90" spans="1:19" ht="20.399999999999999" x14ac:dyDescent="0.3">
      <c r="A90" s="761" t="s">
        <v>6971</v>
      </c>
      <c r="B90" s="761" t="s">
        <v>1517</v>
      </c>
      <c r="C90" s="761" t="s">
        <v>288</v>
      </c>
      <c r="D90" s="761" t="s">
        <v>288</v>
      </c>
      <c r="E90" s="761" t="s">
        <v>1633</v>
      </c>
      <c r="F90" s="762">
        <v>4859002</v>
      </c>
      <c r="G90" s="762">
        <v>0</v>
      </c>
      <c r="H90" s="762">
        <v>17797362.390000001</v>
      </c>
      <c r="I90" s="762">
        <v>0</v>
      </c>
      <c r="J90" s="762">
        <v>12688</v>
      </c>
      <c r="K90" s="762">
        <v>0</v>
      </c>
      <c r="L90" s="762">
        <v>0</v>
      </c>
      <c r="M90" s="762">
        <v>0</v>
      </c>
      <c r="N90" s="1187">
        <v>0</v>
      </c>
      <c r="O90" s="1187">
        <v>0</v>
      </c>
      <c r="P90" s="762">
        <v>17810050.390000001</v>
      </c>
      <c r="Q90" s="762">
        <v>0</v>
      </c>
      <c r="R90" s="763">
        <v>22669052.390000001</v>
      </c>
      <c r="S90" s="764">
        <v>0</v>
      </c>
    </row>
    <row r="91" spans="1:19" ht="20.399999999999999" x14ac:dyDescent="0.3">
      <c r="A91" s="761" t="s">
        <v>6971</v>
      </c>
      <c r="B91" s="761" t="s">
        <v>1517</v>
      </c>
      <c r="C91" s="761" t="s">
        <v>3804</v>
      </c>
      <c r="D91" s="761" t="s">
        <v>3804</v>
      </c>
      <c r="E91" s="761" t="s">
        <v>3826</v>
      </c>
      <c r="F91" s="762">
        <v>0</v>
      </c>
      <c r="G91" s="762">
        <v>0</v>
      </c>
      <c r="H91" s="762">
        <v>0</v>
      </c>
      <c r="I91" s="762">
        <v>0</v>
      </c>
      <c r="J91" s="762">
        <v>0</v>
      </c>
      <c r="K91" s="762">
        <v>0</v>
      </c>
      <c r="L91" s="762">
        <v>0</v>
      </c>
      <c r="M91" s="762">
        <v>0</v>
      </c>
      <c r="N91" s="1187">
        <v>21983578</v>
      </c>
      <c r="O91" s="1187">
        <v>52158.30078125</v>
      </c>
      <c r="P91" s="762">
        <v>0</v>
      </c>
      <c r="Q91" s="762">
        <v>0</v>
      </c>
      <c r="R91" s="763">
        <v>0</v>
      </c>
      <c r="S91" s="764">
        <v>0</v>
      </c>
    </row>
    <row r="92" spans="1:19" ht="20.399999999999999" x14ac:dyDescent="0.3">
      <c r="A92" s="761" t="s">
        <v>6971</v>
      </c>
      <c r="B92" s="761" t="s">
        <v>1517</v>
      </c>
      <c r="C92" s="761" t="s">
        <v>307</v>
      </c>
      <c r="D92" s="761" t="s">
        <v>307</v>
      </c>
      <c r="E92" s="761" t="s">
        <v>1634</v>
      </c>
      <c r="F92" s="762">
        <v>1083427</v>
      </c>
      <c r="G92" s="762">
        <v>0</v>
      </c>
      <c r="H92" s="762">
        <v>44795024</v>
      </c>
      <c r="I92" s="762">
        <v>0</v>
      </c>
      <c r="J92" s="762">
        <v>0</v>
      </c>
      <c r="K92" s="762">
        <v>0</v>
      </c>
      <c r="L92" s="762">
        <v>0</v>
      </c>
      <c r="M92" s="762">
        <v>0</v>
      </c>
      <c r="N92" s="1187">
        <v>0</v>
      </c>
      <c r="O92" s="1187">
        <v>0</v>
      </c>
      <c r="P92" s="762">
        <v>44795024</v>
      </c>
      <c r="Q92" s="762">
        <v>0</v>
      </c>
      <c r="R92" s="763">
        <v>45878451</v>
      </c>
      <c r="S92" s="764">
        <v>0</v>
      </c>
    </row>
    <row r="93" spans="1:19" ht="20.399999999999999" x14ac:dyDescent="0.3">
      <c r="A93" s="761" t="s">
        <v>6971</v>
      </c>
      <c r="B93" s="761" t="s">
        <v>1517</v>
      </c>
      <c r="C93" s="761" t="s">
        <v>1511</v>
      </c>
      <c r="D93" s="761" t="s">
        <v>316</v>
      </c>
      <c r="E93" s="761" t="s">
        <v>1635</v>
      </c>
      <c r="F93" s="762">
        <v>12921</v>
      </c>
      <c r="G93" s="762">
        <v>35</v>
      </c>
      <c r="H93" s="762">
        <v>22641.72</v>
      </c>
      <c r="I93" s="762">
        <v>62.9</v>
      </c>
      <c r="J93" s="762">
        <v>0</v>
      </c>
      <c r="K93" s="762">
        <v>0</v>
      </c>
      <c r="L93" s="762">
        <v>0</v>
      </c>
      <c r="M93" s="762">
        <v>0</v>
      </c>
      <c r="N93" s="1187">
        <v>0</v>
      </c>
      <c r="O93" s="1187">
        <v>0</v>
      </c>
      <c r="P93" s="762">
        <v>22641.72</v>
      </c>
      <c r="Q93" s="762">
        <v>62.9</v>
      </c>
      <c r="R93" s="763">
        <v>35562.720000000001</v>
      </c>
      <c r="S93" s="764">
        <v>98.79</v>
      </c>
    </row>
    <row r="94" spans="1:19" ht="20.399999999999999" x14ac:dyDescent="0.3">
      <c r="A94" s="761" t="s">
        <v>6971</v>
      </c>
      <c r="B94" s="761" t="s">
        <v>1517</v>
      </c>
      <c r="C94" s="761" t="s">
        <v>1508</v>
      </c>
      <c r="D94" s="761" t="s">
        <v>332</v>
      </c>
      <c r="E94" s="761" t="s">
        <v>1636</v>
      </c>
      <c r="F94" s="762">
        <v>0</v>
      </c>
      <c r="G94" s="762">
        <v>0</v>
      </c>
      <c r="H94" s="762">
        <v>0</v>
      </c>
      <c r="I94" s="762">
        <v>0</v>
      </c>
      <c r="J94" s="762">
        <v>517703.81</v>
      </c>
      <c r="K94" s="762">
        <v>1428.6</v>
      </c>
      <c r="L94" s="762">
        <v>0</v>
      </c>
      <c r="M94" s="762">
        <v>0</v>
      </c>
      <c r="N94" s="1187">
        <v>0</v>
      </c>
      <c r="O94" s="1187">
        <v>0</v>
      </c>
      <c r="P94" s="762">
        <v>517703.81</v>
      </c>
      <c r="Q94" s="762">
        <v>1428.6</v>
      </c>
      <c r="R94" s="763">
        <v>517703.81</v>
      </c>
      <c r="S94" s="764">
        <v>1428.6</v>
      </c>
    </row>
    <row r="95" spans="1:19" ht="30.6" x14ac:dyDescent="0.3">
      <c r="A95" s="761" t="s">
        <v>6971</v>
      </c>
      <c r="B95" s="761" t="s">
        <v>1517</v>
      </c>
      <c r="C95" s="761" t="s">
        <v>1512</v>
      </c>
      <c r="D95" s="761" t="s">
        <v>334</v>
      </c>
      <c r="E95" s="761" t="s">
        <v>1637</v>
      </c>
      <c r="F95" s="762">
        <v>90336</v>
      </c>
      <c r="G95" s="762">
        <v>0</v>
      </c>
      <c r="H95" s="762">
        <v>494705</v>
      </c>
      <c r="I95" s="762">
        <v>0</v>
      </c>
      <c r="J95" s="762">
        <v>0</v>
      </c>
      <c r="K95" s="762">
        <v>0</v>
      </c>
      <c r="L95" s="762">
        <v>0</v>
      </c>
      <c r="M95" s="762">
        <v>0</v>
      </c>
      <c r="N95" s="1187">
        <v>0</v>
      </c>
      <c r="O95" s="1187">
        <v>0</v>
      </c>
      <c r="P95" s="762">
        <v>494705</v>
      </c>
      <c r="Q95" s="762">
        <v>0</v>
      </c>
      <c r="R95" s="763">
        <v>585041</v>
      </c>
      <c r="S95" s="764">
        <v>0</v>
      </c>
    </row>
    <row r="96" spans="1:19" ht="40.799999999999997" x14ac:dyDescent="0.3">
      <c r="A96" s="761" t="s">
        <v>6971</v>
      </c>
      <c r="B96" s="761" t="s">
        <v>1518</v>
      </c>
      <c r="C96" s="761" t="s">
        <v>1504</v>
      </c>
      <c r="D96" s="761" t="s">
        <v>268</v>
      </c>
      <c r="E96" s="761" t="s">
        <v>1638</v>
      </c>
      <c r="F96" s="762">
        <v>337680</v>
      </c>
      <c r="G96" s="762">
        <v>1316</v>
      </c>
      <c r="H96" s="762">
        <v>0</v>
      </c>
      <c r="I96" s="762">
        <v>0</v>
      </c>
      <c r="J96" s="762">
        <v>5344967</v>
      </c>
      <c r="K96" s="762">
        <v>14434</v>
      </c>
      <c r="L96" s="762">
        <v>0</v>
      </c>
      <c r="M96" s="762">
        <v>0</v>
      </c>
      <c r="N96" s="1187">
        <v>0</v>
      </c>
      <c r="O96" s="1187">
        <v>0</v>
      </c>
      <c r="P96" s="762">
        <v>5344967</v>
      </c>
      <c r="Q96" s="762">
        <v>14434</v>
      </c>
      <c r="R96" s="763">
        <v>5682647</v>
      </c>
      <c r="S96" s="764">
        <v>15750</v>
      </c>
    </row>
    <row r="97" spans="1:19" ht="20.399999999999999" x14ac:dyDescent="0.3">
      <c r="A97" s="761" t="s">
        <v>6971</v>
      </c>
      <c r="B97" s="761" t="s">
        <v>1518</v>
      </c>
      <c r="C97" s="761" t="s">
        <v>288</v>
      </c>
      <c r="D97" s="761" t="s">
        <v>288</v>
      </c>
      <c r="E97" s="761" t="s">
        <v>1639</v>
      </c>
      <c r="F97" s="762">
        <v>171331</v>
      </c>
      <c r="G97" s="762">
        <v>0</v>
      </c>
      <c r="H97" s="762">
        <v>4788335</v>
      </c>
      <c r="I97" s="762">
        <v>0</v>
      </c>
      <c r="J97" s="762">
        <v>0</v>
      </c>
      <c r="K97" s="762">
        <v>0</v>
      </c>
      <c r="L97" s="762">
        <v>0</v>
      </c>
      <c r="M97" s="762">
        <v>0</v>
      </c>
      <c r="N97" s="1187">
        <v>0</v>
      </c>
      <c r="O97" s="1187">
        <v>0</v>
      </c>
      <c r="P97" s="762">
        <v>4788335</v>
      </c>
      <c r="Q97" s="762">
        <v>0</v>
      </c>
      <c r="R97" s="763">
        <v>4959666</v>
      </c>
      <c r="S97" s="764">
        <v>0</v>
      </c>
    </row>
    <row r="98" spans="1:19" ht="20.399999999999999" x14ac:dyDescent="0.3">
      <c r="A98" s="761" t="s">
        <v>6971</v>
      </c>
      <c r="B98" s="761" t="s">
        <v>1518</v>
      </c>
      <c r="C98" s="761" t="s">
        <v>3804</v>
      </c>
      <c r="D98" s="761" t="s">
        <v>3804</v>
      </c>
      <c r="E98" s="761" t="s">
        <v>3827</v>
      </c>
      <c r="F98" s="762">
        <v>0</v>
      </c>
      <c r="G98" s="762">
        <v>0</v>
      </c>
      <c r="H98" s="762">
        <v>0</v>
      </c>
      <c r="I98" s="762">
        <v>0</v>
      </c>
      <c r="J98" s="762">
        <v>0</v>
      </c>
      <c r="K98" s="762">
        <v>0</v>
      </c>
      <c r="L98" s="762">
        <v>0</v>
      </c>
      <c r="M98" s="762">
        <v>0</v>
      </c>
      <c r="N98" s="1187">
        <v>0</v>
      </c>
      <c r="O98" s="1187">
        <v>0</v>
      </c>
      <c r="P98" s="762">
        <v>0</v>
      </c>
      <c r="Q98" s="762">
        <v>0</v>
      </c>
      <c r="R98" s="763">
        <v>0</v>
      </c>
      <c r="S98" s="764">
        <v>0</v>
      </c>
    </row>
    <row r="99" spans="1:19" ht="20.399999999999999" x14ac:dyDescent="0.3">
      <c r="A99" s="761" t="s">
        <v>6971</v>
      </c>
      <c r="B99" s="761" t="s">
        <v>1518</v>
      </c>
      <c r="C99" s="761" t="s">
        <v>307</v>
      </c>
      <c r="D99" s="761" t="s">
        <v>307</v>
      </c>
      <c r="E99" s="761" t="s">
        <v>1640</v>
      </c>
      <c r="F99" s="762">
        <v>5275</v>
      </c>
      <c r="G99" s="762">
        <v>0</v>
      </c>
      <c r="H99" s="762">
        <v>14378143</v>
      </c>
      <c r="I99" s="762">
        <v>0</v>
      </c>
      <c r="J99" s="762">
        <v>0</v>
      </c>
      <c r="K99" s="762">
        <v>0</v>
      </c>
      <c r="L99" s="762">
        <v>0</v>
      </c>
      <c r="M99" s="762">
        <v>0</v>
      </c>
      <c r="N99" s="1187">
        <v>0</v>
      </c>
      <c r="O99" s="1187">
        <v>0</v>
      </c>
      <c r="P99" s="762">
        <v>14378143</v>
      </c>
      <c r="Q99" s="762">
        <v>0</v>
      </c>
      <c r="R99" s="763">
        <v>14383418</v>
      </c>
      <c r="S99" s="764">
        <v>0</v>
      </c>
    </row>
    <row r="100" spans="1:19" ht="20.399999999999999" x14ac:dyDescent="0.3">
      <c r="A100" s="761" t="s">
        <v>6971</v>
      </c>
      <c r="B100" s="761" t="s">
        <v>1518</v>
      </c>
      <c r="C100" s="761" t="s">
        <v>1511</v>
      </c>
      <c r="D100" s="761" t="s">
        <v>316</v>
      </c>
      <c r="E100" s="761" t="s">
        <v>1641</v>
      </c>
      <c r="F100" s="762">
        <v>0</v>
      </c>
      <c r="G100" s="762">
        <v>0</v>
      </c>
      <c r="H100" s="762">
        <v>19707</v>
      </c>
      <c r="I100" s="762">
        <v>54</v>
      </c>
      <c r="J100" s="762">
        <v>0</v>
      </c>
      <c r="K100" s="762">
        <v>0</v>
      </c>
      <c r="L100" s="762">
        <v>0</v>
      </c>
      <c r="M100" s="762">
        <v>0</v>
      </c>
      <c r="N100" s="1187">
        <v>0</v>
      </c>
      <c r="O100" s="1187">
        <v>0</v>
      </c>
      <c r="P100" s="762">
        <v>19707</v>
      </c>
      <c r="Q100" s="762">
        <v>54</v>
      </c>
      <c r="R100" s="763">
        <v>19707</v>
      </c>
      <c r="S100" s="764">
        <v>54</v>
      </c>
    </row>
    <row r="101" spans="1:19" ht="20.399999999999999" x14ac:dyDescent="0.3">
      <c r="A101" s="761" t="s">
        <v>6971</v>
      </c>
      <c r="B101" s="761" t="s">
        <v>1518</v>
      </c>
      <c r="C101" s="761" t="s">
        <v>1508</v>
      </c>
      <c r="D101" s="761" t="s">
        <v>332</v>
      </c>
      <c r="E101" s="761" t="s">
        <v>1642</v>
      </c>
      <c r="F101" s="762">
        <v>0</v>
      </c>
      <c r="G101" s="762">
        <v>0</v>
      </c>
      <c r="H101" s="762">
        <v>274259</v>
      </c>
      <c r="I101" s="762">
        <v>768</v>
      </c>
      <c r="J101" s="762">
        <v>0</v>
      </c>
      <c r="K101" s="762">
        <v>0</v>
      </c>
      <c r="L101" s="762">
        <v>0</v>
      </c>
      <c r="M101" s="762">
        <v>0</v>
      </c>
      <c r="N101" s="1187">
        <v>0</v>
      </c>
      <c r="O101" s="1187">
        <v>0</v>
      </c>
      <c r="P101" s="762">
        <v>274259</v>
      </c>
      <c r="Q101" s="762">
        <v>768</v>
      </c>
      <c r="R101" s="763">
        <v>274259</v>
      </c>
      <c r="S101" s="764">
        <v>768</v>
      </c>
    </row>
    <row r="102" spans="1:19" ht="30.6" x14ac:dyDescent="0.3">
      <c r="A102" s="761" t="s">
        <v>6971</v>
      </c>
      <c r="B102" s="761" t="s">
        <v>1518</v>
      </c>
      <c r="C102" s="761" t="s">
        <v>1512</v>
      </c>
      <c r="D102" s="761" t="s">
        <v>334</v>
      </c>
      <c r="E102" s="761" t="s">
        <v>1643</v>
      </c>
      <c r="F102" s="762">
        <v>0</v>
      </c>
      <c r="G102" s="762">
        <v>0</v>
      </c>
      <c r="H102" s="762">
        <v>2892</v>
      </c>
      <c r="I102" s="762">
        <v>0</v>
      </c>
      <c r="J102" s="762">
        <v>0</v>
      </c>
      <c r="K102" s="762">
        <v>0</v>
      </c>
      <c r="L102" s="762">
        <v>0</v>
      </c>
      <c r="M102" s="762">
        <v>0</v>
      </c>
      <c r="N102" s="1187">
        <v>0</v>
      </c>
      <c r="O102" s="1187">
        <v>0</v>
      </c>
      <c r="P102" s="762">
        <v>2892</v>
      </c>
      <c r="Q102" s="762">
        <v>0</v>
      </c>
      <c r="R102" s="763">
        <v>2892</v>
      </c>
      <c r="S102" s="764">
        <v>0</v>
      </c>
    </row>
    <row r="103" spans="1:19" ht="40.799999999999997" x14ac:dyDescent="0.3">
      <c r="A103" s="761" t="s">
        <v>6971</v>
      </c>
      <c r="B103" s="761" t="s">
        <v>1519</v>
      </c>
      <c r="C103" s="761" t="s">
        <v>1504</v>
      </c>
      <c r="D103" s="761" t="s">
        <v>268</v>
      </c>
      <c r="E103" s="761" t="s">
        <v>1644</v>
      </c>
      <c r="F103" s="762">
        <v>246532</v>
      </c>
      <c r="G103" s="762">
        <v>0</v>
      </c>
      <c r="H103" s="762">
        <v>801243</v>
      </c>
      <c r="I103" s="762">
        <v>0</v>
      </c>
      <c r="J103" s="762">
        <v>2411937</v>
      </c>
      <c r="K103" s="762">
        <v>10571</v>
      </c>
      <c r="L103" s="762">
        <v>0</v>
      </c>
      <c r="M103" s="762">
        <v>0</v>
      </c>
      <c r="N103" s="1187">
        <v>0</v>
      </c>
      <c r="O103" s="1187">
        <v>0</v>
      </c>
      <c r="P103" s="762">
        <v>3213180</v>
      </c>
      <c r="Q103" s="762">
        <v>10571</v>
      </c>
      <c r="R103" s="763">
        <v>3459712</v>
      </c>
      <c r="S103" s="764">
        <v>10571</v>
      </c>
    </row>
    <row r="104" spans="1:19" ht="20.399999999999999" x14ac:dyDescent="0.3">
      <c r="A104" s="761" t="s">
        <v>6971</v>
      </c>
      <c r="B104" s="761" t="s">
        <v>1519</v>
      </c>
      <c r="C104" s="761" t="s">
        <v>288</v>
      </c>
      <c r="D104" s="761" t="s">
        <v>288</v>
      </c>
      <c r="E104" s="761" t="s">
        <v>1645</v>
      </c>
      <c r="F104" s="762">
        <v>518257</v>
      </c>
      <c r="G104" s="762">
        <v>0</v>
      </c>
      <c r="H104" s="762">
        <v>4087398</v>
      </c>
      <c r="I104" s="762">
        <v>0</v>
      </c>
      <c r="J104" s="762">
        <v>0</v>
      </c>
      <c r="K104" s="762">
        <v>0</v>
      </c>
      <c r="L104" s="762">
        <v>0</v>
      </c>
      <c r="M104" s="762">
        <v>0</v>
      </c>
      <c r="N104" s="1187">
        <v>0</v>
      </c>
      <c r="O104" s="1187">
        <v>0</v>
      </c>
      <c r="P104" s="762">
        <v>4087398</v>
      </c>
      <c r="Q104" s="762">
        <v>0</v>
      </c>
      <c r="R104" s="763">
        <v>4605655</v>
      </c>
      <c r="S104" s="764">
        <v>0</v>
      </c>
    </row>
    <row r="105" spans="1:19" ht="20.399999999999999" x14ac:dyDescent="0.3">
      <c r="A105" s="761" t="s">
        <v>6971</v>
      </c>
      <c r="B105" s="761" t="s">
        <v>1519</v>
      </c>
      <c r="C105" s="761" t="s">
        <v>3804</v>
      </c>
      <c r="D105" s="761" t="s">
        <v>3804</v>
      </c>
      <c r="E105" s="761" t="s">
        <v>3828</v>
      </c>
      <c r="F105" s="762">
        <v>0</v>
      </c>
      <c r="G105" s="762">
        <v>0</v>
      </c>
      <c r="H105" s="762">
        <v>0</v>
      </c>
      <c r="I105" s="762">
        <v>0</v>
      </c>
      <c r="J105" s="762">
        <v>0</v>
      </c>
      <c r="K105" s="762">
        <v>0</v>
      </c>
      <c r="L105" s="762">
        <v>0</v>
      </c>
      <c r="M105" s="762">
        <v>0</v>
      </c>
      <c r="N105" s="1187">
        <v>0</v>
      </c>
      <c r="O105" s="1187">
        <v>0</v>
      </c>
      <c r="P105" s="762">
        <v>0</v>
      </c>
      <c r="Q105" s="762">
        <v>0</v>
      </c>
      <c r="R105" s="763">
        <v>0</v>
      </c>
      <c r="S105" s="764">
        <v>0</v>
      </c>
    </row>
    <row r="106" spans="1:19" ht="20.399999999999999" x14ac:dyDescent="0.3">
      <c r="A106" s="761" t="s">
        <v>6971</v>
      </c>
      <c r="B106" s="761" t="s">
        <v>1519</v>
      </c>
      <c r="C106" s="761" t="s">
        <v>307</v>
      </c>
      <c r="D106" s="761" t="s">
        <v>307</v>
      </c>
      <c r="E106" s="761" t="s">
        <v>1646</v>
      </c>
      <c r="F106" s="762">
        <v>247724</v>
      </c>
      <c r="G106" s="762">
        <v>0</v>
      </c>
      <c r="H106" s="762">
        <v>20005469</v>
      </c>
      <c r="I106" s="762">
        <v>0</v>
      </c>
      <c r="J106" s="762">
        <v>0</v>
      </c>
      <c r="K106" s="762">
        <v>0</v>
      </c>
      <c r="L106" s="762">
        <v>0</v>
      </c>
      <c r="M106" s="762">
        <v>0</v>
      </c>
      <c r="N106" s="1187">
        <v>0</v>
      </c>
      <c r="O106" s="1187">
        <v>0</v>
      </c>
      <c r="P106" s="762">
        <v>20005469</v>
      </c>
      <c r="Q106" s="762">
        <v>0</v>
      </c>
      <c r="R106" s="763">
        <v>20253193</v>
      </c>
      <c r="S106" s="764">
        <v>0</v>
      </c>
    </row>
    <row r="107" spans="1:19" ht="20.399999999999999" x14ac:dyDescent="0.3">
      <c r="A107" s="761" t="s">
        <v>6971</v>
      </c>
      <c r="B107" s="761" t="s">
        <v>1519</v>
      </c>
      <c r="C107" s="761" t="s">
        <v>1508</v>
      </c>
      <c r="D107" s="761" t="s">
        <v>332</v>
      </c>
      <c r="E107" s="761" t="s">
        <v>1647</v>
      </c>
      <c r="F107" s="762">
        <v>0</v>
      </c>
      <c r="G107" s="762">
        <v>0</v>
      </c>
      <c r="H107" s="762">
        <v>0</v>
      </c>
      <c r="I107" s="762">
        <v>0</v>
      </c>
      <c r="J107" s="762">
        <v>210843</v>
      </c>
      <c r="K107" s="762">
        <v>588</v>
      </c>
      <c r="L107" s="762">
        <v>0</v>
      </c>
      <c r="M107" s="762">
        <v>0</v>
      </c>
      <c r="N107" s="1187">
        <v>0</v>
      </c>
      <c r="O107" s="1187">
        <v>0</v>
      </c>
      <c r="P107" s="762">
        <v>210843</v>
      </c>
      <c r="Q107" s="762">
        <v>588</v>
      </c>
      <c r="R107" s="763">
        <v>210843</v>
      </c>
      <c r="S107" s="764">
        <v>588</v>
      </c>
    </row>
    <row r="108" spans="1:19" ht="30.6" x14ac:dyDescent="0.3">
      <c r="A108" s="761" t="s">
        <v>6971</v>
      </c>
      <c r="B108" s="761" t="s">
        <v>1519</v>
      </c>
      <c r="C108" s="761" t="s">
        <v>1512</v>
      </c>
      <c r="D108" s="761" t="s">
        <v>334</v>
      </c>
      <c r="E108" s="761" t="s">
        <v>1648</v>
      </c>
      <c r="F108" s="762">
        <v>0</v>
      </c>
      <c r="G108" s="762">
        <v>0</v>
      </c>
      <c r="H108" s="762">
        <v>93084</v>
      </c>
      <c r="I108" s="762">
        <v>0</v>
      </c>
      <c r="J108" s="762">
        <v>0</v>
      </c>
      <c r="K108" s="762">
        <v>0</v>
      </c>
      <c r="L108" s="762">
        <v>0</v>
      </c>
      <c r="M108" s="762">
        <v>0</v>
      </c>
      <c r="N108" s="1187">
        <v>0</v>
      </c>
      <c r="O108" s="1187">
        <v>0</v>
      </c>
      <c r="P108" s="762">
        <v>93084</v>
      </c>
      <c r="Q108" s="762">
        <v>0</v>
      </c>
      <c r="R108" s="763">
        <v>93084</v>
      </c>
      <c r="S108" s="764">
        <v>0</v>
      </c>
    </row>
    <row r="109" spans="1:19" ht="20.399999999999999" x14ac:dyDescent="0.3">
      <c r="A109" s="761" t="s">
        <v>6971</v>
      </c>
      <c r="B109" s="761" t="s">
        <v>1520</v>
      </c>
      <c r="C109" s="761" t="s">
        <v>1514</v>
      </c>
      <c r="D109" s="761" t="s">
        <v>240</v>
      </c>
      <c r="E109" s="761" t="s">
        <v>1649</v>
      </c>
      <c r="F109" s="762">
        <v>0</v>
      </c>
      <c r="G109" s="762">
        <v>0</v>
      </c>
      <c r="H109" s="762">
        <v>0</v>
      </c>
      <c r="I109" s="762">
        <v>0</v>
      </c>
      <c r="J109" s="762">
        <v>60666329</v>
      </c>
      <c r="K109" s="762">
        <v>139224</v>
      </c>
      <c r="L109" s="762">
        <v>0</v>
      </c>
      <c r="M109" s="762">
        <v>0</v>
      </c>
      <c r="N109" s="1187">
        <v>0</v>
      </c>
      <c r="O109" s="1187">
        <v>0</v>
      </c>
      <c r="P109" s="762">
        <v>60666329</v>
      </c>
      <c r="Q109" s="762">
        <v>139224</v>
      </c>
      <c r="R109" s="763">
        <v>60666329</v>
      </c>
      <c r="S109" s="764">
        <v>139224</v>
      </c>
    </row>
    <row r="110" spans="1:19" ht="40.799999999999997" x14ac:dyDescent="0.3">
      <c r="A110" s="761" t="s">
        <v>6971</v>
      </c>
      <c r="B110" s="761" t="s">
        <v>1520</v>
      </c>
      <c r="C110" s="761" t="s">
        <v>1504</v>
      </c>
      <c r="D110" s="761" t="s">
        <v>268</v>
      </c>
      <c r="E110" s="761" t="s">
        <v>1650</v>
      </c>
      <c r="F110" s="762">
        <v>0</v>
      </c>
      <c r="G110" s="762">
        <v>0</v>
      </c>
      <c r="H110" s="762">
        <v>19568168</v>
      </c>
      <c r="I110" s="762">
        <v>8041</v>
      </c>
      <c r="J110" s="762">
        <v>40064274</v>
      </c>
      <c r="K110" s="762">
        <v>192995</v>
      </c>
      <c r="L110" s="762">
        <v>0</v>
      </c>
      <c r="M110" s="762">
        <v>0</v>
      </c>
      <c r="N110" s="1187">
        <v>0</v>
      </c>
      <c r="O110" s="1187">
        <v>0</v>
      </c>
      <c r="P110" s="762">
        <v>59632442</v>
      </c>
      <c r="Q110" s="762">
        <v>201036</v>
      </c>
      <c r="R110" s="763">
        <v>59632442</v>
      </c>
      <c r="S110" s="764">
        <v>201036</v>
      </c>
    </row>
    <row r="111" spans="1:19" ht="20.399999999999999" x14ac:dyDescent="0.3">
      <c r="A111" s="761" t="s">
        <v>6971</v>
      </c>
      <c r="B111" s="761" t="s">
        <v>1520</v>
      </c>
      <c r="C111" s="761" t="s">
        <v>288</v>
      </c>
      <c r="D111" s="761" t="s">
        <v>288</v>
      </c>
      <c r="E111" s="761" t="s">
        <v>1651</v>
      </c>
      <c r="F111" s="762">
        <v>0</v>
      </c>
      <c r="G111" s="762">
        <v>0</v>
      </c>
      <c r="H111" s="762">
        <v>24662809</v>
      </c>
      <c r="I111" s="762">
        <v>0</v>
      </c>
      <c r="J111" s="762">
        <v>3685247</v>
      </c>
      <c r="K111" s="762">
        <v>0</v>
      </c>
      <c r="L111" s="762">
        <v>0</v>
      </c>
      <c r="M111" s="762">
        <v>0</v>
      </c>
      <c r="N111" s="1187">
        <v>0</v>
      </c>
      <c r="O111" s="1187">
        <v>0</v>
      </c>
      <c r="P111" s="762">
        <v>28348056</v>
      </c>
      <c r="Q111" s="762">
        <v>0</v>
      </c>
      <c r="R111" s="763">
        <v>28348056</v>
      </c>
      <c r="S111" s="764">
        <v>0</v>
      </c>
    </row>
    <row r="112" spans="1:19" ht="20.399999999999999" x14ac:dyDescent="0.3">
      <c r="A112" s="761" t="s">
        <v>6971</v>
      </c>
      <c r="B112" s="761" t="s">
        <v>1520</v>
      </c>
      <c r="C112" s="761" t="s">
        <v>3804</v>
      </c>
      <c r="D112" s="761" t="s">
        <v>3804</v>
      </c>
      <c r="E112" s="761" t="s">
        <v>3829</v>
      </c>
      <c r="F112" s="762">
        <v>0</v>
      </c>
      <c r="G112" s="762">
        <v>0</v>
      </c>
      <c r="H112" s="762">
        <v>0</v>
      </c>
      <c r="I112" s="762">
        <v>0</v>
      </c>
      <c r="J112" s="762">
        <v>0</v>
      </c>
      <c r="K112" s="762">
        <v>0</v>
      </c>
      <c r="L112" s="762">
        <v>0</v>
      </c>
      <c r="M112" s="762">
        <v>0</v>
      </c>
      <c r="N112" s="1187">
        <v>17721776</v>
      </c>
      <c r="O112" s="1187">
        <v>59481</v>
      </c>
      <c r="P112" s="762">
        <v>0</v>
      </c>
      <c r="Q112" s="762">
        <v>0</v>
      </c>
      <c r="R112" s="763">
        <v>0</v>
      </c>
      <c r="S112" s="764">
        <v>0</v>
      </c>
    </row>
    <row r="113" spans="1:19" x14ac:dyDescent="0.3">
      <c r="A113" s="761" t="s">
        <v>6971</v>
      </c>
      <c r="B113" s="761" t="s">
        <v>1520</v>
      </c>
      <c r="C113" s="761" t="s">
        <v>307</v>
      </c>
      <c r="D113" s="761" t="s">
        <v>307</v>
      </c>
      <c r="E113" s="761" t="s">
        <v>1652</v>
      </c>
      <c r="F113" s="762">
        <v>1</v>
      </c>
      <c r="G113" s="762">
        <v>1</v>
      </c>
      <c r="H113" s="762">
        <v>89710032</v>
      </c>
      <c r="I113" s="762">
        <v>0</v>
      </c>
      <c r="J113" s="762">
        <v>2774537</v>
      </c>
      <c r="K113" s="762">
        <v>0</v>
      </c>
      <c r="L113" s="762">
        <v>0</v>
      </c>
      <c r="M113" s="762">
        <v>0</v>
      </c>
      <c r="N113" s="1187">
        <v>0</v>
      </c>
      <c r="O113" s="1187">
        <v>0</v>
      </c>
      <c r="P113" s="762">
        <v>92484569</v>
      </c>
      <c r="Q113" s="762">
        <v>0</v>
      </c>
      <c r="R113" s="763">
        <v>92484570</v>
      </c>
      <c r="S113" s="764">
        <v>1</v>
      </c>
    </row>
    <row r="114" spans="1:19" ht="20.399999999999999" x14ac:dyDescent="0.3">
      <c r="A114" s="761" t="s">
        <v>6971</v>
      </c>
      <c r="B114" s="761" t="s">
        <v>1520</v>
      </c>
      <c r="C114" s="761" t="s">
        <v>1511</v>
      </c>
      <c r="D114" s="761" t="s">
        <v>316</v>
      </c>
      <c r="E114" s="761" t="s">
        <v>1653</v>
      </c>
      <c r="F114" s="762">
        <v>0</v>
      </c>
      <c r="G114" s="762">
        <v>0</v>
      </c>
      <c r="H114" s="762">
        <v>0</v>
      </c>
      <c r="I114" s="762">
        <v>0</v>
      </c>
      <c r="J114" s="762">
        <v>144657</v>
      </c>
      <c r="K114" s="762">
        <v>364</v>
      </c>
      <c r="L114" s="762">
        <v>0</v>
      </c>
      <c r="M114" s="762">
        <v>0</v>
      </c>
      <c r="N114" s="1187">
        <v>0</v>
      </c>
      <c r="O114" s="1187">
        <v>0</v>
      </c>
      <c r="P114" s="762">
        <v>144657</v>
      </c>
      <c r="Q114" s="762">
        <v>364</v>
      </c>
      <c r="R114" s="763">
        <v>144657</v>
      </c>
      <c r="S114" s="764">
        <v>364</v>
      </c>
    </row>
    <row r="115" spans="1:19" ht="20.399999999999999" x14ac:dyDescent="0.3">
      <c r="A115" s="761" t="s">
        <v>6971</v>
      </c>
      <c r="B115" s="761" t="s">
        <v>1520</v>
      </c>
      <c r="C115" s="761" t="s">
        <v>1508</v>
      </c>
      <c r="D115" s="761" t="s">
        <v>332</v>
      </c>
      <c r="E115" s="761" t="s">
        <v>1654</v>
      </c>
      <c r="F115" s="762">
        <v>0</v>
      </c>
      <c r="G115" s="762">
        <v>0</v>
      </c>
      <c r="H115" s="762">
        <v>0</v>
      </c>
      <c r="I115" s="762">
        <v>0</v>
      </c>
      <c r="J115" s="762">
        <v>1353784</v>
      </c>
      <c r="K115" s="762">
        <v>3756</v>
      </c>
      <c r="L115" s="762">
        <v>0</v>
      </c>
      <c r="M115" s="762">
        <v>0</v>
      </c>
      <c r="N115" s="1187">
        <v>0</v>
      </c>
      <c r="O115" s="1187">
        <v>0</v>
      </c>
      <c r="P115" s="762">
        <v>1353784</v>
      </c>
      <c r="Q115" s="762">
        <v>3756</v>
      </c>
      <c r="R115" s="763">
        <v>1353784</v>
      </c>
      <c r="S115" s="764">
        <v>3756</v>
      </c>
    </row>
    <row r="116" spans="1:19" ht="30.6" x14ac:dyDescent="0.3">
      <c r="A116" s="761" t="s">
        <v>6971</v>
      </c>
      <c r="B116" s="761" t="s">
        <v>1520</v>
      </c>
      <c r="C116" s="761" t="s">
        <v>1512</v>
      </c>
      <c r="D116" s="761" t="s">
        <v>334</v>
      </c>
      <c r="E116" s="761" t="s">
        <v>1655</v>
      </c>
      <c r="F116" s="762">
        <v>0</v>
      </c>
      <c r="G116" s="762">
        <v>0</v>
      </c>
      <c r="H116" s="762">
        <v>0</v>
      </c>
      <c r="I116" s="762">
        <v>0</v>
      </c>
      <c r="J116" s="762">
        <v>246885</v>
      </c>
      <c r="K116" s="762">
        <v>0</v>
      </c>
      <c r="L116" s="762">
        <v>0</v>
      </c>
      <c r="M116" s="762">
        <v>0</v>
      </c>
      <c r="N116" s="1187">
        <v>0</v>
      </c>
      <c r="O116" s="1187">
        <v>0</v>
      </c>
      <c r="P116" s="762">
        <v>246885</v>
      </c>
      <c r="Q116" s="762">
        <v>0</v>
      </c>
      <c r="R116" s="763">
        <v>246885</v>
      </c>
      <c r="S116" s="764">
        <v>0</v>
      </c>
    </row>
    <row r="117" spans="1:19" ht="40.799999999999997" x14ac:dyDescent="0.3">
      <c r="A117" s="761" t="s">
        <v>6971</v>
      </c>
      <c r="B117" s="761" t="s">
        <v>5767</v>
      </c>
      <c r="C117" s="761" t="s">
        <v>1504</v>
      </c>
      <c r="D117" s="761" t="s">
        <v>6980</v>
      </c>
      <c r="E117" s="1067" t="s">
        <v>5768</v>
      </c>
      <c r="F117" s="762">
        <v>15594600</v>
      </c>
      <c r="G117" s="762">
        <v>45023</v>
      </c>
      <c r="H117" s="762">
        <v>0</v>
      </c>
      <c r="I117" s="762">
        <v>0</v>
      </c>
      <c r="J117" s="762">
        <v>74209096</v>
      </c>
      <c r="K117" s="762">
        <v>150173</v>
      </c>
      <c r="L117" s="762">
        <v>0</v>
      </c>
      <c r="M117" s="762">
        <v>0</v>
      </c>
      <c r="N117" s="1187">
        <v>0</v>
      </c>
      <c r="O117" s="1187">
        <v>0</v>
      </c>
      <c r="P117" s="762">
        <v>74209096</v>
      </c>
      <c r="Q117" s="762">
        <v>150173</v>
      </c>
      <c r="R117" s="763">
        <v>89803696</v>
      </c>
      <c r="S117" s="764">
        <v>195196</v>
      </c>
    </row>
    <row r="118" spans="1:19" ht="40.799999999999997" x14ac:dyDescent="0.3">
      <c r="A118" s="761" t="s">
        <v>6971</v>
      </c>
      <c r="B118" s="761" t="s">
        <v>5767</v>
      </c>
      <c r="C118" s="761" t="s">
        <v>1504</v>
      </c>
      <c r="D118" s="761" t="s">
        <v>6981</v>
      </c>
      <c r="E118" s="1067" t="s">
        <v>5769</v>
      </c>
      <c r="F118" s="762">
        <v>129511137</v>
      </c>
      <c r="G118" s="762">
        <v>337114</v>
      </c>
      <c r="H118" s="762">
        <v>98753310</v>
      </c>
      <c r="I118" s="762">
        <v>252283</v>
      </c>
      <c r="J118" s="762">
        <v>703532344</v>
      </c>
      <c r="K118" s="762">
        <v>1627059</v>
      </c>
      <c r="L118" s="762">
        <v>35212900</v>
      </c>
      <c r="M118" s="762">
        <v>59165</v>
      </c>
      <c r="N118" s="1187">
        <v>0</v>
      </c>
      <c r="O118" s="1187">
        <v>0</v>
      </c>
      <c r="P118" s="762">
        <v>837498555</v>
      </c>
      <c r="Q118" s="762">
        <v>1938507</v>
      </c>
      <c r="R118" s="763">
        <v>967009692</v>
      </c>
      <c r="S118" s="764">
        <v>2275621</v>
      </c>
    </row>
    <row r="119" spans="1:19" ht="40.799999999999997" x14ac:dyDescent="0.3">
      <c r="A119" s="761" t="s">
        <v>6971</v>
      </c>
      <c r="B119" s="761" t="s">
        <v>5767</v>
      </c>
      <c r="C119" s="761" t="s">
        <v>1504</v>
      </c>
      <c r="D119" s="761" t="s">
        <v>6982</v>
      </c>
      <c r="E119" s="1067" t="s">
        <v>6983</v>
      </c>
      <c r="F119" s="762">
        <v>62715896</v>
      </c>
      <c r="G119" s="762">
        <v>176915</v>
      </c>
      <c r="H119" s="762">
        <v>44007100</v>
      </c>
      <c r="I119" s="762">
        <v>115295</v>
      </c>
      <c r="J119" s="762">
        <v>293023046</v>
      </c>
      <c r="K119" s="762">
        <v>659919</v>
      </c>
      <c r="L119" s="762">
        <v>4131724</v>
      </c>
      <c r="M119" s="762">
        <v>8190</v>
      </c>
      <c r="N119" s="1187">
        <v>0</v>
      </c>
      <c r="O119" s="1187">
        <v>0</v>
      </c>
      <c r="P119" s="762">
        <v>341161870</v>
      </c>
      <c r="Q119" s="762">
        <v>783404</v>
      </c>
      <c r="R119" s="763">
        <v>403877766</v>
      </c>
      <c r="S119" s="764">
        <v>960319</v>
      </c>
    </row>
    <row r="120" spans="1:19" ht="20.399999999999999" x14ac:dyDescent="0.3">
      <c r="A120" s="761" t="s">
        <v>6971</v>
      </c>
      <c r="B120" s="761" t="s">
        <v>5767</v>
      </c>
      <c r="C120" s="761" t="s">
        <v>288</v>
      </c>
      <c r="D120" s="761" t="s">
        <v>6984</v>
      </c>
      <c r="E120" s="1067" t="s">
        <v>7248</v>
      </c>
      <c r="F120" s="762">
        <v>51829400</v>
      </c>
      <c r="G120" s="762">
        <v>0</v>
      </c>
      <c r="H120" s="762">
        <v>242001714</v>
      </c>
      <c r="I120" s="762">
        <v>0</v>
      </c>
      <c r="J120" s="762">
        <v>300280</v>
      </c>
      <c r="K120" s="762">
        <v>0</v>
      </c>
      <c r="L120" s="762">
        <v>0</v>
      </c>
      <c r="M120" s="762">
        <v>0</v>
      </c>
      <c r="N120" s="1187">
        <v>0</v>
      </c>
      <c r="O120" s="1187">
        <v>0</v>
      </c>
      <c r="P120" s="762">
        <v>242301994</v>
      </c>
      <c r="Q120" s="762">
        <v>0</v>
      </c>
      <c r="R120" s="763">
        <v>294131394</v>
      </c>
      <c r="S120" s="764">
        <v>0</v>
      </c>
    </row>
    <row r="121" spans="1:19" ht="30.6" x14ac:dyDescent="0.3">
      <c r="A121" s="761" t="s">
        <v>6971</v>
      </c>
      <c r="B121" s="761" t="s">
        <v>5767</v>
      </c>
      <c r="C121" s="761" t="s">
        <v>288</v>
      </c>
      <c r="D121" s="761" t="s">
        <v>6985</v>
      </c>
      <c r="E121" s="1067" t="s">
        <v>6986</v>
      </c>
      <c r="F121" s="762">
        <v>15067136</v>
      </c>
      <c r="G121" s="762">
        <v>0</v>
      </c>
      <c r="H121" s="762">
        <v>74230904</v>
      </c>
      <c r="I121" s="762">
        <v>0</v>
      </c>
      <c r="J121" s="762">
        <v>0</v>
      </c>
      <c r="K121" s="762">
        <v>0</v>
      </c>
      <c r="L121" s="762">
        <v>0</v>
      </c>
      <c r="M121" s="762">
        <v>0</v>
      </c>
      <c r="N121" s="1187">
        <v>0</v>
      </c>
      <c r="O121" s="1187">
        <v>0</v>
      </c>
      <c r="P121" s="762">
        <v>74230904</v>
      </c>
      <c r="Q121" s="762">
        <v>0</v>
      </c>
      <c r="R121" s="763">
        <v>89298040</v>
      </c>
      <c r="S121" s="764">
        <v>0</v>
      </c>
    </row>
    <row r="122" spans="1:19" ht="20.399999999999999" x14ac:dyDescent="0.3">
      <c r="A122" s="761" t="s">
        <v>6971</v>
      </c>
      <c r="B122" s="761" t="s">
        <v>5767</v>
      </c>
      <c r="C122" s="761" t="s">
        <v>1510</v>
      </c>
      <c r="D122" s="761" t="s">
        <v>6987</v>
      </c>
      <c r="E122" s="1067" t="s">
        <v>5770</v>
      </c>
      <c r="F122" s="762">
        <v>0</v>
      </c>
      <c r="G122" s="762">
        <v>0</v>
      </c>
      <c r="H122" s="762">
        <v>0</v>
      </c>
      <c r="I122" s="762">
        <v>0</v>
      </c>
      <c r="J122" s="762">
        <v>256791117</v>
      </c>
      <c r="K122" s="762">
        <v>433414</v>
      </c>
      <c r="L122" s="762">
        <v>0</v>
      </c>
      <c r="M122" s="762">
        <v>0</v>
      </c>
      <c r="N122" s="1187">
        <v>0</v>
      </c>
      <c r="O122" s="1187">
        <v>0</v>
      </c>
      <c r="P122" s="762">
        <v>256791117</v>
      </c>
      <c r="Q122" s="762">
        <v>433414</v>
      </c>
      <c r="R122" s="763">
        <v>256791117</v>
      </c>
      <c r="S122" s="764">
        <v>433414</v>
      </c>
    </row>
    <row r="123" spans="1:19" ht="20.399999999999999" x14ac:dyDescent="0.3">
      <c r="A123" s="761" t="s">
        <v>6971</v>
      </c>
      <c r="B123" s="761" t="s">
        <v>5767</v>
      </c>
      <c r="C123" s="761" t="s">
        <v>3804</v>
      </c>
      <c r="D123" s="761" t="s">
        <v>3804</v>
      </c>
      <c r="E123" s="761" t="s">
        <v>6988</v>
      </c>
      <c r="F123" s="762">
        <v>0</v>
      </c>
      <c r="G123" s="762">
        <v>0</v>
      </c>
      <c r="H123" s="762">
        <v>0</v>
      </c>
      <c r="I123" s="762">
        <v>0</v>
      </c>
      <c r="J123" s="762">
        <v>0</v>
      </c>
      <c r="K123" s="762">
        <v>0</v>
      </c>
      <c r="L123" s="762">
        <v>0</v>
      </c>
      <c r="M123" s="762">
        <v>0</v>
      </c>
      <c r="N123" s="1187">
        <v>737940288</v>
      </c>
      <c r="O123" s="1187">
        <v>1384836</v>
      </c>
      <c r="P123" s="762">
        <v>0</v>
      </c>
      <c r="Q123" s="762">
        <v>0</v>
      </c>
      <c r="R123" s="763">
        <v>0</v>
      </c>
      <c r="S123" s="764">
        <v>0</v>
      </c>
    </row>
    <row r="124" spans="1:19" ht="20.399999999999999" x14ac:dyDescent="0.3">
      <c r="A124" s="761" t="s">
        <v>6971</v>
      </c>
      <c r="B124" s="761" t="s">
        <v>5767</v>
      </c>
      <c r="C124" s="761" t="s">
        <v>307</v>
      </c>
      <c r="D124" s="761" t="s">
        <v>6989</v>
      </c>
      <c r="E124" s="1067" t="s">
        <v>5771</v>
      </c>
      <c r="F124" s="762">
        <v>33350305</v>
      </c>
      <c r="G124" s="762">
        <v>0</v>
      </c>
      <c r="H124" s="762">
        <v>921983689</v>
      </c>
      <c r="I124" s="762">
        <v>0</v>
      </c>
      <c r="J124" s="762">
        <v>0</v>
      </c>
      <c r="K124" s="762">
        <v>0</v>
      </c>
      <c r="L124" s="762">
        <v>0</v>
      </c>
      <c r="M124" s="762">
        <v>0</v>
      </c>
      <c r="N124" s="1187">
        <v>0</v>
      </c>
      <c r="O124" s="1187">
        <v>0</v>
      </c>
      <c r="P124" s="762">
        <v>921983689</v>
      </c>
      <c r="Q124" s="762">
        <v>0</v>
      </c>
      <c r="R124" s="763">
        <v>955333994</v>
      </c>
      <c r="S124" s="764">
        <v>0</v>
      </c>
    </row>
    <row r="125" spans="1:19" ht="20.399999999999999" x14ac:dyDescent="0.3">
      <c r="A125" s="761" t="s">
        <v>6971</v>
      </c>
      <c r="B125" s="761" t="s">
        <v>5767</v>
      </c>
      <c r="C125" s="761" t="s">
        <v>307</v>
      </c>
      <c r="D125" s="761" t="s">
        <v>6990</v>
      </c>
      <c r="E125" s="1067" t="s">
        <v>6991</v>
      </c>
      <c r="F125" s="762">
        <v>7135155</v>
      </c>
      <c r="G125" s="762">
        <v>0</v>
      </c>
      <c r="H125" s="762">
        <v>345926217</v>
      </c>
      <c r="I125" s="762">
        <v>0</v>
      </c>
      <c r="J125" s="762">
        <v>0</v>
      </c>
      <c r="K125" s="762">
        <v>0</v>
      </c>
      <c r="L125" s="762">
        <v>0</v>
      </c>
      <c r="M125" s="762">
        <v>0</v>
      </c>
      <c r="N125" s="1187">
        <v>0</v>
      </c>
      <c r="O125" s="1187">
        <v>0</v>
      </c>
      <c r="P125" s="762">
        <v>345926217</v>
      </c>
      <c r="Q125" s="762">
        <v>0</v>
      </c>
      <c r="R125" s="763">
        <v>353061372</v>
      </c>
      <c r="S125" s="764">
        <v>0</v>
      </c>
    </row>
    <row r="126" spans="1:19" ht="20.399999999999999" x14ac:dyDescent="0.3">
      <c r="A126" s="761" t="s">
        <v>6971</v>
      </c>
      <c r="B126" s="761" t="s">
        <v>5767</v>
      </c>
      <c r="C126" s="761" t="s">
        <v>307</v>
      </c>
      <c r="D126" s="761" t="s">
        <v>6992</v>
      </c>
      <c r="E126" s="1067" t="s">
        <v>5772</v>
      </c>
      <c r="F126" s="762">
        <v>74645</v>
      </c>
      <c r="G126" s="762">
        <v>0</v>
      </c>
      <c r="H126" s="762">
        <v>10839086</v>
      </c>
      <c r="I126" s="762">
        <v>0</v>
      </c>
      <c r="J126" s="762">
        <v>0</v>
      </c>
      <c r="K126" s="762">
        <v>0</v>
      </c>
      <c r="L126" s="762">
        <v>0</v>
      </c>
      <c r="M126" s="762">
        <v>0</v>
      </c>
      <c r="N126" s="1187">
        <v>0</v>
      </c>
      <c r="O126" s="1187">
        <v>0</v>
      </c>
      <c r="P126" s="762">
        <v>10839086</v>
      </c>
      <c r="Q126" s="762">
        <v>0</v>
      </c>
      <c r="R126" s="763">
        <v>10913731</v>
      </c>
      <c r="S126" s="764">
        <v>0</v>
      </c>
    </row>
    <row r="127" spans="1:19" ht="20.399999999999999" x14ac:dyDescent="0.3">
      <c r="A127" s="761" t="s">
        <v>6971</v>
      </c>
      <c r="B127" s="761" t="s">
        <v>5767</v>
      </c>
      <c r="C127" s="761" t="s">
        <v>1511</v>
      </c>
      <c r="D127" s="761" t="s">
        <v>6993</v>
      </c>
      <c r="E127" s="1067" t="s">
        <v>5773</v>
      </c>
      <c r="F127" s="762">
        <v>81564</v>
      </c>
      <c r="G127" s="762">
        <v>227</v>
      </c>
      <c r="H127" s="762">
        <v>123718</v>
      </c>
      <c r="I127" s="762">
        <v>344</v>
      </c>
      <c r="J127" s="762">
        <v>20810</v>
      </c>
      <c r="K127" s="762">
        <v>58</v>
      </c>
      <c r="L127" s="762">
        <v>0</v>
      </c>
      <c r="M127" s="762">
        <v>0</v>
      </c>
      <c r="N127" s="1187">
        <v>0</v>
      </c>
      <c r="O127" s="1187">
        <v>0</v>
      </c>
      <c r="P127" s="762">
        <v>144528</v>
      </c>
      <c r="Q127" s="762">
        <v>402</v>
      </c>
      <c r="R127" s="763">
        <v>226092</v>
      </c>
      <c r="S127" s="764">
        <v>629</v>
      </c>
    </row>
    <row r="128" spans="1:19" ht="20.399999999999999" x14ac:dyDescent="0.3">
      <c r="A128" s="761" t="s">
        <v>6971</v>
      </c>
      <c r="B128" s="761" t="s">
        <v>5767</v>
      </c>
      <c r="C128" s="761" t="s">
        <v>1511</v>
      </c>
      <c r="D128" s="761" t="s">
        <v>6994</v>
      </c>
      <c r="E128" s="1067" t="s">
        <v>6995</v>
      </c>
      <c r="F128" s="762">
        <v>756</v>
      </c>
      <c r="G128" s="762">
        <v>2</v>
      </c>
      <c r="H128" s="762">
        <v>29884</v>
      </c>
      <c r="I128" s="762">
        <v>84</v>
      </c>
      <c r="J128" s="762">
        <v>0</v>
      </c>
      <c r="K128" s="762">
        <v>0</v>
      </c>
      <c r="L128" s="762">
        <v>0</v>
      </c>
      <c r="M128" s="762">
        <v>0</v>
      </c>
      <c r="N128" s="1187">
        <v>0</v>
      </c>
      <c r="O128" s="1187">
        <v>0</v>
      </c>
      <c r="P128" s="762">
        <v>29884</v>
      </c>
      <c r="Q128" s="762">
        <v>84</v>
      </c>
      <c r="R128" s="763">
        <v>30640</v>
      </c>
      <c r="S128" s="764">
        <v>86</v>
      </c>
    </row>
    <row r="129" spans="1:19" ht="20.399999999999999" x14ac:dyDescent="0.3">
      <c r="A129" s="761" t="s">
        <v>6971</v>
      </c>
      <c r="B129" s="761" t="s">
        <v>5767</v>
      </c>
      <c r="C129" s="761" t="s">
        <v>1508</v>
      </c>
      <c r="D129" s="761" t="s">
        <v>6996</v>
      </c>
      <c r="E129" s="1067" t="s">
        <v>5774</v>
      </c>
      <c r="F129" s="762">
        <v>2597647</v>
      </c>
      <c r="G129" s="762">
        <v>7230</v>
      </c>
      <c r="H129" s="762">
        <v>0</v>
      </c>
      <c r="I129" s="762">
        <v>0</v>
      </c>
      <c r="J129" s="762">
        <v>10564602</v>
      </c>
      <c r="K129" s="762">
        <v>29428</v>
      </c>
      <c r="L129" s="762">
        <v>0</v>
      </c>
      <c r="M129" s="762">
        <v>0</v>
      </c>
      <c r="N129" s="1187">
        <v>0</v>
      </c>
      <c r="O129" s="1187">
        <v>0</v>
      </c>
      <c r="P129" s="762">
        <v>10564602</v>
      </c>
      <c r="Q129" s="762">
        <v>29428</v>
      </c>
      <c r="R129" s="763">
        <v>13162249</v>
      </c>
      <c r="S129" s="764">
        <v>36658</v>
      </c>
    </row>
    <row r="130" spans="1:19" ht="20.399999999999999" x14ac:dyDescent="0.3">
      <c r="A130" s="761" t="s">
        <v>6971</v>
      </c>
      <c r="B130" s="761" t="s">
        <v>5767</v>
      </c>
      <c r="C130" s="761" t="s">
        <v>1508</v>
      </c>
      <c r="D130" s="761" t="s">
        <v>6997</v>
      </c>
      <c r="E130" s="1067" t="s">
        <v>6998</v>
      </c>
      <c r="F130" s="762">
        <v>0</v>
      </c>
      <c r="G130" s="762">
        <v>0</v>
      </c>
      <c r="H130" s="762">
        <v>0</v>
      </c>
      <c r="I130" s="762">
        <v>0</v>
      </c>
      <c r="J130" s="762">
        <v>3343339</v>
      </c>
      <c r="K130" s="762">
        <v>8981</v>
      </c>
      <c r="L130" s="762">
        <v>0</v>
      </c>
      <c r="M130" s="762">
        <v>0</v>
      </c>
      <c r="N130" s="1187">
        <v>0</v>
      </c>
      <c r="O130" s="1187">
        <v>0</v>
      </c>
      <c r="P130" s="762">
        <v>3343339</v>
      </c>
      <c r="Q130" s="762">
        <v>8981</v>
      </c>
      <c r="R130" s="763">
        <v>3343339</v>
      </c>
      <c r="S130" s="764">
        <v>8981</v>
      </c>
    </row>
    <row r="131" spans="1:19" ht="30.6" x14ac:dyDescent="0.3">
      <c r="A131" s="761" t="s">
        <v>6971</v>
      </c>
      <c r="B131" s="761" t="s">
        <v>5767</v>
      </c>
      <c r="C131" s="761" t="s">
        <v>1512</v>
      </c>
      <c r="D131" s="761" t="s">
        <v>6999</v>
      </c>
      <c r="E131" s="1067" t="s">
        <v>5775</v>
      </c>
      <c r="F131" s="762">
        <v>223044</v>
      </c>
      <c r="G131" s="762">
        <v>0</v>
      </c>
      <c r="H131" s="762">
        <v>4413592</v>
      </c>
      <c r="I131" s="762">
        <v>0</v>
      </c>
      <c r="J131" s="762">
        <v>0</v>
      </c>
      <c r="K131" s="762">
        <v>0</v>
      </c>
      <c r="L131" s="762">
        <v>0</v>
      </c>
      <c r="M131" s="762">
        <v>0</v>
      </c>
      <c r="N131" s="1187">
        <v>0</v>
      </c>
      <c r="O131" s="1187">
        <v>0</v>
      </c>
      <c r="P131" s="762">
        <v>4413592</v>
      </c>
      <c r="Q131" s="762">
        <v>0</v>
      </c>
      <c r="R131" s="763">
        <v>4636636</v>
      </c>
      <c r="S131" s="764">
        <v>0</v>
      </c>
    </row>
    <row r="132" spans="1:19" ht="30.6" x14ac:dyDescent="0.3">
      <c r="A132" s="761" t="s">
        <v>6971</v>
      </c>
      <c r="B132" s="761" t="s">
        <v>5767</v>
      </c>
      <c r="C132" s="761" t="s">
        <v>1512</v>
      </c>
      <c r="D132" s="761" t="s">
        <v>7000</v>
      </c>
      <c r="E132" s="1067" t="s">
        <v>7001</v>
      </c>
      <c r="F132" s="762">
        <v>0</v>
      </c>
      <c r="G132" s="762">
        <v>0</v>
      </c>
      <c r="H132" s="762">
        <v>1834696</v>
      </c>
      <c r="I132" s="762">
        <v>0</v>
      </c>
      <c r="J132" s="762">
        <v>0</v>
      </c>
      <c r="K132" s="762">
        <v>0</v>
      </c>
      <c r="L132" s="762">
        <v>0</v>
      </c>
      <c r="M132" s="762">
        <v>0</v>
      </c>
      <c r="N132" s="1187">
        <v>0</v>
      </c>
      <c r="O132" s="1187">
        <v>0</v>
      </c>
      <c r="P132" s="762">
        <v>1834696</v>
      </c>
      <c r="Q132" s="762">
        <v>0</v>
      </c>
      <c r="R132" s="763">
        <v>1834696</v>
      </c>
      <c r="S132" s="764">
        <v>0</v>
      </c>
    </row>
    <row r="133" spans="1:19" ht="20.399999999999999" x14ac:dyDescent="0.3">
      <c r="A133" s="761" t="s">
        <v>6971</v>
      </c>
      <c r="B133" s="761" t="s">
        <v>3830</v>
      </c>
      <c r="C133" s="761" t="s">
        <v>1514</v>
      </c>
      <c r="D133" s="761" t="s">
        <v>7002</v>
      </c>
      <c r="E133" s="1067" t="s">
        <v>7003</v>
      </c>
      <c r="F133" s="762">
        <v>0</v>
      </c>
      <c r="G133" s="762">
        <v>0</v>
      </c>
      <c r="H133" s="762">
        <v>0</v>
      </c>
      <c r="I133" s="762">
        <v>0</v>
      </c>
      <c r="J133" s="762">
        <v>13131329</v>
      </c>
      <c r="K133" s="762">
        <v>27561</v>
      </c>
      <c r="L133" s="762">
        <v>0</v>
      </c>
      <c r="M133" s="762">
        <v>0</v>
      </c>
      <c r="N133" s="1187">
        <v>0</v>
      </c>
      <c r="O133" s="1187">
        <v>0</v>
      </c>
      <c r="P133" s="762">
        <v>13131329</v>
      </c>
      <c r="Q133" s="762">
        <v>27561</v>
      </c>
      <c r="R133" s="763">
        <v>13131329</v>
      </c>
      <c r="S133" s="764">
        <v>27561</v>
      </c>
    </row>
    <row r="134" spans="1:19" ht="20.399999999999999" x14ac:dyDescent="0.3">
      <c r="A134" s="761" t="s">
        <v>6971</v>
      </c>
      <c r="B134" s="761" t="s">
        <v>3830</v>
      </c>
      <c r="C134" s="761" t="s">
        <v>1514</v>
      </c>
      <c r="D134" s="761" t="s">
        <v>7004</v>
      </c>
      <c r="E134" s="1067" t="s">
        <v>7005</v>
      </c>
      <c r="F134" s="762">
        <v>0</v>
      </c>
      <c r="G134" s="762">
        <v>0</v>
      </c>
      <c r="H134" s="762">
        <v>0</v>
      </c>
      <c r="I134" s="762">
        <v>0</v>
      </c>
      <c r="J134" s="762">
        <v>51263709</v>
      </c>
      <c r="K134" s="762">
        <v>139562</v>
      </c>
      <c r="L134" s="762">
        <v>0</v>
      </c>
      <c r="M134" s="762">
        <v>0</v>
      </c>
      <c r="N134" s="1187">
        <v>0</v>
      </c>
      <c r="O134" s="1187">
        <v>0</v>
      </c>
      <c r="P134" s="762">
        <v>51263709</v>
      </c>
      <c r="Q134" s="762">
        <v>139562</v>
      </c>
      <c r="R134" s="763">
        <v>51263709</v>
      </c>
      <c r="S134" s="764">
        <v>139562</v>
      </c>
    </row>
    <row r="135" spans="1:19" ht="20.399999999999999" x14ac:dyDescent="0.3">
      <c r="A135" s="761" t="s">
        <v>6971</v>
      </c>
      <c r="B135" s="761" t="s">
        <v>3830</v>
      </c>
      <c r="C135" s="761" t="s">
        <v>1514</v>
      </c>
      <c r="D135" s="761" t="s">
        <v>7006</v>
      </c>
      <c r="E135" s="1067" t="s">
        <v>7007</v>
      </c>
      <c r="F135" s="762">
        <v>0</v>
      </c>
      <c r="G135" s="762">
        <v>0</v>
      </c>
      <c r="H135" s="762">
        <v>0</v>
      </c>
      <c r="I135" s="762">
        <v>0</v>
      </c>
      <c r="J135" s="762">
        <v>398745</v>
      </c>
      <c r="K135" s="762">
        <v>1314</v>
      </c>
      <c r="L135" s="762">
        <v>0</v>
      </c>
      <c r="M135" s="762">
        <v>0</v>
      </c>
      <c r="N135" s="1187">
        <v>0</v>
      </c>
      <c r="O135" s="1187">
        <v>0</v>
      </c>
      <c r="P135" s="762">
        <v>398745</v>
      </c>
      <c r="Q135" s="762">
        <v>1314</v>
      </c>
      <c r="R135" s="763">
        <v>398745</v>
      </c>
      <c r="S135" s="764">
        <v>1314</v>
      </c>
    </row>
    <row r="136" spans="1:19" ht="20.399999999999999" x14ac:dyDescent="0.3">
      <c r="A136" s="761" t="s">
        <v>6971</v>
      </c>
      <c r="B136" s="761" t="s">
        <v>3830</v>
      </c>
      <c r="C136" s="761" t="s">
        <v>1514</v>
      </c>
      <c r="D136" s="761" t="s">
        <v>7008</v>
      </c>
      <c r="E136" s="1067" t="s">
        <v>7009</v>
      </c>
      <c r="F136" s="762">
        <v>0</v>
      </c>
      <c r="G136" s="762">
        <v>0</v>
      </c>
      <c r="H136" s="762">
        <v>0</v>
      </c>
      <c r="I136" s="762">
        <v>0</v>
      </c>
      <c r="J136" s="762">
        <v>14092294</v>
      </c>
      <c r="K136" s="762">
        <v>28347</v>
      </c>
      <c r="L136" s="762">
        <v>0</v>
      </c>
      <c r="M136" s="762">
        <v>0</v>
      </c>
      <c r="N136" s="1187">
        <v>0</v>
      </c>
      <c r="O136" s="1187">
        <v>0</v>
      </c>
      <c r="P136" s="762">
        <v>14092294</v>
      </c>
      <c r="Q136" s="762">
        <v>28347</v>
      </c>
      <c r="R136" s="763">
        <v>14092294</v>
      </c>
      <c r="S136" s="764">
        <v>28347</v>
      </c>
    </row>
    <row r="137" spans="1:19" ht="20.399999999999999" x14ac:dyDescent="0.3">
      <c r="A137" s="761" t="s">
        <v>6971</v>
      </c>
      <c r="B137" s="761" t="s">
        <v>3830</v>
      </c>
      <c r="C137" s="761" t="s">
        <v>1514</v>
      </c>
      <c r="D137" s="761" t="s">
        <v>7010</v>
      </c>
      <c r="E137" s="1067" t="s">
        <v>7011</v>
      </c>
      <c r="F137" s="762">
        <v>0</v>
      </c>
      <c r="G137" s="762">
        <v>0</v>
      </c>
      <c r="H137" s="762">
        <v>0</v>
      </c>
      <c r="I137" s="762">
        <v>0</v>
      </c>
      <c r="J137" s="762">
        <v>0</v>
      </c>
      <c r="K137" s="762">
        <v>0</v>
      </c>
      <c r="L137" s="762">
        <v>63442552</v>
      </c>
      <c r="M137" s="762">
        <v>121130</v>
      </c>
      <c r="N137" s="1187">
        <v>0</v>
      </c>
      <c r="O137" s="1187">
        <v>0</v>
      </c>
      <c r="P137" s="762">
        <v>63442554</v>
      </c>
      <c r="Q137" s="762">
        <v>121130</v>
      </c>
      <c r="R137" s="763">
        <v>63442554</v>
      </c>
      <c r="S137" s="764">
        <v>121130</v>
      </c>
    </row>
    <row r="138" spans="1:19" ht="40.799999999999997" x14ac:dyDescent="0.3">
      <c r="A138" s="761" t="s">
        <v>6971</v>
      </c>
      <c r="B138" s="761" t="s">
        <v>3830</v>
      </c>
      <c r="C138" s="761" t="s">
        <v>1504</v>
      </c>
      <c r="D138" s="761" t="s">
        <v>248</v>
      </c>
      <c r="E138" s="761" t="s">
        <v>5900</v>
      </c>
      <c r="F138" s="762">
        <v>69242323</v>
      </c>
      <c r="G138" s="762">
        <v>149418</v>
      </c>
      <c r="H138" s="762">
        <v>0</v>
      </c>
      <c r="I138" s="762">
        <v>0</v>
      </c>
      <c r="J138" s="762">
        <v>155967499</v>
      </c>
      <c r="K138" s="762">
        <v>365814</v>
      </c>
      <c r="L138" s="762">
        <v>9295300</v>
      </c>
      <c r="M138" s="762">
        <v>17805</v>
      </c>
      <c r="N138" s="1187">
        <v>0</v>
      </c>
      <c r="O138" s="1187">
        <v>0</v>
      </c>
      <c r="P138" s="762">
        <v>165262799</v>
      </c>
      <c r="Q138" s="762">
        <v>383619</v>
      </c>
      <c r="R138" s="763">
        <v>234505122</v>
      </c>
      <c r="S138" s="764">
        <v>533037</v>
      </c>
    </row>
    <row r="139" spans="1:19" ht="40.799999999999997" x14ac:dyDescent="0.3">
      <c r="A139" s="761" t="s">
        <v>6971</v>
      </c>
      <c r="B139" s="761" t="s">
        <v>3830</v>
      </c>
      <c r="C139" s="761" t="s">
        <v>1504</v>
      </c>
      <c r="D139" s="761" t="s">
        <v>272</v>
      </c>
      <c r="E139" s="761" t="s">
        <v>5901</v>
      </c>
      <c r="F139" s="762">
        <v>90093921</v>
      </c>
      <c r="G139" s="762">
        <v>294041</v>
      </c>
      <c r="H139" s="762">
        <v>48080834</v>
      </c>
      <c r="I139" s="762">
        <v>167727</v>
      </c>
      <c r="J139" s="762">
        <v>344018927</v>
      </c>
      <c r="K139" s="762">
        <v>1037788</v>
      </c>
      <c r="L139" s="762">
        <v>26729952</v>
      </c>
      <c r="M139" s="762">
        <v>43633</v>
      </c>
      <c r="N139" s="1187">
        <v>0</v>
      </c>
      <c r="O139" s="1187">
        <v>0</v>
      </c>
      <c r="P139" s="762">
        <v>418829714</v>
      </c>
      <c r="Q139" s="762">
        <v>1249148</v>
      </c>
      <c r="R139" s="763">
        <v>508923635</v>
      </c>
      <c r="S139" s="764">
        <v>1543189</v>
      </c>
    </row>
    <row r="140" spans="1:19" ht="20.399999999999999" x14ac:dyDescent="0.3">
      <c r="A140" s="761" t="s">
        <v>6971</v>
      </c>
      <c r="B140" s="761" t="s">
        <v>3830</v>
      </c>
      <c r="C140" s="761" t="s">
        <v>288</v>
      </c>
      <c r="D140" s="761" t="s">
        <v>288</v>
      </c>
      <c r="E140" s="761" t="s">
        <v>5902</v>
      </c>
      <c r="F140" s="762">
        <v>28123495</v>
      </c>
      <c r="G140" s="762">
        <v>0</v>
      </c>
      <c r="H140" s="762">
        <v>176808626</v>
      </c>
      <c r="I140" s="762">
        <v>0</v>
      </c>
      <c r="J140" s="762">
        <v>59101</v>
      </c>
      <c r="K140" s="762">
        <v>4218</v>
      </c>
      <c r="L140" s="762">
        <v>0</v>
      </c>
      <c r="M140" s="762">
        <v>0</v>
      </c>
      <c r="N140" s="1187">
        <v>0</v>
      </c>
      <c r="O140" s="1187">
        <v>0</v>
      </c>
      <c r="P140" s="762">
        <v>176867727</v>
      </c>
      <c r="Q140" s="762">
        <v>4218</v>
      </c>
      <c r="R140" s="763">
        <v>204991222</v>
      </c>
      <c r="S140" s="764">
        <v>4218</v>
      </c>
    </row>
    <row r="141" spans="1:19" x14ac:dyDescent="0.3">
      <c r="A141" s="761" t="s">
        <v>6971</v>
      </c>
      <c r="B141" s="761" t="s">
        <v>3830</v>
      </c>
      <c r="C141" s="761" t="s">
        <v>1510</v>
      </c>
      <c r="D141" s="761" t="s">
        <v>1510</v>
      </c>
      <c r="E141" s="1067" t="s">
        <v>7220</v>
      </c>
      <c r="F141" s="762">
        <v>0</v>
      </c>
      <c r="G141" s="762">
        <v>0</v>
      </c>
      <c r="H141" s="762">
        <v>0</v>
      </c>
      <c r="I141" s="762">
        <v>0</v>
      </c>
      <c r="J141" s="762">
        <v>150408665</v>
      </c>
      <c r="K141" s="762">
        <v>340124</v>
      </c>
      <c r="L141" s="762">
        <v>0</v>
      </c>
      <c r="M141" s="762">
        <v>0</v>
      </c>
      <c r="N141" s="1187">
        <v>0</v>
      </c>
      <c r="O141" s="1187">
        <v>0</v>
      </c>
      <c r="P141" s="762">
        <v>150408665</v>
      </c>
      <c r="Q141" s="762">
        <v>340124</v>
      </c>
      <c r="R141" s="763">
        <v>150408665</v>
      </c>
      <c r="S141" s="764">
        <v>340124</v>
      </c>
    </row>
    <row r="142" spans="1:19" x14ac:dyDescent="0.3">
      <c r="A142" s="761" t="s">
        <v>6971</v>
      </c>
      <c r="B142" s="761" t="s">
        <v>3830</v>
      </c>
      <c r="C142" s="761" t="s">
        <v>3804</v>
      </c>
      <c r="D142" s="761" t="s">
        <v>3804</v>
      </c>
      <c r="E142" s="761" t="s">
        <v>4761</v>
      </c>
      <c r="F142" s="762">
        <v>0</v>
      </c>
      <c r="G142" s="762">
        <v>0</v>
      </c>
      <c r="H142" s="762">
        <v>0</v>
      </c>
      <c r="I142" s="762">
        <v>0</v>
      </c>
      <c r="J142" s="762">
        <v>0</v>
      </c>
      <c r="K142" s="762">
        <v>0</v>
      </c>
      <c r="L142" s="762">
        <v>0</v>
      </c>
      <c r="M142" s="762">
        <v>0</v>
      </c>
      <c r="N142" s="1187">
        <v>322532800</v>
      </c>
      <c r="O142" s="1187">
        <v>742003.875</v>
      </c>
      <c r="P142" s="762">
        <v>0</v>
      </c>
      <c r="Q142" s="762">
        <v>0</v>
      </c>
      <c r="R142" s="763">
        <v>0</v>
      </c>
      <c r="S142" s="764">
        <v>0</v>
      </c>
    </row>
    <row r="143" spans="1:19" x14ac:dyDescent="0.3">
      <c r="A143" s="761" t="s">
        <v>6971</v>
      </c>
      <c r="B143" s="761" t="s">
        <v>3830</v>
      </c>
      <c r="C143" s="761" t="s">
        <v>307</v>
      </c>
      <c r="D143" s="761" t="s">
        <v>307</v>
      </c>
      <c r="E143" s="761" t="s">
        <v>5903</v>
      </c>
      <c r="F143" s="762">
        <v>9139237</v>
      </c>
      <c r="G143" s="762">
        <v>0</v>
      </c>
      <c r="H143" s="762">
        <v>473085064</v>
      </c>
      <c r="I143" s="762">
        <v>0</v>
      </c>
      <c r="J143" s="762">
        <v>0</v>
      </c>
      <c r="K143" s="762">
        <v>0</v>
      </c>
      <c r="L143" s="762">
        <v>0</v>
      </c>
      <c r="M143" s="762">
        <v>0</v>
      </c>
      <c r="N143" s="1187">
        <v>0</v>
      </c>
      <c r="O143" s="1187">
        <v>0</v>
      </c>
      <c r="P143" s="762">
        <v>473085064</v>
      </c>
      <c r="Q143" s="762">
        <v>0</v>
      </c>
      <c r="R143" s="763">
        <v>482224301</v>
      </c>
      <c r="S143" s="764">
        <v>0</v>
      </c>
    </row>
    <row r="144" spans="1:19" ht="20.399999999999999" x14ac:dyDescent="0.3">
      <c r="A144" s="761" t="s">
        <v>6971</v>
      </c>
      <c r="B144" s="761" t="s">
        <v>3830</v>
      </c>
      <c r="C144" s="761" t="s">
        <v>1511</v>
      </c>
      <c r="D144" s="761" t="s">
        <v>316</v>
      </c>
      <c r="E144" s="761" t="s">
        <v>5906</v>
      </c>
      <c r="F144" s="762">
        <v>0</v>
      </c>
      <c r="G144" s="762">
        <v>0</v>
      </c>
      <c r="H144" s="762">
        <v>12395</v>
      </c>
      <c r="I144" s="762">
        <v>246</v>
      </c>
      <c r="J144" s="762">
        <v>0</v>
      </c>
      <c r="K144" s="762">
        <v>0</v>
      </c>
      <c r="L144" s="762">
        <v>0</v>
      </c>
      <c r="M144" s="762">
        <v>0</v>
      </c>
      <c r="N144" s="1187">
        <v>0</v>
      </c>
      <c r="O144" s="1187">
        <v>0</v>
      </c>
      <c r="P144" s="762">
        <v>12395</v>
      </c>
      <c r="Q144" s="762">
        <v>246</v>
      </c>
      <c r="R144" s="763">
        <v>12395</v>
      </c>
      <c r="S144" s="764">
        <v>246</v>
      </c>
    </row>
    <row r="145" spans="1:19" ht="20.399999999999999" x14ac:dyDescent="0.3">
      <c r="A145" s="761" t="s">
        <v>6971</v>
      </c>
      <c r="B145" s="761" t="s">
        <v>3830</v>
      </c>
      <c r="C145" s="761" t="s">
        <v>1508</v>
      </c>
      <c r="D145" s="761" t="s">
        <v>332</v>
      </c>
      <c r="E145" s="761" t="s">
        <v>5904</v>
      </c>
      <c r="F145" s="762">
        <v>701248</v>
      </c>
      <c r="G145" s="762">
        <v>1960</v>
      </c>
      <c r="H145" s="762">
        <v>409108</v>
      </c>
      <c r="I145" s="762">
        <v>1152</v>
      </c>
      <c r="J145" s="762">
        <v>4792973</v>
      </c>
      <c r="K145" s="762">
        <v>13363</v>
      </c>
      <c r="L145" s="762">
        <v>0</v>
      </c>
      <c r="M145" s="762">
        <v>0</v>
      </c>
      <c r="N145" s="1187">
        <v>0</v>
      </c>
      <c r="O145" s="1187">
        <v>0</v>
      </c>
      <c r="P145" s="762">
        <v>5202081</v>
      </c>
      <c r="Q145" s="762">
        <v>14515</v>
      </c>
      <c r="R145" s="763">
        <v>5903329</v>
      </c>
      <c r="S145" s="764">
        <v>16475</v>
      </c>
    </row>
    <row r="146" spans="1:19" ht="30.6" x14ac:dyDescent="0.3">
      <c r="A146" s="761" t="s">
        <v>6971</v>
      </c>
      <c r="B146" s="761" t="s">
        <v>3830</v>
      </c>
      <c r="C146" s="761" t="s">
        <v>1512</v>
      </c>
      <c r="D146" s="761" t="s">
        <v>334</v>
      </c>
      <c r="E146" s="761" t="s">
        <v>5905</v>
      </c>
      <c r="F146" s="762">
        <v>209516</v>
      </c>
      <c r="G146" s="762">
        <v>0</v>
      </c>
      <c r="H146" s="762">
        <v>2009517</v>
      </c>
      <c r="I146" s="762">
        <v>0</v>
      </c>
      <c r="J146" s="762">
        <v>0</v>
      </c>
      <c r="K146" s="762">
        <v>0</v>
      </c>
      <c r="L146" s="762">
        <v>0</v>
      </c>
      <c r="M146" s="762">
        <v>0</v>
      </c>
      <c r="N146" s="1187">
        <v>0</v>
      </c>
      <c r="O146" s="1187">
        <v>0</v>
      </c>
      <c r="P146" s="762">
        <v>2009517</v>
      </c>
      <c r="Q146" s="762">
        <v>0</v>
      </c>
      <c r="R146" s="763">
        <v>2219033</v>
      </c>
      <c r="S146" s="764">
        <v>0</v>
      </c>
    </row>
    <row r="147" spans="1:19" ht="20.399999999999999" x14ac:dyDescent="0.3">
      <c r="A147" s="761" t="s">
        <v>6971</v>
      </c>
      <c r="B147" s="761" t="s">
        <v>1521</v>
      </c>
      <c r="C147" s="761" t="s">
        <v>1514</v>
      </c>
      <c r="D147" s="761" t="s">
        <v>7012</v>
      </c>
      <c r="E147" s="1067" t="s">
        <v>7013</v>
      </c>
      <c r="F147" s="762">
        <v>0</v>
      </c>
      <c r="G147" s="762">
        <v>0</v>
      </c>
      <c r="H147" s="762">
        <v>0</v>
      </c>
      <c r="I147" s="762">
        <v>0</v>
      </c>
      <c r="J147" s="762">
        <v>4231111</v>
      </c>
      <c r="K147" s="762">
        <v>9083</v>
      </c>
      <c r="L147" s="762">
        <v>0</v>
      </c>
      <c r="M147" s="762">
        <v>0</v>
      </c>
      <c r="N147" s="1187">
        <v>0</v>
      </c>
      <c r="O147" s="1187">
        <v>0</v>
      </c>
      <c r="P147" s="762">
        <v>4231111</v>
      </c>
      <c r="Q147" s="762">
        <v>9083</v>
      </c>
      <c r="R147" s="763">
        <v>4231111</v>
      </c>
      <c r="S147" s="764">
        <v>9083</v>
      </c>
    </row>
    <row r="148" spans="1:19" ht="40.799999999999997" x14ac:dyDescent="0.3">
      <c r="A148" s="761" t="s">
        <v>6971</v>
      </c>
      <c r="B148" s="761" t="s">
        <v>1521</v>
      </c>
      <c r="C148" s="761" t="s">
        <v>1504</v>
      </c>
      <c r="D148" s="761" t="s">
        <v>7014</v>
      </c>
      <c r="E148" s="1067" t="s">
        <v>7015</v>
      </c>
      <c r="F148" s="762">
        <v>100054111</v>
      </c>
      <c r="G148" s="762">
        <v>254618</v>
      </c>
      <c r="H148" s="762">
        <v>28072018</v>
      </c>
      <c r="I148" s="762">
        <v>95726</v>
      </c>
      <c r="J148" s="762">
        <v>315004066</v>
      </c>
      <c r="K148" s="762">
        <v>831056</v>
      </c>
      <c r="L148" s="762">
        <v>5930113</v>
      </c>
      <c r="M148" s="762">
        <v>20328</v>
      </c>
      <c r="N148" s="1187">
        <v>0</v>
      </c>
      <c r="O148" s="1187">
        <v>0</v>
      </c>
      <c r="P148" s="762">
        <v>349006197</v>
      </c>
      <c r="Q148" s="762">
        <v>947110</v>
      </c>
      <c r="R148" s="763">
        <v>449060308</v>
      </c>
      <c r="S148" s="764">
        <v>1201728</v>
      </c>
    </row>
    <row r="149" spans="1:19" ht="40.799999999999997" x14ac:dyDescent="0.3">
      <c r="A149" s="761" t="s">
        <v>6971</v>
      </c>
      <c r="B149" s="761" t="s">
        <v>1521</v>
      </c>
      <c r="C149" s="761" t="s">
        <v>1504</v>
      </c>
      <c r="D149" s="761" t="s">
        <v>4762</v>
      </c>
      <c r="E149" s="1067" t="s">
        <v>5219</v>
      </c>
      <c r="F149" s="762">
        <v>34469014</v>
      </c>
      <c r="G149" s="762">
        <v>79639</v>
      </c>
      <c r="H149" s="762">
        <v>14226120</v>
      </c>
      <c r="I149" s="762">
        <v>29912</v>
      </c>
      <c r="J149" s="762">
        <v>77581300</v>
      </c>
      <c r="K149" s="762">
        <v>195700</v>
      </c>
      <c r="L149" s="762">
        <v>3785791</v>
      </c>
      <c r="M149" s="762">
        <v>6748</v>
      </c>
      <c r="N149" s="1187">
        <v>0</v>
      </c>
      <c r="O149" s="1187">
        <v>0</v>
      </c>
      <c r="P149" s="762">
        <v>95593211</v>
      </c>
      <c r="Q149" s="762">
        <v>232360</v>
      </c>
      <c r="R149" s="763">
        <v>130062225</v>
      </c>
      <c r="S149" s="764">
        <v>311999</v>
      </c>
    </row>
    <row r="150" spans="1:19" ht="30.6" x14ac:dyDescent="0.3">
      <c r="A150" s="761" t="s">
        <v>6971</v>
      </c>
      <c r="B150" s="761" t="s">
        <v>1521</v>
      </c>
      <c r="C150" s="761" t="s">
        <v>288</v>
      </c>
      <c r="D150" s="761" t="s">
        <v>7016</v>
      </c>
      <c r="E150" s="1067" t="s">
        <v>7017</v>
      </c>
      <c r="F150" s="762">
        <v>20326889</v>
      </c>
      <c r="G150" s="762">
        <v>0</v>
      </c>
      <c r="H150" s="762">
        <v>92186342</v>
      </c>
      <c r="I150" s="762">
        <v>0</v>
      </c>
      <c r="J150" s="762">
        <v>0</v>
      </c>
      <c r="K150" s="762">
        <v>0</v>
      </c>
      <c r="L150" s="762">
        <v>0</v>
      </c>
      <c r="M150" s="762">
        <v>0</v>
      </c>
      <c r="N150" s="1187">
        <v>0</v>
      </c>
      <c r="O150" s="1187">
        <v>0</v>
      </c>
      <c r="P150" s="762">
        <v>92186342</v>
      </c>
      <c r="Q150" s="762">
        <v>0</v>
      </c>
      <c r="R150" s="763">
        <v>112513231</v>
      </c>
      <c r="S150" s="764">
        <v>0</v>
      </c>
    </row>
    <row r="151" spans="1:19" ht="30.6" x14ac:dyDescent="0.3">
      <c r="A151" s="761" t="s">
        <v>6971</v>
      </c>
      <c r="B151" s="761" t="s">
        <v>1521</v>
      </c>
      <c r="C151" s="761" t="s">
        <v>288</v>
      </c>
      <c r="D151" s="761" t="s">
        <v>4763</v>
      </c>
      <c r="E151" s="1067" t="s">
        <v>5220</v>
      </c>
      <c r="F151" s="762">
        <v>7525260</v>
      </c>
      <c r="G151" s="762">
        <v>0</v>
      </c>
      <c r="H151" s="762">
        <v>33410948</v>
      </c>
      <c r="I151" s="762">
        <v>0</v>
      </c>
      <c r="J151" s="762">
        <v>0</v>
      </c>
      <c r="K151" s="762">
        <v>0</v>
      </c>
      <c r="L151" s="762">
        <v>0</v>
      </c>
      <c r="M151" s="762">
        <v>0</v>
      </c>
      <c r="N151" s="1187">
        <v>0</v>
      </c>
      <c r="O151" s="1187">
        <v>0</v>
      </c>
      <c r="P151" s="762">
        <v>33410948</v>
      </c>
      <c r="Q151" s="762">
        <v>0</v>
      </c>
      <c r="R151" s="763">
        <v>40936208</v>
      </c>
      <c r="S151" s="764">
        <v>0</v>
      </c>
    </row>
    <row r="152" spans="1:19" ht="20.399999999999999" x14ac:dyDescent="0.3">
      <c r="A152" s="761" t="s">
        <v>6971</v>
      </c>
      <c r="B152" s="761" t="s">
        <v>1521</v>
      </c>
      <c r="C152" s="761" t="s">
        <v>1510</v>
      </c>
      <c r="D152" s="761" t="s">
        <v>7018</v>
      </c>
      <c r="E152" s="1067" t="s">
        <v>7019</v>
      </c>
      <c r="F152" s="762">
        <v>0</v>
      </c>
      <c r="G152" s="762">
        <v>0</v>
      </c>
      <c r="H152" s="762">
        <v>0</v>
      </c>
      <c r="I152" s="762">
        <v>0</v>
      </c>
      <c r="J152" s="762">
        <v>40289413</v>
      </c>
      <c r="K152" s="762">
        <v>117593</v>
      </c>
      <c r="L152" s="762">
        <v>0</v>
      </c>
      <c r="M152" s="762">
        <v>0</v>
      </c>
      <c r="N152" s="1187">
        <v>0</v>
      </c>
      <c r="O152" s="1187">
        <v>0</v>
      </c>
      <c r="P152" s="762">
        <v>40289413</v>
      </c>
      <c r="Q152" s="762">
        <v>117593</v>
      </c>
      <c r="R152" s="763">
        <v>40289413</v>
      </c>
      <c r="S152" s="764">
        <v>117593</v>
      </c>
    </row>
    <row r="153" spans="1:19" ht="20.399999999999999" x14ac:dyDescent="0.3">
      <c r="A153" s="761" t="s">
        <v>6971</v>
      </c>
      <c r="B153" s="761" t="s">
        <v>1521</v>
      </c>
      <c r="C153" s="761" t="s">
        <v>3804</v>
      </c>
      <c r="D153" s="761" t="s">
        <v>3804</v>
      </c>
      <c r="E153" s="761" t="s">
        <v>7020</v>
      </c>
      <c r="F153" s="762">
        <v>0</v>
      </c>
      <c r="G153" s="762">
        <v>0</v>
      </c>
      <c r="H153" s="762">
        <v>0</v>
      </c>
      <c r="I153" s="762">
        <v>0</v>
      </c>
      <c r="J153" s="762">
        <v>0</v>
      </c>
      <c r="K153" s="762">
        <v>0</v>
      </c>
      <c r="L153" s="762">
        <v>0</v>
      </c>
      <c r="M153" s="762">
        <v>0</v>
      </c>
      <c r="N153" s="1187">
        <v>281796960</v>
      </c>
      <c r="O153" s="1187">
        <v>636519</v>
      </c>
      <c r="P153" s="762">
        <v>0</v>
      </c>
      <c r="Q153" s="762">
        <v>0</v>
      </c>
      <c r="R153" s="763">
        <v>0</v>
      </c>
      <c r="S153" s="764">
        <v>0</v>
      </c>
    </row>
    <row r="154" spans="1:19" ht="20.399999999999999" x14ac:dyDescent="0.3">
      <c r="A154" s="761" t="s">
        <v>6971</v>
      </c>
      <c r="B154" s="761" t="s">
        <v>1521</v>
      </c>
      <c r="C154" s="761" t="s">
        <v>307</v>
      </c>
      <c r="D154" s="761" t="s">
        <v>7021</v>
      </c>
      <c r="E154" s="1067" t="s">
        <v>7022</v>
      </c>
      <c r="F154" s="762">
        <v>10246699</v>
      </c>
      <c r="G154" s="762">
        <v>0</v>
      </c>
      <c r="H154" s="762">
        <v>278177762</v>
      </c>
      <c r="I154" s="762">
        <v>0</v>
      </c>
      <c r="J154" s="762">
        <v>0</v>
      </c>
      <c r="K154" s="762">
        <v>0</v>
      </c>
      <c r="L154" s="762">
        <v>0</v>
      </c>
      <c r="M154" s="762">
        <v>0</v>
      </c>
      <c r="N154" s="1187">
        <v>0</v>
      </c>
      <c r="O154" s="1187">
        <v>0</v>
      </c>
      <c r="P154" s="762">
        <v>278177762</v>
      </c>
      <c r="Q154" s="762">
        <v>0</v>
      </c>
      <c r="R154" s="763">
        <v>288424461</v>
      </c>
      <c r="S154" s="764">
        <v>0</v>
      </c>
    </row>
    <row r="155" spans="1:19" ht="20.399999999999999" x14ac:dyDescent="0.3">
      <c r="A155" s="761" t="s">
        <v>6971</v>
      </c>
      <c r="B155" s="761" t="s">
        <v>1521</v>
      </c>
      <c r="C155" s="761" t="s">
        <v>307</v>
      </c>
      <c r="D155" s="761" t="s">
        <v>4764</v>
      </c>
      <c r="E155" s="1067" t="s">
        <v>5221</v>
      </c>
      <c r="F155" s="762">
        <v>7354827</v>
      </c>
      <c r="G155" s="762">
        <v>0</v>
      </c>
      <c r="H155" s="762">
        <v>107747362</v>
      </c>
      <c r="I155" s="762">
        <v>0</v>
      </c>
      <c r="J155" s="762">
        <v>0</v>
      </c>
      <c r="K155" s="762">
        <v>0</v>
      </c>
      <c r="L155" s="762">
        <v>0</v>
      </c>
      <c r="M155" s="762">
        <v>0</v>
      </c>
      <c r="N155" s="1187">
        <v>0</v>
      </c>
      <c r="O155" s="1187">
        <v>0</v>
      </c>
      <c r="P155" s="762">
        <v>107747362</v>
      </c>
      <c r="Q155" s="762">
        <v>0</v>
      </c>
      <c r="R155" s="763">
        <v>115102189</v>
      </c>
      <c r="S155" s="764">
        <v>0</v>
      </c>
    </row>
    <row r="156" spans="1:19" ht="20.399999999999999" x14ac:dyDescent="0.3">
      <c r="A156" s="761" t="s">
        <v>6971</v>
      </c>
      <c r="B156" s="761" t="s">
        <v>1521</v>
      </c>
      <c r="C156" s="761" t="s">
        <v>1511</v>
      </c>
      <c r="D156" s="761" t="s">
        <v>7023</v>
      </c>
      <c r="E156" s="1067" t="s">
        <v>7024</v>
      </c>
      <c r="F156" s="762">
        <v>59467</v>
      </c>
      <c r="G156" s="762">
        <v>165</v>
      </c>
      <c r="H156" s="762">
        <v>239656</v>
      </c>
      <c r="I156" s="762">
        <v>666</v>
      </c>
      <c r="J156" s="762">
        <v>80007</v>
      </c>
      <c r="K156" s="762">
        <v>222</v>
      </c>
      <c r="L156" s="762">
        <v>0</v>
      </c>
      <c r="M156" s="762">
        <v>0</v>
      </c>
      <c r="N156" s="1187">
        <v>0</v>
      </c>
      <c r="O156" s="1187">
        <v>0</v>
      </c>
      <c r="P156" s="762">
        <v>319663</v>
      </c>
      <c r="Q156" s="762">
        <v>888</v>
      </c>
      <c r="R156" s="763">
        <v>379130</v>
      </c>
      <c r="S156" s="764">
        <v>1053</v>
      </c>
    </row>
    <row r="157" spans="1:19" ht="30.6" x14ac:dyDescent="0.3">
      <c r="A157" s="761" t="s">
        <v>6971</v>
      </c>
      <c r="B157" s="761" t="s">
        <v>1521</v>
      </c>
      <c r="C157" s="761" t="s">
        <v>1511</v>
      </c>
      <c r="D157" s="761" t="s">
        <v>4765</v>
      </c>
      <c r="E157" s="1067" t="s">
        <v>5222</v>
      </c>
      <c r="F157" s="762">
        <v>2112</v>
      </c>
      <c r="G157" s="762">
        <v>7</v>
      </c>
      <c r="H157" s="762">
        <v>144468</v>
      </c>
      <c r="I157" s="762">
        <v>0</v>
      </c>
      <c r="J157" s="762">
        <v>0</v>
      </c>
      <c r="K157" s="762">
        <v>0</v>
      </c>
      <c r="L157" s="762">
        <v>0</v>
      </c>
      <c r="M157" s="762">
        <v>0</v>
      </c>
      <c r="N157" s="1187">
        <v>0</v>
      </c>
      <c r="O157" s="1187">
        <v>0</v>
      </c>
      <c r="P157" s="762">
        <v>144468</v>
      </c>
      <c r="Q157" s="762">
        <v>0</v>
      </c>
      <c r="R157" s="763">
        <v>146580</v>
      </c>
      <c r="S157" s="764">
        <v>7</v>
      </c>
    </row>
    <row r="158" spans="1:19" ht="20.399999999999999" x14ac:dyDescent="0.3">
      <c r="A158" s="761" t="s">
        <v>6971</v>
      </c>
      <c r="B158" s="761" t="s">
        <v>1521</v>
      </c>
      <c r="C158" s="761" t="s">
        <v>1508</v>
      </c>
      <c r="D158" s="761" t="s">
        <v>7025</v>
      </c>
      <c r="E158" s="1067" t="s">
        <v>7026</v>
      </c>
      <c r="F158" s="762">
        <v>0</v>
      </c>
      <c r="G158" s="762">
        <v>0</v>
      </c>
      <c r="H158" s="762">
        <v>0</v>
      </c>
      <c r="I158" s="762">
        <v>0</v>
      </c>
      <c r="J158" s="762">
        <v>3532036</v>
      </c>
      <c r="K158" s="762">
        <v>10455</v>
      </c>
      <c r="L158" s="762">
        <v>0</v>
      </c>
      <c r="M158" s="762">
        <v>0</v>
      </c>
      <c r="N158" s="1187">
        <v>0</v>
      </c>
      <c r="O158" s="1187">
        <v>0</v>
      </c>
      <c r="P158" s="762">
        <v>3532036</v>
      </c>
      <c r="Q158" s="762">
        <v>10455</v>
      </c>
      <c r="R158" s="763">
        <v>3532036</v>
      </c>
      <c r="S158" s="764">
        <v>10455</v>
      </c>
    </row>
    <row r="159" spans="1:19" ht="30.6" x14ac:dyDescent="0.3">
      <c r="A159" s="761" t="s">
        <v>6971</v>
      </c>
      <c r="B159" s="761" t="s">
        <v>1521</v>
      </c>
      <c r="C159" s="761" t="s">
        <v>1508</v>
      </c>
      <c r="D159" s="761" t="s">
        <v>4766</v>
      </c>
      <c r="E159" s="1067" t="s">
        <v>5223</v>
      </c>
      <c r="F159" s="762">
        <v>0</v>
      </c>
      <c r="G159" s="762">
        <v>0</v>
      </c>
      <c r="H159" s="762">
        <v>0</v>
      </c>
      <c r="I159" s="762">
        <v>0</v>
      </c>
      <c r="J159" s="762">
        <v>1768473</v>
      </c>
      <c r="K159" s="762">
        <v>4938</v>
      </c>
      <c r="L159" s="762">
        <v>0</v>
      </c>
      <c r="M159" s="762">
        <v>0</v>
      </c>
      <c r="N159" s="1187">
        <v>0</v>
      </c>
      <c r="O159" s="1187">
        <v>0</v>
      </c>
      <c r="P159" s="762">
        <v>1768473</v>
      </c>
      <c r="Q159" s="762">
        <v>4938</v>
      </c>
      <c r="R159" s="763">
        <v>1768473</v>
      </c>
      <c r="S159" s="764">
        <v>4938</v>
      </c>
    </row>
    <row r="160" spans="1:19" ht="30.6" x14ac:dyDescent="0.3">
      <c r="A160" s="761" t="s">
        <v>6971</v>
      </c>
      <c r="B160" s="761" t="s">
        <v>1521</v>
      </c>
      <c r="C160" s="761" t="s">
        <v>1512</v>
      </c>
      <c r="D160" s="761" t="s">
        <v>7027</v>
      </c>
      <c r="E160" s="1067" t="s">
        <v>7028</v>
      </c>
      <c r="F160" s="762">
        <v>671110</v>
      </c>
      <c r="G160" s="762">
        <v>0</v>
      </c>
      <c r="H160" s="762">
        <v>544815</v>
      </c>
      <c r="I160" s="762">
        <v>0</v>
      </c>
      <c r="J160" s="762">
        <v>61010</v>
      </c>
      <c r="K160" s="762">
        <v>0</v>
      </c>
      <c r="L160" s="762">
        <v>0</v>
      </c>
      <c r="M160" s="762">
        <v>0</v>
      </c>
      <c r="N160" s="1187">
        <v>0</v>
      </c>
      <c r="O160" s="1187">
        <v>0</v>
      </c>
      <c r="P160" s="762">
        <v>605825</v>
      </c>
      <c r="Q160" s="762">
        <v>0</v>
      </c>
      <c r="R160" s="763">
        <v>1276935</v>
      </c>
      <c r="S160" s="764">
        <v>0</v>
      </c>
    </row>
    <row r="161" spans="1:19" ht="40.799999999999997" x14ac:dyDescent="0.3">
      <c r="A161" s="761" t="s">
        <v>6971</v>
      </c>
      <c r="B161" s="761" t="s">
        <v>1522</v>
      </c>
      <c r="C161" s="761" t="s">
        <v>1504</v>
      </c>
      <c r="D161" s="761" t="s">
        <v>251</v>
      </c>
      <c r="E161" s="761" t="s">
        <v>2019</v>
      </c>
      <c r="F161" s="762">
        <v>0</v>
      </c>
      <c r="G161" s="762">
        <v>0</v>
      </c>
      <c r="H161" s="762">
        <v>0</v>
      </c>
      <c r="I161" s="762">
        <v>0</v>
      </c>
      <c r="J161" s="762">
        <v>44844216.439999998</v>
      </c>
      <c r="K161" s="762">
        <v>131737.28</v>
      </c>
      <c r="L161" s="762">
        <v>0</v>
      </c>
      <c r="M161" s="762">
        <v>0</v>
      </c>
      <c r="N161" s="1187">
        <v>0</v>
      </c>
      <c r="O161" s="1187">
        <v>0</v>
      </c>
      <c r="P161" s="762">
        <v>44844216.439999998</v>
      </c>
      <c r="Q161" s="762">
        <v>131737.28</v>
      </c>
      <c r="R161" s="763">
        <v>44844216.439999998</v>
      </c>
      <c r="S161" s="764">
        <v>131737.28</v>
      </c>
    </row>
    <row r="162" spans="1:19" ht="40.799999999999997" x14ac:dyDescent="0.3">
      <c r="A162" s="761" t="s">
        <v>6971</v>
      </c>
      <c r="B162" s="761" t="s">
        <v>1522</v>
      </c>
      <c r="C162" s="761" t="s">
        <v>1504</v>
      </c>
      <c r="D162" s="761" t="s">
        <v>268</v>
      </c>
      <c r="E162" s="761" t="s">
        <v>1656</v>
      </c>
      <c r="F162" s="762">
        <v>114403428.59999999</v>
      </c>
      <c r="G162" s="762">
        <v>308474</v>
      </c>
      <c r="H162" s="762">
        <v>165608745.19</v>
      </c>
      <c r="I162" s="762">
        <v>438394.67</v>
      </c>
      <c r="J162" s="762">
        <v>599954372.51999998</v>
      </c>
      <c r="K162" s="762">
        <v>1524053.81</v>
      </c>
      <c r="L162" s="762">
        <v>10542654</v>
      </c>
      <c r="M162" s="762">
        <v>20095.630859375</v>
      </c>
      <c r="N162" s="1187">
        <v>0</v>
      </c>
      <c r="O162" s="1187">
        <v>0</v>
      </c>
      <c r="P162" s="762">
        <v>776105771.73000002</v>
      </c>
      <c r="Q162" s="762">
        <v>1982544.11</v>
      </c>
      <c r="R162" s="763">
        <v>890509200.33000004</v>
      </c>
      <c r="S162" s="764">
        <v>2291018.21</v>
      </c>
    </row>
    <row r="163" spans="1:19" ht="20.399999999999999" x14ac:dyDescent="0.3">
      <c r="A163" s="761" t="s">
        <v>6971</v>
      </c>
      <c r="B163" s="761" t="s">
        <v>1522</v>
      </c>
      <c r="C163" s="761" t="s">
        <v>288</v>
      </c>
      <c r="D163" s="761" t="s">
        <v>288</v>
      </c>
      <c r="E163" s="761" t="s">
        <v>1657</v>
      </c>
      <c r="F163" s="762">
        <v>26574204.199999999</v>
      </c>
      <c r="G163" s="762">
        <v>0</v>
      </c>
      <c r="H163" s="762">
        <v>172380085.33000001</v>
      </c>
      <c r="I163" s="762">
        <v>0</v>
      </c>
      <c r="J163" s="762">
        <v>0</v>
      </c>
      <c r="K163" s="762">
        <v>0</v>
      </c>
      <c r="L163" s="762">
        <v>0</v>
      </c>
      <c r="M163" s="762">
        <v>0</v>
      </c>
      <c r="N163" s="1187">
        <v>0</v>
      </c>
      <c r="O163" s="1187">
        <v>0</v>
      </c>
      <c r="P163" s="762">
        <v>172380085.33000001</v>
      </c>
      <c r="Q163" s="762">
        <v>0</v>
      </c>
      <c r="R163" s="763">
        <v>198954289.53</v>
      </c>
      <c r="S163" s="764">
        <v>0</v>
      </c>
    </row>
    <row r="164" spans="1:19" ht="20.399999999999999" x14ac:dyDescent="0.3">
      <c r="A164" s="761" t="s">
        <v>6971</v>
      </c>
      <c r="B164" s="761" t="s">
        <v>1522</v>
      </c>
      <c r="C164" s="761" t="s">
        <v>1510</v>
      </c>
      <c r="D164" s="761" t="s">
        <v>293</v>
      </c>
      <c r="E164" s="761" t="s">
        <v>1658</v>
      </c>
      <c r="F164" s="762">
        <v>0</v>
      </c>
      <c r="G164" s="762">
        <v>0</v>
      </c>
      <c r="H164" s="762">
        <v>0</v>
      </c>
      <c r="I164" s="762">
        <v>0</v>
      </c>
      <c r="J164" s="762">
        <v>153024601</v>
      </c>
      <c r="K164" s="762">
        <v>309456.90000000002</v>
      </c>
      <c r="L164" s="762">
        <v>83950912</v>
      </c>
      <c r="M164" s="762">
        <v>175702.515625</v>
      </c>
      <c r="N164" s="1187">
        <v>0</v>
      </c>
      <c r="O164" s="1187">
        <v>0</v>
      </c>
      <c r="P164" s="762">
        <v>236975511.5</v>
      </c>
      <c r="Q164" s="762">
        <v>485159.42</v>
      </c>
      <c r="R164" s="763">
        <v>236975511.5</v>
      </c>
      <c r="S164" s="764">
        <v>485159.42</v>
      </c>
    </row>
    <row r="165" spans="1:19" ht="20.399999999999999" x14ac:dyDescent="0.3">
      <c r="A165" s="761" t="s">
        <v>6971</v>
      </c>
      <c r="B165" s="761" t="s">
        <v>1522</v>
      </c>
      <c r="C165" s="761" t="s">
        <v>1510</v>
      </c>
      <c r="D165" s="761" t="s">
        <v>294</v>
      </c>
      <c r="E165" s="761" t="s">
        <v>1659</v>
      </c>
      <c r="F165" s="762">
        <v>0</v>
      </c>
      <c r="G165" s="762">
        <v>0</v>
      </c>
      <c r="H165" s="762">
        <v>0</v>
      </c>
      <c r="I165" s="762">
        <v>0</v>
      </c>
      <c r="J165" s="762">
        <v>0</v>
      </c>
      <c r="K165" s="762">
        <v>0</v>
      </c>
      <c r="L165" s="762">
        <v>54165296</v>
      </c>
      <c r="M165" s="762">
        <v>89740.078125</v>
      </c>
      <c r="N165" s="1187">
        <v>0</v>
      </c>
      <c r="O165" s="1187">
        <v>0</v>
      </c>
      <c r="P165" s="762">
        <v>54165297</v>
      </c>
      <c r="Q165" s="762">
        <v>89740.08</v>
      </c>
      <c r="R165" s="763">
        <v>54165297</v>
      </c>
      <c r="S165" s="764">
        <v>89740.08</v>
      </c>
    </row>
    <row r="166" spans="1:19" ht="20.399999999999999" x14ac:dyDescent="0.3">
      <c r="A166" s="761" t="s">
        <v>6971</v>
      </c>
      <c r="B166" s="761" t="s">
        <v>1522</v>
      </c>
      <c r="C166" s="761" t="s">
        <v>1510</v>
      </c>
      <c r="D166" s="761" t="s">
        <v>295</v>
      </c>
      <c r="E166" s="761" t="s">
        <v>1660</v>
      </c>
      <c r="F166" s="762">
        <v>0</v>
      </c>
      <c r="G166" s="762">
        <v>0</v>
      </c>
      <c r="H166" s="762">
        <v>0</v>
      </c>
      <c r="I166" s="762">
        <v>0</v>
      </c>
      <c r="J166" s="762">
        <v>177356289.81</v>
      </c>
      <c r="K166" s="762">
        <v>357605.9</v>
      </c>
      <c r="L166" s="762">
        <v>104318416</v>
      </c>
      <c r="M166" s="762">
        <v>176364.203125</v>
      </c>
      <c r="N166" s="1187">
        <v>0</v>
      </c>
      <c r="O166" s="1187">
        <v>0</v>
      </c>
      <c r="P166" s="762">
        <v>281674703.31</v>
      </c>
      <c r="Q166" s="762">
        <v>533970.1</v>
      </c>
      <c r="R166" s="763">
        <v>281674703.31</v>
      </c>
      <c r="S166" s="764">
        <v>533970.1</v>
      </c>
    </row>
    <row r="167" spans="1:19" ht="20.399999999999999" x14ac:dyDescent="0.3">
      <c r="A167" s="761" t="s">
        <v>6971</v>
      </c>
      <c r="B167" s="761" t="s">
        <v>1522</v>
      </c>
      <c r="C167" s="761" t="s">
        <v>3804</v>
      </c>
      <c r="D167" s="761" t="s">
        <v>3804</v>
      </c>
      <c r="E167" s="761" t="s">
        <v>3831</v>
      </c>
      <c r="F167" s="762">
        <v>0</v>
      </c>
      <c r="G167" s="762">
        <v>0</v>
      </c>
      <c r="H167" s="762">
        <v>0</v>
      </c>
      <c r="I167" s="762">
        <v>0</v>
      </c>
      <c r="J167" s="762">
        <v>0</v>
      </c>
      <c r="K167" s="762">
        <v>0</v>
      </c>
      <c r="L167" s="762">
        <v>0</v>
      </c>
      <c r="M167" s="762">
        <v>0</v>
      </c>
      <c r="N167" s="1187">
        <v>594967168</v>
      </c>
      <c r="O167" s="1187">
        <v>1283646</v>
      </c>
      <c r="P167" s="762">
        <v>0</v>
      </c>
      <c r="Q167" s="762">
        <v>0</v>
      </c>
      <c r="R167" s="763">
        <v>0</v>
      </c>
      <c r="S167" s="764">
        <v>0</v>
      </c>
    </row>
    <row r="168" spans="1:19" ht="20.399999999999999" x14ac:dyDescent="0.3">
      <c r="A168" s="761" t="s">
        <v>6971</v>
      </c>
      <c r="B168" s="761" t="s">
        <v>1522</v>
      </c>
      <c r="C168" s="761" t="s">
        <v>307</v>
      </c>
      <c r="D168" s="761" t="s">
        <v>307</v>
      </c>
      <c r="E168" s="761" t="s">
        <v>1661</v>
      </c>
      <c r="F168" s="762">
        <v>15012554.1</v>
      </c>
      <c r="G168" s="762">
        <v>0</v>
      </c>
      <c r="H168" s="762">
        <v>597206198.57000005</v>
      </c>
      <c r="I168" s="762">
        <v>0</v>
      </c>
      <c r="J168" s="762">
        <v>0</v>
      </c>
      <c r="K168" s="762">
        <v>0</v>
      </c>
      <c r="L168" s="762">
        <v>0</v>
      </c>
      <c r="M168" s="762">
        <v>0</v>
      </c>
      <c r="N168" s="1187">
        <v>0</v>
      </c>
      <c r="O168" s="1187">
        <v>0</v>
      </c>
      <c r="P168" s="762">
        <v>597206198.57000005</v>
      </c>
      <c r="Q168" s="762">
        <v>0</v>
      </c>
      <c r="R168" s="763">
        <v>612218752.66999996</v>
      </c>
      <c r="S168" s="764">
        <v>0</v>
      </c>
    </row>
    <row r="169" spans="1:19" ht="20.399999999999999" x14ac:dyDescent="0.3">
      <c r="A169" s="761" t="s">
        <v>6971</v>
      </c>
      <c r="B169" s="761" t="s">
        <v>1522</v>
      </c>
      <c r="C169" s="761" t="s">
        <v>1511</v>
      </c>
      <c r="D169" s="761" t="s">
        <v>316</v>
      </c>
      <c r="E169" s="761" t="s">
        <v>1662</v>
      </c>
      <c r="F169" s="762">
        <v>66510.399999999994</v>
      </c>
      <c r="G169" s="762">
        <v>185</v>
      </c>
      <c r="H169" s="762">
        <v>671242.23999999999</v>
      </c>
      <c r="I169" s="762">
        <v>1873.21</v>
      </c>
      <c r="J169" s="762">
        <v>0</v>
      </c>
      <c r="K169" s="762">
        <v>0</v>
      </c>
      <c r="L169" s="762">
        <v>0</v>
      </c>
      <c r="M169" s="762">
        <v>0</v>
      </c>
      <c r="N169" s="1187">
        <v>0</v>
      </c>
      <c r="O169" s="1187">
        <v>0</v>
      </c>
      <c r="P169" s="762">
        <v>671242.23999999999</v>
      </c>
      <c r="Q169" s="762">
        <v>1873.21</v>
      </c>
      <c r="R169" s="763">
        <v>737752.64</v>
      </c>
      <c r="S169" s="764">
        <v>2058.81</v>
      </c>
    </row>
    <row r="170" spans="1:19" ht="20.399999999999999" x14ac:dyDescent="0.3">
      <c r="A170" s="761" t="s">
        <v>6971</v>
      </c>
      <c r="B170" s="761" t="s">
        <v>1522</v>
      </c>
      <c r="C170" s="761" t="s">
        <v>1508</v>
      </c>
      <c r="D170" s="761" t="s">
        <v>332</v>
      </c>
      <c r="E170" s="761" t="s">
        <v>1663</v>
      </c>
      <c r="F170" s="762">
        <v>0</v>
      </c>
      <c r="G170" s="762">
        <v>0</v>
      </c>
      <c r="H170" s="762">
        <v>18369.150000000001</v>
      </c>
      <c r="I170" s="762">
        <v>53.04</v>
      </c>
      <c r="J170" s="762">
        <v>6520865.5899999999</v>
      </c>
      <c r="K170" s="762">
        <v>18809.490000000002</v>
      </c>
      <c r="L170" s="762">
        <v>0</v>
      </c>
      <c r="M170" s="762">
        <v>0</v>
      </c>
      <c r="N170" s="1187">
        <v>0</v>
      </c>
      <c r="O170" s="1187">
        <v>0</v>
      </c>
      <c r="P170" s="762">
        <v>6539234.7400000002</v>
      </c>
      <c r="Q170" s="762">
        <v>18862.53</v>
      </c>
      <c r="R170" s="763">
        <v>6539234.7400000002</v>
      </c>
      <c r="S170" s="764">
        <v>18862.53</v>
      </c>
    </row>
    <row r="171" spans="1:19" ht="30.6" x14ac:dyDescent="0.3">
      <c r="A171" s="761" t="s">
        <v>6971</v>
      </c>
      <c r="B171" s="761" t="s">
        <v>1522</v>
      </c>
      <c r="C171" s="761" t="s">
        <v>1512</v>
      </c>
      <c r="D171" s="761" t="s">
        <v>334</v>
      </c>
      <c r="E171" s="761" t="s">
        <v>1664</v>
      </c>
      <c r="F171" s="762">
        <v>0</v>
      </c>
      <c r="G171" s="762">
        <v>0</v>
      </c>
      <c r="H171" s="762">
        <v>90088.92</v>
      </c>
      <c r="I171" s="762">
        <v>0</v>
      </c>
      <c r="J171" s="762">
        <v>2167281.75</v>
      </c>
      <c r="K171" s="762">
        <v>0</v>
      </c>
      <c r="L171" s="762">
        <v>0</v>
      </c>
      <c r="M171" s="762">
        <v>0</v>
      </c>
      <c r="N171" s="1187">
        <v>0</v>
      </c>
      <c r="O171" s="1187">
        <v>0</v>
      </c>
      <c r="P171" s="762">
        <v>2257370.67</v>
      </c>
      <c r="Q171" s="762">
        <v>0</v>
      </c>
      <c r="R171" s="763">
        <v>2257370.67</v>
      </c>
      <c r="S171" s="764">
        <v>0</v>
      </c>
    </row>
    <row r="172" spans="1:19" ht="40.799999999999997" x14ac:dyDescent="0.3">
      <c r="A172" s="761" t="s">
        <v>6971</v>
      </c>
      <c r="B172" s="761" t="s">
        <v>4767</v>
      </c>
      <c r="C172" s="761" t="s">
        <v>1504</v>
      </c>
      <c r="D172" s="761" t="s">
        <v>268</v>
      </c>
      <c r="E172" s="761" t="s">
        <v>4768</v>
      </c>
      <c r="F172" s="762">
        <v>23570139.91</v>
      </c>
      <c r="G172" s="762">
        <v>55257</v>
      </c>
      <c r="H172" s="762">
        <v>6510582.0599999996</v>
      </c>
      <c r="I172" s="762">
        <v>15532.21</v>
      </c>
      <c r="J172" s="762">
        <v>96617284.409999996</v>
      </c>
      <c r="K172" s="762">
        <v>230325.95</v>
      </c>
      <c r="L172" s="762">
        <v>2541775.75</v>
      </c>
      <c r="M172" s="762">
        <v>4895.0400390625</v>
      </c>
      <c r="N172" s="1187">
        <v>0</v>
      </c>
      <c r="O172" s="1187">
        <v>0</v>
      </c>
      <c r="P172" s="762">
        <v>105669642.17</v>
      </c>
      <c r="Q172" s="762">
        <v>250753.2</v>
      </c>
      <c r="R172" s="763">
        <v>129239782.08</v>
      </c>
      <c r="S172" s="764">
        <v>306011.01</v>
      </c>
    </row>
    <row r="173" spans="1:19" ht="20.399999999999999" x14ac:dyDescent="0.3">
      <c r="A173" s="761" t="s">
        <v>6971</v>
      </c>
      <c r="B173" s="761" t="s">
        <v>4767</v>
      </c>
      <c r="C173" s="761" t="s">
        <v>288</v>
      </c>
      <c r="D173" s="761" t="s">
        <v>288</v>
      </c>
      <c r="E173" s="761" t="s">
        <v>4769</v>
      </c>
      <c r="F173" s="762">
        <v>7688183.4299999997</v>
      </c>
      <c r="G173" s="762">
        <v>0</v>
      </c>
      <c r="H173" s="762">
        <v>38460841.359999999</v>
      </c>
      <c r="I173" s="762">
        <v>0</v>
      </c>
      <c r="J173" s="762">
        <v>374062.31</v>
      </c>
      <c r="K173" s="762">
        <v>1451.52</v>
      </c>
      <c r="L173" s="762">
        <v>0</v>
      </c>
      <c r="M173" s="762">
        <v>0</v>
      </c>
      <c r="N173" s="1187">
        <v>0</v>
      </c>
      <c r="O173" s="1187">
        <v>0</v>
      </c>
      <c r="P173" s="762">
        <v>38834903.670000002</v>
      </c>
      <c r="Q173" s="762">
        <v>1451.52</v>
      </c>
      <c r="R173" s="763">
        <v>46523087.100000001</v>
      </c>
      <c r="S173" s="764">
        <v>1451.52</v>
      </c>
    </row>
    <row r="174" spans="1:19" ht="20.399999999999999" x14ac:dyDescent="0.3">
      <c r="A174" s="761" t="s">
        <v>6971</v>
      </c>
      <c r="B174" s="761" t="s">
        <v>4767</v>
      </c>
      <c r="C174" s="761" t="s">
        <v>3804</v>
      </c>
      <c r="D174" s="761" t="s">
        <v>3804</v>
      </c>
      <c r="E174" s="761" t="s">
        <v>4770</v>
      </c>
      <c r="F174" s="762">
        <v>0</v>
      </c>
      <c r="G174" s="762">
        <v>0</v>
      </c>
      <c r="H174" s="762">
        <v>0</v>
      </c>
      <c r="I174" s="762">
        <v>0</v>
      </c>
      <c r="J174" s="762">
        <v>0</v>
      </c>
      <c r="K174" s="762">
        <v>0</v>
      </c>
      <c r="L174" s="762">
        <v>0</v>
      </c>
      <c r="M174" s="762">
        <v>0</v>
      </c>
      <c r="N174" s="1187">
        <v>55254524</v>
      </c>
      <c r="O174" s="1187">
        <v>17544</v>
      </c>
      <c r="P174" s="762">
        <v>0</v>
      </c>
      <c r="Q174" s="762">
        <v>0</v>
      </c>
      <c r="R174" s="763">
        <v>0</v>
      </c>
      <c r="S174" s="764">
        <v>0</v>
      </c>
    </row>
    <row r="175" spans="1:19" ht="20.399999999999999" x14ac:dyDescent="0.3">
      <c r="A175" s="761" t="s">
        <v>6971</v>
      </c>
      <c r="B175" s="761" t="s">
        <v>4767</v>
      </c>
      <c r="C175" s="761" t="s">
        <v>307</v>
      </c>
      <c r="D175" s="761" t="s">
        <v>307</v>
      </c>
      <c r="E175" s="761" t="s">
        <v>4771</v>
      </c>
      <c r="F175" s="762">
        <v>3518965.32</v>
      </c>
      <c r="G175" s="762">
        <v>0</v>
      </c>
      <c r="H175" s="762">
        <v>122423798.56</v>
      </c>
      <c r="I175" s="762">
        <v>0</v>
      </c>
      <c r="J175" s="762">
        <v>0</v>
      </c>
      <c r="K175" s="762">
        <v>0</v>
      </c>
      <c r="L175" s="762">
        <v>0</v>
      </c>
      <c r="M175" s="762">
        <v>0</v>
      </c>
      <c r="N175" s="1187">
        <v>0</v>
      </c>
      <c r="O175" s="1187">
        <v>0</v>
      </c>
      <c r="P175" s="762">
        <v>122423798.56</v>
      </c>
      <c r="Q175" s="762">
        <v>0</v>
      </c>
      <c r="R175" s="763">
        <v>125942763.88</v>
      </c>
      <c r="S175" s="764">
        <v>0</v>
      </c>
    </row>
    <row r="176" spans="1:19" ht="20.399999999999999" x14ac:dyDescent="0.3">
      <c r="A176" s="761" t="s">
        <v>6971</v>
      </c>
      <c r="B176" s="761" t="s">
        <v>4767</v>
      </c>
      <c r="C176" s="761" t="s">
        <v>1508</v>
      </c>
      <c r="D176" s="761" t="s">
        <v>332</v>
      </c>
      <c r="E176" s="761" t="s">
        <v>4772</v>
      </c>
      <c r="F176" s="762">
        <v>0</v>
      </c>
      <c r="G176" s="762">
        <v>0</v>
      </c>
      <c r="H176" s="762">
        <v>0</v>
      </c>
      <c r="I176" s="762">
        <v>0</v>
      </c>
      <c r="J176" s="762">
        <v>1202769.08</v>
      </c>
      <c r="K176" s="762">
        <v>3378.61</v>
      </c>
      <c r="L176" s="762">
        <v>0</v>
      </c>
      <c r="M176" s="762">
        <v>0</v>
      </c>
      <c r="N176" s="1187">
        <v>0</v>
      </c>
      <c r="O176" s="1187">
        <v>0</v>
      </c>
      <c r="P176" s="762">
        <v>1202769.08</v>
      </c>
      <c r="Q176" s="762">
        <v>3378.61</v>
      </c>
      <c r="R176" s="763">
        <v>1202769.08</v>
      </c>
      <c r="S176" s="764">
        <v>3378.61</v>
      </c>
    </row>
    <row r="177" spans="1:19" ht="30.6" x14ac:dyDescent="0.3">
      <c r="A177" s="761" t="s">
        <v>6971</v>
      </c>
      <c r="B177" s="761" t="s">
        <v>4767</v>
      </c>
      <c r="C177" s="761" t="s">
        <v>1512</v>
      </c>
      <c r="D177" s="761" t="s">
        <v>334</v>
      </c>
      <c r="E177" s="761" t="s">
        <v>4773</v>
      </c>
      <c r="F177" s="762">
        <v>10227.39</v>
      </c>
      <c r="G177" s="762">
        <v>0</v>
      </c>
      <c r="H177" s="762">
        <v>383714.78</v>
      </c>
      <c r="I177" s="762">
        <v>0</v>
      </c>
      <c r="J177" s="762">
        <v>0</v>
      </c>
      <c r="K177" s="762">
        <v>0</v>
      </c>
      <c r="L177" s="762">
        <v>0</v>
      </c>
      <c r="M177" s="762">
        <v>0</v>
      </c>
      <c r="N177" s="1187">
        <v>0</v>
      </c>
      <c r="O177" s="1187">
        <v>0</v>
      </c>
      <c r="P177" s="762">
        <v>383714.78</v>
      </c>
      <c r="Q177" s="762">
        <v>0</v>
      </c>
      <c r="R177" s="763">
        <v>393942.17</v>
      </c>
      <c r="S177" s="764">
        <v>0</v>
      </c>
    </row>
    <row r="178" spans="1:19" ht="20.399999999999999" x14ac:dyDescent="0.3">
      <c r="A178" s="761" t="s">
        <v>6971</v>
      </c>
      <c r="B178" s="761" t="s">
        <v>7029</v>
      </c>
      <c r="C178" s="761" t="s">
        <v>1514</v>
      </c>
      <c r="D178" s="761" t="s">
        <v>7012</v>
      </c>
      <c r="E178" s="1067" t="s">
        <v>7030</v>
      </c>
      <c r="F178" s="762">
        <v>0</v>
      </c>
      <c r="G178" s="762">
        <v>0</v>
      </c>
      <c r="H178" s="762">
        <v>0</v>
      </c>
      <c r="I178" s="762">
        <v>0</v>
      </c>
      <c r="J178" s="762">
        <v>17302591.280000001</v>
      </c>
      <c r="K178" s="762">
        <v>37355</v>
      </c>
      <c r="L178" s="762">
        <v>0</v>
      </c>
      <c r="M178" s="762">
        <v>0</v>
      </c>
      <c r="N178" s="1187">
        <v>0</v>
      </c>
      <c r="O178" s="1187">
        <v>0</v>
      </c>
      <c r="P178" s="762">
        <v>17302591.280000001</v>
      </c>
      <c r="Q178" s="762">
        <v>37355</v>
      </c>
      <c r="R178" s="763">
        <v>17302591.280000001</v>
      </c>
      <c r="S178" s="764">
        <v>37355</v>
      </c>
    </row>
    <row r="179" spans="1:19" ht="40.799999999999997" x14ac:dyDescent="0.3">
      <c r="A179" s="761" t="s">
        <v>6971</v>
      </c>
      <c r="B179" s="761" t="s">
        <v>7029</v>
      </c>
      <c r="C179" s="761" t="s">
        <v>1504</v>
      </c>
      <c r="D179" s="761" t="s">
        <v>7031</v>
      </c>
      <c r="E179" s="1067" t="s">
        <v>7032</v>
      </c>
      <c r="F179" s="762">
        <v>0</v>
      </c>
      <c r="G179" s="762">
        <v>20123</v>
      </c>
      <c r="H179" s="762">
        <v>0</v>
      </c>
      <c r="I179" s="762">
        <v>0</v>
      </c>
      <c r="J179" s="762">
        <v>71187403.640000001</v>
      </c>
      <c r="K179" s="762">
        <v>151603</v>
      </c>
      <c r="L179" s="762">
        <v>0</v>
      </c>
      <c r="M179" s="762">
        <v>0</v>
      </c>
      <c r="N179" s="1187">
        <v>0</v>
      </c>
      <c r="O179" s="1187">
        <v>0</v>
      </c>
      <c r="P179" s="762">
        <v>71187403.640000001</v>
      </c>
      <c r="Q179" s="762">
        <v>151603</v>
      </c>
      <c r="R179" s="763">
        <v>71187403.640000001</v>
      </c>
      <c r="S179" s="764">
        <v>171726.72</v>
      </c>
    </row>
    <row r="180" spans="1:19" ht="40.799999999999997" x14ac:dyDescent="0.3">
      <c r="A180" s="761" t="s">
        <v>6971</v>
      </c>
      <c r="B180" s="761" t="s">
        <v>7029</v>
      </c>
      <c r="C180" s="761" t="s">
        <v>1504</v>
      </c>
      <c r="D180" s="761" t="s">
        <v>7033</v>
      </c>
      <c r="E180" s="1067" t="s">
        <v>7034</v>
      </c>
      <c r="F180" s="762">
        <v>0</v>
      </c>
      <c r="G180" s="762">
        <v>0</v>
      </c>
      <c r="H180" s="762">
        <v>0</v>
      </c>
      <c r="I180" s="762">
        <v>0</v>
      </c>
      <c r="J180" s="762">
        <v>0</v>
      </c>
      <c r="K180" s="762">
        <v>0</v>
      </c>
      <c r="L180" s="762">
        <v>0</v>
      </c>
      <c r="M180" s="762">
        <v>0</v>
      </c>
      <c r="N180" s="1187">
        <v>0</v>
      </c>
      <c r="O180" s="1187">
        <v>0</v>
      </c>
      <c r="P180" s="762">
        <v>0</v>
      </c>
      <c r="Q180" s="762">
        <v>0</v>
      </c>
      <c r="R180" s="763">
        <v>0</v>
      </c>
      <c r="S180" s="764">
        <v>0</v>
      </c>
    </row>
    <row r="181" spans="1:19" ht="40.799999999999997" x14ac:dyDescent="0.3">
      <c r="A181" s="761" t="s">
        <v>6971</v>
      </c>
      <c r="B181" s="761" t="s">
        <v>7029</v>
      </c>
      <c r="C181" s="761" t="s">
        <v>1504</v>
      </c>
      <c r="D181" s="761" t="s">
        <v>7035</v>
      </c>
      <c r="E181" s="1067" t="s">
        <v>7036</v>
      </c>
      <c r="F181" s="762">
        <v>27523064.800000001</v>
      </c>
      <c r="G181" s="762">
        <v>108312</v>
      </c>
      <c r="H181" s="762">
        <v>10345031.380000001</v>
      </c>
      <c r="I181" s="762">
        <v>29378</v>
      </c>
      <c r="J181" s="762">
        <v>85745097.719999999</v>
      </c>
      <c r="K181" s="762">
        <v>204781</v>
      </c>
      <c r="L181" s="762">
        <v>0</v>
      </c>
      <c r="M181" s="762">
        <v>0</v>
      </c>
      <c r="N181" s="1187">
        <v>0</v>
      </c>
      <c r="O181" s="1187">
        <v>0</v>
      </c>
      <c r="P181" s="762">
        <v>96090129.099999994</v>
      </c>
      <c r="Q181" s="762">
        <v>234159</v>
      </c>
      <c r="R181" s="763">
        <v>123613193.90000001</v>
      </c>
      <c r="S181" s="764">
        <v>342471</v>
      </c>
    </row>
    <row r="182" spans="1:19" ht="40.799999999999997" x14ac:dyDescent="0.3">
      <c r="A182" s="761" t="s">
        <v>6971</v>
      </c>
      <c r="B182" s="761" t="s">
        <v>7029</v>
      </c>
      <c r="C182" s="761" t="s">
        <v>1504</v>
      </c>
      <c r="D182" s="761" t="s">
        <v>7037</v>
      </c>
      <c r="E182" s="1067" t="s">
        <v>7038</v>
      </c>
      <c r="F182" s="762">
        <v>0</v>
      </c>
      <c r="G182" s="762">
        <v>0</v>
      </c>
      <c r="H182" s="762">
        <v>0</v>
      </c>
      <c r="I182" s="762">
        <v>0</v>
      </c>
      <c r="J182" s="762">
        <v>0</v>
      </c>
      <c r="K182" s="762">
        <v>0</v>
      </c>
      <c r="L182" s="762">
        <v>0</v>
      </c>
      <c r="M182" s="762">
        <v>0</v>
      </c>
      <c r="N182" s="1187">
        <v>0</v>
      </c>
      <c r="O182" s="1187">
        <v>0</v>
      </c>
      <c r="P182" s="762">
        <v>0</v>
      </c>
      <c r="Q182" s="762">
        <v>0</v>
      </c>
      <c r="R182" s="763">
        <v>0</v>
      </c>
      <c r="S182" s="764">
        <v>0</v>
      </c>
    </row>
    <row r="183" spans="1:19" ht="30.6" x14ac:dyDescent="0.3">
      <c r="A183" s="761" t="s">
        <v>6971</v>
      </c>
      <c r="B183" s="761" t="s">
        <v>7029</v>
      </c>
      <c r="C183" s="761" t="s">
        <v>288</v>
      </c>
      <c r="D183" s="761" t="s">
        <v>7039</v>
      </c>
      <c r="E183" s="1067" t="s">
        <v>7040</v>
      </c>
      <c r="F183" s="762">
        <v>0</v>
      </c>
      <c r="G183" s="762">
        <v>0</v>
      </c>
      <c r="H183" s="762">
        <v>0</v>
      </c>
      <c r="I183" s="762">
        <v>0</v>
      </c>
      <c r="J183" s="762">
        <v>0</v>
      </c>
      <c r="K183" s="762">
        <v>0</v>
      </c>
      <c r="L183" s="762">
        <v>0</v>
      </c>
      <c r="M183" s="762">
        <v>0</v>
      </c>
      <c r="N183" s="1187">
        <v>0</v>
      </c>
      <c r="O183" s="1187">
        <v>0</v>
      </c>
      <c r="P183" s="762">
        <v>0</v>
      </c>
      <c r="Q183" s="762">
        <v>0</v>
      </c>
      <c r="R183" s="763">
        <v>0</v>
      </c>
      <c r="S183" s="764">
        <v>0</v>
      </c>
    </row>
    <row r="184" spans="1:19" ht="20.399999999999999" x14ac:dyDescent="0.3">
      <c r="A184" s="761" t="s">
        <v>6971</v>
      </c>
      <c r="B184" s="761" t="s">
        <v>7029</v>
      </c>
      <c r="C184" s="761" t="s">
        <v>288</v>
      </c>
      <c r="D184" s="761" t="s">
        <v>7016</v>
      </c>
      <c r="E184" s="1067" t="s">
        <v>7041</v>
      </c>
      <c r="F184" s="762">
        <v>11552840.949999999</v>
      </c>
      <c r="G184" s="762">
        <v>0</v>
      </c>
      <c r="H184" s="762">
        <v>51967894.390000001</v>
      </c>
      <c r="I184" s="762">
        <v>31</v>
      </c>
      <c r="J184" s="762">
        <v>172174.69</v>
      </c>
      <c r="K184" s="762">
        <v>0</v>
      </c>
      <c r="L184" s="762">
        <v>0</v>
      </c>
      <c r="M184" s="762">
        <v>0</v>
      </c>
      <c r="N184" s="1187">
        <v>0</v>
      </c>
      <c r="O184" s="1187">
        <v>0</v>
      </c>
      <c r="P184" s="762">
        <v>52140069.079999998</v>
      </c>
      <c r="Q184" s="762">
        <v>31</v>
      </c>
      <c r="R184" s="763">
        <v>63692910.030000001</v>
      </c>
      <c r="S184" s="764">
        <v>31</v>
      </c>
    </row>
    <row r="185" spans="1:19" ht="20.399999999999999" x14ac:dyDescent="0.3">
      <c r="A185" s="761" t="s">
        <v>6971</v>
      </c>
      <c r="B185" s="761" t="s">
        <v>7029</v>
      </c>
      <c r="C185" s="761" t="s">
        <v>1510</v>
      </c>
      <c r="D185" s="761" t="s">
        <v>7042</v>
      </c>
      <c r="E185" s="1067" t="s">
        <v>7043</v>
      </c>
      <c r="F185" s="762">
        <v>0</v>
      </c>
      <c r="G185" s="762">
        <v>0</v>
      </c>
      <c r="H185" s="762">
        <v>0</v>
      </c>
      <c r="I185" s="762">
        <v>0</v>
      </c>
      <c r="J185" s="762">
        <v>0</v>
      </c>
      <c r="K185" s="762">
        <v>0</v>
      </c>
      <c r="L185" s="762">
        <v>0</v>
      </c>
      <c r="M185" s="762">
        <v>0</v>
      </c>
      <c r="N185" s="1187">
        <v>0</v>
      </c>
      <c r="O185" s="1187">
        <v>0</v>
      </c>
      <c r="P185" s="762">
        <v>0</v>
      </c>
      <c r="Q185" s="762">
        <v>0</v>
      </c>
      <c r="R185" s="763">
        <v>0</v>
      </c>
      <c r="S185" s="764">
        <v>0</v>
      </c>
    </row>
    <row r="186" spans="1:19" ht="20.399999999999999" x14ac:dyDescent="0.3">
      <c r="A186" s="761" t="s">
        <v>6971</v>
      </c>
      <c r="B186" s="761" t="s">
        <v>7029</v>
      </c>
      <c r="C186" s="761" t="s">
        <v>1510</v>
      </c>
      <c r="D186" s="761" t="s">
        <v>7044</v>
      </c>
      <c r="E186" s="1067" t="s">
        <v>7045</v>
      </c>
      <c r="F186" s="762">
        <v>0</v>
      </c>
      <c r="G186" s="762">
        <v>0</v>
      </c>
      <c r="H186" s="762">
        <v>0</v>
      </c>
      <c r="I186" s="762">
        <v>0</v>
      </c>
      <c r="J186" s="762">
        <v>121769631</v>
      </c>
      <c r="K186" s="762">
        <v>259553</v>
      </c>
      <c r="L186" s="762">
        <v>0</v>
      </c>
      <c r="M186" s="762">
        <v>0</v>
      </c>
      <c r="N186" s="1187">
        <v>0</v>
      </c>
      <c r="O186" s="1187">
        <v>0</v>
      </c>
      <c r="P186" s="762">
        <v>121769631</v>
      </c>
      <c r="Q186" s="762">
        <v>259553</v>
      </c>
      <c r="R186" s="763">
        <v>121769631</v>
      </c>
      <c r="S186" s="764">
        <v>259553</v>
      </c>
    </row>
    <row r="187" spans="1:19" ht="20.399999999999999" x14ac:dyDescent="0.3">
      <c r="A187" s="761" t="s">
        <v>6971</v>
      </c>
      <c r="B187" s="761" t="s">
        <v>7029</v>
      </c>
      <c r="C187" s="761" t="s">
        <v>3804</v>
      </c>
      <c r="D187" s="761" t="s">
        <v>3804</v>
      </c>
      <c r="E187" s="761" t="s">
        <v>7046</v>
      </c>
      <c r="F187" s="762">
        <v>0</v>
      </c>
      <c r="G187" s="762">
        <v>0</v>
      </c>
      <c r="H187" s="762">
        <v>0</v>
      </c>
      <c r="I187" s="762">
        <v>0</v>
      </c>
      <c r="J187" s="762">
        <v>0</v>
      </c>
      <c r="K187" s="762">
        <v>0</v>
      </c>
      <c r="L187" s="762">
        <v>0</v>
      </c>
      <c r="M187" s="762">
        <v>0</v>
      </c>
      <c r="N187" s="1187">
        <v>222781056</v>
      </c>
      <c r="O187" s="1187">
        <v>422219.59375</v>
      </c>
      <c r="P187" s="762">
        <v>0</v>
      </c>
      <c r="Q187" s="762">
        <v>0</v>
      </c>
      <c r="R187" s="763">
        <v>0</v>
      </c>
      <c r="S187" s="764">
        <v>0</v>
      </c>
    </row>
    <row r="188" spans="1:19" ht="20.399999999999999" x14ac:dyDescent="0.3">
      <c r="A188" s="761" t="s">
        <v>6971</v>
      </c>
      <c r="B188" s="761" t="s">
        <v>7029</v>
      </c>
      <c r="C188" s="761" t="s">
        <v>307</v>
      </c>
      <c r="D188" s="761" t="s">
        <v>7047</v>
      </c>
      <c r="E188" s="1067" t="s">
        <v>7048</v>
      </c>
      <c r="F188" s="762">
        <v>0</v>
      </c>
      <c r="G188" s="762">
        <v>0</v>
      </c>
      <c r="H188" s="762">
        <v>0</v>
      </c>
      <c r="I188" s="762">
        <v>0</v>
      </c>
      <c r="J188" s="762">
        <v>0</v>
      </c>
      <c r="K188" s="762">
        <v>0</v>
      </c>
      <c r="L188" s="762">
        <v>0</v>
      </c>
      <c r="M188" s="762">
        <v>0</v>
      </c>
      <c r="N188" s="1187">
        <v>0</v>
      </c>
      <c r="O188" s="1187">
        <v>0</v>
      </c>
      <c r="P188" s="762">
        <v>0</v>
      </c>
      <c r="Q188" s="762">
        <v>0</v>
      </c>
      <c r="R188" s="763">
        <v>0</v>
      </c>
      <c r="S188" s="764">
        <v>0</v>
      </c>
    </row>
    <row r="189" spans="1:19" ht="20.399999999999999" x14ac:dyDescent="0.3">
      <c r="A189" s="761" t="s">
        <v>6971</v>
      </c>
      <c r="B189" s="761" t="s">
        <v>7029</v>
      </c>
      <c r="C189" s="761" t="s">
        <v>307</v>
      </c>
      <c r="D189" s="761" t="s">
        <v>7021</v>
      </c>
      <c r="E189" s="1067" t="s">
        <v>7049</v>
      </c>
      <c r="F189" s="762">
        <v>6495083.6900000004</v>
      </c>
      <c r="G189" s="762">
        <v>0</v>
      </c>
      <c r="H189" s="762">
        <v>160541079.84</v>
      </c>
      <c r="I189" s="762">
        <v>0</v>
      </c>
      <c r="J189" s="762">
        <v>0</v>
      </c>
      <c r="K189" s="762">
        <v>0</v>
      </c>
      <c r="L189" s="762">
        <v>0</v>
      </c>
      <c r="M189" s="762">
        <v>0</v>
      </c>
      <c r="N189" s="1187">
        <v>0</v>
      </c>
      <c r="O189" s="1187">
        <v>0</v>
      </c>
      <c r="P189" s="762">
        <v>160541079.84</v>
      </c>
      <c r="Q189" s="762">
        <v>0</v>
      </c>
      <c r="R189" s="763">
        <v>167036163.53</v>
      </c>
      <c r="S189" s="764">
        <v>0</v>
      </c>
    </row>
    <row r="190" spans="1:19" ht="20.399999999999999" x14ac:dyDescent="0.3">
      <c r="A190" s="761" t="s">
        <v>6971</v>
      </c>
      <c r="B190" s="761" t="s">
        <v>7029</v>
      </c>
      <c r="C190" s="761" t="s">
        <v>1511</v>
      </c>
      <c r="D190" s="761" t="s">
        <v>7050</v>
      </c>
      <c r="E190" s="1067" t="s">
        <v>7051</v>
      </c>
      <c r="F190" s="762">
        <v>0</v>
      </c>
      <c r="G190" s="762">
        <v>0</v>
      </c>
      <c r="H190" s="762">
        <v>0</v>
      </c>
      <c r="I190" s="762">
        <v>0</v>
      </c>
      <c r="J190" s="762">
        <v>0</v>
      </c>
      <c r="K190" s="762">
        <v>0</v>
      </c>
      <c r="L190" s="762">
        <v>0</v>
      </c>
      <c r="M190" s="762">
        <v>0</v>
      </c>
      <c r="N190" s="1187">
        <v>0</v>
      </c>
      <c r="O190" s="1187">
        <v>0</v>
      </c>
      <c r="P190" s="762">
        <v>0</v>
      </c>
      <c r="Q190" s="762">
        <v>0</v>
      </c>
      <c r="R190" s="763">
        <v>0</v>
      </c>
      <c r="S190" s="764">
        <v>0</v>
      </c>
    </row>
    <row r="191" spans="1:19" ht="20.399999999999999" x14ac:dyDescent="0.3">
      <c r="A191" s="761" t="s">
        <v>6971</v>
      </c>
      <c r="B191" s="761" t="s">
        <v>7029</v>
      </c>
      <c r="C191" s="761" t="s">
        <v>1511</v>
      </c>
      <c r="D191" s="761" t="s">
        <v>7023</v>
      </c>
      <c r="E191" s="1067" t="s">
        <v>7052</v>
      </c>
      <c r="F191" s="762">
        <v>33029.089999999997</v>
      </c>
      <c r="G191" s="762">
        <v>0</v>
      </c>
      <c r="H191" s="762">
        <v>184750.37</v>
      </c>
      <c r="I191" s="762">
        <v>0</v>
      </c>
      <c r="J191" s="762">
        <v>0</v>
      </c>
      <c r="K191" s="762">
        <v>0</v>
      </c>
      <c r="L191" s="762">
        <v>0</v>
      </c>
      <c r="M191" s="762">
        <v>0</v>
      </c>
      <c r="N191" s="1187">
        <v>0</v>
      </c>
      <c r="O191" s="1187">
        <v>0</v>
      </c>
      <c r="P191" s="762">
        <v>184750.37</v>
      </c>
      <c r="Q191" s="762">
        <v>0</v>
      </c>
      <c r="R191" s="763">
        <v>217779.46</v>
      </c>
      <c r="S191" s="764">
        <v>0</v>
      </c>
    </row>
    <row r="192" spans="1:19" ht="20.399999999999999" x14ac:dyDescent="0.3">
      <c r="A192" s="761" t="s">
        <v>6971</v>
      </c>
      <c r="B192" s="761" t="s">
        <v>7029</v>
      </c>
      <c r="C192" s="761" t="s">
        <v>1508</v>
      </c>
      <c r="D192" s="761" t="s">
        <v>7053</v>
      </c>
      <c r="E192" s="1067" t="s">
        <v>7054</v>
      </c>
      <c r="F192" s="762">
        <v>0</v>
      </c>
      <c r="G192" s="762">
        <v>0</v>
      </c>
      <c r="H192" s="762">
        <v>0</v>
      </c>
      <c r="I192" s="762">
        <v>0</v>
      </c>
      <c r="J192" s="762">
        <v>0</v>
      </c>
      <c r="K192" s="762">
        <v>0</v>
      </c>
      <c r="L192" s="762">
        <v>0</v>
      </c>
      <c r="M192" s="762">
        <v>0</v>
      </c>
      <c r="N192" s="1187">
        <v>0</v>
      </c>
      <c r="O192" s="1187">
        <v>0</v>
      </c>
      <c r="P192" s="762">
        <v>0</v>
      </c>
      <c r="Q192" s="762">
        <v>0</v>
      </c>
      <c r="R192" s="763">
        <v>0</v>
      </c>
      <c r="S192" s="764">
        <v>0</v>
      </c>
    </row>
    <row r="193" spans="1:19" ht="20.399999999999999" x14ac:dyDescent="0.3">
      <c r="A193" s="761" t="s">
        <v>6971</v>
      </c>
      <c r="B193" s="761" t="s">
        <v>7029</v>
      </c>
      <c r="C193" s="761" t="s">
        <v>1508</v>
      </c>
      <c r="D193" s="761" t="s">
        <v>7025</v>
      </c>
      <c r="E193" s="1067" t="s">
        <v>7055</v>
      </c>
      <c r="F193" s="762">
        <v>571456.97</v>
      </c>
      <c r="G193" s="762">
        <v>1508</v>
      </c>
      <c r="H193" s="762">
        <v>730276.94</v>
      </c>
      <c r="I193" s="762">
        <v>1765</v>
      </c>
      <c r="J193" s="762">
        <v>868879.75</v>
      </c>
      <c r="K193" s="762">
        <v>2347</v>
      </c>
      <c r="L193" s="762">
        <v>0</v>
      </c>
      <c r="M193" s="762">
        <v>0</v>
      </c>
      <c r="N193" s="1187">
        <v>0</v>
      </c>
      <c r="O193" s="1187">
        <v>0</v>
      </c>
      <c r="P193" s="762">
        <v>1599156.69</v>
      </c>
      <c r="Q193" s="762">
        <v>4112</v>
      </c>
      <c r="R193" s="763">
        <v>2170613.66</v>
      </c>
      <c r="S193" s="764">
        <v>5620.66</v>
      </c>
    </row>
    <row r="194" spans="1:19" ht="30.6" x14ac:dyDescent="0.3">
      <c r="A194" s="761" t="s">
        <v>6971</v>
      </c>
      <c r="B194" s="761" t="s">
        <v>7029</v>
      </c>
      <c r="C194" s="761" t="s">
        <v>1512</v>
      </c>
      <c r="D194" s="761" t="s">
        <v>7056</v>
      </c>
      <c r="E194" s="1067" t="s">
        <v>7057</v>
      </c>
      <c r="F194" s="762">
        <v>0</v>
      </c>
      <c r="G194" s="762">
        <v>0</v>
      </c>
      <c r="H194" s="762">
        <v>0</v>
      </c>
      <c r="I194" s="762">
        <v>0</v>
      </c>
      <c r="J194" s="762">
        <v>0</v>
      </c>
      <c r="K194" s="762">
        <v>0</v>
      </c>
      <c r="L194" s="762">
        <v>0</v>
      </c>
      <c r="M194" s="762">
        <v>0</v>
      </c>
      <c r="N194" s="1187">
        <v>0</v>
      </c>
      <c r="O194" s="1187">
        <v>0</v>
      </c>
      <c r="P194" s="762">
        <v>0</v>
      </c>
      <c r="Q194" s="762">
        <v>0</v>
      </c>
      <c r="R194" s="763">
        <v>0</v>
      </c>
      <c r="S194" s="764">
        <v>0</v>
      </c>
    </row>
    <row r="195" spans="1:19" ht="30.6" x14ac:dyDescent="0.3">
      <c r="A195" s="761" t="s">
        <v>6971</v>
      </c>
      <c r="B195" s="761" t="s">
        <v>7029</v>
      </c>
      <c r="C195" s="761" t="s">
        <v>1512</v>
      </c>
      <c r="D195" s="761" t="s">
        <v>7027</v>
      </c>
      <c r="E195" s="1067" t="s">
        <v>7058</v>
      </c>
      <c r="F195" s="762">
        <v>51691.78</v>
      </c>
      <c r="G195" s="762">
        <v>0</v>
      </c>
      <c r="H195" s="762">
        <v>475009.75</v>
      </c>
      <c r="I195" s="762">
        <v>0</v>
      </c>
      <c r="J195" s="762">
        <v>0</v>
      </c>
      <c r="K195" s="762">
        <v>0</v>
      </c>
      <c r="L195" s="762">
        <v>0</v>
      </c>
      <c r="M195" s="762">
        <v>0</v>
      </c>
      <c r="N195" s="1187">
        <v>0</v>
      </c>
      <c r="O195" s="1187">
        <v>0</v>
      </c>
      <c r="P195" s="762">
        <v>475009.75</v>
      </c>
      <c r="Q195" s="762">
        <v>0</v>
      </c>
      <c r="R195" s="763">
        <v>526701.53</v>
      </c>
      <c r="S195" s="764">
        <v>0</v>
      </c>
    </row>
    <row r="196" spans="1:19" ht="40.799999999999997" x14ac:dyDescent="0.3">
      <c r="A196" s="761" t="s">
        <v>6971</v>
      </c>
      <c r="B196" s="761" t="s">
        <v>1523</v>
      </c>
      <c r="C196" s="761" t="s">
        <v>1504</v>
      </c>
      <c r="D196" s="761" t="s">
        <v>268</v>
      </c>
      <c r="E196" s="761" t="s">
        <v>1665</v>
      </c>
      <c r="F196" s="762">
        <v>5544579.8700000001</v>
      </c>
      <c r="G196" s="762">
        <v>0</v>
      </c>
      <c r="H196" s="762">
        <v>1299677.21</v>
      </c>
      <c r="I196" s="762">
        <v>3347.22</v>
      </c>
      <c r="J196" s="762">
        <v>8059742.5</v>
      </c>
      <c r="K196" s="762">
        <v>20370.599999999999</v>
      </c>
      <c r="L196" s="762">
        <v>0</v>
      </c>
      <c r="M196" s="762">
        <v>0</v>
      </c>
      <c r="N196" s="1187">
        <v>0</v>
      </c>
      <c r="O196" s="1187">
        <v>0</v>
      </c>
      <c r="P196" s="762">
        <v>9359419.7100000009</v>
      </c>
      <c r="Q196" s="762">
        <v>23717.82</v>
      </c>
      <c r="R196" s="763">
        <v>14903999.58</v>
      </c>
      <c r="S196" s="764">
        <v>23717.82</v>
      </c>
    </row>
    <row r="197" spans="1:19" ht="30.6" x14ac:dyDescent="0.3">
      <c r="A197" s="761" t="s">
        <v>6971</v>
      </c>
      <c r="B197" s="761" t="s">
        <v>1523</v>
      </c>
      <c r="C197" s="761" t="s">
        <v>288</v>
      </c>
      <c r="D197" s="761" t="s">
        <v>288</v>
      </c>
      <c r="E197" s="761" t="s">
        <v>1666</v>
      </c>
      <c r="F197" s="762">
        <v>1516858.13</v>
      </c>
      <c r="G197" s="762">
        <v>0</v>
      </c>
      <c r="H197" s="762">
        <v>8873936.2699999996</v>
      </c>
      <c r="I197" s="762">
        <v>0</v>
      </c>
      <c r="J197" s="762">
        <v>0</v>
      </c>
      <c r="K197" s="762">
        <v>0</v>
      </c>
      <c r="L197" s="762">
        <v>0</v>
      </c>
      <c r="M197" s="762">
        <v>0</v>
      </c>
      <c r="N197" s="1187">
        <v>0</v>
      </c>
      <c r="O197" s="1187">
        <v>0</v>
      </c>
      <c r="P197" s="762">
        <v>8873936.2699999996</v>
      </c>
      <c r="Q197" s="762">
        <v>0</v>
      </c>
      <c r="R197" s="763">
        <v>10390794.4</v>
      </c>
      <c r="S197" s="764">
        <v>0</v>
      </c>
    </row>
    <row r="198" spans="1:19" ht="20.399999999999999" x14ac:dyDescent="0.3">
      <c r="A198" s="761" t="s">
        <v>6971</v>
      </c>
      <c r="B198" s="761" t="s">
        <v>1523</v>
      </c>
      <c r="C198" s="761" t="s">
        <v>3804</v>
      </c>
      <c r="D198" s="761" t="s">
        <v>3804</v>
      </c>
      <c r="E198" s="761" t="s">
        <v>3832</v>
      </c>
      <c r="F198" s="762">
        <v>0</v>
      </c>
      <c r="G198" s="762">
        <v>0</v>
      </c>
      <c r="H198" s="762">
        <v>0</v>
      </c>
      <c r="I198" s="762">
        <v>0</v>
      </c>
      <c r="J198" s="762">
        <v>0</v>
      </c>
      <c r="K198" s="762">
        <v>0</v>
      </c>
      <c r="L198" s="762">
        <v>0</v>
      </c>
      <c r="M198" s="762">
        <v>0</v>
      </c>
      <c r="N198" s="1187">
        <v>0</v>
      </c>
      <c r="O198" s="1187">
        <v>0</v>
      </c>
      <c r="P198" s="762">
        <v>0</v>
      </c>
      <c r="Q198" s="762">
        <v>0</v>
      </c>
      <c r="R198" s="763">
        <v>0</v>
      </c>
      <c r="S198" s="764">
        <v>0</v>
      </c>
    </row>
    <row r="199" spans="1:19" ht="20.399999999999999" x14ac:dyDescent="0.3">
      <c r="A199" s="761" t="s">
        <v>6971</v>
      </c>
      <c r="B199" s="761" t="s">
        <v>1523</v>
      </c>
      <c r="C199" s="761" t="s">
        <v>307</v>
      </c>
      <c r="D199" s="761" t="s">
        <v>307</v>
      </c>
      <c r="E199" s="761" t="s">
        <v>1667</v>
      </c>
      <c r="F199" s="762">
        <v>593104.52</v>
      </c>
      <c r="G199" s="762">
        <v>0</v>
      </c>
      <c r="H199" s="762">
        <v>31056956.079999998</v>
      </c>
      <c r="I199" s="762">
        <v>0</v>
      </c>
      <c r="J199" s="762">
        <v>0</v>
      </c>
      <c r="K199" s="762">
        <v>0</v>
      </c>
      <c r="L199" s="762">
        <v>0</v>
      </c>
      <c r="M199" s="762">
        <v>0</v>
      </c>
      <c r="N199" s="1187">
        <v>0</v>
      </c>
      <c r="O199" s="1187">
        <v>0</v>
      </c>
      <c r="P199" s="762">
        <v>31056956.079999998</v>
      </c>
      <c r="Q199" s="762">
        <v>0</v>
      </c>
      <c r="R199" s="763">
        <v>31650060.600000001</v>
      </c>
      <c r="S199" s="764">
        <v>0</v>
      </c>
    </row>
    <row r="200" spans="1:19" ht="30.6" x14ac:dyDescent="0.3">
      <c r="A200" s="761" t="s">
        <v>6971</v>
      </c>
      <c r="B200" s="761" t="s">
        <v>1523</v>
      </c>
      <c r="C200" s="761" t="s">
        <v>1511</v>
      </c>
      <c r="D200" s="761" t="s">
        <v>316</v>
      </c>
      <c r="E200" s="761" t="s">
        <v>1668</v>
      </c>
      <c r="F200" s="762">
        <v>0</v>
      </c>
      <c r="G200" s="762">
        <v>0</v>
      </c>
      <c r="H200" s="762">
        <v>24286</v>
      </c>
      <c r="I200" s="762">
        <v>0</v>
      </c>
      <c r="J200" s="762">
        <v>0</v>
      </c>
      <c r="K200" s="762">
        <v>0</v>
      </c>
      <c r="L200" s="762">
        <v>0</v>
      </c>
      <c r="M200" s="762">
        <v>0</v>
      </c>
      <c r="N200" s="1187">
        <v>0</v>
      </c>
      <c r="O200" s="1187">
        <v>0</v>
      </c>
      <c r="P200" s="762">
        <v>24286</v>
      </c>
      <c r="Q200" s="762">
        <v>0</v>
      </c>
      <c r="R200" s="763">
        <v>24286</v>
      </c>
      <c r="S200" s="764">
        <v>0</v>
      </c>
    </row>
    <row r="201" spans="1:19" ht="20.399999999999999" x14ac:dyDescent="0.3">
      <c r="A201" s="761" t="s">
        <v>6971</v>
      </c>
      <c r="B201" s="761" t="s">
        <v>1523</v>
      </c>
      <c r="C201" s="761" t="s">
        <v>1508</v>
      </c>
      <c r="D201" s="761" t="s">
        <v>332</v>
      </c>
      <c r="E201" s="761" t="s">
        <v>1669</v>
      </c>
      <c r="F201" s="762">
        <v>170857.5</v>
      </c>
      <c r="G201" s="762">
        <v>0</v>
      </c>
      <c r="H201" s="762">
        <v>0</v>
      </c>
      <c r="I201" s="762">
        <v>0</v>
      </c>
      <c r="J201" s="762">
        <v>169222.5</v>
      </c>
      <c r="K201" s="762">
        <v>0</v>
      </c>
      <c r="L201" s="762">
        <v>0</v>
      </c>
      <c r="M201" s="762">
        <v>0</v>
      </c>
      <c r="N201" s="1187">
        <v>0</v>
      </c>
      <c r="O201" s="1187">
        <v>0</v>
      </c>
      <c r="P201" s="762">
        <v>169222.5</v>
      </c>
      <c r="Q201" s="762">
        <v>0</v>
      </c>
      <c r="R201" s="763">
        <v>340080</v>
      </c>
      <c r="S201" s="764">
        <v>0</v>
      </c>
    </row>
    <row r="202" spans="1:19" ht="30.6" x14ac:dyDescent="0.3">
      <c r="A202" s="761" t="s">
        <v>6971</v>
      </c>
      <c r="B202" s="761" t="s">
        <v>1523</v>
      </c>
      <c r="C202" s="761" t="s">
        <v>1512</v>
      </c>
      <c r="D202" s="761" t="s">
        <v>334</v>
      </c>
      <c r="E202" s="761" t="s">
        <v>1670</v>
      </c>
      <c r="F202" s="762">
        <v>10735.07</v>
      </c>
      <c r="G202" s="762">
        <v>0</v>
      </c>
      <c r="H202" s="762">
        <v>112568.54</v>
      </c>
      <c r="I202" s="762">
        <v>0</v>
      </c>
      <c r="J202" s="762">
        <v>0</v>
      </c>
      <c r="K202" s="762">
        <v>0</v>
      </c>
      <c r="L202" s="762">
        <v>0</v>
      </c>
      <c r="M202" s="762">
        <v>0</v>
      </c>
      <c r="N202" s="1187">
        <v>0</v>
      </c>
      <c r="O202" s="1187">
        <v>0</v>
      </c>
      <c r="P202" s="762">
        <v>112568.54</v>
      </c>
      <c r="Q202" s="762">
        <v>0</v>
      </c>
      <c r="R202" s="763">
        <v>123303.61</v>
      </c>
      <c r="S202" s="764">
        <v>0</v>
      </c>
    </row>
    <row r="203" spans="1:19" ht="20.399999999999999" x14ac:dyDescent="0.3">
      <c r="A203" s="761" t="s">
        <v>6971</v>
      </c>
      <c r="B203" s="761" t="s">
        <v>2020</v>
      </c>
      <c r="C203" s="761" t="s">
        <v>1514</v>
      </c>
      <c r="D203" s="761" t="s">
        <v>240</v>
      </c>
      <c r="E203" s="761" t="s">
        <v>4774</v>
      </c>
      <c r="F203" s="762">
        <v>0</v>
      </c>
      <c r="G203" s="762">
        <v>0</v>
      </c>
      <c r="H203" s="762">
        <v>0</v>
      </c>
      <c r="I203" s="762">
        <v>0</v>
      </c>
      <c r="J203" s="762">
        <v>33018495.350000001</v>
      </c>
      <c r="K203" s="762">
        <v>92168.23</v>
      </c>
      <c r="L203" s="762">
        <v>0</v>
      </c>
      <c r="M203" s="762">
        <v>0</v>
      </c>
      <c r="N203" s="1187">
        <v>0</v>
      </c>
      <c r="O203" s="1187">
        <v>0</v>
      </c>
      <c r="P203" s="762">
        <v>33018495.350000001</v>
      </c>
      <c r="Q203" s="762">
        <v>92168.23</v>
      </c>
      <c r="R203" s="763">
        <v>33018495.350000001</v>
      </c>
      <c r="S203" s="764">
        <v>92168.23</v>
      </c>
    </row>
    <row r="204" spans="1:19" ht="40.799999999999997" x14ac:dyDescent="0.3">
      <c r="A204" s="761" t="s">
        <v>6971</v>
      </c>
      <c r="B204" s="761" t="s">
        <v>2020</v>
      </c>
      <c r="C204" s="761" t="s">
        <v>1504</v>
      </c>
      <c r="D204" s="761" t="s">
        <v>268</v>
      </c>
      <c r="E204" s="761" t="s">
        <v>5293</v>
      </c>
      <c r="F204" s="762">
        <v>44576745.759999998</v>
      </c>
      <c r="G204" s="762">
        <v>131512</v>
      </c>
      <c r="H204" s="762">
        <v>25145399.780000001</v>
      </c>
      <c r="I204" s="762">
        <v>69105.19</v>
      </c>
      <c r="J204" s="762">
        <v>101317944.23999999</v>
      </c>
      <c r="K204" s="762">
        <v>278444.42</v>
      </c>
      <c r="L204" s="762">
        <v>10041534</v>
      </c>
      <c r="M204" s="762">
        <v>19024.2890625</v>
      </c>
      <c r="N204" s="1187">
        <v>0</v>
      </c>
      <c r="O204" s="1187">
        <v>0</v>
      </c>
      <c r="P204" s="762">
        <v>136504877.63</v>
      </c>
      <c r="Q204" s="762">
        <v>366573.9</v>
      </c>
      <c r="R204" s="763">
        <v>181081623.38999999</v>
      </c>
      <c r="S204" s="764">
        <v>498086.19</v>
      </c>
    </row>
    <row r="205" spans="1:19" ht="20.399999999999999" x14ac:dyDescent="0.3">
      <c r="A205" s="761" t="s">
        <v>6971</v>
      </c>
      <c r="B205" s="761" t="s">
        <v>2020</v>
      </c>
      <c r="C205" s="761" t="s">
        <v>288</v>
      </c>
      <c r="D205" s="761" t="s">
        <v>288</v>
      </c>
      <c r="E205" s="761" t="s">
        <v>2021</v>
      </c>
      <c r="F205" s="762">
        <v>14512900.07</v>
      </c>
      <c r="G205" s="762">
        <v>40585</v>
      </c>
      <c r="H205" s="762">
        <v>49236349.920000002</v>
      </c>
      <c r="I205" s="762">
        <v>0</v>
      </c>
      <c r="J205" s="762">
        <v>1779258.63</v>
      </c>
      <c r="K205" s="762">
        <v>0</v>
      </c>
      <c r="L205" s="762">
        <v>0</v>
      </c>
      <c r="M205" s="762">
        <v>0</v>
      </c>
      <c r="N205" s="1187">
        <v>0</v>
      </c>
      <c r="O205" s="1187">
        <v>0</v>
      </c>
      <c r="P205" s="762">
        <v>51015608.549999997</v>
      </c>
      <c r="Q205" s="762">
        <v>0</v>
      </c>
      <c r="R205" s="763">
        <v>65528508.619999997</v>
      </c>
      <c r="S205" s="764">
        <v>40585.31</v>
      </c>
    </row>
    <row r="206" spans="1:19" ht="20.399999999999999" x14ac:dyDescent="0.3">
      <c r="A206" s="761" t="s">
        <v>6971</v>
      </c>
      <c r="B206" s="761" t="s">
        <v>2020</v>
      </c>
      <c r="C206" s="761" t="s">
        <v>3804</v>
      </c>
      <c r="D206" s="761" t="s">
        <v>3804</v>
      </c>
      <c r="E206" s="761" t="s">
        <v>3833</v>
      </c>
      <c r="F206" s="762">
        <v>0</v>
      </c>
      <c r="G206" s="762">
        <v>0</v>
      </c>
      <c r="H206" s="762">
        <v>0</v>
      </c>
      <c r="I206" s="762">
        <v>0</v>
      </c>
      <c r="J206" s="762">
        <v>0</v>
      </c>
      <c r="K206" s="762">
        <v>0</v>
      </c>
      <c r="L206" s="762">
        <v>0</v>
      </c>
      <c r="M206" s="762">
        <v>0</v>
      </c>
      <c r="N206" s="1187">
        <v>17770356</v>
      </c>
      <c r="O206" s="1187">
        <v>45159.3515625</v>
      </c>
      <c r="P206" s="762">
        <v>0</v>
      </c>
      <c r="Q206" s="762">
        <v>0</v>
      </c>
      <c r="R206" s="763">
        <v>0</v>
      </c>
      <c r="S206" s="764">
        <v>0</v>
      </c>
    </row>
    <row r="207" spans="1:19" ht="20.399999999999999" x14ac:dyDescent="0.3">
      <c r="A207" s="761" t="s">
        <v>6971</v>
      </c>
      <c r="B207" s="761" t="s">
        <v>2020</v>
      </c>
      <c r="C207" s="761" t="s">
        <v>307</v>
      </c>
      <c r="D207" s="761" t="s">
        <v>307</v>
      </c>
      <c r="E207" s="761" t="s">
        <v>2022</v>
      </c>
      <c r="F207" s="762">
        <v>6320909.0999999996</v>
      </c>
      <c r="G207" s="762">
        <v>0</v>
      </c>
      <c r="H207" s="762">
        <v>247717004.43000001</v>
      </c>
      <c r="I207" s="762">
        <v>0</v>
      </c>
      <c r="J207" s="762">
        <v>0</v>
      </c>
      <c r="K207" s="762">
        <v>0</v>
      </c>
      <c r="L207" s="762">
        <v>0</v>
      </c>
      <c r="M207" s="762">
        <v>0</v>
      </c>
      <c r="N207" s="1187">
        <v>0</v>
      </c>
      <c r="O207" s="1187">
        <v>0</v>
      </c>
      <c r="P207" s="762">
        <v>247717004.43000001</v>
      </c>
      <c r="Q207" s="762">
        <v>0</v>
      </c>
      <c r="R207" s="763">
        <v>254037913.53</v>
      </c>
      <c r="S207" s="764">
        <v>0</v>
      </c>
    </row>
    <row r="208" spans="1:19" ht="20.399999999999999" x14ac:dyDescent="0.3">
      <c r="A208" s="761" t="s">
        <v>6971</v>
      </c>
      <c r="B208" s="761" t="s">
        <v>2020</v>
      </c>
      <c r="C208" s="761" t="s">
        <v>1511</v>
      </c>
      <c r="D208" s="761" t="s">
        <v>316</v>
      </c>
      <c r="E208" s="761" t="s">
        <v>2023</v>
      </c>
      <c r="F208" s="762">
        <v>23645.14</v>
      </c>
      <c r="G208" s="762">
        <v>0</v>
      </c>
      <c r="H208" s="762">
        <v>263186.40999999997</v>
      </c>
      <c r="I208" s="762">
        <v>755.52</v>
      </c>
      <c r="J208" s="762">
        <v>0</v>
      </c>
      <c r="K208" s="762">
        <v>0</v>
      </c>
      <c r="L208" s="762">
        <v>0</v>
      </c>
      <c r="M208" s="762">
        <v>0</v>
      </c>
      <c r="N208" s="1187">
        <v>0</v>
      </c>
      <c r="O208" s="1187">
        <v>0</v>
      </c>
      <c r="P208" s="762">
        <v>263186.40999999997</v>
      </c>
      <c r="Q208" s="762">
        <v>755.52</v>
      </c>
      <c r="R208" s="763">
        <v>286831.55</v>
      </c>
      <c r="S208" s="764">
        <v>755.52</v>
      </c>
    </row>
    <row r="209" spans="1:19" ht="20.399999999999999" x14ac:dyDescent="0.3">
      <c r="A209" s="761" t="s">
        <v>6971</v>
      </c>
      <c r="B209" s="761" t="s">
        <v>2020</v>
      </c>
      <c r="C209" s="761" t="s">
        <v>1508</v>
      </c>
      <c r="D209" s="761" t="s">
        <v>332</v>
      </c>
      <c r="E209" s="761" t="s">
        <v>2024</v>
      </c>
      <c r="F209" s="762">
        <v>1789155</v>
      </c>
      <c r="G209" s="762">
        <v>5300</v>
      </c>
      <c r="H209" s="762">
        <v>0</v>
      </c>
      <c r="I209" s="762">
        <v>0</v>
      </c>
      <c r="J209" s="762">
        <v>787200.2</v>
      </c>
      <c r="K209" s="762">
        <v>2389.73</v>
      </c>
      <c r="L209" s="762">
        <v>0</v>
      </c>
      <c r="M209" s="762">
        <v>0</v>
      </c>
      <c r="N209" s="1187">
        <v>0</v>
      </c>
      <c r="O209" s="1187">
        <v>0</v>
      </c>
      <c r="P209" s="762">
        <v>787200.2</v>
      </c>
      <c r="Q209" s="762">
        <v>2389.73</v>
      </c>
      <c r="R209" s="763">
        <v>2576355.2000000002</v>
      </c>
      <c r="S209" s="764">
        <v>7690.1</v>
      </c>
    </row>
    <row r="210" spans="1:19" ht="30.6" x14ac:dyDescent="0.3">
      <c r="A210" s="761" t="s">
        <v>6971</v>
      </c>
      <c r="B210" s="761" t="s">
        <v>2020</v>
      </c>
      <c r="C210" s="761" t="s">
        <v>1512</v>
      </c>
      <c r="D210" s="761" t="s">
        <v>334</v>
      </c>
      <c r="E210" s="761" t="s">
        <v>2025</v>
      </c>
      <c r="F210" s="762">
        <v>760224.39</v>
      </c>
      <c r="G210" s="762">
        <v>0</v>
      </c>
      <c r="H210" s="762">
        <v>781968.42</v>
      </c>
      <c r="I210" s="762">
        <v>0</v>
      </c>
      <c r="J210" s="762">
        <v>0</v>
      </c>
      <c r="K210" s="762">
        <v>0</v>
      </c>
      <c r="L210" s="762">
        <v>0</v>
      </c>
      <c r="M210" s="762">
        <v>0</v>
      </c>
      <c r="N210" s="1187">
        <v>0</v>
      </c>
      <c r="O210" s="1187">
        <v>0</v>
      </c>
      <c r="P210" s="762">
        <v>781968.42</v>
      </c>
      <c r="Q210" s="762">
        <v>0</v>
      </c>
      <c r="R210" s="763">
        <v>1542192.81</v>
      </c>
      <c r="S210" s="764">
        <v>0</v>
      </c>
    </row>
    <row r="211" spans="1:19" ht="40.799999999999997" x14ac:dyDescent="0.3">
      <c r="A211" s="761" t="s">
        <v>6971</v>
      </c>
      <c r="B211" s="761" t="s">
        <v>1524</v>
      </c>
      <c r="C211" s="761" t="s">
        <v>1504</v>
      </c>
      <c r="D211" s="761" t="s">
        <v>268</v>
      </c>
      <c r="E211" s="761" t="s">
        <v>1671</v>
      </c>
      <c r="F211" s="762">
        <v>61743411</v>
      </c>
      <c r="G211" s="762">
        <v>220786</v>
      </c>
      <c r="H211" s="762">
        <v>16397001</v>
      </c>
      <c r="I211" s="762">
        <v>46295</v>
      </c>
      <c r="J211" s="762">
        <v>292217092</v>
      </c>
      <c r="K211" s="762">
        <v>651689</v>
      </c>
      <c r="L211" s="762">
        <v>2783300</v>
      </c>
      <c r="M211" s="762">
        <v>5152</v>
      </c>
      <c r="N211" s="1187">
        <v>0</v>
      </c>
      <c r="O211" s="1187">
        <v>0</v>
      </c>
      <c r="P211" s="762">
        <v>311397393</v>
      </c>
      <c r="Q211" s="762">
        <v>703136</v>
      </c>
      <c r="R211" s="763">
        <v>373140804</v>
      </c>
      <c r="S211" s="764">
        <v>923922</v>
      </c>
    </row>
    <row r="212" spans="1:19" ht="20.399999999999999" x14ac:dyDescent="0.3">
      <c r="A212" s="761" t="s">
        <v>6971</v>
      </c>
      <c r="B212" s="761" t="s">
        <v>1524</v>
      </c>
      <c r="C212" s="761" t="s">
        <v>288</v>
      </c>
      <c r="D212" s="761" t="s">
        <v>288</v>
      </c>
      <c r="E212" s="761" t="s">
        <v>1672</v>
      </c>
      <c r="F212" s="762">
        <v>15045249</v>
      </c>
      <c r="G212" s="762">
        <v>0</v>
      </c>
      <c r="H212" s="762">
        <v>47940697</v>
      </c>
      <c r="I212" s="762">
        <v>0</v>
      </c>
      <c r="J212" s="762">
        <v>0</v>
      </c>
      <c r="K212" s="762">
        <v>0</v>
      </c>
      <c r="L212" s="762">
        <v>0</v>
      </c>
      <c r="M212" s="762">
        <v>0</v>
      </c>
      <c r="N212" s="1187">
        <v>0</v>
      </c>
      <c r="O212" s="1187">
        <v>0</v>
      </c>
      <c r="P212" s="762">
        <v>47940697</v>
      </c>
      <c r="Q212" s="762">
        <v>0</v>
      </c>
      <c r="R212" s="763">
        <v>62985946</v>
      </c>
      <c r="S212" s="764">
        <v>0</v>
      </c>
    </row>
    <row r="213" spans="1:19" x14ac:dyDescent="0.3">
      <c r="A213" s="761" t="s">
        <v>6971</v>
      </c>
      <c r="B213" s="761" t="s">
        <v>1524</v>
      </c>
      <c r="C213" s="761" t="s">
        <v>1510</v>
      </c>
      <c r="D213" s="761" t="s">
        <v>297</v>
      </c>
      <c r="E213" s="761" t="s">
        <v>1673</v>
      </c>
      <c r="F213" s="762">
        <v>0</v>
      </c>
      <c r="G213" s="762">
        <v>0</v>
      </c>
      <c r="H213" s="762">
        <v>0</v>
      </c>
      <c r="I213" s="762">
        <v>0</v>
      </c>
      <c r="J213" s="762">
        <v>27158410</v>
      </c>
      <c r="K213" s="762">
        <v>41926</v>
      </c>
      <c r="L213" s="762">
        <v>828638</v>
      </c>
      <c r="M213" s="762">
        <v>47461</v>
      </c>
      <c r="N213" s="1187">
        <v>0</v>
      </c>
      <c r="O213" s="1187">
        <v>0</v>
      </c>
      <c r="P213" s="762">
        <v>27987048</v>
      </c>
      <c r="Q213" s="762">
        <v>89387</v>
      </c>
      <c r="R213" s="763">
        <v>27987048</v>
      </c>
      <c r="S213" s="764">
        <v>89387</v>
      </c>
    </row>
    <row r="214" spans="1:19" ht="20.399999999999999" x14ac:dyDescent="0.3">
      <c r="A214" s="761" t="s">
        <v>6971</v>
      </c>
      <c r="B214" s="761" t="s">
        <v>1524</v>
      </c>
      <c r="C214" s="761" t="s">
        <v>3804</v>
      </c>
      <c r="D214" s="761" t="s">
        <v>3804</v>
      </c>
      <c r="E214" s="761" t="s">
        <v>3834</v>
      </c>
      <c r="F214" s="762">
        <v>0</v>
      </c>
      <c r="G214" s="762">
        <v>0</v>
      </c>
      <c r="H214" s="762">
        <v>0</v>
      </c>
      <c r="I214" s="762">
        <v>0</v>
      </c>
      <c r="J214" s="762">
        <v>0</v>
      </c>
      <c r="K214" s="762">
        <v>0</v>
      </c>
      <c r="L214" s="762">
        <v>0</v>
      </c>
      <c r="M214" s="762">
        <v>0</v>
      </c>
      <c r="N214" s="1187">
        <v>274668864</v>
      </c>
      <c r="O214" s="1187">
        <v>593527</v>
      </c>
      <c r="P214" s="762">
        <v>0</v>
      </c>
      <c r="Q214" s="762">
        <v>0</v>
      </c>
      <c r="R214" s="763">
        <v>0</v>
      </c>
      <c r="S214" s="764">
        <v>0</v>
      </c>
    </row>
    <row r="215" spans="1:19" ht="20.399999999999999" x14ac:dyDescent="0.3">
      <c r="A215" s="761" t="s">
        <v>6971</v>
      </c>
      <c r="B215" s="761" t="s">
        <v>1524</v>
      </c>
      <c r="C215" s="761" t="s">
        <v>307</v>
      </c>
      <c r="D215" s="761" t="s">
        <v>307</v>
      </c>
      <c r="E215" s="761" t="s">
        <v>1674</v>
      </c>
      <c r="F215" s="762">
        <v>5122718</v>
      </c>
      <c r="G215" s="762">
        <v>0</v>
      </c>
      <c r="H215" s="762">
        <v>138134126</v>
      </c>
      <c r="I215" s="762">
        <v>0</v>
      </c>
      <c r="J215" s="762">
        <v>0</v>
      </c>
      <c r="K215" s="762">
        <v>0</v>
      </c>
      <c r="L215" s="762">
        <v>0</v>
      </c>
      <c r="M215" s="762">
        <v>0</v>
      </c>
      <c r="N215" s="1187">
        <v>0</v>
      </c>
      <c r="O215" s="1187">
        <v>0</v>
      </c>
      <c r="P215" s="762">
        <v>138134126</v>
      </c>
      <c r="Q215" s="762">
        <v>0</v>
      </c>
      <c r="R215" s="763">
        <v>143256844</v>
      </c>
      <c r="S215" s="764">
        <v>0</v>
      </c>
    </row>
    <row r="216" spans="1:19" ht="20.399999999999999" x14ac:dyDescent="0.3">
      <c r="A216" s="761" t="s">
        <v>6971</v>
      </c>
      <c r="B216" s="761" t="s">
        <v>1524</v>
      </c>
      <c r="C216" s="761" t="s">
        <v>1511</v>
      </c>
      <c r="D216" s="761" t="s">
        <v>316</v>
      </c>
      <c r="E216" s="761" t="s">
        <v>1675</v>
      </c>
      <c r="F216" s="762">
        <v>900</v>
      </c>
      <c r="G216" s="762">
        <v>0</v>
      </c>
      <c r="H216" s="762">
        <v>96946</v>
      </c>
      <c r="I216" s="762">
        <v>272</v>
      </c>
      <c r="J216" s="762">
        <v>0</v>
      </c>
      <c r="K216" s="762">
        <v>0</v>
      </c>
      <c r="L216" s="762">
        <v>0</v>
      </c>
      <c r="M216" s="762">
        <v>0</v>
      </c>
      <c r="N216" s="1187">
        <v>0</v>
      </c>
      <c r="O216" s="1187">
        <v>0</v>
      </c>
      <c r="P216" s="762">
        <v>96946</v>
      </c>
      <c r="Q216" s="762">
        <v>272</v>
      </c>
      <c r="R216" s="763">
        <v>97846</v>
      </c>
      <c r="S216" s="764">
        <v>272</v>
      </c>
    </row>
    <row r="217" spans="1:19" ht="20.399999999999999" x14ac:dyDescent="0.3">
      <c r="A217" s="761" t="s">
        <v>6971</v>
      </c>
      <c r="B217" s="761" t="s">
        <v>1524</v>
      </c>
      <c r="C217" s="761" t="s">
        <v>1508</v>
      </c>
      <c r="D217" s="761" t="s">
        <v>332</v>
      </c>
      <c r="E217" s="761" t="s">
        <v>1676</v>
      </c>
      <c r="F217" s="762">
        <v>2225857</v>
      </c>
      <c r="G217" s="762">
        <v>6015</v>
      </c>
      <c r="H217" s="762">
        <v>256976</v>
      </c>
      <c r="I217" s="762">
        <v>652</v>
      </c>
      <c r="J217" s="762">
        <v>0</v>
      </c>
      <c r="K217" s="762">
        <v>0</v>
      </c>
      <c r="L217" s="762">
        <v>0</v>
      </c>
      <c r="M217" s="762">
        <v>0</v>
      </c>
      <c r="N217" s="1187">
        <v>0</v>
      </c>
      <c r="O217" s="1187">
        <v>0</v>
      </c>
      <c r="P217" s="762">
        <v>256976</v>
      </c>
      <c r="Q217" s="762">
        <v>652</v>
      </c>
      <c r="R217" s="763">
        <v>2482833</v>
      </c>
      <c r="S217" s="764">
        <v>6667</v>
      </c>
    </row>
    <row r="218" spans="1:19" ht="30.6" x14ac:dyDescent="0.3">
      <c r="A218" s="761" t="s">
        <v>6971</v>
      </c>
      <c r="B218" s="761" t="s">
        <v>1524</v>
      </c>
      <c r="C218" s="761" t="s">
        <v>1512</v>
      </c>
      <c r="D218" s="761" t="s">
        <v>334</v>
      </c>
      <c r="E218" s="761" t="s">
        <v>1677</v>
      </c>
      <c r="F218" s="762">
        <v>62892</v>
      </c>
      <c r="G218" s="762">
        <v>0</v>
      </c>
      <c r="H218" s="762">
        <v>247301</v>
      </c>
      <c r="I218" s="762">
        <v>0</v>
      </c>
      <c r="J218" s="762">
        <v>338295</v>
      </c>
      <c r="K218" s="762">
        <v>0</v>
      </c>
      <c r="L218" s="762">
        <v>0</v>
      </c>
      <c r="M218" s="762">
        <v>0</v>
      </c>
      <c r="N218" s="1187">
        <v>0</v>
      </c>
      <c r="O218" s="1187">
        <v>0</v>
      </c>
      <c r="P218" s="762">
        <v>585596</v>
      </c>
      <c r="Q218" s="762">
        <v>0</v>
      </c>
      <c r="R218" s="763">
        <v>648488</v>
      </c>
      <c r="S218" s="764">
        <v>0</v>
      </c>
    </row>
    <row r="219" spans="1:19" ht="40.799999999999997" x14ac:dyDescent="0.3">
      <c r="A219" s="761" t="s">
        <v>6971</v>
      </c>
      <c r="B219" s="761" t="s">
        <v>1525</v>
      </c>
      <c r="C219" s="761" t="s">
        <v>1504</v>
      </c>
      <c r="D219" s="761" t="s">
        <v>268</v>
      </c>
      <c r="E219" s="761" t="s">
        <v>1678</v>
      </c>
      <c r="F219" s="762">
        <v>0</v>
      </c>
      <c r="G219" s="762">
        <v>0</v>
      </c>
      <c r="H219" s="762">
        <v>4439660</v>
      </c>
      <c r="I219" s="762">
        <v>0</v>
      </c>
      <c r="J219" s="762">
        <v>16674428</v>
      </c>
      <c r="K219" s="762">
        <v>48894</v>
      </c>
      <c r="L219" s="762">
        <v>0</v>
      </c>
      <c r="M219" s="762">
        <v>0</v>
      </c>
      <c r="N219" s="1187">
        <v>0</v>
      </c>
      <c r="O219" s="1187">
        <v>0</v>
      </c>
      <c r="P219" s="762">
        <v>21114088</v>
      </c>
      <c r="Q219" s="762">
        <v>48894</v>
      </c>
      <c r="R219" s="763">
        <v>21114088</v>
      </c>
      <c r="S219" s="764">
        <v>48894</v>
      </c>
    </row>
    <row r="220" spans="1:19" ht="20.399999999999999" x14ac:dyDescent="0.3">
      <c r="A220" s="761" t="s">
        <v>6971</v>
      </c>
      <c r="B220" s="761" t="s">
        <v>1525</v>
      </c>
      <c r="C220" s="761" t="s">
        <v>288</v>
      </c>
      <c r="D220" s="761" t="s">
        <v>288</v>
      </c>
      <c r="E220" s="761" t="s">
        <v>1679</v>
      </c>
      <c r="F220" s="762">
        <v>360763.64</v>
      </c>
      <c r="G220" s="762">
        <v>0</v>
      </c>
      <c r="H220" s="762">
        <v>14691837</v>
      </c>
      <c r="I220" s="762">
        <v>0</v>
      </c>
      <c r="J220" s="762">
        <v>0</v>
      </c>
      <c r="K220" s="762">
        <v>0</v>
      </c>
      <c r="L220" s="762">
        <v>0</v>
      </c>
      <c r="M220" s="762">
        <v>0</v>
      </c>
      <c r="N220" s="1187">
        <v>0</v>
      </c>
      <c r="O220" s="1187">
        <v>0</v>
      </c>
      <c r="P220" s="762">
        <v>14691837</v>
      </c>
      <c r="Q220" s="762">
        <v>0</v>
      </c>
      <c r="R220" s="763">
        <v>15052600.640000001</v>
      </c>
      <c r="S220" s="764">
        <v>0</v>
      </c>
    </row>
    <row r="221" spans="1:19" ht="20.399999999999999" x14ac:dyDescent="0.3">
      <c r="A221" s="761" t="s">
        <v>6971</v>
      </c>
      <c r="B221" s="761" t="s">
        <v>1525</v>
      </c>
      <c r="C221" s="761" t="s">
        <v>3804</v>
      </c>
      <c r="D221" s="761" t="s">
        <v>3804</v>
      </c>
      <c r="E221" s="761" t="s">
        <v>3835</v>
      </c>
      <c r="F221" s="762">
        <v>0</v>
      </c>
      <c r="G221" s="762">
        <v>0</v>
      </c>
      <c r="H221" s="762">
        <v>0</v>
      </c>
      <c r="I221" s="762">
        <v>0</v>
      </c>
      <c r="J221" s="762">
        <v>0</v>
      </c>
      <c r="K221" s="762">
        <v>0</v>
      </c>
      <c r="L221" s="762">
        <v>0</v>
      </c>
      <c r="M221" s="762">
        <v>0</v>
      </c>
      <c r="N221" s="1187">
        <v>0</v>
      </c>
      <c r="O221" s="1187">
        <v>0</v>
      </c>
      <c r="P221" s="762">
        <v>0</v>
      </c>
      <c r="Q221" s="762">
        <v>0</v>
      </c>
      <c r="R221" s="763">
        <v>0</v>
      </c>
      <c r="S221" s="764">
        <v>0</v>
      </c>
    </row>
    <row r="222" spans="1:19" ht="20.399999999999999" x14ac:dyDescent="0.3">
      <c r="A222" s="761" t="s">
        <v>6971</v>
      </c>
      <c r="B222" s="761" t="s">
        <v>1525</v>
      </c>
      <c r="C222" s="761" t="s">
        <v>307</v>
      </c>
      <c r="D222" s="761" t="s">
        <v>307</v>
      </c>
      <c r="E222" s="761" t="s">
        <v>1680</v>
      </c>
      <c r="F222" s="762">
        <v>75754.36</v>
      </c>
      <c r="G222" s="762">
        <v>0</v>
      </c>
      <c r="H222" s="762">
        <v>36755751</v>
      </c>
      <c r="I222" s="762">
        <v>0</v>
      </c>
      <c r="J222" s="762">
        <v>0</v>
      </c>
      <c r="K222" s="762">
        <v>0</v>
      </c>
      <c r="L222" s="762">
        <v>0</v>
      </c>
      <c r="M222" s="762">
        <v>0</v>
      </c>
      <c r="N222" s="1187">
        <v>0</v>
      </c>
      <c r="O222" s="1187">
        <v>0</v>
      </c>
      <c r="P222" s="762">
        <v>36755751</v>
      </c>
      <c r="Q222" s="762">
        <v>0</v>
      </c>
      <c r="R222" s="763">
        <v>36831505.359999999</v>
      </c>
      <c r="S222" s="764">
        <v>0</v>
      </c>
    </row>
    <row r="223" spans="1:19" ht="20.399999999999999" x14ac:dyDescent="0.3">
      <c r="A223" s="761" t="s">
        <v>6971</v>
      </c>
      <c r="B223" s="761" t="s">
        <v>1525</v>
      </c>
      <c r="C223" s="761" t="s">
        <v>1508</v>
      </c>
      <c r="D223" s="761" t="s">
        <v>332</v>
      </c>
      <c r="E223" s="761" t="s">
        <v>1681</v>
      </c>
      <c r="F223" s="762">
        <v>0</v>
      </c>
      <c r="G223" s="762">
        <v>0</v>
      </c>
      <c r="H223" s="762">
        <v>0</v>
      </c>
      <c r="I223" s="762">
        <v>0</v>
      </c>
      <c r="J223" s="762">
        <v>432172</v>
      </c>
      <c r="K223" s="762">
        <v>1159</v>
      </c>
      <c r="L223" s="762">
        <v>0</v>
      </c>
      <c r="M223" s="762">
        <v>0</v>
      </c>
      <c r="N223" s="1187">
        <v>0</v>
      </c>
      <c r="O223" s="1187">
        <v>0</v>
      </c>
      <c r="P223" s="762">
        <v>432172</v>
      </c>
      <c r="Q223" s="762">
        <v>1159</v>
      </c>
      <c r="R223" s="763">
        <v>432172</v>
      </c>
      <c r="S223" s="764">
        <v>1159</v>
      </c>
    </row>
    <row r="224" spans="1:19" ht="30.6" x14ac:dyDescent="0.3">
      <c r="A224" s="761" t="s">
        <v>6971</v>
      </c>
      <c r="B224" s="761" t="s">
        <v>1525</v>
      </c>
      <c r="C224" s="761" t="s">
        <v>1512</v>
      </c>
      <c r="D224" s="761" t="s">
        <v>334</v>
      </c>
      <c r="E224" s="761" t="s">
        <v>1682</v>
      </c>
      <c r="F224" s="762">
        <v>0</v>
      </c>
      <c r="G224" s="762">
        <v>0</v>
      </c>
      <c r="H224" s="762">
        <v>62628</v>
      </c>
      <c r="I224" s="762">
        <v>0</v>
      </c>
      <c r="J224" s="762">
        <v>0</v>
      </c>
      <c r="K224" s="762">
        <v>0</v>
      </c>
      <c r="L224" s="762">
        <v>0</v>
      </c>
      <c r="M224" s="762">
        <v>0</v>
      </c>
      <c r="N224" s="1187">
        <v>0</v>
      </c>
      <c r="O224" s="1187">
        <v>0</v>
      </c>
      <c r="P224" s="762">
        <v>62628</v>
      </c>
      <c r="Q224" s="762">
        <v>0</v>
      </c>
      <c r="R224" s="763">
        <v>62628</v>
      </c>
      <c r="S224" s="764">
        <v>0</v>
      </c>
    </row>
    <row r="225" spans="1:19" ht="40.799999999999997" x14ac:dyDescent="0.3">
      <c r="A225" s="761" t="s">
        <v>6971</v>
      </c>
      <c r="B225" s="761" t="s">
        <v>1526</v>
      </c>
      <c r="C225" s="761" t="s">
        <v>1504</v>
      </c>
      <c r="D225" s="761" t="s">
        <v>268</v>
      </c>
      <c r="E225" s="761" t="s">
        <v>1683</v>
      </c>
      <c r="F225" s="762">
        <v>55148373.329999998</v>
      </c>
      <c r="G225" s="762">
        <v>133381</v>
      </c>
      <c r="H225" s="762">
        <v>61270055.090000004</v>
      </c>
      <c r="I225" s="762">
        <v>176360.74</v>
      </c>
      <c r="J225" s="762">
        <v>231112547.78</v>
      </c>
      <c r="K225" s="762">
        <v>529656.37</v>
      </c>
      <c r="L225" s="762">
        <v>3377730.5</v>
      </c>
      <c r="M225" s="762">
        <v>6216.85986328125</v>
      </c>
      <c r="N225" s="1187">
        <v>0</v>
      </c>
      <c r="O225" s="1187">
        <v>0</v>
      </c>
      <c r="P225" s="762">
        <v>295760333.26999998</v>
      </c>
      <c r="Q225" s="762">
        <v>712233.97</v>
      </c>
      <c r="R225" s="763">
        <v>350908706.60000002</v>
      </c>
      <c r="S225" s="764">
        <v>845615.36</v>
      </c>
    </row>
    <row r="226" spans="1:19" ht="20.399999999999999" x14ac:dyDescent="0.3">
      <c r="A226" s="761" t="s">
        <v>6971</v>
      </c>
      <c r="B226" s="761" t="s">
        <v>1526</v>
      </c>
      <c r="C226" s="761" t="s">
        <v>288</v>
      </c>
      <c r="D226" s="761" t="s">
        <v>288</v>
      </c>
      <c r="E226" s="761" t="s">
        <v>1684</v>
      </c>
      <c r="F226" s="762">
        <v>23195559.789999999</v>
      </c>
      <c r="G226" s="762">
        <v>0</v>
      </c>
      <c r="H226" s="762">
        <v>112528088.59999999</v>
      </c>
      <c r="I226" s="762">
        <v>0</v>
      </c>
      <c r="J226" s="762">
        <v>244640.8</v>
      </c>
      <c r="K226" s="762">
        <v>0</v>
      </c>
      <c r="L226" s="762">
        <v>0</v>
      </c>
      <c r="M226" s="762">
        <v>0</v>
      </c>
      <c r="N226" s="1187">
        <v>0</v>
      </c>
      <c r="O226" s="1187">
        <v>0</v>
      </c>
      <c r="P226" s="762">
        <v>112772729.40000001</v>
      </c>
      <c r="Q226" s="762">
        <v>0</v>
      </c>
      <c r="R226" s="763">
        <v>135968289.19</v>
      </c>
      <c r="S226" s="764">
        <v>0</v>
      </c>
    </row>
    <row r="227" spans="1:19" ht="20.399999999999999" x14ac:dyDescent="0.3">
      <c r="A227" s="761" t="s">
        <v>6971</v>
      </c>
      <c r="B227" s="761" t="s">
        <v>1526</v>
      </c>
      <c r="C227" s="761" t="s">
        <v>3804</v>
      </c>
      <c r="D227" s="761" t="s">
        <v>3804</v>
      </c>
      <c r="E227" s="761" t="s">
        <v>3836</v>
      </c>
      <c r="F227" s="762">
        <v>0</v>
      </c>
      <c r="G227" s="762">
        <v>0</v>
      </c>
      <c r="H227" s="762">
        <v>0</v>
      </c>
      <c r="I227" s="762">
        <v>0</v>
      </c>
      <c r="J227" s="762">
        <v>0</v>
      </c>
      <c r="K227" s="762">
        <v>0</v>
      </c>
      <c r="L227" s="762">
        <v>0</v>
      </c>
      <c r="M227" s="762">
        <v>0</v>
      </c>
      <c r="N227" s="1187">
        <v>72271400</v>
      </c>
      <c r="O227" s="1187">
        <v>138882.46875</v>
      </c>
      <c r="P227" s="762">
        <v>0</v>
      </c>
      <c r="Q227" s="762">
        <v>0</v>
      </c>
      <c r="R227" s="763">
        <v>0</v>
      </c>
      <c r="S227" s="764">
        <v>0</v>
      </c>
    </row>
    <row r="228" spans="1:19" ht="20.399999999999999" x14ac:dyDescent="0.3">
      <c r="A228" s="761" t="s">
        <v>6971</v>
      </c>
      <c r="B228" s="761" t="s">
        <v>1526</v>
      </c>
      <c r="C228" s="761" t="s">
        <v>307</v>
      </c>
      <c r="D228" s="761" t="s">
        <v>307</v>
      </c>
      <c r="E228" s="761" t="s">
        <v>1685</v>
      </c>
      <c r="F228" s="762">
        <v>7964562.3300000001</v>
      </c>
      <c r="G228" s="762">
        <v>0</v>
      </c>
      <c r="H228" s="762">
        <v>367153795.72000003</v>
      </c>
      <c r="I228" s="762">
        <v>0</v>
      </c>
      <c r="J228" s="762">
        <v>0</v>
      </c>
      <c r="K228" s="762">
        <v>0</v>
      </c>
      <c r="L228" s="762">
        <v>0</v>
      </c>
      <c r="M228" s="762">
        <v>0</v>
      </c>
      <c r="N228" s="1187">
        <v>0</v>
      </c>
      <c r="O228" s="1187">
        <v>0</v>
      </c>
      <c r="P228" s="762">
        <v>367153795.72000003</v>
      </c>
      <c r="Q228" s="762">
        <v>0</v>
      </c>
      <c r="R228" s="763">
        <v>375118358.05000001</v>
      </c>
      <c r="S228" s="764">
        <v>0</v>
      </c>
    </row>
    <row r="229" spans="1:19" ht="20.399999999999999" x14ac:dyDescent="0.3">
      <c r="A229" s="761" t="s">
        <v>6971</v>
      </c>
      <c r="B229" s="761" t="s">
        <v>1526</v>
      </c>
      <c r="C229" s="761" t="s">
        <v>1511</v>
      </c>
      <c r="D229" s="761" t="s">
        <v>316</v>
      </c>
      <c r="E229" s="761" t="s">
        <v>1686</v>
      </c>
      <c r="F229" s="762">
        <v>32302.5</v>
      </c>
      <c r="G229" s="762">
        <v>88</v>
      </c>
      <c r="H229" s="762">
        <v>340239.28</v>
      </c>
      <c r="I229" s="762">
        <v>936.64</v>
      </c>
      <c r="J229" s="762">
        <v>0</v>
      </c>
      <c r="K229" s="762">
        <v>0</v>
      </c>
      <c r="L229" s="762">
        <v>0</v>
      </c>
      <c r="M229" s="762">
        <v>0</v>
      </c>
      <c r="N229" s="1187">
        <v>0</v>
      </c>
      <c r="O229" s="1187">
        <v>0</v>
      </c>
      <c r="P229" s="762">
        <v>340239.28</v>
      </c>
      <c r="Q229" s="762">
        <v>936.64</v>
      </c>
      <c r="R229" s="763">
        <v>372541.78</v>
      </c>
      <c r="S229" s="764">
        <v>1025.32</v>
      </c>
    </row>
    <row r="230" spans="1:19" ht="20.399999999999999" x14ac:dyDescent="0.3">
      <c r="A230" s="761" t="s">
        <v>6971</v>
      </c>
      <c r="B230" s="761" t="s">
        <v>1526</v>
      </c>
      <c r="C230" s="761" t="s">
        <v>1508</v>
      </c>
      <c r="D230" s="761" t="s">
        <v>332</v>
      </c>
      <c r="E230" s="761" t="s">
        <v>1687</v>
      </c>
      <c r="F230" s="762">
        <v>0</v>
      </c>
      <c r="G230" s="762">
        <v>0</v>
      </c>
      <c r="H230" s="762">
        <v>0</v>
      </c>
      <c r="I230" s="762">
        <v>0</v>
      </c>
      <c r="J230" s="762">
        <v>7481251.9100000001</v>
      </c>
      <c r="K230" s="762">
        <v>20902.349999999999</v>
      </c>
      <c r="L230" s="762">
        <v>0</v>
      </c>
      <c r="M230" s="762">
        <v>0</v>
      </c>
      <c r="N230" s="1187">
        <v>0</v>
      </c>
      <c r="O230" s="1187">
        <v>0</v>
      </c>
      <c r="P230" s="762">
        <v>7481251.9100000001</v>
      </c>
      <c r="Q230" s="762">
        <v>20902.349999999999</v>
      </c>
      <c r="R230" s="763">
        <v>7481251.9100000001</v>
      </c>
      <c r="S230" s="764">
        <v>20902.349999999999</v>
      </c>
    </row>
    <row r="231" spans="1:19" ht="30.6" x14ac:dyDescent="0.3">
      <c r="A231" s="761" t="s">
        <v>6971</v>
      </c>
      <c r="B231" s="761" t="s">
        <v>1526</v>
      </c>
      <c r="C231" s="761" t="s">
        <v>1512</v>
      </c>
      <c r="D231" s="761" t="s">
        <v>334</v>
      </c>
      <c r="E231" s="761" t="s">
        <v>1688</v>
      </c>
      <c r="F231" s="762">
        <v>10074</v>
      </c>
      <c r="G231" s="762">
        <v>0</v>
      </c>
      <c r="H231" s="762">
        <v>1123813</v>
      </c>
      <c r="I231" s="762">
        <v>0</v>
      </c>
      <c r="J231" s="762">
        <v>0</v>
      </c>
      <c r="K231" s="762">
        <v>0</v>
      </c>
      <c r="L231" s="762">
        <v>0</v>
      </c>
      <c r="M231" s="762">
        <v>0</v>
      </c>
      <c r="N231" s="1187">
        <v>0</v>
      </c>
      <c r="O231" s="1187">
        <v>0</v>
      </c>
      <c r="P231" s="762">
        <v>1123813</v>
      </c>
      <c r="Q231" s="762">
        <v>0</v>
      </c>
      <c r="R231" s="763">
        <v>1133887</v>
      </c>
      <c r="S231" s="764">
        <v>0</v>
      </c>
    </row>
    <row r="232" spans="1:19" ht="20.399999999999999" x14ac:dyDescent="0.3">
      <c r="A232" s="761" t="s">
        <v>6971</v>
      </c>
      <c r="B232" s="761" t="s">
        <v>1527</v>
      </c>
      <c r="C232" s="761" t="s">
        <v>1514</v>
      </c>
      <c r="D232" s="761" t="s">
        <v>240</v>
      </c>
      <c r="E232" s="761" t="s">
        <v>2062</v>
      </c>
      <c r="F232" s="762">
        <v>0</v>
      </c>
      <c r="G232" s="762">
        <v>0</v>
      </c>
      <c r="H232" s="762">
        <v>0</v>
      </c>
      <c r="I232" s="762">
        <v>0</v>
      </c>
      <c r="J232" s="762">
        <v>49068645.299999997</v>
      </c>
      <c r="K232" s="762">
        <v>143708.32999999999</v>
      </c>
      <c r="L232" s="762">
        <v>0</v>
      </c>
      <c r="M232" s="762">
        <v>0</v>
      </c>
      <c r="N232" s="1187">
        <v>0</v>
      </c>
      <c r="O232" s="1187">
        <v>0</v>
      </c>
      <c r="P232" s="762">
        <v>49068645.299999997</v>
      </c>
      <c r="Q232" s="762">
        <v>143708.32999999999</v>
      </c>
      <c r="R232" s="763">
        <v>49068645.299999997</v>
      </c>
      <c r="S232" s="764">
        <v>143708.32999999999</v>
      </c>
    </row>
    <row r="233" spans="1:19" ht="40.799999999999997" x14ac:dyDescent="0.3">
      <c r="A233" s="761" t="s">
        <v>6971</v>
      </c>
      <c r="B233" s="761" t="s">
        <v>1527</v>
      </c>
      <c r="C233" s="761" t="s">
        <v>1504</v>
      </c>
      <c r="D233" s="761" t="s">
        <v>268</v>
      </c>
      <c r="E233" s="761" t="s">
        <v>1689</v>
      </c>
      <c r="F233" s="762">
        <v>11437680.199999999</v>
      </c>
      <c r="G233" s="762">
        <v>30982</v>
      </c>
      <c r="H233" s="762">
        <v>4558376.88</v>
      </c>
      <c r="I233" s="762">
        <v>14858.03</v>
      </c>
      <c r="J233" s="762">
        <v>46126516.439999998</v>
      </c>
      <c r="K233" s="762">
        <v>124802.11</v>
      </c>
      <c r="L233" s="762">
        <v>3311799.5</v>
      </c>
      <c r="M233" s="762">
        <v>6616.77978515625</v>
      </c>
      <c r="N233" s="1187">
        <v>0</v>
      </c>
      <c r="O233" s="1187">
        <v>0</v>
      </c>
      <c r="P233" s="762">
        <v>53996692.920000002</v>
      </c>
      <c r="Q233" s="762">
        <v>146276.92000000001</v>
      </c>
      <c r="R233" s="763">
        <v>65434373.119999997</v>
      </c>
      <c r="S233" s="764">
        <v>177258.92</v>
      </c>
    </row>
    <row r="234" spans="1:19" ht="20.399999999999999" x14ac:dyDescent="0.3">
      <c r="A234" s="761" t="s">
        <v>6971</v>
      </c>
      <c r="B234" s="761" t="s">
        <v>1527</v>
      </c>
      <c r="C234" s="761" t="s">
        <v>288</v>
      </c>
      <c r="D234" s="761" t="s">
        <v>288</v>
      </c>
      <c r="E234" s="761" t="s">
        <v>1690</v>
      </c>
      <c r="F234" s="762">
        <v>3996665.91</v>
      </c>
      <c r="G234" s="762">
        <v>0</v>
      </c>
      <c r="H234" s="762">
        <v>15812405.689999999</v>
      </c>
      <c r="I234" s="762">
        <v>0</v>
      </c>
      <c r="J234" s="762">
        <v>0</v>
      </c>
      <c r="K234" s="762">
        <v>0</v>
      </c>
      <c r="L234" s="762">
        <v>0</v>
      </c>
      <c r="M234" s="762">
        <v>0</v>
      </c>
      <c r="N234" s="1187">
        <v>0</v>
      </c>
      <c r="O234" s="1187">
        <v>0</v>
      </c>
      <c r="P234" s="762">
        <v>15812405.689999999</v>
      </c>
      <c r="Q234" s="762">
        <v>0</v>
      </c>
      <c r="R234" s="763">
        <v>19809071.600000001</v>
      </c>
      <c r="S234" s="764">
        <v>0</v>
      </c>
    </row>
    <row r="235" spans="1:19" ht="20.399999999999999" x14ac:dyDescent="0.3">
      <c r="A235" s="761" t="s">
        <v>6971</v>
      </c>
      <c r="B235" s="761" t="s">
        <v>1527</v>
      </c>
      <c r="C235" s="761" t="s">
        <v>3804</v>
      </c>
      <c r="D235" s="761" t="s">
        <v>3804</v>
      </c>
      <c r="E235" s="761" t="s">
        <v>3837</v>
      </c>
      <c r="F235" s="762">
        <v>0</v>
      </c>
      <c r="G235" s="762">
        <v>0</v>
      </c>
      <c r="H235" s="762">
        <v>0</v>
      </c>
      <c r="I235" s="762">
        <v>0</v>
      </c>
      <c r="J235" s="762">
        <v>0</v>
      </c>
      <c r="K235" s="762">
        <v>0</v>
      </c>
      <c r="L235" s="762">
        <v>0</v>
      </c>
      <c r="M235" s="762">
        <v>0</v>
      </c>
      <c r="N235" s="1187">
        <v>3590576.25</v>
      </c>
      <c r="O235" s="1187">
        <v>8929.83984375</v>
      </c>
      <c r="P235" s="762">
        <v>0</v>
      </c>
      <c r="Q235" s="762">
        <v>0</v>
      </c>
      <c r="R235" s="763">
        <v>0</v>
      </c>
      <c r="S235" s="764">
        <v>0</v>
      </c>
    </row>
    <row r="236" spans="1:19" ht="20.399999999999999" x14ac:dyDescent="0.3">
      <c r="A236" s="761" t="s">
        <v>6971</v>
      </c>
      <c r="B236" s="761" t="s">
        <v>1527</v>
      </c>
      <c r="C236" s="761" t="s">
        <v>307</v>
      </c>
      <c r="D236" s="761" t="s">
        <v>307</v>
      </c>
      <c r="E236" s="761" t="s">
        <v>1691</v>
      </c>
      <c r="F236" s="762">
        <v>1833868.73</v>
      </c>
      <c r="G236" s="762">
        <v>0</v>
      </c>
      <c r="H236" s="762">
        <v>92248813.870000005</v>
      </c>
      <c r="I236" s="762">
        <v>0</v>
      </c>
      <c r="J236" s="762">
        <v>0</v>
      </c>
      <c r="K236" s="762">
        <v>0</v>
      </c>
      <c r="L236" s="762">
        <v>0</v>
      </c>
      <c r="M236" s="762">
        <v>0</v>
      </c>
      <c r="N236" s="1187">
        <v>0</v>
      </c>
      <c r="O236" s="1187">
        <v>0</v>
      </c>
      <c r="P236" s="762">
        <v>92248813.870000005</v>
      </c>
      <c r="Q236" s="762">
        <v>0</v>
      </c>
      <c r="R236" s="763">
        <v>94082682.599999994</v>
      </c>
      <c r="S236" s="764">
        <v>0</v>
      </c>
    </row>
    <row r="237" spans="1:19" ht="20.399999999999999" x14ac:dyDescent="0.3">
      <c r="A237" s="761" t="s">
        <v>6971</v>
      </c>
      <c r="B237" s="761" t="s">
        <v>1527</v>
      </c>
      <c r="C237" s="761" t="s">
        <v>1508</v>
      </c>
      <c r="D237" s="761" t="s">
        <v>332</v>
      </c>
      <c r="E237" s="761" t="s">
        <v>1692</v>
      </c>
      <c r="F237" s="762">
        <v>737259.8</v>
      </c>
      <c r="G237" s="762">
        <v>2050</v>
      </c>
      <c r="H237" s="762">
        <v>0</v>
      </c>
      <c r="I237" s="762">
        <v>0</v>
      </c>
      <c r="J237" s="762">
        <v>5349.8</v>
      </c>
      <c r="K237" s="762">
        <v>14.21</v>
      </c>
      <c r="L237" s="762">
        <v>0</v>
      </c>
      <c r="M237" s="762">
        <v>0</v>
      </c>
      <c r="N237" s="1187">
        <v>0</v>
      </c>
      <c r="O237" s="1187">
        <v>0</v>
      </c>
      <c r="P237" s="762">
        <v>5349.8</v>
      </c>
      <c r="Q237" s="762">
        <v>14.21</v>
      </c>
      <c r="R237" s="763">
        <v>742609.6</v>
      </c>
      <c r="S237" s="764">
        <v>2064.21</v>
      </c>
    </row>
    <row r="238" spans="1:19" ht="30.6" x14ac:dyDescent="0.3">
      <c r="A238" s="761" t="s">
        <v>6971</v>
      </c>
      <c r="B238" s="761" t="s">
        <v>1527</v>
      </c>
      <c r="C238" s="761" t="s">
        <v>1512</v>
      </c>
      <c r="D238" s="761" t="s">
        <v>334</v>
      </c>
      <c r="E238" s="761" t="s">
        <v>1693</v>
      </c>
      <c r="F238" s="762">
        <v>1156.42</v>
      </c>
      <c r="G238" s="762">
        <v>0</v>
      </c>
      <c r="H238" s="762">
        <v>335310.03999999998</v>
      </c>
      <c r="I238" s="762">
        <v>0</v>
      </c>
      <c r="J238" s="762">
        <v>0</v>
      </c>
      <c r="K238" s="762">
        <v>0</v>
      </c>
      <c r="L238" s="762">
        <v>0</v>
      </c>
      <c r="M238" s="762">
        <v>0</v>
      </c>
      <c r="N238" s="1187">
        <v>0</v>
      </c>
      <c r="O238" s="1187">
        <v>0</v>
      </c>
      <c r="P238" s="762">
        <v>335310.03999999998</v>
      </c>
      <c r="Q238" s="762">
        <v>0</v>
      </c>
      <c r="R238" s="763">
        <v>336466.46</v>
      </c>
      <c r="S238" s="764">
        <v>0</v>
      </c>
    </row>
    <row r="239" spans="1:19" ht="40.799999999999997" x14ac:dyDescent="0.3">
      <c r="A239" s="761" t="s">
        <v>6971</v>
      </c>
      <c r="B239" s="761" t="s">
        <v>1528</v>
      </c>
      <c r="C239" s="761" t="s">
        <v>1504</v>
      </c>
      <c r="D239" s="761" t="s">
        <v>248</v>
      </c>
      <c r="E239" s="761" t="s">
        <v>1694</v>
      </c>
      <c r="F239" s="762">
        <v>26670421</v>
      </c>
      <c r="G239" s="762">
        <v>54880</v>
      </c>
      <c r="H239" s="762">
        <v>0</v>
      </c>
      <c r="I239" s="762">
        <v>0</v>
      </c>
      <c r="J239" s="762">
        <v>61965698</v>
      </c>
      <c r="K239" s="762">
        <v>164211</v>
      </c>
      <c r="L239" s="762">
        <v>0</v>
      </c>
      <c r="M239" s="762">
        <v>0</v>
      </c>
      <c r="N239" s="1187">
        <v>0</v>
      </c>
      <c r="O239" s="1187">
        <v>0</v>
      </c>
      <c r="P239" s="762">
        <v>61965698</v>
      </c>
      <c r="Q239" s="762">
        <v>164211</v>
      </c>
      <c r="R239" s="763">
        <v>88636119</v>
      </c>
      <c r="S239" s="764">
        <v>219091</v>
      </c>
    </row>
    <row r="240" spans="1:19" ht="40.799999999999997" x14ac:dyDescent="0.3">
      <c r="A240" s="761" t="s">
        <v>6971</v>
      </c>
      <c r="B240" s="761" t="s">
        <v>1528</v>
      </c>
      <c r="C240" s="761" t="s">
        <v>1504</v>
      </c>
      <c r="D240" s="761" t="s">
        <v>272</v>
      </c>
      <c r="E240" s="761" t="s">
        <v>1695</v>
      </c>
      <c r="F240" s="762">
        <v>22888195</v>
      </c>
      <c r="G240" s="762">
        <v>67653</v>
      </c>
      <c r="H240" s="762">
        <v>10758235</v>
      </c>
      <c r="I240" s="762">
        <v>34966</v>
      </c>
      <c r="J240" s="762">
        <v>113066095</v>
      </c>
      <c r="K240" s="762">
        <v>308292</v>
      </c>
      <c r="L240" s="762">
        <v>3652820</v>
      </c>
      <c r="M240" s="762">
        <v>7699</v>
      </c>
      <c r="N240" s="1187">
        <v>0</v>
      </c>
      <c r="O240" s="1187">
        <v>0</v>
      </c>
      <c r="P240" s="762">
        <v>127477150</v>
      </c>
      <c r="Q240" s="762">
        <v>350957</v>
      </c>
      <c r="R240" s="763">
        <v>150365345</v>
      </c>
      <c r="S240" s="764">
        <v>418610</v>
      </c>
    </row>
    <row r="241" spans="1:19" ht="20.399999999999999" x14ac:dyDescent="0.3">
      <c r="A241" s="761" t="s">
        <v>6971</v>
      </c>
      <c r="B241" s="761" t="s">
        <v>1528</v>
      </c>
      <c r="C241" s="761" t="s">
        <v>288</v>
      </c>
      <c r="D241" s="761" t="s">
        <v>288</v>
      </c>
      <c r="E241" s="761" t="s">
        <v>1696</v>
      </c>
      <c r="F241" s="762">
        <v>7633743</v>
      </c>
      <c r="G241" s="762">
        <v>0</v>
      </c>
      <c r="H241" s="762">
        <v>43020925</v>
      </c>
      <c r="I241" s="762">
        <v>0</v>
      </c>
      <c r="J241" s="762">
        <v>0</v>
      </c>
      <c r="K241" s="762">
        <v>0</v>
      </c>
      <c r="L241" s="762">
        <v>0</v>
      </c>
      <c r="M241" s="762">
        <v>0</v>
      </c>
      <c r="N241" s="1187">
        <v>0</v>
      </c>
      <c r="O241" s="1187">
        <v>0</v>
      </c>
      <c r="P241" s="762">
        <v>43020925</v>
      </c>
      <c r="Q241" s="762">
        <v>0</v>
      </c>
      <c r="R241" s="763">
        <v>50654668</v>
      </c>
      <c r="S241" s="764">
        <v>0</v>
      </c>
    </row>
    <row r="242" spans="1:19" ht="20.399999999999999" x14ac:dyDescent="0.3">
      <c r="A242" s="761" t="s">
        <v>6971</v>
      </c>
      <c r="B242" s="761" t="s">
        <v>1528</v>
      </c>
      <c r="C242" s="761" t="s">
        <v>3804</v>
      </c>
      <c r="D242" s="761" t="s">
        <v>3804</v>
      </c>
      <c r="E242" s="761" t="s">
        <v>3838</v>
      </c>
      <c r="F242" s="762">
        <v>0</v>
      </c>
      <c r="G242" s="762">
        <v>0</v>
      </c>
      <c r="H242" s="762">
        <v>0</v>
      </c>
      <c r="I242" s="762">
        <v>0</v>
      </c>
      <c r="J242" s="762">
        <v>0</v>
      </c>
      <c r="K242" s="762">
        <v>0</v>
      </c>
      <c r="L242" s="762">
        <v>0</v>
      </c>
      <c r="M242" s="762">
        <v>0</v>
      </c>
      <c r="N242" s="1187">
        <v>72582256</v>
      </c>
      <c r="O242" s="1187">
        <v>161438</v>
      </c>
      <c r="P242" s="762">
        <v>0</v>
      </c>
      <c r="Q242" s="762">
        <v>0</v>
      </c>
      <c r="R242" s="763">
        <v>0</v>
      </c>
      <c r="S242" s="764">
        <v>0</v>
      </c>
    </row>
    <row r="243" spans="1:19" ht="20.399999999999999" x14ac:dyDescent="0.3">
      <c r="A243" s="761" t="s">
        <v>6971</v>
      </c>
      <c r="B243" s="761" t="s">
        <v>1528</v>
      </c>
      <c r="C243" s="761" t="s">
        <v>307</v>
      </c>
      <c r="D243" s="761" t="s">
        <v>307</v>
      </c>
      <c r="E243" s="761" t="s">
        <v>1697</v>
      </c>
      <c r="F243" s="762">
        <v>3578568</v>
      </c>
      <c r="G243" s="762">
        <v>0</v>
      </c>
      <c r="H243" s="762">
        <v>198532350</v>
      </c>
      <c r="I243" s="762">
        <v>0</v>
      </c>
      <c r="J243" s="762">
        <v>0</v>
      </c>
      <c r="K243" s="762">
        <v>0</v>
      </c>
      <c r="L243" s="762">
        <v>0</v>
      </c>
      <c r="M243" s="762">
        <v>0</v>
      </c>
      <c r="N243" s="1187">
        <v>0</v>
      </c>
      <c r="O243" s="1187">
        <v>0</v>
      </c>
      <c r="P243" s="762">
        <v>198532350</v>
      </c>
      <c r="Q243" s="762">
        <v>0</v>
      </c>
      <c r="R243" s="763">
        <v>202110918</v>
      </c>
      <c r="S243" s="764">
        <v>0</v>
      </c>
    </row>
    <row r="244" spans="1:19" ht="20.399999999999999" x14ac:dyDescent="0.3">
      <c r="A244" s="761" t="s">
        <v>6971</v>
      </c>
      <c r="B244" s="761" t="s">
        <v>1528</v>
      </c>
      <c r="C244" s="761" t="s">
        <v>1511</v>
      </c>
      <c r="D244" s="761" t="s">
        <v>316</v>
      </c>
      <c r="E244" s="761" t="s">
        <v>1698</v>
      </c>
      <c r="F244" s="762">
        <v>18008</v>
      </c>
      <c r="G244" s="762">
        <v>50</v>
      </c>
      <c r="H244" s="762">
        <v>233871</v>
      </c>
      <c r="I244" s="762">
        <v>630</v>
      </c>
      <c r="J244" s="762">
        <v>0</v>
      </c>
      <c r="K244" s="762">
        <v>0</v>
      </c>
      <c r="L244" s="762">
        <v>0</v>
      </c>
      <c r="M244" s="762">
        <v>0</v>
      </c>
      <c r="N244" s="1187">
        <v>0</v>
      </c>
      <c r="O244" s="1187">
        <v>0</v>
      </c>
      <c r="P244" s="762">
        <v>233871</v>
      </c>
      <c r="Q244" s="762">
        <v>630</v>
      </c>
      <c r="R244" s="763">
        <v>251879</v>
      </c>
      <c r="S244" s="764">
        <v>680</v>
      </c>
    </row>
    <row r="245" spans="1:19" ht="20.399999999999999" x14ac:dyDescent="0.3">
      <c r="A245" s="761" t="s">
        <v>6971</v>
      </c>
      <c r="B245" s="761" t="s">
        <v>1528</v>
      </c>
      <c r="C245" s="761" t="s">
        <v>1508</v>
      </c>
      <c r="D245" s="761" t="s">
        <v>332</v>
      </c>
      <c r="E245" s="761" t="s">
        <v>1699</v>
      </c>
      <c r="F245" s="762">
        <v>0</v>
      </c>
      <c r="G245" s="762">
        <v>0</v>
      </c>
      <c r="H245" s="762">
        <v>0</v>
      </c>
      <c r="I245" s="762">
        <v>0</v>
      </c>
      <c r="J245" s="762">
        <v>979604</v>
      </c>
      <c r="K245" s="762">
        <v>3105</v>
      </c>
      <c r="L245" s="762">
        <v>0</v>
      </c>
      <c r="M245" s="762">
        <v>0</v>
      </c>
      <c r="N245" s="1187">
        <v>0</v>
      </c>
      <c r="O245" s="1187">
        <v>0</v>
      </c>
      <c r="P245" s="762">
        <v>979604</v>
      </c>
      <c r="Q245" s="762">
        <v>3105</v>
      </c>
      <c r="R245" s="763">
        <v>979604</v>
      </c>
      <c r="S245" s="764">
        <v>3105</v>
      </c>
    </row>
    <row r="246" spans="1:19" ht="30.6" x14ac:dyDescent="0.3">
      <c r="A246" s="761" t="s">
        <v>6971</v>
      </c>
      <c r="B246" s="761" t="s">
        <v>1528</v>
      </c>
      <c r="C246" s="761" t="s">
        <v>1512</v>
      </c>
      <c r="D246" s="761" t="s">
        <v>334</v>
      </c>
      <c r="E246" s="761" t="s">
        <v>1700</v>
      </c>
      <c r="F246" s="762">
        <v>0</v>
      </c>
      <c r="G246" s="762">
        <v>0</v>
      </c>
      <c r="H246" s="762">
        <v>962029</v>
      </c>
      <c r="I246" s="762">
        <v>0</v>
      </c>
      <c r="J246" s="762">
        <v>0</v>
      </c>
      <c r="K246" s="762">
        <v>0</v>
      </c>
      <c r="L246" s="762">
        <v>0</v>
      </c>
      <c r="M246" s="762">
        <v>0</v>
      </c>
      <c r="N246" s="1187">
        <v>0</v>
      </c>
      <c r="O246" s="1187">
        <v>0</v>
      </c>
      <c r="P246" s="762">
        <v>962029</v>
      </c>
      <c r="Q246" s="762">
        <v>0</v>
      </c>
      <c r="R246" s="763">
        <v>962029</v>
      </c>
      <c r="S246" s="764">
        <v>0</v>
      </c>
    </row>
    <row r="247" spans="1:19" ht="40.799999999999997" x14ac:dyDescent="0.3">
      <c r="A247" s="761" t="s">
        <v>6971</v>
      </c>
      <c r="B247" s="761" t="s">
        <v>7256</v>
      </c>
      <c r="C247" s="761" t="s">
        <v>1504</v>
      </c>
      <c r="D247" s="761" t="s">
        <v>259</v>
      </c>
      <c r="E247" s="761" t="s">
        <v>5224</v>
      </c>
      <c r="F247" s="762">
        <v>511840</v>
      </c>
      <c r="G247" s="762">
        <v>1490</v>
      </c>
      <c r="H247" s="762">
        <v>3678166.48</v>
      </c>
      <c r="I247" s="762">
        <v>10672.7</v>
      </c>
      <c r="J247" s="762">
        <v>20074703.68</v>
      </c>
      <c r="K247" s="762">
        <v>55080.79</v>
      </c>
      <c r="L247" s="762">
        <v>0</v>
      </c>
      <c r="M247" s="762">
        <v>0</v>
      </c>
      <c r="N247" s="1187">
        <v>0</v>
      </c>
      <c r="O247" s="1187">
        <v>0</v>
      </c>
      <c r="P247" s="762">
        <v>23752870.16</v>
      </c>
      <c r="Q247" s="762">
        <v>65753.490000000005</v>
      </c>
      <c r="R247" s="763">
        <v>24264710.16</v>
      </c>
      <c r="S247" s="764">
        <v>67244.37</v>
      </c>
    </row>
    <row r="248" spans="1:19" ht="40.799999999999997" x14ac:dyDescent="0.3">
      <c r="A248" s="761" t="s">
        <v>6971</v>
      </c>
      <c r="B248" s="761" t="s">
        <v>7256</v>
      </c>
      <c r="C248" s="761" t="s">
        <v>1504</v>
      </c>
      <c r="D248" s="761" t="s">
        <v>7059</v>
      </c>
      <c r="E248" s="761" t="s">
        <v>7060</v>
      </c>
      <c r="F248" s="762">
        <v>0</v>
      </c>
      <c r="G248" s="762">
        <v>0</v>
      </c>
      <c r="H248" s="762">
        <v>0</v>
      </c>
      <c r="I248" s="762">
        <v>0</v>
      </c>
      <c r="J248" s="762">
        <v>20144203.23</v>
      </c>
      <c r="K248" s="762">
        <v>60194.2</v>
      </c>
      <c r="L248" s="762">
        <v>0</v>
      </c>
      <c r="M248" s="762">
        <v>0</v>
      </c>
      <c r="N248" s="1187">
        <v>0</v>
      </c>
      <c r="O248" s="1187">
        <v>0</v>
      </c>
      <c r="P248" s="762">
        <v>20144203.23</v>
      </c>
      <c r="Q248" s="762">
        <v>60194.2</v>
      </c>
      <c r="R248" s="763">
        <v>20144203.23</v>
      </c>
      <c r="S248" s="764">
        <v>60194.2</v>
      </c>
    </row>
    <row r="249" spans="1:19" ht="20.399999999999999" x14ac:dyDescent="0.3">
      <c r="A249" s="761" t="s">
        <v>6971</v>
      </c>
      <c r="B249" s="761" t="s">
        <v>7256</v>
      </c>
      <c r="C249" s="761" t="s">
        <v>288</v>
      </c>
      <c r="D249" s="761" t="s">
        <v>288</v>
      </c>
      <c r="E249" s="761" t="s">
        <v>5225</v>
      </c>
      <c r="F249" s="762">
        <v>583434.19999999995</v>
      </c>
      <c r="G249" s="762">
        <v>0</v>
      </c>
      <c r="H249" s="762">
        <v>10110016.98</v>
      </c>
      <c r="I249" s="762">
        <v>0</v>
      </c>
      <c r="J249" s="762">
        <v>570</v>
      </c>
      <c r="K249" s="762">
        <v>0</v>
      </c>
      <c r="L249" s="762">
        <v>0</v>
      </c>
      <c r="M249" s="762">
        <v>0</v>
      </c>
      <c r="N249" s="1187">
        <v>0</v>
      </c>
      <c r="O249" s="1187">
        <v>0</v>
      </c>
      <c r="P249" s="762">
        <v>10110586.98</v>
      </c>
      <c r="Q249" s="762">
        <v>0</v>
      </c>
      <c r="R249" s="763">
        <v>10694021.18</v>
      </c>
      <c r="S249" s="764">
        <v>0</v>
      </c>
    </row>
    <row r="250" spans="1:19" ht="20.399999999999999" x14ac:dyDescent="0.3">
      <c r="A250" s="761" t="s">
        <v>6971</v>
      </c>
      <c r="B250" s="761" t="s">
        <v>7256</v>
      </c>
      <c r="C250" s="761" t="s">
        <v>3804</v>
      </c>
      <c r="D250" s="761" t="s">
        <v>3804</v>
      </c>
      <c r="E250" s="761" t="s">
        <v>7257</v>
      </c>
      <c r="F250" s="762">
        <v>0</v>
      </c>
      <c r="G250" s="762">
        <v>0</v>
      </c>
      <c r="H250" s="762">
        <v>0</v>
      </c>
      <c r="I250" s="762">
        <v>0</v>
      </c>
      <c r="J250" s="762">
        <v>0</v>
      </c>
      <c r="K250" s="762">
        <v>0</v>
      </c>
      <c r="L250" s="762">
        <v>0</v>
      </c>
      <c r="M250" s="762">
        <v>0</v>
      </c>
      <c r="N250" s="1187">
        <v>28186956</v>
      </c>
      <c r="O250" s="1187">
        <v>84187.65625</v>
      </c>
      <c r="P250" s="762">
        <v>0</v>
      </c>
      <c r="Q250" s="762">
        <v>0</v>
      </c>
      <c r="R250" s="763">
        <v>0</v>
      </c>
      <c r="S250" s="764">
        <v>0</v>
      </c>
    </row>
    <row r="251" spans="1:19" ht="20.399999999999999" x14ac:dyDescent="0.3">
      <c r="A251" s="761" t="s">
        <v>6971</v>
      </c>
      <c r="B251" s="761" t="s">
        <v>7256</v>
      </c>
      <c r="C251" s="761" t="s">
        <v>307</v>
      </c>
      <c r="D251" s="761" t="s">
        <v>307</v>
      </c>
      <c r="E251" s="761" t="s">
        <v>5226</v>
      </c>
      <c r="F251" s="762">
        <v>96942.24</v>
      </c>
      <c r="G251" s="762">
        <v>0</v>
      </c>
      <c r="H251" s="762">
        <v>22089926.940000001</v>
      </c>
      <c r="I251" s="762">
        <v>0</v>
      </c>
      <c r="J251" s="762">
        <v>0</v>
      </c>
      <c r="K251" s="762">
        <v>0</v>
      </c>
      <c r="L251" s="762">
        <v>0</v>
      </c>
      <c r="M251" s="762">
        <v>0</v>
      </c>
      <c r="N251" s="1187">
        <v>0</v>
      </c>
      <c r="O251" s="1187">
        <v>0</v>
      </c>
      <c r="P251" s="762">
        <v>22089926.940000001</v>
      </c>
      <c r="Q251" s="762">
        <v>0</v>
      </c>
      <c r="R251" s="763">
        <v>22186869.18</v>
      </c>
      <c r="S251" s="764">
        <v>0</v>
      </c>
    </row>
    <row r="252" spans="1:19" ht="20.399999999999999" x14ac:dyDescent="0.3">
      <c r="A252" s="761" t="s">
        <v>6971</v>
      </c>
      <c r="B252" s="761" t="s">
        <v>7256</v>
      </c>
      <c r="C252" s="761" t="s">
        <v>1511</v>
      </c>
      <c r="D252" s="761" t="s">
        <v>316</v>
      </c>
      <c r="E252" s="761" t="s">
        <v>5227</v>
      </c>
      <c r="F252" s="762">
        <v>0</v>
      </c>
      <c r="G252" s="762">
        <v>0</v>
      </c>
      <c r="H252" s="762">
        <v>9452.16</v>
      </c>
      <c r="I252" s="762">
        <v>33.6</v>
      </c>
      <c r="J252" s="762">
        <v>0</v>
      </c>
      <c r="K252" s="762">
        <v>0</v>
      </c>
      <c r="L252" s="762">
        <v>0</v>
      </c>
      <c r="M252" s="762">
        <v>0</v>
      </c>
      <c r="N252" s="1187">
        <v>0</v>
      </c>
      <c r="O252" s="1187">
        <v>0</v>
      </c>
      <c r="P252" s="762">
        <v>9452.16</v>
      </c>
      <c r="Q252" s="762">
        <v>33.6</v>
      </c>
      <c r="R252" s="763">
        <v>9452.16</v>
      </c>
      <c r="S252" s="764">
        <v>33.6</v>
      </c>
    </row>
    <row r="253" spans="1:19" ht="20.399999999999999" x14ac:dyDescent="0.3">
      <c r="A253" s="761" t="s">
        <v>6971</v>
      </c>
      <c r="B253" s="761" t="s">
        <v>7256</v>
      </c>
      <c r="C253" s="761" t="s">
        <v>1508</v>
      </c>
      <c r="D253" s="761" t="s">
        <v>332</v>
      </c>
      <c r="E253" s="761" t="s">
        <v>5228</v>
      </c>
      <c r="F253" s="762">
        <v>434208.3</v>
      </c>
      <c r="G253" s="762">
        <v>1338</v>
      </c>
      <c r="H253" s="762">
        <v>0</v>
      </c>
      <c r="I253" s="762">
        <v>0</v>
      </c>
      <c r="J253" s="762">
        <v>14611.8</v>
      </c>
      <c r="K253" s="762">
        <v>20.04</v>
      </c>
      <c r="L253" s="762">
        <v>0</v>
      </c>
      <c r="M253" s="762">
        <v>0</v>
      </c>
      <c r="N253" s="1187">
        <v>0</v>
      </c>
      <c r="O253" s="1187">
        <v>0</v>
      </c>
      <c r="P253" s="762">
        <v>14611.8</v>
      </c>
      <c r="Q253" s="762">
        <v>20.04</v>
      </c>
      <c r="R253" s="763">
        <v>448820.1</v>
      </c>
      <c r="S253" s="764">
        <v>1358.64</v>
      </c>
    </row>
    <row r="254" spans="1:19" ht="40.799999999999997" x14ac:dyDescent="0.3">
      <c r="A254" s="761" t="s">
        <v>6971</v>
      </c>
      <c r="B254" s="761" t="s">
        <v>2336</v>
      </c>
      <c r="C254" s="761" t="s">
        <v>1504</v>
      </c>
      <c r="D254" s="761" t="s">
        <v>268</v>
      </c>
      <c r="E254" s="761" t="s">
        <v>2337</v>
      </c>
      <c r="F254" s="762">
        <v>283016</v>
      </c>
      <c r="G254" s="762">
        <v>0</v>
      </c>
      <c r="H254" s="762">
        <v>892000</v>
      </c>
      <c r="I254" s="762">
        <v>0</v>
      </c>
      <c r="J254" s="762">
        <v>2924997</v>
      </c>
      <c r="K254" s="762">
        <v>10285.31</v>
      </c>
      <c r="L254" s="762">
        <v>0</v>
      </c>
      <c r="M254" s="762">
        <v>0</v>
      </c>
      <c r="N254" s="1187">
        <v>0</v>
      </c>
      <c r="O254" s="1187">
        <v>0</v>
      </c>
      <c r="P254" s="762">
        <v>3816997</v>
      </c>
      <c r="Q254" s="762">
        <v>10285.31</v>
      </c>
      <c r="R254" s="763">
        <v>4100013</v>
      </c>
      <c r="S254" s="764">
        <v>10285.31</v>
      </c>
    </row>
    <row r="255" spans="1:19" ht="20.399999999999999" x14ac:dyDescent="0.3">
      <c r="A255" s="761" t="s">
        <v>6971</v>
      </c>
      <c r="B255" s="761" t="s">
        <v>2336</v>
      </c>
      <c r="C255" s="761" t="s">
        <v>288</v>
      </c>
      <c r="D255" s="761" t="s">
        <v>288</v>
      </c>
      <c r="E255" s="761" t="s">
        <v>2338</v>
      </c>
      <c r="F255" s="762">
        <v>486086</v>
      </c>
      <c r="G255" s="762">
        <v>0</v>
      </c>
      <c r="H255" s="762">
        <v>3536011</v>
      </c>
      <c r="I255" s="762">
        <v>0</v>
      </c>
      <c r="J255" s="762">
        <v>0</v>
      </c>
      <c r="K255" s="762">
        <v>0</v>
      </c>
      <c r="L255" s="762">
        <v>0</v>
      </c>
      <c r="M255" s="762">
        <v>0</v>
      </c>
      <c r="N255" s="1187">
        <v>0</v>
      </c>
      <c r="O255" s="1187">
        <v>0</v>
      </c>
      <c r="P255" s="762">
        <v>3536011</v>
      </c>
      <c r="Q255" s="762">
        <v>0</v>
      </c>
      <c r="R255" s="763">
        <v>4022097</v>
      </c>
      <c r="S255" s="764">
        <v>0</v>
      </c>
    </row>
    <row r="256" spans="1:19" ht="20.399999999999999" x14ac:dyDescent="0.3">
      <c r="A256" s="761" t="s">
        <v>6971</v>
      </c>
      <c r="B256" s="761" t="s">
        <v>2336</v>
      </c>
      <c r="C256" s="761" t="s">
        <v>3804</v>
      </c>
      <c r="D256" s="761" t="s">
        <v>3804</v>
      </c>
      <c r="E256" s="761" t="s">
        <v>3839</v>
      </c>
      <c r="F256" s="762">
        <v>0</v>
      </c>
      <c r="G256" s="762">
        <v>0</v>
      </c>
      <c r="H256" s="762">
        <v>0</v>
      </c>
      <c r="I256" s="762">
        <v>0</v>
      </c>
      <c r="J256" s="762">
        <v>0</v>
      </c>
      <c r="K256" s="762">
        <v>0</v>
      </c>
      <c r="L256" s="762">
        <v>0</v>
      </c>
      <c r="M256" s="762">
        <v>0</v>
      </c>
      <c r="N256" s="1187">
        <v>0</v>
      </c>
      <c r="O256" s="1187">
        <v>0</v>
      </c>
      <c r="P256" s="762">
        <v>0</v>
      </c>
      <c r="Q256" s="762">
        <v>0</v>
      </c>
      <c r="R256" s="763">
        <v>0</v>
      </c>
      <c r="S256" s="764">
        <v>0</v>
      </c>
    </row>
    <row r="257" spans="1:19" x14ac:dyDescent="0.3">
      <c r="A257" s="761" t="s">
        <v>6971</v>
      </c>
      <c r="B257" s="761" t="s">
        <v>2336</v>
      </c>
      <c r="C257" s="761" t="s">
        <v>307</v>
      </c>
      <c r="D257" s="761" t="s">
        <v>307</v>
      </c>
      <c r="E257" s="761" t="s">
        <v>2339</v>
      </c>
      <c r="F257" s="762">
        <v>119604</v>
      </c>
      <c r="G257" s="762">
        <v>0</v>
      </c>
      <c r="H257" s="762">
        <v>12627065</v>
      </c>
      <c r="I257" s="762">
        <v>0</v>
      </c>
      <c r="J257" s="762">
        <v>0</v>
      </c>
      <c r="K257" s="762">
        <v>0</v>
      </c>
      <c r="L257" s="762">
        <v>0</v>
      </c>
      <c r="M257" s="762">
        <v>0</v>
      </c>
      <c r="N257" s="1187">
        <v>0</v>
      </c>
      <c r="O257" s="1187">
        <v>0</v>
      </c>
      <c r="P257" s="762">
        <v>12627065</v>
      </c>
      <c r="Q257" s="762">
        <v>0</v>
      </c>
      <c r="R257" s="763">
        <v>12746669</v>
      </c>
      <c r="S257" s="764">
        <v>0</v>
      </c>
    </row>
    <row r="258" spans="1:19" ht="20.399999999999999" x14ac:dyDescent="0.3">
      <c r="A258" s="761" t="s">
        <v>6971</v>
      </c>
      <c r="B258" s="761" t="s">
        <v>2336</v>
      </c>
      <c r="C258" s="761" t="s">
        <v>1508</v>
      </c>
      <c r="D258" s="761" t="s">
        <v>332</v>
      </c>
      <c r="E258" s="761" t="s">
        <v>2340</v>
      </c>
      <c r="F258" s="762">
        <v>0</v>
      </c>
      <c r="G258" s="762">
        <v>0</v>
      </c>
      <c r="H258" s="762">
        <v>0</v>
      </c>
      <c r="I258" s="762">
        <v>0</v>
      </c>
      <c r="J258" s="762">
        <v>152106</v>
      </c>
      <c r="K258" s="762">
        <v>424.8</v>
      </c>
      <c r="L258" s="762">
        <v>0</v>
      </c>
      <c r="M258" s="762">
        <v>0</v>
      </c>
      <c r="N258" s="1187">
        <v>0</v>
      </c>
      <c r="O258" s="1187">
        <v>0</v>
      </c>
      <c r="P258" s="762">
        <v>152106</v>
      </c>
      <c r="Q258" s="762">
        <v>424.8</v>
      </c>
      <c r="R258" s="763">
        <v>152106</v>
      </c>
      <c r="S258" s="764">
        <v>424.8</v>
      </c>
    </row>
    <row r="259" spans="1:19" ht="30.6" x14ac:dyDescent="0.3">
      <c r="A259" s="761" t="s">
        <v>6971</v>
      </c>
      <c r="B259" s="761" t="s">
        <v>2336</v>
      </c>
      <c r="C259" s="761" t="s">
        <v>1512</v>
      </c>
      <c r="D259" s="761" t="s">
        <v>334</v>
      </c>
      <c r="E259" s="761" t="s">
        <v>2341</v>
      </c>
      <c r="F259" s="762">
        <v>0</v>
      </c>
      <c r="G259" s="762">
        <v>0</v>
      </c>
      <c r="H259" s="762">
        <v>17280</v>
      </c>
      <c r="I259" s="762">
        <v>0</v>
      </c>
      <c r="J259" s="762">
        <v>0</v>
      </c>
      <c r="K259" s="762">
        <v>0</v>
      </c>
      <c r="L259" s="762">
        <v>0</v>
      </c>
      <c r="M259" s="762">
        <v>0</v>
      </c>
      <c r="N259" s="1187">
        <v>0</v>
      </c>
      <c r="O259" s="1187">
        <v>0</v>
      </c>
      <c r="P259" s="762">
        <v>17280</v>
      </c>
      <c r="Q259" s="762">
        <v>0</v>
      </c>
      <c r="R259" s="763">
        <v>17280</v>
      </c>
      <c r="S259" s="764">
        <v>0</v>
      </c>
    </row>
    <row r="260" spans="1:19" ht="40.799999999999997" x14ac:dyDescent="0.3">
      <c r="A260" s="761" t="s">
        <v>6971</v>
      </c>
      <c r="B260" s="761" t="s">
        <v>1529</v>
      </c>
      <c r="C260" s="761" t="s">
        <v>1504</v>
      </c>
      <c r="D260" s="761" t="s">
        <v>268</v>
      </c>
      <c r="E260" s="761" t="s">
        <v>1701</v>
      </c>
      <c r="F260" s="762">
        <v>9382792</v>
      </c>
      <c r="G260" s="762">
        <v>20304</v>
      </c>
      <c r="H260" s="762">
        <v>0</v>
      </c>
      <c r="I260" s="762">
        <v>0</v>
      </c>
      <c r="J260" s="762">
        <v>62726973</v>
      </c>
      <c r="K260" s="762">
        <v>162201</v>
      </c>
      <c r="L260" s="762">
        <v>0</v>
      </c>
      <c r="M260" s="762">
        <v>0</v>
      </c>
      <c r="N260" s="1187">
        <v>0</v>
      </c>
      <c r="O260" s="1187">
        <v>0</v>
      </c>
      <c r="P260" s="762">
        <v>62726973</v>
      </c>
      <c r="Q260" s="762">
        <v>162201</v>
      </c>
      <c r="R260" s="763">
        <v>72109765</v>
      </c>
      <c r="S260" s="764">
        <v>182505</v>
      </c>
    </row>
    <row r="261" spans="1:19" ht="20.399999999999999" x14ac:dyDescent="0.3">
      <c r="A261" s="761" t="s">
        <v>6971</v>
      </c>
      <c r="B261" s="761" t="s">
        <v>1529</v>
      </c>
      <c r="C261" s="761" t="s">
        <v>288</v>
      </c>
      <c r="D261" s="761" t="s">
        <v>288</v>
      </c>
      <c r="E261" s="761" t="s">
        <v>1702</v>
      </c>
      <c r="F261" s="762">
        <v>3810907</v>
      </c>
      <c r="G261" s="762">
        <v>0</v>
      </c>
      <c r="H261" s="762">
        <v>14157050</v>
      </c>
      <c r="I261" s="762">
        <v>0</v>
      </c>
      <c r="J261" s="762">
        <v>0</v>
      </c>
      <c r="K261" s="762">
        <v>0</v>
      </c>
      <c r="L261" s="762">
        <v>0</v>
      </c>
      <c r="M261" s="762">
        <v>0</v>
      </c>
      <c r="N261" s="1187">
        <v>0</v>
      </c>
      <c r="O261" s="1187">
        <v>0</v>
      </c>
      <c r="P261" s="762">
        <v>14157050</v>
      </c>
      <c r="Q261" s="762">
        <v>0</v>
      </c>
      <c r="R261" s="763">
        <v>17967957</v>
      </c>
      <c r="S261" s="764">
        <v>0</v>
      </c>
    </row>
    <row r="262" spans="1:19" ht="20.399999999999999" x14ac:dyDescent="0.3">
      <c r="A262" s="761" t="s">
        <v>6971</v>
      </c>
      <c r="B262" s="761" t="s">
        <v>1529</v>
      </c>
      <c r="C262" s="761" t="s">
        <v>3804</v>
      </c>
      <c r="D262" s="761" t="s">
        <v>3804</v>
      </c>
      <c r="E262" s="761" t="s">
        <v>3840</v>
      </c>
      <c r="F262" s="762">
        <v>0</v>
      </c>
      <c r="G262" s="762">
        <v>0</v>
      </c>
      <c r="H262" s="762">
        <v>0</v>
      </c>
      <c r="I262" s="762">
        <v>0</v>
      </c>
      <c r="J262" s="762">
        <v>0</v>
      </c>
      <c r="K262" s="762">
        <v>0</v>
      </c>
      <c r="L262" s="762">
        <v>0</v>
      </c>
      <c r="M262" s="762">
        <v>0</v>
      </c>
      <c r="N262" s="1187">
        <v>13264976</v>
      </c>
      <c r="O262" s="1187">
        <v>29926</v>
      </c>
      <c r="P262" s="762">
        <v>0</v>
      </c>
      <c r="Q262" s="762">
        <v>0</v>
      </c>
      <c r="R262" s="763">
        <v>0</v>
      </c>
      <c r="S262" s="764">
        <v>0</v>
      </c>
    </row>
    <row r="263" spans="1:19" ht="20.399999999999999" x14ac:dyDescent="0.3">
      <c r="A263" s="761" t="s">
        <v>6971</v>
      </c>
      <c r="B263" s="761" t="s">
        <v>1529</v>
      </c>
      <c r="C263" s="761" t="s">
        <v>307</v>
      </c>
      <c r="D263" s="761" t="s">
        <v>307</v>
      </c>
      <c r="E263" s="761" t="s">
        <v>1703</v>
      </c>
      <c r="F263" s="762">
        <v>685070</v>
      </c>
      <c r="G263" s="762">
        <v>0</v>
      </c>
      <c r="H263" s="762">
        <v>49442597</v>
      </c>
      <c r="I263" s="762">
        <v>0</v>
      </c>
      <c r="J263" s="762">
        <v>0</v>
      </c>
      <c r="K263" s="762">
        <v>0</v>
      </c>
      <c r="L263" s="762">
        <v>0</v>
      </c>
      <c r="M263" s="762">
        <v>0</v>
      </c>
      <c r="N263" s="1187">
        <v>0</v>
      </c>
      <c r="O263" s="1187">
        <v>0</v>
      </c>
      <c r="P263" s="762">
        <v>49442597</v>
      </c>
      <c r="Q263" s="762">
        <v>0</v>
      </c>
      <c r="R263" s="763">
        <v>50127667</v>
      </c>
      <c r="S263" s="764">
        <v>0</v>
      </c>
    </row>
    <row r="264" spans="1:19" ht="20.399999999999999" x14ac:dyDescent="0.3">
      <c r="A264" s="761" t="s">
        <v>6971</v>
      </c>
      <c r="B264" s="761" t="s">
        <v>1529</v>
      </c>
      <c r="C264" s="761" t="s">
        <v>1511</v>
      </c>
      <c r="D264" s="761" t="s">
        <v>316</v>
      </c>
      <c r="E264" s="761" t="s">
        <v>1704</v>
      </c>
      <c r="F264" s="762">
        <v>4844</v>
      </c>
      <c r="G264" s="762">
        <v>0</v>
      </c>
      <c r="H264" s="762">
        <v>49309</v>
      </c>
      <c r="I264" s="762">
        <v>158</v>
      </c>
      <c r="J264" s="762">
        <v>0</v>
      </c>
      <c r="K264" s="762">
        <v>0</v>
      </c>
      <c r="L264" s="762">
        <v>0</v>
      </c>
      <c r="M264" s="762">
        <v>0</v>
      </c>
      <c r="N264" s="1187">
        <v>0</v>
      </c>
      <c r="O264" s="1187">
        <v>0</v>
      </c>
      <c r="P264" s="762">
        <v>49309</v>
      </c>
      <c r="Q264" s="762">
        <v>158</v>
      </c>
      <c r="R264" s="763">
        <v>54153</v>
      </c>
      <c r="S264" s="764">
        <v>158</v>
      </c>
    </row>
    <row r="265" spans="1:19" ht="20.399999999999999" x14ac:dyDescent="0.3">
      <c r="A265" s="761" t="s">
        <v>6971</v>
      </c>
      <c r="B265" s="761" t="s">
        <v>1529</v>
      </c>
      <c r="C265" s="761" t="s">
        <v>1508</v>
      </c>
      <c r="D265" s="761" t="s">
        <v>332</v>
      </c>
      <c r="E265" s="761" t="s">
        <v>1705</v>
      </c>
      <c r="F265" s="762">
        <v>0</v>
      </c>
      <c r="G265" s="762">
        <v>0</v>
      </c>
      <c r="H265" s="762">
        <v>0</v>
      </c>
      <c r="I265" s="762">
        <v>0</v>
      </c>
      <c r="J265" s="762">
        <v>498209</v>
      </c>
      <c r="K265" s="762">
        <v>1383</v>
      </c>
      <c r="L265" s="762">
        <v>0</v>
      </c>
      <c r="M265" s="762">
        <v>0</v>
      </c>
      <c r="N265" s="1187">
        <v>0</v>
      </c>
      <c r="O265" s="1187">
        <v>0</v>
      </c>
      <c r="P265" s="762">
        <v>498209</v>
      </c>
      <c r="Q265" s="762">
        <v>1383</v>
      </c>
      <c r="R265" s="763">
        <v>498209</v>
      </c>
      <c r="S265" s="764">
        <v>1383</v>
      </c>
    </row>
    <row r="266" spans="1:19" ht="30.6" x14ac:dyDescent="0.3">
      <c r="A266" s="761" t="s">
        <v>6971</v>
      </c>
      <c r="B266" s="761" t="s">
        <v>1529</v>
      </c>
      <c r="C266" s="761" t="s">
        <v>1512</v>
      </c>
      <c r="D266" s="761" t="s">
        <v>334</v>
      </c>
      <c r="E266" s="761" t="s">
        <v>1706</v>
      </c>
      <c r="F266" s="762">
        <v>192496</v>
      </c>
      <c r="G266" s="762">
        <v>0</v>
      </c>
      <c r="H266" s="762">
        <v>321114</v>
      </c>
      <c r="I266" s="762">
        <v>0</v>
      </c>
      <c r="J266" s="762">
        <v>0</v>
      </c>
      <c r="K266" s="762">
        <v>0</v>
      </c>
      <c r="L266" s="762">
        <v>0</v>
      </c>
      <c r="M266" s="762">
        <v>0</v>
      </c>
      <c r="N266" s="1187">
        <v>0</v>
      </c>
      <c r="O266" s="1187">
        <v>0</v>
      </c>
      <c r="P266" s="762">
        <v>321114</v>
      </c>
      <c r="Q266" s="762">
        <v>0</v>
      </c>
      <c r="R266" s="763">
        <v>513610</v>
      </c>
      <c r="S266" s="764">
        <v>0</v>
      </c>
    </row>
    <row r="267" spans="1:19" ht="40.799999999999997" x14ac:dyDescent="0.3">
      <c r="A267" s="761" t="s">
        <v>6971</v>
      </c>
      <c r="B267" s="761" t="s">
        <v>1530</v>
      </c>
      <c r="C267" s="761" t="s">
        <v>1514</v>
      </c>
      <c r="D267" s="761" t="s">
        <v>4775</v>
      </c>
      <c r="E267" s="1067" t="s">
        <v>5229</v>
      </c>
      <c r="F267" s="762">
        <v>0</v>
      </c>
      <c r="G267" s="762">
        <v>0</v>
      </c>
      <c r="H267" s="762">
        <v>0</v>
      </c>
      <c r="I267" s="762">
        <v>0</v>
      </c>
      <c r="J267" s="762">
        <v>0</v>
      </c>
      <c r="K267" s="762">
        <v>0</v>
      </c>
      <c r="L267" s="762">
        <v>0</v>
      </c>
      <c r="M267" s="762">
        <v>0</v>
      </c>
      <c r="N267" s="1187">
        <v>0</v>
      </c>
      <c r="O267" s="1187">
        <v>0</v>
      </c>
      <c r="P267" s="762">
        <v>0</v>
      </c>
      <c r="Q267" s="762">
        <v>0</v>
      </c>
      <c r="R267" s="763">
        <v>0</v>
      </c>
      <c r="S267" s="764">
        <v>0</v>
      </c>
    </row>
    <row r="268" spans="1:19" ht="30.6" x14ac:dyDescent="0.3">
      <c r="A268" s="761" t="s">
        <v>6971</v>
      </c>
      <c r="B268" s="761" t="s">
        <v>1530</v>
      </c>
      <c r="C268" s="761" t="s">
        <v>1514</v>
      </c>
      <c r="D268" s="761" t="s">
        <v>4776</v>
      </c>
      <c r="E268" s="1067" t="s">
        <v>5230</v>
      </c>
      <c r="F268" s="762">
        <v>0</v>
      </c>
      <c r="G268" s="762">
        <v>0</v>
      </c>
      <c r="H268" s="762">
        <v>0</v>
      </c>
      <c r="I268" s="762">
        <v>0</v>
      </c>
      <c r="J268" s="762">
        <v>0</v>
      </c>
      <c r="K268" s="762">
        <v>0</v>
      </c>
      <c r="L268" s="762">
        <v>0</v>
      </c>
      <c r="M268" s="762">
        <v>0</v>
      </c>
      <c r="N268" s="1187">
        <v>0</v>
      </c>
      <c r="O268" s="1187">
        <v>0</v>
      </c>
      <c r="P268" s="762">
        <v>0</v>
      </c>
      <c r="Q268" s="762">
        <v>0</v>
      </c>
      <c r="R268" s="763">
        <v>0</v>
      </c>
      <c r="S268" s="764">
        <v>0</v>
      </c>
    </row>
    <row r="269" spans="1:19" ht="30.6" x14ac:dyDescent="0.3">
      <c r="A269" s="761" t="s">
        <v>6971</v>
      </c>
      <c r="B269" s="761" t="s">
        <v>1530</v>
      </c>
      <c r="C269" s="761" t="s">
        <v>1514</v>
      </c>
      <c r="D269" s="761" t="s">
        <v>4777</v>
      </c>
      <c r="E269" s="761" t="s">
        <v>7061</v>
      </c>
      <c r="F269" s="762">
        <v>0</v>
      </c>
      <c r="G269" s="762">
        <v>0</v>
      </c>
      <c r="H269" s="762">
        <v>0</v>
      </c>
      <c r="I269" s="762">
        <v>0</v>
      </c>
      <c r="J269" s="762">
        <v>1359500220</v>
      </c>
      <c r="K269" s="762">
        <v>4908125.773</v>
      </c>
      <c r="L269" s="762">
        <v>9225891840</v>
      </c>
      <c r="M269" s="762">
        <v>18471908</v>
      </c>
      <c r="N269" s="1187">
        <v>0</v>
      </c>
      <c r="O269" s="1187">
        <v>0</v>
      </c>
      <c r="P269" s="762">
        <v>10585391999</v>
      </c>
      <c r="Q269" s="762">
        <v>23380033.142999999</v>
      </c>
      <c r="R269" s="763">
        <v>10585391999</v>
      </c>
      <c r="S269" s="764">
        <v>23380033.142999999</v>
      </c>
    </row>
    <row r="270" spans="1:19" ht="40.799999999999997" x14ac:dyDescent="0.3">
      <c r="A270" s="761" t="s">
        <v>6971</v>
      </c>
      <c r="B270" s="761" t="s">
        <v>1530</v>
      </c>
      <c r="C270" s="761" t="s">
        <v>1504</v>
      </c>
      <c r="D270" s="761" t="s">
        <v>4778</v>
      </c>
      <c r="E270" s="1067" t="s">
        <v>5231</v>
      </c>
      <c r="F270" s="762">
        <v>380822.16</v>
      </c>
      <c r="G270" s="762">
        <v>1786</v>
      </c>
      <c r="H270" s="762">
        <v>0</v>
      </c>
      <c r="I270" s="762">
        <v>0</v>
      </c>
      <c r="J270" s="762">
        <v>29063245.300000001</v>
      </c>
      <c r="K270" s="762">
        <v>193395.67569999999</v>
      </c>
      <c r="L270" s="762">
        <v>142181.546875</v>
      </c>
      <c r="M270" s="762">
        <v>4498.40478515625</v>
      </c>
      <c r="N270" s="1187">
        <v>0</v>
      </c>
      <c r="O270" s="1187">
        <v>0</v>
      </c>
      <c r="P270" s="762">
        <v>29205426.84</v>
      </c>
      <c r="Q270" s="762">
        <v>197894.08069999999</v>
      </c>
      <c r="R270" s="763">
        <v>29586249</v>
      </c>
      <c r="S270" s="764">
        <v>199681.01070000001</v>
      </c>
    </row>
    <row r="271" spans="1:19" ht="40.799999999999997" x14ac:dyDescent="0.3">
      <c r="A271" s="761" t="s">
        <v>6971</v>
      </c>
      <c r="B271" s="761" t="s">
        <v>1530</v>
      </c>
      <c r="C271" s="761" t="s">
        <v>1504</v>
      </c>
      <c r="D271" s="761" t="s">
        <v>4779</v>
      </c>
      <c r="E271" s="1067" t="s">
        <v>5232</v>
      </c>
      <c r="F271" s="762">
        <v>44647105.899999999</v>
      </c>
      <c r="G271" s="762">
        <v>106980</v>
      </c>
      <c r="H271" s="762">
        <v>9354680.1390000004</v>
      </c>
      <c r="I271" s="762">
        <v>41587.853669999997</v>
      </c>
      <c r="J271" s="762">
        <v>71988655.030000001</v>
      </c>
      <c r="K271" s="762">
        <v>200477.3989</v>
      </c>
      <c r="L271" s="762">
        <v>2621274</v>
      </c>
      <c r="M271" s="762">
        <v>4929.10400390625</v>
      </c>
      <c r="N271" s="1187">
        <v>0</v>
      </c>
      <c r="O271" s="1187">
        <v>0</v>
      </c>
      <c r="P271" s="762">
        <v>83964609.069000006</v>
      </c>
      <c r="Q271" s="762">
        <v>246994.35657</v>
      </c>
      <c r="R271" s="763">
        <v>128611714.969</v>
      </c>
      <c r="S271" s="764">
        <v>353974.66657</v>
      </c>
    </row>
    <row r="272" spans="1:19" ht="40.799999999999997" x14ac:dyDescent="0.3">
      <c r="A272" s="761" t="s">
        <v>6971</v>
      </c>
      <c r="B272" s="761" t="s">
        <v>1530</v>
      </c>
      <c r="C272" s="761" t="s">
        <v>1504</v>
      </c>
      <c r="D272" s="761" t="s">
        <v>4780</v>
      </c>
      <c r="E272" s="1067" t="s">
        <v>5233</v>
      </c>
      <c r="F272" s="762">
        <v>46960981.859999999</v>
      </c>
      <c r="G272" s="762">
        <v>180950</v>
      </c>
      <c r="H272" s="762">
        <v>5323732.4400000004</v>
      </c>
      <c r="I272" s="762">
        <v>25717.583999999999</v>
      </c>
      <c r="J272" s="762">
        <v>72567715.159999996</v>
      </c>
      <c r="K272" s="762">
        <v>196239.15919999999</v>
      </c>
      <c r="L272" s="762">
        <v>3448793.75</v>
      </c>
      <c r="M272" s="762">
        <v>6394.17578125</v>
      </c>
      <c r="N272" s="1187">
        <v>0</v>
      </c>
      <c r="O272" s="1187">
        <v>0</v>
      </c>
      <c r="P272" s="762">
        <v>81340241.260000005</v>
      </c>
      <c r="Q272" s="762">
        <v>228350.9192</v>
      </c>
      <c r="R272" s="763">
        <v>128301223.12</v>
      </c>
      <c r="S272" s="764">
        <v>409300.9192</v>
      </c>
    </row>
    <row r="273" spans="1:19" ht="40.799999999999997" x14ac:dyDescent="0.3">
      <c r="A273" s="761" t="s">
        <v>6971</v>
      </c>
      <c r="B273" s="761" t="s">
        <v>1530</v>
      </c>
      <c r="C273" s="761" t="s">
        <v>1504</v>
      </c>
      <c r="D273" s="761" t="s">
        <v>4781</v>
      </c>
      <c r="E273" s="1067" t="s">
        <v>7311</v>
      </c>
      <c r="F273" s="762">
        <v>31734200.48</v>
      </c>
      <c r="G273" s="762">
        <v>94299</v>
      </c>
      <c r="H273" s="762">
        <v>13814839.539999999</v>
      </c>
      <c r="I273" s="762">
        <v>38795.091999999997</v>
      </c>
      <c r="J273" s="762">
        <v>95029594.120000005</v>
      </c>
      <c r="K273" s="762">
        <v>253611.8273</v>
      </c>
      <c r="L273" s="762">
        <v>2926024.25</v>
      </c>
      <c r="M273" s="762">
        <v>5451.06396484375</v>
      </c>
      <c r="N273" s="1187">
        <v>0</v>
      </c>
      <c r="O273" s="1187">
        <v>0</v>
      </c>
      <c r="P273" s="762">
        <v>111770457.8</v>
      </c>
      <c r="Q273" s="762">
        <v>297857.98330000002</v>
      </c>
      <c r="R273" s="763">
        <v>143504658.28</v>
      </c>
      <c r="S273" s="764">
        <v>392157.05330000003</v>
      </c>
    </row>
    <row r="274" spans="1:19" ht="40.799999999999997" x14ac:dyDescent="0.3">
      <c r="A274" s="761" t="s">
        <v>6971</v>
      </c>
      <c r="B274" s="761" t="s">
        <v>1530</v>
      </c>
      <c r="C274" s="761" t="s">
        <v>1504</v>
      </c>
      <c r="D274" s="761" t="s">
        <v>4782</v>
      </c>
      <c r="E274" s="1067" t="s">
        <v>7062</v>
      </c>
      <c r="F274" s="762">
        <v>639048460.36000001</v>
      </c>
      <c r="G274" s="762">
        <v>2309391</v>
      </c>
      <c r="H274" s="762">
        <v>286523477</v>
      </c>
      <c r="I274" s="762">
        <v>1380244.0759999999</v>
      </c>
      <c r="J274" s="762">
        <v>1521000142</v>
      </c>
      <c r="K274" s="762">
        <v>4851946.898</v>
      </c>
      <c r="L274" s="762">
        <v>8047979</v>
      </c>
      <c r="M274" s="762">
        <v>14622.365234375</v>
      </c>
      <c r="N274" s="1187">
        <v>0</v>
      </c>
      <c r="O274" s="1187">
        <v>0</v>
      </c>
      <c r="P274" s="762">
        <v>1815571598.039</v>
      </c>
      <c r="Q274" s="762">
        <v>6246813.3389999997</v>
      </c>
      <c r="R274" s="763">
        <v>2454620058.3990002</v>
      </c>
      <c r="S274" s="764">
        <v>8556204.409</v>
      </c>
    </row>
    <row r="275" spans="1:19" ht="40.799999999999997" x14ac:dyDescent="0.3">
      <c r="A275" s="761" t="s">
        <v>6971</v>
      </c>
      <c r="B275" s="761" t="s">
        <v>1530</v>
      </c>
      <c r="C275" s="761" t="s">
        <v>1504</v>
      </c>
      <c r="D275" s="761" t="s">
        <v>7063</v>
      </c>
      <c r="E275" s="1067" t="s">
        <v>7312</v>
      </c>
      <c r="F275" s="762">
        <v>24185434.280000001</v>
      </c>
      <c r="G275" s="762">
        <v>67117</v>
      </c>
      <c r="H275" s="762">
        <v>0</v>
      </c>
      <c r="I275" s="762">
        <v>0</v>
      </c>
      <c r="J275" s="762">
        <v>42366141.299999997</v>
      </c>
      <c r="K275" s="762">
        <v>109208.2337</v>
      </c>
      <c r="L275" s="762">
        <v>0</v>
      </c>
      <c r="M275" s="762">
        <v>0</v>
      </c>
      <c r="N275" s="1187">
        <v>0</v>
      </c>
      <c r="O275" s="1187">
        <v>0</v>
      </c>
      <c r="P275" s="762">
        <v>42366141.299999997</v>
      </c>
      <c r="Q275" s="762">
        <v>109208.2337</v>
      </c>
      <c r="R275" s="763">
        <v>66551575.579999998</v>
      </c>
      <c r="S275" s="764">
        <v>176325.89369999999</v>
      </c>
    </row>
    <row r="276" spans="1:19" ht="40.799999999999997" x14ac:dyDescent="0.3">
      <c r="A276" s="761" t="s">
        <v>6971</v>
      </c>
      <c r="B276" s="761" t="s">
        <v>1530</v>
      </c>
      <c r="C276" s="761" t="s">
        <v>1504</v>
      </c>
      <c r="D276" s="761" t="s">
        <v>4783</v>
      </c>
      <c r="E276" s="1067" t="s">
        <v>7064</v>
      </c>
      <c r="F276" s="762">
        <v>197184661.47</v>
      </c>
      <c r="G276" s="762">
        <v>606808</v>
      </c>
      <c r="H276" s="762">
        <v>117647321.7</v>
      </c>
      <c r="I276" s="762">
        <v>422902.3737</v>
      </c>
      <c r="J276" s="762">
        <v>691883954</v>
      </c>
      <c r="K276" s="762">
        <v>1917606.301</v>
      </c>
      <c r="L276" s="762">
        <v>2463510.25</v>
      </c>
      <c r="M276" s="762">
        <v>4466.13720703125</v>
      </c>
      <c r="N276" s="1187">
        <v>0</v>
      </c>
      <c r="O276" s="1187">
        <v>0</v>
      </c>
      <c r="P276" s="762">
        <v>811994785.84300005</v>
      </c>
      <c r="Q276" s="762">
        <v>2344974.8117</v>
      </c>
      <c r="R276" s="763">
        <v>1009179447.313</v>
      </c>
      <c r="S276" s="764">
        <v>2951783.3816999998</v>
      </c>
    </row>
    <row r="277" spans="1:19" ht="30.6" x14ac:dyDescent="0.3">
      <c r="A277" s="761" t="s">
        <v>6971</v>
      </c>
      <c r="B277" s="761" t="s">
        <v>1530</v>
      </c>
      <c r="C277" s="761" t="s">
        <v>288</v>
      </c>
      <c r="D277" s="761" t="s">
        <v>4784</v>
      </c>
      <c r="E277" s="1067" t="s">
        <v>7065</v>
      </c>
      <c r="F277" s="762">
        <v>476690196.89999998</v>
      </c>
      <c r="G277" s="762">
        <v>0</v>
      </c>
      <c r="H277" s="762">
        <v>1817688740</v>
      </c>
      <c r="I277" s="762">
        <v>0</v>
      </c>
      <c r="J277" s="762">
        <v>34437242.409999996</v>
      </c>
      <c r="K277" s="762">
        <v>0</v>
      </c>
      <c r="L277" s="762">
        <v>0</v>
      </c>
      <c r="M277" s="762">
        <v>0</v>
      </c>
      <c r="N277" s="1187">
        <v>0</v>
      </c>
      <c r="O277" s="1187">
        <v>0</v>
      </c>
      <c r="P277" s="762">
        <v>1852125982.4100001</v>
      </c>
      <c r="Q277" s="762">
        <v>0</v>
      </c>
      <c r="R277" s="763">
        <v>2328816179.3099999</v>
      </c>
      <c r="S277" s="764">
        <v>0</v>
      </c>
    </row>
    <row r="278" spans="1:19" ht="30.6" x14ac:dyDescent="0.3">
      <c r="A278" s="761" t="s">
        <v>6971</v>
      </c>
      <c r="B278" s="761" t="s">
        <v>1530</v>
      </c>
      <c r="C278" s="761" t="s">
        <v>288</v>
      </c>
      <c r="D278" s="761" t="s">
        <v>4785</v>
      </c>
      <c r="E278" s="1067" t="s">
        <v>5234</v>
      </c>
      <c r="F278" s="762">
        <v>13272209.939999999</v>
      </c>
      <c r="G278" s="762">
        <v>0</v>
      </c>
      <c r="H278" s="762">
        <v>47130026.200000003</v>
      </c>
      <c r="I278" s="762">
        <v>0</v>
      </c>
      <c r="J278" s="762">
        <v>248728.0324</v>
      </c>
      <c r="K278" s="762">
        <v>0</v>
      </c>
      <c r="L278" s="762">
        <v>0</v>
      </c>
      <c r="M278" s="762">
        <v>0</v>
      </c>
      <c r="N278" s="1187">
        <v>0</v>
      </c>
      <c r="O278" s="1187">
        <v>0</v>
      </c>
      <c r="P278" s="762">
        <v>47378754.2324</v>
      </c>
      <c r="Q278" s="762">
        <v>0</v>
      </c>
      <c r="R278" s="763">
        <v>60650964.172399998</v>
      </c>
      <c r="S278" s="764">
        <v>0</v>
      </c>
    </row>
    <row r="279" spans="1:19" ht="30.6" x14ac:dyDescent="0.3">
      <c r="A279" s="761" t="s">
        <v>6971</v>
      </c>
      <c r="B279" s="761" t="s">
        <v>1530</v>
      </c>
      <c r="C279" s="761" t="s">
        <v>288</v>
      </c>
      <c r="D279" s="761" t="s">
        <v>4786</v>
      </c>
      <c r="E279" s="1067" t="s">
        <v>5235</v>
      </c>
      <c r="F279" s="762">
        <v>16381572.529999999</v>
      </c>
      <c r="G279" s="762">
        <v>0</v>
      </c>
      <c r="H279" s="762">
        <v>41017313.189999998</v>
      </c>
      <c r="I279" s="762">
        <v>0</v>
      </c>
      <c r="J279" s="762">
        <v>1349906.5630000001</v>
      </c>
      <c r="K279" s="762">
        <v>0</v>
      </c>
      <c r="L279" s="762">
        <v>0</v>
      </c>
      <c r="M279" s="762">
        <v>0</v>
      </c>
      <c r="N279" s="1187">
        <v>0</v>
      </c>
      <c r="O279" s="1187">
        <v>0</v>
      </c>
      <c r="P279" s="762">
        <v>42367219.752999999</v>
      </c>
      <c r="Q279" s="762">
        <v>0</v>
      </c>
      <c r="R279" s="763">
        <v>58748792.283</v>
      </c>
      <c r="S279" s="764">
        <v>0</v>
      </c>
    </row>
    <row r="280" spans="1:19" ht="30.6" x14ac:dyDescent="0.3">
      <c r="A280" s="761" t="s">
        <v>6971</v>
      </c>
      <c r="B280" s="761" t="s">
        <v>1530</v>
      </c>
      <c r="C280" s="761" t="s">
        <v>288</v>
      </c>
      <c r="D280" s="761" t="s">
        <v>4787</v>
      </c>
      <c r="E280" s="1067" t="s">
        <v>7313</v>
      </c>
      <c r="F280" s="762">
        <v>7985772.4400000004</v>
      </c>
      <c r="G280" s="762">
        <v>0</v>
      </c>
      <c r="H280" s="762">
        <v>36512967.520000003</v>
      </c>
      <c r="I280" s="762">
        <v>0</v>
      </c>
      <c r="J280" s="762">
        <v>2063435.44</v>
      </c>
      <c r="K280" s="762">
        <v>0</v>
      </c>
      <c r="L280" s="762">
        <v>0</v>
      </c>
      <c r="M280" s="762">
        <v>0</v>
      </c>
      <c r="N280" s="1187">
        <v>0</v>
      </c>
      <c r="O280" s="1187">
        <v>0</v>
      </c>
      <c r="P280" s="762">
        <v>38576402.960000001</v>
      </c>
      <c r="Q280" s="762">
        <v>0</v>
      </c>
      <c r="R280" s="763">
        <v>46562175.399999999</v>
      </c>
      <c r="S280" s="764">
        <v>0</v>
      </c>
    </row>
    <row r="281" spans="1:19" ht="30.6" x14ac:dyDescent="0.3">
      <c r="A281" s="761" t="s">
        <v>6971</v>
      </c>
      <c r="B281" s="761" t="s">
        <v>1530</v>
      </c>
      <c r="C281" s="761" t="s">
        <v>288</v>
      </c>
      <c r="D281" s="761" t="s">
        <v>4788</v>
      </c>
      <c r="E281" s="1067" t="s">
        <v>7066</v>
      </c>
      <c r="F281" s="762">
        <v>133717779.01000001</v>
      </c>
      <c r="G281" s="762">
        <v>0</v>
      </c>
      <c r="H281" s="762">
        <v>458383962.5</v>
      </c>
      <c r="I281" s="762">
        <v>0</v>
      </c>
      <c r="J281" s="762">
        <v>9806005.6190000009</v>
      </c>
      <c r="K281" s="762">
        <v>0</v>
      </c>
      <c r="L281" s="762">
        <v>0</v>
      </c>
      <c r="M281" s="762">
        <v>0</v>
      </c>
      <c r="N281" s="1187">
        <v>0</v>
      </c>
      <c r="O281" s="1187">
        <v>0</v>
      </c>
      <c r="P281" s="762">
        <v>468189968.11900002</v>
      </c>
      <c r="Q281" s="762">
        <v>0</v>
      </c>
      <c r="R281" s="763">
        <v>601907747.12899995</v>
      </c>
      <c r="S281" s="764">
        <v>0</v>
      </c>
    </row>
    <row r="282" spans="1:19" ht="20.399999999999999" x14ac:dyDescent="0.3">
      <c r="A282" s="761" t="s">
        <v>6971</v>
      </c>
      <c r="B282" s="761" t="s">
        <v>1530</v>
      </c>
      <c r="C282" s="761" t="s">
        <v>3804</v>
      </c>
      <c r="D282" s="761" t="s">
        <v>3804</v>
      </c>
      <c r="E282" s="761" t="s">
        <v>3841</v>
      </c>
      <c r="F282" s="762">
        <v>0</v>
      </c>
      <c r="G282" s="762">
        <v>0</v>
      </c>
      <c r="H282" s="762">
        <v>0</v>
      </c>
      <c r="I282" s="762">
        <v>0</v>
      </c>
      <c r="J282" s="762">
        <v>0</v>
      </c>
      <c r="K282" s="762">
        <v>0</v>
      </c>
      <c r="L282" s="762">
        <v>0</v>
      </c>
      <c r="M282" s="762">
        <v>0</v>
      </c>
      <c r="N282" s="1187">
        <v>3975247872</v>
      </c>
      <c r="O282" s="1187">
        <v>738992</v>
      </c>
      <c r="P282" s="762">
        <v>0</v>
      </c>
      <c r="Q282" s="762">
        <v>0</v>
      </c>
      <c r="R282" s="763">
        <v>0</v>
      </c>
      <c r="S282" s="764">
        <v>0</v>
      </c>
    </row>
    <row r="283" spans="1:19" ht="30.6" x14ac:dyDescent="0.3">
      <c r="A283" s="761" t="s">
        <v>6971</v>
      </c>
      <c r="B283" s="761" t="s">
        <v>1530</v>
      </c>
      <c r="C283" s="761" t="s">
        <v>307</v>
      </c>
      <c r="D283" s="761" t="s">
        <v>4789</v>
      </c>
      <c r="E283" s="1067" t="s">
        <v>5236</v>
      </c>
      <c r="F283" s="762">
        <v>8474516.4100000001</v>
      </c>
      <c r="G283" s="762">
        <v>0</v>
      </c>
      <c r="H283" s="762">
        <v>172097240.80000001</v>
      </c>
      <c r="I283" s="762">
        <v>0</v>
      </c>
      <c r="J283" s="762">
        <v>0</v>
      </c>
      <c r="K283" s="762">
        <v>0</v>
      </c>
      <c r="L283" s="762">
        <v>0</v>
      </c>
      <c r="M283" s="762">
        <v>0</v>
      </c>
      <c r="N283" s="1187">
        <v>0</v>
      </c>
      <c r="O283" s="1187">
        <v>0</v>
      </c>
      <c r="P283" s="762">
        <v>172097240.80000001</v>
      </c>
      <c r="Q283" s="762">
        <v>0</v>
      </c>
      <c r="R283" s="763">
        <v>180571757.21000001</v>
      </c>
      <c r="S283" s="764">
        <v>0</v>
      </c>
    </row>
    <row r="284" spans="1:19" ht="20.399999999999999" x14ac:dyDescent="0.3">
      <c r="A284" s="761" t="s">
        <v>6971</v>
      </c>
      <c r="B284" s="761" t="s">
        <v>1530</v>
      </c>
      <c r="C284" s="761" t="s">
        <v>307</v>
      </c>
      <c r="D284" s="761" t="s">
        <v>4790</v>
      </c>
      <c r="E284" s="1067" t="s">
        <v>7067</v>
      </c>
      <c r="F284" s="762">
        <v>255853527.69999999</v>
      </c>
      <c r="G284" s="762">
        <v>0</v>
      </c>
      <c r="H284" s="762">
        <v>4574204134</v>
      </c>
      <c r="I284" s="762">
        <v>0</v>
      </c>
      <c r="J284" s="762">
        <v>1975512.406</v>
      </c>
      <c r="K284" s="762">
        <v>0</v>
      </c>
      <c r="L284" s="762">
        <v>0</v>
      </c>
      <c r="M284" s="762">
        <v>0</v>
      </c>
      <c r="N284" s="1187">
        <v>0</v>
      </c>
      <c r="O284" s="1187">
        <v>0</v>
      </c>
      <c r="P284" s="762">
        <v>4576179646.4060001</v>
      </c>
      <c r="Q284" s="762">
        <v>0</v>
      </c>
      <c r="R284" s="763">
        <v>4832033174.1059999</v>
      </c>
      <c r="S284" s="764">
        <v>0</v>
      </c>
    </row>
    <row r="285" spans="1:19" ht="20.399999999999999" x14ac:dyDescent="0.3">
      <c r="A285" s="761" t="s">
        <v>6971</v>
      </c>
      <c r="B285" s="761" t="s">
        <v>1530</v>
      </c>
      <c r="C285" s="761" t="s">
        <v>307</v>
      </c>
      <c r="D285" s="761" t="s">
        <v>4791</v>
      </c>
      <c r="E285" s="1067" t="s">
        <v>7068</v>
      </c>
      <c r="F285" s="762">
        <v>142086531.52000001</v>
      </c>
      <c r="G285" s="762">
        <v>0</v>
      </c>
      <c r="H285" s="762">
        <v>4811276999</v>
      </c>
      <c r="I285" s="762">
        <v>0</v>
      </c>
      <c r="J285" s="762">
        <v>560690.99190000002</v>
      </c>
      <c r="K285" s="762">
        <v>0</v>
      </c>
      <c r="L285" s="762">
        <v>0</v>
      </c>
      <c r="M285" s="762">
        <v>0</v>
      </c>
      <c r="N285" s="1187">
        <v>0</v>
      </c>
      <c r="O285" s="1187">
        <v>0</v>
      </c>
      <c r="P285" s="762">
        <v>4811837689.9919004</v>
      </c>
      <c r="Q285" s="762">
        <v>0</v>
      </c>
      <c r="R285" s="763">
        <v>4953924221.5118999</v>
      </c>
      <c r="S285" s="764">
        <v>0</v>
      </c>
    </row>
    <row r="286" spans="1:19" ht="30.6" x14ac:dyDescent="0.3">
      <c r="A286" s="761" t="s">
        <v>6971</v>
      </c>
      <c r="B286" s="761" t="s">
        <v>1530</v>
      </c>
      <c r="C286" s="761" t="s">
        <v>307</v>
      </c>
      <c r="D286" s="761" t="s">
        <v>4792</v>
      </c>
      <c r="E286" s="1067" t="s">
        <v>5237</v>
      </c>
      <c r="F286" s="762">
        <v>5424436.7599999998</v>
      </c>
      <c r="G286" s="762">
        <v>0</v>
      </c>
      <c r="H286" s="762">
        <v>143527279.69999999</v>
      </c>
      <c r="I286" s="762">
        <v>0</v>
      </c>
      <c r="J286" s="762">
        <v>0</v>
      </c>
      <c r="K286" s="762">
        <v>0</v>
      </c>
      <c r="L286" s="762">
        <v>0</v>
      </c>
      <c r="M286" s="762">
        <v>0</v>
      </c>
      <c r="N286" s="1187">
        <v>0</v>
      </c>
      <c r="O286" s="1187">
        <v>0</v>
      </c>
      <c r="P286" s="762">
        <v>143527279.69999999</v>
      </c>
      <c r="Q286" s="762">
        <v>0</v>
      </c>
      <c r="R286" s="763">
        <v>148951716.46000001</v>
      </c>
      <c r="S286" s="764">
        <v>0</v>
      </c>
    </row>
    <row r="287" spans="1:19" ht="20.399999999999999" x14ac:dyDescent="0.3">
      <c r="A287" s="761" t="s">
        <v>6971</v>
      </c>
      <c r="B287" s="761" t="s">
        <v>1530</v>
      </c>
      <c r="C287" s="761" t="s">
        <v>307</v>
      </c>
      <c r="D287" s="761" t="s">
        <v>4793</v>
      </c>
      <c r="E287" s="1067" t="s">
        <v>7069</v>
      </c>
      <c r="F287" s="762">
        <v>4911409.6500000004</v>
      </c>
      <c r="G287" s="762">
        <v>0</v>
      </c>
      <c r="H287" s="762">
        <v>641819761.13999999</v>
      </c>
      <c r="I287" s="762">
        <v>0</v>
      </c>
      <c r="J287" s="762">
        <v>33845.839999999997</v>
      </c>
      <c r="K287" s="762">
        <v>0</v>
      </c>
      <c r="L287" s="762">
        <v>0</v>
      </c>
      <c r="M287" s="762">
        <v>0</v>
      </c>
      <c r="N287" s="1187">
        <v>0</v>
      </c>
      <c r="O287" s="1187">
        <v>0</v>
      </c>
      <c r="P287" s="762">
        <v>641853606.98000002</v>
      </c>
      <c r="Q287" s="762">
        <v>0</v>
      </c>
      <c r="R287" s="763">
        <v>646765016.63</v>
      </c>
      <c r="S287" s="764">
        <v>0</v>
      </c>
    </row>
    <row r="288" spans="1:19" ht="20.399999999999999" x14ac:dyDescent="0.3">
      <c r="A288" s="761" t="s">
        <v>6971</v>
      </c>
      <c r="B288" s="761" t="s">
        <v>1530</v>
      </c>
      <c r="C288" s="761" t="s">
        <v>307</v>
      </c>
      <c r="D288" s="761" t="s">
        <v>4794</v>
      </c>
      <c r="E288" s="1067" t="s">
        <v>7070</v>
      </c>
      <c r="F288" s="762">
        <v>68857146.310000002</v>
      </c>
      <c r="G288" s="762">
        <v>0</v>
      </c>
      <c r="H288" s="762">
        <v>1877006538</v>
      </c>
      <c r="I288" s="762">
        <v>0</v>
      </c>
      <c r="J288" s="762">
        <v>37610.539490000003</v>
      </c>
      <c r="K288" s="762">
        <v>0</v>
      </c>
      <c r="L288" s="762">
        <v>0</v>
      </c>
      <c r="M288" s="762">
        <v>0</v>
      </c>
      <c r="N288" s="1187">
        <v>0</v>
      </c>
      <c r="O288" s="1187">
        <v>0</v>
      </c>
      <c r="P288" s="762">
        <v>1877044148.53949</v>
      </c>
      <c r="Q288" s="762">
        <v>0</v>
      </c>
      <c r="R288" s="763">
        <v>1945901294.8494899</v>
      </c>
      <c r="S288" s="764">
        <v>0</v>
      </c>
    </row>
    <row r="289" spans="1:19" ht="30.6" x14ac:dyDescent="0.3">
      <c r="A289" s="761" t="s">
        <v>6971</v>
      </c>
      <c r="B289" s="761" t="s">
        <v>1530</v>
      </c>
      <c r="C289" s="761" t="s">
        <v>307</v>
      </c>
      <c r="D289" s="761" t="s">
        <v>4795</v>
      </c>
      <c r="E289" s="1067" t="s">
        <v>7314</v>
      </c>
      <c r="F289" s="762">
        <v>3941670.73</v>
      </c>
      <c r="G289" s="762">
        <v>0</v>
      </c>
      <c r="H289" s="762">
        <v>112438034.09999999</v>
      </c>
      <c r="I289" s="762">
        <v>0</v>
      </c>
      <c r="J289" s="762">
        <v>0</v>
      </c>
      <c r="K289" s="762">
        <v>0</v>
      </c>
      <c r="L289" s="762">
        <v>0</v>
      </c>
      <c r="M289" s="762">
        <v>0</v>
      </c>
      <c r="N289" s="1187">
        <v>0</v>
      </c>
      <c r="O289" s="1187">
        <v>0</v>
      </c>
      <c r="P289" s="762">
        <v>112438034.09999999</v>
      </c>
      <c r="Q289" s="762">
        <v>0</v>
      </c>
      <c r="R289" s="763">
        <v>116379704.83</v>
      </c>
      <c r="S289" s="764">
        <v>0</v>
      </c>
    </row>
    <row r="290" spans="1:19" ht="30.6" x14ac:dyDescent="0.3">
      <c r="A290" s="761" t="s">
        <v>6971</v>
      </c>
      <c r="B290" s="761" t="s">
        <v>1530</v>
      </c>
      <c r="C290" s="761" t="s">
        <v>1511</v>
      </c>
      <c r="D290" s="761" t="s">
        <v>4796</v>
      </c>
      <c r="E290" s="1067" t="s">
        <v>5238</v>
      </c>
      <c r="F290" s="762">
        <v>36722.93</v>
      </c>
      <c r="G290" s="762">
        <v>106</v>
      </c>
      <c r="H290" s="762">
        <v>165779.6165</v>
      </c>
      <c r="I290" s="762">
        <v>603.33814319999999</v>
      </c>
      <c r="J290" s="762">
        <v>0</v>
      </c>
      <c r="K290" s="762">
        <v>0</v>
      </c>
      <c r="L290" s="762">
        <v>0</v>
      </c>
      <c r="M290" s="762">
        <v>0</v>
      </c>
      <c r="N290" s="1187">
        <v>0</v>
      </c>
      <c r="O290" s="1187">
        <v>0</v>
      </c>
      <c r="P290" s="762">
        <v>165779.6165</v>
      </c>
      <c r="Q290" s="762">
        <v>603.33814319999999</v>
      </c>
      <c r="R290" s="763">
        <v>202502.5465</v>
      </c>
      <c r="S290" s="764">
        <v>710.27814320000004</v>
      </c>
    </row>
    <row r="291" spans="1:19" ht="20.399999999999999" x14ac:dyDescent="0.3">
      <c r="A291" s="761" t="s">
        <v>6971</v>
      </c>
      <c r="B291" s="761" t="s">
        <v>1530</v>
      </c>
      <c r="C291" s="761" t="s">
        <v>1511</v>
      </c>
      <c r="D291" s="761" t="s">
        <v>4797</v>
      </c>
      <c r="E291" s="1067" t="s">
        <v>5239</v>
      </c>
      <c r="F291" s="762">
        <v>721965.8</v>
      </c>
      <c r="G291" s="762">
        <v>0</v>
      </c>
      <c r="H291" s="762">
        <v>11686212.67</v>
      </c>
      <c r="I291" s="762">
        <v>0</v>
      </c>
      <c r="J291" s="762">
        <v>264754.84669999999</v>
      </c>
      <c r="K291" s="762">
        <v>0</v>
      </c>
      <c r="L291" s="762">
        <v>0</v>
      </c>
      <c r="M291" s="762">
        <v>0</v>
      </c>
      <c r="N291" s="1187">
        <v>0</v>
      </c>
      <c r="O291" s="1187">
        <v>0</v>
      </c>
      <c r="P291" s="762">
        <v>11950967.5167</v>
      </c>
      <c r="Q291" s="762">
        <v>0</v>
      </c>
      <c r="R291" s="763">
        <v>12672933.3167</v>
      </c>
      <c r="S291" s="764">
        <v>0</v>
      </c>
    </row>
    <row r="292" spans="1:19" ht="30.6" x14ac:dyDescent="0.3">
      <c r="A292" s="761" t="s">
        <v>6971</v>
      </c>
      <c r="B292" s="761" t="s">
        <v>1530</v>
      </c>
      <c r="C292" s="761" t="s">
        <v>1511</v>
      </c>
      <c r="D292" s="761" t="s">
        <v>4798</v>
      </c>
      <c r="E292" s="1067" t="s">
        <v>5240</v>
      </c>
      <c r="F292" s="762">
        <v>6269.49</v>
      </c>
      <c r="G292" s="762">
        <v>17</v>
      </c>
      <c r="H292" s="762">
        <v>131786.01</v>
      </c>
      <c r="I292" s="762">
        <v>509.31</v>
      </c>
      <c r="J292" s="762">
        <v>0</v>
      </c>
      <c r="K292" s="762">
        <v>0</v>
      </c>
      <c r="L292" s="762">
        <v>0</v>
      </c>
      <c r="M292" s="762">
        <v>0</v>
      </c>
      <c r="N292" s="1187">
        <v>0</v>
      </c>
      <c r="O292" s="1187">
        <v>0</v>
      </c>
      <c r="P292" s="762">
        <v>131786.01</v>
      </c>
      <c r="Q292" s="762">
        <v>509.31</v>
      </c>
      <c r="R292" s="763">
        <v>138055.5</v>
      </c>
      <c r="S292" s="764">
        <v>526.84</v>
      </c>
    </row>
    <row r="293" spans="1:19" ht="30.6" x14ac:dyDescent="0.3">
      <c r="A293" s="761" t="s">
        <v>6971</v>
      </c>
      <c r="B293" s="761" t="s">
        <v>1530</v>
      </c>
      <c r="C293" s="761" t="s">
        <v>1508</v>
      </c>
      <c r="D293" s="761" t="s">
        <v>4799</v>
      </c>
      <c r="E293" s="1067" t="s">
        <v>5241</v>
      </c>
      <c r="F293" s="762">
        <v>1467043.64</v>
      </c>
      <c r="G293" s="762">
        <v>4022</v>
      </c>
      <c r="H293" s="762">
        <v>9284.3767459999999</v>
      </c>
      <c r="I293" s="762">
        <v>63.515999999999998</v>
      </c>
      <c r="J293" s="762">
        <v>0</v>
      </c>
      <c r="K293" s="762">
        <v>0</v>
      </c>
      <c r="L293" s="762">
        <v>0</v>
      </c>
      <c r="M293" s="762">
        <v>0</v>
      </c>
      <c r="N293" s="1187">
        <v>0</v>
      </c>
      <c r="O293" s="1187">
        <v>0</v>
      </c>
      <c r="P293" s="762">
        <v>9284.3767459999999</v>
      </c>
      <c r="Q293" s="762">
        <v>63.515999999999998</v>
      </c>
      <c r="R293" s="763">
        <v>1476328.0167459999</v>
      </c>
      <c r="S293" s="764">
        <v>4086.1460000000002</v>
      </c>
    </row>
    <row r="294" spans="1:19" ht="20.399999999999999" x14ac:dyDescent="0.3">
      <c r="A294" s="761" t="s">
        <v>6971</v>
      </c>
      <c r="B294" s="761" t="s">
        <v>1530</v>
      </c>
      <c r="C294" s="761" t="s">
        <v>1508</v>
      </c>
      <c r="D294" s="761" t="s">
        <v>4800</v>
      </c>
      <c r="E294" s="1067" t="s">
        <v>5242</v>
      </c>
      <c r="F294" s="762">
        <v>25349514.850000001</v>
      </c>
      <c r="G294" s="762">
        <v>0</v>
      </c>
      <c r="H294" s="762">
        <v>45176718.729999997</v>
      </c>
      <c r="I294" s="762">
        <v>0</v>
      </c>
      <c r="J294" s="762">
        <v>13136748.029999999</v>
      </c>
      <c r="K294" s="762">
        <v>0</v>
      </c>
      <c r="L294" s="762">
        <v>0</v>
      </c>
      <c r="M294" s="762">
        <v>0</v>
      </c>
      <c r="N294" s="1187">
        <v>0</v>
      </c>
      <c r="O294" s="1187">
        <v>0</v>
      </c>
      <c r="P294" s="762">
        <v>58313466.759999998</v>
      </c>
      <c r="Q294" s="762">
        <v>0</v>
      </c>
      <c r="R294" s="763">
        <v>83662981.609999999</v>
      </c>
      <c r="S294" s="764">
        <v>0</v>
      </c>
    </row>
    <row r="295" spans="1:19" ht="30.6" x14ac:dyDescent="0.3">
      <c r="A295" s="761" t="s">
        <v>6971</v>
      </c>
      <c r="B295" s="761" t="s">
        <v>1530</v>
      </c>
      <c r="C295" s="761" t="s">
        <v>1508</v>
      </c>
      <c r="D295" s="761" t="s">
        <v>4801</v>
      </c>
      <c r="E295" s="1067" t="s">
        <v>5243</v>
      </c>
      <c r="F295" s="762">
        <v>0</v>
      </c>
      <c r="G295" s="762">
        <v>0</v>
      </c>
      <c r="H295" s="762">
        <v>32394.137999999999</v>
      </c>
      <c r="I295" s="762">
        <v>150.79</v>
      </c>
      <c r="J295" s="762">
        <v>1646673.507</v>
      </c>
      <c r="K295" s="762">
        <v>6316.2839999999997</v>
      </c>
      <c r="L295" s="762">
        <v>0</v>
      </c>
      <c r="M295" s="762">
        <v>0</v>
      </c>
      <c r="N295" s="1187">
        <v>0</v>
      </c>
      <c r="O295" s="1187">
        <v>0</v>
      </c>
      <c r="P295" s="762">
        <v>1679067.645</v>
      </c>
      <c r="Q295" s="762">
        <v>6467.0739999999996</v>
      </c>
      <c r="R295" s="763">
        <v>1679067.645</v>
      </c>
      <c r="S295" s="764">
        <v>6467.0739999999996</v>
      </c>
    </row>
    <row r="296" spans="1:19" ht="30.6" x14ac:dyDescent="0.3">
      <c r="A296" s="761" t="s">
        <v>6971</v>
      </c>
      <c r="B296" s="761" t="s">
        <v>1530</v>
      </c>
      <c r="C296" s="761" t="s">
        <v>1508</v>
      </c>
      <c r="D296" s="761" t="s">
        <v>4802</v>
      </c>
      <c r="E296" s="1067" t="s">
        <v>7315</v>
      </c>
      <c r="F296" s="762">
        <v>9717.2099999999991</v>
      </c>
      <c r="G296" s="762">
        <v>26</v>
      </c>
      <c r="H296" s="762">
        <v>53303.055769999999</v>
      </c>
      <c r="I296" s="762">
        <v>128.22</v>
      </c>
      <c r="J296" s="762">
        <v>2587872.36</v>
      </c>
      <c r="K296" s="762">
        <v>7242.5519999999997</v>
      </c>
      <c r="L296" s="762">
        <v>0</v>
      </c>
      <c r="M296" s="762">
        <v>0</v>
      </c>
      <c r="N296" s="1187">
        <v>0</v>
      </c>
      <c r="O296" s="1187">
        <v>0</v>
      </c>
      <c r="P296" s="762">
        <v>2641175.4157699998</v>
      </c>
      <c r="Q296" s="762">
        <v>7370.7719999999999</v>
      </c>
      <c r="R296" s="763">
        <v>2650892.6257699998</v>
      </c>
      <c r="S296" s="764">
        <v>7397.3119999999999</v>
      </c>
    </row>
    <row r="297" spans="1:19" ht="30.6" x14ac:dyDescent="0.3">
      <c r="A297" s="761" t="s">
        <v>6971</v>
      </c>
      <c r="B297" s="761" t="s">
        <v>1530</v>
      </c>
      <c r="C297" s="761" t="s">
        <v>1531</v>
      </c>
      <c r="D297" s="761" t="s">
        <v>4803</v>
      </c>
      <c r="E297" s="761" t="s">
        <v>7071</v>
      </c>
      <c r="F297" s="762">
        <v>478772045.62</v>
      </c>
      <c r="G297" s="762">
        <v>1144167</v>
      </c>
      <c r="H297" s="762">
        <v>0</v>
      </c>
      <c r="I297" s="762">
        <v>0</v>
      </c>
      <c r="J297" s="762">
        <v>3838970537.79</v>
      </c>
      <c r="K297" s="762">
        <v>8973919.3589999992</v>
      </c>
      <c r="L297" s="762">
        <v>824960704</v>
      </c>
      <c r="M297" s="762">
        <v>1827256.625</v>
      </c>
      <c r="N297" s="1187">
        <v>0</v>
      </c>
      <c r="O297" s="1187">
        <v>0</v>
      </c>
      <c r="P297" s="762">
        <v>4663931210.96</v>
      </c>
      <c r="Q297" s="762">
        <v>10801175.994999999</v>
      </c>
      <c r="R297" s="763">
        <v>5142703256.5799999</v>
      </c>
      <c r="S297" s="764">
        <v>11945343.385</v>
      </c>
    </row>
    <row r="298" spans="1:19" ht="30.6" x14ac:dyDescent="0.3">
      <c r="A298" s="761" t="s">
        <v>6971</v>
      </c>
      <c r="B298" s="761" t="s">
        <v>1530</v>
      </c>
      <c r="C298" s="761" t="s">
        <v>1512</v>
      </c>
      <c r="D298" s="761" t="s">
        <v>4804</v>
      </c>
      <c r="E298" s="1067" t="s">
        <v>7065</v>
      </c>
      <c r="F298" s="762">
        <v>2247431.25</v>
      </c>
      <c r="G298" s="762">
        <v>0</v>
      </c>
      <c r="H298" s="762">
        <v>28078781.469999999</v>
      </c>
      <c r="I298" s="762">
        <v>0</v>
      </c>
      <c r="J298" s="762">
        <v>0</v>
      </c>
      <c r="K298" s="762">
        <v>0</v>
      </c>
      <c r="L298" s="762">
        <v>0</v>
      </c>
      <c r="M298" s="762">
        <v>0</v>
      </c>
      <c r="N298" s="1187">
        <v>0</v>
      </c>
      <c r="O298" s="1187">
        <v>0</v>
      </c>
      <c r="P298" s="762">
        <v>28078781.469999999</v>
      </c>
      <c r="Q298" s="762">
        <v>0</v>
      </c>
      <c r="R298" s="763">
        <v>30326212.719999999</v>
      </c>
      <c r="S298" s="764">
        <v>0</v>
      </c>
    </row>
    <row r="299" spans="1:19" ht="30.6" x14ac:dyDescent="0.3">
      <c r="A299" s="761" t="s">
        <v>6971</v>
      </c>
      <c r="B299" s="761" t="s">
        <v>1530</v>
      </c>
      <c r="C299" s="761" t="s">
        <v>1512</v>
      </c>
      <c r="D299" s="761" t="s">
        <v>4805</v>
      </c>
      <c r="E299" s="1067" t="s">
        <v>5244</v>
      </c>
      <c r="F299" s="762">
        <v>55789.26</v>
      </c>
      <c r="G299" s="762">
        <v>0</v>
      </c>
      <c r="H299" s="762">
        <v>235877.10680000001</v>
      </c>
      <c r="I299" s="762">
        <v>0</v>
      </c>
      <c r="J299" s="762">
        <v>0</v>
      </c>
      <c r="K299" s="762">
        <v>0</v>
      </c>
      <c r="L299" s="762">
        <v>0</v>
      </c>
      <c r="M299" s="762">
        <v>0</v>
      </c>
      <c r="N299" s="1187">
        <v>0</v>
      </c>
      <c r="O299" s="1187">
        <v>0</v>
      </c>
      <c r="P299" s="762">
        <v>235877.10680000001</v>
      </c>
      <c r="Q299" s="762">
        <v>0</v>
      </c>
      <c r="R299" s="763">
        <v>291666.36680000002</v>
      </c>
      <c r="S299" s="764">
        <v>0</v>
      </c>
    </row>
    <row r="300" spans="1:19" ht="30.6" x14ac:dyDescent="0.3">
      <c r="A300" s="761" t="s">
        <v>6971</v>
      </c>
      <c r="B300" s="761" t="s">
        <v>1530</v>
      </c>
      <c r="C300" s="761" t="s">
        <v>1512</v>
      </c>
      <c r="D300" s="761" t="s">
        <v>4806</v>
      </c>
      <c r="E300" s="1067" t="s">
        <v>5245</v>
      </c>
      <c r="F300" s="762">
        <v>129836.74</v>
      </c>
      <c r="G300" s="762">
        <v>0</v>
      </c>
      <c r="H300" s="762">
        <v>325780.29989999998</v>
      </c>
      <c r="I300" s="762">
        <v>0</v>
      </c>
      <c r="J300" s="762">
        <v>0</v>
      </c>
      <c r="K300" s="762">
        <v>0</v>
      </c>
      <c r="L300" s="762">
        <v>0</v>
      </c>
      <c r="M300" s="762">
        <v>0</v>
      </c>
      <c r="N300" s="1187">
        <v>0</v>
      </c>
      <c r="O300" s="1187">
        <v>0</v>
      </c>
      <c r="P300" s="762">
        <v>325780.29989999998</v>
      </c>
      <c r="Q300" s="762">
        <v>0</v>
      </c>
      <c r="R300" s="763">
        <v>455617.03989999997</v>
      </c>
      <c r="S300" s="764">
        <v>0</v>
      </c>
    </row>
    <row r="301" spans="1:19" ht="30.6" x14ac:dyDescent="0.3">
      <c r="A301" s="761" t="s">
        <v>6971</v>
      </c>
      <c r="B301" s="761" t="s">
        <v>1530</v>
      </c>
      <c r="C301" s="761" t="s">
        <v>1512</v>
      </c>
      <c r="D301" s="761" t="s">
        <v>4807</v>
      </c>
      <c r="E301" s="1067" t="s">
        <v>7316</v>
      </c>
      <c r="F301" s="762">
        <v>1447.09</v>
      </c>
      <c r="G301" s="762">
        <v>0</v>
      </c>
      <c r="H301" s="762">
        <v>544518.89969999995</v>
      </c>
      <c r="I301" s="762">
        <v>0</v>
      </c>
      <c r="J301" s="762">
        <v>0</v>
      </c>
      <c r="K301" s="762">
        <v>0</v>
      </c>
      <c r="L301" s="762">
        <v>0</v>
      </c>
      <c r="M301" s="762">
        <v>0</v>
      </c>
      <c r="N301" s="1187">
        <v>0</v>
      </c>
      <c r="O301" s="1187">
        <v>0</v>
      </c>
      <c r="P301" s="762">
        <v>544518.89969999995</v>
      </c>
      <c r="Q301" s="762">
        <v>0</v>
      </c>
      <c r="R301" s="763">
        <v>545965.98970000003</v>
      </c>
      <c r="S301" s="764">
        <v>0</v>
      </c>
    </row>
    <row r="302" spans="1:19" ht="40.799999999999997" x14ac:dyDescent="0.3">
      <c r="A302" s="761" t="s">
        <v>6971</v>
      </c>
      <c r="B302" s="761" t="s">
        <v>3842</v>
      </c>
      <c r="C302" s="761" t="s">
        <v>1504</v>
      </c>
      <c r="D302" s="761" t="s">
        <v>4808</v>
      </c>
      <c r="E302" s="761" t="s">
        <v>4809</v>
      </c>
      <c r="F302" s="762">
        <v>0</v>
      </c>
      <c r="G302" s="762">
        <v>0</v>
      </c>
      <c r="H302" s="762">
        <v>0</v>
      </c>
      <c r="I302" s="762">
        <v>0</v>
      </c>
      <c r="J302" s="762">
        <v>0</v>
      </c>
      <c r="K302" s="762">
        <v>0</v>
      </c>
      <c r="L302" s="762">
        <v>0</v>
      </c>
      <c r="M302" s="762">
        <v>0</v>
      </c>
      <c r="N302" s="1187">
        <v>0</v>
      </c>
      <c r="O302" s="1187">
        <v>0</v>
      </c>
      <c r="P302" s="762">
        <v>0</v>
      </c>
      <c r="Q302" s="762">
        <v>0</v>
      </c>
      <c r="R302" s="763">
        <v>0</v>
      </c>
      <c r="S302" s="764">
        <v>0</v>
      </c>
    </row>
    <row r="303" spans="1:19" ht="30.6" x14ac:dyDescent="0.3">
      <c r="A303" s="761" t="s">
        <v>6971</v>
      </c>
      <c r="B303" s="761" t="s">
        <v>3842</v>
      </c>
      <c r="C303" s="761" t="s">
        <v>288</v>
      </c>
      <c r="D303" s="761" t="s">
        <v>4810</v>
      </c>
      <c r="E303" s="761" t="s">
        <v>4811</v>
      </c>
      <c r="F303" s="762">
        <v>0</v>
      </c>
      <c r="G303" s="762">
        <v>0</v>
      </c>
      <c r="H303" s="762">
        <v>0</v>
      </c>
      <c r="I303" s="762">
        <v>0</v>
      </c>
      <c r="J303" s="762">
        <v>0</v>
      </c>
      <c r="K303" s="762">
        <v>0</v>
      </c>
      <c r="L303" s="762">
        <v>0</v>
      </c>
      <c r="M303" s="762">
        <v>0</v>
      </c>
      <c r="N303" s="1187">
        <v>0</v>
      </c>
      <c r="O303" s="1187">
        <v>0</v>
      </c>
      <c r="P303" s="762">
        <v>0</v>
      </c>
      <c r="Q303" s="762">
        <v>0</v>
      </c>
      <c r="R303" s="763">
        <v>0</v>
      </c>
      <c r="S303" s="764">
        <v>0</v>
      </c>
    </row>
    <row r="304" spans="1:19" ht="20.399999999999999" x14ac:dyDescent="0.3">
      <c r="A304" s="761" t="s">
        <v>6971</v>
      </c>
      <c r="B304" s="761" t="s">
        <v>3842</v>
      </c>
      <c r="C304" s="761" t="s">
        <v>288</v>
      </c>
      <c r="D304" s="761" t="s">
        <v>319</v>
      </c>
      <c r="E304" s="761" t="s">
        <v>4812</v>
      </c>
      <c r="F304" s="762">
        <v>0</v>
      </c>
      <c r="G304" s="762">
        <v>0</v>
      </c>
      <c r="H304" s="762">
        <v>0</v>
      </c>
      <c r="I304" s="762">
        <v>0</v>
      </c>
      <c r="J304" s="762">
        <v>0</v>
      </c>
      <c r="K304" s="762">
        <v>0</v>
      </c>
      <c r="L304" s="762">
        <v>0</v>
      </c>
      <c r="M304" s="762">
        <v>0</v>
      </c>
      <c r="N304" s="1187">
        <v>0</v>
      </c>
      <c r="O304" s="1187">
        <v>0</v>
      </c>
      <c r="P304" s="762">
        <v>0</v>
      </c>
      <c r="Q304" s="762">
        <v>0</v>
      </c>
      <c r="R304" s="763">
        <v>0</v>
      </c>
      <c r="S304" s="764">
        <v>0</v>
      </c>
    </row>
    <row r="305" spans="1:19" ht="30.6" x14ac:dyDescent="0.3">
      <c r="A305" s="761" t="s">
        <v>6971</v>
      </c>
      <c r="B305" s="761" t="s">
        <v>3842</v>
      </c>
      <c r="C305" s="761" t="s">
        <v>288</v>
      </c>
      <c r="D305" s="761" t="s">
        <v>4813</v>
      </c>
      <c r="E305" s="761" t="s">
        <v>4814</v>
      </c>
      <c r="F305" s="762">
        <v>0</v>
      </c>
      <c r="G305" s="762">
        <v>0</v>
      </c>
      <c r="H305" s="762">
        <v>0</v>
      </c>
      <c r="I305" s="762">
        <v>0</v>
      </c>
      <c r="J305" s="762">
        <v>0</v>
      </c>
      <c r="K305" s="762">
        <v>0</v>
      </c>
      <c r="L305" s="762">
        <v>0</v>
      </c>
      <c r="M305" s="762">
        <v>0</v>
      </c>
      <c r="N305" s="1187">
        <v>0</v>
      </c>
      <c r="O305" s="1187">
        <v>0</v>
      </c>
      <c r="P305" s="762">
        <v>0</v>
      </c>
      <c r="Q305" s="762">
        <v>0</v>
      </c>
      <c r="R305" s="763">
        <v>0</v>
      </c>
      <c r="S305" s="764">
        <v>0</v>
      </c>
    </row>
    <row r="306" spans="1:19" ht="20.399999999999999" x14ac:dyDescent="0.3">
      <c r="A306" s="761" t="s">
        <v>6971</v>
      </c>
      <c r="B306" s="761" t="s">
        <v>3842</v>
      </c>
      <c r="C306" s="761" t="s">
        <v>288</v>
      </c>
      <c r="D306" s="761" t="s">
        <v>455</v>
      </c>
      <c r="E306" s="761" t="s">
        <v>4815</v>
      </c>
      <c r="F306" s="762">
        <v>0</v>
      </c>
      <c r="G306" s="762">
        <v>0</v>
      </c>
      <c r="H306" s="762">
        <v>0</v>
      </c>
      <c r="I306" s="762">
        <v>0</v>
      </c>
      <c r="J306" s="762">
        <v>0</v>
      </c>
      <c r="K306" s="762">
        <v>0</v>
      </c>
      <c r="L306" s="762">
        <v>0</v>
      </c>
      <c r="M306" s="762">
        <v>0</v>
      </c>
      <c r="N306" s="1187">
        <v>0</v>
      </c>
      <c r="O306" s="1187">
        <v>0</v>
      </c>
      <c r="P306" s="762">
        <v>0</v>
      </c>
      <c r="Q306" s="762">
        <v>0</v>
      </c>
      <c r="R306" s="763">
        <v>0</v>
      </c>
      <c r="S306" s="764">
        <v>0</v>
      </c>
    </row>
    <row r="307" spans="1:19" ht="20.399999999999999" x14ac:dyDescent="0.3">
      <c r="A307" s="761" t="s">
        <v>6971</v>
      </c>
      <c r="B307" s="761" t="s">
        <v>3842</v>
      </c>
      <c r="C307" s="761" t="s">
        <v>3804</v>
      </c>
      <c r="D307" s="761" t="s">
        <v>3804</v>
      </c>
      <c r="E307" s="761" t="s">
        <v>3843</v>
      </c>
      <c r="F307" s="762">
        <v>0</v>
      </c>
      <c r="G307" s="762">
        <v>0</v>
      </c>
      <c r="H307" s="762">
        <v>0</v>
      </c>
      <c r="I307" s="762">
        <v>0</v>
      </c>
      <c r="J307" s="762">
        <v>0</v>
      </c>
      <c r="K307" s="762">
        <v>0</v>
      </c>
      <c r="L307" s="762">
        <v>0</v>
      </c>
      <c r="M307" s="762">
        <v>0</v>
      </c>
      <c r="N307" s="1187">
        <v>0</v>
      </c>
      <c r="O307" s="1187">
        <v>0</v>
      </c>
      <c r="P307" s="762">
        <v>0</v>
      </c>
      <c r="Q307" s="762">
        <v>0</v>
      </c>
      <c r="R307" s="763">
        <v>0</v>
      </c>
      <c r="S307" s="764">
        <v>0</v>
      </c>
    </row>
    <row r="308" spans="1:19" ht="20.399999999999999" x14ac:dyDescent="0.3">
      <c r="A308" s="761" t="s">
        <v>6971</v>
      </c>
      <c r="B308" s="761" t="s">
        <v>3842</v>
      </c>
      <c r="C308" s="761" t="s">
        <v>307</v>
      </c>
      <c r="D308" s="761" t="s">
        <v>4816</v>
      </c>
      <c r="E308" s="761" t="s">
        <v>4817</v>
      </c>
      <c r="F308" s="762">
        <v>0</v>
      </c>
      <c r="G308" s="762">
        <v>0</v>
      </c>
      <c r="H308" s="762">
        <v>0</v>
      </c>
      <c r="I308" s="762">
        <v>0</v>
      </c>
      <c r="J308" s="762">
        <v>0</v>
      </c>
      <c r="K308" s="762">
        <v>0</v>
      </c>
      <c r="L308" s="762">
        <v>0</v>
      </c>
      <c r="M308" s="762">
        <v>0</v>
      </c>
      <c r="N308" s="1187">
        <v>0</v>
      </c>
      <c r="O308" s="1187">
        <v>0</v>
      </c>
      <c r="P308" s="762">
        <v>0</v>
      </c>
      <c r="Q308" s="762">
        <v>0</v>
      </c>
      <c r="R308" s="763">
        <v>0</v>
      </c>
      <c r="S308" s="764">
        <v>0</v>
      </c>
    </row>
    <row r="309" spans="1:19" ht="20.399999999999999" x14ac:dyDescent="0.3">
      <c r="A309" s="761" t="s">
        <v>6971</v>
      </c>
      <c r="B309" s="761" t="s">
        <v>3842</v>
      </c>
      <c r="C309" s="761" t="s">
        <v>307</v>
      </c>
      <c r="D309" s="761" t="s">
        <v>4818</v>
      </c>
      <c r="E309" s="761" t="s">
        <v>4819</v>
      </c>
      <c r="F309" s="762">
        <v>0</v>
      </c>
      <c r="G309" s="762">
        <v>0</v>
      </c>
      <c r="H309" s="762">
        <v>0</v>
      </c>
      <c r="I309" s="762">
        <v>0</v>
      </c>
      <c r="J309" s="762">
        <v>0</v>
      </c>
      <c r="K309" s="762">
        <v>0</v>
      </c>
      <c r="L309" s="762">
        <v>0</v>
      </c>
      <c r="M309" s="762">
        <v>0</v>
      </c>
      <c r="N309" s="1187">
        <v>0</v>
      </c>
      <c r="O309" s="1187">
        <v>0</v>
      </c>
      <c r="P309" s="762">
        <v>0</v>
      </c>
      <c r="Q309" s="762">
        <v>0</v>
      </c>
      <c r="R309" s="763">
        <v>0</v>
      </c>
      <c r="S309" s="764">
        <v>0</v>
      </c>
    </row>
    <row r="310" spans="1:19" ht="20.399999999999999" x14ac:dyDescent="0.3">
      <c r="A310" s="761" t="s">
        <v>6971</v>
      </c>
      <c r="B310" s="761" t="s">
        <v>3842</v>
      </c>
      <c r="C310" s="761" t="s">
        <v>307</v>
      </c>
      <c r="D310" s="761" t="s">
        <v>321</v>
      </c>
      <c r="E310" s="761" t="s">
        <v>4820</v>
      </c>
      <c r="F310" s="762">
        <v>0</v>
      </c>
      <c r="G310" s="762">
        <v>0</v>
      </c>
      <c r="H310" s="762">
        <v>0</v>
      </c>
      <c r="I310" s="762">
        <v>0</v>
      </c>
      <c r="J310" s="762">
        <v>0</v>
      </c>
      <c r="K310" s="762">
        <v>0</v>
      </c>
      <c r="L310" s="762">
        <v>0</v>
      </c>
      <c r="M310" s="762">
        <v>0</v>
      </c>
      <c r="N310" s="1187">
        <v>0</v>
      </c>
      <c r="O310" s="1187">
        <v>0</v>
      </c>
      <c r="P310" s="762">
        <v>0</v>
      </c>
      <c r="Q310" s="762">
        <v>0</v>
      </c>
      <c r="R310" s="763">
        <v>0</v>
      </c>
      <c r="S310" s="764">
        <v>0</v>
      </c>
    </row>
    <row r="311" spans="1:19" ht="20.399999999999999" x14ac:dyDescent="0.3">
      <c r="A311" s="761" t="s">
        <v>6971</v>
      </c>
      <c r="B311" s="761" t="s">
        <v>3842</v>
      </c>
      <c r="C311" s="761" t="s">
        <v>307</v>
      </c>
      <c r="D311" s="761" t="s">
        <v>4821</v>
      </c>
      <c r="E311" s="761" t="s">
        <v>4822</v>
      </c>
      <c r="F311" s="762">
        <v>0</v>
      </c>
      <c r="G311" s="762">
        <v>0</v>
      </c>
      <c r="H311" s="762">
        <v>0</v>
      </c>
      <c r="I311" s="762">
        <v>0</v>
      </c>
      <c r="J311" s="762">
        <v>0</v>
      </c>
      <c r="K311" s="762">
        <v>0</v>
      </c>
      <c r="L311" s="762">
        <v>0</v>
      </c>
      <c r="M311" s="762">
        <v>0</v>
      </c>
      <c r="N311" s="1187">
        <v>0</v>
      </c>
      <c r="O311" s="1187">
        <v>0</v>
      </c>
      <c r="P311" s="762">
        <v>0</v>
      </c>
      <c r="Q311" s="762">
        <v>0</v>
      </c>
      <c r="R311" s="763">
        <v>0</v>
      </c>
      <c r="S311" s="764">
        <v>0</v>
      </c>
    </row>
    <row r="312" spans="1:19" ht="20.399999999999999" x14ac:dyDescent="0.3">
      <c r="A312" s="761" t="s">
        <v>6971</v>
      </c>
      <c r="B312" s="761" t="s">
        <v>3842</v>
      </c>
      <c r="C312" s="761" t="s">
        <v>1508</v>
      </c>
      <c r="D312" s="761" t="s">
        <v>332</v>
      </c>
      <c r="E312" s="761" t="s">
        <v>4823</v>
      </c>
      <c r="F312" s="762">
        <v>0</v>
      </c>
      <c r="G312" s="762">
        <v>0</v>
      </c>
      <c r="H312" s="762">
        <v>0</v>
      </c>
      <c r="I312" s="762">
        <v>0</v>
      </c>
      <c r="J312" s="762">
        <v>0</v>
      </c>
      <c r="K312" s="762">
        <v>0</v>
      </c>
      <c r="L312" s="762">
        <v>0</v>
      </c>
      <c r="M312" s="762">
        <v>0</v>
      </c>
      <c r="N312" s="1187">
        <v>0</v>
      </c>
      <c r="O312" s="1187">
        <v>0</v>
      </c>
      <c r="P312" s="762">
        <v>0</v>
      </c>
      <c r="Q312" s="762">
        <v>0</v>
      </c>
      <c r="R312" s="763">
        <v>0</v>
      </c>
      <c r="S312" s="764">
        <v>0</v>
      </c>
    </row>
    <row r="313" spans="1:19" ht="40.799999999999997" x14ac:dyDescent="0.3">
      <c r="A313" s="761" t="s">
        <v>6971</v>
      </c>
      <c r="B313" s="761" t="s">
        <v>1532</v>
      </c>
      <c r="C313" s="761" t="s">
        <v>1504</v>
      </c>
      <c r="D313" s="761" t="s">
        <v>249</v>
      </c>
      <c r="E313" s="761" t="s">
        <v>1707</v>
      </c>
      <c r="F313" s="762">
        <v>39691422</v>
      </c>
      <c r="G313" s="762">
        <v>84899</v>
      </c>
      <c r="H313" s="762">
        <v>415080</v>
      </c>
      <c r="I313" s="762">
        <v>42593</v>
      </c>
      <c r="J313" s="762">
        <v>682911492</v>
      </c>
      <c r="K313" s="762">
        <v>1432728</v>
      </c>
      <c r="L313" s="762">
        <v>695563</v>
      </c>
      <c r="M313" s="762">
        <v>44461</v>
      </c>
      <c r="N313" s="1187">
        <v>0</v>
      </c>
      <c r="O313" s="1187">
        <v>0</v>
      </c>
      <c r="P313" s="762">
        <v>684022135</v>
      </c>
      <c r="Q313" s="762">
        <v>1519782</v>
      </c>
      <c r="R313" s="763">
        <v>723713557</v>
      </c>
      <c r="S313" s="764">
        <v>1604681</v>
      </c>
    </row>
    <row r="314" spans="1:19" ht="40.799999999999997" x14ac:dyDescent="0.3">
      <c r="A314" s="761" t="s">
        <v>6971</v>
      </c>
      <c r="B314" s="761" t="s">
        <v>1532</v>
      </c>
      <c r="C314" s="761" t="s">
        <v>1504</v>
      </c>
      <c r="D314" s="761" t="s">
        <v>259</v>
      </c>
      <c r="E314" s="761" t="s">
        <v>1708</v>
      </c>
      <c r="F314" s="762">
        <v>254498619</v>
      </c>
      <c r="G314" s="762">
        <v>644217</v>
      </c>
      <c r="H314" s="762">
        <v>347234702</v>
      </c>
      <c r="I314" s="762">
        <v>815079</v>
      </c>
      <c r="J314" s="762">
        <v>2279820791</v>
      </c>
      <c r="K314" s="762">
        <v>5371600</v>
      </c>
      <c r="L314" s="762">
        <v>32136872</v>
      </c>
      <c r="M314" s="762">
        <v>59184</v>
      </c>
      <c r="N314" s="1187">
        <v>0</v>
      </c>
      <c r="O314" s="1187">
        <v>0</v>
      </c>
      <c r="P314" s="762">
        <v>2659192364</v>
      </c>
      <c r="Q314" s="762">
        <v>6245863</v>
      </c>
      <c r="R314" s="763">
        <v>2913690983</v>
      </c>
      <c r="S314" s="764">
        <v>6890080</v>
      </c>
    </row>
    <row r="315" spans="1:19" ht="20.399999999999999" x14ac:dyDescent="0.3">
      <c r="A315" s="761" t="s">
        <v>6971</v>
      </c>
      <c r="B315" s="761" t="s">
        <v>1532</v>
      </c>
      <c r="C315" s="761" t="s">
        <v>288</v>
      </c>
      <c r="D315" s="761" t="s">
        <v>288</v>
      </c>
      <c r="E315" s="761" t="s">
        <v>1709</v>
      </c>
      <c r="F315" s="762">
        <v>111717613</v>
      </c>
      <c r="G315" s="762">
        <v>0</v>
      </c>
      <c r="H315" s="762">
        <v>613043665</v>
      </c>
      <c r="I315" s="762">
        <v>0</v>
      </c>
      <c r="J315" s="762">
        <v>0</v>
      </c>
      <c r="K315" s="762">
        <v>0</v>
      </c>
      <c r="L315" s="762">
        <v>0</v>
      </c>
      <c r="M315" s="762">
        <v>0</v>
      </c>
      <c r="N315" s="1187">
        <v>0</v>
      </c>
      <c r="O315" s="1187">
        <v>0</v>
      </c>
      <c r="P315" s="762">
        <v>613043665</v>
      </c>
      <c r="Q315" s="762">
        <v>0</v>
      </c>
      <c r="R315" s="763">
        <v>724761278</v>
      </c>
      <c r="S315" s="764">
        <v>0</v>
      </c>
    </row>
    <row r="316" spans="1:19" ht="20.399999999999999" x14ac:dyDescent="0.3">
      <c r="A316" s="761" t="s">
        <v>6971</v>
      </c>
      <c r="B316" s="761" t="s">
        <v>1532</v>
      </c>
      <c r="C316" s="761" t="s">
        <v>1510</v>
      </c>
      <c r="D316" s="761" t="s">
        <v>297</v>
      </c>
      <c r="E316" s="761" t="s">
        <v>1710</v>
      </c>
      <c r="F316" s="762">
        <v>48716715</v>
      </c>
      <c r="G316" s="762">
        <v>84867</v>
      </c>
      <c r="H316" s="762">
        <v>0</v>
      </c>
      <c r="I316" s="762">
        <v>0</v>
      </c>
      <c r="J316" s="762">
        <v>553366068</v>
      </c>
      <c r="K316" s="762">
        <v>979646</v>
      </c>
      <c r="L316" s="762">
        <v>0</v>
      </c>
      <c r="M316" s="762">
        <v>0</v>
      </c>
      <c r="N316" s="1187">
        <v>0</v>
      </c>
      <c r="O316" s="1187">
        <v>0</v>
      </c>
      <c r="P316" s="762">
        <v>553366068</v>
      </c>
      <c r="Q316" s="762">
        <v>979646</v>
      </c>
      <c r="R316" s="763">
        <v>602082783</v>
      </c>
      <c r="S316" s="764">
        <v>1064513</v>
      </c>
    </row>
    <row r="317" spans="1:19" ht="20.399999999999999" x14ac:dyDescent="0.3">
      <c r="A317" s="761" t="s">
        <v>6971</v>
      </c>
      <c r="B317" s="761" t="s">
        <v>1532</v>
      </c>
      <c r="C317" s="761" t="s">
        <v>3804</v>
      </c>
      <c r="D317" s="761" t="s">
        <v>3804</v>
      </c>
      <c r="E317" s="761" t="s">
        <v>3844</v>
      </c>
      <c r="F317" s="762">
        <v>0</v>
      </c>
      <c r="G317" s="762">
        <v>0</v>
      </c>
      <c r="H317" s="762">
        <v>0</v>
      </c>
      <c r="I317" s="762">
        <v>0</v>
      </c>
      <c r="J317" s="762">
        <v>0</v>
      </c>
      <c r="K317" s="762">
        <v>0</v>
      </c>
      <c r="L317" s="762">
        <v>0</v>
      </c>
      <c r="M317" s="762">
        <v>0</v>
      </c>
      <c r="N317" s="1187">
        <v>1326677120</v>
      </c>
      <c r="O317" s="1187">
        <v>2554373</v>
      </c>
      <c r="P317" s="762">
        <v>0</v>
      </c>
      <c r="Q317" s="762">
        <v>0</v>
      </c>
      <c r="R317" s="763">
        <v>0</v>
      </c>
      <c r="S317" s="764">
        <v>0</v>
      </c>
    </row>
    <row r="318" spans="1:19" ht="20.399999999999999" x14ac:dyDescent="0.3">
      <c r="A318" s="761" t="s">
        <v>6971</v>
      </c>
      <c r="B318" s="761" t="s">
        <v>1532</v>
      </c>
      <c r="C318" s="761" t="s">
        <v>307</v>
      </c>
      <c r="D318" s="761" t="s">
        <v>307</v>
      </c>
      <c r="E318" s="761" t="s">
        <v>1711</v>
      </c>
      <c r="F318" s="762">
        <v>42764069</v>
      </c>
      <c r="G318" s="762">
        <v>0</v>
      </c>
      <c r="H318" s="762">
        <v>2220450579</v>
      </c>
      <c r="I318" s="762">
        <v>0</v>
      </c>
      <c r="J318" s="762">
        <v>0</v>
      </c>
      <c r="K318" s="762">
        <v>0</v>
      </c>
      <c r="L318" s="762">
        <v>0</v>
      </c>
      <c r="M318" s="762">
        <v>0</v>
      </c>
      <c r="N318" s="1187">
        <v>0</v>
      </c>
      <c r="O318" s="1187">
        <v>0</v>
      </c>
      <c r="P318" s="762">
        <v>2220450579</v>
      </c>
      <c r="Q318" s="762">
        <v>0</v>
      </c>
      <c r="R318" s="763">
        <v>2263214648</v>
      </c>
      <c r="S318" s="764">
        <v>0</v>
      </c>
    </row>
    <row r="319" spans="1:19" ht="20.399999999999999" x14ac:dyDescent="0.3">
      <c r="A319" s="761" t="s">
        <v>6971</v>
      </c>
      <c r="B319" s="761" t="s">
        <v>1532</v>
      </c>
      <c r="C319" s="761" t="s">
        <v>1511</v>
      </c>
      <c r="D319" s="761" t="s">
        <v>316</v>
      </c>
      <c r="E319" s="761" t="s">
        <v>1712</v>
      </c>
      <c r="F319" s="762">
        <v>0</v>
      </c>
      <c r="G319" s="762">
        <v>0</v>
      </c>
      <c r="H319" s="762">
        <v>47813</v>
      </c>
      <c r="I319" s="762">
        <v>133</v>
      </c>
      <c r="J319" s="762">
        <v>0</v>
      </c>
      <c r="K319" s="762">
        <v>0</v>
      </c>
      <c r="L319" s="762">
        <v>0</v>
      </c>
      <c r="M319" s="762">
        <v>0</v>
      </c>
      <c r="N319" s="1187">
        <v>0</v>
      </c>
      <c r="O319" s="1187">
        <v>0</v>
      </c>
      <c r="P319" s="762">
        <v>47813</v>
      </c>
      <c r="Q319" s="762">
        <v>133</v>
      </c>
      <c r="R319" s="763">
        <v>47813</v>
      </c>
      <c r="S319" s="764">
        <v>133</v>
      </c>
    </row>
    <row r="320" spans="1:19" ht="20.399999999999999" x14ac:dyDescent="0.3">
      <c r="A320" s="761" t="s">
        <v>6971</v>
      </c>
      <c r="B320" s="761" t="s">
        <v>1532</v>
      </c>
      <c r="C320" s="761" t="s">
        <v>1508</v>
      </c>
      <c r="D320" s="761" t="s">
        <v>332</v>
      </c>
      <c r="E320" s="761" t="s">
        <v>1713</v>
      </c>
      <c r="F320" s="762">
        <v>59855</v>
      </c>
      <c r="G320" s="762">
        <v>164</v>
      </c>
      <c r="H320" s="762">
        <v>0</v>
      </c>
      <c r="I320" s="762">
        <v>0</v>
      </c>
      <c r="J320" s="762">
        <v>26670660</v>
      </c>
      <c r="K320" s="762">
        <v>80732</v>
      </c>
      <c r="L320" s="762">
        <v>0</v>
      </c>
      <c r="M320" s="762">
        <v>0</v>
      </c>
      <c r="N320" s="1187">
        <v>0</v>
      </c>
      <c r="O320" s="1187">
        <v>0</v>
      </c>
      <c r="P320" s="762">
        <v>26670660</v>
      </c>
      <c r="Q320" s="762">
        <v>80732</v>
      </c>
      <c r="R320" s="763">
        <v>26730515</v>
      </c>
      <c r="S320" s="764">
        <v>80896</v>
      </c>
    </row>
    <row r="321" spans="1:19" ht="30.6" x14ac:dyDescent="0.3">
      <c r="A321" s="761" t="s">
        <v>6971</v>
      </c>
      <c r="B321" s="761" t="s">
        <v>1532</v>
      </c>
      <c r="C321" s="761" t="s">
        <v>1512</v>
      </c>
      <c r="D321" s="761" t="s">
        <v>334</v>
      </c>
      <c r="E321" s="761" t="s">
        <v>1714</v>
      </c>
      <c r="F321" s="762">
        <v>0</v>
      </c>
      <c r="G321" s="762">
        <v>0</v>
      </c>
      <c r="H321" s="762">
        <v>14549690</v>
      </c>
      <c r="I321" s="762">
        <v>0</v>
      </c>
      <c r="J321" s="762">
        <v>0</v>
      </c>
      <c r="K321" s="762">
        <v>0</v>
      </c>
      <c r="L321" s="762">
        <v>0</v>
      </c>
      <c r="M321" s="762">
        <v>0</v>
      </c>
      <c r="N321" s="1187">
        <v>0</v>
      </c>
      <c r="O321" s="1187">
        <v>0</v>
      </c>
      <c r="P321" s="762">
        <v>14549690</v>
      </c>
      <c r="Q321" s="762">
        <v>0</v>
      </c>
      <c r="R321" s="763">
        <v>14549690</v>
      </c>
      <c r="S321" s="764">
        <v>0</v>
      </c>
    </row>
    <row r="322" spans="1:19" ht="40.799999999999997" x14ac:dyDescent="0.3">
      <c r="A322" s="761" t="s">
        <v>6971</v>
      </c>
      <c r="B322" s="761" t="s">
        <v>1533</v>
      </c>
      <c r="C322" s="761" t="s">
        <v>1504</v>
      </c>
      <c r="D322" s="761" t="s">
        <v>268</v>
      </c>
      <c r="E322" s="761" t="s">
        <v>1715</v>
      </c>
      <c r="F322" s="762">
        <v>4297487.07</v>
      </c>
      <c r="G322" s="762">
        <v>17753</v>
      </c>
      <c r="H322" s="762">
        <v>2132709</v>
      </c>
      <c r="I322" s="762">
        <v>8908.33</v>
      </c>
      <c r="J322" s="762">
        <v>58659928.439999998</v>
      </c>
      <c r="K322" s="762">
        <v>137475.88</v>
      </c>
      <c r="L322" s="762">
        <v>0</v>
      </c>
      <c r="M322" s="762">
        <v>0</v>
      </c>
      <c r="N322" s="1187">
        <v>0</v>
      </c>
      <c r="O322" s="1187">
        <v>0</v>
      </c>
      <c r="P322" s="762">
        <v>60792637.439999998</v>
      </c>
      <c r="Q322" s="762">
        <v>146384.21</v>
      </c>
      <c r="R322" s="763">
        <v>65090124.509999998</v>
      </c>
      <c r="S322" s="764">
        <v>164137.22</v>
      </c>
    </row>
    <row r="323" spans="1:19" ht="20.399999999999999" x14ac:dyDescent="0.3">
      <c r="A323" s="761" t="s">
        <v>6971</v>
      </c>
      <c r="B323" s="761" t="s">
        <v>1533</v>
      </c>
      <c r="C323" s="761" t="s">
        <v>288</v>
      </c>
      <c r="D323" s="761" t="s">
        <v>288</v>
      </c>
      <c r="E323" s="761" t="s">
        <v>1716</v>
      </c>
      <c r="F323" s="762">
        <v>5254234.17</v>
      </c>
      <c r="G323" s="762">
        <v>0</v>
      </c>
      <c r="H323" s="762">
        <v>37226428.799999997</v>
      </c>
      <c r="I323" s="762">
        <v>0</v>
      </c>
      <c r="J323" s="762">
        <v>0</v>
      </c>
      <c r="K323" s="762">
        <v>0</v>
      </c>
      <c r="L323" s="762">
        <v>0</v>
      </c>
      <c r="M323" s="762">
        <v>0</v>
      </c>
      <c r="N323" s="1187">
        <v>0</v>
      </c>
      <c r="O323" s="1187">
        <v>0</v>
      </c>
      <c r="P323" s="762">
        <v>37226428.799999997</v>
      </c>
      <c r="Q323" s="762">
        <v>0</v>
      </c>
      <c r="R323" s="763">
        <v>42480662.969999999</v>
      </c>
      <c r="S323" s="764">
        <v>0</v>
      </c>
    </row>
    <row r="324" spans="1:19" ht="20.399999999999999" x14ac:dyDescent="0.3">
      <c r="A324" s="761" t="s">
        <v>6971</v>
      </c>
      <c r="B324" s="761" t="s">
        <v>1533</v>
      </c>
      <c r="C324" s="761" t="s">
        <v>3804</v>
      </c>
      <c r="D324" s="761" t="s">
        <v>3804</v>
      </c>
      <c r="E324" s="761" t="s">
        <v>3845</v>
      </c>
      <c r="F324" s="762">
        <v>0</v>
      </c>
      <c r="G324" s="762">
        <v>0</v>
      </c>
      <c r="H324" s="762">
        <v>0</v>
      </c>
      <c r="I324" s="762">
        <v>0</v>
      </c>
      <c r="J324" s="762">
        <v>0</v>
      </c>
      <c r="K324" s="762">
        <v>0</v>
      </c>
      <c r="L324" s="762">
        <v>0</v>
      </c>
      <c r="M324" s="762">
        <v>0</v>
      </c>
      <c r="N324" s="1187">
        <v>10965509</v>
      </c>
      <c r="O324" s="1187">
        <v>22955.619140625</v>
      </c>
      <c r="P324" s="762">
        <v>0</v>
      </c>
      <c r="Q324" s="762">
        <v>0</v>
      </c>
      <c r="R324" s="763">
        <v>0</v>
      </c>
      <c r="S324" s="764">
        <v>0</v>
      </c>
    </row>
    <row r="325" spans="1:19" ht="20.399999999999999" x14ac:dyDescent="0.3">
      <c r="A325" s="761" t="s">
        <v>6971</v>
      </c>
      <c r="B325" s="761" t="s">
        <v>1533</v>
      </c>
      <c r="C325" s="761" t="s">
        <v>307</v>
      </c>
      <c r="D325" s="761" t="s">
        <v>307</v>
      </c>
      <c r="E325" s="761" t="s">
        <v>1717</v>
      </c>
      <c r="F325" s="762">
        <v>4536784.08</v>
      </c>
      <c r="G325" s="762">
        <v>0</v>
      </c>
      <c r="H325" s="762">
        <v>156747735.59</v>
      </c>
      <c r="I325" s="762">
        <v>0</v>
      </c>
      <c r="J325" s="762">
        <v>0</v>
      </c>
      <c r="K325" s="762">
        <v>0</v>
      </c>
      <c r="L325" s="762">
        <v>0</v>
      </c>
      <c r="M325" s="762">
        <v>0</v>
      </c>
      <c r="N325" s="1187">
        <v>0</v>
      </c>
      <c r="O325" s="1187">
        <v>0</v>
      </c>
      <c r="P325" s="762">
        <v>156747735.59</v>
      </c>
      <c r="Q325" s="762">
        <v>0</v>
      </c>
      <c r="R325" s="763">
        <v>161284519.66999999</v>
      </c>
      <c r="S325" s="764">
        <v>0</v>
      </c>
    </row>
    <row r="326" spans="1:19" ht="20.399999999999999" x14ac:dyDescent="0.3">
      <c r="A326" s="761" t="s">
        <v>6971</v>
      </c>
      <c r="B326" s="761" t="s">
        <v>1533</v>
      </c>
      <c r="C326" s="761" t="s">
        <v>1511</v>
      </c>
      <c r="D326" s="761" t="s">
        <v>316</v>
      </c>
      <c r="E326" s="761" t="s">
        <v>1718</v>
      </c>
      <c r="F326" s="762">
        <v>10396.32</v>
      </c>
      <c r="G326" s="762">
        <v>28</v>
      </c>
      <c r="H326" s="762">
        <v>93408.18</v>
      </c>
      <c r="I326" s="762">
        <v>0</v>
      </c>
      <c r="J326" s="762">
        <v>0</v>
      </c>
      <c r="K326" s="762">
        <v>0</v>
      </c>
      <c r="L326" s="762">
        <v>0</v>
      </c>
      <c r="M326" s="762">
        <v>0</v>
      </c>
      <c r="N326" s="1187">
        <v>0</v>
      </c>
      <c r="O326" s="1187">
        <v>0</v>
      </c>
      <c r="P326" s="762">
        <v>93408.18</v>
      </c>
      <c r="Q326" s="762">
        <v>0</v>
      </c>
      <c r="R326" s="763">
        <v>103804.5</v>
      </c>
      <c r="S326" s="764">
        <v>28.88</v>
      </c>
    </row>
    <row r="327" spans="1:19" ht="20.399999999999999" x14ac:dyDescent="0.3">
      <c r="A327" s="761" t="s">
        <v>6971</v>
      </c>
      <c r="B327" s="761" t="s">
        <v>1533</v>
      </c>
      <c r="C327" s="761" t="s">
        <v>1508</v>
      </c>
      <c r="D327" s="761" t="s">
        <v>332</v>
      </c>
      <c r="E327" s="761" t="s">
        <v>1719</v>
      </c>
      <c r="F327" s="762">
        <v>5086.25</v>
      </c>
      <c r="G327" s="762">
        <v>15</v>
      </c>
      <c r="H327" s="762">
        <v>0</v>
      </c>
      <c r="I327" s="762">
        <v>0</v>
      </c>
      <c r="J327" s="762">
        <v>648567</v>
      </c>
      <c r="K327" s="762">
        <v>1967.65</v>
      </c>
      <c r="L327" s="762">
        <v>0</v>
      </c>
      <c r="M327" s="762">
        <v>0</v>
      </c>
      <c r="N327" s="1187">
        <v>0</v>
      </c>
      <c r="O327" s="1187">
        <v>0</v>
      </c>
      <c r="P327" s="762">
        <v>648567</v>
      </c>
      <c r="Q327" s="762">
        <v>1967.65</v>
      </c>
      <c r="R327" s="763">
        <v>653653.25</v>
      </c>
      <c r="S327" s="764">
        <v>1982.65</v>
      </c>
    </row>
    <row r="328" spans="1:19" ht="30.6" x14ac:dyDescent="0.3">
      <c r="A328" s="761" t="s">
        <v>6971</v>
      </c>
      <c r="B328" s="761" t="s">
        <v>1533</v>
      </c>
      <c r="C328" s="761" t="s">
        <v>1512</v>
      </c>
      <c r="D328" s="761" t="s">
        <v>334</v>
      </c>
      <c r="E328" s="761" t="s">
        <v>1720</v>
      </c>
      <c r="F328" s="762">
        <v>29808</v>
      </c>
      <c r="G328" s="762">
        <v>0</v>
      </c>
      <c r="H328" s="762">
        <v>455779</v>
      </c>
      <c r="I328" s="762">
        <v>0</v>
      </c>
      <c r="J328" s="762">
        <v>0</v>
      </c>
      <c r="K328" s="762">
        <v>0</v>
      </c>
      <c r="L328" s="762">
        <v>0</v>
      </c>
      <c r="M328" s="762">
        <v>0</v>
      </c>
      <c r="N328" s="1187">
        <v>0</v>
      </c>
      <c r="O328" s="1187">
        <v>0</v>
      </c>
      <c r="P328" s="762">
        <v>455779</v>
      </c>
      <c r="Q328" s="762">
        <v>0</v>
      </c>
      <c r="R328" s="763">
        <v>485587</v>
      </c>
      <c r="S328" s="764">
        <v>0</v>
      </c>
    </row>
    <row r="329" spans="1:19" ht="40.799999999999997" x14ac:dyDescent="0.3">
      <c r="A329" s="761" t="s">
        <v>6971</v>
      </c>
      <c r="B329" s="761" t="s">
        <v>1534</v>
      </c>
      <c r="C329" s="761" t="s">
        <v>1504</v>
      </c>
      <c r="D329" s="761" t="s">
        <v>268</v>
      </c>
      <c r="E329" s="761" t="s">
        <v>1721</v>
      </c>
      <c r="F329" s="762">
        <v>47097194.789999999</v>
      </c>
      <c r="G329" s="762">
        <v>108674</v>
      </c>
      <c r="H329" s="762">
        <v>12442433.9</v>
      </c>
      <c r="I329" s="762">
        <v>87675.89</v>
      </c>
      <c r="J329" s="762">
        <v>198243589.19</v>
      </c>
      <c r="K329" s="762">
        <v>429565.54</v>
      </c>
      <c r="L329" s="762">
        <v>3672307.75</v>
      </c>
      <c r="M329" s="762">
        <v>6469.39013671875</v>
      </c>
      <c r="N329" s="1187">
        <v>0</v>
      </c>
      <c r="O329" s="1187">
        <v>0</v>
      </c>
      <c r="P329" s="762">
        <v>214358330.80000001</v>
      </c>
      <c r="Q329" s="762">
        <v>523710.82</v>
      </c>
      <c r="R329" s="763">
        <v>261455525.59</v>
      </c>
      <c r="S329" s="764">
        <v>632385</v>
      </c>
    </row>
    <row r="330" spans="1:19" ht="20.399999999999999" x14ac:dyDescent="0.3">
      <c r="A330" s="761" t="s">
        <v>6971</v>
      </c>
      <c r="B330" s="761" t="s">
        <v>1534</v>
      </c>
      <c r="C330" s="761" t="s">
        <v>288</v>
      </c>
      <c r="D330" s="761" t="s">
        <v>288</v>
      </c>
      <c r="E330" s="761" t="s">
        <v>1722</v>
      </c>
      <c r="F330" s="762">
        <v>13691332.91</v>
      </c>
      <c r="G330" s="762">
        <v>0</v>
      </c>
      <c r="H330" s="762">
        <v>73495576.569999993</v>
      </c>
      <c r="I330" s="762">
        <v>0</v>
      </c>
      <c r="J330" s="762">
        <v>1353415.25</v>
      </c>
      <c r="K330" s="762">
        <v>0</v>
      </c>
      <c r="L330" s="762">
        <v>0</v>
      </c>
      <c r="M330" s="762">
        <v>0</v>
      </c>
      <c r="N330" s="1187">
        <v>0</v>
      </c>
      <c r="O330" s="1187">
        <v>0</v>
      </c>
      <c r="P330" s="762">
        <v>74848991.819999993</v>
      </c>
      <c r="Q330" s="762">
        <v>0</v>
      </c>
      <c r="R330" s="763">
        <v>88540324.730000004</v>
      </c>
      <c r="S330" s="764">
        <v>0</v>
      </c>
    </row>
    <row r="331" spans="1:19" ht="20.399999999999999" x14ac:dyDescent="0.3">
      <c r="A331" s="761" t="s">
        <v>6971</v>
      </c>
      <c r="B331" s="761" t="s">
        <v>1534</v>
      </c>
      <c r="C331" s="761" t="s">
        <v>1510</v>
      </c>
      <c r="D331" s="761" t="s">
        <v>297</v>
      </c>
      <c r="E331" s="761" t="s">
        <v>1723</v>
      </c>
      <c r="F331" s="762">
        <v>51208374.149999999</v>
      </c>
      <c r="G331" s="762">
        <v>98286</v>
      </c>
      <c r="H331" s="762">
        <v>0</v>
      </c>
      <c r="I331" s="762">
        <v>0</v>
      </c>
      <c r="J331" s="762">
        <v>104486058.91</v>
      </c>
      <c r="K331" s="762">
        <v>183758.93</v>
      </c>
      <c r="L331" s="762">
        <v>0</v>
      </c>
      <c r="M331" s="762">
        <v>0</v>
      </c>
      <c r="N331" s="1187">
        <v>0</v>
      </c>
      <c r="O331" s="1187">
        <v>0</v>
      </c>
      <c r="P331" s="762">
        <v>104486058.91</v>
      </c>
      <c r="Q331" s="762">
        <v>183758.93</v>
      </c>
      <c r="R331" s="763">
        <v>155694433.06</v>
      </c>
      <c r="S331" s="764">
        <v>282045.48</v>
      </c>
    </row>
    <row r="332" spans="1:19" ht="20.399999999999999" x14ac:dyDescent="0.3">
      <c r="A332" s="761" t="s">
        <v>6971</v>
      </c>
      <c r="B332" s="761" t="s">
        <v>1534</v>
      </c>
      <c r="C332" s="761" t="s">
        <v>3804</v>
      </c>
      <c r="D332" s="761" t="s">
        <v>3804</v>
      </c>
      <c r="E332" s="761" t="s">
        <v>3846</v>
      </c>
      <c r="F332" s="762">
        <v>0</v>
      </c>
      <c r="G332" s="762">
        <v>0</v>
      </c>
      <c r="H332" s="762">
        <v>0</v>
      </c>
      <c r="I332" s="762">
        <v>0</v>
      </c>
      <c r="J332" s="762">
        <v>0</v>
      </c>
      <c r="K332" s="762">
        <v>0</v>
      </c>
      <c r="L332" s="762">
        <v>0</v>
      </c>
      <c r="M332" s="762">
        <v>0</v>
      </c>
      <c r="N332" s="1187">
        <v>189867296</v>
      </c>
      <c r="O332" s="1187">
        <v>366171.59375</v>
      </c>
      <c r="P332" s="762">
        <v>0</v>
      </c>
      <c r="Q332" s="762">
        <v>0</v>
      </c>
      <c r="R332" s="763">
        <v>0</v>
      </c>
      <c r="S332" s="764">
        <v>0</v>
      </c>
    </row>
    <row r="333" spans="1:19" ht="20.399999999999999" x14ac:dyDescent="0.3">
      <c r="A333" s="761" t="s">
        <v>6971</v>
      </c>
      <c r="B333" s="761" t="s">
        <v>1534</v>
      </c>
      <c r="C333" s="761" t="s">
        <v>307</v>
      </c>
      <c r="D333" s="761" t="s">
        <v>307</v>
      </c>
      <c r="E333" s="761" t="s">
        <v>1724</v>
      </c>
      <c r="F333" s="762">
        <v>2685238.06</v>
      </c>
      <c r="G333" s="762">
        <v>0</v>
      </c>
      <c r="H333" s="762">
        <v>184296705.83000001</v>
      </c>
      <c r="I333" s="762">
        <v>0</v>
      </c>
      <c r="J333" s="762">
        <v>0</v>
      </c>
      <c r="K333" s="762">
        <v>0</v>
      </c>
      <c r="L333" s="762">
        <v>0</v>
      </c>
      <c r="M333" s="762">
        <v>0</v>
      </c>
      <c r="N333" s="1187">
        <v>0</v>
      </c>
      <c r="O333" s="1187">
        <v>0</v>
      </c>
      <c r="P333" s="762">
        <v>184296705.83000001</v>
      </c>
      <c r="Q333" s="762">
        <v>0</v>
      </c>
      <c r="R333" s="763">
        <v>186981943.88999999</v>
      </c>
      <c r="S333" s="764">
        <v>0</v>
      </c>
    </row>
    <row r="334" spans="1:19" ht="20.399999999999999" x14ac:dyDescent="0.3">
      <c r="A334" s="761" t="s">
        <v>6971</v>
      </c>
      <c r="B334" s="761" t="s">
        <v>1534</v>
      </c>
      <c r="C334" s="761" t="s">
        <v>1508</v>
      </c>
      <c r="D334" s="761" t="s">
        <v>332</v>
      </c>
      <c r="E334" s="761" t="s">
        <v>1725</v>
      </c>
      <c r="F334" s="762">
        <v>0</v>
      </c>
      <c r="G334" s="762">
        <v>0</v>
      </c>
      <c r="H334" s="762">
        <v>0</v>
      </c>
      <c r="I334" s="762">
        <v>0</v>
      </c>
      <c r="J334" s="762">
        <v>2005898.77</v>
      </c>
      <c r="K334" s="762">
        <v>5612</v>
      </c>
      <c r="L334" s="762">
        <v>0</v>
      </c>
      <c r="M334" s="762">
        <v>0</v>
      </c>
      <c r="N334" s="1187">
        <v>0</v>
      </c>
      <c r="O334" s="1187">
        <v>0</v>
      </c>
      <c r="P334" s="762">
        <v>2005898.77</v>
      </c>
      <c r="Q334" s="762">
        <v>5612</v>
      </c>
      <c r="R334" s="763">
        <v>2005898.77</v>
      </c>
      <c r="S334" s="764">
        <v>5612</v>
      </c>
    </row>
    <row r="335" spans="1:19" ht="30.6" x14ac:dyDescent="0.3">
      <c r="A335" s="761" t="s">
        <v>6971</v>
      </c>
      <c r="B335" s="761" t="s">
        <v>1534</v>
      </c>
      <c r="C335" s="761" t="s">
        <v>1512</v>
      </c>
      <c r="D335" s="761" t="s">
        <v>334</v>
      </c>
      <c r="E335" s="761" t="s">
        <v>1726</v>
      </c>
      <c r="F335" s="762">
        <v>16252.62</v>
      </c>
      <c r="G335" s="762">
        <v>0</v>
      </c>
      <c r="H335" s="762">
        <v>0</v>
      </c>
      <c r="I335" s="762">
        <v>0</v>
      </c>
      <c r="J335" s="762">
        <v>1190617.98</v>
      </c>
      <c r="K335" s="762">
        <v>0</v>
      </c>
      <c r="L335" s="762">
        <v>0</v>
      </c>
      <c r="M335" s="762">
        <v>0</v>
      </c>
      <c r="N335" s="1187">
        <v>0</v>
      </c>
      <c r="O335" s="1187">
        <v>0</v>
      </c>
      <c r="P335" s="762">
        <v>1190617.98</v>
      </c>
      <c r="Q335" s="762">
        <v>0</v>
      </c>
      <c r="R335" s="763">
        <v>1206870.6000000001</v>
      </c>
      <c r="S335" s="764">
        <v>0</v>
      </c>
    </row>
    <row r="336" spans="1:19" ht="20.399999999999999" x14ac:dyDescent="0.3">
      <c r="A336" s="761" t="s">
        <v>6971</v>
      </c>
      <c r="B336" s="761" t="s">
        <v>1535</v>
      </c>
      <c r="C336" s="761" t="s">
        <v>1514</v>
      </c>
      <c r="D336" s="761" t="s">
        <v>240</v>
      </c>
      <c r="E336" s="761" t="s">
        <v>2026</v>
      </c>
      <c r="F336" s="762">
        <v>0</v>
      </c>
      <c r="G336" s="762">
        <v>0</v>
      </c>
      <c r="H336" s="762">
        <v>0</v>
      </c>
      <c r="I336" s="762">
        <v>0</v>
      </c>
      <c r="J336" s="762">
        <v>0</v>
      </c>
      <c r="K336" s="762">
        <v>0</v>
      </c>
      <c r="L336" s="762">
        <v>17593954</v>
      </c>
      <c r="M336" s="762">
        <v>39088.87109375</v>
      </c>
      <c r="N336" s="1187">
        <v>0</v>
      </c>
      <c r="O336" s="1187">
        <v>0</v>
      </c>
      <c r="P336" s="762">
        <v>17593954.84</v>
      </c>
      <c r="Q336" s="762">
        <v>39088.870000000003</v>
      </c>
      <c r="R336" s="763">
        <v>17593954.84</v>
      </c>
      <c r="S336" s="764">
        <v>39088.870000000003</v>
      </c>
    </row>
    <row r="337" spans="1:19" ht="40.799999999999997" x14ac:dyDescent="0.3">
      <c r="A337" s="761" t="s">
        <v>6971</v>
      </c>
      <c r="B337" s="761" t="s">
        <v>1535</v>
      </c>
      <c r="C337" s="761" t="s">
        <v>1504</v>
      </c>
      <c r="D337" s="761" t="s">
        <v>268</v>
      </c>
      <c r="E337" s="761" t="s">
        <v>1727</v>
      </c>
      <c r="F337" s="762">
        <v>159377594.24129999</v>
      </c>
      <c r="G337" s="762">
        <v>444843</v>
      </c>
      <c r="H337" s="762">
        <v>115799813.13259999</v>
      </c>
      <c r="I337" s="762">
        <v>0</v>
      </c>
      <c r="J337" s="762">
        <v>531359235.23930001</v>
      </c>
      <c r="K337" s="762">
        <v>1674010.14</v>
      </c>
      <c r="L337" s="762">
        <v>14544392</v>
      </c>
      <c r="M337" s="762">
        <v>41779.03125</v>
      </c>
      <c r="N337" s="1187">
        <v>0</v>
      </c>
      <c r="O337" s="1187">
        <v>0</v>
      </c>
      <c r="P337" s="762">
        <v>661703440.84420002</v>
      </c>
      <c r="Q337" s="762">
        <v>1715789.17</v>
      </c>
      <c r="R337" s="763">
        <v>821081035.0855</v>
      </c>
      <c r="S337" s="764">
        <v>2160632.98</v>
      </c>
    </row>
    <row r="338" spans="1:19" ht="20.399999999999999" x14ac:dyDescent="0.3">
      <c r="A338" s="761" t="s">
        <v>6971</v>
      </c>
      <c r="B338" s="761" t="s">
        <v>1535</v>
      </c>
      <c r="C338" s="761" t="s">
        <v>288</v>
      </c>
      <c r="D338" s="761" t="s">
        <v>288</v>
      </c>
      <c r="E338" s="761" t="s">
        <v>1728</v>
      </c>
      <c r="F338" s="762">
        <v>36545253.447999999</v>
      </c>
      <c r="G338" s="762">
        <v>0</v>
      </c>
      <c r="H338" s="762">
        <v>199640435.6859</v>
      </c>
      <c r="I338" s="762">
        <v>0</v>
      </c>
      <c r="J338" s="762">
        <v>0</v>
      </c>
      <c r="K338" s="762">
        <v>0</v>
      </c>
      <c r="L338" s="762">
        <v>0</v>
      </c>
      <c r="M338" s="762">
        <v>0</v>
      </c>
      <c r="N338" s="1187">
        <v>0</v>
      </c>
      <c r="O338" s="1187">
        <v>0</v>
      </c>
      <c r="P338" s="762">
        <v>199640435.6859</v>
      </c>
      <c r="Q338" s="762">
        <v>0</v>
      </c>
      <c r="R338" s="763">
        <v>236185689.13389999</v>
      </c>
      <c r="S338" s="764">
        <v>0</v>
      </c>
    </row>
    <row r="339" spans="1:19" ht="20.399999999999999" x14ac:dyDescent="0.3">
      <c r="A339" s="761" t="s">
        <v>6971</v>
      </c>
      <c r="B339" s="761" t="s">
        <v>1535</v>
      </c>
      <c r="C339" s="761" t="s">
        <v>1510</v>
      </c>
      <c r="D339" s="761" t="s">
        <v>297</v>
      </c>
      <c r="E339" s="761" t="s">
        <v>1729</v>
      </c>
      <c r="F339" s="762">
        <v>0</v>
      </c>
      <c r="G339" s="762">
        <v>0</v>
      </c>
      <c r="H339" s="762">
        <v>0</v>
      </c>
      <c r="I339" s="762">
        <v>0</v>
      </c>
      <c r="J339" s="762">
        <v>36150680.629799999</v>
      </c>
      <c r="K339" s="762">
        <v>73082.039999999994</v>
      </c>
      <c r="L339" s="762">
        <v>0</v>
      </c>
      <c r="M339" s="762">
        <v>0</v>
      </c>
      <c r="N339" s="1187">
        <v>0</v>
      </c>
      <c r="O339" s="1187">
        <v>0</v>
      </c>
      <c r="P339" s="762">
        <v>36150680.629799999</v>
      </c>
      <c r="Q339" s="762">
        <v>73082.039999999994</v>
      </c>
      <c r="R339" s="763">
        <v>36150680.629799999</v>
      </c>
      <c r="S339" s="764">
        <v>73082.039999999994</v>
      </c>
    </row>
    <row r="340" spans="1:19" ht="20.399999999999999" x14ac:dyDescent="0.3">
      <c r="A340" s="761" t="s">
        <v>6971</v>
      </c>
      <c r="B340" s="761" t="s">
        <v>1535</v>
      </c>
      <c r="C340" s="761" t="s">
        <v>3804</v>
      </c>
      <c r="D340" s="761" t="s">
        <v>3804</v>
      </c>
      <c r="E340" s="761" t="s">
        <v>3847</v>
      </c>
      <c r="F340" s="762">
        <v>0</v>
      </c>
      <c r="G340" s="762">
        <v>0</v>
      </c>
      <c r="H340" s="762">
        <v>0</v>
      </c>
      <c r="I340" s="762">
        <v>0</v>
      </c>
      <c r="J340" s="762">
        <v>0</v>
      </c>
      <c r="K340" s="762">
        <v>0</v>
      </c>
      <c r="L340" s="762">
        <v>0</v>
      </c>
      <c r="M340" s="762">
        <v>0</v>
      </c>
      <c r="N340" s="1187">
        <v>232087648</v>
      </c>
      <c r="O340" s="1187">
        <v>569239.625</v>
      </c>
      <c r="P340" s="762">
        <v>0</v>
      </c>
      <c r="Q340" s="762">
        <v>0</v>
      </c>
      <c r="R340" s="763">
        <v>0</v>
      </c>
      <c r="S340" s="764">
        <v>0</v>
      </c>
    </row>
    <row r="341" spans="1:19" ht="20.399999999999999" x14ac:dyDescent="0.3">
      <c r="A341" s="761" t="s">
        <v>6971</v>
      </c>
      <c r="B341" s="761" t="s">
        <v>1535</v>
      </c>
      <c r="C341" s="761" t="s">
        <v>307</v>
      </c>
      <c r="D341" s="761" t="s">
        <v>307</v>
      </c>
      <c r="E341" s="761" t="s">
        <v>1730</v>
      </c>
      <c r="F341" s="762">
        <v>10630686.7579</v>
      </c>
      <c r="G341" s="762">
        <v>0</v>
      </c>
      <c r="H341" s="762">
        <v>652015709.65799999</v>
      </c>
      <c r="I341" s="762">
        <v>0</v>
      </c>
      <c r="J341" s="762">
        <v>0</v>
      </c>
      <c r="K341" s="762">
        <v>0</v>
      </c>
      <c r="L341" s="762">
        <v>0</v>
      </c>
      <c r="M341" s="762">
        <v>0</v>
      </c>
      <c r="N341" s="1187">
        <v>0</v>
      </c>
      <c r="O341" s="1187">
        <v>0</v>
      </c>
      <c r="P341" s="762">
        <v>652015709.65799999</v>
      </c>
      <c r="Q341" s="762">
        <v>0</v>
      </c>
      <c r="R341" s="763">
        <v>662646396.41589999</v>
      </c>
      <c r="S341" s="764">
        <v>0</v>
      </c>
    </row>
    <row r="342" spans="1:19" ht="20.399999999999999" x14ac:dyDescent="0.3">
      <c r="A342" s="761" t="s">
        <v>6971</v>
      </c>
      <c r="B342" s="761" t="s">
        <v>1535</v>
      </c>
      <c r="C342" s="761" t="s">
        <v>1508</v>
      </c>
      <c r="D342" s="761" t="s">
        <v>332</v>
      </c>
      <c r="E342" s="761" t="s">
        <v>1731</v>
      </c>
      <c r="F342" s="762">
        <v>0</v>
      </c>
      <c r="G342" s="762">
        <v>0</v>
      </c>
      <c r="H342" s="762">
        <v>94694.683900000004</v>
      </c>
      <c r="I342" s="762">
        <v>0</v>
      </c>
      <c r="J342" s="762">
        <v>7212502.7264999999</v>
      </c>
      <c r="K342" s="762">
        <v>20401.14</v>
      </c>
      <c r="L342" s="762">
        <v>0</v>
      </c>
      <c r="M342" s="762">
        <v>0</v>
      </c>
      <c r="N342" s="1187">
        <v>0</v>
      </c>
      <c r="O342" s="1187">
        <v>0</v>
      </c>
      <c r="P342" s="762">
        <v>7307197.4104000004</v>
      </c>
      <c r="Q342" s="762">
        <v>20401.14</v>
      </c>
      <c r="R342" s="763">
        <v>7307197.4104000004</v>
      </c>
      <c r="S342" s="764">
        <v>20401.14</v>
      </c>
    </row>
    <row r="343" spans="1:19" ht="30.6" x14ac:dyDescent="0.3">
      <c r="A343" s="761" t="s">
        <v>6971</v>
      </c>
      <c r="B343" s="761" t="s">
        <v>1535</v>
      </c>
      <c r="C343" s="761" t="s">
        <v>1512</v>
      </c>
      <c r="D343" s="761" t="s">
        <v>334</v>
      </c>
      <c r="E343" s="761" t="s">
        <v>1732</v>
      </c>
      <c r="F343" s="762">
        <v>0</v>
      </c>
      <c r="G343" s="762">
        <v>0</v>
      </c>
      <c r="H343" s="762">
        <v>3983324</v>
      </c>
      <c r="I343" s="762">
        <v>0</v>
      </c>
      <c r="J343" s="762">
        <v>0</v>
      </c>
      <c r="K343" s="762">
        <v>0</v>
      </c>
      <c r="L343" s="762">
        <v>0</v>
      </c>
      <c r="M343" s="762">
        <v>0</v>
      </c>
      <c r="N343" s="1187">
        <v>0</v>
      </c>
      <c r="O343" s="1187">
        <v>0</v>
      </c>
      <c r="P343" s="762">
        <v>3983324</v>
      </c>
      <c r="Q343" s="762">
        <v>0</v>
      </c>
      <c r="R343" s="763">
        <v>3983324</v>
      </c>
      <c r="S343" s="764">
        <v>0</v>
      </c>
    </row>
    <row r="344" spans="1:19" ht="40.799999999999997" x14ac:dyDescent="0.3">
      <c r="A344" s="761" t="s">
        <v>6971</v>
      </c>
      <c r="B344" s="761" t="s">
        <v>1536</v>
      </c>
      <c r="C344" s="761" t="s">
        <v>1504</v>
      </c>
      <c r="D344" s="761" t="s">
        <v>254</v>
      </c>
      <c r="E344" s="761" t="s">
        <v>1733</v>
      </c>
      <c r="F344" s="762">
        <v>0</v>
      </c>
      <c r="G344" s="762">
        <v>0</v>
      </c>
      <c r="H344" s="762">
        <v>0</v>
      </c>
      <c r="I344" s="762">
        <v>0</v>
      </c>
      <c r="J344" s="762">
        <v>18009368.219999999</v>
      </c>
      <c r="K344" s="762">
        <v>38447.56</v>
      </c>
      <c r="L344" s="762">
        <v>0</v>
      </c>
      <c r="M344" s="762">
        <v>0</v>
      </c>
      <c r="N344" s="1187">
        <v>0</v>
      </c>
      <c r="O344" s="1187">
        <v>0</v>
      </c>
      <c r="P344" s="762">
        <v>18009368.219999999</v>
      </c>
      <c r="Q344" s="762">
        <v>38447.56</v>
      </c>
      <c r="R344" s="763">
        <v>18009368.219999999</v>
      </c>
      <c r="S344" s="764">
        <v>38447.56</v>
      </c>
    </row>
    <row r="345" spans="1:19" ht="40.799999999999997" x14ac:dyDescent="0.3">
      <c r="A345" s="761" t="s">
        <v>6971</v>
      </c>
      <c r="B345" s="761" t="s">
        <v>1536</v>
      </c>
      <c r="C345" s="761" t="s">
        <v>1504</v>
      </c>
      <c r="D345" s="761" t="s">
        <v>263</v>
      </c>
      <c r="E345" s="761" t="s">
        <v>1734</v>
      </c>
      <c r="F345" s="762">
        <v>44803905.880000003</v>
      </c>
      <c r="G345" s="762">
        <v>103413</v>
      </c>
      <c r="H345" s="762">
        <v>8158794.6900000004</v>
      </c>
      <c r="I345" s="762">
        <v>33400.89</v>
      </c>
      <c r="J345" s="762">
        <v>56411626.840000004</v>
      </c>
      <c r="K345" s="762">
        <v>163364.51999999999</v>
      </c>
      <c r="L345" s="762">
        <v>0</v>
      </c>
      <c r="M345" s="762">
        <v>0</v>
      </c>
      <c r="N345" s="1187">
        <v>0</v>
      </c>
      <c r="O345" s="1187">
        <v>0</v>
      </c>
      <c r="P345" s="762">
        <v>64570421.530000001</v>
      </c>
      <c r="Q345" s="762">
        <v>196765.41</v>
      </c>
      <c r="R345" s="763">
        <v>109374327.41</v>
      </c>
      <c r="S345" s="764">
        <v>300178.68</v>
      </c>
    </row>
    <row r="346" spans="1:19" ht="20.399999999999999" x14ac:dyDescent="0.3">
      <c r="A346" s="761" t="s">
        <v>6971</v>
      </c>
      <c r="B346" s="761" t="s">
        <v>1536</v>
      </c>
      <c r="C346" s="761" t="s">
        <v>288</v>
      </c>
      <c r="D346" s="761" t="s">
        <v>288</v>
      </c>
      <c r="E346" s="761" t="s">
        <v>1735</v>
      </c>
      <c r="F346" s="762">
        <v>5841580.6799999997</v>
      </c>
      <c r="G346" s="762">
        <v>0</v>
      </c>
      <c r="H346" s="762">
        <v>28974349.609999999</v>
      </c>
      <c r="I346" s="762">
        <v>0</v>
      </c>
      <c r="J346" s="762">
        <v>0</v>
      </c>
      <c r="K346" s="762">
        <v>0</v>
      </c>
      <c r="L346" s="762">
        <v>0</v>
      </c>
      <c r="M346" s="762">
        <v>0</v>
      </c>
      <c r="N346" s="1187">
        <v>0</v>
      </c>
      <c r="O346" s="1187">
        <v>0</v>
      </c>
      <c r="P346" s="762">
        <v>28974349.609999999</v>
      </c>
      <c r="Q346" s="762">
        <v>0</v>
      </c>
      <c r="R346" s="763">
        <v>34815930.289999999</v>
      </c>
      <c r="S346" s="764">
        <v>0</v>
      </c>
    </row>
    <row r="347" spans="1:19" ht="20.399999999999999" x14ac:dyDescent="0.3">
      <c r="A347" s="761" t="s">
        <v>6971</v>
      </c>
      <c r="B347" s="761" t="s">
        <v>1536</v>
      </c>
      <c r="C347" s="761" t="s">
        <v>3804</v>
      </c>
      <c r="D347" s="761" t="s">
        <v>3804</v>
      </c>
      <c r="E347" s="761" t="s">
        <v>3848</v>
      </c>
      <c r="F347" s="762">
        <v>0</v>
      </c>
      <c r="G347" s="762">
        <v>0</v>
      </c>
      <c r="H347" s="762">
        <v>0</v>
      </c>
      <c r="I347" s="762">
        <v>0</v>
      </c>
      <c r="J347" s="762">
        <v>0</v>
      </c>
      <c r="K347" s="762">
        <v>0</v>
      </c>
      <c r="L347" s="762">
        <v>0</v>
      </c>
      <c r="M347" s="762">
        <v>0</v>
      </c>
      <c r="N347" s="1187">
        <v>71074776</v>
      </c>
      <c r="O347" s="1187">
        <v>153227.875</v>
      </c>
      <c r="P347" s="762">
        <v>0</v>
      </c>
      <c r="Q347" s="762">
        <v>0</v>
      </c>
      <c r="R347" s="763">
        <v>0</v>
      </c>
      <c r="S347" s="764">
        <v>0</v>
      </c>
    </row>
    <row r="348" spans="1:19" ht="20.399999999999999" x14ac:dyDescent="0.3">
      <c r="A348" s="761" t="s">
        <v>6971</v>
      </c>
      <c r="B348" s="761" t="s">
        <v>1536</v>
      </c>
      <c r="C348" s="761" t="s">
        <v>307</v>
      </c>
      <c r="D348" s="761" t="s">
        <v>307</v>
      </c>
      <c r="E348" s="761" t="s">
        <v>1736</v>
      </c>
      <c r="F348" s="762">
        <v>2037879.74</v>
      </c>
      <c r="G348" s="762">
        <v>0</v>
      </c>
      <c r="H348" s="762">
        <v>72750166.849999994</v>
      </c>
      <c r="I348" s="762">
        <v>0</v>
      </c>
      <c r="J348" s="762">
        <v>0</v>
      </c>
      <c r="K348" s="762">
        <v>0</v>
      </c>
      <c r="L348" s="762">
        <v>0</v>
      </c>
      <c r="M348" s="762">
        <v>0</v>
      </c>
      <c r="N348" s="1187">
        <v>0</v>
      </c>
      <c r="O348" s="1187">
        <v>0</v>
      </c>
      <c r="P348" s="762">
        <v>72750166.849999994</v>
      </c>
      <c r="Q348" s="762">
        <v>0</v>
      </c>
      <c r="R348" s="763">
        <v>74788046.590000004</v>
      </c>
      <c r="S348" s="764">
        <v>0</v>
      </c>
    </row>
    <row r="349" spans="1:19" ht="20.399999999999999" x14ac:dyDescent="0.3">
      <c r="A349" s="761" t="s">
        <v>6971</v>
      </c>
      <c r="B349" s="761" t="s">
        <v>1536</v>
      </c>
      <c r="C349" s="761" t="s">
        <v>1511</v>
      </c>
      <c r="D349" s="761" t="s">
        <v>316</v>
      </c>
      <c r="E349" s="761" t="s">
        <v>1737</v>
      </c>
      <c r="F349" s="762">
        <v>5736.48</v>
      </c>
      <c r="G349" s="762">
        <v>15</v>
      </c>
      <c r="H349" s="762">
        <v>38678.28</v>
      </c>
      <c r="I349" s="762">
        <v>107.43</v>
      </c>
      <c r="J349" s="762">
        <v>0</v>
      </c>
      <c r="K349" s="762">
        <v>0</v>
      </c>
      <c r="L349" s="762">
        <v>0</v>
      </c>
      <c r="M349" s="762">
        <v>0</v>
      </c>
      <c r="N349" s="1187">
        <v>0</v>
      </c>
      <c r="O349" s="1187">
        <v>0</v>
      </c>
      <c r="P349" s="762">
        <v>38678.28</v>
      </c>
      <c r="Q349" s="762">
        <v>107.43</v>
      </c>
      <c r="R349" s="763">
        <v>44414.76</v>
      </c>
      <c r="S349" s="764">
        <v>123.37</v>
      </c>
    </row>
    <row r="350" spans="1:19" ht="20.399999999999999" x14ac:dyDescent="0.3">
      <c r="A350" s="761" t="s">
        <v>6971</v>
      </c>
      <c r="B350" s="761" t="s">
        <v>1536</v>
      </c>
      <c r="C350" s="761" t="s">
        <v>1508</v>
      </c>
      <c r="D350" s="761" t="s">
        <v>332</v>
      </c>
      <c r="E350" s="761" t="s">
        <v>1738</v>
      </c>
      <c r="F350" s="762">
        <v>116016.03</v>
      </c>
      <c r="G350" s="762">
        <v>314</v>
      </c>
      <c r="H350" s="762">
        <v>0</v>
      </c>
      <c r="I350" s="762">
        <v>0</v>
      </c>
      <c r="J350" s="762">
        <v>961248.3</v>
      </c>
      <c r="K350" s="762">
        <v>2607.96</v>
      </c>
      <c r="L350" s="762">
        <v>0</v>
      </c>
      <c r="M350" s="762">
        <v>0</v>
      </c>
      <c r="N350" s="1187">
        <v>0</v>
      </c>
      <c r="O350" s="1187">
        <v>0</v>
      </c>
      <c r="P350" s="762">
        <v>961248.3</v>
      </c>
      <c r="Q350" s="762">
        <v>2607.96</v>
      </c>
      <c r="R350" s="763">
        <v>1077264.33</v>
      </c>
      <c r="S350" s="764">
        <v>2922.72</v>
      </c>
    </row>
    <row r="351" spans="1:19" ht="30.6" x14ac:dyDescent="0.3">
      <c r="A351" s="761" t="s">
        <v>6971</v>
      </c>
      <c r="B351" s="761" t="s">
        <v>1536</v>
      </c>
      <c r="C351" s="761" t="s">
        <v>1512</v>
      </c>
      <c r="D351" s="761" t="s">
        <v>334</v>
      </c>
      <c r="E351" s="761" t="s">
        <v>1739</v>
      </c>
      <c r="F351" s="762">
        <v>38688.93</v>
      </c>
      <c r="G351" s="762">
        <v>0</v>
      </c>
      <c r="H351" s="762">
        <v>569137.61</v>
      </c>
      <c r="I351" s="762">
        <v>0</v>
      </c>
      <c r="J351" s="762">
        <v>5338.67</v>
      </c>
      <c r="K351" s="762">
        <v>0</v>
      </c>
      <c r="L351" s="762">
        <v>0</v>
      </c>
      <c r="M351" s="762">
        <v>0</v>
      </c>
      <c r="N351" s="1187">
        <v>0</v>
      </c>
      <c r="O351" s="1187">
        <v>0</v>
      </c>
      <c r="P351" s="762">
        <v>574476.28</v>
      </c>
      <c r="Q351" s="762">
        <v>0</v>
      </c>
      <c r="R351" s="763">
        <v>613165.21</v>
      </c>
      <c r="S351" s="764">
        <v>0</v>
      </c>
    </row>
    <row r="352" spans="1:19" ht="40.799999999999997" x14ac:dyDescent="0.3">
      <c r="A352" s="761" t="s">
        <v>6971</v>
      </c>
      <c r="B352" s="761" t="s">
        <v>1537</v>
      </c>
      <c r="C352" s="761" t="s">
        <v>1504</v>
      </c>
      <c r="D352" s="761" t="s">
        <v>268</v>
      </c>
      <c r="E352" s="761" t="s">
        <v>4824</v>
      </c>
      <c r="F352" s="762">
        <v>13729695.789999999</v>
      </c>
      <c r="G352" s="762">
        <v>37470</v>
      </c>
      <c r="H352" s="762">
        <v>1568790.55</v>
      </c>
      <c r="I352" s="762">
        <v>3991.02</v>
      </c>
      <c r="J352" s="762">
        <v>76066891.349999994</v>
      </c>
      <c r="K352" s="762">
        <v>182836.25</v>
      </c>
      <c r="L352" s="762">
        <v>0</v>
      </c>
      <c r="M352" s="762">
        <v>0</v>
      </c>
      <c r="N352" s="1187">
        <v>0</v>
      </c>
      <c r="O352" s="1187">
        <v>0</v>
      </c>
      <c r="P352" s="762">
        <v>77635681.900000006</v>
      </c>
      <c r="Q352" s="762">
        <v>186827.27</v>
      </c>
      <c r="R352" s="763">
        <v>91365377.689999998</v>
      </c>
      <c r="S352" s="764">
        <v>224298.06</v>
      </c>
    </row>
    <row r="353" spans="1:19" ht="40.799999999999997" x14ac:dyDescent="0.3">
      <c r="A353" s="761" t="s">
        <v>6971</v>
      </c>
      <c r="B353" s="761" t="s">
        <v>1537</v>
      </c>
      <c r="C353" s="761" t="s">
        <v>1504</v>
      </c>
      <c r="D353" s="761" t="s">
        <v>3849</v>
      </c>
      <c r="E353" s="1067" t="s">
        <v>5246</v>
      </c>
      <c r="F353" s="762">
        <v>9123293.7899999991</v>
      </c>
      <c r="G353" s="762">
        <v>18762</v>
      </c>
      <c r="H353" s="762">
        <v>4013931.61</v>
      </c>
      <c r="I353" s="762">
        <v>9785.82</v>
      </c>
      <c r="J353" s="762">
        <v>15593154.18</v>
      </c>
      <c r="K353" s="762">
        <v>40468.6</v>
      </c>
      <c r="L353" s="762">
        <v>0</v>
      </c>
      <c r="M353" s="762">
        <v>0</v>
      </c>
      <c r="N353" s="1187">
        <v>0</v>
      </c>
      <c r="O353" s="1187">
        <v>0</v>
      </c>
      <c r="P353" s="762">
        <v>19607085.789999999</v>
      </c>
      <c r="Q353" s="762">
        <v>50254.42</v>
      </c>
      <c r="R353" s="763">
        <v>28730379.579999998</v>
      </c>
      <c r="S353" s="764">
        <v>69017.19</v>
      </c>
    </row>
    <row r="354" spans="1:19" ht="20.399999999999999" x14ac:dyDescent="0.3">
      <c r="A354" s="761" t="s">
        <v>6971</v>
      </c>
      <c r="B354" s="761" t="s">
        <v>1537</v>
      </c>
      <c r="C354" s="761" t="s">
        <v>288</v>
      </c>
      <c r="D354" s="761" t="s">
        <v>288</v>
      </c>
      <c r="E354" s="761" t="s">
        <v>4825</v>
      </c>
      <c r="F354" s="762">
        <v>7554442.6399999997</v>
      </c>
      <c r="G354" s="762">
        <v>0</v>
      </c>
      <c r="H354" s="762">
        <v>34423973.840000004</v>
      </c>
      <c r="I354" s="762">
        <v>0</v>
      </c>
      <c r="J354" s="762">
        <v>0</v>
      </c>
      <c r="K354" s="762">
        <v>0</v>
      </c>
      <c r="L354" s="762">
        <v>0</v>
      </c>
      <c r="M354" s="762">
        <v>0</v>
      </c>
      <c r="N354" s="1187">
        <v>0</v>
      </c>
      <c r="O354" s="1187">
        <v>0</v>
      </c>
      <c r="P354" s="762">
        <v>34423973.840000004</v>
      </c>
      <c r="Q354" s="762">
        <v>0</v>
      </c>
      <c r="R354" s="763">
        <v>41978416.479999997</v>
      </c>
      <c r="S354" s="764">
        <v>0</v>
      </c>
    </row>
    <row r="355" spans="1:19" ht="30.6" x14ac:dyDescent="0.3">
      <c r="A355" s="761" t="s">
        <v>6971</v>
      </c>
      <c r="B355" s="761" t="s">
        <v>1537</v>
      </c>
      <c r="C355" s="761" t="s">
        <v>288</v>
      </c>
      <c r="D355" s="761" t="s">
        <v>3850</v>
      </c>
      <c r="E355" s="1067" t="s">
        <v>5247</v>
      </c>
      <c r="F355" s="762">
        <v>2881920.61</v>
      </c>
      <c r="G355" s="762">
        <v>0</v>
      </c>
      <c r="H355" s="762">
        <v>14449903.550000001</v>
      </c>
      <c r="I355" s="762">
        <v>0</v>
      </c>
      <c r="J355" s="762">
        <v>0</v>
      </c>
      <c r="K355" s="762">
        <v>0</v>
      </c>
      <c r="L355" s="762">
        <v>0</v>
      </c>
      <c r="M355" s="762">
        <v>0</v>
      </c>
      <c r="N355" s="1187">
        <v>0</v>
      </c>
      <c r="O355" s="1187">
        <v>0</v>
      </c>
      <c r="P355" s="762">
        <v>14449903.550000001</v>
      </c>
      <c r="Q355" s="762">
        <v>0</v>
      </c>
      <c r="R355" s="763">
        <v>17331824.16</v>
      </c>
      <c r="S355" s="764">
        <v>0</v>
      </c>
    </row>
    <row r="356" spans="1:19" ht="20.399999999999999" x14ac:dyDescent="0.3">
      <c r="A356" s="761" t="s">
        <v>6971</v>
      </c>
      <c r="B356" s="761" t="s">
        <v>1537</v>
      </c>
      <c r="C356" s="761" t="s">
        <v>3804</v>
      </c>
      <c r="D356" s="761" t="s">
        <v>3804</v>
      </c>
      <c r="E356" s="761" t="s">
        <v>3851</v>
      </c>
      <c r="F356" s="762">
        <v>0</v>
      </c>
      <c r="G356" s="762">
        <v>0</v>
      </c>
      <c r="H356" s="762">
        <v>0</v>
      </c>
      <c r="I356" s="762">
        <v>0</v>
      </c>
      <c r="J356" s="762">
        <v>0</v>
      </c>
      <c r="K356" s="762">
        <v>0</v>
      </c>
      <c r="L356" s="762">
        <v>0</v>
      </c>
      <c r="M356" s="762">
        <v>0</v>
      </c>
      <c r="N356" s="1187">
        <v>40625024</v>
      </c>
      <c r="O356" s="1187">
        <v>92159.0625</v>
      </c>
      <c r="P356" s="762">
        <v>0</v>
      </c>
      <c r="Q356" s="762">
        <v>0</v>
      </c>
      <c r="R356" s="763">
        <v>0</v>
      </c>
      <c r="S356" s="764">
        <v>0</v>
      </c>
    </row>
    <row r="357" spans="1:19" ht="20.399999999999999" x14ac:dyDescent="0.3">
      <c r="A357" s="761" t="s">
        <v>6971</v>
      </c>
      <c r="B357" s="761" t="s">
        <v>1537</v>
      </c>
      <c r="C357" s="761" t="s">
        <v>307</v>
      </c>
      <c r="D357" s="761" t="s">
        <v>3852</v>
      </c>
      <c r="E357" s="1067" t="s">
        <v>5248</v>
      </c>
      <c r="F357" s="762">
        <v>508080.41</v>
      </c>
      <c r="G357" s="762">
        <v>0</v>
      </c>
      <c r="H357" s="762">
        <v>29590263</v>
      </c>
      <c r="I357" s="762">
        <v>0</v>
      </c>
      <c r="J357" s="762">
        <v>0</v>
      </c>
      <c r="K357" s="762">
        <v>0</v>
      </c>
      <c r="L357" s="762">
        <v>0</v>
      </c>
      <c r="M357" s="762">
        <v>0</v>
      </c>
      <c r="N357" s="1187">
        <v>0</v>
      </c>
      <c r="O357" s="1187">
        <v>0</v>
      </c>
      <c r="P357" s="762">
        <v>29590263</v>
      </c>
      <c r="Q357" s="762">
        <v>0</v>
      </c>
      <c r="R357" s="763">
        <v>30098343.41</v>
      </c>
      <c r="S357" s="764">
        <v>0</v>
      </c>
    </row>
    <row r="358" spans="1:19" ht="20.399999999999999" x14ac:dyDescent="0.3">
      <c r="A358" s="761" t="s">
        <v>6971</v>
      </c>
      <c r="B358" s="761" t="s">
        <v>1537</v>
      </c>
      <c r="C358" s="761" t="s">
        <v>307</v>
      </c>
      <c r="D358" s="761" t="s">
        <v>307</v>
      </c>
      <c r="E358" s="761" t="s">
        <v>4826</v>
      </c>
      <c r="F358" s="762">
        <v>1858693.42</v>
      </c>
      <c r="G358" s="762">
        <v>0</v>
      </c>
      <c r="H358" s="762">
        <v>78807062.799999997</v>
      </c>
      <c r="I358" s="762">
        <v>0</v>
      </c>
      <c r="J358" s="762">
        <v>0</v>
      </c>
      <c r="K358" s="762">
        <v>0</v>
      </c>
      <c r="L358" s="762">
        <v>0</v>
      </c>
      <c r="M358" s="762">
        <v>0</v>
      </c>
      <c r="N358" s="1187">
        <v>0</v>
      </c>
      <c r="O358" s="1187">
        <v>0</v>
      </c>
      <c r="P358" s="762">
        <v>78807062.799999997</v>
      </c>
      <c r="Q358" s="762">
        <v>0</v>
      </c>
      <c r="R358" s="763">
        <v>80665756.219999999</v>
      </c>
      <c r="S358" s="764">
        <v>0</v>
      </c>
    </row>
    <row r="359" spans="1:19" ht="30.6" x14ac:dyDescent="0.3">
      <c r="A359" s="761" t="s">
        <v>6971</v>
      </c>
      <c r="B359" s="761" t="s">
        <v>1537</v>
      </c>
      <c r="C359" s="761" t="s">
        <v>1511</v>
      </c>
      <c r="D359" s="761" t="s">
        <v>3853</v>
      </c>
      <c r="E359" s="1067" t="s">
        <v>5249</v>
      </c>
      <c r="F359" s="762">
        <v>0</v>
      </c>
      <c r="G359" s="762">
        <v>0</v>
      </c>
      <c r="H359" s="762">
        <v>5205.3500000000004</v>
      </c>
      <c r="I359" s="762">
        <v>14.46</v>
      </c>
      <c r="J359" s="762">
        <v>0</v>
      </c>
      <c r="K359" s="762">
        <v>0</v>
      </c>
      <c r="L359" s="762">
        <v>0</v>
      </c>
      <c r="M359" s="762">
        <v>0</v>
      </c>
      <c r="N359" s="1187">
        <v>0</v>
      </c>
      <c r="O359" s="1187">
        <v>0</v>
      </c>
      <c r="P359" s="762">
        <v>5205.3500000000004</v>
      </c>
      <c r="Q359" s="762">
        <v>14.46</v>
      </c>
      <c r="R359" s="763">
        <v>5205.3500000000004</v>
      </c>
      <c r="S359" s="764">
        <v>14.46</v>
      </c>
    </row>
    <row r="360" spans="1:19" ht="20.399999999999999" x14ac:dyDescent="0.3">
      <c r="A360" s="761" t="s">
        <v>6971</v>
      </c>
      <c r="B360" s="761" t="s">
        <v>1537</v>
      </c>
      <c r="C360" s="761" t="s">
        <v>1511</v>
      </c>
      <c r="D360" s="761" t="s">
        <v>316</v>
      </c>
      <c r="E360" s="761" t="s">
        <v>4827</v>
      </c>
      <c r="F360" s="762">
        <v>0</v>
      </c>
      <c r="G360" s="762">
        <v>0</v>
      </c>
      <c r="H360" s="762">
        <v>33905.699999999997</v>
      </c>
      <c r="I360" s="762">
        <v>94.97</v>
      </c>
      <c r="J360" s="762">
        <v>0</v>
      </c>
      <c r="K360" s="762">
        <v>0</v>
      </c>
      <c r="L360" s="762">
        <v>0</v>
      </c>
      <c r="M360" s="762">
        <v>0</v>
      </c>
      <c r="N360" s="1187">
        <v>0</v>
      </c>
      <c r="O360" s="1187">
        <v>0</v>
      </c>
      <c r="P360" s="762">
        <v>33905.699999999997</v>
      </c>
      <c r="Q360" s="762">
        <v>94.97</v>
      </c>
      <c r="R360" s="763">
        <v>33905.699999999997</v>
      </c>
      <c r="S360" s="764">
        <v>94.97</v>
      </c>
    </row>
    <row r="361" spans="1:19" ht="20.399999999999999" x14ac:dyDescent="0.3">
      <c r="A361" s="761" t="s">
        <v>6971</v>
      </c>
      <c r="B361" s="761" t="s">
        <v>1537</v>
      </c>
      <c r="C361" s="761" t="s">
        <v>1508</v>
      </c>
      <c r="D361" s="761" t="s">
        <v>3854</v>
      </c>
      <c r="E361" s="1067" t="s">
        <v>5250</v>
      </c>
      <c r="F361" s="762">
        <v>0</v>
      </c>
      <c r="G361" s="762">
        <v>0</v>
      </c>
      <c r="H361" s="762">
        <v>0</v>
      </c>
      <c r="I361" s="762">
        <v>0</v>
      </c>
      <c r="J361" s="762">
        <v>345320.31</v>
      </c>
      <c r="K361" s="762">
        <v>996.24</v>
      </c>
      <c r="L361" s="762">
        <v>0</v>
      </c>
      <c r="M361" s="762">
        <v>0</v>
      </c>
      <c r="N361" s="1187">
        <v>0</v>
      </c>
      <c r="O361" s="1187">
        <v>0</v>
      </c>
      <c r="P361" s="762">
        <v>345320.31</v>
      </c>
      <c r="Q361" s="762">
        <v>996.24</v>
      </c>
      <c r="R361" s="763">
        <v>345320.31</v>
      </c>
      <c r="S361" s="764">
        <v>996.24</v>
      </c>
    </row>
    <row r="362" spans="1:19" ht="20.399999999999999" x14ac:dyDescent="0.3">
      <c r="A362" s="761" t="s">
        <v>6971</v>
      </c>
      <c r="B362" s="761" t="s">
        <v>1537</v>
      </c>
      <c r="C362" s="761" t="s">
        <v>1508</v>
      </c>
      <c r="D362" s="761" t="s">
        <v>332</v>
      </c>
      <c r="E362" s="761" t="s">
        <v>4828</v>
      </c>
      <c r="F362" s="762">
        <v>137516.65</v>
      </c>
      <c r="G362" s="762">
        <v>373</v>
      </c>
      <c r="H362" s="762">
        <v>628122.97</v>
      </c>
      <c r="I362" s="762">
        <v>1704.7</v>
      </c>
      <c r="J362" s="762">
        <v>0</v>
      </c>
      <c r="K362" s="762">
        <v>0</v>
      </c>
      <c r="L362" s="762">
        <v>0</v>
      </c>
      <c r="M362" s="762">
        <v>0</v>
      </c>
      <c r="N362" s="1187">
        <v>0</v>
      </c>
      <c r="O362" s="1187">
        <v>0</v>
      </c>
      <c r="P362" s="762">
        <v>628122.97</v>
      </c>
      <c r="Q362" s="762">
        <v>1704.7</v>
      </c>
      <c r="R362" s="763">
        <v>765639.62</v>
      </c>
      <c r="S362" s="764">
        <v>2077.9</v>
      </c>
    </row>
    <row r="363" spans="1:19" ht="30.6" x14ac:dyDescent="0.3">
      <c r="A363" s="761" t="s">
        <v>6971</v>
      </c>
      <c r="B363" s="761" t="s">
        <v>1537</v>
      </c>
      <c r="C363" s="761" t="s">
        <v>1512</v>
      </c>
      <c r="D363" s="761" t="s">
        <v>3855</v>
      </c>
      <c r="E363" s="1067" t="s">
        <v>5251</v>
      </c>
      <c r="F363" s="762">
        <v>0</v>
      </c>
      <c r="G363" s="762">
        <v>0</v>
      </c>
      <c r="H363" s="762">
        <v>56184.25</v>
      </c>
      <c r="I363" s="762">
        <v>0</v>
      </c>
      <c r="J363" s="762">
        <v>0</v>
      </c>
      <c r="K363" s="762">
        <v>0</v>
      </c>
      <c r="L363" s="762">
        <v>0</v>
      </c>
      <c r="M363" s="762">
        <v>0</v>
      </c>
      <c r="N363" s="1187">
        <v>0</v>
      </c>
      <c r="O363" s="1187">
        <v>0</v>
      </c>
      <c r="P363" s="762">
        <v>56184.25</v>
      </c>
      <c r="Q363" s="762">
        <v>0</v>
      </c>
      <c r="R363" s="763">
        <v>56184.25</v>
      </c>
      <c r="S363" s="764">
        <v>0</v>
      </c>
    </row>
    <row r="364" spans="1:19" ht="30.6" x14ac:dyDescent="0.3">
      <c r="A364" s="761" t="s">
        <v>6971</v>
      </c>
      <c r="B364" s="761" t="s">
        <v>1537</v>
      </c>
      <c r="C364" s="761" t="s">
        <v>1512</v>
      </c>
      <c r="D364" s="761" t="s">
        <v>334</v>
      </c>
      <c r="E364" s="761" t="s">
        <v>4829</v>
      </c>
      <c r="F364" s="762">
        <v>600.05999999999995</v>
      </c>
      <c r="G364" s="762">
        <v>0</v>
      </c>
      <c r="H364" s="762">
        <v>116013.1</v>
      </c>
      <c r="I364" s="762">
        <v>0</v>
      </c>
      <c r="J364" s="762">
        <v>0</v>
      </c>
      <c r="K364" s="762">
        <v>0</v>
      </c>
      <c r="L364" s="762">
        <v>0</v>
      </c>
      <c r="M364" s="762">
        <v>0</v>
      </c>
      <c r="N364" s="1187">
        <v>0</v>
      </c>
      <c r="O364" s="1187">
        <v>0</v>
      </c>
      <c r="P364" s="762">
        <v>116013.1</v>
      </c>
      <c r="Q364" s="762">
        <v>0</v>
      </c>
      <c r="R364" s="763">
        <v>116613.16</v>
      </c>
      <c r="S364" s="764">
        <v>0</v>
      </c>
    </row>
    <row r="365" spans="1:19" ht="40.799999999999997" x14ac:dyDescent="0.3">
      <c r="A365" s="761" t="s">
        <v>6971</v>
      </c>
      <c r="B365" s="761" t="s">
        <v>1538</v>
      </c>
      <c r="C365" s="761" t="s">
        <v>1504</v>
      </c>
      <c r="D365" s="761" t="s">
        <v>268</v>
      </c>
      <c r="E365" s="761" t="s">
        <v>1740</v>
      </c>
      <c r="F365" s="762">
        <v>188339211.31999999</v>
      </c>
      <c r="G365" s="762">
        <v>491126</v>
      </c>
      <c r="H365" s="762">
        <v>138198129.94</v>
      </c>
      <c r="I365" s="762">
        <v>336720.13</v>
      </c>
      <c r="J365" s="762">
        <v>1115182722.8299999</v>
      </c>
      <c r="K365" s="762">
        <v>2813623.93</v>
      </c>
      <c r="L365" s="762">
        <v>14578192</v>
      </c>
      <c r="M365" s="762">
        <v>26585.779296875</v>
      </c>
      <c r="N365" s="1187">
        <v>0</v>
      </c>
      <c r="O365" s="1187">
        <v>0</v>
      </c>
      <c r="P365" s="762">
        <v>1267959044.6800001</v>
      </c>
      <c r="Q365" s="762">
        <v>3176929.84</v>
      </c>
      <c r="R365" s="763">
        <v>1456298256</v>
      </c>
      <c r="S365" s="764">
        <v>3668056.82</v>
      </c>
    </row>
    <row r="366" spans="1:19" ht="40.799999999999997" x14ac:dyDescent="0.3">
      <c r="A366" s="761" t="s">
        <v>6971</v>
      </c>
      <c r="B366" s="761" t="s">
        <v>1538</v>
      </c>
      <c r="C366" s="761" t="s">
        <v>1504</v>
      </c>
      <c r="D366" s="761" t="s">
        <v>247</v>
      </c>
      <c r="E366" s="761" t="s">
        <v>1741</v>
      </c>
      <c r="F366" s="762">
        <v>0</v>
      </c>
      <c r="G366" s="762">
        <v>0</v>
      </c>
      <c r="H366" s="762">
        <v>0</v>
      </c>
      <c r="I366" s="762">
        <v>0</v>
      </c>
      <c r="J366" s="762">
        <v>35020139.149999999</v>
      </c>
      <c r="K366" s="762">
        <v>228590.88</v>
      </c>
      <c r="L366" s="762">
        <v>0</v>
      </c>
      <c r="M366" s="762">
        <v>0</v>
      </c>
      <c r="N366" s="1187">
        <v>0</v>
      </c>
      <c r="O366" s="1187">
        <v>0</v>
      </c>
      <c r="P366" s="762">
        <v>35020139.149999999</v>
      </c>
      <c r="Q366" s="762">
        <v>228590.88</v>
      </c>
      <c r="R366" s="763">
        <v>35020139.149999999</v>
      </c>
      <c r="S366" s="764">
        <v>228590.88</v>
      </c>
    </row>
    <row r="367" spans="1:19" ht="20.399999999999999" x14ac:dyDescent="0.3">
      <c r="A367" s="761" t="s">
        <v>6971</v>
      </c>
      <c r="B367" s="761" t="s">
        <v>1538</v>
      </c>
      <c r="C367" s="761" t="s">
        <v>288</v>
      </c>
      <c r="D367" s="761" t="s">
        <v>288</v>
      </c>
      <c r="E367" s="761" t="s">
        <v>1742</v>
      </c>
      <c r="F367" s="762">
        <v>54449373.060000002</v>
      </c>
      <c r="G367" s="762">
        <v>0</v>
      </c>
      <c r="H367" s="762">
        <v>337077126.56</v>
      </c>
      <c r="I367" s="762">
        <v>0</v>
      </c>
      <c r="J367" s="762">
        <v>3917922.13</v>
      </c>
      <c r="K367" s="762">
        <v>0</v>
      </c>
      <c r="L367" s="762">
        <v>0</v>
      </c>
      <c r="M367" s="762">
        <v>0</v>
      </c>
      <c r="N367" s="1187">
        <v>0</v>
      </c>
      <c r="O367" s="1187">
        <v>0</v>
      </c>
      <c r="P367" s="762">
        <v>340995048.69</v>
      </c>
      <c r="Q367" s="762">
        <v>0</v>
      </c>
      <c r="R367" s="763">
        <v>395444421.75</v>
      </c>
      <c r="S367" s="764">
        <v>0</v>
      </c>
    </row>
    <row r="368" spans="1:19" x14ac:dyDescent="0.3">
      <c r="A368" s="761" t="s">
        <v>6971</v>
      </c>
      <c r="B368" s="761" t="s">
        <v>1538</v>
      </c>
      <c r="C368" s="761" t="s">
        <v>1510</v>
      </c>
      <c r="D368" s="761" t="s">
        <v>297</v>
      </c>
      <c r="E368" s="761" t="s">
        <v>1743</v>
      </c>
      <c r="F368" s="762">
        <v>0</v>
      </c>
      <c r="G368" s="762">
        <v>0</v>
      </c>
      <c r="H368" s="762">
        <v>0</v>
      </c>
      <c r="I368" s="762">
        <v>0</v>
      </c>
      <c r="J368" s="762">
        <v>110801180.53</v>
      </c>
      <c r="K368" s="762">
        <v>216188.64</v>
      </c>
      <c r="L368" s="762">
        <v>0</v>
      </c>
      <c r="M368" s="762">
        <v>0</v>
      </c>
      <c r="N368" s="1187">
        <v>0</v>
      </c>
      <c r="O368" s="1187">
        <v>0</v>
      </c>
      <c r="P368" s="762">
        <v>110801180.53</v>
      </c>
      <c r="Q368" s="762">
        <v>216188.64</v>
      </c>
      <c r="R368" s="763">
        <v>110801180.53</v>
      </c>
      <c r="S368" s="764">
        <v>216188.64</v>
      </c>
    </row>
    <row r="369" spans="1:19" ht="20.399999999999999" x14ac:dyDescent="0.3">
      <c r="A369" s="761" t="s">
        <v>6971</v>
      </c>
      <c r="B369" s="761" t="s">
        <v>1538</v>
      </c>
      <c r="C369" s="761" t="s">
        <v>3804</v>
      </c>
      <c r="D369" s="761" t="s">
        <v>3804</v>
      </c>
      <c r="E369" s="761" t="s">
        <v>3856</v>
      </c>
      <c r="F369" s="762">
        <v>0</v>
      </c>
      <c r="G369" s="762">
        <v>0</v>
      </c>
      <c r="H369" s="762">
        <v>0</v>
      </c>
      <c r="I369" s="762">
        <v>0</v>
      </c>
      <c r="J369" s="762">
        <v>0</v>
      </c>
      <c r="K369" s="762">
        <v>0</v>
      </c>
      <c r="L369" s="762">
        <v>0</v>
      </c>
      <c r="M369" s="762">
        <v>0</v>
      </c>
      <c r="N369" s="1187">
        <v>544777088</v>
      </c>
      <c r="O369" s="1187">
        <v>1209692.625</v>
      </c>
      <c r="P369" s="762">
        <v>0</v>
      </c>
      <c r="Q369" s="762">
        <v>0</v>
      </c>
      <c r="R369" s="763">
        <v>0</v>
      </c>
      <c r="S369" s="764">
        <v>0</v>
      </c>
    </row>
    <row r="370" spans="1:19" ht="20.399999999999999" x14ac:dyDescent="0.3">
      <c r="A370" s="761" t="s">
        <v>6971</v>
      </c>
      <c r="B370" s="761" t="s">
        <v>1538</v>
      </c>
      <c r="C370" s="761" t="s">
        <v>307</v>
      </c>
      <c r="D370" s="761" t="s">
        <v>307</v>
      </c>
      <c r="E370" s="761" t="s">
        <v>1744</v>
      </c>
      <c r="F370" s="762">
        <v>26159607.690000001</v>
      </c>
      <c r="G370" s="762">
        <v>0</v>
      </c>
      <c r="H370" s="762">
        <v>1073582290.55</v>
      </c>
      <c r="I370" s="762">
        <v>0</v>
      </c>
      <c r="J370" s="762">
        <v>88661.8</v>
      </c>
      <c r="K370" s="762">
        <v>0</v>
      </c>
      <c r="L370" s="762">
        <v>0</v>
      </c>
      <c r="M370" s="762">
        <v>0</v>
      </c>
      <c r="N370" s="1187">
        <v>0</v>
      </c>
      <c r="O370" s="1187">
        <v>0</v>
      </c>
      <c r="P370" s="762">
        <v>1073670952.35</v>
      </c>
      <c r="Q370" s="762">
        <v>0</v>
      </c>
      <c r="R370" s="763">
        <v>1099830560.04</v>
      </c>
      <c r="S370" s="764">
        <v>0</v>
      </c>
    </row>
    <row r="371" spans="1:19" ht="20.399999999999999" x14ac:dyDescent="0.3">
      <c r="A371" s="761" t="s">
        <v>6971</v>
      </c>
      <c r="B371" s="761" t="s">
        <v>1538</v>
      </c>
      <c r="C371" s="761" t="s">
        <v>1511</v>
      </c>
      <c r="D371" s="761" t="s">
        <v>316</v>
      </c>
      <c r="E371" s="761" t="s">
        <v>1745</v>
      </c>
      <c r="F371" s="762">
        <v>6441.17</v>
      </c>
      <c r="G371" s="762">
        <v>17</v>
      </c>
      <c r="H371" s="762">
        <v>535531.63</v>
      </c>
      <c r="I371" s="762">
        <v>1454.18</v>
      </c>
      <c r="J371" s="762">
        <v>0</v>
      </c>
      <c r="K371" s="762">
        <v>0</v>
      </c>
      <c r="L371" s="762">
        <v>0</v>
      </c>
      <c r="M371" s="762">
        <v>0</v>
      </c>
      <c r="N371" s="1187">
        <v>0</v>
      </c>
      <c r="O371" s="1187">
        <v>0</v>
      </c>
      <c r="P371" s="762">
        <v>535531.63</v>
      </c>
      <c r="Q371" s="762">
        <v>1454.18</v>
      </c>
      <c r="R371" s="763">
        <v>541972.80000000005</v>
      </c>
      <c r="S371" s="764">
        <v>1471.68</v>
      </c>
    </row>
    <row r="372" spans="1:19" ht="20.399999999999999" x14ac:dyDescent="0.3">
      <c r="A372" s="761" t="s">
        <v>6971</v>
      </c>
      <c r="B372" s="761" t="s">
        <v>1538</v>
      </c>
      <c r="C372" s="761" t="s">
        <v>1508</v>
      </c>
      <c r="D372" s="761" t="s">
        <v>332</v>
      </c>
      <c r="E372" s="761" t="s">
        <v>1746</v>
      </c>
      <c r="F372" s="762">
        <v>0</v>
      </c>
      <c r="G372" s="762">
        <v>0</v>
      </c>
      <c r="H372" s="762">
        <v>0</v>
      </c>
      <c r="I372" s="762">
        <v>0</v>
      </c>
      <c r="J372" s="762">
        <v>16623912.16</v>
      </c>
      <c r="K372" s="762">
        <v>46618.69</v>
      </c>
      <c r="L372" s="762">
        <v>0</v>
      </c>
      <c r="M372" s="762">
        <v>0</v>
      </c>
      <c r="N372" s="1187">
        <v>0</v>
      </c>
      <c r="O372" s="1187">
        <v>0</v>
      </c>
      <c r="P372" s="762">
        <v>16623912.16</v>
      </c>
      <c r="Q372" s="762">
        <v>46618.69</v>
      </c>
      <c r="R372" s="763">
        <v>16623912.16</v>
      </c>
      <c r="S372" s="764">
        <v>46618.69</v>
      </c>
    </row>
    <row r="373" spans="1:19" ht="30.6" x14ac:dyDescent="0.3">
      <c r="A373" s="761" t="s">
        <v>6971</v>
      </c>
      <c r="B373" s="761" t="s">
        <v>1538</v>
      </c>
      <c r="C373" s="761" t="s">
        <v>1512</v>
      </c>
      <c r="D373" s="761" t="s">
        <v>334</v>
      </c>
      <c r="E373" s="761" t="s">
        <v>1747</v>
      </c>
      <c r="F373" s="762">
        <v>0</v>
      </c>
      <c r="G373" s="762">
        <v>0</v>
      </c>
      <c r="H373" s="762">
        <v>5501897.5099999998</v>
      </c>
      <c r="I373" s="762">
        <v>0</v>
      </c>
      <c r="J373" s="762">
        <v>0</v>
      </c>
      <c r="K373" s="762">
        <v>0</v>
      </c>
      <c r="L373" s="762">
        <v>0</v>
      </c>
      <c r="M373" s="762">
        <v>0</v>
      </c>
      <c r="N373" s="1187">
        <v>0</v>
      </c>
      <c r="O373" s="1187">
        <v>0</v>
      </c>
      <c r="P373" s="762">
        <v>5501897.5099999998</v>
      </c>
      <c r="Q373" s="762">
        <v>0</v>
      </c>
      <c r="R373" s="763">
        <v>5501897.5099999998</v>
      </c>
      <c r="S373" s="764">
        <v>0</v>
      </c>
    </row>
    <row r="374" spans="1:19" ht="40.799999999999997" x14ac:dyDescent="0.3">
      <c r="A374" s="761" t="s">
        <v>6971</v>
      </c>
      <c r="B374" s="761" t="s">
        <v>1539</v>
      </c>
      <c r="C374" s="761" t="s">
        <v>1504</v>
      </c>
      <c r="D374" s="761" t="s">
        <v>248</v>
      </c>
      <c r="E374" s="761" t="s">
        <v>1748</v>
      </c>
      <c r="F374" s="762">
        <v>11787150</v>
      </c>
      <c r="G374" s="762">
        <v>22647</v>
      </c>
      <c r="H374" s="762">
        <v>0</v>
      </c>
      <c r="I374" s="762">
        <v>0</v>
      </c>
      <c r="J374" s="762">
        <v>121969021</v>
      </c>
      <c r="K374" s="762">
        <v>273262</v>
      </c>
      <c r="L374" s="762">
        <v>0</v>
      </c>
      <c r="M374" s="762">
        <v>0</v>
      </c>
      <c r="N374" s="1187">
        <v>0</v>
      </c>
      <c r="O374" s="1187">
        <v>0</v>
      </c>
      <c r="P374" s="762">
        <v>121969021</v>
      </c>
      <c r="Q374" s="762">
        <v>273262</v>
      </c>
      <c r="R374" s="763">
        <v>133756171</v>
      </c>
      <c r="S374" s="764">
        <v>295909</v>
      </c>
    </row>
    <row r="375" spans="1:19" ht="40.799999999999997" x14ac:dyDescent="0.3">
      <c r="A375" s="761" t="s">
        <v>6971</v>
      </c>
      <c r="B375" s="761" t="s">
        <v>1539</v>
      </c>
      <c r="C375" s="761" t="s">
        <v>1504</v>
      </c>
      <c r="D375" s="761" t="s">
        <v>272</v>
      </c>
      <c r="E375" s="761" t="s">
        <v>1749</v>
      </c>
      <c r="F375" s="762">
        <v>20476944</v>
      </c>
      <c r="G375" s="762">
        <v>61698</v>
      </c>
      <c r="H375" s="762">
        <v>26199754</v>
      </c>
      <c r="I375" s="762">
        <v>85733</v>
      </c>
      <c r="J375" s="762">
        <v>174006483</v>
      </c>
      <c r="K375" s="762">
        <v>436720</v>
      </c>
      <c r="L375" s="762">
        <v>4419712</v>
      </c>
      <c r="M375" s="762">
        <v>9228</v>
      </c>
      <c r="N375" s="1187">
        <v>0</v>
      </c>
      <c r="O375" s="1187">
        <v>0</v>
      </c>
      <c r="P375" s="762">
        <v>204625949</v>
      </c>
      <c r="Q375" s="762">
        <v>531681</v>
      </c>
      <c r="R375" s="763">
        <v>225102893</v>
      </c>
      <c r="S375" s="764">
        <v>593379</v>
      </c>
    </row>
    <row r="376" spans="1:19" ht="20.399999999999999" x14ac:dyDescent="0.3">
      <c r="A376" s="761" t="s">
        <v>6971</v>
      </c>
      <c r="B376" s="761" t="s">
        <v>1539</v>
      </c>
      <c r="C376" s="761" t="s">
        <v>288</v>
      </c>
      <c r="D376" s="761" t="s">
        <v>288</v>
      </c>
      <c r="E376" s="761" t="s">
        <v>1750</v>
      </c>
      <c r="F376" s="762">
        <v>14526754</v>
      </c>
      <c r="G376" s="762">
        <v>0</v>
      </c>
      <c r="H376" s="762">
        <v>69125023</v>
      </c>
      <c r="I376" s="762">
        <v>0</v>
      </c>
      <c r="J376" s="762">
        <v>643334</v>
      </c>
      <c r="K376" s="762">
        <v>0</v>
      </c>
      <c r="L376" s="762">
        <v>0</v>
      </c>
      <c r="M376" s="762">
        <v>0</v>
      </c>
      <c r="N376" s="1187">
        <v>0</v>
      </c>
      <c r="O376" s="1187">
        <v>0</v>
      </c>
      <c r="P376" s="762">
        <v>69768357</v>
      </c>
      <c r="Q376" s="762">
        <v>0</v>
      </c>
      <c r="R376" s="763">
        <v>84295111</v>
      </c>
      <c r="S376" s="764">
        <v>0</v>
      </c>
    </row>
    <row r="377" spans="1:19" ht="20.399999999999999" x14ac:dyDescent="0.3">
      <c r="A377" s="761" t="s">
        <v>6971</v>
      </c>
      <c r="B377" s="761" t="s">
        <v>1539</v>
      </c>
      <c r="C377" s="761" t="s">
        <v>1510</v>
      </c>
      <c r="D377" s="761" t="s">
        <v>297</v>
      </c>
      <c r="E377" s="761" t="s">
        <v>1751</v>
      </c>
      <c r="F377" s="762">
        <v>0</v>
      </c>
      <c r="G377" s="762">
        <v>0</v>
      </c>
      <c r="H377" s="762">
        <v>0</v>
      </c>
      <c r="I377" s="762">
        <v>0</v>
      </c>
      <c r="J377" s="762">
        <v>143005781</v>
      </c>
      <c r="K377" s="762">
        <v>282022</v>
      </c>
      <c r="L377" s="762">
        <v>0</v>
      </c>
      <c r="M377" s="762">
        <v>0</v>
      </c>
      <c r="N377" s="1187">
        <v>0</v>
      </c>
      <c r="O377" s="1187">
        <v>0</v>
      </c>
      <c r="P377" s="762">
        <v>143005781</v>
      </c>
      <c r="Q377" s="762">
        <v>282022</v>
      </c>
      <c r="R377" s="763">
        <v>143005781</v>
      </c>
      <c r="S377" s="764">
        <v>282022</v>
      </c>
    </row>
    <row r="378" spans="1:19" ht="20.399999999999999" x14ac:dyDescent="0.3">
      <c r="A378" s="761" t="s">
        <v>6971</v>
      </c>
      <c r="B378" s="761" t="s">
        <v>1539</v>
      </c>
      <c r="C378" s="761" t="s">
        <v>3804</v>
      </c>
      <c r="D378" s="761" t="s">
        <v>3804</v>
      </c>
      <c r="E378" s="761" t="s">
        <v>3857</v>
      </c>
      <c r="F378" s="762">
        <v>0</v>
      </c>
      <c r="G378" s="762">
        <v>0</v>
      </c>
      <c r="H378" s="762">
        <v>0</v>
      </c>
      <c r="I378" s="762">
        <v>0</v>
      </c>
      <c r="J378" s="762">
        <v>0</v>
      </c>
      <c r="K378" s="762">
        <v>0</v>
      </c>
      <c r="L378" s="762">
        <v>0</v>
      </c>
      <c r="M378" s="762">
        <v>0</v>
      </c>
      <c r="N378" s="1187">
        <v>276753344</v>
      </c>
      <c r="O378" s="1187">
        <v>553511</v>
      </c>
      <c r="P378" s="762">
        <v>0</v>
      </c>
      <c r="Q378" s="762">
        <v>0</v>
      </c>
      <c r="R378" s="763">
        <v>0</v>
      </c>
      <c r="S378" s="764">
        <v>0</v>
      </c>
    </row>
    <row r="379" spans="1:19" ht="20.399999999999999" x14ac:dyDescent="0.3">
      <c r="A379" s="761" t="s">
        <v>6971</v>
      </c>
      <c r="B379" s="761" t="s">
        <v>1539</v>
      </c>
      <c r="C379" s="761" t="s">
        <v>307</v>
      </c>
      <c r="D379" s="761" t="s">
        <v>307</v>
      </c>
      <c r="E379" s="761" t="s">
        <v>1752</v>
      </c>
      <c r="F379" s="762">
        <v>6567113</v>
      </c>
      <c r="G379" s="762">
        <v>0</v>
      </c>
      <c r="H379" s="762">
        <v>311768101</v>
      </c>
      <c r="I379" s="762">
        <v>0</v>
      </c>
      <c r="J379" s="762">
        <v>17386</v>
      </c>
      <c r="K379" s="762">
        <v>0</v>
      </c>
      <c r="L379" s="762">
        <v>0</v>
      </c>
      <c r="M379" s="762">
        <v>0</v>
      </c>
      <c r="N379" s="1187">
        <v>0</v>
      </c>
      <c r="O379" s="1187">
        <v>0</v>
      </c>
      <c r="P379" s="762">
        <v>311785487</v>
      </c>
      <c r="Q379" s="762">
        <v>0</v>
      </c>
      <c r="R379" s="763">
        <v>318352600</v>
      </c>
      <c r="S379" s="764">
        <v>0</v>
      </c>
    </row>
    <row r="380" spans="1:19" ht="20.399999999999999" x14ac:dyDescent="0.3">
      <c r="A380" s="761" t="s">
        <v>6971</v>
      </c>
      <c r="B380" s="761" t="s">
        <v>1539</v>
      </c>
      <c r="C380" s="761" t="s">
        <v>1511</v>
      </c>
      <c r="D380" s="761" t="s">
        <v>316</v>
      </c>
      <c r="E380" s="761" t="s">
        <v>1753</v>
      </c>
      <c r="F380" s="762">
        <v>0</v>
      </c>
      <c r="G380" s="762">
        <v>0</v>
      </c>
      <c r="H380" s="762">
        <v>144799</v>
      </c>
      <c r="I380" s="762">
        <v>410</v>
      </c>
      <c r="J380" s="762">
        <v>0</v>
      </c>
      <c r="K380" s="762">
        <v>0</v>
      </c>
      <c r="L380" s="762">
        <v>0</v>
      </c>
      <c r="M380" s="762">
        <v>0</v>
      </c>
      <c r="N380" s="1187">
        <v>0</v>
      </c>
      <c r="O380" s="1187">
        <v>0</v>
      </c>
      <c r="P380" s="762">
        <v>144799</v>
      </c>
      <c r="Q380" s="762">
        <v>410</v>
      </c>
      <c r="R380" s="763">
        <v>144799</v>
      </c>
      <c r="S380" s="764">
        <v>410</v>
      </c>
    </row>
    <row r="381" spans="1:19" ht="20.399999999999999" x14ac:dyDescent="0.3">
      <c r="A381" s="761" t="s">
        <v>6971</v>
      </c>
      <c r="B381" s="761" t="s">
        <v>1539</v>
      </c>
      <c r="C381" s="761" t="s">
        <v>1508</v>
      </c>
      <c r="D381" s="761" t="s">
        <v>332</v>
      </c>
      <c r="E381" s="761" t="s">
        <v>1754</v>
      </c>
      <c r="F381" s="762">
        <v>0</v>
      </c>
      <c r="G381" s="762">
        <v>0</v>
      </c>
      <c r="H381" s="762">
        <v>0</v>
      </c>
      <c r="I381" s="762">
        <v>0</v>
      </c>
      <c r="J381" s="762">
        <v>6707353</v>
      </c>
      <c r="K381" s="762">
        <v>18723</v>
      </c>
      <c r="L381" s="762">
        <v>0</v>
      </c>
      <c r="M381" s="762">
        <v>0</v>
      </c>
      <c r="N381" s="1187">
        <v>0</v>
      </c>
      <c r="O381" s="1187">
        <v>0</v>
      </c>
      <c r="P381" s="762">
        <v>6707353</v>
      </c>
      <c r="Q381" s="762">
        <v>18723</v>
      </c>
      <c r="R381" s="763">
        <v>6707353</v>
      </c>
      <c r="S381" s="764">
        <v>18723</v>
      </c>
    </row>
    <row r="382" spans="1:19" ht="30.6" x14ac:dyDescent="0.3">
      <c r="A382" s="761" t="s">
        <v>6971</v>
      </c>
      <c r="B382" s="761" t="s">
        <v>1539</v>
      </c>
      <c r="C382" s="761" t="s">
        <v>1512</v>
      </c>
      <c r="D382" s="761" t="s">
        <v>334</v>
      </c>
      <c r="E382" s="761" t="s">
        <v>1755</v>
      </c>
      <c r="F382" s="762">
        <v>138063</v>
      </c>
      <c r="G382" s="762">
        <v>0</v>
      </c>
      <c r="H382" s="762">
        <v>938317</v>
      </c>
      <c r="I382" s="762">
        <v>0</v>
      </c>
      <c r="J382" s="762">
        <v>0</v>
      </c>
      <c r="K382" s="762">
        <v>0</v>
      </c>
      <c r="L382" s="762">
        <v>0</v>
      </c>
      <c r="M382" s="762">
        <v>0</v>
      </c>
      <c r="N382" s="1187">
        <v>0</v>
      </c>
      <c r="O382" s="1187">
        <v>0</v>
      </c>
      <c r="P382" s="762">
        <v>938317</v>
      </c>
      <c r="Q382" s="762">
        <v>0</v>
      </c>
      <c r="R382" s="763">
        <v>1076380</v>
      </c>
      <c r="S382" s="764">
        <v>0</v>
      </c>
    </row>
    <row r="383" spans="1:19" ht="40.799999999999997" x14ac:dyDescent="0.3">
      <c r="A383" s="761" t="s">
        <v>6971</v>
      </c>
      <c r="B383" s="761" t="s">
        <v>7258</v>
      </c>
      <c r="C383" s="761" t="s">
        <v>1504</v>
      </c>
      <c r="D383" s="761" t="s">
        <v>4830</v>
      </c>
      <c r="E383" s="1067" t="s">
        <v>5252</v>
      </c>
      <c r="F383" s="762">
        <v>19037745</v>
      </c>
      <c r="G383" s="762">
        <v>48736</v>
      </c>
      <c r="H383" s="762">
        <v>2215094</v>
      </c>
      <c r="I383" s="762">
        <v>5054</v>
      </c>
      <c r="J383" s="762">
        <v>143400828</v>
      </c>
      <c r="K383" s="762">
        <v>338545</v>
      </c>
      <c r="L383" s="762">
        <v>6760502</v>
      </c>
      <c r="M383" s="762">
        <v>43570</v>
      </c>
      <c r="N383" s="1187">
        <v>0</v>
      </c>
      <c r="O383" s="1187">
        <v>0</v>
      </c>
      <c r="P383" s="762">
        <v>152376424</v>
      </c>
      <c r="Q383" s="762">
        <v>387169</v>
      </c>
      <c r="R383" s="763">
        <v>171414169</v>
      </c>
      <c r="S383" s="764">
        <v>435905</v>
      </c>
    </row>
    <row r="384" spans="1:19" ht="40.799999999999997" x14ac:dyDescent="0.3">
      <c r="A384" s="761" t="s">
        <v>6971</v>
      </c>
      <c r="B384" s="761" t="s">
        <v>7258</v>
      </c>
      <c r="C384" s="761" t="s">
        <v>1504</v>
      </c>
      <c r="D384" s="761" t="s">
        <v>4831</v>
      </c>
      <c r="E384" s="1067" t="s">
        <v>5253</v>
      </c>
      <c r="F384" s="762">
        <v>22651540</v>
      </c>
      <c r="G384" s="762">
        <v>60230</v>
      </c>
      <c r="H384" s="762">
        <v>10402896</v>
      </c>
      <c r="I384" s="762">
        <v>26248</v>
      </c>
      <c r="J384" s="762">
        <v>71695696</v>
      </c>
      <c r="K384" s="762">
        <v>173253</v>
      </c>
      <c r="L384" s="762">
        <v>3515529</v>
      </c>
      <c r="M384" s="762">
        <v>6898</v>
      </c>
      <c r="N384" s="1187">
        <v>0</v>
      </c>
      <c r="O384" s="1187">
        <v>0</v>
      </c>
      <c r="P384" s="762">
        <v>85614121</v>
      </c>
      <c r="Q384" s="762">
        <v>206399</v>
      </c>
      <c r="R384" s="763">
        <v>108265661</v>
      </c>
      <c r="S384" s="764">
        <v>266629</v>
      </c>
    </row>
    <row r="385" spans="1:19" ht="40.799999999999997" x14ac:dyDescent="0.3">
      <c r="A385" s="761" t="s">
        <v>6971</v>
      </c>
      <c r="B385" s="761" t="s">
        <v>7258</v>
      </c>
      <c r="C385" s="761" t="s">
        <v>1504</v>
      </c>
      <c r="D385" s="761" t="s">
        <v>4832</v>
      </c>
      <c r="E385" s="1067" t="s">
        <v>5254</v>
      </c>
      <c r="F385" s="762">
        <v>26598429</v>
      </c>
      <c r="G385" s="762">
        <v>59508</v>
      </c>
      <c r="H385" s="762">
        <v>22711671</v>
      </c>
      <c r="I385" s="762">
        <v>92253</v>
      </c>
      <c r="J385" s="762">
        <v>60089712</v>
      </c>
      <c r="K385" s="762">
        <v>149411</v>
      </c>
      <c r="L385" s="762">
        <v>0</v>
      </c>
      <c r="M385" s="762">
        <v>0</v>
      </c>
      <c r="N385" s="1187">
        <v>0</v>
      </c>
      <c r="O385" s="1187">
        <v>0</v>
      </c>
      <c r="P385" s="762">
        <v>82801383</v>
      </c>
      <c r="Q385" s="762">
        <v>241664</v>
      </c>
      <c r="R385" s="763">
        <v>109399812</v>
      </c>
      <c r="S385" s="764">
        <v>301172</v>
      </c>
    </row>
    <row r="386" spans="1:19" ht="40.799999999999997" x14ac:dyDescent="0.3">
      <c r="A386" s="1068">
        <v>2020</v>
      </c>
      <c r="B386" s="761" t="s">
        <v>7258</v>
      </c>
      <c r="C386" s="761" t="s">
        <v>1504</v>
      </c>
      <c r="D386" s="761" t="s">
        <v>5255</v>
      </c>
      <c r="E386" s="1067" t="s">
        <v>5256</v>
      </c>
      <c r="F386" s="1432">
        <f>F383+F385</f>
        <v>45636174</v>
      </c>
      <c r="G386" s="1432">
        <f t="shared" ref="G386:S386" si="0">G383+G385</f>
        <v>108244</v>
      </c>
      <c r="H386" s="1432">
        <f t="shared" si="0"/>
        <v>24926765</v>
      </c>
      <c r="I386" s="1432">
        <f t="shared" si="0"/>
        <v>97307</v>
      </c>
      <c r="J386" s="1432">
        <f t="shared" si="0"/>
        <v>203490540</v>
      </c>
      <c r="K386" s="1432">
        <f t="shared" si="0"/>
        <v>487956</v>
      </c>
      <c r="L386" s="1432">
        <f t="shared" si="0"/>
        <v>6760502</v>
      </c>
      <c r="M386" s="1432">
        <f t="shared" si="0"/>
        <v>43570</v>
      </c>
      <c r="N386" s="1432">
        <f t="shared" si="0"/>
        <v>0</v>
      </c>
      <c r="O386" s="1432">
        <f t="shared" si="0"/>
        <v>0</v>
      </c>
      <c r="P386" s="1432">
        <f t="shared" si="0"/>
        <v>235177807</v>
      </c>
      <c r="Q386" s="1432">
        <f t="shared" si="0"/>
        <v>628833</v>
      </c>
      <c r="R386" s="1432">
        <f t="shared" si="0"/>
        <v>280813981</v>
      </c>
      <c r="S386" s="1432">
        <f t="shared" si="0"/>
        <v>737077</v>
      </c>
    </row>
    <row r="387" spans="1:19" ht="30.6" x14ac:dyDescent="0.3">
      <c r="A387" s="761" t="s">
        <v>6971</v>
      </c>
      <c r="B387" s="761" t="s">
        <v>7258</v>
      </c>
      <c r="C387" s="761" t="s">
        <v>288</v>
      </c>
      <c r="D387" s="761" t="s">
        <v>4833</v>
      </c>
      <c r="E387" s="1067" t="s">
        <v>5257</v>
      </c>
      <c r="F387" s="762">
        <v>4518061</v>
      </c>
      <c r="G387" s="762">
        <v>0</v>
      </c>
      <c r="H387" s="762">
        <v>19347332</v>
      </c>
      <c r="I387" s="762">
        <v>0</v>
      </c>
      <c r="J387" s="762">
        <v>850</v>
      </c>
      <c r="K387" s="762">
        <v>0</v>
      </c>
      <c r="L387" s="762">
        <v>0</v>
      </c>
      <c r="M387" s="762">
        <v>0</v>
      </c>
      <c r="N387" s="1187">
        <v>0</v>
      </c>
      <c r="O387" s="1187">
        <v>0</v>
      </c>
      <c r="P387" s="762">
        <v>19348182</v>
      </c>
      <c r="Q387" s="762">
        <v>0</v>
      </c>
      <c r="R387" s="763">
        <v>23866243</v>
      </c>
      <c r="S387" s="764">
        <v>0</v>
      </c>
    </row>
    <row r="388" spans="1:19" ht="30.6" x14ac:dyDescent="0.3">
      <c r="A388" s="761" t="s">
        <v>6971</v>
      </c>
      <c r="B388" s="761" t="s">
        <v>7258</v>
      </c>
      <c r="C388" s="761" t="s">
        <v>288</v>
      </c>
      <c r="D388" s="761" t="s">
        <v>4834</v>
      </c>
      <c r="E388" s="1067" t="s">
        <v>5258</v>
      </c>
      <c r="F388" s="762">
        <v>14657317</v>
      </c>
      <c r="G388" s="762">
        <v>0</v>
      </c>
      <c r="H388" s="762">
        <v>72294885</v>
      </c>
      <c r="I388" s="762">
        <v>0</v>
      </c>
      <c r="J388" s="762">
        <v>324404</v>
      </c>
      <c r="K388" s="762">
        <v>0</v>
      </c>
      <c r="L388" s="762">
        <v>0</v>
      </c>
      <c r="M388" s="762">
        <v>0</v>
      </c>
      <c r="N388" s="1187">
        <v>0</v>
      </c>
      <c r="O388" s="1187">
        <v>0</v>
      </c>
      <c r="P388" s="762">
        <v>72619289</v>
      </c>
      <c r="Q388" s="762">
        <v>0</v>
      </c>
      <c r="R388" s="763">
        <v>87276606</v>
      </c>
      <c r="S388" s="764">
        <v>0</v>
      </c>
    </row>
    <row r="389" spans="1:19" ht="20.399999999999999" x14ac:dyDescent="0.3">
      <c r="A389" s="761" t="s">
        <v>6971</v>
      </c>
      <c r="B389" s="761" t="s">
        <v>7258</v>
      </c>
      <c r="C389" s="761" t="s">
        <v>3804</v>
      </c>
      <c r="D389" s="761" t="s">
        <v>3804</v>
      </c>
      <c r="E389" s="761" t="s">
        <v>7072</v>
      </c>
      <c r="F389" s="762">
        <v>0</v>
      </c>
      <c r="G389" s="762">
        <v>0</v>
      </c>
      <c r="H389" s="762">
        <v>0</v>
      </c>
      <c r="I389" s="762">
        <v>0</v>
      </c>
      <c r="J389" s="762">
        <v>0</v>
      </c>
      <c r="K389" s="762">
        <v>0</v>
      </c>
      <c r="L389" s="762">
        <v>0</v>
      </c>
      <c r="M389" s="762">
        <v>0</v>
      </c>
      <c r="N389" s="1187">
        <v>124824784</v>
      </c>
      <c r="O389" s="1187">
        <v>264638</v>
      </c>
      <c r="P389" s="762">
        <v>0</v>
      </c>
      <c r="Q389" s="762">
        <v>0</v>
      </c>
      <c r="R389" s="763">
        <v>0</v>
      </c>
      <c r="S389" s="764">
        <v>0</v>
      </c>
    </row>
    <row r="390" spans="1:19" ht="30.6" x14ac:dyDescent="0.3">
      <c r="A390" s="761" t="s">
        <v>6971</v>
      </c>
      <c r="B390" s="761" t="s">
        <v>7258</v>
      </c>
      <c r="C390" s="761" t="s">
        <v>307</v>
      </c>
      <c r="D390" s="761" t="s">
        <v>4835</v>
      </c>
      <c r="E390" s="1067" t="s">
        <v>5259</v>
      </c>
      <c r="F390" s="762">
        <v>2296029</v>
      </c>
      <c r="G390" s="762">
        <v>0</v>
      </c>
      <c r="H390" s="762">
        <v>47328290</v>
      </c>
      <c r="I390" s="762">
        <v>0</v>
      </c>
      <c r="J390" s="762">
        <v>0</v>
      </c>
      <c r="K390" s="762">
        <v>0</v>
      </c>
      <c r="L390" s="762">
        <v>0</v>
      </c>
      <c r="M390" s="762">
        <v>0</v>
      </c>
      <c r="N390" s="1187">
        <v>0</v>
      </c>
      <c r="O390" s="1187">
        <v>0</v>
      </c>
      <c r="P390" s="762">
        <v>47328290</v>
      </c>
      <c r="Q390" s="762">
        <v>0</v>
      </c>
      <c r="R390" s="763">
        <v>49624319</v>
      </c>
      <c r="S390" s="764">
        <v>0</v>
      </c>
    </row>
    <row r="391" spans="1:19" ht="30.6" x14ac:dyDescent="0.3">
      <c r="A391" s="761" t="s">
        <v>6971</v>
      </c>
      <c r="B391" s="761" t="s">
        <v>7258</v>
      </c>
      <c r="C391" s="761" t="s">
        <v>307</v>
      </c>
      <c r="D391" s="761" t="s">
        <v>4836</v>
      </c>
      <c r="E391" s="1067" t="s">
        <v>5260</v>
      </c>
      <c r="F391" s="762">
        <v>5852329</v>
      </c>
      <c r="G391" s="762">
        <v>0</v>
      </c>
      <c r="H391" s="762">
        <v>264607750</v>
      </c>
      <c r="I391" s="762">
        <v>0</v>
      </c>
      <c r="J391" s="762">
        <v>0</v>
      </c>
      <c r="K391" s="762">
        <v>0</v>
      </c>
      <c r="L391" s="762">
        <v>0</v>
      </c>
      <c r="M391" s="762">
        <v>0</v>
      </c>
      <c r="N391" s="1187">
        <v>0</v>
      </c>
      <c r="O391" s="1187">
        <v>0</v>
      </c>
      <c r="P391" s="762">
        <v>264607750</v>
      </c>
      <c r="Q391" s="762">
        <v>0</v>
      </c>
      <c r="R391" s="763">
        <v>270460079</v>
      </c>
      <c r="S391" s="764">
        <v>0</v>
      </c>
    </row>
    <row r="392" spans="1:19" ht="30.6" x14ac:dyDescent="0.3">
      <c r="A392" s="761" t="s">
        <v>6971</v>
      </c>
      <c r="B392" s="761" t="s">
        <v>7258</v>
      </c>
      <c r="C392" s="761" t="s">
        <v>1511</v>
      </c>
      <c r="D392" s="761" t="s">
        <v>4837</v>
      </c>
      <c r="E392" s="1067" t="s">
        <v>5261</v>
      </c>
      <c r="F392" s="762">
        <v>0</v>
      </c>
      <c r="G392" s="762">
        <v>0</v>
      </c>
      <c r="H392" s="762">
        <v>269394</v>
      </c>
      <c r="I392" s="762">
        <v>777</v>
      </c>
      <c r="J392" s="762">
        <v>0</v>
      </c>
      <c r="K392" s="762">
        <v>0</v>
      </c>
      <c r="L392" s="762">
        <v>0</v>
      </c>
      <c r="M392" s="762">
        <v>0</v>
      </c>
      <c r="N392" s="1187">
        <v>0</v>
      </c>
      <c r="O392" s="1187">
        <v>0</v>
      </c>
      <c r="P392" s="762">
        <v>269394</v>
      </c>
      <c r="Q392" s="762">
        <v>777</v>
      </c>
      <c r="R392" s="763">
        <v>269394</v>
      </c>
      <c r="S392" s="764">
        <v>777</v>
      </c>
    </row>
    <row r="393" spans="1:19" ht="30.6" x14ac:dyDescent="0.3">
      <c r="A393" s="761" t="s">
        <v>6971</v>
      </c>
      <c r="B393" s="761" t="s">
        <v>7258</v>
      </c>
      <c r="C393" s="761" t="s">
        <v>1508</v>
      </c>
      <c r="D393" s="761" t="s">
        <v>4838</v>
      </c>
      <c r="E393" s="1067" t="s">
        <v>5262</v>
      </c>
      <c r="F393" s="762">
        <v>485645</v>
      </c>
      <c r="G393" s="762">
        <v>1318</v>
      </c>
      <c r="H393" s="762">
        <v>0</v>
      </c>
      <c r="I393" s="762">
        <v>0</v>
      </c>
      <c r="J393" s="762">
        <v>34235</v>
      </c>
      <c r="K393" s="762">
        <v>93</v>
      </c>
      <c r="L393" s="762">
        <v>0</v>
      </c>
      <c r="M393" s="762">
        <v>0</v>
      </c>
      <c r="N393" s="1187">
        <v>0</v>
      </c>
      <c r="O393" s="1187">
        <v>0</v>
      </c>
      <c r="P393" s="762">
        <v>34235</v>
      </c>
      <c r="Q393" s="762">
        <v>93</v>
      </c>
      <c r="R393" s="763">
        <v>519880</v>
      </c>
      <c r="S393" s="764">
        <v>1411</v>
      </c>
    </row>
    <row r="394" spans="1:19" ht="30.6" x14ac:dyDescent="0.3">
      <c r="A394" s="761" t="s">
        <v>6971</v>
      </c>
      <c r="B394" s="761" t="s">
        <v>7258</v>
      </c>
      <c r="C394" s="761" t="s">
        <v>1508</v>
      </c>
      <c r="D394" s="761" t="s">
        <v>4839</v>
      </c>
      <c r="E394" s="1067" t="s">
        <v>5263</v>
      </c>
      <c r="F394" s="762">
        <v>0</v>
      </c>
      <c r="G394" s="762">
        <v>0</v>
      </c>
      <c r="H394" s="762">
        <v>84164</v>
      </c>
      <c r="I394" s="762">
        <v>234</v>
      </c>
      <c r="J394" s="762">
        <v>2470146</v>
      </c>
      <c r="K394" s="762">
        <v>6862</v>
      </c>
      <c r="L394" s="762">
        <v>0</v>
      </c>
      <c r="M394" s="762">
        <v>0</v>
      </c>
      <c r="N394" s="1187">
        <v>0</v>
      </c>
      <c r="O394" s="1187">
        <v>0</v>
      </c>
      <c r="P394" s="762">
        <v>2554310</v>
      </c>
      <c r="Q394" s="762">
        <v>7096</v>
      </c>
      <c r="R394" s="763">
        <v>2554310</v>
      </c>
      <c r="S394" s="764">
        <v>7096</v>
      </c>
    </row>
    <row r="395" spans="1:19" ht="30.6" x14ac:dyDescent="0.3">
      <c r="A395" s="761" t="s">
        <v>6971</v>
      </c>
      <c r="B395" s="761" t="s">
        <v>7258</v>
      </c>
      <c r="C395" s="761" t="s">
        <v>1512</v>
      </c>
      <c r="D395" s="761" t="s">
        <v>4840</v>
      </c>
      <c r="E395" s="1067" t="s">
        <v>5264</v>
      </c>
      <c r="F395" s="762">
        <v>0</v>
      </c>
      <c r="G395" s="762">
        <v>0</v>
      </c>
      <c r="H395" s="762">
        <v>552037</v>
      </c>
      <c r="I395" s="762">
        <v>0</v>
      </c>
      <c r="J395" s="762">
        <v>0</v>
      </c>
      <c r="K395" s="762">
        <v>0</v>
      </c>
      <c r="L395" s="762">
        <v>0</v>
      </c>
      <c r="M395" s="762">
        <v>0</v>
      </c>
      <c r="N395" s="1187">
        <v>0</v>
      </c>
      <c r="O395" s="1187">
        <v>0</v>
      </c>
      <c r="P395" s="762">
        <v>552037</v>
      </c>
      <c r="Q395" s="762">
        <v>0</v>
      </c>
      <c r="R395" s="763">
        <v>552037</v>
      </c>
      <c r="S395" s="764">
        <v>0</v>
      </c>
    </row>
    <row r="396" spans="1:19" ht="40.799999999999997" x14ac:dyDescent="0.3">
      <c r="A396" s="761" t="s">
        <v>6971</v>
      </c>
      <c r="B396" s="761" t="s">
        <v>7258</v>
      </c>
      <c r="C396" s="761" t="s">
        <v>1512</v>
      </c>
      <c r="D396" s="761" t="s">
        <v>4841</v>
      </c>
      <c r="E396" s="1067" t="s">
        <v>5265</v>
      </c>
      <c r="F396" s="762">
        <v>94320</v>
      </c>
      <c r="G396" s="762">
        <v>0</v>
      </c>
      <c r="H396" s="762">
        <v>296258</v>
      </c>
      <c r="I396" s="762">
        <v>0</v>
      </c>
      <c r="J396" s="762">
        <v>0</v>
      </c>
      <c r="K396" s="762">
        <v>0</v>
      </c>
      <c r="L396" s="762">
        <v>0</v>
      </c>
      <c r="M396" s="762">
        <v>0</v>
      </c>
      <c r="N396" s="1187">
        <v>0</v>
      </c>
      <c r="O396" s="1187">
        <v>0</v>
      </c>
      <c r="P396" s="762">
        <v>296258</v>
      </c>
      <c r="Q396" s="762">
        <v>0</v>
      </c>
      <c r="R396" s="763">
        <v>390578</v>
      </c>
      <c r="S396" s="764">
        <v>0</v>
      </c>
    </row>
    <row r="397" spans="1:19" ht="40.799999999999997" x14ac:dyDescent="0.3">
      <c r="A397" s="761" t="s">
        <v>6971</v>
      </c>
      <c r="B397" s="761" t="s">
        <v>1540</v>
      </c>
      <c r="C397" s="761" t="s">
        <v>1504</v>
      </c>
      <c r="D397" s="761" t="s">
        <v>268</v>
      </c>
      <c r="E397" s="761" t="s">
        <v>1756</v>
      </c>
      <c r="F397" s="762">
        <v>56648180</v>
      </c>
      <c r="G397" s="762">
        <v>143096</v>
      </c>
      <c r="H397" s="762">
        <v>64946971</v>
      </c>
      <c r="I397" s="762">
        <v>13208</v>
      </c>
      <c r="J397" s="762">
        <v>585057121</v>
      </c>
      <c r="K397" s="762">
        <v>1477883</v>
      </c>
      <c r="L397" s="762">
        <v>3070169</v>
      </c>
      <c r="M397" s="762">
        <v>5800</v>
      </c>
      <c r="N397" s="1187">
        <v>0</v>
      </c>
      <c r="O397" s="1187">
        <v>0</v>
      </c>
      <c r="P397" s="762">
        <v>653074261</v>
      </c>
      <c r="Q397" s="762">
        <v>1496891</v>
      </c>
      <c r="R397" s="763">
        <v>709722441</v>
      </c>
      <c r="S397" s="764">
        <v>1639987</v>
      </c>
    </row>
    <row r="398" spans="1:19" ht="20.399999999999999" x14ac:dyDescent="0.3">
      <c r="A398" s="761" t="s">
        <v>6971</v>
      </c>
      <c r="B398" s="761" t="s">
        <v>1540</v>
      </c>
      <c r="C398" s="761" t="s">
        <v>288</v>
      </c>
      <c r="D398" s="761" t="s">
        <v>288</v>
      </c>
      <c r="E398" s="761" t="s">
        <v>1757</v>
      </c>
      <c r="F398" s="762">
        <v>18085868</v>
      </c>
      <c r="G398" s="762">
        <v>0</v>
      </c>
      <c r="H398" s="762">
        <v>93776255</v>
      </c>
      <c r="I398" s="762">
        <v>0</v>
      </c>
      <c r="J398" s="762">
        <v>13881633</v>
      </c>
      <c r="K398" s="762">
        <v>0</v>
      </c>
      <c r="L398" s="762">
        <v>0</v>
      </c>
      <c r="M398" s="762">
        <v>0</v>
      </c>
      <c r="N398" s="1187">
        <v>0</v>
      </c>
      <c r="O398" s="1187">
        <v>0</v>
      </c>
      <c r="P398" s="762">
        <v>107657888</v>
      </c>
      <c r="Q398" s="762">
        <v>0</v>
      </c>
      <c r="R398" s="763">
        <v>125743756</v>
      </c>
      <c r="S398" s="764">
        <v>0</v>
      </c>
    </row>
    <row r="399" spans="1:19" ht="20.399999999999999" x14ac:dyDescent="0.3">
      <c r="A399" s="761" t="s">
        <v>6971</v>
      </c>
      <c r="B399" s="761" t="s">
        <v>1540</v>
      </c>
      <c r="C399" s="761" t="s">
        <v>3804</v>
      </c>
      <c r="D399" s="761" t="s">
        <v>3804</v>
      </c>
      <c r="E399" s="761" t="s">
        <v>3858</v>
      </c>
      <c r="F399" s="762">
        <v>0</v>
      </c>
      <c r="G399" s="762">
        <v>0</v>
      </c>
      <c r="H399" s="762">
        <v>0</v>
      </c>
      <c r="I399" s="762">
        <v>0</v>
      </c>
      <c r="J399" s="762">
        <v>0</v>
      </c>
      <c r="K399" s="762">
        <v>0</v>
      </c>
      <c r="L399" s="762">
        <v>0</v>
      </c>
      <c r="M399" s="762">
        <v>0</v>
      </c>
      <c r="N399" s="1187">
        <v>202624560</v>
      </c>
      <c r="O399" s="1187">
        <v>471812</v>
      </c>
      <c r="P399" s="762">
        <v>0</v>
      </c>
      <c r="Q399" s="762">
        <v>0</v>
      </c>
      <c r="R399" s="763">
        <v>0</v>
      </c>
      <c r="S399" s="764">
        <v>0</v>
      </c>
    </row>
    <row r="400" spans="1:19" ht="20.399999999999999" x14ac:dyDescent="0.3">
      <c r="A400" s="761" t="s">
        <v>6971</v>
      </c>
      <c r="B400" s="761" t="s">
        <v>1540</v>
      </c>
      <c r="C400" s="761" t="s">
        <v>307</v>
      </c>
      <c r="D400" s="761" t="s">
        <v>307</v>
      </c>
      <c r="E400" s="761" t="s">
        <v>1758</v>
      </c>
      <c r="F400" s="762">
        <v>13018168</v>
      </c>
      <c r="G400" s="762">
        <v>0</v>
      </c>
      <c r="H400" s="762">
        <v>423091129</v>
      </c>
      <c r="I400" s="762">
        <v>0</v>
      </c>
      <c r="J400" s="762">
        <v>0</v>
      </c>
      <c r="K400" s="762">
        <v>0</v>
      </c>
      <c r="L400" s="762">
        <v>0</v>
      </c>
      <c r="M400" s="762">
        <v>0</v>
      </c>
      <c r="N400" s="1187">
        <v>0</v>
      </c>
      <c r="O400" s="1187">
        <v>0</v>
      </c>
      <c r="P400" s="762">
        <v>423091129</v>
      </c>
      <c r="Q400" s="762">
        <v>0</v>
      </c>
      <c r="R400" s="763">
        <v>436109297</v>
      </c>
      <c r="S400" s="764">
        <v>0</v>
      </c>
    </row>
    <row r="401" spans="1:19" ht="20.399999999999999" x14ac:dyDescent="0.3">
      <c r="A401" s="761" t="s">
        <v>6971</v>
      </c>
      <c r="B401" s="761" t="s">
        <v>1540</v>
      </c>
      <c r="C401" s="761" t="s">
        <v>1511</v>
      </c>
      <c r="D401" s="761" t="s">
        <v>316</v>
      </c>
      <c r="E401" s="761" t="s">
        <v>1759</v>
      </c>
      <c r="F401" s="762">
        <v>0</v>
      </c>
      <c r="G401" s="762">
        <v>0</v>
      </c>
      <c r="H401" s="762">
        <v>239445</v>
      </c>
      <c r="I401" s="762">
        <v>923</v>
      </c>
      <c r="J401" s="762">
        <v>0</v>
      </c>
      <c r="K401" s="762">
        <v>0</v>
      </c>
      <c r="L401" s="762">
        <v>0</v>
      </c>
      <c r="M401" s="762">
        <v>0</v>
      </c>
      <c r="N401" s="1187">
        <v>0</v>
      </c>
      <c r="O401" s="1187">
        <v>0</v>
      </c>
      <c r="P401" s="762">
        <v>239445</v>
      </c>
      <c r="Q401" s="762">
        <v>923</v>
      </c>
      <c r="R401" s="763">
        <v>239445</v>
      </c>
      <c r="S401" s="764">
        <v>923</v>
      </c>
    </row>
    <row r="402" spans="1:19" ht="20.399999999999999" x14ac:dyDescent="0.3">
      <c r="A402" s="761" t="s">
        <v>6971</v>
      </c>
      <c r="B402" s="761" t="s">
        <v>1540</v>
      </c>
      <c r="C402" s="761" t="s">
        <v>1508</v>
      </c>
      <c r="D402" s="761" t="s">
        <v>332</v>
      </c>
      <c r="E402" s="761" t="s">
        <v>1760</v>
      </c>
      <c r="F402" s="762">
        <v>0</v>
      </c>
      <c r="G402" s="762">
        <v>0</v>
      </c>
      <c r="H402" s="762">
        <v>0</v>
      </c>
      <c r="I402" s="762">
        <v>0</v>
      </c>
      <c r="J402" s="762">
        <v>4430381</v>
      </c>
      <c r="K402" s="762">
        <v>12447</v>
      </c>
      <c r="L402" s="762">
        <v>0</v>
      </c>
      <c r="M402" s="762">
        <v>0</v>
      </c>
      <c r="N402" s="1187">
        <v>0</v>
      </c>
      <c r="O402" s="1187">
        <v>0</v>
      </c>
      <c r="P402" s="762">
        <v>4430381</v>
      </c>
      <c r="Q402" s="762">
        <v>12447</v>
      </c>
      <c r="R402" s="763">
        <v>4430381</v>
      </c>
      <c r="S402" s="764">
        <v>12447</v>
      </c>
    </row>
    <row r="403" spans="1:19" ht="30.6" x14ac:dyDescent="0.3">
      <c r="A403" s="761" t="s">
        <v>6971</v>
      </c>
      <c r="B403" s="761" t="s">
        <v>1540</v>
      </c>
      <c r="C403" s="761" t="s">
        <v>1512</v>
      </c>
      <c r="D403" s="761" t="s">
        <v>334</v>
      </c>
      <c r="E403" s="761" t="s">
        <v>1761</v>
      </c>
      <c r="F403" s="762">
        <v>0</v>
      </c>
      <c r="G403" s="762">
        <v>0</v>
      </c>
      <c r="H403" s="762">
        <v>1551441</v>
      </c>
      <c r="I403" s="762">
        <v>0</v>
      </c>
      <c r="J403" s="762">
        <v>0</v>
      </c>
      <c r="K403" s="762">
        <v>0</v>
      </c>
      <c r="L403" s="762">
        <v>0</v>
      </c>
      <c r="M403" s="762">
        <v>0</v>
      </c>
      <c r="N403" s="1187">
        <v>0</v>
      </c>
      <c r="O403" s="1187">
        <v>0</v>
      </c>
      <c r="P403" s="762">
        <v>1551441</v>
      </c>
      <c r="Q403" s="762">
        <v>0</v>
      </c>
      <c r="R403" s="763">
        <v>1551441</v>
      </c>
      <c r="S403" s="764">
        <v>0</v>
      </c>
    </row>
    <row r="404" spans="1:19" ht="40.799999999999997" x14ac:dyDescent="0.3">
      <c r="A404" s="761" t="s">
        <v>6971</v>
      </c>
      <c r="B404" s="761" t="s">
        <v>1541</v>
      </c>
      <c r="C404" s="761" t="s">
        <v>1504</v>
      </c>
      <c r="D404" s="761" t="s">
        <v>268</v>
      </c>
      <c r="E404" s="761" t="s">
        <v>1762</v>
      </c>
      <c r="F404" s="762">
        <v>13436198.029999999</v>
      </c>
      <c r="G404" s="762">
        <v>37573</v>
      </c>
      <c r="H404" s="762">
        <v>5304309.37</v>
      </c>
      <c r="I404" s="762">
        <v>13662.78</v>
      </c>
      <c r="J404" s="762">
        <v>66533637.810000002</v>
      </c>
      <c r="K404" s="762">
        <v>193634.43</v>
      </c>
      <c r="L404" s="762">
        <v>0</v>
      </c>
      <c r="M404" s="762">
        <v>0</v>
      </c>
      <c r="N404" s="1187">
        <v>0</v>
      </c>
      <c r="O404" s="1187">
        <v>0</v>
      </c>
      <c r="P404" s="762">
        <v>71837947.180000007</v>
      </c>
      <c r="Q404" s="762">
        <v>207297.21</v>
      </c>
      <c r="R404" s="763">
        <v>85274145.209999993</v>
      </c>
      <c r="S404" s="764">
        <v>244870.7</v>
      </c>
    </row>
    <row r="405" spans="1:19" ht="20.399999999999999" x14ac:dyDescent="0.3">
      <c r="A405" s="761" t="s">
        <v>6971</v>
      </c>
      <c r="B405" s="761" t="s">
        <v>1541</v>
      </c>
      <c r="C405" s="761" t="s">
        <v>288</v>
      </c>
      <c r="D405" s="761" t="s">
        <v>288</v>
      </c>
      <c r="E405" s="761" t="s">
        <v>1763</v>
      </c>
      <c r="F405" s="762">
        <v>4588202.9000000004</v>
      </c>
      <c r="G405" s="762">
        <v>0</v>
      </c>
      <c r="H405" s="762">
        <v>37514274.340000004</v>
      </c>
      <c r="I405" s="762">
        <v>0</v>
      </c>
      <c r="J405" s="762">
        <v>0</v>
      </c>
      <c r="K405" s="762">
        <v>0</v>
      </c>
      <c r="L405" s="762">
        <v>0</v>
      </c>
      <c r="M405" s="762">
        <v>0</v>
      </c>
      <c r="N405" s="1187">
        <v>0</v>
      </c>
      <c r="O405" s="1187">
        <v>0</v>
      </c>
      <c r="P405" s="762">
        <v>37514274.340000004</v>
      </c>
      <c r="Q405" s="762">
        <v>0</v>
      </c>
      <c r="R405" s="763">
        <v>42102477.240000002</v>
      </c>
      <c r="S405" s="764">
        <v>0</v>
      </c>
    </row>
    <row r="406" spans="1:19" ht="20.399999999999999" x14ac:dyDescent="0.3">
      <c r="A406" s="761" t="s">
        <v>6971</v>
      </c>
      <c r="B406" s="761" t="s">
        <v>1541</v>
      </c>
      <c r="C406" s="761" t="s">
        <v>1510</v>
      </c>
      <c r="D406" s="761" t="s">
        <v>297</v>
      </c>
      <c r="E406" s="761" t="s">
        <v>7073</v>
      </c>
      <c r="F406" s="762">
        <v>0</v>
      </c>
      <c r="G406" s="762">
        <v>0</v>
      </c>
      <c r="H406" s="762">
        <v>0</v>
      </c>
      <c r="I406" s="762">
        <v>0</v>
      </c>
      <c r="J406" s="762">
        <v>25819528</v>
      </c>
      <c r="K406" s="762">
        <v>56470.400000000001</v>
      </c>
      <c r="L406" s="762">
        <v>0</v>
      </c>
      <c r="M406" s="762">
        <v>0</v>
      </c>
      <c r="N406" s="1187">
        <v>0</v>
      </c>
      <c r="O406" s="1187">
        <v>0</v>
      </c>
      <c r="P406" s="762">
        <v>25819528</v>
      </c>
      <c r="Q406" s="762">
        <v>56470.400000000001</v>
      </c>
      <c r="R406" s="763">
        <v>25819528</v>
      </c>
      <c r="S406" s="764">
        <v>56470.400000000001</v>
      </c>
    </row>
    <row r="407" spans="1:19" ht="20.399999999999999" x14ac:dyDescent="0.3">
      <c r="A407" s="761" t="s">
        <v>6971</v>
      </c>
      <c r="B407" s="761" t="s">
        <v>1541</v>
      </c>
      <c r="C407" s="761" t="s">
        <v>7074</v>
      </c>
      <c r="D407" s="761" t="s">
        <v>297</v>
      </c>
      <c r="E407" s="761" t="s">
        <v>7073</v>
      </c>
      <c r="F407" s="767"/>
      <c r="G407" s="767"/>
      <c r="H407" s="762">
        <v>0</v>
      </c>
      <c r="I407" s="762">
        <v>0</v>
      </c>
      <c r="J407" s="762">
        <v>0</v>
      </c>
      <c r="K407" s="762">
        <v>0</v>
      </c>
      <c r="L407" s="762">
        <v>0</v>
      </c>
      <c r="M407" s="762">
        <v>0</v>
      </c>
      <c r="N407" s="1187">
        <v>0</v>
      </c>
      <c r="O407" s="1187">
        <v>0</v>
      </c>
      <c r="P407" s="762">
        <v>0</v>
      </c>
      <c r="Q407" s="762">
        <v>0</v>
      </c>
      <c r="R407" s="1433"/>
      <c r="S407" s="1434"/>
    </row>
    <row r="408" spans="1:19" ht="20.399999999999999" x14ac:dyDescent="0.3">
      <c r="A408" s="761" t="s">
        <v>6971</v>
      </c>
      <c r="B408" s="761" t="s">
        <v>1541</v>
      </c>
      <c r="C408" s="761" t="s">
        <v>3804</v>
      </c>
      <c r="D408" s="761" t="s">
        <v>3804</v>
      </c>
      <c r="E408" s="761" t="s">
        <v>3859</v>
      </c>
      <c r="F408" s="762">
        <v>0</v>
      </c>
      <c r="G408" s="762">
        <v>0</v>
      </c>
      <c r="H408" s="762">
        <v>0</v>
      </c>
      <c r="I408" s="762">
        <v>0</v>
      </c>
      <c r="J408" s="762">
        <v>0</v>
      </c>
      <c r="K408" s="762">
        <v>0</v>
      </c>
      <c r="L408" s="762">
        <v>0</v>
      </c>
      <c r="M408" s="762">
        <v>0</v>
      </c>
      <c r="N408" s="1187">
        <v>35841900</v>
      </c>
      <c r="O408" s="1187">
        <v>107227.203125</v>
      </c>
      <c r="P408" s="762">
        <v>0</v>
      </c>
      <c r="Q408" s="762">
        <v>0</v>
      </c>
      <c r="R408" s="763">
        <v>0</v>
      </c>
      <c r="S408" s="764">
        <v>0</v>
      </c>
    </row>
    <row r="409" spans="1:19" ht="20.399999999999999" x14ac:dyDescent="0.3">
      <c r="A409" s="761" t="s">
        <v>6971</v>
      </c>
      <c r="B409" s="761" t="s">
        <v>1541</v>
      </c>
      <c r="C409" s="761" t="s">
        <v>307</v>
      </c>
      <c r="D409" s="761" t="s">
        <v>307</v>
      </c>
      <c r="E409" s="761" t="s">
        <v>1764</v>
      </c>
      <c r="F409" s="762">
        <v>1199682.8</v>
      </c>
      <c r="G409" s="762">
        <v>0</v>
      </c>
      <c r="H409" s="762">
        <v>73807974.849999994</v>
      </c>
      <c r="I409" s="762">
        <v>0</v>
      </c>
      <c r="J409" s="762">
        <v>0</v>
      </c>
      <c r="K409" s="762">
        <v>0</v>
      </c>
      <c r="L409" s="762">
        <v>0</v>
      </c>
      <c r="M409" s="762">
        <v>0</v>
      </c>
      <c r="N409" s="1187">
        <v>0</v>
      </c>
      <c r="O409" s="1187">
        <v>0</v>
      </c>
      <c r="P409" s="762">
        <v>73807974.849999994</v>
      </c>
      <c r="Q409" s="762">
        <v>0</v>
      </c>
      <c r="R409" s="763">
        <v>75007657.650000006</v>
      </c>
      <c r="S409" s="764">
        <v>0</v>
      </c>
    </row>
    <row r="410" spans="1:19" ht="20.399999999999999" x14ac:dyDescent="0.3">
      <c r="A410" s="761" t="s">
        <v>6971</v>
      </c>
      <c r="B410" s="761" t="s">
        <v>1541</v>
      </c>
      <c r="C410" s="761" t="s">
        <v>1508</v>
      </c>
      <c r="D410" s="761" t="s">
        <v>332</v>
      </c>
      <c r="E410" s="761" t="s">
        <v>1765</v>
      </c>
      <c r="F410" s="762">
        <v>0</v>
      </c>
      <c r="G410" s="762">
        <v>0</v>
      </c>
      <c r="H410" s="762">
        <v>89050.39</v>
      </c>
      <c r="I410" s="762">
        <v>252.9</v>
      </c>
      <c r="J410" s="762">
        <v>765438.97</v>
      </c>
      <c r="K410" s="762">
        <v>2137.1</v>
      </c>
      <c r="L410" s="762">
        <v>0</v>
      </c>
      <c r="M410" s="762">
        <v>0</v>
      </c>
      <c r="N410" s="1187">
        <v>0</v>
      </c>
      <c r="O410" s="1187">
        <v>0</v>
      </c>
      <c r="P410" s="762">
        <v>854489.36</v>
      </c>
      <c r="Q410" s="762">
        <v>2390</v>
      </c>
      <c r="R410" s="763">
        <v>854489.36</v>
      </c>
      <c r="S410" s="764">
        <v>2390</v>
      </c>
    </row>
    <row r="411" spans="1:19" ht="30.6" x14ac:dyDescent="0.3">
      <c r="A411" s="761" t="s">
        <v>6971</v>
      </c>
      <c r="B411" s="761" t="s">
        <v>1541</v>
      </c>
      <c r="C411" s="761" t="s">
        <v>1512</v>
      </c>
      <c r="D411" s="761" t="s">
        <v>334</v>
      </c>
      <c r="E411" s="761" t="s">
        <v>1766</v>
      </c>
      <c r="F411" s="762">
        <v>117792</v>
      </c>
      <c r="G411" s="762">
        <v>0</v>
      </c>
      <c r="H411" s="762">
        <v>136715.89000000001</v>
      </c>
      <c r="I411" s="762">
        <v>0</v>
      </c>
      <c r="J411" s="762">
        <v>0</v>
      </c>
      <c r="K411" s="762">
        <v>0</v>
      </c>
      <c r="L411" s="762">
        <v>0</v>
      </c>
      <c r="M411" s="762">
        <v>0</v>
      </c>
      <c r="N411" s="1187">
        <v>0</v>
      </c>
      <c r="O411" s="1187">
        <v>0</v>
      </c>
      <c r="P411" s="762">
        <v>136715.89000000001</v>
      </c>
      <c r="Q411" s="762">
        <v>0</v>
      </c>
      <c r="R411" s="763">
        <v>254507.89</v>
      </c>
      <c r="S411" s="764">
        <v>0</v>
      </c>
    </row>
    <row r="412" spans="1:19" ht="40.799999999999997" x14ac:dyDescent="0.3">
      <c r="A412" s="761" t="s">
        <v>6971</v>
      </c>
      <c r="B412" s="761" t="s">
        <v>1542</v>
      </c>
      <c r="C412" s="761" t="s">
        <v>1504</v>
      </c>
      <c r="D412" s="761" t="s">
        <v>254</v>
      </c>
      <c r="E412" s="761" t="s">
        <v>1767</v>
      </c>
      <c r="F412" s="762">
        <v>0</v>
      </c>
      <c r="G412" s="762">
        <v>0</v>
      </c>
      <c r="H412" s="762">
        <v>0</v>
      </c>
      <c r="I412" s="762">
        <v>0</v>
      </c>
      <c r="J412" s="762">
        <v>15352959.9</v>
      </c>
      <c r="K412" s="762">
        <v>29275.15</v>
      </c>
      <c r="L412" s="762">
        <v>0</v>
      </c>
      <c r="M412" s="762">
        <v>0</v>
      </c>
      <c r="N412" s="1187">
        <v>0</v>
      </c>
      <c r="O412" s="1187">
        <v>0</v>
      </c>
      <c r="P412" s="762">
        <v>15352959.9</v>
      </c>
      <c r="Q412" s="762">
        <v>29275.15</v>
      </c>
      <c r="R412" s="763">
        <v>15352959.9</v>
      </c>
      <c r="S412" s="764">
        <v>29275.15</v>
      </c>
    </row>
    <row r="413" spans="1:19" ht="40.799999999999997" x14ac:dyDescent="0.3">
      <c r="A413" s="761" t="s">
        <v>6971</v>
      </c>
      <c r="B413" s="761" t="s">
        <v>1542</v>
      </c>
      <c r="C413" s="761" t="s">
        <v>1504</v>
      </c>
      <c r="D413" s="761" t="s">
        <v>263</v>
      </c>
      <c r="E413" s="761" t="s">
        <v>1768</v>
      </c>
      <c r="F413" s="762">
        <v>30751033.859999999</v>
      </c>
      <c r="G413" s="762">
        <v>91579</v>
      </c>
      <c r="H413" s="762">
        <v>15728935.109999999</v>
      </c>
      <c r="I413" s="762">
        <v>46696.83</v>
      </c>
      <c r="J413" s="762">
        <v>153473354.75999999</v>
      </c>
      <c r="K413" s="762">
        <v>385017.95</v>
      </c>
      <c r="L413" s="762">
        <v>0</v>
      </c>
      <c r="M413" s="762">
        <v>0</v>
      </c>
      <c r="N413" s="1187">
        <v>0</v>
      </c>
      <c r="O413" s="1187">
        <v>0</v>
      </c>
      <c r="P413" s="762">
        <v>169202289.87</v>
      </c>
      <c r="Q413" s="762">
        <v>431714.78</v>
      </c>
      <c r="R413" s="763">
        <v>199953323.72999999</v>
      </c>
      <c r="S413" s="764">
        <v>523294.41</v>
      </c>
    </row>
    <row r="414" spans="1:19" ht="20.399999999999999" x14ac:dyDescent="0.3">
      <c r="A414" s="761" t="s">
        <v>6971</v>
      </c>
      <c r="B414" s="761" t="s">
        <v>1542</v>
      </c>
      <c r="C414" s="761" t="s">
        <v>288</v>
      </c>
      <c r="D414" s="761" t="s">
        <v>288</v>
      </c>
      <c r="E414" s="761" t="s">
        <v>1769</v>
      </c>
      <c r="F414" s="762">
        <v>14560697.9</v>
      </c>
      <c r="G414" s="762">
        <v>0</v>
      </c>
      <c r="H414" s="762">
        <v>65524513.539999999</v>
      </c>
      <c r="I414" s="762">
        <v>0</v>
      </c>
      <c r="J414" s="762">
        <v>325018.65000000002</v>
      </c>
      <c r="K414" s="762">
        <v>0</v>
      </c>
      <c r="L414" s="762">
        <v>0</v>
      </c>
      <c r="M414" s="762">
        <v>0</v>
      </c>
      <c r="N414" s="1187">
        <v>0</v>
      </c>
      <c r="O414" s="1187">
        <v>0</v>
      </c>
      <c r="P414" s="762">
        <v>65849532.189999998</v>
      </c>
      <c r="Q414" s="762">
        <v>0</v>
      </c>
      <c r="R414" s="763">
        <v>80410230.090000004</v>
      </c>
      <c r="S414" s="764">
        <v>0</v>
      </c>
    </row>
    <row r="415" spans="1:19" ht="20.399999999999999" x14ac:dyDescent="0.3">
      <c r="A415" s="761" t="s">
        <v>6971</v>
      </c>
      <c r="B415" s="761" t="s">
        <v>1542</v>
      </c>
      <c r="C415" s="761" t="s">
        <v>3804</v>
      </c>
      <c r="D415" s="761" t="s">
        <v>3804</v>
      </c>
      <c r="E415" s="761" t="s">
        <v>3860</v>
      </c>
      <c r="F415" s="762">
        <v>0</v>
      </c>
      <c r="G415" s="762">
        <v>0</v>
      </c>
      <c r="H415" s="762">
        <v>0</v>
      </c>
      <c r="I415" s="762">
        <v>0</v>
      </c>
      <c r="J415" s="762">
        <v>0</v>
      </c>
      <c r="K415" s="762">
        <v>0</v>
      </c>
      <c r="L415" s="762">
        <v>0</v>
      </c>
      <c r="M415" s="762">
        <v>0</v>
      </c>
      <c r="N415" s="1187">
        <v>44341188</v>
      </c>
      <c r="O415" s="1187">
        <v>93047.4765625</v>
      </c>
      <c r="P415" s="762">
        <v>0</v>
      </c>
      <c r="Q415" s="762">
        <v>0</v>
      </c>
      <c r="R415" s="763">
        <v>0</v>
      </c>
      <c r="S415" s="764">
        <v>0</v>
      </c>
    </row>
    <row r="416" spans="1:19" ht="20.399999999999999" x14ac:dyDescent="0.3">
      <c r="A416" s="761" t="s">
        <v>6971</v>
      </c>
      <c r="B416" s="761" t="s">
        <v>1542</v>
      </c>
      <c r="C416" s="761" t="s">
        <v>307</v>
      </c>
      <c r="D416" s="761" t="s">
        <v>307</v>
      </c>
      <c r="E416" s="761" t="s">
        <v>1770</v>
      </c>
      <c r="F416" s="762">
        <v>5297830.8</v>
      </c>
      <c r="G416" s="762">
        <v>0</v>
      </c>
      <c r="H416" s="762">
        <v>192549186.94999999</v>
      </c>
      <c r="I416" s="762">
        <v>0</v>
      </c>
      <c r="J416" s="762">
        <v>0</v>
      </c>
      <c r="K416" s="762">
        <v>0</v>
      </c>
      <c r="L416" s="762">
        <v>0</v>
      </c>
      <c r="M416" s="762">
        <v>0</v>
      </c>
      <c r="N416" s="1187">
        <v>0</v>
      </c>
      <c r="O416" s="1187">
        <v>0</v>
      </c>
      <c r="P416" s="762">
        <v>192549186.94999999</v>
      </c>
      <c r="Q416" s="762">
        <v>0</v>
      </c>
      <c r="R416" s="763">
        <v>197847017.75</v>
      </c>
      <c r="S416" s="764">
        <v>0</v>
      </c>
    </row>
    <row r="417" spans="1:19" ht="20.399999999999999" x14ac:dyDescent="0.3">
      <c r="A417" s="761" t="s">
        <v>6971</v>
      </c>
      <c r="B417" s="761" t="s">
        <v>1542</v>
      </c>
      <c r="C417" s="761" t="s">
        <v>1511</v>
      </c>
      <c r="D417" s="761" t="s">
        <v>316</v>
      </c>
      <c r="E417" s="761" t="s">
        <v>1771</v>
      </c>
      <c r="F417" s="762">
        <v>16306.97</v>
      </c>
      <c r="G417" s="762">
        <v>43</v>
      </c>
      <c r="H417" s="762">
        <v>106113.52</v>
      </c>
      <c r="I417" s="762">
        <v>267.05</v>
      </c>
      <c r="J417" s="762">
        <v>0</v>
      </c>
      <c r="K417" s="762">
        <v>0</v>
      </c>
      <c r="L417" s="762">
        <v>0</v>
      </c>
      <c r="M417" s="762">
        <v>0</v>
      </c>
      <c r="N417" s="1187">
        <v>0</v>
      </c>
      <c r="O417" s="1187">
        <v>0</v>
      </c>
      <c r="P417" s="762">
        <v>106113.52</v>
      </c>
      <c r="Q417" s="762">
        <v>267.05</v>
      </c>
      <c r="R417" s="763">
        <v>122420.49</v>
      </c>
      <c r="S417" s="764">
        <v>310.33999999999997</v>
      </c>
    </row>
    <row r="418" spans="1:19" ht="20.399999999999999" x14ac:dyDescent="0.3">
      <c r="A418" s="761" t="s">
        <v>6971</v>
      </c>
      <c r="B418" s="761" t="s">
        <v>1542</v>
      </c>
      <c r="C418" s="761" t="s">
        <v>1508</v>
      </c>
      <c r="D418" s="761" t="s">
        <v>332</v>
      </c>
      <c r="E418" s="761" t="s">
        <v>1772</v>
      </c>
      <c r="F418" s="762">
        <v>0</v>
      </c>
      <c r="G418" s="762">
        <v>0</v>
      </c>
      <c r="H418" s="762">
        <v>0</v>
      </c>
      <c r="I418" s="762">
        <v>0</v>
      </c>
      <c r="J418" s="762">
        <v>2036368.72</v>
      </c>
      <c r="K418" s="762">
        <v>5690.28</v>
      </c>
      <c r="L418" s="762">
        <v>0</v>
      </c>
      <c r="M418" s="762">
        <v>0</v>
      </c>
      <c r="N418" s="1187">
        <v>0</v>
      </c>
      <c r="O418" s="1187">
        <v>0</v>
      </c>
      <c r="P418" s="762">
        <v>2036368.72</v>
      </c>
      <c r="Q418" s="762">
        <v>5690.28</v>
      </c>
      <c r="R418" s="763">
        <v>2036368.72</v>
      </c>
      <c r="S418" s="764">
        <v>5690.28</v>
      </c>
    </row>
    <row r="419" spans="1:19" ht="30.6" x14ac:dyDescent="0.3">
      <c r="A419" s="761" t="s">
        <v>6971</v>
      </c>
      <c r="B419" s="761" t="s">
        <v>1542</v>
      </c>
      <c r="C419" s="761" t="s">
        <v>1512</v>
      </c>
      <c r="D419" s="761" t="s">
        <v>334</v>
      </c>
      <c r="E419" s="761" t="s">
        <v>1773</v>
      </c>
      <c r="F419" s="762">
        <v>0</v>
      </c>
      <c r="G419" s="762">
        <v>0</v>
      </c>
      <c r="H419" s="762">
        <v>39489.699999999997</v>
      </c>
      <c r="I419" s="762">
        <v>0</v>
      </c>
      <c r="J419" s="762">
        <v>0</v>
      </c>
      <c r="K419" s="762">
        <v>0</v>
      </c>
      <c r="L419" s="762">
        <v>0</v>
      </c>
      <c r="M419" s="762">
        <v>0</v>
      </c>
      <c r="N419" s="1187">
        <v>0</v>
      </c>
      <c r="O419" s="1187">
        <v>0</v>
      </c>
      <c r="P419" s="762">
        <v>39489.699999999997</v>
      </c>
      <c r="Q419" s="762">
        <v>0</v>
      </c>
      <c r="R419" s="763">
        <v>39489.699999999997</v>
      </c>
      <c r="S419" s="764">
        <v>0</v>
      </c>
    </row>
    <row r="420" spans="1:19" ht="40.799999999999997" x14ac:dyDescent="0.3">
      <c r="A420" s="761" t="s">
        <v>6971</v>
      </c>
      <c r="B420" s="761" t="s">
        <v>1543</v>
      </c>
      <c r="C420" s="761" t="s">
        <v>1504</v>
      </c>
      <c r="D420" s="761" t="s">
        <v>268</v>
      </c>
      <c r="E420" s="761" t="s">
        <v>1774</v>
      </c>
      <c r="F420" s="762">
        <v>11945328</v>
      </c>
      <c r="G420" s="762">
        <v>32138</v>
      </c>
      <c r="H420" s="762">
        <v>0</v>
      </c>
      <c r="I420" s="762">
        <v>0</v>
      </c>
      <c r="J420" s="762">
        <v>48309449</v>
      </c>
      <c r="K420" s="762">
        <v>138917</v>
      </c>
      <c r="L420" s="762">
        <v>0</v>
      </c>
      <c r="M420" s="762">
        <v>0</v>
      </c>
      <c r="N420" s="1187">
        <v>0</v>
      </c>
      <c r="O420" s="1187">
        <v>0</v>
      </c>
      <c r="P420" s="762">
        <v>48309449</v>
      </c>
      <c r="Q420" s="762">
        <v>138917</v>
      </c>
      <c r="R420" s="763">
        <v>60254777</v>
      </c>
      <c r="S420" s="764">
        <v>171055</v>
      </c>
    </row>
    <row r="421" spans="1:19" ht="20.399999999999999" x14ac:dyDescent="0.3">
      <c r="A421" s="761" t="s">
        <v>6971</v>
      </c>
      <c r="B421" s="761" t="s">
        <v>1543</v>
      </c>
      <c r="C421" s="761" t="s">
        <v>288</v>
      </c>
      <c r="D421" s="761" t="s">
        <v>288</v>
      </c>
      <c r="E421" s="761" t="s">
        <v>1775</v>
      </c>
      <c r="F421" s="762">
        <v>2910123</v>
      </c>
      <c r="G421" s="762">
        <v>0</v>
      </c>
      <c r="H421" s="762">
        <v>14799163</v>
      </c>
      <c r="I421" s="762">
        <v>0</v>
      </c>
      <c r="J421" s="762">
        <v>0</v>
      </c>
      <c r="K421" s="762">
        <v>0</v>
      </c>
      <c r="L421" s="762">
        <v>0</v>
      </c>
      <c r="M421" s="762">
        <v>0</v>
      </c>
      <c r="N421" s="1187">
        <v>0</v>
      </c>
      <c r="O421" s="1187">
        <v>0</v>
      </c>
      <c r="P421" s="762">
        <v>14799163</v>
      </c>
      <c r="Q421" s="762">
        <v>0</v>
      </c>
      <c r="R421" s="763">
        <v>17709286</v>
      </c>
      <c r="S421" s="764">
        <v>0</v>
      </c>
    </row>
    <row r="422" spans="1:19" ht="20.399999999999999" x14ac:dyDescent="0.3">
      <c r="A422" s="761" t="s">
        <v>6971</v>
      </c>
      <c r="B422" s="761" t="s">
        <v>1543</v>
      </c>
      <c r="C422" s="761" t="s">
        <v>3804</v>
      </c>
      <c r="D422" s="761" t="s">
        <v>3804</v>
      </c>
      <c r="E422" s="761" t="s">
        <v>3861</v>
      </c>
      <c r="F422" s="762">
        <v>0</v>
      </c>
      <c r="G422" s="762">
        <v>0</v>
      </c>
      <c r="H422" s="762">
        <v>0</v>
      </c>
      <c r="I422" s="762">
        <v>0</v>
      </c>
      <c r="J422" s="762">
        <v>0</v>
      </c>
      <c r="K422" s="762">
        <v>0</v>
      </c>
      <c r="L422" s="762">
        <v>0</v>
      </c>
      <c r="M422" s="762">
        <v>0</v>
      </c>
      <c r="N422" s="1187">
        <v>23758522</v>
      </c>
      <c r="O422" s="1187">
        <v>74518</v>
      </c>
      <c r="P422" s="762">
        <v>0</v>
      </c>
      <c r="Q422" s="762">
        <v>0</v>
      </c>
      <c r="R422" s="763">
        <v>0</v>
      </c>
      <c r="S422" s="764">
        <v>0</v>
      </c>
    </row>
    <row r="423" spans="1:19" ht="20.399999999999999" x14ac:dyDescent="0.3">
      <c r="A423" s="761" t="s">
        <v>6971</v>
      </c>
      <c r="B423" s="761" t="s">
        <v>1543</v>
      </c>
      <c r="C423" s="761" t="s">
        <v>307</v>
      </c>
      <c r="D423" s="761" t="s">
        <v>307</v>
      </c>
      <c r="E423" s="761" t="s">
        <v>1776</v>
      </c>
      <c r="F423" s="762">
        <v>697561</v>
      </c>
      <c r="G423" s="762">
        <v>0</v>
      </c>
      <c r="H423" s="762">
        <v>38105129</v>
      </c>
      <c r="I423" s="762">
        <v>0</v>
      </c>
      <c r="J423" s="762">
        <v>0</v>
      </c>
      <c r="K423" s="762">
        <v>0</v>
      </c>
      <c r="L423" s="762">
        <v>0</v>
      </c>
      <c r="M423" s="762">
        <v>0</v>
      </c>
      <c r="N423" s="1187">
        <v>0</v>
      </c>
      <c r="O423" s="1187">
        <v>0</v>
      </c>
      <c r="P423" s="762">
        <v>38105129</v>
      </c>
      <c r="Q423" s="762">
        <v>0</v>
      </c>
      <c r="R423" s="763">
        <v>38802690</v>
      </c>
      <c r="S423" s="764">
        <v>0</v>
      </c>
    </row>
    <row r="424" spans="1:19" ht="20.399999999999999" x14ac:dyDescent="0.3">
      <c r="A424" s="761" t="s">
        <v>6971</v>
      </c>
      <c r="B424" s="761" t="s">
        <v>1543</v>
      </c>
      <c r="C424" s="761" t="s">
        <v>1508</v>
      </c>
      <c r="D424" s="761" t="s">
        <v>332</v>
      </c>
      <c r="E424" s="761" t="s">
        <v>1777</v>
      </c>
      <c r="F424" s="762">
        <v>524449</v>
      </c>
      <c r="G424" s="762">
        <v>1463</v>
      </c>
      <c r="H424" s="762">
        <v>0</v>
      </c>
      <c r="I424" s="762">
        <v>0</v>
      </c>
      <c r="J424" s="762">
        <v>0</v>
      </c>
      <c r="K424" s="762">
        <v>0</v>
      </c>
      <c r="L424" s="762">
        <v>0</v>
      </c>
      <c r="M424" s="762">
        <v>0</v>
      </c>
      <c r="N424" s="1187">
        <v>0</v>
      </c>
      <c r="O424" s="1187">
        <v>0</v>
      </c>
      <c r="P424" s="762">
        <v>0</v>
      </c>
      <c r="Q424" s="762">
        <v>0</v>
      </c>
      <c r="R424" s="763">
        <v>524449</v>
      </c>
      <c r="S424" s="764">
        <v>1463</v>
      </c>
    </row>
    <row r="425" spans="1:19" ht="30.6" x14ac:dyDescent="0.3">
      <c r="A425" s="761" t="s">
        <v>6971</v>
      </c>
      <c r="B425" s="761" t="s">
        <v>1543</v>
      </c>
      <c r="C425" s="761" t="s">
        <v>1512</v>
      </c>
      <c r="D425" s="761" t="s">
        <v>334</v>
      </c>
      <c r="E425" s="761" t="s">
        <v>1778</v>
      </c>
      <c r="F425" s="762">
        <v>19637</v>
      </c>
      <c r="G425" s="762">
        <v>0</v>
      </c>
      <c r="H425" s="762">
        <v>144541</v>
      </c>
      <c r="I425" s="762">
        <v>0</v>
      </c>
      <c r="J425" s="762">
        <v>0</v>
      </c>
      <c r="K425" s="762">
        <v>0</v>
      </c>
      <c r="L425" s="762">
        <v>0</v>
      </c>
      <c r="M425" s="762">
        <v>0</v>
      </c>
      <c r="N425" s="1187">
        <v>0</v>
      </c>
      <c r="O425" s="1187">
        <v>0</v>
      </c>
      <c r="P425" s="762">
        <v>144541</v>
      </c>
      <c r="Q425" s="762">
        <v>0</v>
      </c>
      <c r="R425" s="763">
        <v>164178</v>
      </c>
      <c r="S425" s="764">
        <v>0</v>
      </c>
    </row>
    <row r="426" spans="1:19" ht="20.399999999999999" x14ac:dyDescent="0.3">
      <c r="A426" s="761" t="s">
        <v>6971</v>
      </c>
      <c r="B426" s="761" t="s">
        <v>1544</v>
      </c>
      <c r="C426" s="761" t="s">
        <v>1514</v>
      </c>
      <c r="D426" s="761" t="s">
        <v>240</v>
      </c>
      <c r="E426" s="761" t="s">
        <v>1779</v>
      </c>
      <c r="F426" s="762">
        <v>0</v>
      </c>
      <c r="G426" s="762">
        <v>0</v>
      </c>
      <c r="H426" s="762">
        <v>0</v>
      </c>
      <c r="I426" s="762">
        <v>0</v>
      </c>
      <c r="J426" s="762">
        <v>41976489.579999998</v>
      </c>
      <c r="K426" s="762">
        <v>88345.99</v>
      </c>
      <c r="L426" s="762">
        <v>0</v>
      </c>
      <c r="M426" s="762">
        <v>0</v>
      </c>
      <c r="N426" s="1187">
        <v>0</v>
      </c>
      <c r="O426" s="1187">
        <v>0</v>
      </c>
      <c r="P426" s="762">
        <v>41976489.579999998</v>
      </c>
      <c r="Q426" s="762">
        <v>88345.99</v>
      </c>
      <c r="R426" s="763">
        <v>41976489.579999998</v>
      </c>
      <c r="S426" s="764">
        <v>88345.99</v>
      </c>
    </row>
    <row r="427" spans="1:19" ht="40.799999999999997" x14ac:dyDescent="0.3">
      <c r="A427" s="761" t="s">
        <v>6971</v>
      </c>
      <c r="B427" s="761" t="s">
        <v>1544</v>
      </c>
      <c r="C427" s="761" t="s">
        <v>1504</v>
      </c>
      <c r="D427" s="761" t="s">
        <v>1545</v>
      </c>
      <c r="E427" s="761" t="s">
        <v>1780</v>
      </c>
      <c r="F427" s="762">
        <v>48038870.520000003</v>
      </c>
      <c r="G427" s="762">
        <v>95252</v>
      </c>
      <c r="H427" s="762">
        <v>0</v>
      </c>
      <c r="I427" s="762">
        <v>0</v>
      </c>
      <c r="J427" s="762">
        <v>165445826.34</v>
      </c>
      <c r="K427" s="762">
        <v>364878.49</v>
      </c>
      <c r="L427" s="762">
        <v>0</v>
      </c>
      <c r="M427" s="762">
        <v>0</v>
      </c>
      <c r="N427" s="1187">
        <v>0</v>
      </c>
      <c r="O427" s="1187">
        <v>0</v>
      </c>
      <c r="P427" s="762">
        <v>165445826.34</v>
      </c>
      <c r="Q427" s="762">
        <v>364878.49</v>
      </c>
      <c r="R427" s="763">
        <v>213484696.86000001</v>
      </c>
      <c r="S427" s="764">
        <v>460131.16</v>
      </c>
    </row>
    <row r="428" spans="1:19" ht="40.799999999999997" x14ac:dyDescent="0.3">
      <c r="A428" s="761" t="s">
        <v>6971</v>
      </c>
      <c r="B428" s="761" t="s">
        <v>1544</v>
      </c>
      <c r="C428" s="761" t="s">
        <v>1504</v>
      </c>
      <c r="D428" s="761" t="s">
        <v>272</v>
      </c>
      <c r="E428" s="761" t="s">
        <v>1781</v>
      </c>
      <c r="F428" s="762">
        <v>89414246.400000006</v>
      </c>
      <c r="G428" s="762">
        <v>232694</v>
      </c>
      <c r="H428" s="762">
        <v>84661444.870000005</v>
      </c>
      <c r="I428" s="762">
        <v>15583.84</v>
      </c>
      <c r="J428" s="762">
        <v>371424152.81999999</v>
      </c>
      <c r="K428" s="762">
        <v>1222295.7</v>
      </c>
      <c r="L428" s="762">
        <v>4047657.5</v>
      </c>
      <c r="M428" s="762">
        <v>8027.89013671875</v>
      </c>
      <c r="N428" s="1187">
        <v>0</v>
      </c>
      <c r="O428" s="1187">
        <v>0</v>
      </c>
      <c r="P428" s="762">
        <v>460133255.25</v>
      </c>
      <c r="Q428" s="762">
        <v>1245907.43</v>
      </c>
      <c r="R428" s="763">
        <v>549547501.64999998</v>
      </c>
      <c r="S428" s="764">
        <v>1478602.27</v>
      </c>
    </row>
    <row r="429" spans="1:19" ht="30.6" x14ac:dyDescent="0.3">
      <c r="A429" s="761" t="s">
        <v>6971</v>
      </c>
      <c r="B429" s="761" t="s">
        <v>1544</v>
      </c>
      <c r="C429" s="761" t="s">
        <v>288</v>
      </c>
      <c r="D429" s="761" t="s">
        <v>288</v>
      </c>
      <c r="E429" s="761" t="s">
        <v>1782</v>
      </c>
      <c r="F429" s="762">
        <v>24548126.920000002</v>
      </c>
      <c r="G429" s="762">
        <v>0</v>
      </c>
      <c r="H429" s="762">
        <v>151384626.41</v>
      </c>
      <c r="I429" s="762">
        <v>0</v>
      </c>
      <c r="J429" s="762">
        <v>0</v>
      </c>
      <c r="K429" s="762">
        <v>0</v>
      </c>
      <c r="L429" s="762">
        <v>0</v>
      </c>
      <c r="M429" s="762">
        <v>0</v>
      </c>
      <c r="N429" s="1187">
        <v>0</v>
      </c>
      <c r="O429" s="1187">
        <v>0</v>
      </c>
      <c r="P429" s="762">
        <v>151384626.41</v>
      </c>
      <c r="Q429" s="762">
        <v>0</v>
      </c>
      <c r="R429" s="763">
        <v>175932753.33000001</v>
      </c>
      <c r="S429" s="764">
        <v>0</v>
      </c>
    </row>
    <row r="430" spans="1:19" ht="20.399999999999999" x14ac:dyDescent="0.3">
      <c r="A430" s="761" t="s">
        <v>6971</v>
      </c>
      <c r="B430" s="761" t="s">
        <v>1544</v>
      </c>
      <c r="C430" s="761" t="s">
        <v>3804</v>
      </c>
      <c r="D430" s="761" t="s">
        <v>3804</v>
      </c>
      <c r="E430" s="761" t="s">
        <v>3862</v>
      </c>
      <c r="F430" s="762">
        <v>0</v>
      </c>
      <c r="G430" s="762">
        <v>0</v>
      </c>
      <c r="H430" s="762">
        <v>0</v>
      </c>
      <c r="I430" s="762">
        <v>0</v>
      </c>
      <c r="J430" s="762">
        <v>0</v>
      </c>
      <c r="K430" s="762">
        <v>0</v>
      </c>
      <c r="L430" s="762">
        <v>0</v>
      </c>
      <c r="M430" s="762">
        <v>0</v>
      </c>
      <c r="N430" s="1187">
        <v>179151968</v>
      </c>
      <c r="O430" s="1187">
        <v>385902.6875</v>
      </c>
      <c r="P430" s="762">
        <v>0</v>
      </c>
      <c r="Q430" s="762">
        <v>0</v>
      </c>
      <c r="R430" s="763">
        <v>0</v>
      </c>
      <c r="S430" s="764">
        <v>0</v>
      </c>
    </row>
    <row r="431" spans="1:19" ht="20.399999999999999" x14ac:dyDescent="0.3">
      <c r="A431" s="761" t="s">
        <v>6971</v>
      </c>
      <c r="B431" s="761" t="s">
        <v>1544</v>
      </c>
      <c r="C431" s="761" t="s">
        <v>307</v>
      </c>
      <c r="D431" s="761" t="s">
        <v>307</v>
      </c>
      <c r="E431" s="761" t="s">
        <v>1783</v>
      </c>
      <c r="F431" s="762">
        <v>6867561.4800000004</v>
      </c>
      <c r="G431" s="762">
        <v>0</v>
      </c>
      <c r="H431" s="762">
        <v>560891491.64999998</v>
      </c>
      <c r="I431" s="762">
        <v>0</v>
      </c>
      <c r="J431" s="762">
        <v>0</v>
      </c>
      <c r="K431" s="762">
        <v>0</v>
      </c>
      <c r="L431" s="762">
        <v>0</v>
      </c>
      <c r="M431" s="762">
        <v>0</v>
      </c>
      <c r="N431" s="1187">
        <v>0</v>
      </c>
      <c r="O431" s="1187">
        <v>0</v>
      </c>
      <c r="P431" s="762">
        <v>560891491.64999998</v>
      </c>
      <c r="Q431" s="762">
        <v>0</v>
      </c>
      <c r="R431" s="763">
        <v>567759053.13</v>
      </c>
      <c r="S431" s="764">
        <v>0</v>
      </c>
    </row>
    <row r="432" spans="1:19" ht="20.399999999999999" x14ac:dyDescent="0.3">
      <c r="A432" s="761" t="s">
        <v>6971</v>
      </c>
      <c r="B432" s="761" t="s">
        <v>1544</v>
      </c>
      <c r="C432" s="761" t="s">
        <v>1511</v>
      </c>
      <c r="D432" s="761" t="s">
        <v>316</v>
      </c>
      <c r="E432" s="761" t="s">
        <v>1784</v>
      </c>
      <c r="F432" s="762">
        <v>0</v>
      </c>
      <c r="G432" s="762">
        <v>0</v>
      </c>
      <c r="H432" s="762">
        <v>97109.72</v>
      </c>
      <c r="I432" s="762">
        <v>269.75</v>
      </c>
      <c r="J432" s="762">
        <v>0</v>
      </c>
      <c r="K432" s="762">
        <v>0</v>
      </c>
      <c r="L432" s="762">
        <v>0</v>
      </c>
      <c r="M432" s="762">
        <v>0</v>
      </c>
      <c r="N432" s="1187">
        <v>0</v>
      </c>
      <c r="O432" s="1187">
        <v>0</v>
      </c>
      <c r="P432" s="762">
        <v>97109.72</v>
      </c>
      <c r="Q432" s="762">
        <v>269.75</v>
      </c>
      <c r="R432" s="763">
        <v>97109.72</v>
      </c>
      <c r="S432" s="764">
        <v>269.75</v>
      </c>
    </row>
    <row r="433" spans="1:19" ht="20.399999999999999" x14ac:dyDescent="0.3">
      <c r="A433" s="761" t="s">
        <v>6971</v>
      </c>
      <c r="B433" s="761" t="s">
        <v>1544</v>
      </c>
      <c r="C433" s="761" t="s">
        <v>1508</v>
      </c>
      <c r="D433" s="761" t="s">
        <v>332</v>
      </c>
      <c r="E433" s="761" t="s">
        <v>1785</v>
      </c>
      <c r="F433" s="762">
        <v>855554.12</v>
      </c>
      <c r="G433" s="762">
        <v>1861</v>
      </c>
      <c r="H433" s="762">
        <v>0</v>
      </c>
      <c r="I433" s="762">
        <v>0</v>
      </c>
      <c r="J433" s="762">
        <v>4817924.97</v>
      </c>
      <c r="K433" s="762">
        <v>14032.58</v>
      </c>
      <c r="L433" s="762">
        <v>0</v>
      </c>
      <c r="M433" s="762">
        <v>0</v>
      </c>
      <c r="N433" s="1187">
        <v>0</v>
      </c>
      <c r="O433" s="1187">
        <v>0</v>
      </c>
      <c r="P433" s="762">
        <v>4817924.97</v>
      </c>
      <c r="Q433" s="762">
        <v>14032.58</v>
      </c>
      <c r="R433" s="763">
        <v>5673479.0899999999</v>
      </c>
      <c r="S433" s="764">
        <v>15893.96</v>
      </c>
    </row>
    <row r="434" spans="1:19" ht="30.6" x14ac:dyDescent="0.3">
      <c r="A434" s="761" t="s">
        <v>6971</v>
      </c>
      <c r="B434" s="761" t="s">
        <v>1544</v>
      </c>
      <c r="C434" s="761" t="s">
        <v>1512</v>
      </c>
      <c r="D434" s="761" t="s">
        <v>334</v>
      </c>
      <c r="E434" s="761" t="s">
        <v>1786</v>
      </c>
      <c r="F434" s="762">
        <v>0</v>
      </c>
      <c r="G434" s="762">
        <v>0</v>
      </c>
      <c r="H434" s="762">
        <v>4458137.6399999997</v>
      </c>
      <c r="I434" s="762">
        <v>0</v>
      </c>
      <c r="J434" s="762">
        <v>0</v>
      </c>
      <c r="K434" s="762">
        <v>0</v>
      </c>
      <c r="L434" s="762">
        <v>0</v>
      </c>
      <c r="M434" s="762">
        <v>0</v>
      </c>
      <c r="N434" s="1187">
        <v>0</v>
      </c>
      <c r="O434" s="1187">
        <v>0</v>
      </c>
      <c r="P434" s="762">
        <v>4458137.6399999997</v>
      </c>
      <c r="Q434" s="762">
        <v>0</v>
      </c>
      <c r="R434" s="763">
        <v>4458137.6399999997</v>
      </c>
      <c r="S434" s="764">
        <v>0</v>
      </c>
    </row>
    <row r="435" spans="1:19" ht="40.799999999999997" x14ac:dyDescent="0.3">
      <c r="A435" s="761" t="s">
        <v>6971</v>
      </c>
      <c r="B435" s="761" t="s">
        <v>1546</v>
      </c>
      <c r="C435" s="761" t="s">
        <v>1504</v>
      </c>
      <c r="D435" s="761" t="s">
        <v>268</v>
      </c>
      <c r="E435" s="761" t="s">
        <v>1787</v>
      </c>
      <c r="F435" s="762">
        <v>25978193.059999999</v>
      </c>
      <c r="G435" s="762">
        <v>61542</v>
      </c>
      <c r="H435" s="762">
        <v>8121851.1699999999</v>
      </c>
      <c r="I435" s="762">
        <v>24224.14</v>
      </c>
      <c r="J435" s="762">
        <v>89812160.849999994</v>
      </c>
      <c r="K435" s="762">
        <v>207445.37</v>
      </c>
      <c r="L435" s="762">
        <v>2981689.25</v>
      </c>
      <c r="M435" s="762">
        <v>5653.66015625</v>
      </c>
      <c r="N435" s="1187">
        <v>0</v>
      </c>
      <c r="O435" s="1187">
        <v>0</v>
      </c>
      <c r="P435" s="762">
        <v>100915701.26000001</v>
      </c>
      <c r="Q435" s="762">
        <v>237323.17</v>
      </c>
      <c r="R435" s="763">
        <v>126893894.31999999</v>
      </c>
      <c r="S435" s="764">
        <v>298865.19</v>
      </c>
    </row>
    <row r="436" spans="1:19" ht="20.399999999999999" x14ac:dyDescent="0.3">
      <c r="A436" s="761" t="s">
        <v>6971</v>
      </c>
      <c r="B436" s="761" t="s">
        <v>1546</v>
      </c>
      <c r="C436" s="761" t="s">
        <v>288</v>
      </c>
      <c r="D436" s="761" t="s">
        <v>288</v>
      </c>
      <c r="E436" s="761" t="s">
        <v>1788</v>
      </c>
      <c r="F436" s="762">
        <v>5527089.5899999999</v>
      </c>
      <c r="G436" s="762">
        <v>0</v>
      </c>
      <c r="H436" s="762">
        <v>29339265.32</v>
      </c>
      <c r="I436" s="762">
        <v>0</v>
      </c>
      <c r="J436" s="762">
        <v>0</v>
      </c>
      <c r="K436" s="762">
        <v>0</v>
      </c>
      <c r="L436" s="762">
        <v>0</v>
      </c>
      <c r="M436" s="762">
        <v>0</v>
      </c>
      <c r="N436" s="1187">
        <v>0</v>
      </c>
      <c r="O436" s="1187">
        <v>0</v>
      </c>
      <c r="P436" s="762">
        <v>29339265.32</v>
      </c>
      <c r="Q436" s="762">
        <v>0</v>
      </c>
      <c r="R436" s="763">
        <v>34866354.909999996</v>
      </c>
      <c r="S436" s="764">
        <v>0</v>
      </c>
    </row>
    <row r="437" spans="1:19" ht="20.399999999999999" x14ac:dyDescent="0.3">
      <c r="A437" s="761" t="s">
        <v>6971</v>
      </c>
      <c r="B437" s="761" t="s">
        <v>1546</v>
      </c>
      <c r="C437" s="761" t="s">
        <v>3804</v>
      </c>
      <c r="D437" s="761" t="s">
        <v>3804</v>
      </c>
      <c r="E437" s="761" t="s">
        <v>3863</v>
      </c>
      <c r="F437" s="762">
        <v>0</v>
      </c>
      <c r="G437" s="762">
        <v>0</v>
      </c>
      <c r="H437" s="762">
        <v>0</v>
      </c>
      <c r="I437" s="762">
        <v>0</v>
      </c>
      <c r="J437" s="762">
        <v>0</v>
      </c>
      <c r="K437" s="762">
        <v>0</v>
      </c>
      <c r="L437" s="762">
        <v>0</v>
      </c>
      <c r="M437" s="762">
        <v>0</v>
      </c>
      <c r="N437" s="1187">
        <v>54676132</v>
      </c>
      <c r="O437" s="1187">
        <v>105163.9609375</v>
      </c>
      <c r="P437" s="762">
        <v>0</v>
      </c>
      <c r="Q437" s="762">
        <v>0</v>
      </c>
      <c r="R437" s="763">
        <v>0</v>
      </c>
      <c r="S437" s="764">
        <v>0</v>
      </c>
    </row>
    <row r="438" spans="1:19" ht="20.399999999999999" x14ac:dyDescent="0.3">
      <c r="A438" s="761" t="s">
        <v>6971</v>
      </c>
      <c r="B438" s="761" t="s">
        <v>1546</v>
      </c>
      <c r="C438" s="761" t="s">
        <v>307</v>
      </c>
      <c r="D438" s="761" t="s">
        <v>307</v>
      </c>
      <c r="E438" s="761" t="s">
        <v>1789</v>
      </c>
      <c r="F438" s="762">
        <v>2136856.14</v>
      </c>
      <c r="G438" s="762">
        <v>0</v>
      </c>
      <c r="H438" s="762">
        <v>86999746.590000004</v>
      </c>
      <c r="I438" s="762">
        <v>0</v>
      </c>
      <c r="J438" s="762">
        <v>0</v>
      </c>
      <c r="K438" s="762">
        <v>0</v>
      </c>
      <c r="L438" s="762">
        <v>0</v>
      </c>
      <c r="M438" s="762">
        <v>0</v>
      </c>
      <c r="N438" s="1187">
        <v>0</v>
      </c>
      <c r="O438" s="1187">
        <v>0</v>
      </c>
      <c r="P438" s="762">
        <v>86999746.590000004</v>
      </c>
      <c r="Q438" s="762">
        <v>0</v>
      </c>
      <c r="R438" s="763">
        <v>89136602.730000004</v>
      </c>
      <c r="S438" s="764">
        <v>0</v>
      </c>
    </row>
    <row r="439" spans="1:19" ht="20.399999999999999" x14ac:dyDescent="0.3">
      <c r="A439" s="761" t="s">
        <v>6971</v>
      </c>
      <c r="B439" s="761" t="s">
        <v>1546</v>
      </c>
      <c r="C439" s="761" t="s">
        <v>1511</v>
      </c>
      <c r="D439" s="761" t="s">
        <v>316</v>
      </c>
      <c r="E439" s="761" t="s">
        <v>1790</v>
      </c>
      <c r="F439" s="762">
        <v>0</v>
      </c>
      <c r="G439" s="762">
        <v>0</v>
      </c>
      <c r="H439" s="762">
        <v>102754.57</v>
      </c>
      <c r="I439" s="762">
        <v>283.8</v>
      </c>
      <c r="J439" s="762">
        <v>0</v>
      </c>
      <c r="K439" s="762">
        <v>0</v>
      </c>
      <c r="L439" s="762">
        <v>0</v>
      </c>
      <c r="M439" s="762">
        <v>0</v>
      </c>
      <c r="N439" s="1187">
        <v>0</v>
      </c>
      <c r="O439" s="1187">
        <v>0</v>
      </c>
      <c r="P439" s="762">
        <v>102754.57</v>
      </c>
      <c r="Q439" s="762">
        <v>283.8</v>
      </c>
      <c r="R439" s="763">
        <v>102754.57</v>
      </c>
      <c r="S439" s="764">
        <v>283.8</v>
      </c>
    </row>
    <row r="440" spans="1:19" ht="20.399999999999999" x14ac:dyDescent="0.3">
      <c r="A440" s="761" t="s">
        <v>6971</v>
      </c>
      <c r="B440" s="761" t="s">
        <v>1546</v>
      </c>
      <c r="C440" s="761" t="s">
        <v>1508</v>
      </c>
      <c r="D440" s="761" t="s">
        <v>332</v>
      </c>
      <c r="E440" s="761" t="s">
        <v>1791</v>
      </c>
      <c r="F440" s="762">
        <v>0</v>
      </c>
      <c r="G440" s="762">
        <v>0</v>
      </c>
      <c r="H440" s="762">
        <v>142788.78</v>
      </c>
      <c r="I440" s="762">
        <v>394.08</v>
      </c>
      <c r="J440" s="762">
        <v>740675.39</v>
      </c>
      <c r="K440" s="762">
        <v>2065.56</v>
      </c>
      <c r="L440" s="762">
        <v>0</v>
      </c>
      <c r="M440" s="762">
        <v>0</v>
      </c>
      <c r="N440" s="1187">
        <v>0</v>
      </c>
      <c r="O440" s="1187">
        <v>0</v>
      </c>
      <c r="P440" s="762">
        <v>883464.17</v>
      </c>
      <c r="Q440" s="762">
        <v>2459.64</v>
      </c>
      <c r="R440" s="763">
        <v>883464.17</v>
      </c>
      <c r="S440" s="764">
        <v>2459.64</v>
      </c>
    </row>
    <row r="441" spans="1:19" ht="30.6" x14ac:dyDescent="0.3">
      <c r="A441" s="761" t="s">
        <v>6971</v>
      </c>
      <c r="B441" s="761" t="s">
        <v>1546</v>
      </c>
      <c r="C441" s="761" t="s">
        <v>1512</v>
      </c>
      <c r="D441" s="761" t="s">
        <v>334</v>
      </c>
      <c r="E441" s="761" t="s">
        <v>1792</v>
      </c>
      <c r="F441" s="762">
        <v>0</v>
      </c>
      <c r="G441" s="762">
        <v>0</v>
      </c>
      <c r="H441" s="762">
        <v>375339.19</v>
      </c>
      <c r="I441" s="762">
        <v>0</v>
      </c>
      <c r="J441" s="762">
        <v>0</v>
      </c>
      <c r="K441" s="762">
        <v>0</v>
      </c>
      <c r="L441" s="762">
        <v>0</v>
      </c>
      <c r="M441" s="762">
        <v>0</v>
      </c>
      <c r="N441" s="1187">
        <v>0</v>
      </c>
      <c r="O441" s="1187">
        <v>0</v>
      </c>
      <c r="P441" s="762">
        <v>375339.19</v>
      </c>
      <c r="Q441" s="762">
        <v>0</v>
      </c>
      <c r="R441" s="763">
        <v>375339.19</v>
      </c>
      <c r="S441" s="764">
        <v>0</v>
      </c>
    </row>
    <row r="442" spans="1:19" ht="40.799999999999997" x14ac:dyDescent="0.3">
      <c r="A442" s="761" t="s">
        <v>6971</v>
      </c>
      <c r="B442" s="761" t="s">
        <v>1547</v>
      </c>
      <c r="C442" s="761" t="s">
        <v>1504</v>
      </c>
      <c r="D442" s="761" t="s">
        <v>268</v>
      </c>
      <c r="E442" s="761" t="s">
        <v>1563</v>
      </c>
      <c r="F442" s="762">
        <v>24611494</v>
      </c>
      <c r="G442" s="762">
        <v>58319</v>
      </c>
      <c r="H442" s="762">
        <v>19376589</v>
      </c>
      <c r="I442" s="762">
        <v>55012</v>
      </c>
      <c r="J442" s="762">
        <v>115166000</v>
      </c>
      <c r="K442" s="762">
        <v>282631</v>
      </c>
      <c r="L442" s="762">
        <v>2769406</v>
      </c>
      <c r="M442" s="762">
        <v>5430</v>
      </c>
      <c r="N442" s="1187">
        <v>0</v>
      </c>
      <c r="O442" s="1187">
        <v>0</v>
      </c>
      <c r="P442" s="762">
        <v>137311995</v>
      </c>
      <c r="Q442" s="762">
        <v>343073</v>
      </c>
      <c r="R442" s="763">
        <v>161923489</v>
      </c>
      <c r="S442" s="764">
        <v>401392</v>
      </c>
    </row>
    <row r="443" spans="1:19" ht="20.399999999999999" x14ac:dyDescent="0.3">
      <c r="A443" s="761" t="s">
        <v>6971</v>
      </c>
      <c r="B443" s="761" t="s">
        <v>1547</v>
      </c>
      <c r="C443" s="761" t="s">
        <v>288</v>
      </c>
      <c r="D443" s="761" t="s">
        <v>288</v>
      </c>
      <c r="E443" s="761" t="s">
        <v>1564</v>
      </c>
      <c r="F443" s="762">
        <v>9019791</v>
      </c>
      <c r="G443" s="762">
        <v>0</v>
      </c>
      <c r="H443" s="762">
        <v>34491163</v>
      </c>
      <c r="I443" s="762">
        <v>0</v>
      </c>
      <c r="J443" s="762">
        <v>0</v>
      </c>
      <c r="K443" s="762">
        <v>0</v>
      </c>
      <c r="L443" s="762">
        <v>0</v>
      </c>
      <c r="M443" s="762">
        <v>0</v>
      </c>
      <c r="N443" s="1187">
        <v>0</v>
      </c>
      <c r="O443" s="1187">
        <v>0</v>
      </c>
      <c r="P443" s="762">
        <v>34491163</v>
      </c>
      <c r="Q443" s="762">
        <v>0</v>
      </c>
      <c r="R443" s="763">
        <v>43510954</v>
      </c>
      <c r="S443" s="764">
        <v>0</v>
      </c>
    </row>
    <row r="444" spans="1:19" ht="20.399999999999999" x14ac:dyDescent="0.3">
      <c r="A444" s="761" t="s">
        <v>6971</v>
      </c>
      <c r="B444" s="761" t="s">
        <v>1547</v>
      </c>
      <c r="C444" s="761" t="s">
        <v>3804</v>
      </c>
      <c r="D444" s="761" t="s">
        <v>3804</v>
      </c>
      <c r="E444" s="761" t="s">
        <v>3864</v>
      </c>
      <c r="F444" s="762">
        <v>0</v>
      </c>
      <c r="G444" s="762">
        <v>0</v>
      </c>
      <c r="H444" s="762">
        <v>0</v>
      </c>
      <c r="I444" s="762">
        <v>0</v>
      </c>
      <c r="J444" s="762">
        <v>0</v>
      </c>
      <c r="K444" s="762">
        <v>0</v>
      </c>
      <c r="L444" s="762">
        <v>0</v>
      </c>
      <c r="M444" s="762">
        <v>0</v>
      </c>
      <c r="N444" s="1187">
        <v>60088068</v>
      </c>
      <c r="O444" s="1187">
        <v>146863</v>
      </c>
      <c r="P444" s="762">
        <v>0</v>
      </c>
      <c r="Q444" s="762">
        <v>0</v>
      </c>
      <c r="R444" s="763">
        <v>0</v>
      </c>
      <c r="S444" s="764">
        <v>0</v>
      </c>
    </row>
    <row r="445" spans="1:19" ht="20.399999999999999" x14ac:dyDescent="0.3">
      <c r="A445" s="761" t="s">
        <v>6971</v>
      </c>
      <c r="B445" s="761" t="s">
        <v>1547</v>
      </c>
      <c r="C445" s="761" t="s">
        <v>307</v>
      </c>
      <c r="D445" s="761" t="s">
        <v>307</v>
      </c>
      <c r="E445" s="761" t="s">
        <v>1565</v>
      </c>
      <c r="F445" s="762">
        <v>2720162</v>
      </c>
      <c r="G445" s="762">
        <v>0</v>
      </c>
      <c r="H445" s="762">
        <v>105690962</v>
      </c>
      <c r="I445" s="762">
        <v>0</v>
      </c>
      <c r="J445" s="762">
        <v>0</v>
      </c>
      <c r="K445" s="762">
        <v>0</v>
      </c>
      <c r="L445" s="762">
        <v>0</v>
      </c>
      <c r="M445" s="762">
        <v>0</v>
      </c>
      <c r="N445" s="1187">
        <v>0</v>
      </c>
      <c r="O445" s="1187">
        <v>0</v>
      </c>
      <c r="P445" s="762">
        <v>105690962</v>
      </c>
      <c r="Q445" s="762">
        <v>0</v>
      </c>
      <c r="R445" s="763">
        <v>108411124</v>
      </c>
      <c r="S445" s="764">
        <v>0</v>
      </c>
    </row>
    <row r="446" spans="1:19" ht="20.399999999999999" x14ac:dyDescent="0.3">
      <c r="A446" s="761" t="s">
        <v>6971</v>
      </c>
      <c r="B446" s="761" t="s">
        <v>1547</v>
      </c>
      <c r="C446" s="761" t="s">
        <v>1511</v>
      </c>
      <c r="D446" s="761" t="s">
        <v>316</v>
      </c>
      <c r="E446" s="761" t="s">
        <v>1567</v>
      </c>
      <c r="F446" s="762">
        <v>16135</v>
      </c>
      <c r="G446" s="762">
        <v>45</v>
      </c>
      <c r="H446" s="762">
        <v>96221</v>
      </c>
      <c r="I446" s="762">
        <v>267</v>
      </c>
      <c r="J446" s="762">
        <v>0</v>
      </c>
      <c r="K446" s="762">
        <v>0</v>
      </c>
      <c r="L446" s="762">
        <v>0</v>
      </c>
      <c r="M446" s="762">
        <v>0</v>
      </c>
      <c r="N446" s="1187">
        <v>0</v>
      </c>
      <c r="O446" s="1187">
        <v>0</v>
      </c>
      <c r="P446" s="762">
        <v>96221</v>
      </c>
      <c r="Q446" s="762">
        <v>267</v>
      </c>
      <c r="R446" s="763">
        <v>112356</v>
      </c>
      <c r="S446" s="764">
        <v>312</v>
      </c>
    </row>
    <row r="447" spans="1:19" ht="20.399999999999999" x14ac:dyDescent="0.3">
      <c r="A447" s="761" t="s">
        <v>6971</v>
      </c>
      <c r="B447" s="761" t="s">
        <v>1547</v>
      </c>
      <c r="C447" s="761" t="s">
        <v>1508</v>
      </c>
      <c r="D447" s="761" t="s">
        <v>332</v>
      </c>
      <c r="E447" s="761" t="s">
        <v>1568</v>
      </c>
      <c r="F447" s="762">
        <v>2585947</v>
      </c>
      <c r="G447" s="762">
        <v>7234</v>
      </c>
      <c r="H447" s="762">
        <v>0</v>
      </c>
      <c r="I447" s="762">
        <v>0</v>
      </c>
      <c r="J447" s="762">
        <v>0</v>
      </c>
      <c r="K447" s="762">
        <v>0</v>
      </c>
      <c r="L447" s="762">
        <v>0</v>
      </c>
      <c r="M447" s="762">
        <v>0</v>
      </c>
      <c r="N447" s="1187">
        <v>0</v>
      </c>
      <c r="O447" s="1187">
        <v>0</v>
      </c>
      <c r="P447" s="762">
        <v>0</v>
      </c>
      <c r="Q447" s="762">
        <v>0</v>
      </c>
      <c r="R447" s="763">
        <v>2585947</v>
      </c>
      <c r="S447" s="764">
        <v>7234</v>
      </c>
    </row>
    <row r="448" spans="1:19" ht="30.6" x14ac:dyDescent="0.3">
      <c r="A448" s="761" t="s">
        <v>6971</v>
      </c>
      <c r="B448" s="761" t="s">
        <v>1547</v>
      </c>
      <c r="C448" s="761" t="s">
        <v>1512</v>
      </c>
      <c r="D448" s="761" t="s">
        <v>334</v>
      </c>
      <c r="E448" s="761" t="s">
        <v>1566</v>
      </c>
      <c r="F448" s="762">
        <v>103164</v>
      </c>
      <c r="G448" s="762">
        <v>0</v>
      </c>
      <c r="H448" s="762">
        <v>645228</v>
      </c>
      <c r="I448" s="762">
        <v>0</v>
      </c>
      <c r="J448" s="762">
        <v>0</v>
      </c>
      <c r="K448" s="762">
        <v>0</v>
      </c>
      <c r="L448" s="762">
        <v>0</v>
      </c>
      <c r="M448" s="762">
        <v>0</v>
      </c>
      <c r="N448" s="1187">
        <v>0</v>
      </c>
      <c r="O448" s="1187">
        <v>0</v>
      </c>
      <c r="P448" s="762">
        <v>645228</v>
      </c>
      <c r="Q448" s="762">
        <v>0</v>
      </c>
      <c r="R448" s="763">
        <v>748392</v>
      </c>
      <c r="S448" s="764">
        <v>0</v>
      </c>
    </row>
    <row r="449" spans="1:19" ht="40.799999999999997" x14ac:dyDescent="0.3">
      <c r="A449" s="761" t="s">
        <v>6971</v>
      </c>
      <c r="B449" s="761" t="s">
        <v>1548</v>
      </c>
      <c r="C449" s="761" t="s">
        <v>1504</v>
      </c>
      <c r="D449" s="761" t="s">
        <v>248</v>
      </c>
      <c r="E449" s="761" t="s">
        <v>1793</v>
      </c>
      <c r="F449" s="762">
        <v>0</v>
      </c>
      <c r="G449" s="762">
        <v>0</v>
      </c>
      <c r="H449" s="762">
        <v>0</v>
      </c>
      <c r="I449" s="762">
        <v>0</v>
      </c>
      <c r="J449" s="762">
        <v>75700560</v>
      </c>
      <c r="K449" s="762">
        <v>182853</v>
      </c>
      <c r="L449" s="762">
        <v>0</v>
      </c>
      <c r="M449" s="762">
        <v>0</v>
      </c>
      <c r="N449" s="1187">
        <v>0</v>
      </c>
      <c r="O449" s="1187">
        <v>0</v>
      </c>
      <c r="P449" s="762">
        <v>75700560</v>
      </c>
      <c r="Q449" s="762">
        <v>182853</v>
      </c>
      <c r="R449" s="763">
        <v>75700560</v>
      </c>
      <c r="S449" s="764">
        <v>182853</v>
      </c>
    </row>
    <row r="450" spans="1:19" ht="40.799999999999997" x14ac:dyDescent="0.3">
      <c r="A450" s="761" t="s">
        <v>6971</v>
      </c>
      <c r="B450" s="761" t="s">
        <v>1548</v>
      </c>
      <c r="C450" s="761" t="s">
        <v>1504</v>
      </c>
      <c r="D450" s="761" t="s">
        <v>272</v>
      </c>
      <c r="E450" s="761" t="s">
        <v>1794</v>
      </c>
      <c r="F450" s="762">
        <v>39396940</v>
      </c>
      <c r="G450" s="762">
        <v>106400</v>
      </c>
      <c r="H450" s="762">
        <v>104269500</v>
      </c>
      <c r="I450" s="762">
        <v>248259</v>
      </c>
      <c r="J450" s="762">
        <v>179849214</v>
      </c>
      <c r="K450" s="762">
        <v>456250</v>
      </c>
      <c r="L450" s="762">
        <v>6533879</v>
      </c>
      <c r="M450" s="762">
        <v>12465</v>
      </c>
      <c r="N450" s="1187">
        <v>0</v>
      </c>
      <c r="O450" s="1187">
        <v>0</v>
      </c>
      <c r="P450" s="762">
        <v>290652593</v>
      </c>
      <c r="Q450" s="762">
        <v>716974</v>
      </c>
      <c r="R450" s="763">
        <v>330049533</v>
      </c>
      <c r="S450" s="764">
        <v>823374</v>
      </c>
    </row>
    <row r="451" spans="1:19" ht="20.399999999999999" x14ac:dyDescent="0.3">
      <c r="A451" s="761" t="s">
        <v>6971</v>
      </c>
      <c r="B451" s="761" t="s">
        <v>1548</v>
      </c>
      <c r="C451" s="761" t="s">
        <v>288</v>
      </c>
      <c r="D451" s="761" t="s">
        <v>288</v>
      </c>
      <c r="E451" s="761" t="s">
        <v>1795</v>
      </c>
      <c r="F451" s="762">
        <v>17855773</v>
      </c>
      <c r="G451" s="762">
        <v>0</v>
      </c>
      <c r="H451" s="762">
        <v>99335297</v>
      </c>
      <c r="I451" s="762">
        <v>0</v>
      </c>
      <c r="J451" s="762">
        <v>0</v>
      </c>
      <c r="K451" s="762">
        <v>0</v>
      </c>
      <c r="L451" s="762">
        <v>0</v>
      </c>
      <c r="M451" s="762">
        <v>0</v>
      </c>
      <c r="N451" s="1187">
        <v>0</v>
      </c>
      <c r="O451" s="1187">
        <v>0</v>
      </c>
      <c r="P451" s="762">
        <v>99335297</v>
      </c>
      <c r="Q451" s="762">
        <v>0</v>
      </c>
      <c r="R451" s="763">
        <v>117191070</v>
      </c>
      <c r="S451" s="764">
        <v>0</v>
      </c>
    </row>
    <row r="452" spans="1:19" ht="20.399999999999999" x14ac:dyDescent="0.3">
      <c r="A452" s="761" t="s">
        <v>6971</v>
      </c>
      <c r="B452" s="761" t="s">
        <v>1548</v>
      </c>
      <c r="C452" s="761" t="s">
        <v>1510</v>
      </c>
      <c r="D452" s="761" t="s">
        <v>297</v>
      </c>
      <c r="E452" s="761" t="s">
        <v>1796</v>
      </c>
      <c r="F452" s="762">
        <v>0</v>
      </c>
      <c r="G452" s="762">
        <v>0</v>
      </c>
      <c r="H452" s="762">
        <v>0</v>
      </c>
      <c r="I452" s="762">
        <v>0</v>
      </c>
      <c r="J452" s="762">
        <v>38878938</v>
      </c>
      <c r="K452" s="762">
        <v>86538</v>
      </c>
      <c r="L452" s="762">
        <v>0</v>
      </c>
      <c r="M452" s="762">
        <v>0</v>
      </c>
      <c r="N452" s="1187">
        <v>0</v>
      </c>
      <c r="O452" s="1187">
        <v>0</v>
      </c>
      <c r="P452" s="762">
        <v>38878938</v>
      </c>
      <c r="Q452" s="762">
        <v>86538</v>
      </c>
      <c r="R452" s="763">
        <v>38878938</v>
      </c>
      <c r="S452" s="764">
        <v>86538</v>
      </c>
    </row>
    <row r="453" spans="1:19" ht="20.399999999999999" x14ac:dyDescent="0.3">
      <c r="A453" s="761" t="s">
        <v>6971</v>
      </c>
      <c r="B453" s="761" t="s">
        <v>1548</v>
      </c>
      <c r="C453" s="761" t="s">
        <v>3804</v>
      </c>
      <c r="D453" s="761" t="s">
        <v>3804</v>
      </c>
      <c r="E453" s="761" t="s">
        <v>3865</v>
      </c>
      <c r="F453" s="762">
        <v>0</v>
      </c>
      <c r="G453" s="762">
        <v>0</v>
      </c>
      <c r="H453" s="762">
        <v>0</v>
      </c>
      <c r="I453" s="762">
        <v>0</v>
      </c>
      <c r="J453" s="762">
        <v>0</v>
      </c>
      <c r="K453" s="762">
        <v>0</v>
      </c>
      <c r="L453" s="762">
        <v>0</v>
      </c>
      <c r="M453" s="762">
        <v>0</v>
      </c>
      <c r="N453" s="1187">
        <v>90242032</v>
      </c>
      <c r="O453" s="1187">
        <v>200157</v>
      </c>
      <c r="P453" s="762">
        <v>0</v>
      </c>
      <c r="Q453" s="762">
        <v>0</v>
      </c>
      <c r="R453" s="763">
        <v>0</v>
      </c>
      <c r="S453" s="764">
        <v>0</v>
      </c>
    </row>
    <row r="454" spans="1:19" ht="20.399999999999999" x14ac:dyDescent="0.3">
      <c r="A454" s="761" t="s">
        <v>6971</v>
      </c>
      <c r="B454" s="761" t="s">
        <v>1548</v>
      </c>
      <c r="C454" s="761" t="s">
        <v>307</v>
      </c>
      <c r="D454" s="761" t="s">
        <v>307</v>
      </c>
      <c r="E454" s="761" t="s">
        <v>1797</v>
      </c>
      <c r="F454" s="762">
        <v>14181355</v>
      </c>
      <c r="G454" s="762">
        <v>0</v>
      </c>
      <c r="H454" s="762">
        <v>468349803</v>
      </c>
      <c r="I454" s="762">
        <v>0</v>
      </c>
      <c r="J454" s="762">
        <v>0</v>
      </c>
      <c r="K454" s="762">
        <v>0</v>
      </c>
      <c r="L454" s="762">
        <v>0</v>
      </c>
      <c r="M454" s="762">
        <v>0</v>
      </c>
      <c r="N454" s="1187">
        <v>0</v>
      </c>
      <c r="O454" s="1187">
        <v>0</v>
      </c>
      <c r="P454" s="762">
        <v>468349803</v>
      </c>
      <c r="Q454" s="762">
        <v>0</v>
      </c>
      <c r="R454" s="763">
        <v>482531158</v>
      </c>
      <c r="S454" s="764">
        <v>0</v>
      </c>
    </row>
    <row r="455" spans="1:19" ht="20.399999999999999" x14ac:dyDescent="0.3">
      <c r="A455" s="761" t="s">
        <v>6971</v>
      </c>
      <c r="B455" s="761" t="s">
        <v>1548</v>
      </c>
      <c r="C455" s="761" t="s">
        <v>1511</v>
      </c>
      <c r="D455" s="761" t="s">
        <v>316</v>
      </c>
      <c r="E455" s="761" t="s">
        <v>1798</v>
      </c>
      <c r="F455" s="762">
        <v>0</v>
      </c>
      <c r="G455" s="762">
        <v>0</v>
      </c>
      <c r="H455" s="762">
        <v>25690</v>
      </c>
      <c r="I455" s="762">
        <v>85</v>
      </c>
      <c r="J455" s="762">
        <v>0</v>
      </c>
      <c r="K455" s="762">
        <v>0</v>
      </c>
      <c r="L455" s="762">
        <v>0</v>
      </c>
      <c r="M455" s="762">
        <v>0</v>
      </c>
      <c r="N455" s="1187">
        <v>0</v>
      </c>
      <c r="O455" s="1187">
        <v>0</v>
      </c>
      <c r="P455" s="762">
        <v>25690</v>
      </c>
      <c r="Q455" s="762">
        <v>85</v>
      </c>
      <c r="R455" s="763">
        <v>25690</v>
      </c>
      <c r="S455" s="764">
        <v>85</v>
      </c>
    </row>
    <row r="456" spans="1:19" ht="20.399999999999999" x14ac:dyDescent="0.3">
      <c r="A456" s="761" t="s">
        <v>6971</v>
      </c>
      <c r="B456" s="761" t="s">
        <v>1548</v>
      </c>
      <c r="C456" s="761" t="s">
        <v>1508</v>
      </c>
      <c r="D456" s="761" t="s">
        <v>332</v>
      </c>
      <c r="E456" s="761" t="s">
        <v>1799</v>
      </c>
      <c r="F456" s="762">
        <v>0</v>
      </c>
      <c r="G456" s="762">
        <v>0</v>
      </c>
      <c r="H456" s="762">
        <v>0</v>
      </c>
      <c r="I456" s="762">
        <v>0</v>
      </c>
      <c r="J456" s="762">
        <v>4294352</v>
      </c>
      <c r="K456" s="762">
        <v>11884</v>
      </c>
      <c r="L456" s="762">
        <v>0</v>
      </c>
      <c r="M456" s="762">
        <v>0</v>
      </c>
      <c r="N456" s="1187">
        <v>0</v>
      </c>
      <c r="O456" s="1187">
        <v>0</v>
      </c>
      <c r="P456" s="762">
        <v>4294352</v>
      </c>
      <c r="Q456" s="762">
        <v>11884</v>
      </c>
      <c r="R456" s="763">
        <v>4294352</v>
      </c>
      <c r="S456" s="764">
        <v>11884</v>
      </c>
    </row>
    <row r="457" spans="1:19" ht="30.6" x14ac:dyDescent="0.3">
      <c r="A457" s="761" t="s">
        <v>6971</v>
      </c>
      <c r="B457" s="761" t="s">
        <v>1548</v>
      </c>
      <c r="C457" s="761" t="s">
        <v>1512</v>
      </c>
      <c r="D457" s="761" t="s">
        <v>334</v>
      </c>
      <c r="E457" s="761" t="s">
        <v>1800</v>
      </c>
      <c r="F457" s="762">
        <v>0</v>
      </c>
      <c r="G457" s="762">
        <v>0</v>
      </c>
      <c r="H457" s="762">
        <v>820268</v>
      </c>
      <c r="I457" s="762">
        <v>0</v>
      </c>
      <c r="J457" s="762">
        <v>0</v>
      </c>
      <c r="K457" s="762">
        <v>0</v>
      </c>
      <c r="L457" s="762">
        <v>0</v>
      </c>
      <c r="M457" s="762">
        <v>0</v>
      </c>
      <c r="N457" s="1187">
        <v>0</v>
      </c>
      <c r="O457" s="1187">
        <v>0</v>
      </c>
      <c r="P457" s="762">
        <v>820268</v>
      </c>
      <c r="Q457" s="762">
        <v>0</v>
      </c>
      <c r="R457" s="763">
        <v>820268</v>
      </c>
      <c r="S457" s="764">
        <v>0</v>
      </c>
    </row>
    <row r="458" spans="1:19" ht="40.799999999999997" x14ac:dyDescent="0.3">
      <c r="A458" s="761" t="s">
        <v>6971</v>
      </c>
      <c r="B458" s="761" t="s">
        <v>1549</v>
      </c>
      <c r="C458" s="761" t="s">
        <v>1504</v>
      </c>
      <c r="D458" s="761" t="s">
        <v>268</v>
      </c>
      <c r="E458" s="761" t="s">
        <v>1801</v>
      </c>
      <c r="F458" s="762">
        <v>14490325</v>
      </c>
      <c r="G458" s="762">
        <v>37320</v>
      </c>
      <c r="H458" s="762">
        <v>14800165</v>
      </c>
      <c r="I458" s="762">
        <v>40085</v>
      </c>
      <c r="J458" s="762">
        <v>40825573</v>
      </c>
      <c r="K458" s="762">
        <v>153096</v>
      </c>
      <c r="L458" s="762">
        <v>0</v>
      </c>
      <c r="M458" s="762">
        <v>0</v>
      </c>
      <c r="N458" s="1187">
        <v>0</v>
      </c>
      <c r="O458" s="1187">
        <v>0</v>
      </c>
      <c r="P458" s="762">
        <v>55625738</v>
      </c>
      <c r="Q458" s="762">
        <v>193181</v>
      </c>
      <c r="R458" s="763">
        <v>70116063</v>
      </c>
      <c r="S458" s="764">
        <v>230501</v>
      </c>
    </row>
    <row r="459" spans="1:19" ht="20.399999999999999" x14ac:dyDescent="0.3">
      <c r="A459" s="761" t="s">
        <v>6971</v>
      </c>
      <c r="B459" s="761" t="s">
        <v>1549</v>
      </c>
      <c r="C459" s="761" t="s">
        <v>288</v>
      </c>
      <c r="D459" s="761" t="s">
        <v>288</v>
      </c>
      <c r="E459" s="761" t="s">
        <v>1802</v>
      </c>
      <c r="F459" s="762">
        <v>5492767</v>
      </c>
      <c r="G459" s="762">
        <v>0</v>
      </c>
      <c r="H459" s="762">
        <v>23929828</v>
      </c>
      <c r="I459" s="762">
        <v>0</v>
      </c>
      <c r="J459" s="762">
        <v>0</v>
      </c>
      <c r="K459" s="762">
        <v>0</v>
      </c>
      <c r="L459" s="762">
        <v>0</v>
      </c>
      <c r="M459" s="762">
        <v>0</v>
      </c>
      <c r="N459" s="1187">
        <v>0</v>
      </c>
      <c r="O459" s="1187">
        <v>0</v>
      </c>
      <c r="P459" s="762">
        <v>23929828</v>
      </c>
      <c r="Q459" s="762">
        <v>0</v>
      </c>
      <c r="R459" s="763">
        <v>29422595</v>
      </c>
      <c r="S459" s="764">
        <v>0</v>
      </c>
    </row>
    <row r="460" spans="1:19" ht="20.399999999999999" x14ac:dyDescent="0.3">
      <c r="A460" s="761" t="s">
        <v>6971</v>
      </c>
      <c r="B460" s="761" t="s">
        <v>1549</v>
      </c>
      <c r="C460" s="761" t="s">
        <v>3804</v>
      </c>
      <c r="D460" s="761" t="s">
        <v>3804</v>
      </c>
      <c r="E460" s="761" t="s">
        <v>3866</v>
      </c>
      <c r="F460" s="762">
        <v>0</v>
      </c>
      <c r="G460" s="762">
        <v>0</v>
      </c>
      <c r="H460" s="762">
        <v>0</v>
      </c>
      <c r="I460" s="762">
        <v>0</v>
      </c>
      <c r="J460" s="762">
        <v>0</v>
      </c>
      <c r="K460" s="762">
        <v>0</v>
      </c>
      <c r="L460" s="762">
        <v>0</v>
      </c>
      <c r="M460" s="762">
        <v>0</v>
      </c>
      <c r="N460" s="1187">
        <v>1305027.125</v>
      </c>
      <c r="O460" s="1187">
        <v>5703.35986328125</v>
      </c>
      <c r="P460" s="762">
        <v>0</v>
      </c>
      <c r="Q460" s="762">
        <v>0</v>
      </c>
      <c r="R460" s="763">
        <v>0</v>
      </c>
      <c r="S460" s="764">
        <v>0</v>
      </c>
    </row>
    <row r="461" spans="1:19" ht="20.399999999999999" x14ac:dyDescent="0.3">
      <c r="A461" s="761" t="s">
        <v>6971</v>
      </c>
      <c r="B461" s="761" t="s">
        <v>1549</v>
      </c>
      <c r="C461" s="761" t="s">
        <v>307</v>
      </c>
      <c r="D461" s="761" t="s">
        <v>307</v>
      </c>
      <c r="E461" s="761" t="s">
        <v>1803</v>
      </c>
      <c r="F461" s="762">
        <v>770845</v>
      </c>
      <c r="G461" s="762">
        <v>0</v>
      </c>
      <c r="H461" s="762">
        <v>81406550</v>
      </c>
      <c r="I461" s="762">
        <v>0</v>
      </c>
      <c r="J461" s="762">
        <v>0</v>
      </c>
      <c r="K461" s="762">
        <v>0</v>
      </c>
      <c r="L461" s="762">
        <v>0</v>
      </c>
      <c r="M461" s="762">
        <v>0</v>
      </c>
      <c r="N461" s="1187">
        <v>0</v>
      </c>
      <c r="O461" s="1187">
        <v>0</v>
      </c>
      <c r="P461" s="762">
        <v>81406550</v>
      </c>
      <c r="Q461" s="762">
        <v>0</v>
      </c>
      <c r="R461" s="763">
        <v>82177395</v>
      </c>
      <c r="S461" s="764">
        <v>0</v>
      </c>
    </row>
    <row r="462" spans="1:19" ht="20.399999999999999" x14ac:dyDescent="0.3">
      <c r="A462" s="761" t="s">
        <v>6971</v>
      </c>
      <c r="B462" s="761" t="s">
        <v>1549</v>
      </c>
      <c r="C462" s="761" t="s">
        <v>1511</v>
      </c>
      <c r="D462" s="761" t="s">
        <v>316</v>
      </c>
      <c r="E462" s="761" t="s">
        <v>1804</v>
      </c>
      <c r="F462" s="762">
        <v>0</v>
      </c>
      <c r="G462" s="762">
        <v>0</v>
      </c>
      <c r="H462" s="762">
        <v>202529</v>
      </c>
      <c r="I462" s="762">
        <v>517</v>
      </c>
      <c r="J462" s="762">
        <v>0</v>
      </c>
      <c r="K462" s="762">
        <v>0</v>
      </c>
      <c r="L462" s="762">
        <v>0</v>
      </c>
      <c r="M462" s="762">
        <v>0</v>
      </c>
      <c r="N462" s="1187">
        <v>0</v>
      </c>
      <c r="O462" s="1187">
        <v>0</v>
      </c>
      <c r="P462" s="762">
        <v>202529</v>
      </c>
      <c r="Q462" s="762">
        <v>517</v>
      </c>
      <c r="R462" s="763">
        <v>202529</v>
      </c>
      <c r="S462" s="764">
        <v>517</v>
      </c>
    </row>
    <row r="463" spans="1:19" ht="20.399999999999999" x14ac:dyDescent="0.3">
      <c r="A463" s="761" t="s">
        <v>6971</v>
      </c>
      <c r="B463" s="761" t="s">
        <v>1549</v>
      </c>
      <c r="C463" s="761" t="s">
        <v>1508</v>
      </c>
      <c r="D463" s="761" t="s">
        <v>332</v>
      </c>
      <c r="E463" s="761" t="s">
        <v>1805</v>
      </c>
      <c r="F463" s="762">
        <v>163010</v>
      </c>
      <c r="G463" s="762">
        <v>565</v>
      </c>
      <c r="H463" s="762">
        <v>84594</v>
      </c>
      <c r="I463" s="762">
        <v>259</v>
      </c>
      <c r="J463" s="762">
        <v>760304</v>
      </c>
      <c r="K463" s="762">
        <v>2099</v>
      </c>
      <c r="L463" s="762">
        <v>0</v>
      </c>
      <c r="M463" s="762">
        <v>0</v>
      </c>
      <c r="N463" s="1187">
        <v>0</v>
      </c>
      <c r="O463" s="1187">
        <v>0</v>
      </c>
      <c r="P463" s="762">
        <v>844898</v>
      </c>
      <c r="Q463" s="762">
        <v>2358</v>
      </c>
      <c r="R463" s="763">
        <v>1007908</v>
      </c>
      <c r="S463" s="764">
        <v>2923</v>
      </c>
    </row>
    <row r="464" spans="1:19" ht="30.6" x14ac:dyDescent="0.3">
      <c r="A464" s="761" t="s">
        <v>6971</v>
      </c>
      <c r="B464" s="761" t="s">
        <v>1549</v>
      </c>
      <c r="C464" s="761" t="s">
        <v>1512</v>
      </c>
      <c r="D464" s="761" t="s">
        <v>334</v>
      </c>
      <c r="E464" s="761" t="s">
        <v>1806</v>
      </c>
      <c r="F464" s="762">
        <v>391093</v>
      </c>
      <c r="G464" s="762">
        <v>0</v>
      </c>
      <c r="H464" s="762">
        <v>195345</v>
      </c>
      <c r="I464" s="762">
        <v>0</v>
      </c>
      <c r="J464" s="762">
        <v>0</v>
      </c>
      <c r="K464" s="762">
        <v>0</v>
      </c>
      <c r="L464" s="762">
        <v>0</v>
      </c>
      <c r="M464" s="762">
        <v>0</v>
      </c>
      <c r="N464" s="1187">
        <v>0</v>
      </c>
      <c r="O464" s="1187">
        <v>0</v>
      </c>
      <c r="P464" s="762">
        <v>195345</v>
      </c>
      <c r="Q464" s="762">
        <v>0</v>
      </c>
      <c r="R464" s="763">
        <v>586438</v>
      </c>
      <c r="S464" s="764">
        <v>0</v>
      </c>
    </row>
    <row r="465" spans="1:19" ht="40.799999999999997" x14ac:dyDescent="0.3">
      <c r="A465" s="761" t="s">
        <v>6971</v>
      </c>
      <c r="B465" s="761" t="s">
        <v>1550</v>
      </c>
      <c r="C465" s="761" t="s">
        <v>1504</v>
      </c>
      <c r="D465" s="761" t="s">
        <v>268</v>
      </c>
      <c r="E465" s="761" t="s">
        <v>1807</v>
      </c>
      <c r="F465" s="762">
        <v>59844795.990000002</v>
      </c>
      <c r="G465" s="762">
        <v>140967</v>
      </c>
      <c r="H465" s="762">
        <v>47344659.719999999</v>
      </c>
      <c r="I465" s="762">
        <v>111780.44</v>
      </c>
      <c r="J465" s="762">
        <v>207781902.16</v>
      </c>
      <c r="K465" s="762">
        <v>507271.67</v>
      </c>
      <c r="L465" s="762">
        <v>0</v>
      </c>
      <c r="M465" s="762">
        <v>5209</v>
      </c>
      <c r="N465" s="1187">
        <v>0</v>
      </c>
      <c r="O465" s="1187">
        <v>0</v>
      </c>
      <c r="P465" s="762">
        <v>255126561.88</v>
      </c>
      <c r="Q465" s="762">
        <v>624261.11</v>
      </c>
      <c r="R465" s="763">
        <v>314971357.87</v>
      </c>
      <c r="S465" s="764">
        <v>765228.14</v>
      </c>
    </row>
    <row r="466" spans="1:19" ht="30.6" x14ac:dyDescent="0.3">
      <c r="A466" s="761" t="s">
        <v>6971</v>
      </c>
      <c r="B466" s="761" t="s">
        <v>1550</v>
      </c>
      <c r="C466" s="761" t="s">
        <v>288</v>
      </c>
      <c r="D466" s="761" t="s">
        <v>288</v>
      </c>
      <c r="E466" s="761" t="s">
        <v>1808</v>
      </c>
      <c r="F466" s="762">
        <v>15930165.390000001</v>
      </c>
      <c r="G466" s="762">
        <v>0</v>
      </c>
      <c r="H466" s="762">
        <v>95065143.900000006</v>
      </c>
      <c r="I466" s="762">
        <v>0</v>
      </c>
      <c r="J466" s="762">
        <v>276054.98</v>
      </c>
      <c r="K466" s="762">
        <v>0</v>
      </c>
      <c r="L466" s="762">
        <v>0</v>
      </c>
      <c r="M466" s="762">
        <v>0</v>
      </c>
      <c r="N466" s="1187">
        <v>0</v>
      </c>
      <c r="O466" s="1187">
        <v>0</v>
      </c>
      <c r="P466" s="762">
        <v>95341198.879999995</v>
      </c>
      <c r="Q466" s="762">
        <v>0</v>
      </c>
      <c r="R466" s="763">
        <v>111271364.27</v>
      </c>
      <c r="S466" s="764">
        <v>0</v>
      </c>
    </row>
    <row r="467" spans="1:19" ht="30.6" x14ac:dyDescent="0.3">
      <c r="A467" s="761" t="s">
        <v>6971</v>
      </c>
      <c r="B467" s="761" t="s">
        <v>1550</v>
      </c>
      <c r="C467" s="761" t="s">
        <v>1510</v>
      </c>
      <c r="D467" s="761" t="s">
        <v>297</v>
      </c>
      <c r="E467" s="761" t="s">
        <v>1809</v>
      </c>
      <c r="F467" s="762">
        <v>30038962.039999999</v>
      </c>
      <c r="G467" s="762">
        <v>60006</v>
      </c>
      <c r="H467" s="762">
        <v>0</v>
      </c>
      <c r="I467" s="762">
        <v>0</v>
      </c>
      <c r="J467" s="762">
        <v>11630811.43</v>
      </c>
      <c r="K467" s="762">
        <v>24170.77</v>
      </c>
      <c r="L467" s="762">
        <v>0</v>
      </c>
      <c r="M467" s="762">
        <v>0</v>
      </c>
      <c r="N467" s="1187">
        <v>0</v>
      </c>
      <c r="O467" s="1187">
        <v>0</v>
      </c>
      <c r="P467" s="762">
        <v>11630811.43</v>
      </c>
      <c r="Q467" s="762">
        <v>24170.77</v>
      </c>
      <c r="R467" s="763">
        <v>41669773.469999999</v>
      </c>
      <c r="S467" s="764">
        <v>84176.85</v>
      </c>
    </row>
    <row r="468" spans="1:19" ht="30.6" x14ac:dyDescent="0.3">
      <c r="A468" s="761" t="s">
        <v>6971</v>
      </c>
      <c r="B468" s="761" t="s">
        <v>1550</v>
      </c>
      <c r="C468" s="761" t="s">
        <v>3804</v>
      </c>
      <c r="D468" s="761" t="s">
        <v>3804</v>
      </c>
      <c r="E468" s="761" t="s">
        <v>3867</v>
      </c>
      <c r="F468" s="762">
        <v>0</v>
      </c>
      <c r="G468" s="762">
        <v>0</v>
      </c>
      <c r="H468" s="762">
        <v>0</v>
      </c>
      <c r="I468" s="762">
        <v>0</v>
      </c>
      <c r="J468" s="762">
        <v>0</v>
      </c>
      <c r="K468" s="762">
        <v>0</v>
      </c>
      <c r="L468" s="762">
        <v>0</v>
      </c>
      <c r="M468" s="762">
        <v>0</v>
      </c>
      <c r="N468" s="1187">
        <v>122349064</v>
      </c>
      <c r="O468" s="1187">
        <v>259899</v>
      </c>
      <c r="P468" s="762">
        <v>0</v>
      </c>
      <c r="Q468" s="762">
        <v>0</v>
      </c>
      <c r="R468" s="763">
        <v>0</v>
      </c>
      <c r="S468" s="764">
        <v>0</v>
      </c>
    </row>
    <row r="469" spans="1:19" ht="30.6" x14ac:dyDescent="0.3">
      <c r="A469" s="761" t="s">
        <v>6971</v>
      </c>
      <c r="B469" s="761" t="s">
        <v>1550</v>
      </c>
      <c r="C469" s="761" t="s">
        <v>307</v>
      </c>
      <c r="D469" s="761" t="s">
        <v>307</v>
      </c>
      <c r="E469" s="761" t="s">
        <v>1810</v>
      </c>
      <c r="F469" s="762">
        <v>4978034.47</v>
      </c>
      <c r="G469" s="762">
        <v>0</v>
      </c>
      <c r="H469" s="762">
        <v>283386532.51999998</v>
      </c>
      <c r="I469" s="762">
        <v>0</v>
      </c>
      <c r="J469" s="762">
        <v>0</v>
      </c>
      <c r="K469" s="762">
        <v>0</v>
      </c>
      <c r="L469" s="762">
        <v>0</v>
      </c>
      <c r="M469" s="762">
        <v>0</v>
      </c>
      <c r="N469" s="1187">
        <v>0</v>
      </c>
      <c r="O469" s="1187">
        <v>0</v>
      </c>
      <c r="P469" s="762">
        <v>283386532.51999998</v>
      </c>
      <c r="Q469" s="762">
        <v>0</v>
      </c>
      <c r="R469" s="763">
        <v>288364566.99000001</v>
      </c>
      <c r="S469" s="764">
        <v>0</v>
      </c>
    </row>
    <row r="470" spans="1:19" ht="30.6" x14ac:dyDescent="0.3">
      <c r="A470" s="761" t="s">
        <v>6971</v>
      </c>
      <c r="B470" s="761" t="s">
        <v>1550</v>
      </c>
      <c r="C470" s="761" t="s">
        <v>1511</v>
      </c>
      <c r="D470" s="761" t="s">
        <v>316</v>
      </c>
      <c r="E470" s="761" t="s">
        <v>1811</v>
      </c>
      <c r="F470" s="762">
        <v>199560.56</v>
      </c>
      <c r="G470" s="762">
        <v>561</v>
      </c>
      <c r="H470" s="762">
        <v>367662.66</v>
      </c>
      <c r="I470" s="762">
        <v>1069.68</v>
      </c>
      <c r="J470" s="762">
        <v>0</v>
      </c>
      <c r="K470" s="762">
        <v>0</v>
      </c>
      <c r="L470" s="762">
        <v>0</v>
      </c>
      <c r="M470" s="762">
        <v>0</v>
      </c>
      <c r="N470" s="1187">
        <v>0</v>
      </c>
      <c r="O470" s="1187">
        <v>0</v>
      </c>
      <c r="P470" s="762">
        <v>367662.66</v>
      </c>
      <c r="Q470" s="762">
        <v>1069.68</v>
      </c>
      <c r="R470" s="763">
        <v>567223.22</v>
      </c>
      <c r="S470" s="764">
        <v>1630.86</v>
      </c>
    </row>
    <row r="471" spans="1:19" ht="30.6" x14ac:dyDescent="0.3">
      <c r="A471" s="761" t="s">
        <v>6971</v>
      </c>
      <c r="B471" s="761" t="s">
        <v>1550</v>
      </c>
      <c r="C471" s="761" t="s">
        <v>1508</v>
      </c>
      <c r="D471" s="761" t="s">
        <v>332</v>
      </c>
      <c r="E471" s="761" t="s">
        <v>1812</v>
      </c>
      <c r="F471" s="762">
        <v>2526669.8199999998</v>
      </c>
      <c r="G471" s="762">
        <v>8692</v>
      </c>
      <c r="H471" s="762">
        <v>0</v>
      </c>
      <c r="I471" s="762">
        <v>0</v>
      </c>
      <c r="J471" s="762">
        <v>143710.22</v>
      </c>
      <c r="K471" s="762">
        <v>489.66</v>
      </c>
      <c r="L471" s="762">
        <v>0</v>
      </c>
      <c r="M471" s="762">
        <v>0</v>
      </c>
      <c r="N471" s="1187">
        <v>0</v>
      </c>
      <c r="O471" s="1187">
        <v>0</v>
      </c>
      <c r="P471" s="762">
        <v>143710.22</v>
      </c>
      <c r="Q471" s="762">
        <v>489.66</v>
      </c>
      <c r="R471" s="763">
        <v>2670380.04</v>
      </c>
      <c r="S471" s="764">
        <v>9182.3700000000008</v>
      </c>
    </row>
    <row r="472" spans="1:19" ht="30.6" x14ac:dyDescent="0.3">
      <c r="A472" s="761" t="s">
        <v>6971</v>
      </c>
      <c r="B472" s="761" t="s">
        <v>1550</v>
      </c>
      <c r="C472" s="761" t="s">
        <v>1512</v>
      </c>
      <c r="D472" s="761" t="s">
        <v>334</v>
      </c>
      <c r="E472" s="761" t="s">
        <v>1813</v>
      </c>
      <c r="F472" s="762">
        <v>2016126.14</v>
      </c>
      <c r="G472" s="762">
        <v>0</v>
      </c>
      <c r="H472" s="762">
        <v>131633.96</v>
      </c>
      <c r="I472" s="762">
        <v>0</v>
      </c>
      <c r="J472" s="762">
        <v>0</v>
      </c>
      <c r="K472" s="762">
        <v>0</v>
      </c>
      <c r="L472" s="762">
        <v>0</v>
      </c>
      <c r="M472" s="762">
        <v>0</v>
      </c>
      <c r="N472" s="1187">
        <v>0</v>
      </c>
      <c r="O472" s="1187">
        <v>0</v>
      </c>
      <c r="P472" s="762">
        <v>131633.96</v>
      </c>
      <c r="Q472" s="762">
        <v>0</v>
      </c>
      <c r="R472" s="763">
        <v>2147760.1</v>
      </c>
      <c r="S472" s="764">
        <v>0</v>
      </c>
    </row>
    <row r="473" spans="1:19" ht="40.799999999999997" x14ac:dyDescent="0.3">
      <c r="A473" s="761" t="s">
        <v>6971</v>
      </c>
      <c r="B473" s="761" t="s">
        <v>1551</v>
      </c>
      <c r="C473" s="761" t="s">
        <v>1504</v>
      </c>
      <c r="D473" s="761" t="s">
        <v>268</v>
      </c>
      <c r="E473" s="761" t="s">
        <v>1814</v>
      </c>
      <c r="F473" s="762">
        <v>45649405.18</v>
      </c>
      <c r="G473" s="762">
        <v>101709</v>
      </c>
      <c r="H473" s="762">
        <v>38798456.700000003</v>
      </c>
      <c r="I473" s="762">
        <v>115062.18</v>
      </c>
      <c r="J473" s="762">
        <v>156260454.06</v>
      </c>
      <c r="K473" s="762">
        <v>377787.81</v>
      </c>
      <c r="L473" s="762">
        <v>0</v>
      </c>
      <c r="M473" s="762">
        <v>0</v>
      </c>
      <c r="N473" s="1187">
        <v>0</v>
      </c>
      <c r="O473" s="1187">
        <v>0</v>
      </c>
      <c r="P473" s="762">
        <v>195058910.75999999</v>
      </c>
      <c r="Q473" s="762">
        <v>492849.99</v>
      </c>
      <c r="R473" s="763">
        <v>240708315.94</v>
      </c>
      <c r="S473" s="764">
        <v>594559.68999999994</v>
      </c>
    </row>
    <row r="474" spans="1:19" ht="20.399999999999999" x14ac:dyDescent="0.3">
      <c r="A474" s="761" t="s">
        <v>6971</v>
      </c>
      <c r="B474" s="761" t="s">
        <v>1551</v>
      </c>
      <c r="C474" s="761" t="s">
        <v>288</v>
      </c>
      <c r="D474" s="761" t="s">
        <v>288</v>
      </c>
      <c r="E474" s="761" t="s">
        <v>1815</v>
      </c>
      <c r="F474" s="762">
        <v>14048704.51</v>
      </c>
      <c r="G474" s="762">
        <v>0</v>
      </c>
      <c r="H474" s="762">
        <v>77658863.180000007</v>
      </c>
      <c r="I474" s="762">
        <v>0</v>
      </c>
      <c r="J474" s="762">
        <v>10812.72</v>
      </c>
      <c r="K474" s="762">
        <v>0</v>
      </c>
      <c r="L474" s="762">
        <v>0</v>
      </c>
      <c r="M474" s="762">
        <v>0</v>
      </c>
      <c r="N474" s="1187">
        <v>0</v>
      </c>
      <c r="O474" s="1187">
        <v>0</v>
      </c>
      <c r="P474" s="762">
        <v>77669675.900000006</v>
      </c>
      <c r="Q474" s="762">
        <v>0</v>
      </c>
      <c r="R474" s="763">
        <v>91718380.409999996</v>
      </c>
      <c r="S474" s="764">
        <v>0</v>
      </c>
    </row>
    <row r="475" spans="1:19" ht="20.399999999999999" x14ac:dyDescent="0.3">
      <c r="A475" s="761" t="s">
        <v>6971</v>
      </c>
      <c r="B475" s="761" t="s">
        <v>1551</v>
      </c>
      <c r="C475" s="761" t="s">
        <v>3804</v>
      </c>
      <c r="D475" s="761" t="s">
        <v>3804</v>
      </c>
      <c r="E475" s="761" t="s">
        <v>3868</v>
      </c>
      <c r="F475" s="762">
        <v>0</v>
      </c>
      <c r="G475" s="762">
        <v>0</v>
      </c>
      <c r="H475" s="762">
        <v>0</v>
      </c>
      <c r="I475" s="762">
        <v>0</v>
      </c>
      <c r="J475" s="762">
        <v>0</v>
      </c>
      <c r="K475" s="762">
        <v>0</v>
      </c>
      <c r="L475" s="762">
        <v>0</v>
      </c>
      <c r="M475" s="762">
        <v>0</v>
      </c>
      <c r="N475" s="1187">
        <v>35960744</v>
      </c>
      <c r="O475" s="1187">
        <v>89900</v>
      </c>
      <c r="P475" s="762">
        <v>0</v>
      </c>
      <c r="Q475" s="762">
        <v>0</v>
      </c>
      <c r="R475" s="763">
        <v>0</v>
      </c>
      <c r="S475" s="764">
        <v>0</v>
      </c>
    </row>
    <row r="476" spans="1:19" ht="20.399999999999999" x14ac:dyDescent="0.3">
      <c r="A476" s="761" t="s">
        <v>6971</v>
      </c>
      <c r="B476" s="761" t="s">
        <v>1551</v>
      </c>
      <c r="C476" s="761" t="s">
        <v>307</v>
      </c>
      <c r="D476" s="761" t="s">
        <v>307</v>
      </c>
      <c r="E476" s="761" t="s">
        <v>1816</v>
      </c>
      <c r="F476" s="762">
        <v>6726013.5800000001</v>
      </c>
      <c r="G476" s="762">
        <v>0</v>
      </c>
      <c r="H476" s="762">
        <v>289299927.43000001</v>
      </c>
      <c r="I476" s="762">
        <v>0</v>
      </c>
      <c r="J476" s="762">
        <v>9324.67</v>
      </c>
      <c r="K476" s="762">
        <v>0</v>
      </c>
      <c r="L476" s="762">
        <v>0</v>
      </c>
      <c r="M476" s="762">
        <v>0</v>
      </c>
      <c r="N476" s="1187">
        <v>0</v>
      </c>
      <c r="O476" s="1187">
        <v>0</v>
      </c>
      <c r="P476" s="762">
        <v>289309252.10000002</v>
      </c>
      <c r="Q476" s="762">
        <v>0</v>
      </c>
      <c r="R476" s="763">
        <v>296035265.68000001</v>
      </c>
      <c r="S476" s="764">
        <v>0</v>
      </c>
    </row>
    <row r="477" spans="1:19" ht="20.399999999999999" x14ac:dyDescent="0.3">
      <c r="A477" s="761" t="s">
        <v>6971</v>
      </c>
      <c r="B477" s="761" t="s">
        <v>1551</v>
      </c>
      <c r="C477" s="761" t="s">
        <v>1511</v>
      </c>
      <c r="D477" s="761" t="s">
        <v>316</v>
      </c>
      <c r="E477" s="761" t="s">
        <v>1817</v>
      </c>
      <c r="F477" s="762">
        <v>0</v>
      </c>
      <c r="G477" s="762">
        <v>0</v>
      </c>
      <c r="H477" s="762">
        <v>206826.03</v>
      </c>
      <c r="I477" s="762">
        <v>605.16</v>
      </c>
      <c r="J477" s="762">
        <v>0</v>
      </c>
      <c r="K477" s="762">
        <v>0</v>
      </c>
      <c r="L477" s="762">
        <v>0</v>
      </c>
      <c r="M477" s="762">
        <v>0</v>
      </c>
      <c r="N477" s="1187">
        <v>0</v>
      </c>
      <c r="O477" s="1187">
        <v>0</v>
      </c>
      <c r="P477" s="762">
        <v>206826.03</v>
      </c>
      <c r="Q477" s="762">
        <v>605.16</v>
      </c>
      <c r="R477" s="763">
        <v>206826.03</v>
      </c>
      <c r="S477" s="764">
        <v>605.16</v>
      </c>
    </row>
    <row r="478" spans="1:19" ht="20.399999999999999" x14ac:dyDescent="0.3">
      <c r="A478" s="761" t="s">
        <v>6971</v>
      </c>
      <c r="B478" s="761" t="s">
        <v>1551</v>
      </c>
      <c r="C478" s="761" t="s">
        <v>1508</v>
      </c>
      <c r="D478" s="761" t="s">
        <v>332</v>
      </c>
      <c r="E478" s="761" t="s">
        <v>1818</v>
      </c>
      <c r="F478" s="762">
        <v>0</v>
      </c>
      <c r="G478" s="762">
        <v>0</v>
      </c>
      <c r="H478" s="762">
        <v>128617.29</v>
      </c>
      <c r="I478" s="762">
        <v>376.61</v>
      </c>
      <c r="J478" s="762">
        <v>2281928.64</v>
      </c>
      <c r="K478" s="762">
        <v>6679.23</v>
      </c>
      <c r="L478" s="762">
        <v>0</v>
      </c>
      <c r="M478" s="762">
        <v>0</v>
      </c>
      <c r="N478" s="1187">
        <v>0</v>
      </c>
      <c r="O478" s="1187">
        <v>0</v>
      </c>
      <c r="P478" s="762">
        <v>2410545.9300000002</v>
      </c>
      <c r="Q478" s="762">
        <v>7055.84</v>
      </c>
      <c r="R478" s="763">
        <v>2410545.9300000002</v>
      </c>
      <c r="S478" s="764">
        <v>7055.84</v>
      </c>
    </row>
    <row r="479" spans="1:19" ht="30.6" x14ac:dyDescent="0.3">
      <c r="A479" s="761" t="s">
        <v>6971</v>
      </c>
      <c r="B479" s="761" t="s">
        <v>1551</v>
      </c>
      <c r="C479" s="761" t="s">
        <v>1512</v>
      </c>
      <c r="D479" s="761" t="s">
        <v>334</v>
      </c>
      <c r="E479" s="761" t="s">
        <v>1819</v>
      </c>
      <c r="F479" s="762">
        <v>0</v>
      </c>
      <c r="G479" s="762">
        <v>0</v>
      </c>
      <c r="H479" s="762">
        <v>866480.04</v>
      </c>
      <c r="I479" s="762">
        <v>0</v>
      </c>
      <c r="J479" s="762">
        <v>0</v>
      </c>
      <c r="K479" s="762">
        <v>0</v>
      </c>
      <c r="L479" s="762">
        <v>0</v>
      </c>
      <c r="M479" s="762">
        <v>0</v>
      </c>
      <c r="N479" s="1187">
        <v>0</v>
      </c>
      <c r="O479" s="1187">
        <v>0</v>
      </c>
      <c r="P479" s="762">
        <v>866480.04</v>
      </c>
      <c r="Q479" s="762">
        <v>0</v>
      </c>
      <c r="R479" s="763">
        <v>866480.04</v>
      </c>
      <c r="S479" s="764">
        <v>0</v>
      </c>
    </row>
    <row r="480" spans="1:19" ht="40.799999999999997" x14ac:dyDescent="0.3">
      <c r="A480" s="761" t="s">
        <v>6971</v>
      </c>
      <c r="B480" s="761" t="s">
        <v>1552</v>
      </c>
      <c r="C480" s="761" t="s">
        <v>1504</v>
      </c>
      <c r="D480" s="761" t="s">
        <v>268</v>
      </c>
      <c r="E480" s="761" t="s">
        <v>1820</v>
      </c>
      <c r="F480" s="762">
        <v>4418482</v>
      </c>
      <c r="G480" s="762">
        <v>9005</v>
      </c>
      <c r="H480" s="762">
        <v>3835383</v>
      </c>
      <c r="I480" s="762">
        <v>0</v>
      </c>
      <c r="J480" s="762">
        <v>35511994</v>
      </c>
      <c r="K480" s="762">
        <v>87464</v>
      </c>
      <c r="L480" s="762">
        <v>0</v>
      </c>
      <c r="M480" s="762">
        <v>0</v>
      </c>
      <c r="N480" s="1187">
        <v>0</v>
      </c>
      <c r="O480" s="1187">
        <v>0</v>
      </c>
      <c r="P480" s="762">
        <v>39347377</v>
      </c>
      <c r="Q480" s="762">
        <v>87464</v>
      </c>
      <c r="R480" s="763">
        <v>43765859</v>
      </c>
      <c r="S480" s="764">
        <v>96469.79</v>
      </c>
    </row>
    <row r="481" spans="1:19" ht="20.399999999999999" x14ac:dyDescent="0.3">
      <c r="A481" s="761" t="s">
        <v>6971</v>
      </c>
      <c r="B481" s="761" t="s">
        <v>1552</v>
      </c>
      <c r="C481" s="761" t="s">
        <v>288</v>
      </c>
      <c r="D481" s="761" t="s">
        <v>288</v>
      </c>
      <c r="E481" s="761" t="s">
        <v>1821</v>
      </c>
      <c r="F481" s="762">
        <v>2161753.4700000002</v>
      </c>
      <c r="G481" s="762">
        <v>0</v>
      </c>
      <c r="H481" s="762">
        <v>9366058</v>
      </c>
      <c r="I481" s="762">
        <v>0</v>
      </c>
      <c r="J481" s="762">
        <v>0</v>
      </c>
      <c r="K481" s="762">
        <v>0</v>
      </c>
      <c r="L481" s="762">
        <v>0</v>
      </c>
      <c r="M481" s="762">
        <v>0</v>
      </c>
      <c r="N481" s="1187">
        <v>0</v>
      </c>
      <c r="O481" s="1187">
        <v>0</v>
      </c>
      <c r="P481" s="762">
        <v>9366058</v>
      </c>
      <c r="Q481" s="762">
        <v>0</v>
      </c>
      <c r="R481" s="763">
        <v>11527811.470000001</v>
      </c>
      <c r="S481" s="764">
        <v>0</v>
      </c>
    </row>
    <row r="482" spans="1:19" ht="20.399999999999999" x14ac:dyDescent="0.3">
      <c r="A482" s="761" t="s">
        <v>6971</v>
      </c>
      <c r="B482" s="761" t="s">
        <v>1552</v>
      </c>
      <c r="C482" s="761" t="s">
        <v>3804</v>
      </c>
      <c r="D482" s="761" t="s">
        <v>3804</v>
      </c>
      <c r="E482" s="761" t="s">
        <v>3869</v>
      </c>
      <c r="F482" s="762">
        <v>0</v>
      </c>
      <c r="G482" s="762">
        <v>0</v>
      </c>
      <c r="H482" s="762">
        <v>0</v>
      </c>
      <c r="I482" s="762">
        <v>0</v>
      </c>
      <c r="J482" s="762">
        <v>0</v>
      </c>
      <c r="K482" s="762">
        <v>0</v>
      </c>
      <c r="L482" s="762">
        <v>0</v>
      </c>
      <c r="M482" s="762">
        <v>0</v>
      </c>
      <c r="N482" s="1187">
        <v>12768084</v>
      </c>
      <c r="O482" s="1187">
        <v>24739.259765625</v>
      </c>
      <c r="P482" s="762">
        <v>0</v>
      </c>
      <c r="Q482" s="762">
        <v>0</v>
      </c>
      <c r="R482" s="763">
        <v>0</v>
      </c>
      <c r="S482" s="764">
        <v>0</v>
      </c>
    </row>
    <row r="483" spans="1:19" ht="20.399999999999999" x14ac:dyDescent="0.3">
      <c r="A483" s="761" t="s">
        <v>6971</v>
      </c>
      <c r="B483" s="761" t="s">
        <v>1552</v>
      </c>
      <c r="C483" s="761" t="s">
        <v>307</v>
      </c>
      <c r="D483" s="761" t="s">
        <v>307</v>
      </c>
      <c r="E483" s="761" t="s">
        <v>1822</v>
      </c>
      <c r="F483" s="762">
        <v>488460</v>
      </c>
      <c r="G483" s="762">
        <v>0</v>
      </c>
      <c r="H483" s="762">
        <v>29327334</v>
      </c>
      <c r="I483" s="762">
        <v>0</v>
      </c>
      <c r="J483" s="762">
        <v>3034</v>
      </c>
      <c r="K483" s="762">
        <v>0</v>
      </c>
      <c r="L483" s="762">
        <v>0</v>
      </c>
      <c r="M483" s="762">
        <v>0</v>
      </c>
      <c r="N483" s="1187">
        <v>0</v>
      </c>
      <c r="O483" s="1187">
        <v>0</v>
      </c>
      <c r="P483" s="762">
        <v>29330368</v>
      </c>
      <c r="Q483" s="762">
        <v>0</v>
      </c>
      <c r="R483" s="763">
        <v>29818828</v>
      </c>
      <c r="S483" s="764">
        <v>0</v>
      </c>
    </row>
    <row r="484" spans="1:19" ht="20.399999999999999" x14ac:dyDescent="0.3">
      <c r="A484" s="761" t="s">
        <v>6971</v>
      </c>
      <c r="B484" s="761" t="s">
        <v>1552</v>
      </c>
      <c r="C484" s="761" t="s">
        <v>1508</v>
      </c>
      <c r="D484" s="761" t="s">
        <v>332</v>
      </c>
      <c r="E484" s="761" t="s">
        <v>1823</v>
      </c>
      <c r="F484" s="762">
        <v>0</v>
      </c>
      <c r="G484" s="762">
        <v>0</v>
      </c>
      <c r="H484" s="762">
        <v>0</v>
      </c>
      <c r="I484" s="762">
        <v>0</v>
      </c>
      <c r="J484" s="762">
        <v>1095439</v>
      </c>
      <c r="K484" s="762">
        <v>3039</v>
      </c>
      <c r="L484" s="762">
        <v>0</v>
      </c>
      <c r="M484" s="762">
        <v>0</v>
      </c>
      <c r="N484" s="1187">
        <v>0</v>
      </c>
      <c r="O484" s="1187">
        <v>0</v>
      </c>
      <c r="P484" s="762">
        <v>1095439</v>
      </c>
      <c r="Q484" s="762">
        <v>3039</v>
      </c>
      <c r="R484" s="763">
        <v>1095439</v>
      </c>
      <c r="S484" s="764">
        <v>3039</v>
      </c>
    </row>
    <row r="485" spans="1:19" ht="30.6" x14ac:dyDescent="0.3">
      <c r="A485" s="761" t="s">
        <v>6971</v>
      </c>
      <c r="B485" s="761" t="s">
        <v>1552</v>
      </c>
      <c r="C485" s="761" t="s">
        <v>1512</v>
      </c>
      <c r="D485" s="761" t="s">
        <v>334</v>
      </c>
      <c r="E485" s="761" t="s">
        <v>1824</v>
      </c>
      <c r="F485" s="762">
        <v>0</v>
      </c>
      <c r="G485" s="762">
        <v>0</v>
      </c>
      <c r="H485" s="762">
        <v>0</v>
      </c>
      <c r="I485" s="762">
        <v>0</v>
      </c>
      <c r="J485" s="762">
        <v>176820</v>
      </c>
      <c r="K485" s="762">
        <v>0</v>
      </c>
      <c r="L485" s="762">
        <v>0</v>
      </c>
      <c r="M485" s="762">
        <v>0</v>
      </c>
      <c r="N485" s="1187">
        <v>0</v>
      </c>
      <c r="O485" s="1187">
        <v>0</v>
      </c>
      <c r="P485" s="762">
        <v>176820</v>
      </c>
      <c r="Q485" s="762">
        <v>0</v>
      </c>
      <c r="R485" s="763">
        <v>176820</v>
      </c>
      <c r="S485" s="764">
        <v>0</v>
      </c>
    </row>
    <row r="486" spans="1:19" ht="40.799999999999997" x14ac:dyDescent="0.3">
      <c r="A486" s="761" t="s">
        <v>6971</v>
      </c>
      <c r="B486" s="761" t="s">
        <v>1553</v>
      </c>
      <c r="C486" s="761" t="s">
        <v>1504</v>
      </c>
      <c r="D486" s="761" t="s">
        <v>268</v>
      </c>
      <c r="E486" s="761" t="s">
        <v>1825</v>
      </c>
      <c r="F486" s="762">
        <v>4351286</v>
      </c>
      <c r="G486" s="762">
        <v>12496</v>
      </c>
      <c r="H486" s="762">
        <v>2232575</v>
      </c>
      <c r="I486" s="762">
        <v>5336.97</v>
      </c>
      <c r="J486" s="762">
        <v>30420140</v>
      </c>
      <c r="K486" s="762">
        <v>91930.58</v>
      </c>
      <c r="L486" s="762">
        <v>0</v>
      </c>
      <c r="M486" s="762">
        <v>0</v>
      </c>
      <c r="N486" s="1187">
        <v>0</v>
      </c>
      <c r="O486" s="1187">
        <v>0</v>
      </c>
      <c r="P486" s="762">
        <v>32652715</v>
      </c>
      <c r="Q486" s="762">
        <v>97267.55</v>
      </c>
      <c r="R486" s="763">
        <v>37004001</v>
      </c>
      <c r="S486" s="764">
        <v>109763.6</v>
      </c>
    </row>
    <row r="487" spans="1:19" ht="20.399999999999999" x14ac:dyDescent="0.3">
      <c r="A487" s="761" t="s">
        <v>6971</v>
      </c>
      <c r="B487" s="761" t="s">
        <v>1553</v>
      </c>
      <c r="C487" s="761" t="s">
        <v>288</v>
      </c>
      <c r="D487" s="761" t="s">
        <v>288</v>
      </c>
      <c r="E487" s="761" t="s">
        <v>1826</v>
      </c>
      <c r="F487" s="762">
        <v>2441087</v>
      </c>
      <c r="G487" s="762">
        <v>0</v>
      </c>
      <c r="H487" s="762">
        <v>17259210</v>
      </c>
      <c r="I487" s="762">
        <v>0</v>
      </c>
      <c r="J487" s="762">
        <v>0</v>
      </c>
      <c r="K487" s="762">
        <v>0</v>
      </c>
      <c r="L487" s="762">
        <v>0</v>
      </c>
      <c r="M487" s="762">
        <v>0</v>
      </c>
      <c r="N487" s="1187">
        <v>0</v>
      </c>
      <c r="O487" s="1187">
        <v>0</v>
      </c>
      <c r="P487" s="762">
        <v>17259210</v>
      </c>
      <c r="Q487" s="762">
        <v>0</v>
      </c>
      <c r="R487" s="763">
        <v>19700297</v>
      </c>
      <c r="S487" s="764">
        <v>0</v>
      </c>
    </row>
    <row r="488" spans="1:19" ht="20.399999999999999" x14ac:dyDescent="0.3">
      <c r="A488" s="761" t="s">
        <v>6971</v>
      </c>
      <c r="B488" s="761" t="s">
        <v>1553</v>
      </c>
      <c r="C488" s="761" t="s">
        <v>3804</v>
      </c>
      <c r="D488" s="761" t="s">
        <v>3804</v>
      </c>
      <c r="E488" s="761" t="s">
        <v>3870</v>
      </c>
      <c r="F488" s="762">
        <v>0</v>
      </c>
      <c r="G488" s="762">
        <v>0</v>
      </c>
      <c r="H488" s="762">
        <v>0</v>
      </c>
      <c r="I488" s="762">
        <v>0</v>
      </c>
      <c r="J488" s="762">
        <v>0</v>
      </c>
      <c r="K488" s="762">
        <v>0</v>
      </c>
      <c r="L488" s="762">
        <v>0</v>
      </c>
      <c r="M488" s="762">
        <v>0</v>
      </c>
      <c r="N488" s="1187">
        <v>7983849</v>
      </c>
      <c r="O488" s="1187">
        <v>25619</v>
      </c>
      <c r="P488" s="762">
        <v>0</v>
      </c>
      <c r="Q488" s="762">
        <v>0</v>
      </c>
      <c r="R488" s="763">
        <v>0</v>
      </c>
      <c r="S488" s="764">
        <v>0</v>
      </c>
    </row>
    <row r="489" spans="1:19" ht="20.399999999999999" x14ac:dyDescent="0.3">
      <c r="A489" s="761" t="s">
        <v>6971</v>
      </c>
      <c r="B489" s="761" t="s">
        <v>1553</v>
      </c>
      <c r="C489" s="761" t="s">
        <v>307</v>
      </c>
      <c r="D489" s="761" t="s">
        <v>307</v>
      </c>
      <c r="E489" s="761" t="s">
        <v>1827</v>
      </c>
      <c r="F489" s="762">
        <v>677323</v>
      </c>
      <c r="G489" s="762">
        <v>0</v>
      </c>
      <c r="H489" s="762">
        <v>41505278</v>
      </c>
      <c r="I489" s="762">
        <v>0</v>
      </c>
      <c r="J489" s="762">
        <v>0</v>
      </c>
      <c r="K489" s="762">
        <v>0</v>
      </c>
      <c r="L489" s="762">
        <v>0</v>
      </c>
      <c r="M489" s="762">
        <v>0</v>
      </c>
      <c r="N489" s="1187">
        <v>0</v>
      </c>
      <c r="O489" s="1187">
        <v>0</v>
      </c>
      <c r="P489" s="762">
        <v>41505278</v>
      </c>
      <c r="Q489" s="762">
        <v>0</v>
      </c>
      <c r="R489" s="763">
        <v>42182601</v>
      </c>
      <c r="S489" s="764">
        <v>0</v>
      </c>
    </row>
    <row r="490" spans="1:19" ht="20.399999999999999" x14ac:dyDescent="0.3">
      <c r="A490" s="761" t="s">
        <v>6971</v>
      </c>
      <c r="B490" s="761" t="s">
        <v>1553</v>
      </c>
      <c r="C490" s="761" t="s">
        <v>1511</v>
      </c>
      <c r="D490" s="761" t="s">
        <v>316</v>
      </c>
      <c r="E490" s="761" t="s">
        <v>1828</v>
      </c>
      <c r="F490" s="762">
        <v>2644</v>
      </c>
      <c r="G490" s="762">
        <v>7</v>
      </c>
      <c r="H490" s="762">
        <v>95440</v>
      </c>
      <c r="I490" s="762">
        <v>242.66</v>
      </c>
      <c r="J490" s="762">
        <v>0</v>
      </c>
      <c r="K490" s="762">
        <v>0</v>
      </c>
      <c r="L490" s="762">
        <v>0</v>
      </c>
      <c r="M490" s="762">
        <v>0</v>
      </c>
      <c r="N490" s="1187">
        <v>0</v>
      </c>
      <c r="O490" s="1187">
        <v>0</v>
      </c>
      <c r="P490" s="762">
        <v>95440</v>
      </c>
      <c r="Q490" s="762">
        <v>242.66</v>
      </c>
      <c r="R490" s="763">
        <v>98084</v>
      </c>
      <c r="S490" s="764">
        <v>250</v>
      </c>
    </row>
    <row r="491" spans="1:19" ht="20.399999999999999" x14ac:dyDescent="0.3">
      <c r="A491" s="761" t="s">
        <v>6971</v>
      </c>
      <c r="B491" s="761" t="s">
        <v>1553</v>
      </c>
      <c r="C491" s="761" t="s">
        <v>1508</v>
      </c>
      <c r="D491" s="761" t="s">
        <v>332</v>
      </c>
      <c r="E491" s="761" t="s">
        <v>1829</v>
      </c>
      <c r="F491" s="762">
        <v>71036</v>
      </c>
      <c r="G491" s="762">
        <v>192</v>
      </c>
      <c r="H491" s="762">
        <v>151619</v>
      </c>
      <c r="I491" s="762">
        <v>362.88</v>
      </c>
      <c r="J491" s="762">
        <v>469308</v>
      </c>
      <c r="K491" s="762">
        <v>1331.3</v>
      </c>
      <c r="L491" s="762">
        <v>0</v>
      </c>
      <c r="M491" s="762">
        <v>0</v>
      </c>
      <c r="N491" s="1187">
        <v>0</v>
      </c>
      <c r="O491" s="1187">
        <v>0</v>
      </c>
      <c r="P491" s="762">
        <v>620927</v>
      </c>
      <c r="Q491" s="762">
        <v>1694.18</v>
      </c>
      <c r="R491" s="763">
        <v>691963</v>
      </c>
      <c r="S491" s="764">
        <v>1886.9</v>
      </c>
    </row>
    <row r="492" spans="1:19" ht="30.6" x14ac:dyDescent="0.3">
      <c r="A492" s="761" t="s">
        <v>6971</v>
      </c>
      <c r="B492" s="761" t="s">
        <v>1553</v>
      </c>
      <c r="C492" s="761" t="s">
        <v>1512</v>
      </c>
      <c r="D492" s="761" t="s">
        <v>334</v>
      </c>
      <c r="E492" s="761" t="s">
        <v>1830</v>
      </c>
      <c r="F492" s="762">
        <v>51612</v>
      </c>
      <c r="G492" s="762">
        <v>0</v>
      </c>
      <c r="H492" s="762">
        <v>490534</v>
      </c>
      <c r="I492" s="762">
        <v>0</v>
      </c>
      <c r="J492" s="762">
        <v>0</v>
      </c>
      <c r="K492" s="762">
        <v>0</v>
      </c>
      <c r="L492" s="762">
        <v>0</v>
      </c>
      <c r="M492" s="762">
        <v>0</v>
      </c>
      <c r="N492" s="1187">
        <v>0</v>
      </c>
      <c r="O492" s="1187">
        <v>0</v>
      </c>
      <c r="P492" s="762">
        <v>490534</v>
      </c>
      <c r="Q492" s="762">
        <v>0</v>
      </c>
      <c r="R492" s="763">
        <v>542146</v>
      </c>
      <c r="S492" s="764">
        <v>0</v>
      </c>
    </row>
    <row r="493" spans="1:19" ht="40.799999999999997" x14ac:dyDescent="0.3">
      <c r="A493" s="761" t="s">
        <v>6971</v>
      </c>
      <c r="B493" s="761" t="s">
        <v>1554</v>
      </c>
      <c r="C493" s="761" t="s">
        <v>1504</v>
      </c>
      <c r="D493" s="761" t="s">
        <v>268</v>
      </c>
      <c r="E493" s="761" t="s">
        <v>1831</v>
      </c>
      <c r="F493" s="762">
        <v>5853440</v>
      </c>
      <c r="G493" s="762">
        <v>0</v>
      </c>
      <c r="H493" s="762">
        <v>3840020</v>
      </c>
      <c r="I493" s="762">
        <v>11036.21</v>
      </c>
      <c r="J493" s="762">
        <v>18891596.719999999</v>
      </c>
      <c r="K493" s="762">
        <v>41145.089999999997</v>
      </c>
      <c r="L493" s="762">
        <v>0</v>
      </c>
      <c r="M493" s="762">
        <v>0</v>
      </c>
      <c r="N493" s="1187">
        <v>0</v>
      </c>
      <c r="O493" s="1187">
        <v>0</v>
      </c>
      <c r="P493" s="762">
        <v>22731616.719999999</v>
      </c>
      <c r="Q493" s="762">
        <v>52181.3</v>
      </c>
      <c r="R493" s="763">
        <v>28585056.719999999</v>
      </c>
      <c r="S493" s="764">
        <v>52181.3</v>
      </c>
    </row>
    <row r="494" spans="1:19" ht="20.399999999999999" x14ac:dyDescent="0.3">
      <c r="A494" s="761" t="s">
        <v>6971</v>
      </c>
      <c r="B494" s="761" t="s">
        <v>1554</v>
      </c>
      <c r="C494" s="761" t="s">
        <v>288</v>
      </c>
      <c r="D494" s="761" t="s">
        <v>288</v>
      </c>
      <c r="E494" s="761" t="s">
        <v>1832</v>
      </c>
      <c r="F494" s="762">
        <v>741645.11</v>
      </c>
      <c r="G494" s="762">
        <v>0</v>
      </c>
      <c r="H494" s="762">
        <v>13180973.16</v>
      </c>
      <c r="I494" s="762">
        <v>0</v>
      </c>
      <c r="J494" s="762">
        <v>0</v>
      </c>
      <c r="K494" s="762">
        <v>0</v>
      </c>
      <c r="L494" s="762">
        <v>0</v>
      </c>
      <c r="M494" s="762">
        <v>0</v>
      </c>
      <c r="N494" s="1187">
        <v>0</v>
      </c>
      <c r="O494" s="1187">
        <v>0</v>
      </c>
      <c r="P494" s="762">
        <v>13180973.16</v>
      </c>
      <c r="Q494" s="762">
        <v>0</v>
      </c>
      <c r="R494" s="763">
        <v>13922618.27</v>
      </c>
      <c r="S494" s="764">
        <v>0</v>
      </c>
    </row>
    <row r="495" spans="1:19" ht="20.399999999999999" x14ac:dyDescent="0.3">
      <c r="A495" s="761" t="s">
        <v>6971</v>
      </c>
      <c r="B495" s="761" t="s">
        <v>1554</v>
      </c>
      <c r="C495" s="761" t="s">
        <v>3804</v>
      </c>
      <c r="D495" s="761" t="s">
        <v>3804</v>
      </c>
      <c r="E495" s="761" t="s">
        <v>3871</v>
      </c>
      <c r="F495" s="762">
        <v>0</v>
      </c>
      <c r="G495" s="762">
        <v>0</v>
      </c>
      <c r="H495" s="762">
        <v>0</v>
      </c>
      <c r="I495" s="762">
        <v>0</v>
      </c>
      <c r="J495" s="762">
        <v>0</v>
      </c>
      <c r="K495" s="762">
        <v>0</v>
      </c>
      <c r="L495" s="762">
        <v>0</v>
      </c>
      <c r="M495" s="762">
        <v>0</v>
      </c>
      <c r="N495" s="767"/>
      <c r="O495" s="767"/>
      <c r="P495" s="762">
        <v>0</v>
      </c>
      <c r="Q495" s="762">
        <v>0</v>
      </c>
      <c r="R495" s="763">
        <v>0</v>
      </c>
      <c r="S495" s="764">
        <v>0</v>
      </c>
    </row>
    <row r="496" spans="1:19" ht="20.399999999999999" x14ac:dyDescent="0.3">
      <c r="A496" s="761" t="s">
        <v>6971</v>
      </c>
      <c r="B496" s="761" t="s">
        <v>1554</v>
      </c>
      <c r="C496" s="761" t="s">
        <v>307</v>
      </c>
      <c r="D496" s="761" t="s">
        <v>307</v>
      </c>
      <c r="E496" s="761" t="s">
        <v>1833</v>
      </c>
      <c r="F496" s="762">
        <v>188390.59</v>
      </c>
      <c r="G496" s="762">
        <v>0</v>
      </c>
      <c r="H496" s="762">
        <v>37688955.93</v>
      </c>
      <c r="I496" s="762">
        <v>0</v>
      </c>
      <c r="J496" s="762">
        <v>0</v>
      </c>
      <c r="K496" s="762">
        <v>0</v>
      </c>
      <c r="L496" s="762">
        <v>0</v>
      </c>
      <c r="M496" s="762">
        <v>0</v>
      </c>
      <c r="N496" s="1187">
        <v>0</v>
      </c>
      <c r="O496" s="1187">
        <v>0</v>
      </c>
      <c r="P496" s="762">
        <v>37688955.93</v>
      </c>
      <c r="Q496" s="762">
        <v>0</v>
      </c>
      <c r="R496" s="763">
        <v>37877346.520000003</v>
      </c>
      <c r="S496" s="764">
        <v>0</v>
      </c>
    </row>
    <row r="497" spans="1:19" ht="20.399999999999999" x14ac:dyDescent="0.3">
      <c r="A497" s="761" t="s">
        <v>6971</v>
      </c>
      <c r="B497" s="761" t="s">
        <v>1554</v>
      </c>
      <c r="C497" s="761" t="s">
        <v>1508</v>
      </c>
      <c r="D497" s="761" t="s">
        <v>332</v>
      </c>
      <c r="E497" s="761" t="s">
        <v>1834</v>
      </c>
      <c r="F497" s="762">
        <v>0</v>
      </c>
      <c r="G497" s="762">
        <v>0</v>
      </c>
      <c r="H497" s="762">
        <v>12724.8</v>
      </c>
      <c r="I497" s="762">
        <v>35.979999999999997</v>
      </c>
      <c r="J497" s="762">
        <v>139977.49</v>
      </c>
      <c r="K497" s="762">
        <v>392.2</v>
      </c>
      <c r="L497" s="762">
        <v>0</v>
      </c>
      <c r="M497" s="762">
        <v>0</v>
      </c>
      <c r="N497" s="1187">
        <v>0</v>
      </c>
      <c r="O497" s="1187">
        <v>0</v>
      </c>
      <c r="P497" s="762">
        <v>152702.29</v>
      </c>
      <c r="Q497" s="762">
        <v>428.18</v>
      </c>
      <c r="R497" s="763">
        <v>152702.29</v>
      </c>
      <c r="S497" s="764">
        <v>428.18</v>
      </c>
    </row>
    <row r="498" spans="1:19" ht="40.799999999999997" x14ac:dyDescent="0.3">
      <c r="A498" s="761" t="s">
        <v>6971</v>
      </c>
      <c r="B498" s="761" t="s">
        <v>7075</v>
      </c>
      <c r="C498" s="761" t="s">
        <v>1504</v>
      </c>
      <c r="D498" s="761" t="s">
        <v>7076</v>
      </c>
      <c r="E498" s="1067" t="s">
        <v>7077</v>
      </c>
      <c r="F498" s="762">
        <v>0</v>
      </c>
      <c r="G498" s="762">
        <v>0</v>
      </c>
      <c r="H498" s="762">
        <v>0</v>
      </c>
      <c r="I498" s="762">
        <v>0</v>
      </c>
      <c r="J498" s="762">
        <v>153008610.21000001</v>
      </c>
      <c r="K498" s="762">
        <v>482804.56</v>
      </c>
      <c r="L498" s="762">
        <v>0</v>
      </c>
      <c r="M498" s="762">
        <v>0</v>
      </c>
      <c r="N498" s="1187">
        <v>0</v>
      </c>
      <c r="O498" s="1187">
        <v>0</v>
      </c>
      <c r="P498" s="762">
        <v>153008610.21000001</v>
      </c>
      <c r="Q498" s="762">
        <v>482804.56</v>
      </c>
      <c r="R498" s="763">
        <v>153008610.21000001</v>
      </c>
      <c r="S498" s="764">
        <v>482804.56</v>
      </c>
    </row>
    <row r="499" spans="1:19" ht="40.799999999999997" x14ac:dyDescent="0.3">
      <c r="A499" s="761" t="s">
        <v>6971</v>
      </c>
      <c r="B499" s="761" t="s">
        <v>7075</v>
      </c>
      <c r="C499" s="761" t="s">
        <v>1504</v>
      </c>
      <c r="D499" s="761" t="s">
        <v>7078</v>
      </c>
      <c r="E499" s="1067" t="s">
        <v>5268</v>
      </c>
      <c r="F499" s="762">
        <v>14364563.279999999</v>
      </c>
      <c r="G499" s="762">
        <v>36183</v>
      </c>
      <c r="H499" s="762">
        <v>31463831.91</v>
      </c>
      <c r="I499" s="762">
        <v>85403.64</v>
      </c>
      <c r="J499" s="762">
        <v>221939936.80000001</v>
      </c>
      <c r="K499" s="762">
        <v>540037.55000000005</v>
      </c>
      <c r="L499" s="762">
        <v>0</v>
      </c>
      <c r="M499" s="762">
        <v>0</v>
      </c>
      <c r="N499" s="1187">
        <v>0</v>
      </c>
      <c r="O499" s="1187">
        <v>0</v>
      </c>
      <c r="P499" s="762">
        <v>253403768.71000001</v>
      </c>
      <c r="Q499" s="762">
        <v>625441.18999999994</v>
      </c>
      <c r="R499" s="763">
        <v>267768331.99000001</v>
      </c>
      <c r="S499" s="764">
        <v>661624.81999999995</v>
      </c>
    </row>
    <row r="500" spans="1:19" ht="40.799999999999997" x14ac:dyDescent="0.3">
      <c r="A500" s="761" t="s">
        <v>6971</v>
      </c>
      <c r="B500" s="761" t="s">
        <v>7075</v>
      </c>
      <c r="C500" s="761" t="s">
        <v>1504</v>
      </c>
      <c r="D500" s="761" t="s">
        <v>7079</v>
      </c>
      <c r="E500" s="1067" t="s">
        <v>7080</v>
      </c>
      <c r="F500" s="762">
        <v>14364563.279999999</v>
      </c>
      <c r="G500" s="762">
        <v>36183</v>
      </c>
      <c r="H500" s="762">
        <v>4885220.87</v>
      </c>
      <c r="I500" s="762">
        <v>12992.27</v>
      </c>
      <c r="J500" s="762">
        <v>18922434.5</v>
      </c>
      <c r="K500" s="762">
        <v>45926.07</v>
      </c>
      <c r="L500" s="762">
        <v>0</v>
      </c>
      <c r="M500" s="762">
        <v>0</v>
      </c>
      <c r="N500" s="1187">
        <v>0</v>
      </c>
      <c r="O500" s="1187">
        <v>0</v>
      </c>
      <c r="P500" s="762">
        <v>23807655.370000001</v>
      </c>
      <c r="Q500" s="762">
        <v>58918.34</v>
      </c>
      <c r="R500" s="763">
        <v>38172218.649999999</v>
      </c>
      <c r="S500" s="764">
        <v>95101.97</v>
      </c>
    </row>
    <row r="501" spans="1:19" ht="30.6" x14ac:dyDescent="0.3">
      <c r="A501" s="761" t="s">
        <v>6971</v>
      </c>
      <c r="B501" s="761" t="s">
        <v>7075</v>
      </c>
      <c r="C501" s="761" t="s">
        <v>288</v>
      </c>
      <c r="D501" s="761" t="s">
        <v>7081</v>
      </c>
      <c r="E501" s="1067" t="s">
        <v>5266</v>
      </c>
      <c r="F501" s="762">
        <v>4030365.88</v>
      </c>
      <c r="G501" s="762">
        <v>0</v>
      </c>
      <c r="H501" s="762">
        <v>18937199.75</v>
      </c>
      <c r="I501" s="762">
        <v>0</v>
      </c>
      <c r="J501" s="762">
        <v>0</v>
      </c>
      <c r="K501" s="762">
        <v>0</v>
      </c>
      <c r="L501" s="762">
        <v>0</v>
      </c>
      <c r="M501" s="762">
        <v>0</v>
      </c>
      <c r="N501" s="1187">
        <v>0</v>
      </c>
      <c r="O501" s="1187">
        <v>0</v>
      </c>
      <c r="P501" s="762">
        <v>18937199.75</v>
      </c>
      <c r="Q501" s="762">
        <v>0</v>
      </c>
      <c r="R501" s="763">
        <v>22967565.629999999</v>
      </c>
      <c r="S501" s="764">
        <v>0</v>
      </c>
    </row>
    <row r="502" spans="1:19" ht="30.6" x14ac:dyDescent="0.3">
      <c r="A502" s="761" t="s">
        <v>6971</v>
      </c>
      <c r="B502" s="761" t="s">
        <v>7075</v>
      </c>
      <c r="C502" s="761" t="s">
        <v>288</v>
      </c>
      <c r="D502" s="761" t="s">
        <v>7082</v>
      </c>
      <c r="E502" s="1067" t="s">
        <v>5269</v>
      </c>
      <c r="F502" s="762">
        <v>15389211.66</v>
      </c>
      <c r="G502" s="762">
        <v>0</v>
      </c>
      <c r="H502" s="762">
        <v>121095215.09999999</v>
      </c>
      <c r="I502" s="762">
        <v>0</v>
      </c>
      <c r="J502" s="762">
        <v>0</v>
      </c>
      <c r="K502" s="762">
        <v>0</v>
      </c>
      <c r="L502" s="762">
        <v>0</v>
      </c>
      <c r="M502" s="762">
        <v>0</v>
      </c>
      <c r="N502" s="1187">
        <v>0</v>
      </c>
      <c r="O502" s="1187">
        <v>0</v>
      </c>
      <c r="P502" s="762">
        <v>121095215.09999999</v>
      </c>
      <c r="Q502" s="762">
        <v>0</v>
      </c>
      <c r="R502" s="763">
        <v>136484426.75999999</v>
      </c>
      <c r="S502" s="764">
        <v>0</v>
      </c>
    </row>
    <row r="503" spans="1:19" ht="20.399999999999999" x14ac:dyDescent="0.3">
      <c r="A503" s="761" t="s">
        <v>6971</v>
      </c>
      <c r="B503" s="761" t="s">
        <v>7075</v>
      </c>
      <c r="C503" s="761" t="s">
        <v>3804</v>
      </c>
      <c r="D503" s="761" t="s">
        <v>3804</v>
      </c>
      <c r="E503" s="761" t="s">
        <v>7083</v>
      </c>
      <c r="F503" s="762">
        <v>0</v>
      </c>
      <c r="G503" s="762">
        <v>0</v>
      </c>
      <c r="H503" s="762">
        <v>0</v>
      </c>
      <c r="I503" s="762">
        <v>0</v>
      </c>
      <c r="J503" s="762">
        <v>0</v>
      </c>
      <c r="K503" s="762">
        <v>0</v>
      </c>
      <c r="L503" s="762">
        <v>0</v>
      </c>
      <c r="M503" s="762">
        <v>0</v>
      </c>
      <c r="N503" s="1187">
        <v>127674312</v>
      </c>
      <c r="O503" s="1187">
        <v>340435.96875</v>
      </c>
      <c r="P503" s="762">
        <v>0</v>
      </c>
      <c r="Q503" s="762">
        <v>0</v>
      </c>
      <c r="R503" s="763">
        <v>0</v>
      </c>
      <c r="S503" s="764">
        <v>0</v>
      </c>
    </row>
    <row r="504" spans="1:19" ht="20.399999999999999" x14ac:dyDescent="0.3">
      <c r="A504" s="761" t="s">
        <v>6971</v>
      </c>
      <c r="B504" s="761" t="s">
        <v>7075</v>
      </c>
      <c r="C504" s="761" t="s">
        <v>307</v>
      </c>
      <c r="D504" s="761" t="s">
        <v>7084</v>
      </c>
      <c r="E504" s="1067" t="s">
        <v>5267</v>
      </c>
      <c r="F504" s="762">
        <v>315386.33</v>
      </c>
      <c r="G504" s="762">
        <v>0</v>
      </c>
      <c r="H504" s="762">
        <v>36363104.469999999</v>
      </c>
      <c r="I504" s="762">
        <v>0</v>
      </c>
      <c r="J504" s="762">
        <v>0</v>
      </c>
      <c r="K504" s="762">
        <v>0</v>
      </c>
      <c r="L504" s="762">
        <v>0</v>
      </c>
      <c r="M504" s="762">
        <v>0</v>
      </c>
      <c r="N504" s="1187">
        <v>0</v>
      </c>
      <c r="O504" s="1187">
        <v>0</v>
      </c>
      <c r="P504" s="762">
        <v>36363104.469999999</v>
      </c>
      <c r="Q504" s="762">
        <v>0</v>
      </c>
      <c r="R504" s="763">
        <v>36678490.799999997</v>
      </c>
      <c r="S504" s="764">
        <v>0</v>
      </c>
    </row>
    <row r="505" spans="1:19" ht="20.399999999999999" x14ac:dyDescent="0.3">
      <c r="A505" s="761" t="s">
        <v>6971</v>
      </c>
      <c r="B505" s="761" t="s">
        <v>7075</v>
      </c>
      <c r="C505" s="761" t="s">
        <v>307</v>
      </c>
      <c r="D505" s="761" t="s">
        <v>7085</v>
      </c>
      <c r="E505" s="1067" t="s">
        <v>5270</v>
      </c>
      <c r="F505" s="762">
        <v>2938807.94</v>
      </c>
      <c r="G505" s="762">
        <v>0</v>
      </c>
      <c r="H505" s="762">
        <v>321560289</v>
      </c>
      <c r="I505" s="762">
        <v>0</v>
      </c>
      <c r="J505" s="762">
        <v>0</v>
      </c>
      <c r="K505" s="762">
        <v>0</v>
      </c>
      <c r="L505" s="762">
        <v>0</v>
      </c>
      <c r="M505" s="762">
        <v>0</v>
      </c>
      <c r="N505" s="1187">
        <v>0</v>
      </c>
      <c r="O505" s="1187">
        <v>0</v>
      </c>
      <c r="P505" s="762">
        <v>321560289</v>
      </c>
      <c r="Q505" s="762">
        <v>0</v>
      </c>
      <c r="R505" s="763">
        <v>324499096.94</v>
      </c>
      <c r="S505" s="764">
        <v>0</v>
      </c>
    </row>
    <row r="506" spans="1:19" ht="20.399999999999999" x14ac:dyDescent="0.3">
      <c r="A506" s="761" t="s">
        <v>6971</v>
      </c>
      <c r="B506" s="761" t="s">
        <v>7075</v>
      </c>
      <c r="C506" s="761" t="s">
        <v>1511</v>
      </c>
      <c r="D506" s="761" t="s">
        <v>7086</v>
      </c>
      <c r="E506" s="1067" t="s">
        <v>5271</v>
      </c>
      <c r="F506" s="762">
        <v>0</v>
      </c>
      <c r="G506" s="762">
        <v>0</v>
      </c>
      <c r="H506" s="762">
        <v>0</v>
      </c>
      <c r="I506" s="762">
        <v>0</v>
      </c>
      <c r="J506" s="762">
        <v>112347</v>
      </c>
      <c r="K506" s="762">
        <v>335</v>
      </c>
      <c r="L506" s="762">
        <v>0</v>
      </c>
      <c r="M506" s="762">
        <v>0</v>
      </c>
      <c r="N506" s="1187">
        <v>0</v>
      </c>
      <c r="O506" s="1187">
        <v>0</v>
      </c>
      <c r="P506" s="762">
        <v>112347</v>
      </c>
      <c r="Q506" s="762">
        <v>335</v>
      </c>
      <c r="R506" s="763">
        <v>112347</v>
      </c>
      <c r="S506" s="764">
        <v>335</v>
      </c>
    </row>
    <row r="507" spans="1:19" ht="20.399999999999999" x14ac:dyDescent="0.3">
      <c r="A507" s="761" t="s">
        <v>6971</v>
      </c>
      <c r="B507" s="761" t="s">
        <v>7075</v>
      </c>
      <c r="C507" s="761" t="s">
        <v>1508</v>
      </c>
      <c r="D507" s="761" t="s">
        <v>7087</v>
      </c>
      <c r="E507" s="1067" t="s">
        <v>7088</v>
      </c>
      <c r="F507" s="762">
        <v>0</v>
      </c>
      <c r="G507" s="762">
        <v>0</v>
      </c>
      <c r="H507" s="762">
        <v>65958.19</v>
      </c>
      <c r="I507" s="762">
        <v>187.43</v>
      </c>
      <c r="J507" s="762">
        <v>6563004.46</v>
      </c>
      <c r="K507" s="762">
        <v>18567.849999999999</v>
      </c>
      <c r="L507" s="762">
        <v>0</v>
      </c>
      <c r="M507" s="762">
        <v>0</v>
      </c>
      <c r="N507" s="1187">
        <v>0</v>
      </c>
      <c r="O507" s="1187">
        <v>0</v>
      </c>
      <c r="P507" s="762">
        <v>6628962.6500000004</v>
      </c>
      <c r="Q507" s="762">
        <v>18755.28</v>
      </c>
      <c r="R507" s="763">
        <v>6628962.6500000004</v>
      </c>
      <c r="S507" s="764">
        <v>18755.28</v>
      </c>
    </row>
    <row r="508" spans="1:19" ht="30.6" x14ac:dyDescent="0.3">
      <c r="A508" s="761" t="s">
        <v>6971</v>
      </c>
      <c r="B508" s="761" t="s">
        <v>7075</v>
      </c>
      <c r="C508" s="761" t="s">
        <v>1508</v>
      </c>
      <c r="D508" s="761" t="s">
        <v>7089</v>
      </c>
      <c r="E508" s="1067" t="s">
        <v>7090</v>
      </c>
      <c r="F508" s="762">
        <v>375386.35</v>
      </c>
      <c r="G508" s="762">
        <v>1164</v>
      </c>
      <c r="H508" s="762">
        <v>0</v>
      </c>
      <c r="I508" s="762">
        <v>0</v>
      </c>
      <c r="J508" s="762">
        <v>0</v>
      </c>
      <c r="K508" s="762">
        <v>0</v>
      </c>
      <c r="L508" s="762">
        <v>0</v>
      </c>
      <c r="M508" s="762">
        <v>0</v>
      </c>
      <c r="N508" s="1187">
        <v>0</v>
      </c>
      <c r="O508" s="1187">
        <v>0</v>
      </c>
      <c r="P508" s="762">
        <v>0</v>
      </c>
      <c r="Q508" s="762">
        <v>0</v>
      </c>
      <c r="R508" s="763">
        <v>375386.35</v>
      </c>
      <c r="S508" s="764">
        <v>1164</v>
      </c>
    </row>
    <row r="509" spans="1:19" ht="30.6" x14ac:dyDescent="0.3">
      <c r="A509" s="761" t="s">
        <v>6971</v>
      </c>
      <c r="B509" s="761" t="s">
        <v>7075</v>
      </c>
      <c r="C509" s="761" t="s">
        <v>1512</v>
      </c>
      <c r="D509" s="761" t="s">
        <v>7091</v>
      </c>
      <c r="E509" s="1067" t="s">
        <v>5272</v>
      </c>
      <c r="F509" s="762">
        <v>287209.96000000002</v>
      </c>
      <c r="G509" s="762">
        <v>0</v>
      </c>
      <c r="H509" s="762">
        <v>1714438.46</v>
      </c>
      <c r="I509" s="762">
        <v>0</v>
      </c>
      <c r="J509" s="762">
        <v>0</v>
      </c>
      <c r="K509" s="762">
        <v>0</v>
      </c>
      <c r="L509" s="762">
        <v>0</v>
      </c>
      <c r="M509" s="762">
        <v>0</v>
      </c>
      <c r="N509" s="1187">
        <v>0</v>
      </c>
      <c r="O509" s="1187">
        <v>0</v>
      </c>
      <c r="P509" s="762">
        <v>1714438.46</v>
      </c>
      <c r="Q509" s="762">
        <v>0</v>
      </c>
      <c r="R509" s="763">
        <v>2001648.42</v>
      </c>
      <c r="S509" s="764">
        <v>0</v>
      </c>
    </row>
    <row r="510" spans="1:19" ht="30.6" x14ac:dyDescent="0.3">
      <c r="A510" s="761" t="s">
        <v>6971</v>
      </c>
      <c r="B510" s="761" t="s">
        <v>7075</v>
      </c>
      <c r="C510" s="761" t="s">
        <v>1512</v>
      </c>
      <c r="D510" s="761" t="s">
        <v>7092</v>
      </c>
      <c r="E510" s="1067" t="s">
        <v>7093</v>
      </c>
      <c r="F510" s="762">
        <v>18291.740000000002</v>
      </c>
      <c r="G510" s="762">
        <v>0</v>
      </c>
      <c r="H510" s="762">
        <v>147166.10999999999</v>
      </c>
      <c r="I510" s="762">
        <v>0</v>
      </c>
      <c r="J510" s="762">
        <v>0</v>
      </c>
      <c r="K510" s="762">
        <v>0</v>
      </c>
      <c r="L510" s="762">
        <v>0</v>
      </c>
      <c r="M510" s="762">
        <v>0</v>
      </c>
      <c r="N510" s="1187">
        <v>0</v>
      </c>
      <c r="O510" s="1187">
        <v>0</v>
      </c>
      <c r="P510" s="762">
        <v>147166.10999999999</v>
      </c>
      <c r="Q510" s="762">
        <v>0</v>
      </c>
      <c r="R510" s="763">
        <v>165457.85</v>
      </c>
      <c r="S510" s="764">
        <v>0</v>
      </c>
    </row>
    <row r="511" spans="1:19" ht="40.799999999999997" x14ac:dyDescent="0.3">
      <c r="A511" s="761" t="s">
        <v>6971</v>
      </c>
      <c r="B511" s="761" t="s">
        <v>1555</v>
      </c>
      <c r="C511" s="761" t="s">
        <v>1504</v>
      </c>
      <c r="D511" s="761" t="s">
        <v>269</v>
      </c>
      <c r="E511" s="761" t="s">
        <v>1835</v>
      </c>
      <c r="F511" s="762">
        <v>8305960.1299999999</v>
      </c>
      <c r="G511" s="762">
        <v>26486</v>
      </c>
      <c r="H511" s="762">
        <v>5925341.4800000004</v>
      </c>
      <c r="I511" s="762">
        <v>16082.09</v>
      </c>
      <c r="J511" s="762">
        <v>31158975.23</v>
      </c>
      <c r="K511" s="762">
        <v>83877.48</v>
      </c>
      <c r="L511" s="762">
        <v>0</v>
      </c>
      <c r="M511" s="762">
        <v>0</v>
      </c>
      <c r="N511" s="1187">
        <v>0</v>
      </c>
      <c r="O511" s="1187">
        <v>0</v>
      </c>
      <c r="P511" s="762">
        <v>37084316.710000001</v>
      </c>
      <c r="Q511" s="762">
        <v>99959.57</v>
      </c>
      <c r="R511" s="763">
        <v>45390276.840000004</v>
      </c>
      <c r="S511" s="764">
        <v>126446.23</v>
      </c>
    </row>
    <row r="512" spans="1:19" ht="40.799999999999997" x14ac:dyDescent="0.3">
      <c r="A512" s="761" t="s">
        <v>6971</v>
      </c>
      <c r="B512" s="761" t="s">
        <v>1555</v>
      </c>
      <c r="C512" s="761" t="s">
        <v>1504</v>
      </c>
      <c r="D512" s="761" t="s">
        <v>1556</v>
      </c>
      <c r="E512" s="761" t="s">
        <v>1836</v>
      </c>
      <c r="F512" s="762">
        <v>9149211.2300000004</v>
      </c>
      <c r="G512" s="762">
        <v>28358</v>
      </c>
      <c r="H512" s="762">
        <v>0</v>
      </c>
      <c r="I512" s="762">
        <v>0</v>
      </c>
      <c r="J512" s="762">
        <v>18483041.449999999</v>
      </c>
      <c r="K512" s="762">
        <v>61562.38</v>
      </c>
      <c r="L512" s="762">
        <v>0</v>
      </c>
      <c r="M512" s="762">
        <v>0</v>
      </c>
      <c r="N512" s="1187">
        <v>0</v>
      </c>
      <c r="O512" s="1187">
        <v>0</v>
      </c>
      <c r="P512" s="762">
        <v>18483041.449999999</v>
      </c>
      <c r="Q512" s="762">
        <v>61562.38</v>
      </c>
      <c r="R512" s="763">
        <v>27632252.68</v>
      </c>
      <c r="S512" s="764">
        <v>89920.91</v>
      </c>
    </row>
    <row r="513" spans="1:19" ht="40.799999999999997" x14ac:dyDescent="0.3">
      <c r="A513" s="761" t="s">
        <v>6971</v>
      </c>
      <c r="B513" s="761" t="s">
        <v>1555</v>
      </c>
      <c r="C513" s="761" t="s">
        <v>1504</v>
      </c>
      <c r="D513" s="761" t="s">
        <v>279</v>
      </c>
      <c r="E513" s="761" t="s">
        <v>1837</v>
      </c>
      <c r="F513" s="762">
        <v>9070151.6400000006</v>
      </c>
      <c r="G513" s="762">
        <v>17777</v>
      </c>
      <c r="H513" s="762">
        <v>0</v>
      </c>
      <c r="I513" s="762">
        <v>0</v>
      </c>
      <c r="J513" s="762">
        <v>18540044.280000001</v>
      </c>
      <c r="K513" s="762">
        <v>40957.42</v>
      </c>
      <c r="L513" s="762">
        <v>0</v>
      </c>
      <c r="M513" s="762">
        <v>0</v>
      </c>
      <c r="N513" s="1187">
        <v>0</v>
      </c>
      <c r="O513" s="1187">
        <v>0</v>
      </c>
      <c r="P513" s="762">
        <v>18540044.280000001</v>
      </c>
      <c r="Q513" s="762">
        <v>40957.42</v>
      </c>
      <c r="R513" s="763">
        <v>27610195.920000002</v>
      </c>
      <c r="S513" s="764">
        <v>58735.14</v>
      </c>
    </row>
    <row r="514" spans="1:19" ht="20.399999999999999" x14ac:dyDescent="0.3">
      <c r="A514" s="761" t="s">
        <v>6971</v>
      </c>
      <c r="B514" s="761" t="s">
        <v>1555</v>
      </c>
      <c r="C514" s="761" t="s">
        <v>288</v>
      </c>
      <c r="D514" s="761" t="s">
        <v>288</v>
      </c>
      <c r="E514" s="761" t="s">
        <v>1838</v>
      </c>
      <c r="F514" s="762">
        <v>3541008.94</v>
      </c>
      <c r="G514" s="762">
        <v>0</v>
      </c>
      <c r="H514" s="762">
        <v>17381560.07</v>
      </c>
      <c r="I514" s="762">
        <v>0</v>
      </c>
      <c r="J514" s="762">
        <v>0</v>
      </c>
      <c r="K514" s="762">
        <v>0</v>
      </c>
      <c r="L514" s="762">
        <v>0</v>
      </c>
      <c r="M514" s="762">
        <v>0</v>
      </c>
      <c r="N514" s="1187">
        <v>0</v>
      </c>
      <c r="O514" s="1187">
        <v>0</v>
      </c>
      <c r="P514" s="762">
        <v>17381560.07</v>
      </c>
      <c r="Q514" s="762">
        <v>0</v>
      </c>
      <c r="R514" s="763">
        <v>20922569.010000002</v>
      </c>
      <c r="S514" s="764">
        <v>0</v>
      </c>
    </row>
    <row r="515" spans="1:19" ht="20.399999999999999" x14ac:dyDescent="0.3">
      <c r="A515" s="761" t="s">
        <v>6971</v>
      </c>
      <c r="B515" s="761" t="s">
        <v>1555</v>
      </c>
      <c r="C515" s="761" t="s">
        <v>3804</v>
      </c>
      <c r="D515" s="761" t="s">
        <v>3804</v>
      </c>
      <c r="E515" s="761" t="s">
        <v>3872</v>
      </c>
      <c r="F515" s="762">
        <v>0</v>
      </c>
      <c r="G515" s="762">
        <v>0</v>
      </c>
      <c r="H515" s="762">
        <v>0</v>
      </c>
      <c r="I515" s="762">
        <v>0</v>
      </c>
      <c r="J515" s="762">
        <v>0</v>
      </c>
      <c r="K515" s="762">
        <v>0</v>
      </c>
      <c r="L515" s="762">
        <v>0</v>
      </c>
      <c r="M515" s="762">
        <v>0</v>
      </c>
      <c r="N515" s="1187">
        <v>42367788</v>
      </c>
      <c r="O515" s="1187">
        <v>89627.2109375</v>
      </c>
      <c r="P515" s="762">
        <v>0</v>
      </c>
      <c r="Q515" s="762">
        <v>0</v>
      </c>
      <c r="R515" s="763">
        <v>0</v>
      </c>
      <c r="S515" s="764">
        <v>0</v>
      </c>
    </row>
    <row r="516" spans="1:19" ht="20.399999999999999" x14ac:dyDescent="0.3">
      <c r="A516" s="761" t="s">
        <v>6971</v>
      </c>
      <c r="B516" s="761" t="s">
        <v>1555</v>
      </c>
      <c r="C516" s="761" t="s">
        <v>307</v>
      </c>
      <c r="D516" s="761" t="s">
        <v>307</v>
      </c>
      <c r="E516" s="761" t="s">
        <v>1839</v>
      </c>
      <c r="F516" s="762">
        <v>1184378.81</v>
      </c>
      <c r="G516" s="762">
        <v>0</v>
      </c>
      <c r="H516" s="762">
        <v>50530468.560000002</v>
      </c>
      <c r="I516" s="762">
        <v>0</v>
      </c>
      <c r="J516" s="762">
        <v>0</v>
      </c>
      <c r="K516" s="762">
        <v>0</v>
      </c>
      <c r="L516" s="762">
        <v>0</v>
      </c>
      <c r="M516" s="762">
        <v>0</v>
      </c>
      <c r="N516" s="1187">
        <v>0</v>
      </c>
      <c r="O516" s="1187">
        <v>0</v>
      </c>
      <c r="P516" s="762">
        <v>50530468.560000002</v>
      </c>
      <c r="Q516" s="762">
        <v>0</v>
      </c>
      <c r="R516" s="763">
        <v>51714847.369999997</v>
      </c>
      <c r="S516" s="764">
        <v>0</v>
      </c>
    </row>
    <row r="517" spans="1:19" ht="20.399999999999999" x14ac:dyDescent="0.3">
      <c r="A517" s="761" t="s">
        <v>6971</v>
      </c>
      <c r="B517" s="761" t="s">
        <v>1555</v>
      </c>
      <c r="C517" s="761" t="s">
        <v>1511</v>
      </c>
      <c r="D517" s="761" t="s">
        <v>316</v>
      </c>
      <c r="E517" s="761" t="s">
        <v>1840</v>
      </c>
      <c r="F517" s="762">
        <v>0</v>
      </c>
      <c r="G517" s="762">
        <v>0</v>
      </c>
      <c r="H517" s="762">
        <v>22242.73</v>
      </c>
      <c r="I517" s="762">
        <v>4</v>
      </c>
      <c r="J517" s="762">
        <v>0</v>
      </c>
      <c r="K517" s="762">
        <v>0</v>
      </c>
      <c r="L517" s="762">
        <v>0</v>
      </c>
      <c r="M517" s="762">
        <v>0</v>
      </c>
      <c r="N517" s="1187">
        <v>0</v>
      </c>
      <c r="O517" s="1187">
        <v>0</v>
      </c>
      <c r="P517" s="762">
        <v>22242.73</v>
      </c>
      <c r="Q517" s="762">
        <v>4</v>
      </c>
      <c r="R517" s="763">
        <v>22242.73</v>
      </c>
      <c r="S517" s="764">
        <v>4</v>
      </c>
    </row>
    <row r="518" spans="1:19" ht="20.399999999999999" x14ac:dyDescent="0.3">
      <c r="A518" s="761" t="s">
        <v>6971</v>
      </c>
      <c r="B518" s="761" t="s">
        <v>1555</v>
      </c>
      <c r="C518" s="761" t="s">
        <v>1508</v>
      </c>
      <c r="D518" s="761" t="s">
        <v>332</v>
      </c>
      <c r="E518" s="761" t="s">
        <v>1841</v>
      </c>
      <c r="F518" s="762">
        <v>0</v>
      </c>
      <c r="G518" s="762">
        <v>0</v>
      </c>
      <c r="H518" s="762">
        <v>0</v>
      </c>
      <c r="I518" s="762">
        <v>0</v>
      </c>
      <c r="J518" s="762">
        <v>543378.37</v>
      </c>
      <c r="K518" s="762">
        <v>1491.57</v>
      </c>
      <c r="L518" s="762">
        <v>0</v>
      </c>
      <c r="M518" s="762">
        <v>0</v>
      </c>
      <c r="N518" s="1187">
        <v>0</v>
      </c>
      <c r="O518" s="1187">
        <v>0</v>
      </c>
      <c r="P518" s="762">
        <v>543378.37</v>
      </c>
      <c r="Q518" s="762">
        <v>1491.57</v>
      </c>
      <c r="R518" s="763">
        <v>543378.37</v>
      </c>
      <c r="S518" s="764">
        <v>1491.57</v>
      </c>
    </row>
    <row r="519" spans="1:19" ht="30.6" x14ac:dyDescent="0.3">
      <c r="A519" s="761" t="s">
        <v>6971</v>
      </c>
      <c r="B519" s="761" t="s">
        <v>1555</v>
      </c>
      <c r="C519" s="761" t="s">
        <v>1512</v>
      </c>
      <c r="D519" s="761" t="s">
        <v>334</v>
      </c>
      <c r="E519" s="761" t="s">
        <v>1842</v>
      </c>
      <c r="F519" s="762">
        <v>17907.68</v>
      </c>
      <c r="G519" s="762">
        <v>0</v>
      </c>
      <c r="H519" s="762">
        <v>321089.88</v>
      </c>
      <c r="I519" s="762">
        <v>0</v>
      </c>
      <c r="J519" s="762">
        <v>0</v>
      </c>
      <c r="K519" s="762">
        <v>0</v>
      </c>
      <c r="L519" s="762">
        <v>0</v>
      </c>
      <c r="M519" s="762">
        <v>0</v>
      </c>
      <c r="N519" s="1187">
        <v>0</v>
      </c>
      <c r="O519" s="1187">
        <v>0</v>
      </c>
      <c r="P519" s="762">
        <v>321089.88</v>
      </c>
      <c r="Q519" s="762">
        <v>0</v>
      </c>
      <c r="R519" s="763">
        <v>338997.56</v>
      </c>
      <c r="S519" s="764">
        <v>0</v>
      </c>
    </row>
    <row r="520" spans="1:19" ht="40.799999999999997" x14ac:dyDescent="0.3">
      <c r="A520" s="761" t="s">
        <v>6971</v>
      </c>
      <c r="B520" s="761" t="s">
        <v>1557</v>
      </c>
      <c r="C520" s="761" t="s">
        <v>1504</v>
      </c>
      <c r="D520" s="761" t="s">
        <v>248</v>
      </c>
      <c r="E520" s="761" t="s">
        <v>1843</v>
      </c>
      <c r="F520" s="762">
        <v>697581935.22000003</v>
      </c>
      <c r="G520" s="762">
        <v>1432518</v>
      </c>
      <c r="H520" s="762">
        <v>151925205.16</v>
      </c>
      <c r="I520" s="762">
        <v>318489.07157814002</v>
      </c>
      <c r="J520" s="762">
        <v>3742104503.9299998</v>
      </c>
      <c r="K520" s="762">
        <v>8385970.4459260004</v>
      </c>
      <c r="L520" s="762">
        <v>434657.59375</v>
      </c>
      <c r="M520" s="762">
        <v>14775.5498046875</v>
      </c>
      <c r="N520" s="1187">
        <v>0</v>
      </c>
      <c r="O520" s="1187">
        <v>0</v>
      </c>
      <c r="P520" s="762">
        <v>3894464366.6754498</v>
      </c>
      <c r="Q520" s="762">
        <v>8719235.0672881398</v>
      </c>
      <c r="R520" s="763">
        <v>4592046301.8954496</v>
      </c>
      <c r="S520" s="764">
        <v>10151753.1210991</v>
      </c>
    </row>
    <row r="521" spans="1:19" ht="40.799999999999997" x14ac:dyDescent="0.3">
      <c r="A521" s="761" t="s">
        <v>6971</v>
      </c>
      <c r="B521" s="761" t="s">
        <v>1557</v>
      </c>
      <c r="C521" s="761" t="s">
        <v>1504</v>
      </c>
      <c r="D521" s="761" t="s">
        <v>272</v>
      </c>
      <c r="E521" s="761" t="s">
        <v>1844</v>
      </c>
      <c r="F521" s="762">
        <v>976918008.46000004</v>
      </c>
      <c r="G521" s="762">
        <v>2754085</v>
      </c>
      <c r="H521" s="762">
        <v>2930885319.4959998</v>
      </c>
      <c r="I521" s="762">
        <v>6960914.6710000001</v>
      </c>
      <c r="J521" s="762">
        <v>5772605449.4399996</v>
      </c>
      <c r="K521" s="762">
        <v>14770735.873</v>
      </c>
      <c r="L521" s="762">
        <v>51852564</v>
      </c>
      <c r="M521" s="762">
        <v>103742.1484375</v>
      </c>
      <c r="N521" s="1187">
        <v>0</v>
      </c>
      <c r="O521" s="1187">
        <v>0</v>
      </c>
      <c r="P521" s="762">
        <v>8755343331.2940006</v>
      </c>
      <c r="Q521" s="762">
        <v>21835392.690000001</v>
      </c>
      <c r="R521" s="763">
        <v>9732261339.7539997</v>
      </c>
      <c r="S521" s="764">
        <v>24589478.359999999</v>
      </c>
    </row>
    <row r="522" spans="1:19" ht="20.399999999999999" x14ac:dyDescent="0.3">
      <c r="A522" s="761" t="s">
        <v>6971</v>
      </c>
      <c r="B522" s="761" t="s">
        <v>1557</v>
      </c>
      <c r="C522" s="761" t="s">
        <v>288</v>
      </c>
      <c r="D522" s="761" t="s">
        <v>288</v>
      </c>
      <c r="E522" s="761" t="s">
        <v>1845</v>
      </c>
      <c r="F522" s="762">
        <v>337954184.73900002</v>
      </c>
      <c r="G522" s="762">
        <v>0</v>
      </c>
      <c r="H522" s="762">
        <v>2013502097.1459999</v>
      </c>
      <c r="I522" s="762">
        <v>0</v>
      </c>
      <c r="J522" s="762">
        <v>6976051.9579999996</v>
      </c>
      <c r="K522" s="762">
        <v>0</v>
      </c>
      <c r="L522" s="762">
        <v>0</v>
      </c>
      <c r="M522" s="762">
        <v>0</v>
      </c>
      <c r="N522" s="1187">
        <v>0</v>
      </c>
      <c r="O522" s="1187">
        <v>0</v>
      </c>
      <c r="P522" s="762">
        <v>2020478149.1040001</v>
      </c>
      <c r="Q522" s="762">
        <v>0</v>
      </c>
      <c r="R522" s="763">
        <v>2358432333.8429999</v>
      </c>
      <c r="S522" s="764">
        <v>0</v>
      </c>
    </row>
    <row r="523" spans="1:19" ht="20.399999999999999" x14ac:dyDescent="0.3">
      <c r="A523" s="761" t="s">
        <v>6971</v>
      </c>
      <c r="B523" s="761" t="s">
        <v>1557</v>
      </c>
      <c r="C523" s="761" t="s">
        <v>1510</v>
      </c>
      <c r="D523" s="761" t="s">
        <v>297</v>
      </c>
      <c r="E523" s="761" t="s">
        <v>1846</v>
      </c>
      <c r="F523" s="762">
        <v>288931693.85229999</v>
      </c>
      <c r="G523" s="762">
        <v>540328</v>
      </c>
      <c r="H523" s="762">
        <v>0</v>
      </c>
      <c r="I523" s="762">
        <v>0</v>
      </c>
      <c r="J523" s="762">
        <v>1622261993.46</v>
      </c>
      <c r="K523" s="762">
        <v>3559671.503209</v>
      </c>
      <c r="L523" s="762">
        <v>245239200</v>
      </c>
      <c r="M523" s="762">
        <v>468968.4375</v>
      </c>
      <c r="N523" s="1187">
        <v>0</v>
      </c>
      <c r="O523" s="1187">
        <v>0</v>
      </c>
      <c r="P523" s="762">
        <v>1867501187.5195</v>
      </c>
      <c r="Q523" s="762">
        <v>4028639.9480050001</v>
      </c>
      <c r="R523" s="763">
        <v>2156432881.3717999</v>
      </c>
      <c r="S523" s="764">
        <v>4568968.4115994498</v>
      </c>
    </row>
    <row r="524" spans="1:19" ht="20.399999999999999" x14ac:dyDescent="0.3">
      <c r="A524" s="761" t="s">
        <v>6971</v>
      </c>
      <c r="B524" s="761" t="s">
        <v>1557</v>
      </c>
      <c r="C524" s="761" t="s">
        <v>3804</v>
      </c>
      <c r="D524" s="761" t="s">
        <v>3804</v>
      </c>
      <c r="E524" s="761" t="s">
        <v>3873</v>
      </c>
      <c r="F524" s="762">
        <v>0</v>
      </c>
      <c r="G524" s="762">
        <v>0</v>
      </c>
      <c r="H524" s="762">
        <v>0</v>
      </c>
      <c r="I524" s="762">
        <v>0</v>
      </c>
      <c r="J524" s="762">
        <v>0</v>
      </c>
      <c r="K524" s="762">
        <v>0</v>
      </c>
      <c r="L524" s="762">
        <v>0</v>
      </c>
      <c r="M524" s="762">
        <v>0</v>
      </c>
      <c r="N524" s="1187">
        <v>5475133440</v>
      </c>
      <c r="O524" s="1187">
        <v>11524058</v>
      </c>
      <c r="P524" s="762">
        <v>0</v>
      </c>
      <c r="Q524" s="762">
        <v>0</v>
      </c>
      <c r="R524" s="763">
        <v>0</v>
      </c>
      <c r="S524" s="764">
        <v>0</v>
      </c>
    </row>
    <row r="525" spans="1:19" ht="20.399999999999999" x14ac:dyDescent="0.3">
      <c r="A525" s="761" t="s">
        <v>6971</v>
      </c>
      <c r="B525" s="761" t="s">
        <v>1557</v>
      </c>
      <c r="C525" s="761" t="s">
        <v>307</v>
      </c>
      <c r="D525" s="761" t="s">
        <v>307</v>
      </c>
      <c r="E525" s="761" t="s">
        <v>5273</v>
      </c>
      <c r="F525" s="762">
        <v>101716028.5433</v>
      </c>
      <c r="G525" s="762">
        <v>0</v>
      </c>
      <c r="H525" s="762">
        <v>4601242370.8500004</v>
      </c>
      <c r="I525" s="762">
        <v>0</v>
      </c>
      <c r="J525" s="762">
        <v>0</v>
      </c>
      <c r="K525" s="762">
        <v>0</v>
      </c>
      <c r="L525" s="762">
        <v>0</v>
      </c>
      <c r="M525" s="762">
        <v>0</v>
      </c>
      <c r="N525" s="1187">
        <v>0</v>
      </c>
      <c r="O525" s="1187">
        <v>0</v>
      </c>
      <c r="P525" s="762">
        <v>4601242370.8500004</v>
      </c>
      <c r="Q525" s="762">
        <v>0</v>
      </c>
      <c r="R525" s="763">
        <v>4702958399.3933001</v>
      </c>
      <c r="S525" s="764">
        <v>0</v>
      </c>
    </row>
    <row r="526" spans="1:19" ht="30.6" x14ac:dyDescent="0.3">
      <c r="A526" s="761" t="s">
        <v>6971</v>
      </c>
      <c r="B526" s="761" t="s">
        <v>1557</v>
      </c>
      <c r="C526" s="761" t="s">
        <v>307</v>
      </c>
      <c r="D526" s="761" t="s">
        <v>4842</v>
      </c>
      <c r="E526" s="1067" t="s">
        <v>7094</v>
      </c>
      <c r="F526" s="762">
        <v>884543.41727685998</v>
      </c>
      <c r="G526" s="762">
        <v>0</v>
      </c>
      <c r="H526" s="762">
        <v>275872312.43720001</v>
      </c>
      <c r="I526" s="762">
        <v>0</v>
      </c>
      <c r="J526" s="762">
        <v>0</v>
      </c>
      <c r="K526" s="762">
        <v>0</v>
      </c>
      <c r="L526" s="762">
        <v>0</v>
      </c>
      <c r="M526" s="762">
        <v>0</v>
      </c>
      <c r="N526" s="1187">
        <v>0</v>
      </c>
      <c r="O526" s="1187">
        <v>0</v>
      </c>
      <c r="P526" s="762">
        <v>275872312.43720001</v>
      </c>
      <c r="Q526" s="762">
        <v>0</v>
      </c>
      <c r="R526" s="763">
        <v>276756855.85447699</v>
      </c>
      <c r="S526" s="764">
        <v>0</v>
      </c>
    </row>
    <row r="527" spans="1:19" ht="20.399999999999999" x14ac:dyDescent="0.3">
      <c r="A527" s="761" t="s">
        <v>6971</v>
      </c>
      <c r="B527" s="761" t="s">
        <v>1557</v>
      </c>
      <c r="C527" s="761" t="s">
        <v>1508</v>
      </c>
      <c r="D527" s="761" t="s">
        <v>332</v>
      </c>
      <c r="E527" s="761" t="s">
        <v>1847</v>
      </c>
      <c r="F527" s="762">
        <v>0</v>
      </c>
      <c r="G527" s="762">
        <v>0</v>
      </c>
      <c r="H527" s="762">
        <v>0</v>
      </c>
      <c r="I527" s="762">
        <v>0</v>
      </c>
      <c r="J527" s="762">
        <v>114740978.14470001</v>
      </c>
      <c r="K527" s="762">
        <v>330083.79353999998</v>
      </c>
      <c r="L527" s="762">
        <v>0</v>
      </c>
      <c r="M527" s="762">
        <v>0</v>
      </c>
      <c r="N527" s="1187">
        <v>0</v>
      </c>
      <c r="O527" s="1187">
        <v>0</v>
      </c>
      <c r="P527" s="762">
        <v>114740978.14470001</v>
      </c>
      <c r="Q527" s="762">
        <v>330083.79353999998</v>
      </c>
      <c r="R527" s="763">
        <v>114740978.14470001</v>
      </c>
      <c r="S527" s="764">
        <v>330083.79353999998</v>
      </c>
    </row>
    <row r="528" spans="1:19" ht="30.6" x14ac:dyDescent="0.3">
      <c r="A528" s="761" t="s">
        <v>6971</v>
      </c>
      <c r="B528" s="761" t="s">
        <v>1557</v>
      </c>
      <c r="C528" s="761" t="s">
        <v>1512</v>
      </c>
      <c r="D528" s="761" t="s">
        <v>334</v>
      </c>
      <c r="E528" s="761" t="s">
        <v>1848</v>
      </c>
      <c r="F528" s="762">
        <v>119727.98919178</v>
      </c>
      <c r="G528" s="762">
        <v>0</v>
      </c>
      <c r="H528" s="762">
        <v>40227364.700099997</v>
      </c>
      <c r="I528" s="762">
        <v>0</v>
      </c>
      <c r="J528" s="762">
        <v>0</v>
      </c>
      <c r="K528" s="762">
        <v>0</v>
      </c>
      <c r="L528" s="762">
        <v>0</v>
      </c>
      <c r="M528" s="762">
        <v>0</v>
      </c>
      <c r="N528" s="1187">
        <v>0</v>
      </c>
      <c r="O528" s="1187">
        <v>0</v>
      </c>
      <c r="P528" s="762">
        <v>40227364.700099997</v>
      </c>
      <c r="Q528" s="762">
        <v>0</v>
      </c>
      <c r="R528" s="763">
        <v>40347092.689291798</v>
      </c>
      <c r="S528" s="764">
        <v>0</v>
      </c>
    </row>
    <row r="529" spans="1:19" ht="40.799999999999997" x14ac:dyDescent="0.3">
      <c r="A529" s="761" t="s">
        <v>6971</v>
      </c>
      <c r="B529" s="761" t="s">
        <v>1558</v>
      </c>
      <c r="C529" s="761" t="s">
        <v>1504</v>
      </c>
      <c r="D529" s="761" t="s">
        <v>268</v>
      </c>
      <c r="E529" s="761" t="s">
        <v>1849</v>
      </c>
      <c r="F529" s="762">
        <v>3033815</v>
      </c>
      <c r="G529" s="762">
        <v>8806</v>
      </c>
      <c r="H529" s="762">
        <v>509401</v>
      </c>
      <c r="I529" s="762">
        <v>0</v>
      </c>
      <c r="J529" s="762">
        <v>13867891</v>
      </c>
      <c r="K529" s="762">
        <v>34846.86</v>
      </c>
      <c r="L529" s="762">
        <v>2668244</v>
      </c>
      <c r="M529" s="762">
        <v>5263.75</v>
      </c>
      <c r="N529" s="1187">
        <v>0</v>
      </c>
      <c r="O529" s="1187">
        <v>0</v>
      </c>
      <c r="P529" s="762">
        <v>17045536</v>
      </c>
      <c r="Q529" s="762">
        <v>40110.61</v>
      </c>
      <c r="R529" s="763">
        <v>20079351</v>
      </c>
      <c r="S529" s="764">
        <v>48917.51</v>
      </c>
    </row>
    <row r="530" spans="1:19" ht="20.399999999999999" x14ac:dyDescent="0.3">
      <c r="A530" s="761" t="s">
        <v>6971</v>
      </c>
      <c r="B530" s="761" t="s">
        <v>1558</v>
      </c>
      <c r="C530" s="761" t="s">
        <v>288</v>
      </c>
      <c r="D530" s="761" t="s">
        <v>288</v>
      </c>
      <c r="E530" s="761" t="s">
        <v>1850</v>
      </c>
      <c r="F530" s="762">
        <v>1540338</v>
      </c>
      <c r="G530" s="762">
        <v>0</v>
      </c>
      <c r="H530" s="762">
        <v>16059678</v>
      </c>
      <c r="I530" s="762">
        <v>0</v>
      </c>
      <c r="J530" s="762">
        <v>0</v>
      </c>
      <c r="K530" s="762">
        <v>0</v>
      </c>
      <c r="L530" s="762">
        <v>0</v>
      </c>
      <c r="M530" s="762">
        <v>0</v>
      </c>
      <c r="N530" s="1187">
        <v>0</v>
      </c>
      <c r="O530" s="1187">
        <v>0</v>
      </c>
      <c r="P530" s="762">
        <v>16059678</v>
      </c>
      <c r="Q530" s="762">
        <v>0</v>
      </c>
      <c r="R530" s="763">
        <v>17600016</v>
      </c>
      <c r="S530" s="764">
        <v>0</v>
      </c>
    </row>
    <row r="531" spans="1:19" ht="20.399999999999999" x14ac:dyDescent="0.3">
      <c r="A531" s="761" t="s">
        <v>6971</v>
      </c>
      <c r="B531" s="761" t="s">
        <v>1558</v>
      </c>
      <c r="C531" s="761" t="s">
        <v>3804</v>
      </c>
      <c r="D531" s="761" t="s">
        <v>3804</v>
      </c>
      <c r="E531" s="761" t="s">
        <v>3874</v>
      </c>
      <c r="F531" s="762">
        <v>0</v>
      </c>
      <c r="G531" s="762">
        <v>0</v>
      </c>
      <c r="H531" s="762">
        <v>0</v>
      </c>
      <c r="I531" s="762">
        <v>0</v>
      </c>
      <c r="J531" s="762">
        <v>0</v>
      </c>
      <c r="K531" s="762">
        <v>0</v>
      </c>
      <c r="L531" s="762">
        <v>0</v>
      </c>
      <c r="M531" s="762">
        <v>0</v>
      </c>
      <c r="N531" s="1187">
        <v>0</v>
      </c>
      <c r="O531" s="1187">
        <v>0</v>
      </c>
      <c r="P531" s="762">
        <v>0</v>
      </c>
      <c r="Q531" s="762">
        <v>0</v>
      </c>
      <c r="R531" s="763">
        <v>0</v>
      </c>
      <c r="S531" s="764">
        <v>0</v>
      </c>
    </row>
    <row r="532" spans="1:19" ht="20.399999999999999" x14ac:dyDescent="0.3">
      <c r="A532" s="761" t="s">
        <v>6971</v>
      </c>
      <c r="B532" s="761" t="s">
        <v>1558</v>
      </c>
      <c r="C532" s="761" t="s">
        <v>307</v>
      </c>
      <c r="D532" s="761" t="s">
        <v>307</v>
      </c>
      <c r="E532" s="761" t="s">
        <v>1851</v>
      </c>
      <c r="F532" s="762">
        <v>1092676</v>
      </c>
      <c r="G532" s="762">
        <v>0</v>
      </c>
      <c r="H532" s="762">
        <v>93954273</v>
      </c>
      <c r="I532" s="762">
        <v>0</v>
      </c>
      <c r="J532" s="762">
        <v>0</v>
      </c>
      <c r="K532" s="762">
        <v>0</v>
      </c>
      <c r="L532" s="762">
        <v>0</v>
      </c>
      <c r="M532" s="762">
        <v>0</v>
      </c>
      <c r="N532" s="1187">
        <v>0</v>
      </c>
      <c r="O532" s="1187">
        <v>0</v>
      </c>
      <c r="P532" s="762">
        <v>93954273</v>
      </c>
      <c r="Q532" s="762">
        <v>0</v>
      </c>
      <c r="R532" s="763">
        <v>95046949</v>
      </c>
      <c r="S532" s="764">
        <v>0</v>
      </c>
    </row>
    <row r="533" spans="1:19" ht="20.399999999999999" x14ac:dyDescent="0.3">
      <c r="A533" s="761" t="s">
        <v>6971</v>
      </c>
      <c r="B533" s="761" t="s">
        <v>1558</v>
      </c>
      <c r="C533" s="761" t="s">
        <v>1508</v>
      </c>
      <c r="D533" s="761" t="s">
        <v>332</v>
      </c>
      <c r="E533" s="761" t="s">
        <v>1852</v>
      </c>
      <c r="F533" s="762">
        <v>0</v>
      </c>
      <c r="G533" s="762">
        <v>0</v>
      </c>
      <c r="H533" s="762">
        <v>0</v>
      </c>
      <c r="I533" s="762">
        <v>0</v>
      </c>
      <c r="J533" s="762">
        <v>773922</v>
      </c>
      <c r="K533" s="762">
        <v>2286.9</v>
      </c>
      <c r="L533" s="762">
        <v>0</v>
      </c>
      <c r="M533" s="762">
        <v>0</v>
      </c>
      <c r="N533" s="1187">
        <v>0</v>
      </c>
      <c r="O533" s="1187">
        <v>0</v>
      </c>
      <c r="P533" s="762">
        <v>773922</v>
      </c>
      <c r="Q533" s="762">
        <v>2286.9</v>
      </c>
      <c r="R533" s="763">
        <v>773922</v>
      </c>
      <c r="S533" s="764">
        <v>2286.9</v>
      </c>
    </row>
    <row r="534" spans="1:19" ht="30.6" x14ac:dyDescent="0.3">
      <c r="A534" s="761" t="s">
        <v>6971</v>
      </c>
      <c r="B534" s="761" t="s">
        <v>1558</v>
      </c>
      <c r="C534" s="761" t="s">
        <v>1512</v>
      </c>
      <c r="D534" s="761" t="s">
        <v>334</v>
      </c>
      <c r="E534" s="761" t="s">
        <v>1853</v>
      </c>
      <c r="F534" s="762">
        <v>0</v>
      </c>
      <c r="G534" s="762">
        <v>0</v>
      </c>
      <c r="H534" s="762">
        <v>154158</v>
      </c>
      <c r="I534" s="762">
        <v>0</v>
      </c>
      <c r="J534" s="762">
        <v>0</v>
      </c>
      <c r="K534" s="762">
        <v>0</v>
      </c>
      <c r="L534" s="762">
        <v>0</v>
      </c>
      <c r="M534" s="762">
        <v>0</v>
      </c>
      <c r="N534" s="1187">
        <v>0</v>
      </c>
      <c r="O534" s="1187">
        <v>0</v>
      </c>
      <c r="P534" s="762">
        <v>154158</v>
      </c>
      <c r="Q534" s="762">
        <v>0</v>
      </c>
      <c r="R534" s="763">
        <v>154158</v>
      </c>
      <c r="S534" s="764">
        <v>0</v>
      </c>
    </row>
    <row r="535" spans="1:19" ht="20.399999999999999" x14ac:dyDescent="0.3">
      <c r="A535" s="761" t="s">
        <v>6971</v>
      </c>
      <c r="B535" s="761" t="s">
        <v>1559</v>
      </c>
      <c r="C535" s="761" t="s">
        <v>1514</v>
      </c>
      <c r="D535" s="761" t="s">
        <v>240</v>
      </c>
      <c r="E535" s="761" t="s">
        <v>1854</v>
      </c>
      <c r="F535" s="762">
        <v>0</v>
      </c>
      <c r="G535" s="762">
        <v>0</v>
      </c>
      <c r="H535" s="762">
        <v>0</v>
      </c>
      <c r="I535" s="762">
        <v>0</v>
      </c>
      <c r="J535" s="762">
        <v>38976498</v>
      </c>
      <c r="K535" s="762">
        <v>89358</v>
      </c>
      <c r="L535" s="762">
        <v>0</v>
      </c>
      <c r="M535" s="762">
        <v>0</v>
      </c>
      <c r="N535" s="1187">
        <v>0</v>
      </c>
      <c r="O535" s="1187">
        <v>0</v>
      </c>
      <c r="P535" s="762">
        <v>38976498</v>
      </c>
      <c r="Q535" s="762">
        <v>89358</v>
      </c>
      <c r="R535" s="763">
        <v>38976498</v>
      </c>
      <c r="S535" s="764">
        <v>89358</v>
      </c>
    </row>
    <row r="536" spans="1:19" ht="40.799999999999997" x14ac:dyDescent="0.3">
      <c r="A536" s="761" t="s">
        <v>6971</v>
      </c>
      <c r="B536" s="761" t="s">
        <v>1559</v>
      </c>
      <c r="C536" s="761" t="s">
        <v>1504</v>
      </c>
      <c r="D536" s="761" t="s">
        <v>268</v>
      </c>
      <c r="E536" s="761" t="s">
        <v>1855</v>
      </c>
      <c r="F536" s="762">
        <v>101086247</v>
      </c>
      <c r="G536" s="762">
        <v>0</v>
      </c>
      <c r="H536" s="762">
        <v>92962020</v>
      </c>
      <c r="I536" s="762">
        <v>187453</v>
      </c>
      <c r="J536" s="762">
        <v>489513675</v>
      </c>
      <c r="K536" s="762">
        <v>1547039</v>
      </c>
      <c r="L536" s="762">
        <v>8606064</v>
      </c>
      <c r="M536" s="762">
        <v>18270</v>
      </c>
      <c r="N536" s="1187">
        <v>0</v>
      </c>
      <c r="O536" s="1187">
        <v>0</v>
      </c>
      <c r="P536" s="762">
        <v>591081759</v>
      </c>
      <c r="Q536" s="762">
        <v>1752762</v>
      </c>
      <c r="R536" s="763">
        <v>692168006</v>
      </c>
      <c r="S536" s="764">
        <v>1752762</v>
      </c>
    </row>
    <row r="537" spans="1:19" ht="20.399999999999999" x14ac:dyDescent="0.3">
      <c r="A537" s="761" t="s">
        <v>6971</v>
      </c>
      <c r="B537" s="761" t="s">
        <v>1559</v>
      </c>
      <c r="C537" s="761" t="s">
        <v>288</v>
      </c>
      <c r="D537" s="761" t="s">
        <v>288</v>
      </c>
      <c r="E537" s="761" t="s">
        <v>1856</v>
      </c>
      <c r="F537" s="762">
        <v>33370907</v>
      </c>
      <c r="G537" s="762">
        <v>0</v>
      </c>
      <c r="H537" s="762">
        <v>163818982</v>
      </c>
      <c r="I537" s="762">
        <v>0</v>
      </c>
      <c r="J537" s="762">
        <v>832486</v>
      </c>
      <c r="K537" s="762">
        <v>0</v>
      </c>
      <c r="L537" s="762">
        <v>0</v>
      </c>
      <c r="M537" s="762">
        <v>0</v>
      </c>
      <c r="N537" s="1187">
        <v>0</v>
      </c>
      <c r="O537" s="1187">
        <v>0</v>
      </c>
      <c r="P537" s="762">
        <v>164651468</v>
      </c>
      <c r="Q537" s="762">
        <v>0</v>
      </c>
      <c r="R537" s="763">
        <v>198022375</v>
      </c>
      <c r="S537" s="764">
        <v>0</v>
      </c>
    </row>
    <row r="538" spans="1:19" ht="20.399999999999999" x14ac:dyDescent="0.3">
      <c r="A538" s="761" t="s">
        <v>6971</v>
      </c>
      <c r="B538" s="761" t="s">
        <v>1559</v>
      </c>
      <c r="C538" s="761" t="s">
        <v>1510</v>
      </c>
      <c r="D538" s="761" t="s">
        <v>297</v>
      </c>
      <c r="E538" s="761" t="s">
        <v>1857</v>
      </c>
      <c r="F538" s="762">
        <v>0</v>
      </c>
      <c r="G538" s="762">
        <v>0</v>
      </c>
      <c r="H538" s="762">
        <v>0</v>
      </c>
      <c r="I538" s="762">
        <v>0</v>
      </c>
      <c r="J538" s="762">
        <v>96183866</v>
      </c>
      <c r="K538" s="762">
        <v>169281</v>
      </c>
      <c r="L538" s="762">
        <v>0</v>
      </c>
      <c r="M538" s="762">
        <v>0</v>
      </c>
      <c r="N538" s="1187">
        <v>0</v>
      </c>
      <c r="O538" s="1187">
        <v>0</v>
      </c>
      <c r="P538" s="762">
        <v>96183866</v>
      </c>
      <c r="Q538" s="762">
        <v>169281</v>
      </c>
      <c r="R538" s="763">
        <v>96183866</v>
      </c>
      <c r="S538" s="764">
        <v>169281</v>
      </c>
    </row>
    <row r="539" spans="1:19" ht="20.399999999999999" x14ac:dyDescent="0.3">
      <c r="A539" s="761" t="s">
        <v>6971</v>
      </c>
      <c r="B539" s="761" t="s">
        <v>1559</v>
      </c>
      <c r="C539" s="761" t="s">
        <v>3804</v>
      </c>
      <c r="D539" s="761" t="s">
        <v>3804</v>
      </c>
      <c r="E539" s="761" t="s">
        <v>3875</v>
      </c>
      <c r="F539" s="762">
        <v>0</v>
      </c>
      <c r="G539" s="762">
        <v>0</v>
      </c>
      <c r="H539" s="762">
        <v>0</v>
      </c>
      <c r="I539" s="762">
        <v>0</v>
      </c>
      <c r="J539" s="762">
        <v>0</v>
      </c>
      <c r="K539" s="762">
        <v>0</v>
      </c>
      <c r="L539" s="762">
        <v>0</v>
      </c>
      <c r="M539" s="762">
        <v>0</v>
      </c>
      <c r="N539" s="1187">
        <v>291537120</v>
      </c>
      <c r="O539" s="767"/>
      <c r="P539" s="762">
        <v>0</v>
      </c>
      <c r="Q539" s="762">
        <v>0</v>
      </c>
      <c r="R539" s="763">
        <v>0</v>
      </c>
      <c r="S539" s="764">
        <v>0</v>
      </c>
    </row>
    <row r="540" spans="1:19" ht="20.399999999999999" x14ac:dyDescent="0.3">
      <c r="A540" s="761" t="s">
        <v>6971</v>
      </c>
      <c r="B540" s="761" t="s">
        <v>1559</v>
      </c>
      <c r="C540" s="761" t="s">
        <v>307</v>
      </c>
      <c r="D540" s="761" t="s">
        <v>307</v>
      </c>
      <c r="E540" s="761" t="s">
        <v>1858</v>
      </c>
      <c r="F540" s="762">
        <v>7358737</v>
      </c>
      <c r="G540" s="762">
        <v>0</v>
      </c>
      <c r="H540" s="762">
        <v>399064526</v>
      </c>
      <c r="I540" s="762">
        <v>0</v>
      </c>
      <c r="J540" s="762">
        <v>0</v>
      </c>
      <c r="K540" s="762">
        <v>0</v>
      </c>
      <c r="L540" s="762">
        <v>0</v>
      </c>
      <c r="M540" s="762">
        <v>0</v>
      </c>
      <c r="N540" s="1187">
        <v>0</v>
      </c>
      <c r="O540" s="1187">
        <v>0</v>
      </c>
      <c r="P540" s="762">
        <v>399064526</v>
      </c>
      <c r="Q540" s="762">
        <v>0</v>
      </c>
      <c r="R540" s="763">
        <v>406423263</v>
      </c>
      <c r="S540" s="764">
        <v>0</v>
      </c>
    </row>
    <row r="541" spans="1:19" ht="20.399999999999999" x14ac:dyDescent="0.3">
      <c r="A541" s="761" t="s">
        <v>6971</v>
      </c>
      <c r="B541" s="761" t="s">
        <v>1559</v>
      </c>
      <c r="C541" s="761" t="s">
        <v>1508</v>
      </c>
      <c r="D541" s="761" t="s">
        <v>332</v>
      </c>
      <c r="E541" s="761" t="s">
        <v>1859</v>
      </c>
      <c r="F541" s="762">
        <v>0</v>
      </c>
      <c r="G541" s="762">
        <v>0</v>
      </c>
      <c r="H541" s="762">
        <v>0</v>
      </c>
      <c r="I541" s="762">
        <v>0</v>
      </c>
      <c r="J541" s="762">
        <v>3499974</v>
      </c>
      <c r="K541" s="762">
        <v>9891</v>
      </c>
      <c r="L541" s="762">
        <v>0</v>
      </c>
      <c r="M541" s="762">
        <v>0</v>
      </c>
      <c r="N541" s="1187">
        <v>0</v>
      </c>
      <c r="O541" s="1187">
        <v>0</v>
      </c>
      <c r="P541" s="762">
        <v>3499974</v>
      </c>
      <c r="Q541" s="762">
        <v>9891</v>
      </c>
      <c r="R541" s="763">
        <v>3499974</v>
      </c>
      <c r="S541" s="764">
        <v>9891</v>
      </c>
    </row>
    <row r="542" spans="1:19" ht="30.6" x14ac:dyDescent="0.3">
      <c r="A542" s="761" t="s">
        <v>6971</v>
      </c>
      <c r="B542" s="761" t="s">
        <v>1559</v>
      </c>
      <c r="C542" s="761" t="s">
        <v>1512</v>
      </c>
      <c r="D542" s="761" t="s">
        <v>334</v>
      </c>
      <c r="E542" s="761" t="s">
        <v>1860</v>
      </c>
      <c r="F542" s="762">
        <v>0</v>
      </c>
      <c r="G542" s="762">
        <v>0</v>
      </c>
      <c r="H542" s="762">
        <v>2771071</v>
      </c>
      <c r="I542" s="762">
        <v>0</v>
      </c>
      <c r="J542" s="762">
        <v>0</v>
      </c>
      <c r="K542" s="762">
        <v>0</v>
      </c>
      <c r="L542" s="762">
        <v>0</v>
      </c>
      <c r="M542" s="762">
        <v>0</v>
      </c>
      <c r="N542" s="1187">
        <v>0</v>
      </c>
      <c r="O542" s="1187">
        <v>0</v>
      </c>
      <c r="P542" s="762">
        <v>2771071</v>
      </c>
      <c r="Q542" s="762">
        <v>0</v>
      </c>
      <c r="R542" s="763">
        <v>2771071</v>
      </c>
      <c r="S542" s="764">
        <v>0</v>
      </c>
    </row>
    <row r="543" spans="1:19" ht="40.799999999999997" x14ac:dyDescent="0.3">
      <c r="A543" s="761" t="s">
        <v>6971</v>
      </c>
      <c r="B543" s="761" t="s">
        <v>1560</v>
      </c>
      <c r="C543" s="761" t="s">
        <v>1504</v>
      </c>
      <c r="D543" s="761" t="s">
        <v>268</v>
      </c>
      <c r="E543" s="761" t="s">
        <v>1861</v>
      </c>
      <c r="F543" s="762">
        <v>5952269</v>
      </c>
      <c r="G543" s="762">
        <v>16645</v>
      </c>
      <c r="H543" s="762">
        <v>12197054</v>
      </c>
      <c r="I543" s="762">
        <v>38323</v>
      </c>
      <c r="J543" s="762">
        <v>130373663</v>
      </c>
      <c r="K543" s="762">
        <v>355453</v>
      </c>
      <c r="L543" s="762">
        <v>2829418</v>
      </c>
      <c r="M543" s="762">
        <v>5114</v>
      </c>
      <c r="N543" s="1187">
        <v>0</v>
      </c>
      <c r="O543" s="1187">
        <v>0</v>
      </c>
      <c r="P543" s="762">
        <v>145400135</v>
      </c>
      <c r="Q543" s="762">
        <v>398890</v>
      </c>
      <c r="R543" s="763">
        <v>151352404</v>
      </c>
      <c r="S543" s="764">
        <v>415535</v>
      </c>
    </row>
    <row r="544" spans="1:19" ht="20.399999999999999" x14ac:dyDescent="0.3">
      <c r="A544" s="761" t="s">
        <v>6971</v>
      </c>
      <c r="B544" s="761" t="s">
        <v>1560</v>
      </c>
      <c r="C544" s="761" t="s">
        <v>288</v>
      </c>
      <c r="D544" s="761" t="s">
        <v>288</v>
      </c>
      <c r="E544" s="761" t="s">
        <v>1862</v>
      </c>
      <c r="F544" s="762">
        <v>9015265</v>
      </c>
      <c r="G544" s="762">
        <v>0</v>
      </c>
      <c r="H544" s="762">
        <v>41491169</v>
      </c>
      <c r="I544" s="762">
        <v>0</v>
      </c>
      <c r="J544" s="762">
        <v>0</v>
      </c>
      <c r="K544" s="762">
        <v>0</v>
      </c>
      <c r="L544" s="762">
        <v>0</v>
      </c>
      <c r="M544" s="762">
        <v>0</v>
      </c>
      <c r="N544" s="1187">
        <v>0</v>
      </c>
      <c r="O544" s="1187">
        <v>0</v>
      </c>
      <c r="P544" s="762">
        <v>41491169</v>
      </c>
      <c r="Q544" s="762">
        <v>0</v>
      </c>
      <c r="R544" s="763">
        <v>50506434</v>
      </c>
      <c r="S544" s="764">
        <v>0</v>
      </c>
    </row>
    <row r="545" spans="1:19" ht="20.399999999999999" x14ac:dyDescent="0.3">
      <c r="A545" s="761" t="s">
        <v>6971</v>
      </c>
      <c r="B545" s="761" t="s">
        <v>1560</v>
      </c>
      <c r="C545" s="761" t="s">
        <v>3804</v>
      </c>
      <c r="D545" s="761" t="s">
        <v>3804</v>
      </c>
      <c r="E545" s="761" t="s">
        <v>3876</v>
      </c>
      <c r="F545" s="762">
        <v>0</v>
      </c>
      <c r="G545" s="762">
        <v>0</v>
      </c>
      <c r="H545" s="762">
        <v>0</v>
      </c>
      <c r="I545" s="762">
        <v>0</v>
      </c>
      <c r="J545" s="762">
        <v>0</v>
      </c>
      <c r="K545" s="762">
        <v>0</v>
      </c>
      <c r="L545" s="762">
        <v>0</v>
      </c>
      <c r="M545" s="762">
        <v>0</v>
      </c>
      <c r="N545" s="1187">
        <v>33268120</v>
      </c>
      <c r="O545" s="1187">
        <v>109709</v>
      </c>
      <c r="P545" s="762">
        <v>0</v>
      </c>
      <c r="Q545" s="762">
        <v>0</v>
      </c>
      <c r="R545" s="763">
        <v>0</v>
      </c>
      <c r="S545" s="764">
        <v>0</v>
      </c>
    </row>
    <row r="546" spans="1:19" ht="20.399999999999999" x14ac:dyDescent="0.3">
      <c r="A546" s="761" t="s">
        <v>6971</v>
      </c>
      <c r="B546" s="761" t="s">
        <v>1560</v>
      </c>
      <c r="C546" s="761" t="s">
        <v>307</v>
      </c>
      <c r="D546" s="761" t="s">
        <v>307</v>
      </c>
      <c r="E546" s="761" t="s">
        <v>1863</v>
      </c>
      <c r="F546" s="762">
        <v>3354544</v>
      </c>
      <c r="G546" s="762">
        <v>0</v>
      </c>
      <c r="H546" s="762">
        <v>162451752</v>
      </c>
      <c r="I546" s="762">
        <v>0</v>
      </c>
      <c r="J546" s="762">
        <v>0</v>
      </c>
      <c r="K546" s="762">
        <v>0</v>
      </c>
      <c r="L546" s="762">
        <v>0</v>
      </c>
      <c r="M546" s="762">
        <v>0</v>
      </c>
      <c r="N546" s="1187">
        <v>0</v>
      </c>
      <c r="O546" s="1187">
        <v>0</v>
      </c>
      <c r="P546" s="762">
        <v>162451752</v>
      </c>
      <c r="Q546" s="762">
        <v>0</v>
      </c>
      <c r="R546" s="763">
        <v>165806296</v>
      </c>
      <c r="S546" s="764">
        <v>0</v>
      </c>
    </row>
    <row r="547" spans="1:19" ht="20.399999999999999" x14ac:dyDescent="0.3">
      <c r="A547" s="761" t="s">
        <v>6971</v>
      </c>
      <c r="B547" s="761" t="s">
        <v>1560</v>
      </c>
      <c r="C547" s="761" t="s">
        <v>1511</v>
      </c>
      <c r="D547" s="761" t="s">
        <v>316</v>
      </c>
      <c r="E547" s="761" t="s">
        <v>1864</v>
      </c>
      <c r="F547" s="762">
        <v>55860</v>
      </c>
      <c r="G547" s="762">
        <v>170</v>
      </c>
      <c r="H547" s="762">
        <v>527977</v>
      </c>
      <c r="I547" s="762">
        <v>1435</v>
      </c>
      <c r="J547" s="762">
        <v>0</v>
      </c>
      <c r="K547" s="762">
        <v>0</v>
      </c>
      <c r="L547" s="762">
        <v>0</v>
      </c>
      <c r="M547" s="762">
        <v>0</v>
      </c>
      <c r="N547" s="1187">
        <v>0</v>
      </c>
      <c r="O547" s="1187">
        <v>0</v>
      </c>
      <c r="P547" s="762">
        <v>527977</v>
      </c>
      <c r="Q547" s="762">
        <v>1435</v>
      </c>
      <c r="R547" s="763">
        <v>583837</v>
      </c>
      <c r="S547" s="764">
        <v>1605</v>
      </c>
    </row>
    <row r="548" spans="1:19" ht="20.399999999999999" x14ac:dyDescent="0.3">
      <c r="A548" s="761" t="s">
        <v>6971</v>
      </c>
      <c r="B548" s="761" t="s">
        <v>1560</v>
      </c>
      <c r="C548" s="761" t="s">
        <v>1508</v>
      </c>
      <c r="D548" s="761" t="s">
        <v>332</v>
      </c>
      <c r="E548" s="761" t="s">
        <v>1865</v>
      </c>
      <c r="F548" s="762">
        <v>0</v>
      </c>
      <c r="G548" s="762">
        <v>0</v>
      </c>
      <c r="H548" s="762">
        <v>0</v>
      </c>
      <c r="I548" s="762">
        <v>0</v>
      </c>
      <c r="J548" s="762">
        <v>1406314</v>
      </c>
      <c r="K548" s="762">
        <v>3924</v>
      </c>
      <c r="L548" s="762">
        <v>0</v>
      </c>
      <c r="M548" s="762">
        <v>0</v>
      </c>
      <c r="N548" s="1187">
        <v>0</v>
      </c>
      <c r="O548" s="1187">
        <v>0</v>
      </c>
      <c r="P548" s="762">
        <v>1406314</v>
      </c>
      <c r="Q548" s="762">
        <v>3924</v>
      </c>
      <c r="R548" s="763">
        <v>1406314</v>
      </c>
      <c r="S548" s="764">
        <v>3924</v>
      </c>
    </row>
    <row r="549" spans="1:19" ht="30.6" x14ac:dyDescent="0.3">
      <c r="A549" s="761" t="s">
        <v>6971</v>
      </c>
      <c r="B549" s="761" t="s">
        <v>1560</v>
      </c>
      <c r="C549" s="761" t="s">
        <v>1512</v>
      </c>
      <c r="D549" s="761" t="s">
        <v>334</v>
      </c>
      <c r="E549" s="761" t="s">
        <v>1866</v>
      </c>
      <c r="F549" s="762">
        <v>5522</v>
      </c>
      <c r="G549" s="762">
        <v>0</v>
      </c>
      <c r="H549" s="762">
        <v>828030</v>
      </c>
      <c r="I549" s="762">
        <v>0</v>
      </c>
      <c r="J549" s="762">
        <v>119378</v>
      </c>
      <c r="K549" s="762">
        <v>0</v>
      </c>
      <c r="L549" s="762">
        <v>0</v>
      </c>
      <c r="M549" s="762">
        <v>0</v>
      </c>
      <c r="N549" s="1187">
        <v>0</v>
      </c>
      <c r="O549" s="1187">
        <v>0</v>
      </c>
      <c r="P549" s="762">
        <v>947408</v>
      </c>
      <c r="Q549" s="762">
        <v>0</v>
      </c>
      <c r="R549" s="763">
        <v>952930</v>
      </c>
      <c r="S549" s="764">
        <v>0</v>
      </c>
    </row>
    <row r="550" spans="1:19" ht="40.799999999999997" x14ac:dyDescent="0.3">
      <c r="A550" s="761" t="s">
        <v>6971</v>
      </c>
      <c r="B550" s="761" t="s">
        <v>1561</v>
      </c>
      <c r="C550" s="761" t="s">
        <v>1504</v>
      </c>
      <c r="D550" s="761" t="s">
        <v>248</v>
      </c>
      <c r="E550" s="761" t="s">
        <v>1867</v>
      </c>
      <c r="F550" s="762">
        <v>25637797.18</v>
      </c>
      <c r="G550" s="762">
        <v>54269</v>
      </c>
      <c r="H550" s="762">
        <v>0</v>
      </c>
      <c r="I550" s="762">
        <v>0</v>
      </c>
      <c r="J550" s="762">
        <v>17128350.800000001</v>
      </c>
      <c r="K550" s="762">
        <v>41961.15</v>
      </c>
      <c r="L550" s="762">
        <v>0</v>
      </c>
      <c r="M550" s="762">
        <v>0</v>
      </c>
      <c r="N550" s="1187">
        <v>0</v>
      </c>
      <c r="O550" s="1187">
        <v>0</v>
      </c>
      <c r="P550" s="762">
        <v>17128350.800000001</v>
      </c>
      <c r="Q550" s="762">
        <v>41961.15</v>
      </c>
      <c r="R550" s="763">
        <v>42766147.979999997</v>
      </c>
      <c r="S550" s="764">
        <v>96230.69</v>
      </c>
    </row>
    <row r="551" spans="1:19" ht="40.799999999999997" x14ac:dyDescent="0.3">
      <c r="A551" s="761" t="s">
        <v>6971</v>
      </c>
      <c r="B551" s="761" t="s">
        <v>1561</v>
      </c>
      <c r="C551" s="761" t="s">
        <v>1504</v>
      </c>
      <c r="D551" s="761" t="s">
        <v>272</v>
      </c>
      <c r="E551" s="761" t="s">
        <v>1868</v>
      </c>
      <c r="F551" s="762">
        <v>2187450.19</v>
      </c>
      <c r="G551" s="762">
        <v>5176</v>
      </c>
      <c r="H551" s="762">
        <v>0</v>
      </c>
      <c r="I551" s="762">
        <v>0</v>
      </c>
      <c r="J551" s="762">
        <v>16552429.369999999</v>
      </c>
      <c r="K551" s="762">
        <v>46508.55</v>
      </c>
      <c r="L551" s="762">
        <v>0</v>
      </c>
      <c r="M551" s="762">
        <v>0</v>
      </c>
      <c r="N551" s="1187">
        <v>0</v>
      </c>
      <c r="O551" s="1187">
        <v>0</v>
      </c>
      <c r="P551" s="762">
        <v>16552429.369999999</v>
      </c>
      <c r="Q551" s="762">
        <v>46508.55</v>
      </c>
      <c r="R551" s="763">
        <v>18739879.559999999</v>
      </c>
      <c r="S551" s="764">
        <v>51684.6</v>
      </c>
    </row>
    <row r="552" spans="1:19" ht="20.399999999999999" x14ac:dyDescent="0.3">
      <c r="A552" s="761" t="s">
        <v>6971</v>
      </c>
      <c r="B552" s="761" t="s">
        <v>1561</v>
      </c>
      <c r="C552" s="761" t="s">
        <v>288</v>
      </c>
      <c r="D552" s="761" t="s">
        <v>288</v>
      </c>
      <c r="E552" s="761" t="s">
        <v>1869</v>
      </c>
      <c r="F552" s="762">
        <v>2182055.86</v>
      </c>
      <c r="G552" s="762">
        <v>0</v>
      </c>
      <c r="H552" s="762">
        <v>8956115.9700000007</v>
      </c>
      <c r="I552" s="762">
        <v>0</v>
      </c>
      <c r="J552" s="762">
        <v>0</v>
      </c>
      <c r="K552" s="762">
        <v>0</v>
      </c>
      <c r="L552" s="762">
        <v>0</v>
      </c>
      <c r="M552" s="762">
        <v>0</v>
      </c>
      <c r="N552" s="1187">
        <v>0</v>
      </c>
      <c r="O552" s="1187">
        <v>0</v>
      </c>
      <c r="P552" s="762">
        <v>8956115.9700000007</v>
      </c>
      <c r="Q552" s="762">
        <v>0</v>
      </c>
      <c r="R552" s="763">
        <v>11138171.83</v>
      </c>
      <c r="S552" s="764">
        <v>0</v>
      </c>
    </row>
    <row r="553" spans="1:19" ht="20.399999999999999" x14ac:dyDescent="0.3">
      <c r="A553" s="761" t="s">
        <v>6971</v>
      </c>
      <c r="B553" s="761" t="s">
        <v>1561</v>
      </c>
      <c r="C553" s="761" t="s">
        <v>3804</v>
      </c>
      <c r="D553" s="761" t="s">
        <v>3804</v>
      </c>
      <c r="E553" s="761" t="s">
        <v>3877</v>
      </c>
      <c r="F553" s="762">
        <v>0</v>
      </c>
      <c r="G553" s="762">
        <v>0</v>
      </c>
      <c r="H553" s="762">
        <v>0</v>
      </c>
      <c r="I553" s="762">
        <v>0</v>
      </c>
      <c r="J553" s="762">
        <v>0</v>
      </c>
      <c r="K553" s="762">
        <v>0</v>
      </c>
      <c r="L553" s="762">
        <v>0</v>
      </c>
      <c r="M553" s="762">
        <v>0</v>
      </c>
      <c r="N553" s="1187">
        <v>47435896</v>
      </c>
      <c r="O553" s="1187">
        <v>102890.3984375</v>
      </c>
      <c r="P553" s="762">
        <v>0</v>
      </c>
      <c r="Q553" s="762">
        <v>0</v>
      </c>
      <c r="R553" s="763">
        <v>0</v>
      </c>
      <c r="S553" s="764">
        <v>0</v>
      </c>
    </row>
    <row r="554" spans="1:19" ht="20.399999999999999" x14ac:dyDescent="0.3">
      <c r="A554" s="761" t="s">
        <v>6971</v>
      </c>
      <c r="B554" s="761" t="s">
        <v>1561</v>
      </c>
      <c r="C554" s="761" t="s">
        <v>307</v>
      </c>
      <c r="D554" s="761" t="s">
        <v>307</v>
      </c>
      <c r="E554" s="761" t="s">
        <v>1870</v>
      </c>
      <c r="F554" s="762">
        <v>797756.62</v>
      </c>
      <c r="G554" s="762">
        <v>0</v>
      </c>
      <c r="H554" s="762">
        <v>24456139.559999999</v>
      </c>
      <c r="I554" s="762">
        <v>0</v>
      </c>
      <c r="J554" s="762">
        <v>0</v>
      </c>
      <c r="K554" s="762">
        <v>0</v>
      </c>
      <c r="L554" s="762">
        <v>0</v>
      </c>
      <c r="M554" s="762">
        <v>0</v>
      </c>
      <c r="N554" s="1187">
        <v>0</v>
      </c>
      <c r="O554" s="1187">
        <v>0</v>
      </c>
      <c r="P554" s="762">
        <v>24456139.559999999</v>
      </c>
      <c r="Q554" s="762">
        <v>0</v>
      </c>
      <c r="R554" s="763">
        <v>25253896.18</v>
      </c>
      <c r="S554" s="764">
        <v>0</v>
      </c>
    </row>
    <row r="555" spans="1:19" ht="20.399999999999999" x14ac:dyDescent="0.3">
      <c r="A555" s="761" t="s">
        <v>6971</v>
      </c>
      <c r="B555" s="761" t="s">
        <v>1561</v>
      </c>
      <c r="C555" s="761" t="s">
        <v>1511</v>
      </c>
      <c r="D555" s="761" t="s">
        <v>316</v>
      </c>
      <c r="E555" s="761" t="s">
        <v>1871</v>
      </c>
      <c r="F555" s="762">
        <v>2255.0700000000002</v>
      </c>
      <c r="G555" s="762">
        <v>6</v>
      </c>
      <c r="H555" s="762">
        <v>17418.03</v>
      </c>
      <c r="I555" s="762">
        <v>48.38</v>
      </c>
      <c r="J555" s="762">
        <v>0</v>
      </c>
      <c r="K555" s="762">
        <v>0</v>
      </c>
      <c r="L555" s="762">
        <v>0</v>
      </c>
      <c r="M555" s="762">
        <v>0</v>
      </c>
      <c r="N555" s="1187">
        <v>0</v>
      </c>
      <c r="O555" s="1187">
        <v>0</v>
      </c>
      <c r="P555" s="762">
        <v>17418.03</v>
      </c>
      <c r="Q555" s="762">
        <v>48.38</v>
      </c>
      <c r="R555" s="763">
        <v>19673.099999999999</v>
      </c>
      <c r="S555" s="764">
        <v>55.04</v>
      </c>
    </row>
    <row r="556" spans="1:19" ht="20.399999999999999" x14ac:dyDescent="0.3">
      <c r="A556" s="761" t="s">
        <v>6971</v>
      </c>
      <c r="B556" s="761" t="s">
        <v>1561</v>
      </c>
      <c r="C556" s="761" t="s">
        <v>1508</v>
      </c>
      <c r="D556" s="761" t="s">
        <v>332</v>
      </c>
      <c r="E556" s="761" t="s">
        <v>1872</v>
      </c>
      <c r="F556" s="762">
        <v>12557.53</v>
      </c>
      <c r="G556" s="762">
        <v>34</v>
      </c>
      <c r="H556" s="762">
        <v>0</v>
      </c>
      <c r="I556" s="762">
        <v>0</v>
      </c>
      <c r="J556" s="762">
        <v>637712.81999999995</v>
      </c>
      <c r="K556" s="762">
        <v>1775.35</v>
      </c>
      <c r="L556" s="762">
        <v>0</v>
      </c>
      <c r="M556" s="762">
        <v>0</v>
      </c>
      <c r="N556" s="1187">
        <v>0</v>
      </c>
      <c r="O556" s="1187">
        <v>0</v>
      </c>
      <c r="P556" s="762">
        <v>637712.81999999995</v>
      </c>
      <c r="Q556" s="762">
        <v>1775.35</v>
      </c>
      <c r="R556" s="763">
        <v>650270.35</v>
      </c>
      <c r="S556" s="764">
        <v>1809.91</v>
      </c>
    </row>
    <row r="557" spans="1:19" ht="30.6" x14ac:dyDescent="0.3">
      <c r="A557" s="761" t="s">
        <v>6971</v>
      </c>
      <c r="B557" s="761" t="s">
        <v>1561</v>
      </c>
      <c r="C557" s="761" t="s">
        <v>1512</v>
      </c>
      <c r="D557" s="761" t="s">
        <v>334</v>
      </c>
      <c r="E557" s="761" t="s">
        <v>1873</v>
      </c>
      <c r="F557" s="762">
        <v>1068.02</v>
      </c>
      <c r="G557" s="762">
        <v>0</v>
      </c>
      <c r="H557" s="762">
        <v>5220.01</v>
      </c>
      <c r="I557" s="762">
        <v>0</v>
      </c>
      <c r="J557" s="762">
        <v>0</v>
      </c>
      <c r="K557" s="762">
        <v>0</v>
      </c>
      <c r="L557" s="762">
        <v>0</v>
      </c>
      <c r="M557" s="762">
        <v>0</v>
      </c>
      <c r="N557" s="1187">
        <v>0</v>
      </c>
      <c r="O557" s="1187">
        <v>0</v>
      </c>
      <c r="P557" s="762">
        <v>5220.01</v>
      </c>
      <c r="Q557" s="762">
        <v>0</v>
      </c>
      <c r="R557" s="763">
        <v>6288.03</v>
      </c>
      <c r="S557" s="764">
        <v>0</v>
      </c>
    </row>
    <row r="558" spans="1:19" ht="40.799999999999997" x14ac:dyDescent="0.3">
      <c r="A558" s="761" t="s">
        <v>6971</v>
      </c>
      <c r="B558" s="761" t="s">
        <v>1562</v>
      </c>
      <c r="C558" s="761" t="s">
        <v>1504</v>
      </c>
      <c r="D558" s="761" t="s">
        <v>268</v>
      </c>
      <c r="E558" s="761" t="s">
        <v>1874</v>
      </c>
      <c r="F558" s="762">
        <v>63336405</v>
      </c>
      <c r="G558" s="762">
        <v>151761</v>
      </c>
      <c r="H558" s="762">
        <v>5425374</v>
      </c>
      <c r="I558" s="762">
        <v>15571</v>
      </c>
      <c r="J558" s="762">
        <v>108193407</v>
      </c>
      <c r="K558" s="762">
        <v>270629</v>
      </c>
      <c r="L558" s="762">
        <v>2687566</v>
      </c>
      <c r="M558" s="762">
        <v>6518</v>
      </c>
      <c r="N558" s="1187">
        <v>0</v>
      </c>
      <c r="O558" s="1187">
        <v>0</v>
      </c>
      <c r="P558" s="762">
        <v>116306347</v>
      </c>
      <c r="Q558" s="762">
        <v>292718</v>
      </c>
      <c r="R558" s="763">
        <v>179642752</v>
      </c>
      <c r="S558" s="764">
        <v>444479</v>
      </c>
    </row>
    <row r="559" spans="1:19" ht="20.399999999999999" x14ac:dyDescent="0.3">
      <c r="A559" s="761" t="s">
        <v>6971</v>
      </c>
      <c r="B559" s="761" t="s">
        <v>1562</v>
      </c>
      <c r="C559" s="761" t="s">
        <v>288</v>
      </c>
      <c r="D559" s="761" t="s">
        <v>288</v>
      </c>
      <c r="E559" s="761" t="s">
        <v>1875</v>
      </c>
      <c r="F559" s="762">
        <v>20111436</v>
      </c>
      <c r="G559" s="762">
        <v>0</v>
      </c>
      <c r="H559" s="762">
        <v>52639524</v>
      </c>
      <c r="I559" s="762">
        <v>0</v>
      </c>
      <c r="J559" s="762">
        <v>0</v>
      </c>
      <c r="K559" s="762">
        <v>0</v>
      </c>
      <c r="L559" s="762">
        <v>0</v>
      </c>
      <c r="M559" s="762">
        <v>0</v>
      </c>
      <c r="N559" s="1187">
        <v>0</v>
      </c>
      <c r="O559" s="1187">
        <v>0</v>
      </c>
      <c r="P559" s="762">
        <v>52639524</v>
      </c>
      <c r="Q559" s="762">
        <v>0</v>
      </c>
      <c r="R559" s="763">
        <v>72750960</v>
      </c>
      <c r="S559" s="764">
        <v>0</v>
      </c>
    </row>
    <row r="560" spans="1:19" ht="20.399999999999999" x14ac:dyDescent="0.3">
      <c r="A560" s="761" t="s">
        <v>6971</v>
      </c>
      <c r="B560" s="761" t="s">
        <v>1562</v>
      </c>
      <c r="C560" s="761" t="s">
        <v>3804</v>
      </c>
      <c r="D560" s="761" t="s">
        <v>3804</v>
      </c>
      <c r="E560" s="761" t="s">
        <v>3878</v>
      </c>
      <c r="F560" s="762">
        <v>0</v>
      </c>
      <c r="G560" s="762">
        <v>0</v>
      </c>
      <c r="H560" s="762">
        <v>0</v>
      </c>
      <c r="I560" s="762">
        <v>0</v>
      </c>
      <c r="J560" s="762">
        <v>0</v>
      </c>
      <c r="K560" s="762">
        <v>0</v>
      </c>
      <c r="L560" s="762">
        <v>0</v>
      </c>
      <c r="M560" s="762">
        <v>0</v>
      </c>
      <c r="N560" s="1187">
        <v>81697048</v>
      </c>
      <c r="O560" s="1187">
        <v>186612</v>
      </c>
      <c r="P560" s="762">
        <v>0</v>
      </c>
      <c r="Q560" s="762">
        <v>0</v>
      </c>
      <c r="R560" s="763">
        <v>0</v>
      </c>
      <c r="S560" s="764">
        <v>0</v>
      </c>
    </row>
    <row r="561" spans="1:19" ht="20.399999999999999" x14ac:dyDescent="0.3">
      <c r="A561" s="761" t="s">
        <v>6971</v>
      </c>
      <c r="B561" s="761" t="s">
        <v>1562</v>
      </c>
      <c r="C561" s="761" t="s">
        <v>307</v>
      </c>
      <c r="D561" s="761" t="s">
        <v>307</v>
      </c>
      <c r="E561" s="761" t="s">
        <v>1876</v>
      </c>
      <c r="F561" s="762">
        <v>4185314</v>
      </c>
      <c r="G561" s="762">
        <v>0</v>
      </c>
      <c r="H561" s="762">
        <v>184538845</v>
      </c>
      <c r="I561" s="762">
        <v>0</v>
      </c>
      <c r="J561" s="762">
        <v>0</v>
      </c>
      <c r="K561" s="762">
        <v>0</v>
      </c>
      <c r="L561" s="762">
        <v>0</v>
      </c>
      <c r="M561" s="762">
        <v>0</v>
      </c>
      <c r="N561" s="1187">
        <v>0</v>
      </c>
      <c r="O561" s="1187">
        <v>0</v>
      </c>
      <c r="P561" s="762">
        <v>184538845</v>
      </c>
      <c r="Q561" s="762">
        <v>0</v>
      </c>
      <c r="R561" s="763">
        <v>188724159</v>
      </c>
      <c r="S561" s="764">
        <v>0</v>
      </c>
    </row>
    <row r="562" spans="1:19" ht="20.399999999999999" x14ac:dyDescent="0.3">
      <c r="A562" s="761" t="s">
        <v>6971</v>
      </c>
      <c r="B562" s="761" t="s">
        <v>1562</v>
      </c>
      <c r="C562" s="761" t="s">
        <v>1511</v>
      </c>
      <c r="D562" s="761" t="s">
        <v>316</v>
      </c>
      <c r="E562" s="761" t="s">
        <v>1877</v>
      </c>
      <c r="F562" s="762">
        <v>928</v>
      </c>
      <c r="G562" s="762">
        <v>3</v>
      </c>
      <c r="H562" s="762">
        <v>17198</v>
      </c>
      <c r="I562" s="762">
        <v>30</v>
      </c>
      <c r="J562" s="762">
        <v>0</v>
      </c>
      <c r="K562" s="762">
        <v>0</v>
      </c>
      <c r="L562" s="762">
        <v>0</v>
      </c>
      <c r="M562" s="762">
        <v>0</v>
      </c>
      <c r="N562" s="1187">
        <v>0</v>
      </c>
      <c r="O562" s="1187">
        <v>0</v>
      </c>
      <c r="P562" s="762">
        <v>17198</v>
      </c>
      <c r="Q562" s="762">
        <v>30</v>
      </c>
      <c r="R562" s="763">
        <v>18126</v>
      </c>
      <c r="S562" s="764">
        <v>33</v>
      </c>
    </row>
    <row r="563" spans="1:19" ht="20.399999999999999" x14ac:dyDescent="0.3">
      <c r="A563" s="761" t="s">
        <v>6971</v>
      </c>
      <c r="B563" s="761" t="s">
        <v>1562</v>
      </c>
      <c r="C563" s="761" t="s">
        <v>1508</v>
      </c>
      <c r="D563" s="761" t="s">
        <v>332</v>
      </c>
      <c r="E563" s="761" t="s">
        <v>1878</v>
      </c>
      <c r="F563" s="762">
        <v>1559770</v>
      </c>
      <c r="G563" s="762">
        <v>4230</v>
      </c>
      <c r="H563" s="762">
        <v>0</v>
      </c>
      <c r="I563" s="762">
        <v>0</v>
      </c>
      <c r="J563" s="762">
        <v>739092</v>
      </c>
      <c r="K563" s="762">
        <v>2005</v>
      </c>
      <c r="L563" s="762">
        <v>0</v>
      </c>
      <c r="M563" s="762">
        <v>0</v>
      </c>
      <c r="N563" s="1187">
        <v>0</v>
      </c>
      <c r="O563" s="1187">
        <v>0</v>
      </c>
      <c r="P563" s="762">
        <v>739092</v>
      </c>
      <c r="Q563" s="762">
        <v>2005</v>
      </c>
      <c r="R563" s="763">
        <v>2298862</v>
      </c>
      <c r="S563" s="764">
        <v>6235</v>
      </c>
    </row>
    <row r="564" spans="1:19" ht="30.6" x14ac:dyDescent="0.3">
      <c r="A564" s="761" t="s">
        <v>6971</v>
      </c>
      <c r="B564" s="761" t="s">
        <v>1562</v>
      </c>
      <c r="C564" s="761" t="s">
        <v>1512</v>
      </c>
      <c r="D564" s="761" t="s">
        <v>334</v>
      </c>
      <c r="E564" s="761" t="s">
        <v>1879</v>
      </c>
      <c r="F564" s="762">
        <v>34259</v>
      </c>
      <c r="G564" s="762">
        <v>0</v>
      </c>
      <c r="H564" s="762">
        <v>188358</v>
      </c>
      <c r="I564" s="762">
        <v>0</v>
      </c>
      <c r="J564" s="762">
        <v>0</v>
      </c>
      <c r="K564" s="762">
        <v>0</v>
      </c>
      <c r="L564" s="762">
        <v>0</v>
      </c>
      <c r="M564" s="762">
        <v>0</v>
      </c>
      <c r="N564" s="1187">
        <v>0</v>
      </c>
      <c r="O564" s="1187">
        <v>0</v>
      </c>
      <c r="P564" s="762">
        <v>188358</v>
      </c>
      <c r="Q564" s="762">
        <v>0</v>
      </c>
      <c r="R564" s="763">
        <v>222617</v>
      </c>
      <c r="S564" s="764">
        <v>0</v>
      </c>
    </row>
    <row r="565" spans="1:19" x14ac:dyDescent="0.3">
      <c r="A565" s="758" t="s">
        <v>2045</v>
      </c>
    </row>
    <row r="566" spans="1:19" ht="17.25" customHeight="1" x14ac:dyDescent="0.3">
      <c r="A566" s="1460" t="s">
        <v>7095</v>
      </c>
    </row>
  </sheetData>
  <sheetProtection algorithmName="SHA-512" hashValue="irMnlXgQzFRdC60wZf2HBPeisdcKnOv6hrAbQQ/r6hjqKQ6mRjhUaBDRk85eGtGwvDvgwGGvbzoL+HPR/3z43g==" saltValue="xsnYe0ERDqiPgjOAO8soUw==" spinCount="100000" sheet="1" objects="1" scenarios="1"/>
  <mergeCells count="2">
    <mergeCell ref="A1:D1"/>
    <mergeCell ref="A2:D2"/>
  </mergeCells>
  <pageMargins left="0.75" right="0.75" top="1" bottom="1" header="0.5" footer="0.5"/>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C35"/>
  <sheetViews>
    <sheetView workbookViewId="0">
      <selection activeCell="C5" sqref="C5"/>
    </sheetView>
  </sheetViews>
  <sheetFormatPr defaultRowHeight="14.4" x14ac:dyDescent="0.3"/>
  <cols>
    <col min="1" max="1" width="36.6640625" customWidth="1"/>
  </cols>
  <sheetData>
    <row r="1" spans="1:3" x14ac:dyDescent="0.3">
      <c r="A1" t="s">
        <v>1450</v>
      </c>
    </row>
    <row r="2" spans="1:3" x14ac:dyDescent="0.3">
      <c r="A2" t="s">
        <v>1451</v>
      </c>
      <c r="B2" t="s">
        <v>603</v>
      </c>
    </row>
    <row r="3" spans="1:3" x14ac:dyDescent="0.3">
      <c r="A3" t="s">
        <v>1452</v>
      </c>
      <c r="B3" t="s">
        <v>603</v>
      </c>
      <c r="C3" t="s">
        <v>603</v>
      </c>
    </row>
    <row r="4" spans="1:3" x14ac:dyDescent="0.3">
      <c r="A4" t="s">
        <v>1453</v>
      </c>
      <c r="B4" t="s">
        <v>603</v>
      </c>
    </row>
    <row r="5" spans="1:3" s="678" customFormat="1" x14ac:dyDescent="0.3">
      <c r="A5" s="678" t="s">
        <v>2307</v>
      </c>
    </row>
    <row r="6" spans="1:3" x14ac:dyDescent="0.3">
      <c r="A6" t="s">
        <v>1947</v>
      </c>
      <c r="B6" t="s">
        <v>603</v>
      </c>
      <c r="C6" t="s">
        <v>603</v>
      </c>
    </row>
    <row r="7" spans="1:3" x14ac:dyDescent="0.3">
      <c r="A7" t="s">
        <v>1454</v>
      </c>
      <c r="B7" t="s">
        <v>603</v>
      </c>
      <c r="C7" t="s">
        <v>603</v>
      </c>
    </row>
    <row r="8" spans="1:3" x14ac:dyDescent="0.3">
      <c r="A8" t="s">
        <v>1455</v>
      </c>
      <c r="B8" t="s">
        <v>603</v>
      </c>
      <c r="C8" t="s">
        <v>603</v>
      </c>
    </row>
    <row r="9" spans="1:3" x14ac:dyDescent="0.3">
      <c r="A9" t="s">
        <v>2288</v>
      </c>
      <c r="B9" t="s">
        <v>603</v>
      </c>
    </row>
    <row r="10" spans="1:3" x14ac:dyDescent="0.3">
      <c r="A10" t="s">
        <v>2289</v>
      </c>
      <c r="B10" t="s">
        <v>603</v>
      </c>
      <c r="C10" s="678" t="s">
        <v>603</v>
      </c>
    </row>
    <row r="11" spans="1:3" s="678" customFormat="1" x14ac:dyDescent="0.3">
      <c r="A11" s="678" t="s">
        <v>2290</v>
      </c>
      <c r="B11" s="678" t="s">
        <v>603</v>
      </c>
    </row>
    <row r="12" spans="1:3" s="678" customFormat="1" x14ac:dyDescent="0.3">
      <c r="A12" s="678" t="s">
        <v>2291</v>
      </c>
      <c r="B12" s="678" t="s">
        <v>603</v>
      </c>
    </row>
    <row r="13" spans="1:3" s="678" customFormat="1" x14ac:dyDescent="0.3">
      <c r="A13" s="678" t="s">
        <v>2292</v>
      </c>
      <c r="B13" s="678" t="s">
        <v>603</v>
      </c>
    </row>
    <row r="14" spans="1:3" x14ac:dyDescent="0.3">
      <c r="A14" t="s">
        <v>1572</v>
      </c>
      <c r="B14" s="678" t="s">
        <v>603</v>
      </c>
      <c r="C14" t="s">
        <v>603</v>
      </c>
    </row>
    <row r="15" spans="1:3" x14ac:dyDescent="0.3">
      <c r="A15" t="s">
        <v>1573</v>
      </c>
      <c r="B15" t="s">
        <v>603</v>
      </c>
      <c r="C15" t="s">
        <v>603</v>
      </c>
    </row>
    <row r="16" spans="1:3" x14ac:dyDescent="0.3">
      <c r="A16" t="s">
        <v>1574</v>
      </c>
      <c r="B16" t="s">
        <v>603</v>
      </c>
      <c r="C16" t="s">
        <v>603</v>
      </c>
    </row>
    <row r="17" spans="1:3" x14ac:dyDescent="0.3">
      <c r="A17" t="s">
        <v>1575</v>
      </c>
      <c r="B17" t="s">
        <v>603</v>
      </c>
      <c r="C17" t="s">
        <v>603</v>
      </c>
    </row>
    <row r="18" spans="1:3" x14ac:dyDescent="0.3">
      <c r="A18" t="s">
        <v>1576</v>
      </c>
      <c r="B18" t="s">
        <v>603</v>
      </c>
      <c r="C18" t="s">
        <v>603</v>
      </c>
    </row>
    <row r="19" spans="1:3" x14ac:dyDescent="0.3">
      <c r="A19" t="s">
        <v>1577</v>
      </c>
      <c r="B19" t="s">
        <v>603</v>
      </c>
      <c r="C19" t="s">
        <v>603</v>
      </c>
    </row>
    <row r="20" spans="1:3" x14ac:dyDescent="0.3">
      <c r="A20" t="s">
        <v>1578</v>
      </c>
      <c r="B20" t="s">
        <v>603</v>
      </c>
      <c r="C20" t="s">
        <v>603</v>
      </c>
    </row>
    <row r="21" spans="1:3" x14ac:dyDescent="0.3">
      <c r="A21" t="s">
        <v>1579</v>
      </c>
      <c r="B21" t="s">
        <v>603</v>
      </c>
      <c r="C21" t="s">
        <v>603</v>
      </c>
    </row>
    <row r="22" spans="1:3" x14ac:dyDescent="0.3">
      <c r="A22" t="s">
        <v>1580</v>
      </c>
      <c r="B22" t="s">
        <v>603</v>
      </c>
      <c r="C22" t="s">
        <v>603</v>
      </c>
    </row>
    <row r="23" spans="1:3" x14ac:dyDescent="0.3">
      <c r="A23" t="s">
        <v>1581</v>
      </c>
      <c r="B23" t="s">
        <v>603</v>
      </c>
      <c r="C23" t="s">
        <v>603</v>
      </c>
    </row>
    <row r="24" spans="1:3" x14ac:dyDescent="0.3">
      <c r="A24" t="s">
        <v>1587</v>
      </c>
      <c r="B24" t="s">
        <v>603</v>
      </c>
      <c r="C24" t="s">
        <v>603</v>
      </c>
    </row>
    <row r="25" spans="1:3" x14ac:dyDescent="0.3">
      <c r="A25" t="s">
        <v>1582</v>
      </c>
      <c r="B25" t="s">
        <v>603</v>
      </c>
      <c r="C25" t="s">
        <v>603</v>
      </c>
    </row>
    <row r="26" spans="1:3" x14ac:dyDescent="0.3">
      <c r="A26" t="s">
        <v>1583</v>
      </c>
      <c r="B26" t="s">
        <v>603</v>
      </c>
      <c r="C26" t="s">
        <v>603</v>
      </c>
    </row>
    <row r="27" spans="1:3" x14ac:dyDescent="0.3">
      <c r="A27" t="s">
        <v>1584</v>
      </c>
      <c r="B27" t="s">
        <v>603</v>
      </c>
      <c r="C27" t="s">
        <v>603</v>
      </c>
    </row>
    <row r="28" spans="1:3" s="392" customFormat="1" x14ac:dyDescent="0.3">
      <c r="A28" s="392" t="s">
        <v>1945</v>
      </c>
      <c r="B28" s="392" t="s">
        <v>603</v>
      </c>
    </row>
    <row r="29" spans="1:3" x14ac:dyDescent="0.3">
      <c r="A29" t="s">
        <v>1585</v>
      </c>
      <c r="B29" t="s">
        <v>603</v>
      </c>
    </row>
    <row r="30" spans="1:3" x14ac:dyDescent="0.3">
      <c r="A30" t="s">
        <v>1456</v>
      </c>
      <c r="B30" t="s">
        <v>603</v>
      </c>
    </row>
    <row r="31" spans="1:3" x14ac:dyDescent="0.3">
      <c r="A31" t="s">
        <v>1603</v>
      </c>
      <c r="B31" t="s">
        <v>603</v>
      </c>
    </row>
    <row r="32" spans="1:3" x14ac:dyDescent="0.3">
      <c r="A32" t="s">
        <v>1944</v>
      </c>
      <c r="B32" t="s">
        <v>603</v>
      </c>
    </row>
    <row r="33" spans="1:2" x14ac:dyDescent="0.3">
      <c r="A33" t="s">
        <v>1586</v>
      </c>
      <c r="B33" t="s">
        <v>603</v>
      </c>
    </row>
    <row r="34" spans="1:2" x14ac:dyDescent="0.3">
      <c r="A34" t="s">
        <v>1457</v>
      </c>
      <c r="B34" t="s">
        <v>603</v>
      </c>
    </row>
    <row r="35" spans="1:2" x14ac:dyDescent="0.3">
      <c r="A35" t="s">
        <v>1946</v>
      </c>
      <c r="B35" s="392" t="s">
        <v>603</v>
      </c>
    </row>
  </sheetData>
  <sheetProtection algorithmName="SHA-512" hashValue="frrx9Gv5xXcu7SjZu0JD5+/d4Cyex7/wleStnv4JxpJj/6QDL4v8UjLs0uqUVcWmNgeEsVfUqoycqj1lN6j9WQ==" saltValue="26uMDECqijQ4b+G+ijovyA=="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dimension ref="A1:C549"/>
  <sheetViews>
    <sheetView showGridLines="0" workbookViewId="0">
      <selection sqref="A1:XFD1048576"/>
    </sheetView>
  </sheetViews>
  <sheetFormatPr defaultColWidth="9.109375" defaultRowHeight="14.4" x14ac:dyDescent="0.3"/>
  <cols>
    <col min="1" max="1" width="42.33203125" style="1192" customWidth="1"/>
    <col min="2" max="2" width="44.5546875" style="1192" customWidth="1"/>
    <col min="3" max="3" width="21.33203125" style="1192" customWidth="1"/>
    <col min="4" max="5" width="0.6640625" style="1192" customWidth="1"/>
    <col min="6" max="16384" width="9.109375" style="1192"/>
  </cols>
  <sheetData>
    <row r="1" spans="1:3" x14ac:dyDescent="0.3">
      <c r="A1" s="1458" t="s">
        <v>7096</v>
      </c>
    </row>
    <row r="2" spans="1:3" x14ac:dyDescent="0.3">
      <c r="A2" s="1459" t="s">
        <v>7302</v>
      </c>
    </row>
    <row r="3" spans="1:3" x14ac:dyDescent="0.3">
      <c r="A3" s="758" t="s">
        <v>2045</v>
      </c>
    </row>
    <row r="4" spans="1:3" x14ac:dyDescent="0.3">
      <c r="A4" s="1069">
        <v>2019</v>
      </c>
    </row>
    <row r="5" spans="1:3" x14ac:dyDescent="0.3">
      <c r="A5" s="759" t="s">
        <v>1461</v>
      </c>
      <c r="B5" s="759" t="s">
        <v>1394</v>
      </c>
      <c r="C5" s="1189" t="s">
        <v>1462</v>
      </c>
    </row>
    <row r="6" spans="1:3" x14ac:dyDescent="0.3">
      <c r="A6" s="1075" t="s">
        <v>3744</v>
      </c>
      <c r="B6" s="1075" t="s">
        <v>1397</v>
      </c>
      <c r="C6" s="1190">
        <v>956265</v>
      </c>
    </row>
    <row r="7" spans="1:3" x14ac:dyDescent="0.3">
      <c r="A7" s="1075" t="s">
        <v>3744</v>
      </c>
      <c r="B7" s="1075" t="s">
        <v>1399</v>
      </c>
      <c r="C7" s="1190">
        <v>84405</v>
      </c>
    </row>
    <row r="8" spans="1:3" x14ac:dyDescent="0.3">
      <c r="A8" s="1075" t="s">
        <v>3744</v>
      </c>
      <c r="B8" s="1075" t="s">
        <v>1396</v>
      </c>
      <c r="C8" s="1190">
        <v>13910</v>
      </c>
    </row>
    <row r="9" spans="1:3" x14ac:dyDescent="0.3">
      <c r="A9" s="1075" t="s">
        <v>3744</v>
      </c>
      <c r="B9" s="1075" t="s">
        <v>1400</v>
      </c>
      <c r="C9" s="1190">
        <v>33</v>
      </c>
    </row>
    <row r="10" spans="1:3" x14ac:dyDescent="0.3">
      <c r="A10" s="1075" t="s">
        <v>3744</v>
      </c>
      <c r="B10" s="1075" t="s">
        <v>1404</v>
      </c>
      <c r="C10" s="1190">
        <v>0</v>
      </c>
    </row>
    <row r="11" spans="1:3" x14ac:dyDescent="0.3">
      <c r="A11" s="1075" t="s">
        <v>3744</v>
      </c>
      <c r="B11" s="1075" t="s">
        <v>1403</v>
      </c>
      <c r="C11" s="1190">
        <v>1</v>
      </c>
    </row>
    <row r="12" spans="1:3" x14ac:dyDescent="0.3">
      <c r="A12" s="1075" t="s">
        <v>3744</v>
      </c>
      <c r="B12" s="1075" t="s">
        <v>1398</v>
      </c>
      <c r="C12" s="1190">
        <v>230685</v>
      </c>
    </row>
    <row r="13" spans="1:3" x14ac:dyDescent="0.3">
      <c r="A13" s="1075" t="s">
        <v>3744</v>
      </c>
      <c r="B13" s="1075" t="s">
        <v>1401</v>
      </c>
      <c r="C13" s="1190">
        <v>505</v>
      </c>
    </row>
    <row r="14" spans="1:3" x14ac:dyDescent="0.3">
      <c r="A14" s="1075" t="s">
        <v>3744</v>
      </c>
      <c r="B14" s="1075" t="s">
        <v>1402</v>
      </c>
      <c r="C14" s="1190">
        <v>11276</v>
      </c>
    </row>
    <row r="15" spans="1:3" x14ac:dyDescent="0.3">
      <c r="A15" s="1075" t="s">
        <v>158</v>
      </c>
      <c r="B15" s="1075" t="s">
        <v>1397</v>
      </c>
      <c r="C15" s="1190">
        <v>11692</v>
      </c>
    </row>
    <row r="16" spans="1:3" x14ac:dyDescent="0.3">
      <c r="A16" s="1075" t="s">
        <v>158</v>
      </c>
      <c r="B16" s="1075" t="s">
        <v>1399</v>
      </c>
      <c r="C16" s="1190">
        <v>0</v>
      </c>
    </row>
    <row r="17" spans="1:3" x14ac:dyDescent="0.3">
      <c r="A17" s="1075" t="s">
        <v>158</v>
      </c>
      <c r="B17" s="1075" t="s">
        <v>1396</v>
      </c>
      <c r="C17" s="1190">
        <v>40</v>
      </c>
    </row>
    <row r="18" spans="1:3" x14ac:dyDescent="0.3">
      <c r="A18" s="1075" t="s">
        <v>158</v>
      </c>
      <c r="B18" s="1075" t="s">
        <v>1400</v>
      </c>
      <c r="C18" s="1190">
        <v>0</v>
      </c>
    </row>
    <row r="19" spans="1:3" x14ac:dyDescent="0.3">
      <c r="A19" s="1075" t="s">
        <v>158</v>
      </c>
      <c r="B19" s="1075" t="s">
        <v>1404</v>
      </c>
      <c r="C19" s="1190">
        <v>0</v>
      </c>
    </row>
    <row r="20" spans="1:3" x14ac:dyDescent="0.3">
      <c r="A20" s="1075" t="s">
        <v>158</v>
      </c>
      <c r="B20" s="1075" t="s">
        <v>1403</v>
      </c>
      <c r="C20" s="1190">
        <v>0</v>
      </c>
    </row>
    <row r="21" spans="1:3" x14ac:dyDescent="0.3">
      <c r="A21" s="1075" t="s">
        <v>158</v>
      </c>
      <c r="B21" s="1075" t="s">
        <v>1398</v>
      </c>
      <c r="C21" s="1190">
        <v>1074</v>
      </c>
    </row>
    <row r="22" spans="1:3" x14ac:dyDescent="0.3">
      <c r="A22" s="1075" t="s">
        <v>158</v>
      </c>
      <c r="B22" s="1075" t="s">
        <v>1401</v>
      </c>
      <c r="C22" s="1190">
        <v>0</v>
      </c>
    </row>
    <row r="23" spans="1:3" x14ac:dyDescent="0.3">
      <c r="A23" s="1075" t="s">
        <v>158</v>
      </c>
      <c r="B23" s="1075" t="s">
        <v>1402</v>
      </c>
      <c r="C23" s="1190">
        <v>0</v>
      </c>
    </row>
    <row r="24" spans="1:3" x14ac:dyDescent="0.3">
      <c r="A24" s="1075" t="s">
        <v>195</v>
      </c>
      <c r="B24" s="1075" t="s">
        <v>1397</v>
      </c>
      <c r="C24" s="1190">
        <v>1383</v>
      </c>
    </row>
    <row r="25" spans="1:3" x14ac:dyDescent="0.3">
      <c r="A25" s="1075" t="s">
        <v>195</v>
      </c>
      <c r="B25" s="1075" t="s">
        <v>1399</v>
      </c>
      <c r="C25" s="1190">
        <v>230</v>
      </c>
    </row>
    <row r="26" spans="1:3" x14ac:dyDescent="0.3">
      <c r="A26" s="1075" t="s">
        <v>195</v>
      </c>
      <c r="B26" s="1075" t="s">
        <v>1396</v>
      </c>
      <c r="C26" s="1190">
        <v>16</v>
      </c>
    </row>
    <row r="27" spans="1:3" x14ac:dyDescent="0.3">
      <c r="A27" s="1075" t="s">
        <v>195</v>
      </c>
      <c r="B27" s="1075" t="s">
        <v>1400</v>
      </c>
      <c r="C27" s="1190">
        <v>0</v>
      </c>
    </row>
    <row r="28" spans="1:3" x14ac:dyDescent="0.3">
      <c r="A28" s="1075" t="s">
        <v>195</v>
      </c>
      <c r="B28" s="1075" t="s">
        <v>1404</v>
      </c>
      <c r="C28" s="1190">
        <v>0</v>
      </c>
    </row>
    <row r="29" spans="1:3" x14ac:dyDescent="0.3">
      <c r="A29" s="1075" t="s">
        <v>195</v>
      </c>
      <c r="B29" s="1075" t="s">
        <v>1403</v>
      </c>
      <c r="C29" s="1190">
        <v>0</v>
      </c>
    </row>
    <row r="30" spans="1:3" x14ac:dyDescent="0.3">
      <c r="A30" s="1075" t="s">
        <v>195</v>
      </c>
      <c r="B30" s="1075" t="s">
        <v>1398</v>
      </c>
      <c r="C30" s="1190">
        <v>626</v>
      </c>
    </row>
    <row r="31" spans="1:3" x14ac:dyDescent="0.3">
      <c r="A31" s="1075" t="s">
        <v>195</v>
      </c>
      <c r="B31" s="1075" t="s">
        <v>1401</v>
      </c>
      <c r="C31" s="1190">
        <v>0</v>
      </c>
    </row>
    <row r="32" spans="1:3" x14ac:dyDescent="0.3">
      <c r="A32" s="1075" t="s">
        <v>195</v>
      </c>
      <c r="B32" s="1075" t="s">
        <v>1402</v>
      </c>
      <c r="C32" s="1190">
        <v>0</v>
      </c>
    </row>
    <row r="33" spans="1:3" x14ac:dyDescent="0.3">
      <c r="A33" s="1075" t="s">
        <v>228</v>
      </c>
      <c r="B33" s="1075" t="s">
        <v>1397</v>
      </c>
      <c r="C33" s="1190">
        <v>32878</v>
      </c>
    </row>
    <row r="34" spans="1:3" x14ac:dyDescent="0.3">
      <c r="A34" s="1075" t="s">
        <v>228</v>
      </c>
      <c r="B34" s="1075" t="s">
        <v>1399</v>
      </c>
      <c r="C34" s="1190">
        <v>3483</v>
      </c>
    </row>
    <row r="35" spans="1:3" x14ac:dyDescent="0.3">
      <c r="A35" s="1075" t="s">
        <v>228</v>
      </c>
      <c r="B35" s="1075" t="s">
        <v>1396</v>
      </c>
      <c r="C35" s="1190">
        <v>378</v>
      </c>
    </row>
    <row r="36" spans="1:3" x14ac:dyDescent="0.3">
      <c r="A36" s="1075" t="s">
        <v>228</v>
      </c>
      <c r="B36" s="1075" t="s">
        <v>1400</v>
      </c>
      <c r="C36" s="1190">
        <v>4</v>
      </c>
    </row>
    <row r="37" spans="1:3" x14ac:dyDescent="0.3">
      <c r="A37" s="1075" t="s">
        <v>228</v>
      </c>
      <c r="B37" s="1075" t="s">
        <v>1404</v>
      </c>
      <c r="C37" s="1190">
        <v>0</v>
      </c>
    </row>
    <row r="38" spans="1:3" x14ac:dyDescent="0.3">
      <c r="A38" s="1075" t="s">
        <v>228</v>
      </c>
      <c r="B38" s="1075" t="s">
        <v>1403</v>
      </c>
      <c r="C38" s="1190">
        <v>0</v>
      </c>
    </row>
    <row r="39" spans="1:3" x14ac:dyDescent="0.3">
      <c r="A39" s="1075" t="s">
        <v>228</v>
      </c>
      <c r="B39" s="1075" t="s">
        <v>1398</v>
      </c>
      <c r="C39" s="1190">
        <v>10108</v>
      </c>
    </row>
    <row r="40" spans="1:3" x14ac:dyDescent="0.3">
      <c r="A40" s="1075" t="s">
        <v>228</v>
      </c>
      <c r="B40" s="1075" t="s">
        <v>1401</v>
      </c>
      <c r="C40" s="1190">
        <v>403</v>
      </c>
    </row>
    <row r="41" spans="1:3" x14ac:dyDescent="0.3">
      <c r="A41" s="1075" t="s">
        <v>228</v>
      </c>
      <c r="B41" s="1075" t="s">
        <v>1402</v>
      </c>
      <c r="C41" s="1190">
        <v>254</v>
      </c>
    </row>
    <row r="42" spans="1:3" x14ac:dyDescent="0.3">
      <c r="A42" s="1075" t="s">
        <v>169</v>
      </c>
      <c r="B42" s="1075" t="s">
        <v>1397</v>
      </c>
      <c r="C42" s="1190">
        <v>36806</v>
      </c>
    </row>
    <row r="43" spans="1:3" x14ac:dyDescent="0.3">
      <c r="A43" s="1075" t="s">
        <v>169</v>
      </c>
      <c r="B43" s="1075" t="s">
        <v>1399</v>
      </c>
      <c r="C43" s="1190">
        <v>2828</v>
      </c>
    </row>
    <row r="44" spans="1:3" x14ac:dyDescent="0.3">
      <c r="A44" s="1075" t="s">
        <v>169</v>
      </c>
      <c r="B44" s="1075" t="s">
        <v>1396</v>
      </c>
      <c r="C44" s="1190">
        <v>490</v>
      </c>
    </row>
    <row r="45" spans="1:3" x14ac:dyDescent="0.3">
      <c r="A45" s="1075" t="s">
        <v>169</v>
      </c>
      <c r="B45" s="1075" t="s">
        <v>1400</v>
      </c>
      <c r="C45" s="1190">
        <v>0</v>
      </c>
    </row>
    <row r="46" spans="1:3" x14ac:dyDescent="0.3">
      <c r="A46" s="1075" t="s">
        <v>169</v>
      </c>
      <c r="B46" s="1075" t="s">
        <v>1404</v>
      </c>
      <c r="C46" s="1190">
        <v>0</v>
      </c>
    </row>
    <row r="47" spans="1:3" x14ac:dyDescent="0.3">
      <c r="A47" s="1075" t="s">
        <v>169</v>
      </c>
      <c r="B47" s="1075" t="s">
        <v>1403</v>
      </c>
      <c r="C47" s="1190">
        <v>1</v>
      </c>
    </row>
    <row r="48" spans="1:3" x14ac:dyDescent="0.3">
      <c r="A48" s="1075" t="s">
        <v>169</v>
      </c>
      <c r="B48" s="1075" t="s">
        <v>1398</v>
      </c>
      <c r="C48" s="1190">
        <v>5771</v>
      </c>
    </row>
    <row r="49" spans="1:3" x14ac:dyDescent="0.3">
      <c r="A49" s="1075" t="s">
        <v>169</v>
      </c>
      <c r="B49" s="1075" t="s">
        <v>1401</v>
      </c>
      <c r="C49" s="1190">
        <v>499</v>
      </c>
    </row>
    <row r="50" spans="1:3" x14ac:dyDescent="0.3">
      <c r="A50" s="1075" t="s">
        <v>169</v>
      </c>
      <c r="B50" s="1075" t="s">
        <v>1402</v>
      </c>
      <c r="C50" s="1190">
        <v>408</v>
      </c>
    </row>
    <row r="51" spans="1:3" x14ac:dyDescent="0.3">
      <c r="A51" s="1075" t="s">
        <v>170</v>
      </c>
      <c r="B51" s="1075" t="s">
        <v>1397</v>
      </c>
      <c r="C51" s="1190">
        <v>61502</v>
      </c>
    </row>
    <row r="52" spans="1:3" x14ac:dyDescent="0.3">
      <c r="A52" s="1075" t="s">
        <v>170</v>
      </c>
      <c r="B52" s="1075" t="s">
        <v>1399</v>
      </c>
      <c r="C52" s="1190">
        <v>5681</v>
      </c>
    </row>
    <row r="53" spans="1:3" x14ac:dyDescent="0.3">
      <c r="A53" s="1075" t="s">
        <v>170</v>
      </c>
      <c r="B53" s="1075" t="s">
        <v>1396</v>
      </c>
      <c r="C53" s="1190">
        <v>1022</v>
      </c>
    </row>
    <row r="54" spans="1:3" x14ac:dyDescent="0.3">
      <c r="A54" s="1075" t="s">
        <v>170</v>
      </c>
      <c r="B54" s="1075" t="s">
        <v>1400</v>
      </c>
      <c r="C54" s="1190">
        <v>0</v>
      </c>
    </row>
    <row r="55" spans="1:3" x14ac:dyDescent="0.3">
      <c r="A55" s="1075" t="s">
        <v>170</v>
      </c>
      <c r="B55" s="1075" t="s">
        <v>1404</v>
      </c>
      <c r="C55" s="1190">
        <v>0</v>
      </c>
    </row>
    <row r="56" spans="1:3" x14ac:dyDescent="0.3">
      <c r="A56" s="1075" t="s">
        <v>170</v>
      </c>
      <c r="B56" s="1075" t="s">
        <v>1403</v>
      </c>
      <c r="C56" s="1190">
        <v>0</v>
      </c>
    </row>
    <row r="57" spans="1:3" x14ac:dyDescent="0.3">
      <c r="A57" s="1075" t="s">
        <v>170</v>
      </c>
      <c r="B57" s="1075" t="s">
        <v>1398</v>
      </c>
      <c r="C57" s="1190">
        <v>17184</v>
      </c>
    </row>
    <row r="58" spans="1:3" x14ac:dyDescent="0.3">
      <c r="A58" s="1075" t="s">
        <v>170</v>
      </c>
      <c r="B58" s="1075" t="s">
        <v>1401</v>
      </c>
      <c r="C58" s="1190">
        <v>0</v>
      </c>
    </row>
    <row r="59" spans="1:3" x14ac:dyDescent="0.3">
      <c r="A59" s="1075" t="s">
        <v>170</v>
      </c>
      <c r="B59" s="1075" t="s">
        <v>1402</v>
      </c>
      <c r="C59" s="1190">
        <v>579</v>
      </c>
    </row>
    <row r="60" spans="1:3" x14ac:dyDescent="0.3">
      <c r="A60" s="1075" t="s">
        <v>415</v>
      </c>
      <c r="B60" s="1075" t="s">
        <v>1397</v>
      </c>
      <c r="C60" s="1190">
        <v>26773</v>
      </c>
    </row>
    <row r="61" spans="1:3" x14ac:dyDescent="0.3">
      <c r="A61" s="1075" t="s">
        <v>415</v>
      </c>
      <c r="B61" s="1075" t="s">
        <v>1399</v>
      </c>
      <c r="C61" s="1190">
        <v>2494</v>
      </c>
    </row>
    <row r="62" spans="1:3" x14ac:dyDescent="0.3">
      <c r="A62" s="1075" t="s">
        <v>415</v>
      </c>
      <c r="B62" s="1075" t="s">
        <v>1396</v>
      </c>
      <c r="C62" s="1190">
        <v>188</v>
      </c>
    </row>
    <row r="63" spans="1:3" x14ac:dyDescent="0.3">
      <c r="A63" s="1075" t="s">
        <v>415</v>
      </c>
      <c r="B63" s="1075" t="s">
        <v>1400</v>
      </c>
      <c r="C63" s="1190">
        <v>0</v>
      </c>
    </row>
    <row r="64" spans="1:3" x14ac:dyDescent="0.3">
      <c r="A64" s="1075" t="s">
        <v>415</v>
      </c>
      <c r="B64" s="1075" t="s">
        <v>1404</v>
      </c>
      <c r="C64" s="1190">
        <v>0</v>
      </c>
    </row>
    <row r="65" spans="1:3" x14ac:dyDescent="0.3">
      <c r="A65" s="1075" t="s">
        <v>415</v>
      </c>
      <c r="B65" s="1075" t="s">
        <v>1403</v>
      </c>
      <c r="C65" s="1190">
        <v>1</v>
      </c>
    </row>
    <row r="66" spans="1:3" x14ac:dyDescent="0.3">
      <c r="A66" s="1075" t="s">
        <v>415</v>
      </c>
      <c r="B66" s="1075" t="s">
        <v>1398</v>
      </c>
      <c r="C66" s="1190">
        <v>5949</v>
      </c>
    </row>
    <row r="67" spans="1:3" x14ac:dyDescent="0.3">
      <c r="A67" s="1075" t="s">
        <v>415</v>
      </c>
      <c r="B67" s="1075" t="s">
        <v>1401</v>
      </c>
      <c r="C67" s="1190">
        <v>646</v>
      </c>
    </row>
    <row r="68" spans="1:3" x14ac:dyDescent="0.3">
      <c r="A68" s="1075" t="s">
        <v>415</v>
      </c>
      <c r="B68" s="1075" t="s">
        <v>1402</v>
      </c>
      <c r="C68" s="1190">
        <v>46</v>
      </c>
    </row>
    <row r="69" spans="1:3" x14ac:dyDescent="0.3">
      <c r="A69" s="1075" t="s">
        <v>171</v>
      </c>
      <c r="B69" s="1075" t="s">
        <v>1397</v>
      </c>
      <c r="C69" s="1190">
        <v>6324</v>
      </c>
    </row>
    <row r="70" spans="1:3" x14ac:dyDescent="0.3">
      <c r="A70" s="1075" t="s">
        <v>171</v>
      </c>
      <c r="B70" s="1075" t="s">
        <v>1399</v>
      </c>
      <c r="C70" s="1190">
        <v>782</v>
      </c>
    </row>
    <row r="71" spans="1:3" x14ac:dyDescent="0.3">
      <c r="A71" s="1075" t="s">
        <v>171</v>
      </c>
      <c r="B71" s="1075" t="s">
        <v>1396</v>
      </c>
      <c r="C71" s="1190">
        <v>50</v>
      </c>
    </row>
    <row r="72" spans="1:3" x14ac:dyDescent="0.3">
      <c r="A72" s="1075" t="s">
        <v>171</v>
      </c>
      <c r="B72" s="1075" t="s">
        <v>1400</v>
      </c>
      <c r="C72" s="1190">
        <v>0</v>
      </c>
    </row>
    <row r="73" spans="1:3" x14ac:dyDescent="0.3">
      <c r="A73" s="1075" t="s">
        <v>171</v>
      </c>
      <c r="B73" s="1075" t="s">
        <v>1404</v>
      </c>
      <c r="C73" s="1190">
        <v>0</v>
      </c>
    </row>
    <row r="74" spans="1:3" x14ac:dyDescent="0.3">
      <c r="A74" s="1075" t="s">
        <v>171</v>
      </c>
      <c r="B74" s="1075" t="s">
        <v>1403</v>
      </c>
      <c r="C74" s="1190">
        <v>0</v>
      </c>
    </row>
    <row r="75" spans="1:3" x14ac:dyDescent="0.3">
      <c r="A75" s="1075" t="s">
        <v>171</v>
      </c>
      <c r="B75" s="1075" t="s">
        <v>1398</v>
      </c>
      <c r="C75" s="1190">
        <v>1813</v>
      </c>
    </row>
    <row r="76" spans="1:3" x14ac:dyDescent="0.3">
      <c r="A76" s="1075" t="s">
        <v>171</v>
      </c>
      <c r="B76" s="1075" t="s">
        <v>1401</v>
      </c>
      <c r="C76" s="1190">
        <v>26</v>
      </c>
    </row>
    <row r="77" spans="1:3" x14ac:dyDescent="0.3">
      <c r="A77" s="1075" t="s">
        <v>171</v>
      </c>
      <c r="B77" s="1075" t="s">
        <v>1402</v>
      </c>
      <c r="C77" s="1190">
        <v>13</v>
      </c>
    </row>
    <row r="78" spans="1:3" x14ac:dyDescent="0.3">
      <c r="A78" s="1075" t="s">
        <v>196</v>
      </c>
      <c r="B78" s="1075" t="s">
        <v>1397</v>
      </c>
      <c r="C78" s="1190">
        <v>1060</v>
      </c>
    </row>
    <row r="79" spans="1:3" x14ac:dyDescent="0.3">
      <c r="A79" s="1075" t="s">
        <v>196</v>
      </c>
      <c r="B79" s="1075" t="s">
        <v>1399</v>
      </c>
      <c r="C79" s="1190">
        <v>150</v>
      </c>
    </row>
    <row r="80" spans="1:3" x14ac:dyDescent="0.3">
      <c r="A80" s="1075" t="s">
        <v>196</v>
      </c>
      <c r="B80" s="1075" t="s">
        <v>1396</v>
      </c>
      <c r="C80" s="1190">
        <v>12</v>
      </c>
    </row>
    <row r="81" spans="1:3" x14ac:dyDescent="0.3">
      <c r="A81" s="1075" t="s">
        <v>196</v>
      </c>
      <c r="B81" s="1075" t="s">
        <v>1400</v>
      </c>
      <c r="C81" s="1190">
        <v>0</v>
      </c>
    </row>
    <row r="82" spans="1:3" x14ac:dyDescent="0.3">
      <c r="A82" s="1075" t="s">
        <v>196</v>
      </c>
      <c r="B82" s="1075" t="s">
        <v>1404</v>
      </c>
      <c r="C82" s="1190">
        <v>0</v>
      </c>
    </row>
    <row r="83" spans="1:3" x14ac:dyDescent="0.3">
      <c r="A83" s="1075" t="s">
        <v>196</v>
      </c>
      <c r="B83" s="1075" t="s">
        <v>1403</v>
      </c>
      <c r="C83" s="1190">
        <v>0</v>
      </c>
    </row>
    <row r="84" spans="1:3" x14ac:dyDescent="0.3">
      <c r="A84" s="1075" t="s">
        <v>196</v>
      </c>
      <c r="B84" s="1075" t="s">
        <v>1398</v>
      </c>
      <c r="C84" s="1190">
        <v>328</v>
      </c>
    </row>
    <row r="85" spans="1:3" x14ac:dyDescent="0.3">
      <c r="A85" s="1075" t="s">
        <v>196</v>
      </c>
      <c r="B85" s="1075" t="s">
        <v>1401</v>
      </c>
      <c r="C85" s="1190">
        <v>22</v>
      </c>
    </row>
    <row r="86" spans="1:3" x14ac:dyDescent="0.3">
      <c r="A86" s="1075" t="s">
        <v>196</v>
      </c>
      <c r="B86" s="1075" t="s">
        <v>1402</v>
      </c>
      <c r="C86" s="1190">
        <v>4</v>
      </c>
    </row>
    <row r="87" spans="1:3" x14ac:dyDescent="0.3">
      <c r="A87" s="1075" t="s">
        <v>172</v>
      </c>
      <c r="B87" s="1075" t="s">
        <v>1397</v>
      </c>
      <c r="C87" s="1190">
        <v>2182</v>
      </c>
    </row>
    <row r="88" spans="1:3" x14ac:dyDescent="0.3">
      <c r="A88" s="1075" t="s">
        <v>172</v>
      </c>
      <c r="B88" s="1075" t="s">
        <v>1399</v>
      </c>
      <c r="C88" s="1190">
        <v>174</v>
      </c>
    </row>
    <row r="89" spans="1:3" x14ac:dyDescent="0.3">
      <c r="A89" s="1075" t="s">
        <v>172</v>
      </c>
      <c r="B89" s="1075" t="s">
        <v>1396</v>
      </c>
      <c r="C89" s="1190">
        <v>10</v>
      </c>
    </row>
    <row r="90" spans="1:3" x14ac:dyDescent="0.3">
      <c r="A90" s="1075" t="s">
        <v>172</v>
      </c>
      <c r="B90" s="1075" t="s">
        <v>1400</v>
      </c>
      <c r="C90" s="1190">
        <v>0</v>
      </c>
    </row>
    <row r="91" spans="1:3" x14ac:dyDescent="0.3">
      <c r="A91" s="1075" t="s">
        <v>172</v>
      </c>
      <c r="B91" s="1075" t="s">
        <v>1404</v>
      </c>
      <c r="C91" s="1190">
        <v>0</v>
      </c>
    </row>
    <row r="92" spans="1:3" x14ac:dyDescent="0.3">
      <c r="A92" s="1075" t="s">
        <v>172</v>
      </c>
      <c r="B92" s="1075" t="s">
        <v>1403</v>
      </c>
      <c r="C92" s="1190">
        <v>0</v>
      </c>
    </row>
    <row r="93" spans="1:3" x14ac:dyDescent="0.3">
      <c r="A93" s="1075" t="s">
        <v>172</v>
      </c>
      <c r="B93" s="1075" t="s">
        <v>1398</v>
      </c>
      <c r="C93" s="1190">
        <v>576</v>
      </c>
    </row>
    <row r="94" spans="1:3" x14ac:dyDescent="0.3">
      <c r="A94" s="1075" t="s">
        <v>172</v>
      </c>
      <c r="B94" s="1075" t="s">
        <v>1401</v>
      </c>
      <c r="C94" s="1190">
        <v>0</v>
      </c>
    </row>
    <row r="95" spans="1:3" x14ac:dyDescent="0.3">
      <c r="A95" s="1075" t="s">
        <v>172</v>
      </c>
      <c r="B95" s="1075" t="s">
        <v>1402</v>
      </c>
      <c r="C95" s="1190">
        <v>17</v>
      </c>
    </row>
    <row r="96" spans="1:3" x14ac:dyDescent="0.3">
      <c r="A96" s="1075" t="s">
        <v>173</v>
      </c>
      <c r="B96" s="1075" t="s">
        <v>1397</v>
      </c>
      <c r="C96" s="1190">
        <v>10963</v>
      </c>
    </row>
    <row r="97" spans="1:3" x14ac:dyDescent="0.3">
      <c r="A97" s="1075" t="s">
        <v>173</v>
      </c>
      <c r="B97" s="1075" t="s">
        <v>1399</v>
      </c>
      <c r="C97" s="1190">
        <v>1418</v>
      </c>
    </row>
    <row r="98" spans="1:3" x14ac:dyDescent="0.3">
      <c r="A98" s="1075" t="s">
        <v>173</v>
      </c>
      <c r="B98" s="1075" t="s">
        <v>1396</v>
      </c>
      <c r="C98" s="1190">
        <v>97</v>
      </c>
    </row>
    <row r="99" spans="1:3" x14ac:dyDescent="0.3">
      <c r="A99" s="1075" t="s">
        <v>173</v>
      </c>
      <c r="B99" s="1075" t="s">
        <v>1400</v>
      </c>
      <c r="C99" s="1190">
        <v>0</v>
      </c>
    </row>
    <row r="100" spans="1:3" x14ac:dyDescent="0.3">
      <c r="A100" s="1075" t="s">
        <v>173</v>
      </c>
      <c r="B100" s="1075" t="s">
        <v>1404</v>
      </c>
      <c r="C100" s="1190">
        <v>0</v>
      </c>
    </row>
    <row r="101" spans="1:3" x14ac:dyDescent="0.3">
      <c r="A101" s="1075" t="s">
        <v>173</v>
      </c>
      <c r="B101" s="1075" t="s">
        <v>1403</v>
      </c>
      <c r="C101" s="1190">
        <v>1</v>
      </c>
    </row>
    <row r="102" spans="1:3" x14ac:dyDescent="0.3">
      <c r="A102" s="1075" t="s">
        <v>173</v>
      </c>
      <c r="B102" s="1075" t="s">
        <v>1398</v>
      </c>
      <c r="C102" s="1190">
        <v>3006</v>
      </c>
    </row>
    <row r="103" spans="1:3" x14ac:dyDescent="0.3">
      <c r="A103" s="1075" t="s">
        <v>173</v>
      </c>
      <c r="B103" s="1075" t="s">
        <v>1401</v>
      </c>
      <c r="C103" s="1190">
        <v>17</v>
      </c>
    </row>
    <row r="104" spans="1:3" x14ac:dyDescent="0.3">
      <c r="A104" s="1075" t="s">
        <v>173</v>
      </c>
      <c r="B104" s="1075" t="s">
        <v>1402</v>
      </c>
      <c r="C104" s="1190">
        <v>32</v>
      </c>
    </row>
    <row r="105" spans="1:3" x14ac:dyDescent="0.3">
      <c r="A105" s="1075" t="s">
        <v>5684</v>
      </c>
      <c r="B105" s="1075" t="s">
        <v>1397</v>
      </c>
      <c r="C105" s="1190">
        <v>154711</v>
      </c>
    </row>
    <row r="106" spans="1:3" x14ac:dyDescent="0.3">
      <c r="A106" s="1075" t="s">
        <v>5684</v>
      </c>
      <c r="B106" s="1075" t="s">
        <v>1399</v>
      </c>
      <c r="C106" s="1190">
        <v>11535</v>
      </c>
    </row>
    <row r="107" spans="1:3" x14ac:dyDescent="0.3">
      <c r="A107" s="1075" t="s">
        <v>5684</v>
      </c>
      <c r="B107" s="1075" t="s">
        <v>1396</v>
      </c>
      <c r="C107" s="1190">
        <v>1403</v>
      </c>
    </row>
    <row r="108" spans="1:3" x14ac:dyDescent="0.3">
      <c r="A108" s="1075" t="s">
        <v>5684</v>
      </c>
      <c r="B108" s="1075" t="s">
        <v>1400</v>
      </c>
      <c r="C108" s="1190">
        <v>4</v>
      </c>
    </row>
    <row r="109" spans="1:3" x14ac:dyDescent="0.3">
      <c r="A109" s="1075" t="s">
        <v>5684</v>
      </c>
      <c r="B109" s="1075" t="s">
        <v>1404</v>
      </c>
      <c r="C109" s="1190">
        <v>0</v>
      </c>
    </row>
    <row r="110" spans="1:3" x14ac:dyDescent="0.3">
      <c r="A110" s="1075" t="s">
        <v>5684</v>
      </c>
      <c r="B110" s="1075" t="s">
        <v>1403</v>
      </c>
      <c r="C110" s="1190">
        <v>0</v>
      </c>
    </row>
    <row r="111" spans="1:3" x14ac:dyDescent="0.3">
      <c r="A111" s="1075" t="s">
        <v>5684</v>
      </c>
      <c r="B111" s="1075" t="s">
        <v>1398</v>
      </c>
      <c r="C111" s="1190">
        <v>43782</v>
      </c>
    </row>
    <row r="112" spans="1:3" x14ac:dyDescent="0.3">
      <c r="A112" s="1075" t="s">
        <v>5684</v>
      </c>
      <c r="B112" s="1075" t="s">
        <v>1401</v>
      </c>
      <c r="C112" s="1190">
        <v>297</v>
      </c>
    </row>
    <row r="113" spans="1:3" x14ac:dyDescent="0.3">
      <c r="A113" s="1075" t="s">
        <v>5684</v>
      </c>
      <c r="B113" s="1075" t="s">
        <v>1402</v>
      </c>
      <c r="C113" s="1190">
        <v>1191</v>
      </c>
    </row>
    <row r="114" spans="1:3" x14ac:dyDescent="0.3">
      <c r="A114" s="1075" t="s">
        <v>2041</v>
      </c>
      <c r="B114" s="1075" t="s">
        <v>1397</v>
      </c>
      <c r="C114" s="1190">
        <v>59270</v>
      </c>
    </row>
    <row r="115" spans="1:3" x14ac:dyDescent="0.3">
      <c r="A115" s="1075" t="s">
        <v>2041</v>
      </c>
      <c r="B115" s="1075" t="s">
        <v>1399</v>
      </c>
      <c r="C115" s="1190">
        <v>6463</v>
      </c>
    </row>
    <row r="116" spans="1:3" x14ac:dyDescent="0.3">
      <c r="A116" s="1075" t="s">
        <v>2041</v>
      </c>
      <c r="B116" s="1075" t="s">
        <v>1396</v>
      </c>
      <c r="C116" s="1190">
        <v>786</v>
      </c>
    </row>
    <row r="117" spans="1:3" x14ac:dyDescent="0.3">
      <c r="A117" s="1075" t="s">
        <v>2041</v>
      </c>
      <c r="B117" s="1075" t="s">
        <v>1400</v>
      </c>
      <c r="C117" s="1190">
        <v>2</v>
      </c>
    </row>
    <row r="118" spans="1:3" x14ac:dyDescent="0.3">
      <c r="A118" s="1075" t="s">
        <v>2041</v>
      </c>
      <c r="B118" s="1075" t="s">
        <v>1404</v>
      </c>
      <c r="C118" s="1190">
        <v>0</v>
      </c>
    </row>
    <row r="119" spans="1:3" x14ac:dyDescent="0.3">
      <c r="A119" s="1075" t="s">
        <v>2041</v>
      </c>
      <c r="B119" s="1075" t="s">
        <v>1403</v>
      </c>
      <c r="C119" s="1190">
        <v>8</v>
      </c>
    </row>
    <row r="120" spans="1:3" x14ac:dyDescent="0.3">
      <c r="A120" s="1075" t="s">
        <v>2041</v>
      </c>
      <c r="B120" s="1075" t="s">
        <v>1398</v>
      </c>
      <c r="C120" s="1190">
        <v>16422</v>
      </c>
    </row>
    <row r="121" spans="1:3" x14ac:dyDescent="0.3">
      <c r="A121" s="1075" t="s">
        <v>2041</v>
      </c>
      <c r="B121" s="1075" t="s">
        <v>1401</v>
      </c>
      <c r="C121" s="1190">
        <v>163</v>
      </c>
    </row>
    <row r="122" spans="1:3" x14ac:dyDescent="0.3">
      <c r="A122" s="1075" t="s">
        <v>2041</v>
      </c>
      <c r="B122" s="1075" t="s">
        <v>1402</v>
      </c>
      <c r="C122" s="1190">
        <v>483</v>
      </c>
    </row>
    <row r="123" spans="1:3" x14ac:dyDescent="0.3">
      <c r="A123" s="1075" t="s">
        <v>416</v>
      </c>
      <c r="B123" s="1075" t="s">
        <v>1397</v>
      </c>
      <c r="C123" s="1190">
        <v>53550</v>
      </c>
    </row>
    <row r="124" spans="1:3" x14ac:dyDescent="0.3">
      <c r="A124" s="1075" t="s">
        <v>416</v>
      </c>
      <c r="B124" s="1075" t="s">
        <v>1399</v>
      </c>
      <c r="C124" s="1190">
        <v>5695</v>
      </c>
    </row>
    <row r="125" spans="1:3" x14ac:dyDescent="0.3">
      <c r="A125" s="1075" t="s">
        <v>416</v>
      </c>
      <c r="B125" s="1075" t="s">
        <v>1396</v>
      </c>
      <c r="C125" s="1190">
        <v>563</v>
      </c>
    </row>
    <row r="126" spans="1:3" x14ac:dyDescent="0.3">
      <c r="A126" s="1075" t="s">
        <v>416</v>
      </c>
      <c r="B126" s="1075" t="s">
        <v>1400</v>
      </c>
      <c r="C126" s="1190">
        <v>2</v>
      </c>
    </row>
    <row r="127" spans="1:3" x14ac:dyDescent="0.3">
      <c r="A127" s="1075" t="s">
        <v>416</v>
      </c>
      <c r="B127" s="1075" t="s">
        <v>1404</v>
      </c>
      <c r="C127" s="1190">
        <v>0</v>
      </c>
    </row>
    <row r="128" spans="1:3" x14ac:dyDescent="0.3">
      <c r="A128" s="1075" t="s">
        <v>416</v>
      </c>
      <c r="B128" s="1075" t="s">
        <v>1403</v>
      </c>
      <c r="C128" s="1190">
        <v>1</v>
      </c>
    </row>
    <row r="129" spans="1:3" x14ac:dyDescent="0.3">
      <c r="A129" s="1075" t="s">
        <v>416</v>
      </c>
      <c r="B129" s="1075" t="s">
        <v>1398</v>
      </c>
      <c r="C129" s="1190">
        <v>18084</v>
      </c>
    </row>
    <row r="130" spans="1:3" x14ac:dyDescent="0.3">
      <c r="A130" s="1075" t="s">
        <v>416</v>
      </c>
      <c r="B130" s="1075" t="s">
        <v>1401</v>
      </c>
      <c r="C130" s="1190">
        <v>406</v>
      </c>
    </row>
    <row r="131" spans="1:3" x14ac:dyDescent="0.3">
      <c r="A131" s="1075" t="s">
        <v>416</v>
      </c>
      <c r="B131" s="1075" t="s">
        <v>1402</v>
      </c>
      <c r="C131" s="1190">
        <v>228</v>
      </c>
    </row>
    <row r="132" spans="1:3" x14ac:dyDescent="0.3">
      <c r="A132" s="1075" t="s">
        <v>4737</v>
      </c>
      <c r="B132" s="1075" t="s">
        <v>1397</v>
      </c>
      <c r="C132" s="1190">
        <v>80456</v>
      </c>
    </row>
    <row r="133" spans="1:3" x14ac:dyDescent="0.3">
      <c r="A133" s="1075" t="s">
        <v>4737</v>
      </c>
      <c r="B133" s="1075" t="s">
        <v>1399</v>
      </c>
      <c r="C133" s="1190">
        <v>7893</v>
      </c>
    </row>
    <row r="134" spans="1:3" x14ac:dyDescent="0.3">
      <c r="A134" s="1075" t="s">
        <v>4737</v>
      </c>
      <c r="B134" s="1075" t="s">
        <v>1396</v>
      </c>
      <c r="C134" s="1190">
        <v>1203</v>
      </c>
    </row>
    <row r="135" spans="1:3" x14ac:dyDescent="0.3">
      <c r="A135" s="1075" t="s">
        <v>4737</v>
      </c>
      <c r="B135" s="1075" t="s">
        <v>1400</v>
      </c>
      <c r="C135" s="1190">
        <v>9</v>
      </c>
    </row>
    <row r="136" spans="1:3" x14ac:dyDescent="0.3">
      <c r="A136" s="1075" t="s">
        <v>4737</v>
      </c>
      <c r="B136" s="1075" t="s">
        <v>1404</v>
      </c>
      <c r="C136" s="1190">
        <v>0</v>
      </c>
    </row>
    <row r="137" spans="1:3" x14ac:dyDescent="0.3">
      <c r="A137" s="1075" t="s">
        <v>4737</v>
      </c>
      <c r="B137" s="1075" t="s">
        <v>1403</v>
      </c>
      <c r="C137" s="1190">
        <v>0</v>
      </c>
    </row>
    <row r="138" spans="1:3" x14ac:dyDescent="0.3">
      <c r="A138" s="1075" t="s">
        <v>4737</v>
      </c>
      <c r="B138" s="1075" t="s">
        <v>1398</v>
      </c>
      <c r="C138" s="1190">
        <v>24489</v>
      </c>
    </row>
    <row r="139" spans="1:3" x14ac:dyDescent="0.3">
      <c r="A139" s="1075" t="s">
        <v>4737</v>
      </c>
      <c r="B139" s="1075" t="s">
        <v>1401</v>
      </c>
      <c r="C139" s="1190">
        <v>512</v>
      </c>
    </row>
    <row r="140" spans="1:3" x14ac:dyDescent="0.3">
      <c r="A140" s="1075" t="s">
        <v>4737</v>
      </c>
      <c r="B140" s="1075" t="s">
        <v>1402</v>
      </c>
      <c r="C140" s="1190">
        <v>715</v>
      </c>
    </row>
    <row r="141" spans="1:3" x14ac:dyDescent="0.3">
      <c r="A141" s="1075" t="s">
        <v>4649</v>
      </c>
      <c r="B141" s="1075" t="s">
        <v>1397</v>
      </c>
      <c r="C141" s="1190">
        <v>16013</v>
      </c>
    </row>
    <row r="142" spans="1:3" x14ac:dyDescent="0.3">
      <c r="A142" s="1075" t="s">
        <v>4649</v>
      </c>
      <c r="B142" s="1075" t="s">
        <v>1399</v>
      </c>
      <c r="C142" s="1190">
        <v>1774</v>
      </c>
    </row>
    <row r="143" spans="1:3" x14ac:dyDescent="0.3">
      <c r="A143" s="1075" t="s">
        <v>4649</v>
      </c>
      <c r="B143" s="1075" t="s">
        <v>1396</v>
      </c>
      <c r="C143" s="1190">
        <v>129</v>
      </c>
    </row>
    <row r="144" spans="1:3" x14ac:dyDescent="0.3">
      <c r="A144" s="1075" t="s">
        <v>4649</v>
      </c>
      <c r="B144" s="1075" t="s">
        <v>1400</v>
      </c>
      <c r="C144" s="1190">
        <v>0</v>
      </c>
    </row>
    <row r="145" spans="1:3" x14ac:dyDescent="0.3">
      <c r="A145" s="1075" t="s">
        <v>4649</v>
      </c>
      <c r="B145" s="1075" t="s">
        <v>1404</v>
      </c>
      <c r="C145" s="1190">
        <v>0</v>
      </c>
    </row>
    <row r="146" spans="1:3" x14ac:dyDescent="0.3">
      <c r="A146" s="1075" t="s">
        <v>4649</v>
      </c>
      <c r="B146" s="1075" t="s">
        <v>1403</v>
      </c>
      <c r="C146" s="1190">
        <v>0</v>
      </c>
    </row>
    <row r="147" spans="1:3" x14ac:dyDescent="0.3">
      <c r="A147" s="1075" t="s">
        <v>4649</v>
      </c>
      <c r="B147" s="1075" t="s">
        <v>1398</v>
      </c>
      <c r="C147" s="1190">
        <v>3261</v>
      </c>
    </row>
    <row r="148" spans="1:3" x14ac:dyDescent="0.3">
      <c r="A148" s="1075" t="s">
        <v>4649</v>
      </c>
      <c r="B148" s="1075" t="s">
        <v>1401</v>
      </c>
      <c r="C148" s="1190">
        <v>0</v>
      </c>
    </row>
    <row r="149" spans="1:3" x14ac:dyDescent="0.3">
      <c r="A149" s="1075" t="s">
        <v>4649</v>
      </c>
      <c r="B149" s="1075" t="s">
        <v>1402</v>
      </c>
      <c r="C149" s="1190">
        <v>30</v>
      </c>
    </row>
    <row r="150" spans="1:3" x14ac:dyDescent="0.3">
      <c r="A150" s="1075" t="s">
        <v>6898</v>
      </c>
      <c r="B150" s="1075" t="s">
        <v>1397</v>
      </c>
      <c r="C150" s="1190">
        <v>20848</v>
      </c>
    </row>
    <row r="151" spans="1:3" x14ac:dyDescent="0.3">
      <c r="A151" s="1075" t="s">
        <v>6898</v>
      </c>
      <c r="B151" s="1075" t="s">
        <v>1399</v>
      </c>
      <c r="C151" s="1190">
        <v>2326</v>
      </c>
    </row>
    <row r="152" spans="1:3" x14ac:dyDescent="0.3">
      <c r="A152" s="1075" t="s">
        <v>6898</v>
      </c>
      <c r="B152" s="1075" t="s">
        <v>1396</v>
      </c>
      <c r="C152" s="1190">
        <v>203</v>
      </c>
    </row>
    <row r="153" spans="1:3" x14ac:dyDescent="0.3">
      <c r="A153" s="1075" t="s">
        <v>6898</v>
      </c>
      <c r="B153" s="1075" t="s">
        <v>1400</v>
      </c>
      <c r="C153" s="1190">
        <v>3</v>
      </c>
    </row>
    <row r="154" spans="1:3" x14ac:dyDescent="0.3">
      <c r="A154" s="1075" t="s">
        <v>6898</v>
      </c>
      <c r="B154" s="1075" t="s">
        <v>1404</v>
      </c>
      <c r="C154" s="1190">
        <v>0</v>
      </c>
    </row>
    <row r="155" spans="1:3" x14ac:dyDescent="0.3">
      <c r="A155" s="1075" t="s">
        <v>6898</v>
      </c>
      <c r="B155" s="1075" t="s">
        <v>1403</v>
      </c>
      <c r="C155" s="1190">
        <v>4</v>
      </c>
    </row>
    <row r="156" spans="1:3" x14ac:dyDescent="0.3">
      <c r="A156" s="1075" t="s">
        <v>6898</v>
      </c>
      <c r="B156" s="1075" t="s">
        <v>1398</v>
      </c>
      <c r="C156" s="1190">
        <v>7513</v>
      </c>
    </row>
    <row r="157" spans="1:3" x14ac:dyDescent="0.3">
      <c r="A157" s="1075" t="s">
        <v>6898</v>
      </c>
      <c r="B157" s="1075" t="s">
        <v>1401</v>
      </c>
      <c r="C157" s="1190">
        <v>361</v>
      </c>
    </row>
    <row r="158" spans="1:3" x14ac:dyDescent="0.3">
      <c r="A158" s="1075" t="s">
        <v>6898</v>
      </c>
      <c r="B158" s="1075" t="s">
        <v>1402</v>
      </c>
      <c r="C158" s="1190">
        <v>104</v>
      </c>
    </row>
    <row r="159" spans="1:3" x14ac:dyDescent="0.3">
      <c r="A159" s="1075" t="s">
        <v>197</v>
      </c>
      <c r="B159" s="1075" t="s">
        <v>1397</v>
      </c>
      <c r="C159" s="1190">
        <v>2901</v>
      </c>
    </row>
    <row r="160" spans="1:3" x14ac:dyDescent="0.3">
      <c r="A160" s="1075" t="s">
        <v>197</v>
      </c>
      <c r="B160" s="1075" t="s">
        <v>1399</v>
      </c>
      <c r="C160" s="1190">
        <v>380</v>
      </c>
    </row>
    <row r="161" spans="1:3" x14ac:dyDescent="0.3">
      <c r="A161" s="1075" t="s">
        <v>197</v>
      </c>
      <c r="B161" s="1075" t="s">
        <v>1396</v>
      </c>
      <c r="C161" s="1190">
        <v>28</v>
      </c>
    </row>
    <row r="162" spans="1:3" x14ac:dyDescent="0.3">
      <c r="A162" s="1075" t="s">
        <v>197</v>
      </c>
      <c r="B162" s="1075" t="s">
        <v>1400</v>
      </c>
      <c r="C162" s="1190">
        <v>0</v>
      </c>
    </row>
    <row r="163" spans="1:3" x14ac:dyDescent="0.3">
      <c r="A163" s="1075" t="s">
        <v>197</v>
      </c>
      <c r="B163" s="1075" t="s">
        <v>1404</v>
      </c>
      <c r="C163" s="1190">
        <v>0</v>
      </c>
    </row>
    <row r="164" spans="1:3" x14ac:dyDescent="0.3">
      <c r="A164" s="1075" t="s">
        <v>197</v>
      </c>
      <c r="B164" s="1075" t="s">
        <v>1403</v>
      </c>
      <c r="C164" s="1190">
        <v>0</v>
      </c>
    </row>
    <row r="165" spans="1:3" x14ac:dyDescent="0.3">
      <c r="A165" s="1075" t="s">
        <v>197</v>
      </c>
      <c r="B165" s="1075" t="s">
        <v>1398</v>
      </c>
      <c r="C165" s="1190">
        <v>1062</v>
      </c>
    </row>
    <row r="166" spans="1:3" x14ac:dyDescent="0.3">
      <c r="A166" s="1075" t="s">
        <v>197</v>
      </c>
      <c r="B166" s="1075" t="s">
        <v>1401</v>
      </c>
      <c r="C166" s="1190">
        <v>34</v>
      </c>
    </row>
    <row r="167" spans="1:3" x14ac:dyDescent="0.3">
      <c r="A167" s="1075" t="s">
        <v>197</v>
      </c>
      <c r="B167" s="1075" t="s">
        <v>1402</v>
      </c>
      <c r="C167" s="1190">
        <v>21</v>
      </c>
    </row>
    <row r="168" spans="1:3" x14ac:dyDescent="0.3">
      <c r="A168" s="1075" t="s">
        <v>175</v>
      </c>
      <c r="B168" s="1075" t="s">
        <v>1397</v>
      </c>
      <c r="C168" s="1190">
        <v>28134</v>
      </c>
    </row>
    <row r="169" spans="1:3" x14ac:dyDescent="0.3">
      <c r="A169" s="1075" t="s">
        <v>175</v>
      </c>
      <c r="B169" s="1075" t="s">
        <v>1399</v>
      </c>
      <c r="C169" s="1190">
        <v>1997</v>
      </c>
    </row>
    <row r="170" spans="1:3" x14ac:dyDescent="0.3">
      <c r="A170" s="1075" t="s">
        <v>175</v>
      </c>
      <c r="B170" s="1075" t="s">
        <v>1396</v>
      </c>
      <c r="C170" s="1190">
        <v>262</v>
      </c>
    </row>
    <row r="171" spans="1:3" x14ac:dyDescent="0.3">
      <c r="A171" s="1075" t="s">
        <v>175</v>
      </c>
      <c r="B171" s="1075" t="s">
        <v>1400</v>
      </c>
      <c r="C171" s="1190">
        <v>0</v>
      </c>
    </row>
    <row r="172" spans="1:3" x14ac:dyDescent="0.3">
      <c r="A172" s="1075" t="s">
        <v>175</v>
      </c>
      <c r="B172" s="1075" t="s">
        <v>1404</v>
      </c>
      <c r="C172" s="1190">
        <v>0</v>
      </c>
    </row>
    <row r="173" spans="1:3" x14ac:dyDescent="0.3">
      <c r="A173" s="1075" t="s">
        <v>175</v>
      </c>
      <c r="B173" s="1075" t="s">
        <v>1403</v>
      </c>
      <c r="C173" s="1190">
        <v>4</v>
      </c>
    </row>
    <row r="174" spans="1:3" x14ac:dyDescent="0.3">
      <c r="A174" s="1075" t="s">
        <v>175</v>
      </c>
      <c r="B174" s="1075" t="s">
        <v>1398</v>
      </c>
      <c r="C174" s="1190">
        <v>2767</v>
      </c>
    </row>
    <row r="175" spans="1:3" x14ac:dyDescent="0.3">
      <c r="A175" s="1075" t="s">
        <v>175</v>
      </c>
      <c r="B175" s="1075" t="s">
        <v>1401</v>
      </c>
      <c r="C175" s="1190">
        <v>230</v>
      </c>
    </row>
    <row r="176" spans="1:3" x14ac:dyDescent="0.3">
      <c r="A176" s="1075" t="s">
        <v>175</v>
      </c>
      <c r="B176" s="1075" t="s">
        <v>1402</v>
      </c>
      <c r="C176" s="1190">
        <v>129</v>
      </c>
    </row>
    <row r="177" spans="1:3" x14ac:dyDescent="0.3">
      <c r="A177" s="1075" t="s">
        <v>176</v>
      </c>
      <c r="B177" s="1075" t="s">
        <v>1397</v>
      </c>
      <c r="C177" s="1190">
        <v>19082</v>
      </c>
    </row>
    <row r="178" spans="1:3" x14ac:dyDescent="0.3">
      <c r="A178" s="1075" t="s">
        <v>176</v>
      </c>
      <c r="B178" s="1075" t="s">
        <v>1399</v>
      </c>
      <c r="C178" s="1190">
        <v>2075</v>
      </c>
    </row>
    <row r="179" spans="1:3" x14ac:dyDescent="0.3">
      <c r="A179" s="1075" t="s">
        <v>176</v>
      </c>
      <c r="B179" s="1075" t="s">
        <v>1396</v>
      </c>
      <c r="C179" s="1190">
        <v>224</v>
      </c>
    </row>
    <row r="180" spans="1:3" x14ac:dyDescent="0.3">
      <c r="A180" s="1075" t="s">
        <v>176</v>
      </c>
      <c r="B180" s="1075" t="s">
        <v>1400</v>
      </c>
      <c r="C180" s="1190">
        <v>1</v>
      </c>
    </row>
    <row r="181" spans="1:3" x14ac:dyDescent="0.3">
      <c r="A181" s="1075" t="s">
        <v>176</v>
      </c>
      <c r="B181" s="1075" t="s">
        <v>1404</v>
      </c>
      <c r="C181" s="1190">
        <v>0</v>
      </c>
    </row>
    <row r="182" spans="1:3" x14ac:dyDescent="0.3">
      <c r="A182" s="1075" t="s">
        <v>176</v>
      </c>
      <c r="B182" s="1075" t="s">
        <v>1403</v>
      </c>
      <c r="C182" s="1190">
        <v>0</v>
      </c>
    </row>
    <row r="183" spans="1:3" x14ac:dyDescent="0.3">
      <c r="A183" s="1075" t="s">
        <v>176</v>
      </c>
      <c r="B183" s="1075" t="s">
        <v>1398</v>
      </c>
      <c r="C183" s="1190">
        <v>6536</v>
      </c>
    </row>
    <row r="184" spans="1:3" x14ac:dyDescent="0.3">
      <c r="A184" s="1075" t="s">
        <v>176</v>
      </c>
      <c r="B184" s="1075" t="s">
        <v>1401</v>
      </c>
      <c r="C184" s="1190">
        <v>36</v>
      </c>
    </row>
    <row r="185" spans="1:3" x14ac:dyDescent="0.3">
      <c r="A185" s="1075" t="s">
        <v>176</v>
      </c>
      <c r="B185" s="1075" t="s">
        <v>1402</v>
      </c>
      <c r="C185" s="1190">
        <v>229</v>
      </c>
    </row>
    <row r="186" spans="1:3" x14ac:dyDescent="0.3">
      <c r="A186" s="1075" t="s">
        <v>177</v>
      </c>
      <c r="B186" s="1075" t="s">
        <v>1397</v>
      </c>
      <c r="C186" s="1190">
        <v>3306</v>
      </c>
    </row>
    <row r="187" spans="1:3" x14ac:dyDescent="0.3">
      <c r="A187" s="1075" t="s">
        <v>177</v>
      </c>
      <c r="B187" s="1075" t="s">
        <v>1399</v>
      </c>
      <c r="C187" s="1190">
        <v>428</v>
      </c>
    </row>
    <row r="188" spans="1:3" x14ac:dyDescent="0.3">
      <c r="A188" s="1075" t="s">
        <v>177</v>
      </c>
      <c r="B188" s="1075" t="s">
        <v>1396</v>
      </c>
      <c r="C188" s="1190">
        <v>39</v>
      </c>
    </row>
    <row r="189" spans="1:3" x14ac:dyDescent="0.3">
      <c r="A189" s="1075" t="s">
        <v>177</v>
      </c>
      <c r="B189" s="1075" t="s">
        <v>1400</v>
      </c>
      <c r="C189" s="1190">
        <v>0</v>
      </c>
    </row>
    <row r="190" spans="1:3" x14ac:dyDescent="0.3">
      <c r="A190" s="1075" t="s">
        <v>177</v>
      </c>
      <c r="B190" s="1075" t="s">
        <v>1404</v>
      </c>
      <c r="C190" s="1190">
        <v>0</v>
      </c>
    </row>
    <row r="191" spans="1:3" x14ac:dyDescent="0.3">
      <c r="A191" s="1075" t="s">
        <v>177</v>
      </c>
      <c r="B191" s="1075" t="s">
        <v>1403</v>
      </c>
      <c r="C191" s="1190">
        <v>0</v>
      </c>
    </row>
    <row r="192" spans="1:3" x14ac:dyDescent="0.3">
      <c r="A192" s="1075" t="s">
        <v>177</v>
      </c>
      <c r="B192" s="1075" t="s">
        <v>1398</v>
      </c>
      <c r="C192" s="1190">
        <v>1103</v>
      </c>
    </row>
    <row r="193" spans="1:3" x14ac:dyDescent="0.3">
      <c r="A193" s="1075" t="s">
        <v>177</v>
      </c>
      <c r="B193" s="1075" t="s">
        <v>1401</v>
      </c>
      <c r="C193" s="1190">
        <v>0</v>
      </c>
    </row>
    <row r="194" spans="1:3" x14ac:dyDescent="0.3">
      <c r="A194" s="1075" t="s">
        <v>177</v>
      </c>
      <c r="B194" s="1075" t="s">
        <v>1402</v>
      </c>
      <c r="C194" s="1190">
        <v>6</v>
      </c>
    </row>
    <row r="195" spans="1:3" x14ac:dyDescent="0.3">
      <c r="A195" s="1075" t="s">
        <v>160</v>
      </c>
      <c r="B195" s="1075" t="s">
        <v>1397</v>
      </c>
      <c r="C195" s="1190">
        <v>43049</v>
      </c>
    </row>
    <row r="196" spans="1:3" x14ac:dyDescent="0.3">
      <c r="A196" s="1075" t="s">
        <v>160</v>
      </c>
      <c r="B196" s="1075" t="s">
        <v>1399</v>
      </c>
      <c r="C196" s="1190">
        <v>4173</v>
      </c>
    </row>
    <row r="197" spans="1:3" x14ac:dyDescent="0.3">
      <c r="A197" s="1075" t="s">
        <v>160</v>
      </c>
      <c r="B197" s="1075" t="s">
        <v>1396</v>
      </c>
      <c r="C197" s="1190">
        <v>503</v>
      </c>
    </row>
    <row r="198" spans="1:3" x14ac:dyDescent="0.3">
      <c r="A198" s="1075" t="s">
        <v>160</v>
      </c>
      <c r="B198" s="1075" t="s">
        <v>1400</v>
      </c>
      <c r="C198" s="1190">
        <v>0</v>
      </c>
    </row>
    <row r="199" spans="1:3" x14ac:dyDescent="0.3">
      <c r="A199" s="1075" t="s">
        <v>160</v>
      </c>
      <c r="B199" s="1075" t="s">
        <v>1404</v>
      </c>
      <c r="C199" s="1190">
        <v>0</v>
      </c>
    </row>
    <row r="200" spans="1:3" x14ac:dyDescent="0.3">
      <c r="A200" s="1075" t="s">
        <v>160</v>
      </c>
      <c r="B200" s="1075" t="s">
        <v>1403</v>
      </c>
      <c r="C200" s="1190">
        <v>0</v>
      </c>
    </row>
    <row r="201" spans="1:3" x14ac:dyDescent="0.3">
      <c r="A201" s="1075" t="s">
        <v>160</v>
      </c>
      <c r="B201" s="1075" t="s">
        <v>1398</v>
      </c>
      <c r="C201" s="1190">
        <v>9962</v>
      </c>
    </row>
    <row r="202" spans="1:3" x14ac:dyDescent="0.3">
      <c r="A202" s="1075" t="s">
        <v>160</v>
      </c>
      <c r="B202" s="1075" t="s">
        <v>1401</v>
      </c>
      <c r="C202" s="1190">
        <v>356</v>
      </c>
    </row>
    <row r="203" spans="1:3" x14ac:dyDescent="0.3">
      <c r="A203" s="1075" t="s">
        <v>160</v>
      </c>
      <c r="B203" s="1075" t="s">
        <v>1402</v>
      </c>
      <c r="C203" s="1190">
        <v>293</v>
      </c>
    </row>
    <row r="204" spans="1:3" x14ac:dyDescent="0.3">
      <c r="A204" s="1075" t="s">
        <v>600</v>
      </c>
      <c r="B204" s="1075" t="s">
        <v>1397</v>
      </c>
      <c r="C204" s="1190">
        <v>10726</v>
      </c>
    </row>
    <row r="205" spans="1:3" x14ac:dyDescent="0.3">
      <c r="A205" s="1075" t="s">
        <v>600</v>
      </c>
      <c r="B205" s="1075" t="s">
        <v>1399</v>
      </c>
      <c r="C205" s="1190">
        <v>799</v>
      </c>
    </row>
    <row r="206" spans="1:3" x14ac:dyDescent="0.3">
      <c r="A206" s="1075" t="s">
        <v>600</v>
      </c>
      <c r="B206" s="1075" t="s">
        <v>1396</v>
      </c>
      <c r="C206" s="1190">
        <v>106</v>
      </c>
    </row>
    <row r="207" spans="1:3" x14ac:dyDescent="0.3">
      <c r="A207" s="1075" t="s">
        <v>600</v>
      </c>
      <c r="B207" s="1075" t="s">
        <v>1400</v>
      </c>
      <c r="C207" s="1190">
        <v>0</v>
      </c>
    </row>
    <row r="208" spans="1:3" x14ac:dyDescent="0.3">
      <c r="A208" s="1075" t="s">
        <v>600</v>
      </c>
      <c r="B208" s="1075" t="s">
        <v>1404</v>
      </c>
      <c r="C208" s="1190">
        <v>0</v>
      </c>
    </row>
    <row r="209" spans="1:3" x14ac:dyDescent="0.3">
      <c r="A209" s="1075" t="s">
        <v>600</v>
      </c>
      <c r="B209" s="1075" t="s">
        <v>1403</v>
      </c>
      <c r="C209" s="1190">
        <v>1</v>
      </c>
    </row>
    <row r="210" spans="1:3" x14ac:dyDescent="0.3">
      <c r="A210" s="1075" t="s">
        <v>600</v>
      </c>
      <c r="B210" s="1075" t="s">
        <v>1398</v>
      </c>
      <c r="C210" s="1190">
        <v>2705</v>
      </c>
    </row>
    <row r="211" spans="1:3" x14ac:dyDescent="0.3">
      <c r="A211" s="1075" t="s">
        <v>600</v>
      </c>
      <c r="B211" s="1075" t="s">
        <v>1401</v>
      </c>
      <c r="C211" s="1190">
        <v>0</v>
      </c>
    </row>
    <row r="212" spans="1:3" x14ac:dyDescent="0.3">
      <c r="A212" s="1075" t="s">
        <v>600</v>
      </c>
      <c r="B212" s="1075" t="s">
        <v>1402</v>
      </c>
      <c r="C212" s="1190">
        <v>65</v>
      </c>
    </row>
    <row r="213" spans="1:3" x14ac:dyDescent="0.3">
      <c r="A213" s="1075" t="s">
        <v>199</v>
      </c>
      <c r="B213" s="1075" t="s">
        <v>1397</v>
      </c>
      <c r="C213" s="1190">
        <v>20476</v>
      </c>
    </row>
    <row r="214" spans="1:3" x14ac:dyDescent="0.3">
      <c r="A214" s="1075" t="s">
        <v>199</v>
      </c>
      <c r="B214" s="1075" t="s">
        <v>1399</v>
      </c>
      <c r="C214" s="1190">
        <v>1824</v>
      </c>
    </row>
    <row r="215" spans="1:3" x14ac:dyDescent="0.3">
      <c r="A215" s="1075" t="s">
        <v>199</v>
      </c>
      <c r="B215" s="1075" t="s">
        <v>1396</v>
      </c>
      <c r="C215" s="1190">
        <v>228</v>
      </c>
    </row>
    <row r="216" spans="1:3" x14ac:dyDescent="0.3">
      <c r="A216" s="1075" t="s">
        <v>199</v>
      </c>
      <c r="B216" s="1075" t="s">
        <v>1400</v>
      </c>
      <c r="C216" s="1190">
        <v>0</v>
      </c>
    </row>
    <row r="217" spans="1:3" x14ac:dyDescent="0.3">
      <c r="A217" s="1075" t="s">
        <v>199</v>
      </c>
      <c r="B217" s="1075" t="s">
        <v>1404</v>
      </c>
      <c r="C217" s="1190">
        <v>0</v>
      </c>
    </row>
    <row r="218" spans="1:3" x14ac:dyDescent="0.3">
      <c r="A218" s="1075" t="s">
        <v>199</v>
      </c>
      <c r="B218" s="1075" t="s">
        <v>1403</v>
      </c>
      <c r="C218" s="1190">
        <v>0</v>
      </c>
    </row>
    <row r="219" spans="1:3" x14ac:dyDescent="0.3">
      <c r="A219" s="1075" t="s">
        <v>199</v>
      </c>
      <c r="B219" s="1075" t="s">
        <v>1398</v>
      </c>
      <c r="C219" s="1190">
        <v>4833</v>
      </c>
    </row>
    <row r="220" spans="1:3" x14ac:dyDescent="0.3">
      <c r="A220" s="1075" t="s">
        <v>199</v>
      </c>
      <c r="B220" s="1075" t="s">
        <v>1401</v>
      </c>
      <c r="C220" s="1190">
        <v>175</v>
      </c>
    </row>
    <row r="221" spans="1:3" x14ac:dyDescent="0.3">
      <c r="A221" s="1075" t="s">
        <v>199</v>
      </c>
      <c r="B221" s="1075" t="s">
        <v>1402</v>
      </c>
      <c r="C221" s="1190">
        <v>183</v>
      </c>
    </row>
    <row r="222" spans="1:3" x14ac:dyDescent="0.3">
      <c r="A222" s="1075" t="s">
        <v>4745</v>
      </c>
      <c r="B222" s="1075" t="s">
        <v>1397</v>
      </c>
      <c r="C222" s="1190">
        <v>2253</v>
      </c>
    </row>
    <row r="223" spans="1:3" x14ac:dyDescent="0.3">
      <c r="A223" s="1075" t="s">
        <v>4745</v>
      </c>
      <c r="B223" s="1075" t="s">
        <v>1399</v>
      </c>
      <c r="C223" s="1190">
        <v>408</v>
      </c>
    </row>
    <row r="224" spans="1:3" x14ac:dyDescent="0.3">
      <c r="A224" s="1075" t="s">
        <v>4745</v>
      </c>
      <c r="B224" s="1075" t="s">
        <v>1396</v>
      </c>
      <c r="C224" s="1190">
        <v>39</v>
      </c>
    </row>
    <row r="225" spans="1:3" x14ac:dyDescent="0.3">
      <c r="A225" s="1075" t="s">
        <v>4745</v>
      </c>
      <c r="B225" s="1075" t="s">
        <v>1400</v>
      </c>
      <c r="C225" s="1190">
        <v>0</v>
      </c>
    </row>
    <row r="226" spans="1:3" x14ac:dyDescent="0.3">
      <c r="A226" s="1075" t="s">
        <v>4745</v>
      </c>
      <c r="B226" s="1075" t="s">
        <v>1404</v>
      </c>
      <c r="C226" s="1190">
        <v>0</v>
      </c>
    </row>
    <row r="227" spans="1:3" x14ac:dyDescent="0.3">
      <c r="A227" s="1075" t="s">
        <v>4745</v>
      </c>
      <c r="B227" s="1075" t="s">
        <v>1403</v>
      </c>
      <c r="C227" s="1190">
        <v>0</v>
      </c>
    </row>
    <row r="228" spans="1:3" x14ac:dyDescent="0.3">
      <c r="A228" s="1075" t="s">
        <v>4745</v>
      </c>
      <c r="B228" s="1075" t="s">
        <v>1398</v>
      </c>
      <c r="C228" s="1190">
        <v>962</v>
      </c>
    </row>
    <row r="229" spans="1:3" x14ac:dyDescent="0.3">
      <c r="A229" s="1075" t="s">
        <v>4745</v>
      </c>
      <c r="B229" s="1075" t="s">
        <v>1401</v>
      </c>
      <c r="C229" s="1190">
        <v>13</v>
      </c>
    </row>
    <row r="230" spans="1:3" x14ac:dyDescent="0.3">
      <c r="A230" s="1075" t="s">
        <v>4745</v>
      </c>
      <c r="B230" s="1075" t="s">
        <v>1402</v>
      </c>
      <c r="C230" s="1190">
        <v>0</v>
      </c>
    </row>
    <row r="231" spans="1:3" x14ac:dyDescent="0.3">
      <c r="A231" s="1075" t="s">
        <v>200</v>
      </c>
      <c r="B231" s="1075" t="s">
        <v>1397</v>
      </c>
      <c r="C231" s="1190">
        <v>1092</v>
      </c>
    </row>
    <row r="232" spans="1:3" x14ac:dyDescent="0.3">
      <c r="A232" s="1075" t="s">
        <v>200</v>
      </c>
      <c r="B232" s="1075" t="s">
        <v>1399</v>
      </c>
      <c r="C232" s="1190">
        <v>139</v>
      </c>
    </row>
    <row r="233" spans="1:3" x14ac:dyDescent="0.3">
      <c r="A233" s="1075" t="s">
        <v>200</v>
      </c>
      <c r="B233" s="1075" t="s">
        <v>1396</v>
      </c>
      <c r="C233" s="1190">
        <v>13</v>
      </c>
    </row>
    <row r="234" spans="1:3" x14ac:dyDescent="0.3">
      <c r="A234" s="1075" t="s">
        <v>200</v>
      </c>
      <c r="B234" s="1075" t="s">
        <v>1400</v>
      </c>
      <c r="C234" s="1190">
        <v>0</v>
      </c>
    </row>
    <row r="235" spans="1:3" x14ac:dyDescent="0.3">
      <c r="A235" s="1075" t="s">
        <v>200</v>
      </c>
      <c r="B235" s="1075" t="s">
        <v>1404</v>
      </c>
      <c r="C235" s="1190">
        <v>0</v>
      </c>
    </row>
    <row r="236" spans="1:3" x14ac:dyDescent="0.3">
      <c r="A236" s="1075" t="s">
        <v>200</v>
      </c>
      <c r="B236" s="1075" t="s">
        <v>1403</v>
      </c>
      <c r="C236" s="1190">
        <v>0</v>
      </c>
    </row>
    <row r="237" spans="1:3" x14ac:dyDescent="0.3">
      <c r="A237" s="1075" t="s">
        <v>200</v>
      </c>
      <c r="B237" s="1075" t="s">
        <v>1398</v>
      </c>
      <c r="C237" s="1190">
        <v>370</v>
      </c>
    </row>
    <row r="238" spans="1:3" x14ac:dyDescent="0.3">
      <c r="A238" s="1075" t="s">
        <v>200</v>
      </c>
      <c r="B238" s="1075" t="s">
        <v>1401</v>
      </c>
      <c r="C238" s="1190">
        <v>0</v>
      </c>
    </row>
    <row r="239" spans="1:3" x14ac:dyDescent="0.3">
      <c r="A239" s="1075" t="s">
        <v>200</v>
      </c>
      <c r="B239" s="1075" t="s">
        <v>1402</v>
      </c>
      <c r="C239" s="1190">
        <v>4</v>
      </c>
    </row>
    <row r="240" spans="1:3" x14ac:dyDescent="0.3">
      <c r="A240" s="1075" t="s">
        <v>179</v>
      </c>
      <c r="B240" s="1075" t="s">
        <v>1397</v>
      </c>
      <c r="C240" s="1190">
        <v>4856</v>
      </c>
    </row>
    <row r="241" spans="1:3" x14ac:dyDescent="0.3">
      <c r="A241" s="1075" t="s">
        <v>179</v>
      </c>
      <c r="B241" s="1075" t="s">
        <v>1399</v>
      </c>
      <c r="C241" s="1190">
        <v>611</v>
      </c>
    </row>
    <row r="242" spans="1:3" x14ac:dyDescent="0.3">
      <c r="A242" s="1075" t="s">
        <v>179</v>
      </c>
      <c r="B242" s="1075" t="s">
        <v>1396</v>
      </c>
      <c r="C242" s="1190">
        <v>82</v>
      </c>
    </row>
    <row r="243" spans="1:3" x14ac:dyDescent="0.3">
      <c r="A243" s="1075" t="s">
        <v>179</v>
      </c>
      <c r="B243" s="1075" t="s">
        <v>1400</v>
      </c>
      <c r="C243" s="1190">
        <v>0</v>
      </c>
    </row>
    <row r="244" spans="1:3" x14ac:dyDescent="0.3">
      <c r="A244" s="1075" t="s">
        <v>179</v>
      </c>
      <c r="B244" s="1075" t="s">
        <v>1404</v>
      </c>
      <c r="C244" s="1190">
        <v>0</v>
      </c>
    </row>
    <row r="245" spans="1:3" x14ac:dyDescent="0.3">
      <c r="A245" s="1075" t="s">
        <v>179</v>
      </c>
      <c r="B245" s="1075" t="s">
        <v>1403</v>
      </c>
      <c r="C245" s="1190">
        <v>0</v>
      </c>
    </row>
    <row r="246" spans="1:3" x14ac:dyDescent="0.3">
      <c r="A246" s="1075" t="s">
        <v>179</v>
      </c>
      <c r="B246" s="1075" t="s">
        <v>1398</v>
      </c>
      <c r="C246" s="1190">
        <v>1210</v>
      </c>
    </row>
    <row r="247" spans="1:3" x14ac:dyDescent="0.3">
      <c r="A247" s="1075" t="s">
        <v>179</v>
      </c>
      <c r="B247" s="1075" t="s">
        <v>1401</v>
      </c>
      <c r="C247" s="1190">
        <v>44</v>
      </c>
    </row>
    <row r="248" spans="1:3" x14ac:dyDescent="0.3">
      <c r="A248" s="1075" t="s">
        <v>179</v>
      </c>
      <c r="B248" s="1075" t="s">
        <v>1402</v>
      </c>
      <c r="C248" s="1190">
        <v>11</v>
      </c>
    </row>
    <row r="249" spans="1:3" x14ac:dyDescent="0.3">
      <c r="A249" s="1075" t="s">
        <v>207</v>
      </c>
      <c r="B249" s="1075" t="s">
        <v>1397</v>
      </c>
      <c r="C249" s="1190">
        <v>1222662</v>
      </c>
    </row>
    <row r="250" spans="1:3" x14ac:dyDescent="0.3">
      <c r="A250" s="1075" t="s">
        <v>207</v>
      </c>
      <c r="B250" s="1075" t="s">
        <v>1399</v>
      </c>
      <c r="C250" s="1190">
        <v>111878</v>
      </c>
    </row>
    <row r="251" spans="1:3" x14ac:dyDescent="0.3">
      <c r="A251" s="1075" t="s">
        <v>207</v>
      </c>
      <c r="B251" s="1075" t="s">
        <v>1396</v>
      </c>
      <c r="C251" s="1190">
        <v>8817</v>
      </c>
    </row>
    <row r="252" spans="1:3" x14ac:dyDescent="0.3">
      <c r="A252" s="1075" t="s">
        <v>207</v>
      </c>
      <c r="B252" s="1075" t="s">
        <v>1400</v>
      </c>
      <c r="C252" s="1190">
        <v>0</v>
      </c>
    </row>
    <row r="253" spans="1:3" x14ac:dyDescent="0.3">
      <c r="A253" s="1075" t="s">
        <v>207</v>
      </c>
      <c r="B253" s="1075" t="s">
        <v>1404</v>
      </c>
      <c r="C253" s="1190">
        <v>602</v>
      </c>
    </row>
    <row r="254" spans="1:3" x14ac:dyDescent="0.3">
      <c r="A254" s="1075" t="s">
        <v>207</v>
      </c>
      <c r="B254" s="1075" t="s">
        <v>1403</v>
      </c>
      <c r="C254" s="1190">
        <v>359</v>
      </c>
    </row>
    <row r="255" spans="1:3" x14ac:dyDescent="0.3">
      <c r="A255" s="1075" t="s">
        <v>207</v>
      </c>
      <c r="B255" s="1075" t="s">
        <v>1398</v>
      </c>
      <c r="C255" s="1190">
        <v>5419</v>
      </c>
    </row>
    <row r="256" spans="1:3" x14ac:dyDescent="0.3">
      <c r="A256" s="1075" t="s">
        <v>207</v>
      </c>
      <c r="B256" s="1075" t="s">
        <v>1401</v>
      </c>
      <c r="C256" s="1190">
        <v>21440</v>
      </c>
    </row>
    <row r="257" spans="1:3" x14ac:dyDescent="0.3">
      <c r="A257" s="1075" t="s">
        <v>207</v>
      </c>
      <c r="B257" s="1075" t="s">
        <v>1402</v>
      </c>
      <c r="C257" s="1190">
        <v>5606</v>
      </c>
    </row>
    <row r="258" spans="1:3" x14ac:dyDescent="0.3">
      <c r="A258" s="1075" t="s">
        <v>601</v>
      </c>
      <c r="B258" s="1075" t="s">
        <v>1397</v>
      </c>
      <c r="C258" s="1190">
        <v>0</v>
      </c>
    </row>
    <row r="259" spans="1:3" x14ac:dyDescent="0.3">
      <c r="A259" s="1075" t="s">
        <v>601</v>
      </c>
      <c r="B259" s="1075" t="s">
        <v>1399</v>
      </c>
      <c r="C259" s="1190">
        <v>0</v>
      </c>
    </row>
    <row r="260" spans="1:3" x14ac:dyDescent="0.3">
      <c r="A260" s="1075" t="s">
        <v>601</v>
      </c>
      <c r="B260" s="1075" t="s">
        <v>1396</v>
      </c>
      <c r="C260" s="1190">
        <v>0</v>
      </c>
    </row>
    <row r="261" spans="1:3" x14ac:dyDescent="0.3">
      <c r="A261" s="1075" t="s">
        <v>601</v>
      </c>
      <c r="B261" s="1075" t="s">
        <v>1400</v>
      </c>
      <c r="C261" s="1190">
        <v>0</v>
      </c>
    </row>
    <row r="262" spans="1:3" x14ac:dyDescent="0.3">
      <c r="A262" s="1075" t="s">
        <v>601</v>
      </c>
      <c r="B262" s="1075" t="s">
        <v>1404</v>
      </c>
      <c r="C262" s="1190">
        <v>0</v>
      </c>
    </row>
    <row r="263" spans="1:3" x14ac:dyDescent="0.3">
      <c r="A263" s="1075" t="s">
        <v>601</v>
      </c>
      <c r="B263" s="1075" t="s">
        <v>1403</v>
      </c>
      <c r="C263" s="1190">
        <v>0</v>
      </c>
    </row>
    <row r="264" spans="1:3" x14ac:dyDescent="0.3">
      <c r="A264" s="1075" t="s">
        <v>601</v>
      </c>
      <c r="B264" s="1075" t="s">
        <v>1398</v>
      </c>
      <c r="C264" s="1190">
        <v>0</v>
      </c>
    </row>
    <row r="265" spans="1:3" x14ac:dyDescent="0.3">
      <c r="A265" s="1075" t="s">
        <v>601</v>
      </c>
      <c r="B265" s="1075" t="s">
        <v>1401</v>
      </c>
      <c r="C265" s="1190">
        <v>0</v>
      </c>
    </row>
    <row r="266" spans="1:3" x14ac:dyDescent="0.3">
      <c r="A266" s="1075" t="s">
        <v>601</v>
      </c>
      <c r="B266" s="1075" t="s">
        <v>1402</v>
      </c>
      <c r="C266" s="1190">
        <v>0</v>
      </c>
    </row>
    <row r="267" spans="1:3" x14ac:dyDescent="0.3">
      <c r="A267" s="1075" t="s">
        <v>201</v>
      </c>
      <c r="B267" s="1075" t="s">
        <v>1397</v>
      </c>
      <c r="C267" s="1190">
        <v>311464</v>
      </c>
    </row>
    <row r="268" spans="1:3" x14ac:dyDescent="0.3">
      <c r="A268" s="1075" t="s">
        <v>201</v>
      </c>
      <c r="B268" s="1075" t="s">
        <v>1399</v>
      </c>
      <c r="C268" s="1190">
        <v>25080</v>
      </c>
    </row>
    <row r="269" spans="1:3" x14ac:dyDescent="0.3">
      <c r="A269" s="1075" t="s">
        <v>201</v>
      </c>
      <c r="B269" s="1075" t="s">
        <v>1396</v>
      </c>
      <c r="C269" s="1190">
        <v>3216</v>
      </c>
    </row>
    <row r="270" spans="1:3" x14ac:dyDescent="0.3">
      <c r="A270" s="1075" t="s">
        <v>201</v>
      </c>
      <c r="B270" s="1075" t="s">
        <v>1400</v>
      </c>
      <c r="C270" s="1190">
        <v>11</v>
      </c>
    </row>
    <row r="271" spans="1:3" x14ac:dyDescent="0.3">
      <c r="A271" s="1075" t="s">
        <v>201</v>
      </c>
      <c r="B271" s="1075" t="s">
        <v>1404</v>
      </c>
      <c r="C271" s="1190">
        <v>0</v>
      </c>
    </row>
    <row r="272" spans="1:3" x14ac:dyDescent="0.3">
      <c r="A272" s="1075" t="s">
        <v>201</v>
      </c>
      <c r="B272" s="1075" t="s">
        <v>1403</v>
      </c>
      <c r="C272" s="1190">
        <v>0</v>
      </c>
    </row>
    <row r="273" spans="1:3" x14ac:dyDescent="0.3">
      <c r="A273" s="1075" t="s">
        <v>201</v>
      </c>
      <c r="B273" s="1075" t="s">
        <v>1398</v>
      </c>
      <c r="C273" s="1190">
        <v>61073</v>
      </c>
    </row>
    <row r="274" spans="1:3" x14ac:dyDescent="0.3">
      <c r="A274" s="1075" t="s">
        <v>201</v>
      </c>
      <c r="B274" s="1075" t="s">
        <v>1401</v>
      </c>
      <c r="C274" s="1190">
        <v>57</v>
      </c>
    </row>
    <row r="275" spans="1:3" x14ac:dyDescent="0.3">
      <c r="A275" s="1075" t="s">
        <v>201</v>
      </c>
      <c r="B275" s="1075" t="s">
        <v>1402</v>
      </c>
      <c r="C275" s="1190">
        <v>3321</v>
      </c>
    </row>
    <row r="276" spans="1:3" x14ac:dyDescent="0.3">
      <c r="A276" s="1075" t="s">
        <v>602</v>
      </c>
      <c r="B276" s="1075" t="s">
        <v>1397</v>
      </c>
      <c r="C276" s="1190">
        <v>17409</v>
      </c>
    </row>
    <row r="277" spans="1:3" x14ac:dyDescent="0.3">
      <c r="A277" s="1075" t="s">
        <v>602</v>
      </c>
      <c r="B277" s="1075" t="s">
        <v>1399</v>
      </c>
      <c r="C277" s="1190">
        <v>1140</v>
      </c>
    </row>
    <row r="278" spans="1:3" x14ac:dyDescent="0.3">
      <c r="A278" s="1075" t="s">
        <v>602</v>
      </c>
      <c r="B278" s="1075" t="s">
        <v>1396</v>
      </c>
      <c r="C278" s="1190">
        <v>83</v>
      </c>
    </row>
    <row r="279" spans="1:3" x14ac:dyDescent="0.3">
      <c r="A279" s="1075" t="s">
        <v>602</v>
      </c>
      <c r="B279" s="1075" t="s">
        <v>1400</v>
      </c>
      <c r="C279" s="1190">
        <v>0</v>
      </c>
    </row>
    <row r="280" spans="1:3" x14ac:dyDescent="0.3">
      <c r="A280" s="1075" t="s">
        <v>602</v>
      </c>
      <c r="B280" s="1075" t="s">
        <v>1404</v>
      </c>
      <c r="C280" s="1190">
        <v>0</v>
      </c>
    </row>
    <row r="281" spans="1:3" x14ac:dyDescent="0.3">
      <c r="A281" s="1075" t="s">
        <v>602</v>
      </c>
      <c r="B281" s="1075" t="s">
        <v>1403</v>
      </c>
      <c r="C281" s="1190">
        <v>0</v>
      </c>
    </row>
    <row r="282" spans="1:3" x14ac:dyDescent="0.3">
      <c r="A282" s="1075" t="s">
        <v>602</v>
      </c>
      <c r="B282" s="1075" t="s">
        <v>1398</v>
      </c>
      <c r="C282" s="1190">
        <v>3320</v>
      </c>
    </row>
    <row r="283" spans="1:3" x14ac:dyDescent="0.3">
      <c r="A283" s="1075" t="s">
        <v>602</v>
      </c>
      <c r="B283" s="1075" t="s">
        <v>1401</v>
      </c>
      <c r="C283" s="1190">
        <v>158</v>
      </c>
    </row>
    <row r="284" spans="1:3" x14ac:dyDescent="0.3">
      <c r="A284" s="1075" t="s">
        <v>602</v>
      </c>
      <c r="B284" s="1075" t="s">
        <v>1402</v>
      </c>
      <c r="C284" s="1190">
        <v>74</v>
      </c>
    </row>
    <row r="285" spans="1:3" x14ac:dyDescent="0.3">
      <c r="A285" s="1075" t="s">
        <v>159</v>
      </c>
      <c r="B285" s="1075" t="s">
        <v>1397</v>
      </c>
      <c r="C285" s="1190">
        <v>24528</v>
      </c>
    </row>
    <row r="286" spans="1:3" x14ac:dyDescent="0.3">
      <c r="A286" s="1075" t="s">
        <v>159</v>
      </c>
      <c r="B286" s="1075" t="s">
        <v>1399</v>
      </c>
      <c r="C286" s="1190">
        <v>2927</v>
      </c>
    </row>
    <row r="287" spans="1:3" x14ac:dyDescent="0.3">
      <c r="A287" s="1075" t="s">
        <v>159</v>
      </c>
      <c r="B287" s="1075" t="s">
        <v>1396</v>
      </c>
      <c r="C287" s="1190">
        <v>320</v>
      </c>
    </row>
    <row r="288" spans="1:3" x14ac:dyDescent="0.3">
      <c r="A288" s="1075" t="s">
        <v>159</v>
      </c>
      <c r="B288" s="1075" t="s">
        <v>1400</v>
      </c>
      <c r="C288" s="1190">
        <v>3</v>
      </c>
    </row>
    <row r="289" spans="1:3" x14ac:dyDescent="0.3">
      <c r="A289" s="1075" t="s">
        <v>159</v>
      </c>
      <c r="B289" s="1075" t="s">
        <v>1404</v>
      </c>
      <c r="C289" s="1190">
        <v>0</v>
      </c>
    </row>
    <row r="290" spans="1:3" x14ac:dyDescent="0.3">
      <c r="A290" s="1075" t="s">
        <v>159</v>
      </c>
      <c r="B290" s="1075" t="s">
        <v>1403</v>
      </c>
      <c r="C290" s="1190">
        <v>0</v>
      </c>
    </row>
    <row r="291" spans="1:3" x14ac:dyDescent="0.3">
      <c r="A291" s="1075" t="s">
        <v>159</v>
      </c>
      <c r="B291" s="1075" t="s">
        <v>1398</v>
      </c>
      <c r="C291" s="1190">
        <v>5717</v>
      </c>
    </row>
    <row r="292" spans="1:3" x14ac:dyDescent="0.3">
      <c r="A292" s="1075" t="s">
        <v>159</v>
      </c>
      <c r="B292" s="1075" t="s">
        <v>1401</v>
      </c>
      <c r="C292" s="1190">
        <v>0</v>
      </c>
    </row>
    <row r="293" spans="1:3" x14ac:dyDescent="0.3">
      <c r="A293" s="1075" t="s">
        <v>159</v>
      </c>
      <c r="B293" s="1075" t="s">
        <v>1402</v>
      </c>
      <c r="C293" s="1190">
        <v>166</v>
      </c>
    </row>
    <row r="294" spans="1:3" x14ac:dyDescent="0.3">
      <c r="A294" s="1075" t="s">
        <v>180</v>
      </c>
      <c r="B294" s="1075" t="s">
        <v>1397</v>
      </c>
      <c r="C294" s="1190">
        <v>88630</v>
      </c>
    </row>
    <row r="295" spans="1:3" x14ac:dyDescent="0.3">
      <c r="A295" s="1075" t="s">
        <v>180</v>
      </c>
      <c r="B295" s="1075" t="s">
        <v>1399</v>
      </c>
      <c r="C295" s="1190">
        <v>8114</v>
      </c>
    </row>
    <row r="296" spans="1:3" x14ac:dyDescent="0.3">
      <c r="A296" s="1075" t="s">
        <v>180</v>
      </c>
      <c r="B296" s="1075" t="s">
        <v>1396</v>
      </c>
      <c r="C296" s="1190">
        <v>950</v>
      </c>
    </row>
    <row r="297" spans="1:3" x14ac:dyDescent="0.3">
      <c r="A297" s="1075" t="s">
        <v>180</v>
      </c>
      <c r="B297" s="1075" t="s">
        <v>1400</v>
      </c>
      <c r="C297" s="1190">
        <v>1</v>
      </c>
    </row>
    <row r="298" spans="1:3" x14ac:dyDescent="0.3">
      <c r="A298" s="1075" t="s">
        <v>180</v>
      </c>
      <c r="B298" s="1075" t="s">
        <v>1404</v>
      </c>
      <c r="C298" s="1190">
        <v>0</v>
      </c>
    </row>
    <row r="299" spans="1:3" x14ac:dyDescent="0.3">
      <c r="A299" s="1075" t="s">
        <v>180</v>
      </c>
      <c r="B299" s="1075" t="s">
        <v>1403</v>
      </c>
      <c r="C299" s="1190">
        <v>1</v>
      </c>
    </row>
    <row r="300" spans="1:3" x14ac:dyDescent="0.3">
      <c r="A300" s="1075" t="s">
        <v>180</v>
      </c>
      <c r="B300" s="1075" t="s">
        <v>1398</v>
      </c>
      <c r="C300" s="1190">
        <v>25272</v>
      </c>
    </row>
    <row r="301" spans="1:3" x14ac:dyDescent="0.3">
      <c r="A301" s="1075" t="s">
        <v>180</v>
      </c>
      <c r="B301" s="1075" t="s">
        <v>1401</v>
      </c>
      <c r="C301" s="1190">
        <v>0</v>
      </c>
    </row>
    <row r="302" spans="1:3" x14ac:dyDescent="0.3">
      <c r="A302" s="1075" t="s">
        <v>180</v>
      </c>
      <c r="B302" s="1075" t="s">
        <v>1402</v>
      </c>
      <c r="C302" s="1190">
        <v>915</v>
      </c>
    </row>
    <row r="303" spans="1:3" x14ac:dyDescent="0.3">
      <c r="A303" s="1075" t="s">
        <v>202</v>
      </c>
      <c r="B303" s="1075" t="s">
        <v>1397</v>
      </c>
      <c r="C303" s="1190">
        <v>9300</v>
      </c>
    </row>
    <row r="304" spans="1:3" x14ac:dyDescent="0.3">
      <c r="A304" s="1075" t="s">
        <v>202</v>
      </c>
      <c r="B304" s="1075" t="s">
        <v>1399</v>
      </c>
      <c r="C304" s="1190">
        <v>1136</v>
      </c>
    </row>
    <row r="305" spans="1:3" x14ac:dyDescent="0.3">
      <c r="A305" s="1075" t="s">
        <v>202</v>
      </c>
      <c r="B305" s="1075" t="s">
        <v>1396</v>
      </c>
      <c r="C305" s="1190">
        <v>110</v>
      </c>
    </row>
    <row r="306" spans="1:3" x14ac:dyDescent="0.3">
      <c r="A306" s="1075" t="s">
        <v>202</v>
      </c>
      <c r="B306" s="1075" t="s">
        <v>1400</v>
      </c>
      <c r="C306" s="1190">
        <v>0</v>
      </c>
    </row>
    <row r="307" spans="1:3" x14ac:dyDescent="0.3">
      <c r="A307" s="1075" t="s">
        <v>202</v>
      </c>
      <c r="B307" s="1075" t="s">
        <v>1404</v>
      </c>
      <c r="C307" s="1190">
        <v>0</v>
      </c>
    </row>
    <row r="308" spans="1:3" x14ac:dyDescent="0.3">
      <c r="A308" s="1075" t="s">
        <v>202</v>
      </c>
      <c r="B308" s="1075" t="s">
        <v>1403</v>
      </c>
      <c r="C308" s="1190">
        <v>0</v>
      </c>
    </row>
    <row r="309" spans="1:3" x14ac:dyDescent="0.3">
      <c r="A309" s="1075" t="s">
        <v>202</v>
      </c>
      <c r="B309" s="1075" t="s">
        <v>1398</v>
      </c>
      <c r="C309" s="1190">
        <v>3082</v>
      </c>
    </row>
    <row r="310" spans="1:3" x14ac:dyDescent="0.3">
      <c r="A310" s="1075" t="s">
        <v>202</v>
      </c>
      <c r="B310" s="1075" t="s">
        <v>1401</v>
      </c>
      <c r="C310" s="1190">
        <v>46</v>
      </c>
    </row>
    <row r="311" spans="1:3" x14ac:dyDescent="0.3">
      <c r="A311" s="1075" t="s">
        <v>202</v>
      </c>
      <c r="B311" s="1075" t="s">
        <v>1402</v>
      </c>
      <c r="C311" s="1190">
        <v>82</v>
      </c>
    </row>
    <row r="312" spans="1:3" x14ac:dyDescent="0.3">
      <c r="A312" s="1075" t="s">
        <v>181</v>
      </c>
      <c r="B312" s="1075" t="s">
        <v>1397</v>
      </c>
      <c r="C312" s="1190">
        <v>11478</v>
      </c>
    </row>
    <row r="313" spans="1:3" x14ac:dyDescent="0.3">
      <c r="A313" s="1075" t="s">
        <v>181</v>
      </c>
      <c r="B313" s="1075" t="s">
        <v>1399</v>
      </c>
      <c r="C313" s="1190">
        <v>2148</v>
      </c>
    </row>
    <row r="314" spans="1:3" x14ac:dyDescent="0.3">
      <c r="A314" s="1075" t="s">
        <v>181</v>
      </c>
      <c r="B314" s="1075" t="s">
        <v>1396</v>
      </c>
      <c r="C314" s="1190">
        <v>136</v>
      </c>
    </row>
    <row r="315" spans="1:3" x14ac:dyDescent="0.3">
      <c r="A315" s="1075" t="s">
        <v>181</v>
      </c>
      <c r="B315" s="1075" t="s">
        <v>1400</v>
      </c>
      <c r="C315" s="1190">
        <v>0</v>
      </c>
    </row>
    <row r="316" spans="1:3" x14ac:dyDescent="0.3">
      <c r="A316" s="1075" t="s">
        <v>181</v>
      </c>
      <c r="B316" s="1075" t="s">
        <v>1404</v>
      </c>
      <c r="C316" s="1190">
        <v>0</v>
      </c>
    </row>
    <row r="317" spans="1:3" x14ac:dyDescent="0.3">
      <c r="A317" s="1075" t="s">
        <v>181</v>
      </c>
      <c r="B317" s="1075" t="s">
        <v>1403</v>
      </c>
      <c r="C317" s="1190">
        <v>0</v>
      </c>
    </row>
    <row r="318" spans="1:3" x14ac:dyDescent="0.3">
      <c r="A318" s="1075" t="s">
        <v>181</v>
      </c>
      <c r="B318" s="1075" t="s">
        <v>1398</v>
      </c>
      <c r="C318" s="1190">
        <v>2851</v>
      </c>
    </row>
    <row r="319" spans="1:3" x14ac:dyDescent="0.3">
      <c r="A319" s="1075" t="s">
        <v>181</v>
      </c>
      <c r="B319" s="1075" t="s">
        <v>1401</v>
      </c>
      <c r="C319" s="1190">
        <v>40</v>
      </c>
    </row>
    <row r="320" spans="1:3" x14ac:dyDescent="0.3">
      <c r="A320" s="1075" t="s">
        <v>181</v>
      </c>
      <c r="B320" s="1075" t="s">
        <v>1402</v>
      </c>
      <c r="C320" s="1190">
        <v>54</v>
      </c>
    </row>
    <row r="321" spans="1:3" x14ac:dyDescent="0.3">
      <c r="A321" s="1075" t="s">
        <v>182</v>
      </c>
      <c r="B321" s="1075" t="s">
        <v>1397</v>
      </c>
      <c r="C321" s="1190">
        <v>146208</v>
      </c>
    </row>
    <row r="322" spans="1:3" x14ac:dyDescent="0.3">
      <c r="A322" s="1075" t="s">
        <v>182</v>
      </c>
      <c r="B322" s="1075" t="s">
        <v>1399</v>
      </c>
      <c r="C322" s="1190">
        <v>12800</v>
      </c>
    </row>
    <row r="323" spans="1:3" x14ac:dyDescent="0.3">
      <c r="A323" s="1075" t="s">
        <v>182</v>
      </c>
      <c r="B323" s="1075" t="s">
        <v>1396</v>
      </c>
      <c r="C323" s="1190">
        <v>1589</v>
      </c>
    </row>
    <row r="324" spans="1:3" x14ac:dyDescent="0.3">
      <c r="A324" s="1075" t="s">
        <v>182</v>
      </c>
      <c r="B324" s="1075" t="s">
        <v>1400</v>
      </c>
      <c r="C324" s="1190">
        <v>1</v>
      </c>
    </row>
    <row r="325" spans="1:3" x14ac:dyDescent="0.3">
      <c r="A325" s="1075" t="s">
        <v>182</v>
      </c>
      <c r="B325" s="1075" t="s">
        <v>1404</v>
      </c>
      <c r="C325" s="1190">
        <v>0</v>
      </c>
    </row>
    <row r="326" spans="1:3" x14ac:dyDescent="0.3">
      <c r="A326" s="1075" t="s">
        <v>182</v>
      </c>
      <c r="B326" s="1075" t="s">
        <v>1403</v>
      </c>
      <c r="C326" s="1190">
        <v>0</v>
      </c>
    </row>
    <row r="327" spans="1:3" x14ac:dyDescent="0.3">
      <c r="A327" s="1075" t="s">
        <v>182</v>
      </c>
      <c r="B327" s="1075" t="s">
        <v>1398</v>
      </c>
      <c r="C327" s="1190">
        <v>37461</v>
      </c>
    </row>
    <row r="328" spans="1:3" x14ac:dyDescent="0.3">
      <c r="A328" s="1075" t="s">
        <v>182</v>
      </c>
      <c r="B328" s="1075" t="s">
        <v>1401</v>
      </c>
      <c r="C328" s="1190">
        <v>516</v>
      </c>
    </row>
    <row r="329" spans="1:3" x14ac:dyDescent="0.3">
      <c r="A329" s="1075" t="s">
        <v>182</v>
      </c>
      <c r="B329" s="1075" t="s">
        <v>1402</v>
      </c>
      <c r="C329" s="1190">
        <v>1551</v>
      </c>
    </row>
    <row r="330" spans="1:3" x14ac:dyDescent="0.3">
      <c r="A330" s="1075" t="s">
        <v>429</v>
      </c>
      <c r="B330" s="1075" t="s">
        <v>1397</v>
      </c>
      <c r="C330" s="1190">
        <v>37321</v>
      </c>
    </row>
    <row r="331" spans="1:3" x14ac:dyDescent="0.3">
      <c r="A331" s="1075" t="s">
        <v>429</v>
      </c>
      <c r="B331" s="1075" t="s">
        <v>1399</v>
      </c>
      <c r="C331" s="1190">
        <v>2697</v>
      </c>
    </row>
    <row r="332" spans="1:3" x14ac:dyDescent="0.3">
      <c r="A332" s="1075" t="s">
        <v>429</v>
      </c>
      <c r="B332" s="1075" t="s">
        <v>1396</v>
      </c>
      <c r="C332" s="1190">
        <v>367</v>
      </c>
    </row>
    <row r="333" spans="1:3" x14ac:dyDescent="0.3">
      <c r="A333" s="1075" t="s">
        <v>429</v>
      </c>
      <c r="B333" s="1075" t="s">
        <v>1400</v>
      </c>
      <c r="C333" s="1190">
        <v>3</v>
      </c>
    </row>
    <row r="334" spans="1:3" x14ac:dyDescent="0.3">
      <c r="A334" s="1075" t="s">
        <v>429</v>
      </c>
      <c r="B334" s="1075" t="s">
        <v>1404</v>
      </c>
      <c r="C334" s="1190">
        <v>0</v>
      </c>
    </row>
    <row r="335" spans="1:3" x14ac:dyDescent="0.3">
      <c r="A335" s="1075" t="s">
        <v>429</v>
      </c>
      <c r="B335" s="1075" t="s">
        <v>1403</v>
      </c>
      <c r="C335" s="1190">
        <v>0</v>
      </c>
    </row>
    <row r="336" spans="1:3" x14ac:dyDescent="0.3">
      <c r="A336" s="1075" t="s">
        <v>429</v>
      </c>
      <c r="B336" s="1075" t="s">
        <v>1398</v>
      </c>
      <c r="C336" s="1190">
        <v>3282</v>
      </c>
    </row>
    <row r="337" spans="1:3" x14ac:dyDescent="0.3">
      <c r="A337" s="1075" t="s">
        <v>429</v>
      </c>
      <c r="B337" s="1075" t="s">
        <v>1401</v>
      </c>
      <c r="C337" s="1190">
        <v>251</v>
      </c>
    </row>
    <row r="338" spans="1:3" x14ac:dyDescent="0.3">
      <c r="A338" s="1075" t="s">
        <v>429</v>
      </c>
      <c r="B338" s="1075" t="s">
        <v>1402</v>
      </c>
      <c r="C338" s="1190">
        <v>179</v>
      </c>
    </row>
    <row r="339" spans="1:3" x14ac:dyDescent="0.3">
      <c r="A339" s="1075" t="s">
        <v>621</v>
      </c>
      <c r="B339" s="1075" t="s">
        <v>1397</v>
      </c>
      <c r="C339" s="1190">
        <v>39473</v>
      </c>
    </row>
    <row r="340" spans="1:3" x14ac:dyDescent="0.3">
      <c r="A340" s="1075" t="s">
        <v>621</v>
      </c>
      <c r="B340" s="1075" t="s">
        <v>1399</v>
      </c>
      <c r="C340" s="1190">
        <v>3970</v>
      </c>
    </row>
    <row r="341" spans="1:3" x14ac:dyDescent="0.3">
      <c r="A341" s="1075" t="s">
        <v>621</v>
      </c>
      <c r="B341" s="1075" t="s">
        <v>1396</v>
      </c>
      <c r="C341" s="1190">
        <v>488</v>
      </c>
    </row>
    <row r="342" spans="1:3" x14ac:dyDescent="0.3">
      <c r="A342" s="1075" t="s">
        <v>621</v>
      </c>
      <c r="B342" s="1075" t="s">
        <v>1400</v>
      </c>
      <c r="C342" s="1190">
        <v>0</v>
      </c>
    </row>
    <row r="343" spans="1:3" x14ac:dyDescent="0.3">
      <c r="A343" s="1075" t="s">
        <v>621</v>
      </c>
      <c r="B343" s="1075" t="s">
        <v>1404</v>
      </c>
      <c r="C343" s="1190">
        <v>0</v>
      </c>
    </row>
    <row r="344" spans="1:3" x14ac:dyDescent="0.3">
      <c r="A344" s="1075" t="s">
        <v>621</v>
      </c>
      <c r="B344" s="1075" t="s">
        <v>1403</v>
      </c>
      <c r="C344" s="1190">
        <v>0</v>
      </c>
    </row>
    <row r="345" spans="1:3" x14ac:dyDescent="0.3">
      <c r="A345" s="1075" t="s">
        <v>621</v>
      </c>
      <c r="B345" s="1075" t="s">
        <v>1398</v>
      </c>
      <c r="C345" s="1190">
        <v>10958</v>
      </c>
    </row>
    <row r="346" spans="1:3" x14ac:dyDescent="0.3">
      <c r="A346" s="1075" t="s">
        <v>621</v>
      </c>
      <c r="B346" s="1075" t="s">
        <v>1401</v>
      </c>
      <c r="C346" s="1190">
        <v>376</v>
      </c>
    </row>
    <row r="347" spans="1:3" x14ac:dyDescent="0.3">
      <c r="A347" s="1075" t="s">
        <v>621</v>
      </c>
      <c r="B347" s="1075" t="s">
        <v>1402</v>
      </c>
      <c r="C347" s="1190">
        <v>56</v>
      </c>
    </row>
    <row r="348" spans="1:3" x14ac:dyDescent="0.3">
      <c r="A348" s="1075" t="s">
        <v>418</v>
      </c>
      <c r="B348" s="1075" t="s">
        <v>1397</v>
      </c>
      <c r="C348" s="1190">
        <v>50792</v>
      </c>
    </row>
    <row r="349" spans="1:3" x14ac:dyDescent="0.3">
      <c r="A349" s="1075" t="s">
        <v>418</v>
      </c>
      <c r="B349" s="1075" t="s">
        <v>1399</v>
      </c>
      <c r="C349" s="1190">
        <v>4475</v>
      </c>
    </row>
    <row r="350" spans="1:3" x14ac:dyDescent="0.3">
      <c r="A350" s="1075" t="s">
        <v>418</v>
      </c>
      <c r="B350" s="1075" t="s">
        <v>1396</v>
      </c>
      <c r="C350" s="1190">
        <v>800</v>
      </c>
    </row>
    <row r="351" spans="1:3" x14ac:dyDescent="0.3">
      <c r="A351" s="1075" t="s">
        <v>418</v>
      </c>
      <c r="B351" s="1075" t="s">
        <v>1400</v>
      </c>
      <c r="C351" s="1190">
        <v>0</v>
      </c>
    </row>
    <row r="352" spans="1:3" x14ac:dyDescent="0.3">
      <c r="A352" s="1075" t="s">
        <v>418</v>
      </c>
      <c r="B352" s="1075" t="s">
        <v>1404</v>
      </c>
      <c r="C352" s="1190">
        <v>0</v>
      </c>
    </row>
    <row r="353" spans="1:3" x14ac:dyDescent="0.3">
      <c r="A353" s="1075" t="s">
        <v>418</v>
      </c>
      <c r="B353" s="1075" t="s">
        <v>1403</v>
      </c>
      <c r="C353" s="1190">
        <v>0</v>
      </c>
    </row>
    <row r="354" spans="1:3" x14ac:dyDescent="0.3">
      <c r="A354" s="1075" t="s">
        <v>418</v>
      </c>
      <c r="B354" s="1075" t="s">
        <v>1398</v>
      </c>
      <c r="C354" s="1190">
        <v>13360</v>
      </c>
    </row>
    <row r="355" spans="1:3" x14ac:dyDescent="0.3">
      <c r="A355" s="1075" t="s">
        <v>418</v>
      </c>
      <c r="B355" s="1075" t="s">
        <v>1401</v>
      </c>
      <c r="C355" s="1190">
        <v>296</v>
      </c>
    </row>
    <row r="356" spans="1:3" x14ac:dyDescent="0.3">
      <c r="A356" s="1075" t="s">
        <v>418</v>
      </c>
      <c r="B356" s="1075" t="s">
        <v>1402</v>
      </c>
      <c r="C356" s="1190">
        <v>335</v>
      </c>
    </row>
    <row r="357" spans="1:3" x14ac:dyDescent="0.3">
      <c r="A357" s="1075" t="s">
        <v>184</v>
      </c>
      <c r="B357" s="1075" t="s">
        <v>1397</v>
      </c>
      <c r="C357" s="1190">
        <v>8060</v>
      </c>
    </row>
    <row r="358" spans="1:3" x14ac:dyDescent="0.3">
      <c r="A358" s="1075" t="s">
        <v>184</v>
      </c>
      <c r="B358" s="1075" t="s">
        <v>1399</v>
      </c>
      <c r="C358" s="1190">
        <v>1371</v>
      </c>
    </row>
    <row r="359" spans="1:3" x14ac:dyDescent="0.3">
      <c r="A359" s="1075" t="s">
        <v>184</v>
      </c>
      <c r="B359" s="1075" t="s">
        <v>1396</v>
      </c>
      <c r="C359" s="1190">
        <v>126</v>
      </c>
    </row>
    <row r="360" spans="1:3" x14ac:dyDescent="0.3">
      <c r="A360" s="1075" t="s">
        <v>184</v>
      </c>
      <c r="B360" s="1075" t="s">
        <v>1400</v>
      </c>
      <c r="C360" s="1190">
        <v>1</v>
      </c>
    </row>
    <row r="361" spans="1:3" x14ac:dyDescent="0.3">
      <c r="A361" s="1075" t="s">
        <v>184</v>
      </c>
      <c r="B361" s="1075" t="s">
        <v>1404</v>
      </c>
      <c r="C361" s="1190">
        <v>0</v>
      </c>
    </row>
    <row r="362" spans="1:3" x14ac:dyDescent="0.3">
      <c r="A362" s="1075" t="s">
        <v>184</v>
      </c>
      <c r="B362" s="1075" t="s">
        <v>1403</v>
      </c>
      <c r="C362" s="1190">
        <v>0</v>
      </c>
    </row>
    <row r="363" spans="1:3" x14ac:dyDescent="0.3">
      <c r="A363" s="1075" t="s">
        <v>184</v>
      </c>
      <c r="B363" s="1075" t="s">
        <v>1398</v>
      </c>
      <c r="C363" s="1190">
        <v>2148</v>
      </c>
    </row>
    <row r="364" spans="1:3" x14ac:dyDescent="0.3">
      <c r="A364" s="1075" t="s">
        <v>184</v>
      </c>
      <c r="B364" s="1075" t="s">
        <v>1401</v>
      </c>
      <c r="C364" s="1190">
        <v>0</v>
      </c>
    </row>
    <row r="365" spans="1:3" x14ac:dyDescent="0.3">
      <c r="A365" s="1075" t="s">
        <v>184</v>
      </c>
      <c r="B365" s="1075" t="s">
        <v>1402</v>
      </c>
      <c r="C365" s="1190">
        <v>30</v>
      </c>
    </row>
    <row r="366" spans="1:3" x14ac:dyDescent="0.3">
      <c r="A366" s="1075" t="s">
        <v>185</v>
      </c>
      <c r="B366" s="1075" t="s">
        <v>1397</v>
      </c>
      <c r="C366" s="1190">
        <v>21276</v>
      </c>
    </row>
    <row r="367" spans="1:3" x14ac:dyDescent="0.3">
      <c r="A367" s="1075" t="s">
        <v>185</v>
      </c>
      <c r="B367" s="1075" t="s">
        <v>1399</v>
      </c>
      <c r="C367" s="1190">
        <v>2658</v>
      </c>
    </row>
    <row r="368" spans="1:3" x14ac:dyDescent="0.3">
      <c r="A368" s="1075" t="s">
        <v>185</v>
      </c>
      <c r="B368" s="1075" t="s">
        <v>1396</v>
      </c>
      <c r="C368" s="1190">
        <v>265</v>
      </c>
    </row>
    <row r="369" spans="1:3" x14ac:dyDescent="0.3">
      <c r="A369" s="1075" t="s">
        <v>185</v>
      </c>
      <c r="B369" s="1075" t="s">
        <v>1400</v>
      </c>
      <c r="C369" s="1190">
        <v>0</v>
      </c>
    </row>
    <row r="370" spans="1:3" x14ac:dyDescent="0.3">
      <c r="A370" s="1075" t="s">
        <v>185</v>
      </c>
      <c r="B370" s="1075" t="s">
        <v>1404</v>
      </c>
      <c r="C370" s="1190">
        <v>0</v>
      </c>
    </row>
    <row r="371" spans="1:3" x14ac:dyDescent="0.3">
      <c r="A371" s="1075" t="s">
        <v>185</v>
      </c>
      <c r="B371" s="1075" t="s">
        <v>1403</v>
      </c>
      <c r="C371" s="1190">
        <v>0</v>
      </c>
    </row>
    <row r="372" spans="1:3" x14ac:dyDescent="0.3">
      <c r="A372" s="1075" t="s">
        <v>185</v>
      </c>
      <c r="B372" s="1075" t="s">
        <v>1398</v>
      </c>
      <c r="C372" s="1190">
        <v>5424</v>
      </c>
    </row>
    <row r="373" spans="1:3" x14ac:dyDescent="0.3">
      <c r="A373" s="1075" t="s">
        <v>185</v>
      </c>
      <c r="B373" s="1075" t="s">
        <v>1401</v>
      </c>
      <c r="C373" s="1190">
        <v>416</v>
      </c>
    </row>
    <row r="374" spans="1:3" x14ac:dyDescent="0.3">
      <c r="A374" s="1075" t="s">
        <v>185</v>
      </c>
      <c r="B374" s="1075" t="s">
        <v>1402</v>
      </c>
      <c r="C374" s="1190">
        <v>9</v>
      </c>
    </row>
    <row r="375" spans="1:3" x14ac:dyDescent="0.3">
      <c r="A375" s="1075" t="s">
        <v>186</v>
      </c>
      <c r="B375" s="1075" t="s">
        <v>1397</v>
      </c>
      <c r="C375" s="1190">
        <v>5165</v>
      </c>
    </row>
    <row r="376" spans="1:3" x14ac:dyDescent="0.3">
      <c r="A376" s="1075" t="s">
        <v>186</v>
      </c>
      <c r="B376" s="1075" t="s">
        <v>1399</v>
      </c>
      <c r="C376" s="1190">
        <v>742</v>
      </c>
    </row>
    <row r="377" spans="1:3" x14ac:dyDescent="0.3">
      <c r="A377" s="1075" t="s">
        <v>186</v>
      </c>
      <c r="B377" s="1075" t="s">
        <v>1396</v>
      </c>
      <c r="C377" s="1190">
        <v>70</v>
      </c>
    </row>
    <row r="378" spans="1:3" x14ac:dyDescent="0.3">
      <c r="A378" s="1075" t="s">
        <v>186</v>
      </c>
      <c r="B378" s="1075" t="s">
        <v>1400</v>
      </c>
      <c r="C378" s="1190">
        <v>0</v>
      </c>
    </row>
    <row r="379" spans="1:3" x14ac:dyDescent="0.3">
      <c r="A379" s="1075" t="s">
        <v>186</v>
      </c>
      <c r="B379" s="1075" t="s">
        <v>1404</v>
      </c>
      <c r="C379" s="1190">
        <v>0</v>
      </c>
    </row>
    <row r="380" spans="1:3" x14ac:dyDescent="0.3">
      <c r="A380" s="1075" t="s">
        <v>186</v>
      </c>
      <c r="B380" s="1075" t="s">
        <v>1403</v>
      </c>
      <c r="C380" s="1190">
        <v>0</v>
      </c>
    </row>
    <row r="381" spans="1:3" x14ac:dyDescent="0.3">
      <c r="A381" s="1075" t="s">
        <v>186</v>
      </c>
      <c r="B381" s="1075" t="s">
        <v>1398</v>
      </c>
      <c r="C381" s="1190">
        <v>1710</v>
      </c>
    </row>
    <row r="382" spans="1:3" x14ac:dyDescent="0.3">
      <c r="A382" s="1075" t="s">
        <v>186</v>
      </c>
      <c r="B382" s="1075" t="s">
        <v>1401</v>
      </c>
      <c r="C382" s="1190">
        <v>0</v>
      </c>
    </row>
    <row r="383" spans="1:3" x14ac:dyDescent="0.3">
      <c r="A383" s="1075" t="s">
        <v>186</v>
      </c>
      <c r="B383" s="1075" t="s">
        <v>1402</v>
      </c>
      <c r="C383" s="1190">
        <v>23</v>
      </c>
    </row>
    <row r="384" spans="1:3" x14ac:dyDescent="0.3">
      <c r="A384" s="1075" t="s">
        <v>234</v>
      </c>
      <c r="B384" s="1075" t="s">
        <v>1397</v>
      </c>
      <c r="C384" s="1190">
        <v>66521</v>
      </c>
    </row>
    <row r="385" spans="1:3" x14ac:dyDescent="0.3">
      <c r="A385" s="1075" t="s">
        <v>234</v>
      </c>
      <c r="B385" s="1075" t="s">
        <v>1399</v>
      </c>
      <c r="C385" s="1190">
        <v>5753</v>
      </c>
    </row>
    <row r="386" spans="1:3" x14ac:dyDescent="0.3">
      <c r="A386" s="1075" t="s">
        <v>234</v>
      </c>
      <c r="B386" s="1075" t="s">
        <v>1396</v>
      </c>
      <c r="C386" s="1190">
        <v>859</v>
      </c>
    </row>
    <row r="387" spans="1:3" x14ac:dyDescent="0.3">
      <c r="A387" s="1075" t="s">
        <v>234</v>
      </c>
      <c r="B387" s="1075" t="s">
        <v>1400</v>
      </c>
      <c r="C387" s="1190">
        <v>0</v>
      </c>
    </row>
    <row r="388" spans="1:3" x14ac:dyDescent="0.3">
      <c r="A388" s="1075" t="s">
        <v>234</v>
      </c>
      <c r="B388" s="1075" t="s">
        <v>1404</v>
      </c>
      <c r="C388" s="1190">
        <v>0</v>
      </c>
    </row>
    <row r="389" spans="1:3" x14ac:dyDescent="0.3">
      <c r="A389" s="1075" t="s">
        <v>234</v>
      </c>
      <c r="B389" s="1075" t="s">
        <v>1403</v>
      </c>
      <c r="C389" s="1190">
        <v>1</v>
      </c>
    </row>
    <row r="390" spans="1:3" x14ac:dyDescent="0.3">
      <c r="A390" s="1075" t="s">
        <v>234</v>
      </c>
      <c r="B390" s="1075" t="s">
        <v>1398</v>
      </c>
      <c r="C390" s="1190">
        <v>12196</v>
      </c>
    </row>
    <row r="391" spans="1:3" x14ac:dyDescent="0.3">
      <c r="A391" s="1075" t="s">
        <v>234</v>
      </c>
      <c r="B391" s="1075" t="s">
        <v>1401</v>
      </c>
      <c r="C391" s="1190">
        <v>162</v>
      </c>
    </row>
    <row r="392" spans="1:3" x14ac:dyDescent="0.3">
      <c r="A392" s="1075" t="s">
        <v>234</v>
      </c>
      <c r="B392" s="1075" t="s">
        <v>1402</v>
      </c>
      <c r="C392" s="1190">
        <v>733</v>
      </c>
    </row>
    <row r="393" spans="1:3" x14ac:dyDescent="0.3">
      <c r="A393" s="1075" t="s">
        <v>142</v>
      </c>
      <c r="B393" s="1075" t="s">
        <v>1397</v>
      </c>
      <c r="C393" s="1190">
        <v>11360</v>
      </c>
    </row>
    <row r="394" spans="1:3" x14ac:dyDescent="0.3">
      <c r="A394" s="1075" t="s">
        <v>142</v>
      </c>
      <c r="B394" s="1075" t="s">
        <v>1399</v>
      </c>
      <c r="C394" s="1190">
        <v>1160</v>
      </c>
    </row>
    <row r="395" spans="1:3" x14ac:dyDescent="0.3">
      <c r="A395" s="1075" t="s">
        <v>142</v>
      </c>
      <c r="B395" s="1075" t="s">
        <v>1396</v>
      </c>
      <c r="C395" s="1190">
        <v>132</v>
      </c>
    </row>
    <row r="396" spans="1:3" x14ac:dyDescent="0.3">
      <c r="A396" s="1075" t="s">
        <v>142</v>
      </c>
      <c r="B396" s="1075" t="s">
        <v>1400</v>
      </c>
      <c r="C396" s="1190">
        <v>0</v>
      </c>
    </row>
    <row r="397" spans="1:3" x14ac:dyDescent="0.3">
      <c r="A397" s="1075" t="s">
        <v>142</v>
      </c>
      <c r="B397" s="1075" t="s">
        <v>1404</v>
      </c>
      <c r="C397" s="1190">
        <v>0</v>
      </c>
    </row>
    <row r="398" spans="1:3" x14ac:dyDescent="0.3">
      <c r="A398" s="1075" t="s">
        <v>142</v>
      </c>
      <c r="B398" s="1075" t="s">
        <v>1403</v>
      </c>
      <c r="C398" s="1190">
        <v>0</v>
      </c>
    </row>
    <row r="399" spans="1:3" x14ac:dyDescent="0.3">
      <c r="A399" s="1075" t="s">
        <v>142</v>
      </c>
      <c r="B399" s="1075" t="s">
        <v>1398</v>
      </c>
      <c r="C399" s="1190">
        <v>2939</v>
      </c>
    </row>
    <row r="400" spans="1:3" x14ac:dyDescent="0.3">
      <c r="A400" s="1075" t="s">
        <v>142</v>
      </c>
      <c r="B400" s="1075" t="s">
        <v>1401</v>
      </c>
      <c r="C400" s="1190">
        <v>157</v>
      </c>
    </row>
    <row r="401" spans="1:3" x14ac:dyDescent="0.3">
      <c r="A401" s="1075" t="s">
        <v>142</v>
      </c>
      <c r="B401" s="1075" t="s">
        <v>1402</v>
      </c>
      <c r="C401" s="1190">
        <v>97</v>
      </c>
    </row>
    <row r="402" spans="1:3" x14ac:dyDescent="0.3">
      <c r="A402" s="1075" t="s">
        <v>235</v>
      </c>
      <c r="B402" s="1075" t="s">
        <v>1397</v>
      </c>
      <c r="C402" s="1190">
        <v>12756</v>
      </c>
    </row>
    <row r="403" spans="1:3" x14ac:dyDescent="0.3">
      <c r="A403" s="1075" t="s">
        <v>235</v>
      </c>
      <c r="B403" s="1075" t="s">
        <v>1399</v>
      </c>
      <c r="C403" s="1190">
        <v>1443</v>
      </c>
    </row>
    <row r="404" spans="1:3" x14ac:dyDescent="0.3">
      <c r="A404" s="1075" t="s">
        <v>235</v>
      </c>
      <c r="B404" s="1075" t="s">
        <v>1396</v>
      </c>
      <c r="C404" s="1190">
        <v>167</v>
      </c>
    </row>
    <row r="405" spans="1:3" x14ac:dyDescent="0.3">
      <c r="A405" s="1075" t="s">
        <v>235</v>
      </c>
      <c r="B405" s="1075" t="s">
        <v>1400</v>
      </c>
      <c r="C405" s="1190">
        <v>0</v>
      </c>
    </row>
    <row r="406" spans="1:3" x14ac:dyDescent="0.3">
      <c r="A406" s="1075" t="s">
        <v>235</v>
      </c>
      <c r="B406" s="1075" t="s">
        <v>1404</v>
      </c>
      <c r="C406" s="1190">
        <v>0</v>
      </c>
    </row>
    <row r="407" spans="1:3" x14ac:dyDescent="0.3">
      <c r="A407" s="1075" t="s">
        <v>235</v>
      </c>
      <c r="B407" s="1075" t="s">
        <v>1403</v>
      </c>
      <c r="C407" s="1190">
        <v>0</v>
      </c>
    </row>
    <row r="408" spans="1:3" x14ac:dyDescent="0.3">
      <c r="A408" s="1075" t="s">
        <v>235</v>
      </c>
      <c r="B408" s="1075" t="s">
        <v>1398</v>
      </c>
      <c r="C408" s="1190">
        <v>3754</v>
      </c>
    </row>
    <row r="409" spans="1:3" x14ac:dyDescent="0.3">
      <c r="A409" s="1075" t="s">
        <v>235</v>
      </c>
      <c r="B409" s="1075" t="s">
        <v>1401</v>
      </c>
      <c r="C409" s="1190">
        <v>0</v>
      </c>
    </row>
    <row r="410" spans="1:3" x14ac:dyDescent="0.3">
      <c r="A410" s="1075" t="s">
        <v>235</v>
      </c>
      <c r="B410" s="1075" t="s">
        <v>1402</v>
      </c>
      <c r="C410" s="1190">
        <v>150</v>
      </c>
    </row>
    <row r="411" spans="1:3" x14ac:dyDescent="0.3">
      <c r="A411" s="1075" t="s">
        <v>203</v>
      </c>
      <c r="B411" s="1075" t="s">
        <v>1397</v>
      </c>
      <c r="C411" s="1190">
        <v>54588</v>
      </c>
    </row>
    <row r="412" spans="1:3" x14ac:dyDescent="0.3">
      <c r="A412" s="1075" t="s">
        <v>203</v>
      </c>
      <c r="B412" s="1075" t="s">
        <v>1399</v>
      </c>
      <c r="C412" s="1190">
        <v>4047</v>
      </c>
    </row>
    <row r="413" spans="1:3" x14ac:dyDescent="0.3">
      <c r="A413" s="1075" t="s">
        <v>203</v>
      </c>
      <c r="B413" s="1075" t="s">
        <v>1396</v>
      </c>
      <c r="C413" s="1190">
        <v>547</v>
      </c>
    </row>
    <row r="414" spans="1:3" x14ac:dyDescent="0.3">
      <c r="A414" s="1075" t="s">
        <v>203</v>
      </c>
      <c r="B414" s="1075" t="s">
        <v>1400</v>
      </c>
      <c r="C414" s="1190">
        <v>1</v>
      </c>
    </row>
    <row r="415" spans="1:3" x14ac:dyDescent="0.3">
      <c r="A415" s="1075" t="s">
        <v>203</v>
      </c>
      <c r="B415" s="1075" t="s">
        <v>1404</v>
      </c>
      <c r="C415" s="1190">
        <v>0</v>
      </c>
    </row>
    <row r="416" spans="1:3" x14ac:dyDescent="0.3">
      <c r="A416" s="1075" t="s">
        <v>203</v>
      </c>
      <c r="B416" s="1075" t="s">
        <v>1403</v>
      </c>
      <c r="C416" s="1190">
        <v>0</v>
      </c>
    </row>
    <row r="417" spans="1:3" x14ac:dyDescent="0.3">
      <c r="A417" s="1075" t="s">
        <v>203</v>
      </c>
      <c r="B417" s="1075" t="s">
        <v>1398</v>
      </c>
      <c r="C417" s="1190">
        <v>13973</v>
      </c>
    </row>
    <row r="418" spans="1:3" x14ac:dyDescent="0.3">
      <c r="A418" s="1075" t="s">
        <v>203</v>
      </c>
      <c r="B418" s="1075" t="s">
        <v>1401</v>
      </c>
      <c r="C418" s="1190">
        <v>19</v>
      </c>
    </row>
    <row r="419" spans="1:3" x14ac:dyDescent="0.3">
      <c r="A419" s="1075" t="s">
        <v>203</v>
      </c>
      <c r="B419" s="1075" t="s">
        <v>1402</v>
      </c>
      <c r="C419" s="1190">
        <v>248</v>
      </c>
    </row>
    <row r="420" spans="1:3" x14ac:dyDescent="0.3">
      <c r="A420" s="1075" t="s">
        <v>187</v>
      </c>
      <c r="B420" s="1075" t="s">
        <v>1397</v>
      </c>
      <c r="C420" s="1190">
        <v>9888</v>
      </c>
    </row>
    <row r="421" spans="1:3" x14ac:dyDescent="0.3">
      <c r="A421" s="1075" t="s">
        <v>187</v>
      </c>
      <c r="B421" s="1075" t="s">
        <v>1399</v>
      </c>
      <c r="C421" s="1190">
        <v>1283</v>
      </c>
    </row>
    <row r="422" spans="1:3" x14ac:dyDescent="0.3">
      <c r="A422" s="1075" t="s">
        <v>187</v>
      </c>
      <c r="B422" s="1075" t="s">
        <v>1396</v>
      </c>
      <c r="C422" s="1190">
        <v>149</v>
      </c>
    </row>
    <row r="423" spans="1:3" x14ac:dyDescent="0.3">
      <c r="A423" s="1075" t="s">
        <v>187</v>
      </c>
      <c r="B423" s="1075" t="s">
        <v>1400</v>
      </c>
      <c r="C423" s="1190">
        <v>0</v>
      </c>
    </row>
    <row r="424" spans="1:3" x14ac:dyDescent="0.3">
      <c r="A424" s="1075" t="s">
        <v>187</v>
      </c>
      <c r="B424" s="1075" t="s">
        <v>1404</v>
      </c>
      <c r="C424" s="1190">
        <v>0</v>
      </c>
    </row>
    <row r="425" spans="1:3" x14ac:dyDescent="0.3">
      <c r="A425" s="1075" t="s">
        <v>187</v>
      </c>
      <c r="B425" s="1075" t="s">
        <v>1403</v>
      </c>
      <c r="C425" s="1190">
        <v>0</v>
      </c>
    </row>
    <row r="426" spans="1:3" x14ac:dyDescent="0.3">
      <c r="A426" s="1075" t="s">
        <v>187</v>
      </c>
      <c r="B426" s="1075" t="s">
        <v>1398</v>
      </c>
      <c r="C426" s="1190">
        <v>2897</v>
      </c>
    </row>
    <row r="427" spans="1:3" x14ac:dyDescent="0.3">
      <c r="A427" s="1075" t="s">
        <v>187</v>
      </c>
      <c r="B427" s="1075" t="s">
        <v>1401</v>
      </c>
      <c r="C427" s="1190">
        <v>175</v>
      </c>
    </row>
    <row r="428" spans="1:3" x14ac:dyDescent="0.3">
      <c r="A428" s="1075" t="s">
        <v>187</v>
      </c>
      <c r="B428" s="1075" t="s">
        <v>1402</v>
      </c>
      <c r="C428" s="1190">
        <v>88</v>
      </c>
    </row>
    <row r="429" spans="1:3" x14ac:dyDescent="0.3">
      <c r="A429" s="1075" t="s">
        <v>236</v>
      </c>
      <c r="B429" s="1075" t="s">
        <v>1397</v>
      </c>
      <c r="C429" s="1190">
        <v>33488</v>
      </c>
    </row>
    <row r="430" spans="1:3" x14ac:dyDescent="0.3">
      <c r="A430" s="1075" t="s">
        <v>236</v>
      </c>
      <c r="B430" s="1075" t="s">
        <v>1399</v>
      </c>
      <c r="C430" s="1190">
        <v>3401</v>
      </c>
    </row>
    <row r="431" spans="1:3" x14ac:dyDescent="0.3">
      <c r="A431" s="1075" t="s">
        <v>236</v>
      </c>
      <c r="B431" s="1075" t="s">
        <v>1396</v>
      </c>
      <c r="C431" s="1190">
        <v>359</v>
      </c>
    </row>
    <row r="432" spans="1:3" x14ac:dyDescent="0.3">
      <c r="A432" s="1075" t="s">
        <v>236</v>
      </c>
      <c r="B432" s="1075" t="s">
        <v>1400</v>
      </c>
      <c r="C432" s="1190">
        <v>2</v>
      </c>
    </row>
    <row r="433" spans="1:3" x14ac:dyDescent="0.3">
      <c r="A433" s="1075" t="s">
        <v>236</v>
      </c>
      <c r="B433" s="1075" t="s">
        <v>1404</v>
      </c>
      <c r="C433" s="1190">
        <v>0</v>
      </c>
    </row>
    <row r="434" spans="1:3" x14ac:dyDescent="0.3">
      <c r="A434" s="1075" t="s">
        <v>236</v>
      </c>
      <c r="B434" s="1075" t="s">
        <v>1403</v>
      </c>
      <c r="C434" s="1190">
        <v>0</v>
      </c>
    </row>
    <row r="435" spans="1:3" x14ac:dyDescent="0.3">
      <c r="A435" s="1075" t="s">
        <v>236</v>
      </c>
      <c r="B435" s="1075" t="s">
        <v>1398</v>
      </c>
      <c r="C435" s="1190">
        <v>9071</v>
      </c>
    </row>
    <row r="436" spans="1:3" x14ac:dyDescent="0.3">
      <c r="A436" s="1075" t="s">
        <v>236</v>
      </c>
      <c r="B436" s="1075" t="s">
        <v>1401</v>
      </c>
      <c r="C436" s="1190">
        <v>331</v>
      </c>
    </row>
    <row r="437" spans="1:3" x14ac:dyDescent="0.3">
      <c r="A437" s="1075" t="s">
        <v>236</v>
      </c>
      <c r="B437" s="1075" t="s">
        <v>1402</v>
      </c>
      <c r="C437" s="1190">
        <v>413</v>
      </c>
    </row>
    <row r="438" spans="1:3" x14ac:dyDescent="0.3">
      <c r="A438" s="1075" t="s">
        <v>188</v>
      </c>
      <c r="B438" s="1075" t="s">
        <v>1397</v>
      </c>
      <c r="C438" s="1190">
        <v>29897</v>
      </c>
    </row>
    <row r="439" spans="1:3" x14ac:dyDescent="0.3">
      <c r="A439" s="1075" t="s">
        <v>188</v>
      </c>
      <c r="B439" s="1075" t="s">
        <v>1399</v>
      </c>
      <c r="C439" s="1190">
        <v>3388</v>
      </c>
    </row>
    <row r="440" spans="1:3" x14ac:dyDescent="0.3">
      <c r="A440" s="1075" t="s">
        <v>188</v>
      </c>
      <c r="B440" s="1075" t="s">
        <v>1396</v>
      </c>
      <c r="C440" s="1190">
        <v>362</v>
      </c>
    </row>
    <row r="441" spans="1:3" x14ac:dyDescent="0.3">
      <c r="A441" s="1075" t="s">
        <v>188</v>
      </c>
      <c r="B441" s="1075" t="s">
        <v>1400</v>
      </c>
      <c r="C441" s="1190">
        <v>0</v>
      </c>
    </row>
    <row r="442" spans="1:3" x14ac:dyDescent="0.3">
      <c r="A442" s="1075" t="s">
        <v>188</v>
      </c>
      <c r="B442" s="1075" t="s">
        <v>1404</v>
      </c>
      <c r="C442" s="1190">
        <v>0</v>
      </c>
    </row>
    <row r="443" spans="1:3" x14ac:dyDescent="0.3">
      <c r="A443" s="1075" t="s">
        <v>188</v>
      </c>
      <c r="B443" s="1075" t="s">
        <v>1403</v>
      </c>
      <c r="C443" s="1190">
        <v>0</v>
      </c>
    </row>
    <row r="444" spans="1:3" x14ac:dyDescent="0.3">
      <c r="A444" s="1075" t="s">
        <v>188</v>
      </c>
      <c r="B444" s="1075" t="s">
        <v>1398</v>
      </c>
      <c r="C444" s="1190">
        <v>8037</v>
      </c>
    </row>
    <row r="445" spans="1:3" x14ac:dyDescent="0.3">
      <c r="A445" s="1075" t="s">
        <v>188</v>
      </c>
      <c r="B445" s="1075" t="s">
        <v>1401</v>
      </c>
      <c r="C445" s="1190">
        <v>350</v>
      </c>
    </row>
    <row r="446" spans="1:3" x14ac:dyDescent="0.3">
      <c r="A446" s="1075" t="s">
        <v>188</v>
      </c>
      <c r="B446" s="1075" t="s">
        <v>1402</v>
      </c>
      <c r="C446" s="1190">
        <v>23</v>
      </c>
    </row>
    <row r="447" spans="1:3" x14ac:dyDescent="0.3">
      <c r="A447" s="1075" t="s">
        <v>189</v>
      </c>
      <c r="B447" s="1075" t="s">
        <v>1397</v>
      </c>
      <c r="C447" s="1190">
        <v>3829</v>
      </c>
    </row>
    <row r="448" spans="1:3" x14ac:dyDescent="0.3">
      <c r="A448" s="1075" t="s">
        <v>189</v>
      </c>
      <c r="B448" s="1075" t="s">
        <v>1399</v>
      </c>
      <c r="C448" s="1190">
        <v>460</v>
      </c>
    </row>
    <row r="449" spans="1:3" x14ac:dyDescent="0.3">
      <c r="A449" s="1075" t="s">
        <v>189</v>
      </c>
      <c r="B449" s="1075" t="s">
        <v>1396</v>
      </c>
      <c r="C449" s="1190">
        <v>36</v>
      </c>
    </row>
    <row r="450" spans="1:3" x14ac:dyDescent="0.3">
      <c r="A450" s="1075" t="s">
        <v>189</v>
      </c>
      <c r="B450" s="1075" t="s">
        <v>1400</v>
      </c>
      <c r="C450" s="1190">
        <v>0</v>
      </c>
    </row>
    <row r="451" spans="1:3" x14ac:dyDescent="0.3">
      <c r="A451" s="1075" t="s">
        <v>189</v>
      </c>
      <c r="B451" s="1075" t="s">
        <v>1404</v>
      </c>
      <c r="C451" s="1190">
        <v>0</v>
      </c>
    </row>
    <row r="452" spans="1:3" x14ac:dyDescent="0.3">
      <c r="A452" s="1075" t="s">
        <v>189</v>
      </c>
      <c r="B452" s="1075" t="s">
        <v>1403</v>
      </c>
      <c r="C452" s="1190">
        <v>0</v>
      </c>
    </row>
    <row r="453" spans="1:3" x14ac:dyDescent="0.3">
      <c r="A453" s="1075" t="s">
        <v>189</v>
      </c>
      <c r="B453" s="1075" t="s">
        <v>1398</v>
      </c>
      <c r="C453" s="1190">
        <v>1195</v>
      </c>
    </row>
    <row r="454" spans="1:3" x14ac:dyDescent="0.3">
      <c r="A454" s="1075" t="s">
        <v>189</v>
      </c>
      <c r="B454" s="1075" t="s">
        <v>1401</v>
      </c>
      <c r="C454" s="1190">
        <v>0</v>
      </c>
    </row>
    <row r="455" spans="1:3" x14ac:dyDescent="0.3">
      <c r="A455" s="1075" t="s">
        <v>189</v>
      </c>
      <c r="B455" s="1075" t="s">
        <v>1402</v>
      </c>
      <c r="C455" s="1190">
        <v>38</v>
      </c>
    </row>
    <row r="456" spans="1:3" x14ac:dyDescent="0.3">
      <c r="A456" s="1075" t="s">
        <v>204</v>
      </c>
      <c r="B456" s="1075" t="s">
        <v>1397</v>
      </c>
      <c r="C456" s="1190">
        <v>5113</v>
      </c>
    </row>
    <row r="457" spans="1:3" x14ac:dyDescent="0.3">
      <c r="A457" s="1075" t="s">
        <v>204</v>
      </c>
      <c r="B457" s="1075" t="s">
        <v>1399</v>
      </c>
      <c r="C457" s="1190">
        <v>735</v>
      </c>
    </row>
    <row r="458" spans="1:3" x14ac:dyDescent="0.3">
      <c r="A458" s="1075" t="s">
        <v>204</v>
      </c>
      <c r="B458" s="1075" t="s">
        <v>1396</v>
      </c>
      <c r="C458" s="1190">
        <v>62</v>
      </c>
    </row>
    <row r="459" spans="1:3" x14ac:dyDescent="0.3">
      <c r="A459" s="1075" t="s">
        <v>204</v>
      </c>
      <c r="B459" s="1075" t="s">
        <v>1400</v>
      </c>
      <c r="C459" s="1190">
        <v>0</v>
      </c>
    </row>
    <row r="460" spans="1:3" x14ac:dyDescent="0.3">
      <c r="A460" s="1075" t="s">
        <v>204</v>
      </c>
      <c r="B460" s="1075" t="s">
        <v>1404</v>
      </c>
      <c r="C460" s="1190">
        <v>0</v>
      </c>
    </row>
    <row r="461" spans="1:3" x14ac:dyDescent="0.3">
      <c r="A461" s="1075" t="s">
        <v>204</v>
      </c>
      <c r="B461" s="1075" t="s">
        <v>1403</v>
      </c>
      <c r="C461" s="1190">
        <v>0</v>
      </c>
    </row>
    <row r="462" spans="1:3" x14ac:dyDescent="0.3">
      <c r="A462" s="1075" t="s">
        <v>204</v>
      </c>
      <c r="B462" s="1075" t="s">
        <v>1398</v>
      </c>
      <c r="C462" s="1190">
        <v>1711</v>
      </c>
    </row>
    <row r="463" spans="1:3" x14ac:dyDescent="0.3">
      <c r="A463" s="1075" t="s">
        <v>204</v>
      </c>
      <c r="B463" s="1075" t="s">
        <v>1401</v>
      </c>
      <c r="C463" s="1190">
        <v>74</v>
      </c>
    </row>
    <row r="464" spans="1:3" x14ac:dyDescent="0.3">
      <c r="A464" s="1075" t="s">
        <v>204</v>
      </c>
      <c r="B464" s="1075" t="s">
        <v>1402</v>
      </c>
      <c r="C464" s="1190">
        <v>57</v>
      </c>
    </row>
    <row r="465" spans="1:3" x14ac:dyDescent="0.3">
      <c r="A465" s="1075" t="s">
        <v>190</v>
      </c>
      <c r="B465" s="1075" t="s">
        <v>1397</v>
      </c>
      <c r="C465" s="1190">
        <v>2395</v>
      </c>
    </row>
    <row r="466" spans="1:3" x14ac:dyDescent="0.3">
      <c r="A466" s="1075" t="s">
        <v>190</v>
      </c>
      <c r="B466" s="1075" t="s">
        <v>1399</v>
      </c>
      <c r="C466" s="1190">
        <v>403</v>
      </c>
    </row>
    <row r="467" spans="1:3" x14ac:dyDescent="0.3">
      <c r="A467" s="1075" t="s">
        <v>190</v>
      </c>
      <c r="B467" s="1075" t="s">
        <v>1396</v>
      </c>
      <c r="C467" s="1190">
        <v>50</v>
      </c>
    </row>
    <row r="468" spans="1:3" x14ac:dyDescent="0.3">
      <c r="A468" s="1075" t="s">
        <v>190</v>
      </c>
      <c r="B468" s="1075" t="s">
        <v>1400</v>
      </c>
      <c r="C468" s="1190">
        <v>0</v>
      </c>
    </row>
    <row r="469" spans="1:3" x14ac:dyDescent="0.3">
      <c r="A469" s="1075" t="s">
        <v>190</v>
      </c>
      <c r="B469" s="1075" t="s">
        <v>1404</v>
      </c>
      <c r="C469" s="1190">
        <v>0</v>
      </c>
    </row>
    <row r="470" spans="1:3" x14ac:dyDescent="0.3">
      <c r="A470" s="1075" t="s">
        <v>190</v>
      </c>
      <c r="B470" s="1075" t="s">
        <v>1403</v>
      </c>
      <c r="C470" s="1190">
        <v>0</v>
      </c>
    </row>
    <row r="471" spans="1:3" x14ac:dyDescent="0.3">
      <c r="A471" s="1075" t="s">
        <v>190</v>
      </c>
      <c r="B471" s="1075" t="s">
        <v>1398</v>
      </c>
      <c r="C471" s="1190">
        <v>542</v>
      </c>
    </row>
    <row r="472" spans="1:3" x14ac:dyDescent="0.3">
      <c r="A472" s="1075" t="s">
        <v>190</v>
      </c>
      <c r="B472" s="1075" t="s">
        <v>1401</v>
      </c>
      <c r="C472" s="1190">
        <v>0</v>
      </c>
    </row>
    <row r="473" spans="1:3" x14ac:dyDescent="0.3">
      <c r="A473" s="1075" t="s">
        <v>190</v>
      </c>
      <c r="B473" s="1075" t="s">
        <v>1402</v>
      </c>
      <c r="C473" s="1190">
        <v>0</v>
      </c>
    </row>
    <row r="474" spans="1:3" x14ac:dyDescent="0.3">
      <c r="A474" s="1075" t="s">
        <v>4692</v>
      </c>
      <c r="B474" s="1075" t="s">
        <v>1397</v>
      </c>
      <c r="C474" s="1190">
        <v>50731</v>
      </c>
    </row>
    <row r="475" spans="1:3" x14ac:dyDescent="0.3">
      <c r="A475" s="1075" t="s">
        <v>4692</v>
      </c>
      <c r="B475" s="1075" t="s">
        <v>1399</v>
      </c>
      <c r="C475" s="1190">
        <v>5440</v>
      </c>
    </row>
    <row r="476" spans="1:3" x14ac:dyDescent="0.3">
      <c r="A476" s="1075" t="s">
        <v>4692</v>
      </c>
      <c r="B476" s="1075" t="s">
        <v>1396</v>
      </c>
      <c r="C476" s="1190">
        <v>529</v>
      </c>
    </row>
    <row r="477" spans="1:3" x14ac:dyDescent="0.3">
      <c r="A477" s="1075" t="s">
        <v>4692</v>
      </c>
      <c r="B477" s="1075" t="s">
        <v>1400</v>
      </c>
      <c r="C477" s="1190">
        <v>0</v>
      </c>
    </row>
    <row r="478" spans="1:3" x14ac:dyDescent="0.3">
      <c r="A478" s="1075" t="s">
        <v>4692</v>
      </c>
      <c r="B478" s="1075" t="s">
        <v>1404</v>
      </c>
      <c r="C478" s="1190">
        <v>0</v>
      </c>
    </row>
    <row r="479" spans="1:3" x14ac:dyDescent="0.3">
      <c r="A479" s="1075" t="s">
        <v>4692</v>
      </c>
      <c r="B479" s="1075" t="s">
        <v>1403</v>
      </c>
      <c r="C479" s="1190">
        <v>0</v>
      </c>
    </row>
    <row r="480" spans="1:3" x14ac:dyDescent="0.3">
      <c r="A480" s="1075" t="s">
        <v>4692</v>
      </c>
      <c r="B480" s="1075" t="s">
        <v>1398</v>
      </c>
      <c r="C480" s="1190">
        <v>13723</v>
      </c>
    </row>
    <row r="481" spans="1:3" x14ac:dyDescent="0.3">
      <c r="A481" s="1075" t="s">
        <v>4692</v>
      </c>
      <c r="B481" s="1075" t="s">
        <v>1401</v>
      </c>
      <c r="C481" s="1190">
        <v>124</v>
      </c>
    </row>
    <row r="482" spans="1:3" x14ac:dyDescent="0.3">
      <c r="A482" s="1075" t="s">
        <v>4692</v>
      </c>
      <c r="B482" s="1075" t="s">
        <v>1402</v>
      </c>
      <c r="C482" s="1190">
        <v>444</v>
      </c>
    </row>
    <row r="483" spans="1:3" x14ac:dyDescent="0.3">
      <c r="A483" s="1075" t="s">
        <v>191</v>
      </c>
      <c r="B483" s="1075" t="s">
        <v>1397</v>
      </c>
      <c r="C483" s="1190">
        <v>6368</v>
      </c>
    </row>
    <row r="484" spans="1:3" x14ac:dyDescent="0.3">
      <c r="A484" s="1075" t="s">
        <v>191</v>
      </c>
      <c r="B484" s="1075" t="s">
        <v>1399</v>
      </c>
      <c r="C484" s="1190">
        <v>662</v>
      </c>
    </row>
    <row r="485" spans="1:3" x14ac:dyDescent="0.3">
      <c r="A485" s="1075" t="s">
        <v>191</v>
      </c>
      <c r="B485" s="1075" t="s">
        <v>1396</v>
      </c>
      <c r="C485" s="1190">
        <v>99</v>
      </c>
    </row>
    <row r="486" spans="1:3" x14ac:dyDescent="0.3">
      <c r="A486" s="1075" t="s">
        <v>191</v>
      </c>
      <c r="B486" s="1075" t="s">
        <v>1400</v>
      </c>
      <c r="C486" s="1190">
        <v>0</v>
      </c>
    </row>
    <row r="487" spans="1:3" x14ac:dyDescent="0.3">
      <c r="A487" s="1075" t="s">
        <v>191</v>
      </c>
      <c r="B487" s="1075" t="s">
        <v>1404</v>
      </c>
      <c r="C487" s="1190">
        <v>0</v>
      </c>
    </row>
    <row r="488" spans="1:3" x14ac:dyDescent="0.3">
      <c r="A488" s="1075" t="s">
        <v>191</v>
      </c>
      <c r="B488" s="1075" t="s">
        <v>1403</v>
      </c>
      <c r="C488" s="1190">
        <v>0</v>
      </c>
    </row>
    <row r="489" spans="1:3" x14ac:dyDescent="0.3">
      <c r="A489" s="1075" t="s">
        <v>191</v>
      </c>
      <c r="B489" s="1075" t="s">
        <v>1398</v>
      </c>
      <c r="C489" s="1190">
        <v>2765</v>
      </c>
    </row>
    <row r="490" spans="1:3" x14ac:dyDescent="0.3">
      <c r="A490" s="1075" t="s">
        <v>191</v>
      </c>
      <c r="B490" s="1075" t="s">
        <v>1401</v>
      </c>
      <c r="C490" s="1190">
        <v>121</v>
      </c>
    </row>
    <row r="491" spans="1:3" x14ac:dyDescent="0.3">
      <c r="A491" s="1075" t="s">
        <v>191</v>
      </c>
      <c r="B491" s="1075" t="s">
        <v>1402</v>
      </c>
      <c r="C491" s="1190">
        <v>63</v>
      </c>
    </row>
    <row r="492" spans="1:3" x14ac:dyDescent="0.3">
      <c r="A492" s="1075" t="s">
        <v>165</v>
      </c>
      <c r="B492" s="1075" t="s">
        <v>1397</v>
      </c>
      <c r="C492" s="1190">
        <v>695377</v>
      </c>
    </row>
    <row r="493" spans="1:3" x14ac:dyDescent="0.3">
      <c r="A493" s="1075" t="s">
        <v>165</v>
      </c>
      <c r="B493" s="1075" t="s">
        <v>1399</v>
      </c>
      <c r="C493" s="1190">
        <v>71643</v>
      </c>
    </row>
    <row r="494" spans="1:3" x14ac:dyDescent="0.3">
      <c r="A494" s="1075" t="s">
        <v>165</v>
      </c>
      <c r="B494" s="1075" t="s">
        <v>1396</v>
      </c>
      <c r="C494" s="1190">
        <v>10841</v>
      </c>
    </row>
    <row r="495" spans="1:3" x14ac:dyDescent="0.3">
      <c r="A495" s="1075" t="s">
        <v>165</v>
      </c>
      <c r="B495" s="1075" t="s">
        <v>1400</v>
      </c>
      <c r="C495" s="1190">
        <v>43</v>
      </c>
    </row>
    <row r="496" spans="1:3" x14ac:dyDescent="0.3">
      <c r="A496" s="1075" t="s">
        <v>165</v>
      </c>
      <c r="B496" s="1075" t="s">
        <v>1404</v>
      </c>
      <c r="C496" s="1190">
        <v>0</v>
      </c>
    </row>
    <row r="497" spans="1:3" x14ac:dyDescent="0.3">
      <c r="A497" s="1075" t="s">
        <v>165</v>
      </c>
      <c r="B497" s="1075" t="s">
        <v>1403</v>
      </c>
      <c r="C497" s="1190">
        <v>0</v>
      </c>
    </row>
    <row r="498" spans="1:3" x14ac:dyDescent="0.3">
      <c r="A498" s="1075" t="s">
        <v>165</v>
      </c>
      <c r="B498" s="1075" t="s">
        <v>1398</v>
      </c>
      <c r="C498" s="1190">
        <v>164687</v>
      </c>
    </row>
    <row r="499" spans="1:3" x14ac:dyDescent="0.3">
      <c r="A499" s="1075" t="s">
        <v>165</v>
      </c>
      <c r="B499" s="1075" t="s">
        <v>1401</v>
      </c>
      <c r="C499" s="1190">
        <v>0</v>
      </c>
    </row>
    <row r="500" spans="1:3" x14ac:dyDescent="0.3">
      <c r="A500" s="1075" t="s">
        <v>165</v>
      </c>
      <c r="B500" s="1075" t="s">
        <v>1402</v>
      </c>
      <c r="C500" s="1190">
        <v>12180</v>
      </c>
    </row>
    <row r="501" spans="1:3" x14ac:dyDescent="0.3">
      <c r="A501" s="1075" t="s">
        <v>166</v>
      </c>
      <c r="B501" s="1075" t="s">
        <v>1397</v>
      </c>
      <c r="C501" s="1190">
        <v>13133</v>
      </c>
    </row>
    <row r="502" spans="1:3" x14ac:dyDescent="0.3">
      <c r="A502" s="1075" t="s">
        <v>166</v>
      </c>
      <c r="B502" s="1075" t="s">
        <v>1399</v>
      </c>
      <c r="C502" s="1190">
        <v>834</v>
      </c>
    </row>
    <row r="503" spans="1:3" x14ac:dyDescent="0.3">
      <c r="A503" s="1075" t="s">
        <v>166</v>
      </c>
      <c r="B503" s="1075" t="s">
        <v>1396</v>
      </c>
      <c r="C503" s="1190">
        <v>36</v>
      </c>
    </row>
    <row r="504" spans="1:3" x14ac:dyDescent="0.3">
      <c r="A504" s="1075" t="s">
        <v>166</v>
      </c>
      <c r="B504" s="1075" t="s">
        <v>1400</v>
      </c>
      <c r="C504" s="1190">
        <v>0</v>
      </c>
    </row>
    <row r="505" spans="1:3" x14ac:dyDescent="0.3">
      <c r="A505" s="1075" t="s">
        <v>166</v>
      </c>
      <c r="B505" s="1075" t="s">
        <v>1404</v>
      </c>
      <c r="C505" s="1190">
        <v>0</v>
      </c>
    </row>
    <row r="506" spans="1:3" x14ac:dyDescent="0.3">
      <c r="A506" s="1075" t="s">
        <v>166</v>
      </c>
      <c r="B506" s="1075" t="s">
        <v>1403</v>
      </c>
      <c r="C506" s="1190">
        <v>0</v>
      </c>
    </row>
    <row r="507" spans="1:3" x14ac:dyDescent="0.3">
      <c r="A507" s="1075" t="s">
        <v>166</v>
      </c>
      <c r="B507" s="1075" t="s">
        <v>1398</v>
      </c>
      <c r="C507" s="1190">
        <v>3108</v>
      </c>
    </row>
    <row r="508" spans="1:3" x14ac:dyDescent="0.3">
      <c r="A508" s="1075" t="s">
        <v>166</v>
      </c>
      <c r="B508" s="1075" t="s">
        <v>1401</v>
      </c>
      <c r="C508" s="1190">
        <v>0</v>
      </c>
    </row>
    <row r="509" spans="1:3" x14ac:dyDescent="0.3">
      <c r="A509" s="1075" t="s">
        <v>166</v>
      </c>
      <c r="B509" s="1075" t="s">
        <v>1402</v>
      </c>
      <c r="C509" s="1190">
        <v>35</v>
      </c>
    </row>
    <row r="510" spans="1:3" x14ac:dyDescent="0.3">
      <c r="A510" s="1075" t="s">
        <v>167</v>
      </c>
      <c r="B510" s="1075" t="s">
        <v>1397</v>
      </c>
      <c r="C510" s="1190">
        <v>51216</v>
      </c>
    </row>
    <row r="511" spans="1:3" x14ac:dyDescent="0.3">
      <c r="A511" s="1075" t="s">
        <v>167</v>
      </c>
      <c r="B511" s="1075" t="s">
        <v>1399</v>
      </c>
      <c r="C511" s="1190">
        <v>5892</v>
      </c>
    </row>
    <row r="512" spans="1:3" x14ac:dyDescent="0.3">
      <c r="A512" s="1075" t="s">
        <v>167</v>
      </c>
      <c r="B512" s="1075" t="s">
        <v>1396</v>
      </c>
      <c r="C512" s="1190">
        <v>746</v>
      </c>
    </row>
    <row r="513" spans="1:3" x14ac:dyDescent="0.3">
      <c r="A513" s="1075" t="s">
        <v>167</v>
      </c>
      <c r="B513" s="1075" t="s">
        <v>1400</v>
      </c>
      <c r="C513" s="1190">
        <v>1</v>
      </c>
    </row>
    <row r="514" spans="1:3" x14ac:dyDescent="0.3">
      <c r="A514" s="1075" t="s">
        <v>167</v>
      </c>
      <c r="B514" s="1075" t="s">
        <v>1404</v>
      </c>
      <c r="C514" s="1190">
        <v>0</v>
      </c>
    </row>
    <row r="515" spans="1:3" x14ac:dyDescent="0.3">
      <c r="A515" s="1075" t="s">
        <v>167</v>
      </c>
      <c r="B515" s="1075" t="s">
        <v>1403</v>
      </c>
      <c r="C515" s="1190">
        <v>1</v>
      </c>
    </row>
    <row r="516" spans="1:3" x14ac:dyDescent="0.3">
      <c r="A516" s="1075" t="s">
        <v>167</v>
      </c>
      <c r="B516" s="1075" t="s">
        <v>1398</v>
      </c>
      <c r="C516" s="1190">
        <v>14769</v>
      </c>
    </row>
    <row r="517" spans="1:3" x14ac:dyDescent="0.3">
      <c r="A517" s="1075" t="s">
        <v>167</v>
      </c>
      <c r="B517" s="1075" t="s">
        <v>1401</v>
      </c>
      <c r="C517" s="1190">
        <v>0</v>
      </c>
    </row>
    <row r="518" spans="1:3" x14ac:dyDescent="0.3">
      <c r="A518" s="1075" t="s">
        <v>167</v>
      </c>
      <c r="B518" s="1075" t="s">
        <v>1402</v>
      </c>
      <c r="C518" s="1190">
        <v>532</v>
      </c>
    </row>
    <row r="519" spans="1:3" x14ac:dyDescent="0.3">
      <c r="A519" s="1075" t="s">
        <v>238</v>
      </c>
      <c r="B519" s="1075" t="s">
        <v>1397</v>
      </c>
      <c r="C519" s="1190">
        <v>21721</v>
      </c>
    </row>
    <row r="520" spans="1:3" x14ac:dyDescent="0.3">
      <c r="A520" s="1075" t="s">
        <v>238</v>
      </c>
      <c r="B520" s="1075" t="s">
        <v>1399</v>
      </c>
      <c r="C520" s="1190">
        <v>1777</v>
      </c>
    </row>
    <row r="521" spans="1:3" x14ac:dyDescent="0.3">
      <c r="A521" s="1075" t="s">
        <v>238</v>
      </c>
      <c r="B521" s="1075" t="s">
        <v>1396</v>
      </c>
      <c r="C521" s="1190">
        <v>166</v>
      </c>
    </row>
    <row r="522" spans="1:3" x14ac:dyDescent="0.3">
      <c r="A522" s="1075" t="s">
        <v>238</v>
      </c>
      <c r="B522" s="1075" t="s">
        <v>1400</v>
      </c>
      <c r="C522" s="1190">
        <v>0</v>
      </c>
    </row>
    <row r="523" spans="1:3" x14ac:dyDescent="0.3">
      <c r="A523" s="1075" t="s">
        <v>238</v>
      </c>
      <c r="B523" s="1075" t="s">
        <v>1404</v>
      </c>
      <c r="C523" s="1190">
        <v>0</v>
      </c>
    </row>
    <row r="524" spans="1:3" x14ac:dyDescent="0.3">
      <c r="A524" s="1075" t="s">
        <v>238</v>
      </c>
      <c r="B524" s="1075" t="s">
        <v>1403</v>
      </c>
      <c r="C524" s="1190">
        <v>0</v>
      </c>
    </row>
    <row r="525" spans="1:3" x14ac:dyDescent="0.3">
      <c r="A525" s="1075" t="s">
        <v>238</v>
      </c>
      <c r="B525" s="1075" t="s">
        <v>1398</v>
      </c>
      <c r="C525" s="1190">
        <v>7050</v>
      </c>
    </row>
    <row r="526" spans="1:3" x14ac:dyDescent="0.3">
      <c r="A526" s="1075" t="s">
        <v>238</v>
      </c>
      <c r="B526" s="1075" t="s">
        <v>1401</v>
      </c>
      <c r="C526" s="1190">
        <v>440</v>
      </c>
    </row>
    <row r="527" spans="1:3" x14ac:dyDescent="0.3">
      <c r="A527" s="1075" t="s">
        <v>238</v>
      </c>
      <c r="B527" s="1075" t="s">
        <v>1402</v>
      </c>
      <c r="C527" s="1190">
        <v>261</v>
      </c>
    </row>
    <row r="528" spans="1:3" x14ac:dyDescent="0.3">
      <c r="A528" s="1075" t="s">
        <v>206</v>
      </c>
      <c r="B528" s="1075" t="s">
        <v>1397</v>
      </c>
      <c r="C528" s="1190">
        <v>3314</v>
      </c>
    </row>
    <row r="529" spans="1:3" x14ac:dyDescent="0.3">
      <c r="A529" s="1075" t="s">
        <v>206</v>
      </c>
      <c r="B529" s="1075" t="s">
        <v>1399</v>
      </c>
      <c r="C529" s="1190">
        <v>476</v>
      </c>
    </row>
    <row r="530" spans="1:3" x14ac:dyDescent="0.3">
      <c r="A530" s="1075" t="s">
        <v>206</v>
      </c>
      <c r="B530" s="1075" t="s">
        <v>1396</v>
      </c>
      <c r="C530" s="1190">
        <v>40</v>
      </c>
    </row>
    <row r="531" spans="1:3" x14ac:dyDescent="0.3">
      <c r="A531" s="1075" t="s">
        <v>206</v>
      </c>
      <c r="B531" s="1075" t="s">
        <v>1400</v>
      </c>
      <c r="C531" s="1190">
        <v>0</v>
      </c>
    </row>
    <row r="532" spans="1:3" x14ac:dyDescent="0.3">
      <c r="A532" s="1075" t="s">
        <v>206</v>
      </c>
      <c r="B532" s="1075" t="s">
        <v>1404</v>
      </c>
      <c r="C532" s="1190">
        <v>0</v>
      </c>
    </row>
    <row r="533" spans="1:3" x14ac:dyDescent="0.3">
      <c r="A533" s="1075" t="s">
        <v>206</v>
      </c>
      <c r="B533" s="1075" t="s">
        <v>1403</v>
      </c>
      <c r="C533" s="1190">
        <v>0</v>
      </c>
    </row>
    <row r="534" spans="1:3" x14ac:dyDescent="0.3">
      <c r="A534" s="1075" t="s">
        <v>206</v>
      </c>
      <c r="B534" s="1075" t="s">
        <v>1398</v>
      </c>
      <c r="C534" s="1190">
        <v>907</v>
      </c>
    </row>
    <row r="535" spans="1:3" x14ac:dyDescent="0.3">
      <c r="A535" s="1075" t="s">
        <v>206</v>
      </c>
      <c r="B535" s="1075" t="s">
        <v>1401</v>
      </c>
      <c r="C535" s="1190">
        <v>23</v>
      </c>
    </row>
    <row r="536" spans="1:3" x14ac:dyDescent="0.3">
      <c r="A536" s="1075" t="s">
        <v>206</v>
      </c>
      <c r="B536" s="1075" t="s">
        <v>1402</v>
      </c>
      <c r="C536" s="1190">
        <v>4</v>
      </c>
    </row>
    <row r="537" spans="1:3" x14ac:dyDescent="0.3">
      <c r="A537" s="1075" t="s">
        <v>193</v>
      </c>
      <c r="B537" s="1075" t="s">
        <v>1397</v>
      </c>
      <c r="C537" s="1190">
        <v>20983</v>
      </c>
    </row>
    <row r="538" spans="1:3" x14ac:dyDescent="0.3">
      <c r="A538" s="1075" t="s">
        <v>193</v>
      </c>
      <c r="B538" s="1075" t="s">
        <v>1399</v>
      </c>
      <c r="C538" s="1190">
        <v>2598</v>
      </c>
    </row>
    <row r="539" spans="1:3" x14ac:dyDescent="0.3">
      <c r="A539" s="1075" t="s">
        <v>193</v>
      </c>
      <c r="B539" s="1075" t="s">
        <v>1396</v>
      </c>
      <c r="C539" s="1190">
        <v>193</v>
      </c>
    </row>
    <row r="540" spans="1:3" x14ac:dyDescent="0.3">
      <c r="A540" s="1075" t="s">
        <v>193</v>
      </c>
      <c r="B540" s="1075" t="s">
        <v>1400</v>
      </c>
      <c r="C540" s="1190">
        <v>0</v>
      </c>
    </row>
    <row r="541" spans="1:3" x14ac:dyDescent="0.3">
      <c r="A541" s="1075" t="s">
        <v>193</v>
      </c>
      <c r="B541" s="1075" t="s">
        <v>1404</v>
      </c>
      <c r="C541" s="1190">
        <v>0</v>
      </c>
    </row>
    <row r="542" spans="1:3" x14ac:dyDescent="0.3">
      <c r="A542" s="1075" t="s">
        <v>193</v>
      </c>
      <c r="B542" s="1075" t="s">
        <v>1403</v>
      </c>
      <c r="C542" s="1190">
        <v>0</v>
      </c>
    </row>
    <row r="543" spans="1:3" x14ac:dyDescent="0.3">
      <c r="A543" s="1075" t="s">
        <v>193</v>
      </c>
      <c r="B543" s="1075" t="s">
        <v>1398</v>
      </c>
      <c r="C543" s="1190">
        <v>6282</v>
      </c>
    </row>
    <row r="544" spans="1:3" x14ac:dyDescent="0.3">
      <c r="A544" s="1075" t="s">
        <v>193</v>
      </c>
      <c r="B544" s="1075" t="s">
        <v>1401</v>
      </c>
      <c r="C544" s="1190">
        <v>9</v>
      </c>
    </row>
    <row r="545" spans="1:3" x14ac:dyDescent="0.3">
      <c r="A545" s="1075" t="s">
        <v>193</v>
      </c>
      <c r="B545" s="1075" t="s">
        <v>1402</v>
      </c>
      <c r="C545" s="1190">
        <v>50</v>
      </c>
    </row>
    <row r="546" spans="1:3" x14ac:dyDescent="0.3">
      <c r="A546" s="758" t="s">
        <v>2045</v>
      </c>
    </row>
    <row r="547" spans="1:3" x14ac:dyDescent="0.3">
      <c r="A547" s="758"/>
      <c r="B547" s="1460" t="s">
        <v>7097</v>
      </c>
    </row>
    <row r="548" spans="1:3" x14ac:dyDescent="0.3">
      <c r="A548" s="961" t="s">
        <v>4843</v>
      </c>
      <c r="B548" s="1460" t="s">
        <v>7098</v>
      </c>
    </row>
    <row r="549" spans="1:3" x14ac:dyDescent="0.3">
      <c r="A549" s="961" t="s">
        <v>4843</v>
      </c>
      <c r="B549" s="1460" t="s">
        <v>7099</v>
      </c>
    </row>
  </sheetData>
  <sheetProtection algorithmName="SHA-512" hashValue="Okw33VBvkVBUq8PmcK9+uVD2RSXi/hnQtMtLA3iqMrFpXJvHpKHpMZ6xs1MPonZ4Mp6liPTeEFw5tmHJa2nnuw==" saltValue="dvNY3RI91cBSqSa8fKKz7Q==" spinCount="100000" sheet="1" objects="1" scenarios="1"/>
  <pageMargins left="0.75" right="0.75" top="1" bottom="1" header="0.5" footer="0.5"/>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dimension ref="A1:K1507"/>
  <sheetViews>
    <sheetView showGridLines="0" topLeftCell="A4" workbookViewId="0">
      <selection activeCell="A1507" sqref="A1507"/>
    </sheetView>
  </sheetViews>
  <sheetFormatPr defaultColWidth="9.109375" defaultRowHeight="14.4" x14ac:dyDescent="0.3"/>
  <cols>
    <col min="1" max="1" width="22.33203125" style="1192" customWidth="1"/>
    <col min="2" max="2" width="10.33203125" style="1192" customWidth="1"/>
    <col min="3" max="3" width="9.5546875" style="1192" customWidth="1"/>
    <col min="4" max="4" width="15.109375" style="1192" customWidth="1"/>
    <col min="5" max="5" width="24.33203125" style="1192" customWidth="1"/>
    <col min="6" max="6" width="9.6640625" style="1192" customWidth="1"/>
    <col min="7" max="7" width="6.33203125" style="1192" customWidth="1"/>
    <col min="8" max="8" width="9.6640625" style="1192" customWidth="1"/>
    <col min="9" max="9" width="8.5546875" style="1192" customWidth="1"/>
    <col min="10" max="10" width="11" style="1192" customWidth="1"/>
    <col min="11" max="11" width="9.88671875" style="1192" customWidth="1"/>
    <col min="12" max="12" width="0.6640625" style="1192" customWidth="1"/>
    <col min="13" max="16384" width="9.109375" style="1192"/>
  </cols>
  <sheetData>
    <row r="1" spans="1:11" x14ac:dyDescent="0.3">
      <c r="A1" s="1458" t="s">
        <v>7100</v>
      </c>
    </row>
    <row r="2" spans="1:11" x14ac:dyDescent="0.3">
      <c r="A2" s="1459" t="s">
        <v>7259</v>
      </c>
    </row>
    <row r="3" spans="1:11" x14ac:dyDescent="0.3">
      <c r="A3" s="758" t="s">
        <v>2045</v>
      </c>
    </row>
    <row r="4" spans="1:11" ht="20.399999999999999" x14ac:dyDescent="0.3">
      <c r="A4" s="759" t="s">
        <v>622</v>
      </c>
      <c r="B4" s="759" t="s">
        <v>623</v>
      </c>
      <c r="C4" s="759" t="s">
        <v>624</v>
      </c>
      <c r="D4" s="759" t="s">
        <v>625</v>
      </c>
      <c r="E4" s="759" t="s">
        <v>1612</v>
      </c>
      <c r="F4" s="759" t="s">
        <v>626</v>
      </c>
      <c r="G4" s="759" t="s">
        <v>627</v>
      </c>
      <c r="H4" s="759" t="s">
        <v>628</v>
      </c>
      <c r="I4" s="759" t="s">
        <v>629</v>
      </c>
      <c r="J4" s="759" t="s">
        <v>630</v>
      </c>
      <c r="K4" s="760" t="s">
        <v>1908</v>
      </c>
    </row>
    <row r="5" spans="1:11" x14ac:dyDescent="0.3">
      <c r="A5" s="761" t="s">
        <v>3744</v>
      </c>
      <c r="B5" s="765">
        <v>2020</v>
      </c>
      <c r="C5" s="761" t="s">
        <v>2342</v>
      </c>
      <c r="D5" s="761" t="s">
        <v>45</v>
      </c>
      <c r="E5" s="761" t="s">
        <v>3745</v>
      </c>
      <c r="F5" s="1187">
        <v>9277459.6300000008</v>
      </c>
      <c r="G5" s="761" t="s">
        <v>631</v>
      </c>
      <c r="H5" s="1187">
        <v>9101225</v>
      </c>
      <c r="I5" s="1187">
        <v>176234.171875</v>
      </c>
      <c r="J5" s="1187">
        <v>9277460</v>
      </c>
      <c r="K5" s="1188">
        <v>9277459.6300000008</v>
      </c>
    </row>
    <row r="6" spans="1:11" ht="30.6" x14ac:dyDescent="0.3">
      <c r="A6" s="761" t="s">
        <v>3744</v>
      </c>
      <c r="B6" s="765">
        <v>2020</v>
      </c>
      <c r="C6" s="761" t="s">
        <v>2343</v>
      </c>
      <c r="D6" s="761" t="s">
        <v>632</v>
      </c>
      <c r="E6" s="761" t="s">
        <v>3746</v>
      </c>
      <c r="F6" s="1187">
        <v>-996876.52</v>
      </c>
      <c r="G6" s="761" t="s">
        <v>631</v>
      </c>
      <c r="H6" s="1187">
        <v>-963243.3125</v>
      </c>
      <c r="I6" s="1187">
        <v>-33633.23046875</v>
      </c>
      <c r="J6" s="1187">
        <v>-996876.5</v>
      </c>
      <c r="K6" s="1188">
        <v>-996876.52</v>
      </c>
    </row>
    <row r="7" spans="1:11" ht="20.399999999999999" x14ac:dyDescent="0.3">
      <c r="A7" s="761" t="s">
        <v>3744</v>
      </c>
      <c r="B7" s="765">
        <v>2020</v>
      </c>
      <c r="C7" s="761" t="s">
        <v>2344</v>
      </c>
      <c r="D7" s="761" t="s">
        <v>452</v>
      </c>
      <c r="E7" s="761" t="s">
        <v>3747</v>
      </c>
      <c r="F7" s="1187">
        <v>24703298.739999998</v>
      </c>
      <c r="G7" s="766"/>
      <c r="H7" s="767"/>
      <c r="I7" s="767"/>
      <c r="J7" s="1187">
        <v>0</v>
      </c>
      <c r="K7" s="1188">
        <v>24703298.739999998</v>
      </c>
    </row>
    <row r="8" spans="1:11" ht="20.399999999999999" x14ac:dyDescent="0.3">
      <c r="A8" s="761" t="s">
        <v>3744</v>
      </c>
      <c r="B8" s="765">
        <v>2020</v>
      </c>
      <c r="C8" s="761" t="s">
        <v>2345</v>
      </c>
      <c r="D8" s="761" t="s">
        <v>42</v>
      </c>
      <c r="E8" s="761" t="s">
        <v>3748</v>
      </c>
      <c r="F8" s="1187">
        <v>-11629815.74</v>
      </c>
      <c r="G8" s="761" t="s">
        <v>631</v>
      </c>
      <c r="H8" s="1187">
        <v>-11278385</v>
      </c>
      <c r="I8" s="1187">
        <v>-351430.28125</v>
      </c>
      <c r="J8" s="1187">
        <v>-11629816</v>
      </c>
      <c r="K8" s="1188">
        <v>-11629815.74</v>
      </c>
    </row>
    <row r="9" spans="1:11" ht="20.399999999999999" x14ac:dyDescent="0.3">
      <c r="A9" s="761" t="s">
        <v>3744</v>
      </c>
      <c r="B9" s="765">
        <v>2020</v>
      </c>
      <c r="C9" s="761" t="s">
        <v>2345</v>
      </c>
      <c r="D9" s="761" t="s">
        <v>2063</v>
      </c>
      <c r="E9" s="761" t="s">
        <v>3748</v>
      </c>
      <c r="F9" s="1187">
        <v>0</v>
      </c>
      <c r="G9" s="766"/>
      <c r="H9" s="767"/>
      <c r="I9" s="767"/>
      <c r="J9" s="1187">
        <v>0</v>
      </c>
      <c r="K9" s="1188">
        <v>0</v>
      </c>
    </row>
    <row r="10" spans="1:11" ht="20.399999999999999" x14ac:dyDescent="0.3">
      <c r="A10" s="761" t="s">
        <v>3744</v>
      </c>
      <c r="B10" s="765">
        <v>2020</v>
      </c>
      <c r="C10" s="761" t="s">
        <v>2345</v>
      </c>
      <c r="D10" s="761" t="s">
        <v>2064</v>
      </c>
      <c r="E10" s="761" t="s">
        <v>3748</v>
      </c>
      <c r="F10" s="1187">
        <v>0</v>
      </c>
      <c r="G10" s="766"/>
      <c r="H10" s="767"/>
      <c r="I10" s="767"/>
      <c r="J10" s="1187">
        <v>0</v>
      </c>
      <c r="K10" s="1188">
        <v>0</v>
      </c>
    </row>
    <row r="11" spans="1:11" ht="20.399999999999999" x14ac:dyDescent="0.3">
      <c r="A11" s="761" t="s">
        <v>3744</v>
      </c>
      <c r="B11" s="765">
        <v>2020</v>
      </c>
      <c r="C11" s="761" t="s">
        <v>2345</v>
      </c>
      <c r="D11" s="761" t="s">
        <v>2065</v>
      </c>
      <c r="E11" s="761" t="s">
        <v>3748</v>
      </c>
      <c r="F11" s="1187">
        <v>-244069.42</v>
      </c>
      <c r="G11" s="766"/>
      <c r="H11" s="767"/>
      <c r="I11" s="767"/>
      <c r="J11" s="1187">
        <v>0</v>
      </c>
      <c r="K11" s="1188">
        <v>-244069.42</v>
      </c>
    </row>
    <row r="12" spans="1:11" ht="20.399999999999999" x14ac:dyDescent="0.3">
      <c r="A12" s="761" t="s">
        <v>3744</v>
      </c>
      <c r="B12" s="765">
        <v>2020</v>
      </c>
      <c r="C12" s="761" t="s">
        <v>2345</v>
      </c>
      <c r="D12" s="761" t="s">
        <v>2066</v>
      </c>
      <c r="E12" s="761" t="s">
        <v>3748</v>
      </c>
      <c r="F12" s="1187">
        <v>-2609827.79</v>
      </c>
      <c r="G12" s="766"/>
      <c r="H12" s="767"/>
      <c r="I12" s="767"/>
      <c r="J12" s="1187">
        <v>0</v>
      </c>
      <c r="K12" s="1188">
        <v>-2609827.79</v>
      </c>
    </row>
    <row r="13" spans="1:11" ht="30.6" x14ac:dyDescent="0.3">
      <c r="A13" s="761" t="s">
        <v>3744</v>
      </c>
      <c r="B13" s="765">
        <v>2020</v>
      </c>
      <c r="C13" s="761" t="s">
        <v>2346</v>
      </c>
      <c r="D13" s="761" t="s">
        <v>43</v>
      </c>
      <c r="E13" s="761" t="s">
        <v>3749</v>
      </c>
      <c r="F13" s="1187">
        <v>5101259.8099999996</v>
      </c>
      <c r="G13" s="761" t="s">
        <v>631</v>
      </c>
      <c r="H13" s="1187">
        <v>5192879.5</v>
      </c>
      <c r="I13" s="1187">
        <v>-91619.9296875</v>
      </c>
      <c r="J13" s="1187">
        <v>5101260</v>
      </c>
      <c r="K13" s="1188">
        <v>5101259.8099999996</v>
      </c>
    </row>
    <row r="14" spans="1:11" ht="30.6" x14ac:dyDescent="0.3">
      <c r="A14" s="761" t="s">
        <v>3744</v>
      </c>
      <c r="B14" s="765">
        <v>2020</v>
      </c>
      <c r="C14" s="761" t="s">
        <v>2347</v>
      </c>
      <c r="D14" s="761" t="s">
        <v>44</v>
      </c>
      <c r="E14" s="761" t="s">
        <v>3750</v>
      </c>
      <c r="F14" s="1187">
        <v>5452525.9100000001</v>
      </c>
      <c r="G14" s="761" t="s">
        <v>631</v>
      </c>
      <c r="H14" s="1187">
        <v>5160212</v>
      </c>
      <c r="I14" s="1187">
        <v>292314.09375</v>
      </c>
      <c r="J14" s="1187">
        <v>5452526</v>
      </c>
      <c r="K14" s="1188">
        <v>5452525.9100000001</v>
      </c>
    </row>
    <row r="15" spans="1:11" ht="30.6" x14ac:dyDescent="0.3">
      <c r="A15" s="761" t="s">
        <v>3744</v>
      </c>
      <c r="B15" s="765">
        <v>2020</v>
      </c>
      <c r="C15" s="761" t="s">
        <v>2348</v>
      </c>
      <c r="D15" s="761" t="s">
        <v>46</v>
      </c>
      <c r="E15" s="761" t="s">
        <v>3751</v>
      </c>
      <c r="F15" s="1187">
        <v>-10674530.01</v>
      </c>
      <c r="G15" s="761" t="s">
        <v>631</v>
      </c>
      <c r="H15" s="1187">
        <v>-10360925</v>
      </c>
      <c r="I15" s="1187">
        <v>-313604.53125</v>
      </c>
      <c r="J15" s="1187">
        <v>-10674530</v>
      </c>
      <c r="K15" s="1188">
        <v>-10674530.01</v>
      </c>
    </row>
    <row r="16" spans="1:11" ht="20.399999999999999" x14ac:dyDescent="0.3">
      <c r="A16" s="761" t="s">
        <v>3744</v>
      </c>
      <c r="B16" s="765">
        <v>2020</v>
      </c>
      <c r="C16" s="761" t="s">
        <v>2349</v>
      </c>
      <c r="D16" s="761" t="s">
        <v>339</v>
      </c>
      <c r="E16" s="761" t="s">
        <v>3752</v>
      </c>
      <c r="F16" s="1187">
        <v>12721559.710000001</v>
      </c>
      <c r="G16" s="761" t="s">
        <v>631</v>
      </c>
      <c r="H16" s="1187">
        <v>12786851</v>
      </c>
      <c r="I16" s="1187">
        <v>-65291.26953125</v>
      </c>
      <c r="J16" s="1187">
        <v>12721560</v>
      </c>
      <c r="K16" s="1188">
        <v>12721559.710000001</v>
      </c>
    </row>
    <row r="17" spans="1:11" ht="40.799999999999997" x14ac:dyDescent="0.3">
      <c r="A17" s="761" t="s">
        <v>3744</v>
      </c>
      <c r="B17" s="765">
        <v>2020</v>
      </c>
      <c r="C17" s="761" t="s">
        <v>2350</v>
      </c>
      <c r="D17" s="761" t="s">
        <v>633</v>
      </c>
      <c r="E17" s="761" t="s">
        <v>3753</v>
      </c>
      <c r="F17" s="1187">
        <v>0</v>
      </c>
      <c r="G17" s="761" t="s">
        <v>631</v>
      </c>
      <c r="H17" s="1187">
        <v>0</v>
      </c>
      <c r="I17" s="1187">
        <v>0</v>
      </c>
      <c r="J17" s="1187">
        <v>0</v>
      </c>
      <c r="K17" s="1188">
        <v>0</v>
      </c>
    </row>
    <row r="18" spans="1:11" ht="40.799999999999997" x14ac:dyDescent="0.3">
      <c r="A18" s="761" t="s">
        <v>3744</v>
      </c>
      <c r="B18" s="765">
        <v>2020</v>
      </c>
      <c r="C18" s="761" t="s">
        <v>2350</v>
      </c>
      <c r="D18" s="761" t="s">
        <v>634</v>
      </c>
      <c r="E18" s="761" t="s">
        <v>3754</v>
      </c>
      <c r="F18" s="1187">
        <v>0</v>
      </c>
      <c r="G18" s="761" t="s">
        <v>631</v>
      </c>
      <c r="H18" s="1187">
        <v>0</v>
      </c>
      <c r="I18" s="1187">
        <v>0</v>
      </c>
      <c r="J18" s="1187">
        <v>0</v>
      </c>
      <c r="K18" s="1188">
        <v>0</v>
      </c>
    </row>
    <row r="19" spans="1:11" ht="40.799999999999997" x14ac:dyDescent="0.3">
      <c r="A19" s="761" t="s">
        <v>3744</v>
      </c>
      <c r="B19" s="765">
        <v>2020</v>
      </c>
      <c r="C19" s="761" t="s">
        <v>2350</v>
      </c>
      <c r="D19" s="761" t="s">
        <v>635</v>
      </c>
      <c r="E19" s="761" t="s">
        <v>3755</v>
      </c>
      <c r="F19" s="1187">
        <v>0</v>
      </c>
      <c r="G19" s="761" t="s">
        <v>631</v>
      </c>
      <c r="H19" s="1187">
        <v>0</v>
      </c>
      <c r="I19" s="1187">
        <v>0</v>
      </c>
      <c r="J19" s="1187">
        <v>0</v>
      </c>
      <c r="K19" s="1188">
        <v>0</v>
      </c>
    </row>
    <row r="20" spans="1:11" ht="40.799999999999997" x14ac:dyDescent="0.3">
      <c r="A20" s="761" t="s">
        <v>3744</v>
      </c>
      <c r="B20" s="765">
        <v>2020</v>
      </c>
      <c r="C20" s="761" t="s">
        <v>2350</v>
      </c>
      <c r="D20" s="761" t="s">
        <v>636</v>
      </c>
      <c r="E20" s="761" t="s">
        <v>3756</v>
      </c>
      <c r="F20" s="1187">
        <v>0</v>
      </c>
      <c r="G20" s="761" t="s">
        <v>631</v>
      </c>
      <c r="H20" s="1187">
        <v>0</v>
      </c>
      <c r="I20" s="1187">
        <v>0</v>
      </c>
      <c r="J20" s="1187">
        <v>0</v>
      </c>
      <c r="K20" s="1188">
        <v>0</v>
      </c>
    </row>
    <row r="21" spans="1:11" ht="40.799999999999997" x14ac:dyDescent="0.3">
      <c r="A21" s="761" t="s">
        <v>3744</v>
      </c>
      <c r="B21" s="765">
        <v>2020</v>
      </c>
      <c r="C21" s="761" t="s">
        <v>2350</v>
      </c>
      <c r="D21" s="761" t="s">
        <v>637</v>
      </c>
      <c r="E21" s="761" t="s">
        <v>3757</v>
      </c>
      <c r="F21" s="1187">
        <v>0</v>
      </c>
      <c r="G21" s="761" t="s">
        <v>631</v>
      </c>
      <c r="H21" s="1187">
        <v>0</v>
      </c>
      <c r="I21" s="1187">
        <v>0</v>
      </c>
      <c r="J21" s="1187">
        <v>0</v>
      </c>
      <c r="K21" s="1188">
        <v>0</v>
      </c>
    </row>
    <row r="22" spans="1:11" ht="40.799999999999997" x14ac:dyDescent="0.3">
      <c r="A22" s="761" t="s">
        <v>3744</v>
      </c>
      <c r="B22" s="765">
        <v>2020</v>
      </c>
      <c r="C22" s="761" t="s">
        <v>2350</v>
      </c>
      <c r="D22" s="761" t="s">
        <v>638</v>
      </c>
      <c r="E22" s="761" t="s">
        <v>3758</v>
      </c>
      <c r="F22" s="1187">
        <v>0</v>
      </c>
      <c r="G22" s="761" t="s">
        <v>631</v>
      </c>
      <c r="H22" s="1187">
        <v>0</v>
      </c>
      <c r="I22" s="1187">
        <v>0</v>
      </c>
      <c r="J22" s="1187">
        <v>0</v>
      </c>
      <c r="K22" s="1188">
        <v>0</v>
      </c>
    </row>
    <row r="23" spans="1:11" ht="40.799999999999997" x14ac:dyDescent="0.3">
      <c r="A23" s="761" t="s">
        <v>3744</v>
      </c>
      <c r="B23" s="765">
        <v>2020</v>
      </c>
      <c r="C23" s="761" t="s">
        <v>2350</v>
      </c>
      <c r="D23" s="761" t="s">
        <v>639</v>
      </c>
      <c r="E23" s="761" t="s">
        <v>3759</v>
      </c>
      <c r="F23" s="1187">
        <v>0</v>
      </c>
      <c r="G23" s="761" t="s">
        <v>631</v>
      </c>
      <c r="H23" s="1187">
        <v>0</v>
      </c>
      <c r="I23" s="1187">
        <v>0</v>
      </c>
      <c r="J23" s="1187">
        <v>0</v>
      </c>
      <c r="K23" s="1188">
        <v>0</v>
      </c>
    </row>
    <row r="24" spans="1:11" ht="40.799999999999997" x14ac:dyDescent="0.3">
      <c r="A24" s="761" t="s">
        <v>3744</v>
      </c>
      <c r="B24" s="765">
        <v>2020</v>
      </c>
      <c r="C24" s="761" t="s">
        <v>2350</v>
      </c>
      <c r="D24" s="761" t="s">
        <v>1613</v>
      </c>
      <c r="E24" s="761" t="s">
        <v>3760</v>
      </c>
      <c r="F24" s="1187">
        <v>0</v>
      </c>
      <c r="G24" s="761" t="s">
        <v>631</v>
      </c>
      <c r="H24" s="1187">
        <v>0</v>
      </c>
      <c r="I24" s="1187">
        <v>0</v>
      </c>
      <c r="J24" s="1187">
        <v>0</v>
      </c>
      <c r="K24" s="1188">
        <v>0</v>
      </c>
    </row>
    <row r="25" spans="1:11" ht="40.799999999999997" x14ac:dyDescent="0.3">
      <c r="A25" s="761" t="s">
        <v>3744</v>
      </c>
      <c r="B25" s="765">
        <v>2020</v>
      </c>
      <c r="C25" s="761" t="s">
        <v>2350</v>
      </c>
      <c r="D25" s="761" t="s">
        <v>2067</v>
      </c>
      <c r="E25" s="761" t="s">
        <v>3761</v>
      </c>
      <c r="F25" s="1187">
        <v>0</v>
      </c>
      <c r="G25" s="761" t="s">
        <v>631</v>
      </c>
      <c r="H25" s="1187">
        <v>-80743.8515625</v>
      </c>
      <c r="I25" s="1187">
        <v>43786.3984375</v>
      </c>
      <c r="J25" s="1187">
        <v>-36957.44921875</v>
      </c>
      <c r="K25" s="1188">
        <v>-36957.449999999997</v>
      </c>
    </row>
    <row r="26" spans="1:11" ht="40.799999999999997" x14ac:dyDescent="0.3">
      <c r="A26" s="761" t="s">
        <v>3744</v>
      </c>
      <c r="B26" s="765">
        <v>2020</v>
      </c>
      <c r="C26" s="761" t="s">
        <v>2350</v>
      </c>
      <c r="D26" s="761" t="s">
        <v>3762</v>
      </c>
      <c r="E26" s="761" t="s">
        <v>4324</v>
      </c>
      <c r="F26" s="1187">
        <v>0</v>
      </c>
      <c r="G26" s="761" t="s">
        <v>631</v>
      </c>
      <c r="H26" s="1187">
        <v>-724487.25</v>
      </c>
      <c r="I26" s="1187">
        <v>-295832.46875</v>
      </c>
      <c r="J26" s="1187">
        <v>-1020319.75</v>
      </c>
      <c r="K26" s="1188">
        <v>-1020319.73</v>
      </c>
    </row>
    <row r="27" spans="1:11" ht="40.799999999999997" x14ac:dyDescent="0.3">
      <c r="A27" s="761" t="s">
        <v>3744</v>
      </c>
      <c r="B27" s="765">
        <v>2020</v>
      </c>
      <c r="C27" s="761" t="s">
        <v>2350</v>
      </c>
      <c r="D27" s="761" t="s">
        <v>4844</v>
      </c>
      <c r="E27" s="761" t="s">
        <v>5777</v>
      </c>
      <c r="F27" s="1187">
        <v>0</v>
      </c>
      <c r="G27" s="761" t="s">
        <v>631</v>
      </c>
      <c r="H27" s="1187">
        <v>1525563</v>
      </c>
      <c r="I27" s="1187">
        <v>-1198414.375</v>
      </c>
      <c r="J27" s="1187">
        <v>327148.5625</v>
      </c>
      <c r="K27" s="1188">
        <v>327148.55</v>
      </c>
    </row>
    <row r="28" spans="1:11" ht="40.799999999999997" x14ac:dyDescent="0.3">
      <c r="A28" s="761" t="s">
        <v>3744</v>
      </c>
      <c r="B28" s="765">
        <v>2020</v>
      </c>
      <c r="C28" s="761" t="s">
        <v>2350</v>
      </c>
      <c r="D28" s="761" t="s">
        <v>7101</v>
      </c>
      <c r="E28" s="761" t="s">
        <v>7102</v>
      </c>
      <c r="F28" s="1187">
        <v>0</v>
      </c>
      <c r="G28" s="761" t="s">
        <v>631</v>
      </c>
      <c r="H28" s="1187">
        <v>-597862.375</v>
      </c>
      <c r="I28" s="1187">
        <v>-143527.59375</v>
      </c>
      <c r="J28" s="1187">
        <v>-741389.9375</v>
      </c>
      <c r="K28" s="1188">
        <v>-741389.96</v>
      </c>
    </row>
    <row r="29" spans="1:11" ht="40.799999999999997" x14ac:dyDescent="0.3">
      <c r="A29" s="761" t="s">
        <v>3744</v>
      </c>
      <c r="B29" s="765">
        <v>2020</v>
      </c>
      <c r="C29" s="761" t="s">
        <v>2350</v>
      </c>
      <c r="D29" s="761" t="s">
        <v>640</v>
      </c>
      <c r="E29" s="761" t="s">
        <v>3763</v>
      </c>
      <c r="F29" s="1187">
        <v>-1471518.59</v>
      </c>
      <c r="G29" s="766"/>
      <c r="H29" s="767"/>
      <c r="I29" s="767"/>
      <c r="J29" s="1187">
        <v>0</v>
      </c>
      <c r="K29" s="1188">
        <v>-1471518.59</v>
      </c>
    </row>
    <row r="30" spans="1:11" x14ac:dyDescent="0.3">
      <c r="A30" s="761" t="s">
        <v>158</v>
      </c>
      <c r="B30" s="765">
        <v>2020</v>
      </c>
      <c r="C30" s="761" t="s">
        <v>2342</v>
      </c>
      <c r="D30" s="761" t="s">
        <v>45</v>
      </c>
      <c r="E30" s="761" t="s">
        <v>641</v>
      </c>
      <c r="F30" s="1187">
        <v>0</v>
      </c>
      <c r="G30" s="761" t="s">
        <v>631</v>
      </c>
      <c r="H30" s="767"/>
      <c r="I30" s="767"/>
      <c r="J30" s="1187">
        <v>0</v>
      </c>
      <c r="K30" s="1188">
        <v>0</v>
      </c>
    </row>
    <row r="31" spans="1:11" ht="30.6" x14ac:dyDescent="0.3">
      <c r="A31" s="761" t="s">
        <v>158</v>
      </c>
      <c r="B31" s="765">
        <v>2020</v>
      </c>
      <c r="C31" s="761" t="s">
        <v>2343</v>
      </c>
      <c r="D31" s="761" t="s">
        <v>632</v>
      </c>
      <c r="E31" s="761" t="s">
        <v>642</v>
      </c>
      <c r="F31" s="1187">
        <v>-3732.04</v>
      </c>
      <c r="G31" s="761" t="s">
        <v>631</v>
      </c>
      <c r="H31" s="1187">
        <v>-3710.68994140625</v>
      </c>
      <c r="I31" s="1187">
        <v>-21.350000381469702</v>
      </c>
      <c r="J31" s="1187">
        <v>-3732.0400390625</v>
      </c>
      <c r="K31" s="1188">
        <v>-3732.04</v>
      </c>
    </row>
    <row r="32" spans="1:11" ht="20.399999999999999" x14ac:dyDescent="0.3">
      <c r="A32" s="761" t="s">
        <v>158</v>
      </c>
      <c r="B32" s="765">
        <v>2020</v>
      </c>
      <c r="C32" s="761" t="s">
        <v>2344</v>
      </c>
      <c r="D32" s="761" t="s">
        <v>452</v>
      </c>
      <c r="E32" s="761" t="s">
        <v>643</v>
      </c>
      <c r="F32" s="1187">
        <v>430620</v>
      </c>
      <c r="G32" s="766"/>
      <c r="H32" s="767"/>
      <c r="I32" s="767"/>
      <c r="J32" s="1187">
        <v>0</v>
      </c>
      <c r="K32" s="1188">
        <v>430620</v>
      </c>
    </row>
    <row r="33" spans="1:11" ht="20.399999999999999" x14ac:dyDescent="0.3">
      <c r="A33" s="761" t="s">
        <v>158</v>
      </c>
      <c r="B33" s="765">
        <v>2020</v>
      </c>
      <c r="C33" s="761" t="s">
        <v>2345</v>
      </c>
      <c r="D33" s="761" t="s">
        <v>42</v>
      </c>
      <c r="E33" s="761" t="s">
        <v>644</v>
      </c>
      <c r="F33" s="1187">
        <v>-102677.13</v>
      </c>
      <c r="G33" s="761" t="s">
        <v>631</v>
      </c>
      <c r="H33" s="1187">
        <v>-102055.0390625</v>
      </c>
      <c r="I33" s="1187">
        <v>-622.09002685546898</v>
      </c>
      <c r="J33" s="1187">
        <v>-102677.1328125</v>
      </c>
      <c r="K33" s="1188">
        <v>-102677.13</v>
      </c>
    </row>
    <row r="34" spans="1:11" ht="20.399999999999999" x14ac:dyDescent="0.3">
      <c r="A34" s="761" t="s">
        <v>158</v>
      </c>
      <c r="B34" s="765">
        <v>2020</v>
      </c>
      <c r="C34" s="761" t="s">
        <v>2345</v>
      </c>
      <c r="D34" s="761" t="s">
        <v>2063</v>
      </c>
      <c r="E34" s="761" t="s">
        <v>644</v>
      </c>
      <c r="F34" s="1187">
        <v>0</v>
      </c>
      <c r="G34" s="766"/>
      <c r="H34" s="767"/>
      <c r="I34" s="767"/>
      <c r="J34" s="1187">
        <v>0</v>
      </c>
      <c r="K34" s="1188">
        <v>0</v>
      </c>
    </row>
    <row r="35" spans="1:11" ht="20.399999999999999" x14ac:dyDescent="0.3">
      <c r="A35" s="761" t="s">
        <v>158</v>
      </c>
      <c r="B35" s="765">
        <v>2020</v>
      </c>
      <c r="C35" s="761" t="s">
        <v>2345</v>
      </c>
      <c r="D35" s="761" t="s">
        <v>2064</v>
      </c>
      <c r="E35" s="761" t="s">
        <v>644</v>
      </c>
      <c r="F35" s="1187">
        <v>0</v>
      </c>
      <c r="G35" s="766"/>
      <c r="H35" s="767"/>
      <c r="I35" s="767"/>
      <c r="J35" s="1187">
        <v>0</v>
      </c>
      <c r="K35" s="1188">
        <v>0</v>
      </c>
    </row>
    <row r="36" spans="1:11" ht="20.399999999999999" x14ac:dyDescent="0.3">
      <c r="A36" s="761" t="s">
        <v>158</v>
      </c>
      <c r="B36" s="765">
        <v>2020</v>
      </c>
      <c r="C36" s="761" t="s">
        <v>2345</v>
      </c>
      <c r="D36" s="761" t="s">
        <v>2065</v>
      </c>
      <c r="E36" s="761" t="s">
        <v>644</v>
      </c>
      <c r="F36" s="1187">
        <v>-393.76</v>
      </c>
      <c r="G36" s="766"/>
      <c r="H36" s="767"/>
      <c r="I36" s="767"/>
      <c r="J36" s="1187">
        <v>0</v>
      </c>
      <c r="K36" s="1188">
        <v>-393.76</v>
      </c>
    </row>
    <row r="37" spans="1:11" ht="20.399999999999999" x14ac:dyDescent="0.3">
      <c r="A37" s="761" t="s">
        <v>158</v>
      </c>
      <c r="B37" s="765">
        <v>2020</v>
      </c>
      <c r="C37" s="761" t="s">
        <v>2345</v>
      </c>
      <c r="D37" s="761" t="s">
        <v>2066</v>
      </c>
      <c r="E37" s="761" t="s">
        <v>644</v>
      </c>
      <c r="F37" s="1187">
        <v>-28442.21</v>
      </c>
      <c r="G37" s="766"/>
      <c r="H37" s="767"/>
      <c r="I37" s="767"/>
      <c r="J37" s="1187">
        <v>0</v>
      </c>
      <c r="K37" s="1188">
        <v>-28442.21</v>
      </c>
    </row>
    <row r="38" spans="1:11" ht="30.6" x14ac:dyDescent="0.3">
      <c r="A38" s="761" t="s">
        <v>158</v>
      </c>
      <c r="B38" s="765">
        <v>2020</v>
      </c>
      <c r="C38" s="761" t="s">
        <v>2346</v>
      </c>
      <c r="D38" s="761" t="s">
        <v>43</v>
      </c>
      <c r="E38" s="761" t="s">
        <v>645</v>
      </c>
      <c r="F38" s="1187">
        <v>272896.28999999998</v>
      </c>
      <c r="G38" s="761" t="s">
        <v>631</v>
      </c>
      <c r="H38" s="1187">
        <v>266051.1875</v>
      </c>
      <c r="I38" s="1187">
        <v>6845.10986328125</v>
      </c>
      <c r="J38" s="1187">
        <v>272896.28125</v>
      </c>
      <c r="K38" s="1188">
        <v>272896.28999999998</v>
      </c>
    </row>
    <row r="39" spans="1:11" ht="30.6" x14ac:dyDescent="0.3">
      <c r="A39" s="761" t="s">
        <v>158</v>
      </c>
      <c r="B39" s="765">
        <v>2020</v>
      </c>
      <c r="C39" s="761" t="s">
        <v>2347</v>
      </c>
      <c r="D39" s="761" t="s">
        <v>44</v>
      </c>
      <c r="E39" s="761" t="s">
        <v>646</v>
      </c>
      <c r="F39" s="1187">
        <v>154378.57999999999</v>
      </c>
      <c r="G39" s="761" t="s">
        <v>631</v>
      </c>
      <c r="H39" s="1187">
        <v>149698.984375</v>
      </c>
      <c r="I39" s="1187">
        <v>4679.58984375</v>
      </c>
      <c r="J39" s="1187">
        <v>154378.578125</v>
      </c>
      <c r="K39" s="1188">
        <v>154378.57999999999</v>
      </c>
    </row>
    <row r="40" spans="1:11" ht="30.6" x14ac:dyDescent="0.3">
      <c r="A40" s="761" t="s">
        <v>158</v>
      </c>
      <c r="B40" s="765">
        <v>2020</v>
      </c>
      <c r="C40" s="761" t="s">
        <v>2348</v>
      </c>
      <c r="D40" s="761" t="s">
        <v>46</v>
      </c>
      <c r="E40" s="761" t="s">
        <v>647</v>
      </c>
      <c r="F40" s="1187">
        <v>-457580.15</v>
      </c>
      <c r="G40" s="761" t="s">
        <v>631</v>
      </c>
      <c r="H40" s="1187">
        <v>-466671.125</v>
      </c>
      <c r="I40" s="1187">
        <v>9090.9599609375</v>
      </c>
      <c r="J40" s="1187">
        <v>-457580.15625</v>
      </c>
      <c r="K40" s="1188">
        <v>-457580.15</v>
      </c>
    </row>
    <row r="41" spans="1:11" ht="20.399999999999999" x14ac:dyDescent="0.3">
      <c r="A41" s="761" t="s">
        <v>158</v>
      </c>
      <c r="B41" s="765">
        <v>2020</v>
      </c>
      <c r="C41" s="761" t="s">
        <v>2349</v>
      </c>
      <c r="D41" s="761" t="s">
        <v>339</v>
      </c>
      <c r="E41" s="761" t="s">
        <v>648</v>
      </c>
      <c r="F41" s="1187">
        <v>78476.259999999995</v>
      </c>
      <c r="G41" s="761" t="s">
        <v>631</v>
      </c>
      <c r="H41" s="1187">
        <v>77000.0625</v>
      </c>
      <c r="I41" s="1187">
        <v>1476.19995117188</v>
      </c>
      <c r="J41" s="1187">
        <v>78476.2578125</v>
      </c>
      <c r="K41" s="1188">
        <v>78476.259999999995</v>
      </c>
    </row>
    <row r="42" spans="1:11" ht="40.799999999999997" x14ac:dyDescent="0.3">
      <c r="A42" s="761" t="s">
        <v>158</v>
      </c>
      <c r="B42" s="765">
        <v>2020</v>
      </c>
      <c r="C42" s="761" t="s">
        <v>2350</v>
      </c>
      <c r="D42" s="761" t="s">
        <v>633</v>
      </c>
      <c r="E42" s="761" t="s">
        <v>1017</v>
      </c>
      <c r="F42" s="1187">
        <v>0</v>
      </c>
      <c r="G42" s="761" t="s">
        <v>631</v>
      </c>
      <c r="H42" s="767"/>
      <c r="I42" s="767"/>
      <c r="J42" s="1187">
        <v>0</v>
      </c>
      <c r="K42" s="1188">
        <v>0</v>
      </c>
    </row>
    <row r="43" spans="1:11" ht="40.799999999999997" x14ac:dyDescent="0.3">
      <c r="A43" s="761" t="s">
        <v>158</v>
      </c>
      <c r="B43" s="765">
        <v>2020</v>
      </c>
      <c r="C43" s="761" t="s">
        <v>2350</v>
      </c>
      <c r="D43" s="761" t="s">
        <v>634</v>
      </c>
      <c r="E43" s="761" t="s">
        <v>1018</v>
      </c>
      <c r="F43" s="1187">
        <v>0</v>
      </c>
      <c r="G43" s="761" t="s">
        <v>631</v>
      </c>
      <c r="H43" s="767"/>
      <c r="I43" s="767"/>
      <c r="J43" s="1187">
        <v>0</v>
      </c>
      <c r="K43" s="1188">
        <v>0</v>
      </c>
    </row>
    <row r="44" spans="1:11" ht="40.799999999999997" x14ac:dyDescent="0.3">
      <c r="A44" s="761" t="s">
        <v>158</v>
      </c>
      <c r="B44" s="765">
        <v>2020</v>
      </c>
      <c r="C44" s="761" t="s">
        <v>2350</v>
      </c>
      <c r="D44" s="761" t="s">
        <v>635</v>
      </c>
      <c r="E44" s="761" t="s">
        <v>1019</v>
      </c>
      <c r="F44" s="1187">
        <v>0</v>
      </c>
      <c r="G44" s="761" t="s">
        <v>631</v>
      </c>
      <c r="H44" s="1187">
        <v>716294.5625</v>
      </c>
      <c r="I44" s="767"/>
      <c r="J44" s="1187">
        <v>716294.5625</v>
      </c>
      <c r="K44" s="1188">
        <v>716294.57</v>
      </c>
    </row>
    <row r="45" spans="1:11" ht="40.799999999999997" x14ac:dyDescent="0.3">
      <c r="A45" s="761" t="s">
        <v>158</v>
      </c>
      <c r="B45" s="765">
        <v>2020</v>
      </c>
      <c r="C45" s="761" t="s">
        <v>2350</v>
      </c>
      <c r="D45" s="761" t="s">
        <v>636</v>
      </c>
      <c r="E45" s="761" t="s">
        <v>1020</v>
      </c>
      <c r="F45" s="1187">
        <v>0</v>
      </c>
      <c r="G45" s="761" t="s">
        <v>631</v>
      </c>
      <c r="H45" s="767"/>
      <c r="I45" s="767"/>
      <c r="J45" s="1187">
        <v>0</v>
      </c>
      <c r="K45" s="1188">
        <v>0</v>
      </c>
    </row>
    <row r="46" spans="1:11" ht="40.799999999999997" x14ac:dyDescent="0.3">
      <c r="A46" s="761" t="s">
        <v>158</v>
      </c>
      <c r="B46" s="765">
        <v>2020</v>
      </c>
      <c r="C46" s="761" t="s">
        <v>2350</v>
      </c>
      <c r="D46" s="761" t="s">
        <v>637</v>
      </c>
      <c r="E46" s="761" t="s">
        <v>1021</v>
      </c>
      <c r="F46" s="1187">
        <v>0</v>
      </c>
      <c r="G46" s="761" t="s">
        <v>631</v>
      </c>
      <c r="H46" s="767"/>
      <c r="I46" s="767"/>
      <c r="J46" s="1187">
        <v>0</v>
      </c>
      <c r="K46" s="1188">
        <v>0</v>
      </c>
    </row>
    <row r="47" spans="1:11" ht="40.799999999999997" x14ac:dyDescent="0.3">
      <c r="A47" s="761" t="s">
        <v>158</v>
      </c>
      <c r="B47" s="765">
        <v>2020</v>
      </c>
      <c r="C47" s="761" t="s">
        <v>2350</v>
      </c>
      <c r="D47" s="761" t="s">
        <v>638</v>
      </c>
      <c r="E47" s="761" t="s">
        <v>1022</v>
      </c>
      <c r="F47" s="1187">
        <v>0</v>
      </c>
      <c r="G47" s="761" t="s">
        <v>631</v>
      </c>
      <c r="H47" s="767"/>
      <c r="I47" s="767"/>
      <c r="J47" s="1187">
        <v>0</v>
      </c>
      <c r="K47" s="1188">
        <v>0</v>
      </c>
    </row>
    <row r="48" spans="1:11" ht="40.799999999999997" x14ac:dyDescent="0.3">
      <c r="A48" s="761" t="s">
        <v>158</v>
      </c>
      <c r="B48" s="765">
        <v>2020</v>
      </c>
      <c r="C48" s="761" t="s">
        <v>2350</v>
      </c>
      <c r="D48" s="761" t="s">
        <v>639</v>
      </c>
      <c r="E48" s="761" t="s">
        <v>1023</v>
      </c>
      <c r="F48" s="1187">
        <v>0</v>
      </c>
      <c r="G48" s="761" t="s">
        <v>631</v>
      </c>
      <c r="H48" s="767"/>
      <c r="I48" s="767"/>
      <c r="J48" s="1187">
        <v>0</v>
      </c>
      <c r="K48" s="1188">
        <v>0</v>
      </c>
    </row>
    <row r="49" spans="1:11" ht="40.799999999999997" x14ac:dyDescent="0.3">
      <c r="A49" s="761" t="s">
        <v>158</v>
      </c>
      <c r="B49" s="765">
        <v>2020</v>
      </c>
      <c r="C49" s="761" t="s">
        <v>2350</v>
      </c>
      <c r="D49" s="761" t="s">
        <v>1613</v>
      </c>
      <c r="E49" s="761" t="s">
        <v>1955</v>
      </c>
      <c r="F49" s="1187">
        <v>0</v>
      </c>
      <c r="G49" s="761" t="s">
        <v>631</v>
      </c>
      <c r="H49" s="767"/>
      <c r="I49" s="767"/>
      <c r="J49" s="1187">
        <v>0</v>
      </c>
      <c r="K49" s="1188">
        <v>0</v>
      </c>
    </row>
    <row r="50" spans="1:11" ht="40.799999999999997" x14ac:dyDescent="0.3">
      <c r="A50" s="761" t="s">
        <v>158</v>
      </c>
      <c r="B50" s="765">
        <v>2020</v>
      </c>
      <c r="C50" s="761" t="s">
        <v>2350</v>
      </c>
      <c r="D50" s="761" t="s">
        <v>2067</v>
      </c>
      <c r="E50" s="761" t="s">
        <v>2068</v>
      </c>
      <c r="F50" s="1187">
        <v>0</v>
      </c>
      <c r="G50" s="761" t="s">
        <v>631</v>
      </c>
      <c r="H50" s="767"/>
      <c r="I50" s="767"/>
      <c r="J50" s="1187">
        <v>0</v>
      </c>
      <c r="K50" s="1188">
        <v>0</v>
      </c>
    </row>
    <row r="51" spans="1:11" ht="40.799999999999997" x14ac:dyDescent="0.3">
      <c r="A51" s="761" t="s">
        <v>158</v>
      </c>
      <c r="B51" s="765">
        <v>2020</v>
      </c>
      <c r="C51" s="761" t="s">
        <v>2350</v>
      </c>
      <c r="D51" s="761" t="s">
        <v>3762</v>
      </c>
      <c r="E51" s="761" t="s">
        <v>4325</v>
      </c>
      <c r="F51" s="1187">
        <v>0</v>
      </c>
      <c r="G51" s="761" t="s">
        <v>631</v>
      </c>
      <c r="H51" s="1187">
        <v>-220534.765625</v>
      </c>
      <c r="I51" s="1187">
        <v>173330.15625</v>
      </c>
      <c r="J51" s="1187">
        <v>-47204.62109375</v>
      </c>
      <c r="K51" s="1188">
        <v>-47204.62</v>
      </c>
    </row>
    <row r="52" spans="1:11" ht="40.799999999999997" x14ac:dyDescent="0.3">
      <c r="A52" s="761" t="s">
        <v>158</v>
      </c>
      <c r="B52" s="765">
        <v>2020</v>
      </c>
      <c r="C52" s="761" t="s">
        <v>2350</v>
      </c>
      <c r="D52" s="761" t="s">
        <v>4844</v>
      </c>
      <c r="E52" s="761" t="s">
        <v>5778</v>
      </c>
      <c r="F52" s="1187">
        <v>0</v>
      </c>
      <c r="G52" s="761" t="s">
        <v>631</v>
      </c>
      <c r="H52" s="1187">
        <v>41533.71875</v>
      </c>
      <c r="I52" s="1187">
        <v>937.89001464843795</v>
      </c>
      <c r="J52" s="1187">
        <v>42471.609375</v>
      </c>
      <c r="K52" s="1188">
        <v>42471.61</v>
      </c>
    </row>
    <row r="53" spans="1:11" ht="40.799999999999997" x14ac:dyDescent="0.3">
      <c r="A53" s="761" t="s">
        <v>158</v>
      </c>
      <c r="B53" s="765">
        <v>2020</v>
      </c>
      <c r="C53" s="761" t="s">
        <v>2350</v>
      </c>
      <c r="D53" s="761" t="s">
        <v>7101</v>
      </c>
      <c r="E53" s="761" t="s">
        <v>7103</v>
      </c>
      <c r="F53" s="1187">
        <v>0</v>
      </c>
      <c r="G53" s="761" t="s">
        <v>631</v>
      </c>
      <c r="H53" s="1187">
        <v>45936.359375</v>
      </c>
      <c r="I53" s="1187">
        <v>1192.34997558594</v>
      </c>
      <c r="J53" s="1187">
        <v>47128.7109375</v>
      </c>
      <c r="K53" s="1188">
        <v>47128.71</v>
      </c>
    </row>
    <row r="54" spans="1:11" ht="40.799999999999997" x14ac:dyDescent="0.3">
      <c r="A54" s="761" t="s">
        <v>158</v>
      </c>
      <c r="B54" s="765">
        <v>2020</v>
      </c>
      <c r="C54" s="761" t="s">
        <v>2350</v>
      </c>
      <c r="D54" s="761" t="s">
        <v>640</v>
      </c>
      <c r="E54" s="761" t="s">
        <v>1346</v>
      </c>
      <c r="F54" s="1187">
        <v>758690.27</v>
      </c>
      <c r="G54" s="766"/>
      <c r="H54" s="767"/>
      <c r="I54" s="767"/>
      <c r="J54" s="1187">
        <v>0</v>
      </c>
      <c r="K54" s="1188">
        <v>758690.27</v>
      </c>
    </row>
    <row r="55" spans="1:11" x14ac:dyDescent="0.3">
      <c r="A55" s="761" t="s">
        <v>195</v>
      </c>
      <c r="B55" s="765">
        <v>2020</v>
      </c>
      <c r="C55" s="761" t="s">
        <v>2342</v>
      </c>
      <c r="D55" s="761" t="s">
        <v>45</v>
      </c>
      <c r="E55" s="761" t="s">
        <v>7260</v>
      </c>
      <c r="F55" s="1187">
        <v>0</v>
      </c>
      <c r="G55" s="761" t="s">
        <v>631</v>
      </c>
      <c r="H55" s="767"/>
      <c r="I55" s="767"/>
      <c r="J55" s="1187">
        <v>0</v>
      </c>
      <c r="K55" s="1188">
        <v>0</v>
      </c>
    </row>
    <row r="56" spans="1:11" ht="30.6" x14ac:dyDescent="0.3">
      <c r="A56" s="761" t="s">
        <v>195</v>
      </c>
      <c r="B56" s="765">
        <v>2020</v>
      </c>
      <c r="C56" s="761" t="s">
        <v>2343</v>
      </c>
      <c r="D56" s="761" t="s">
        <v>632</v>
      </c>
      <c r="E56" s="761" t="s">
        <v>7261</v>
      </c>
      <c r="F56" s="1187">
        <v>-1183.4100000000001</v>
      </c>
      <c r="G56" s="761" t="s">
        <v>631</v>
      </c>
      <c r="H56" s="1187">
        <v>-1183.41003417969</v>
      </c>
      <c r="I56" s="767"/>
      <c r="J56" s="1187">
        <v>-1183.41003417969</v>
      </c>
      <c r="K56" s="1188">
        <v>-1183.4100000000001</v>
      </c>
    </row>
    <row r="57" spans="1:11" ht="20.399999999999999" x14ac:dyDescent="0.3">
      <c r="A57" s="761" t="s">
        <v>195</v>
      </c>
      <c r="B57" s="765">
        <v>2020</v>
      </c>
      <c r="C57" s="761" t="s">
        <v>2344</v>
      </c>
      <c r="D57" s="761" t="s">
        <v>452</v>
      </c>
      <c r="E57" s="761" t="s">
        <v>7262</v>
      </c>
      <c r="F57" s="1187">
        <v>0</v>
      </c>
      <c r="G57" s="766"/>
      <c r="H57" s="767"/>
      <c r="I57" s="767"/>
      <c r="J57" s="1187">
        <v>0</v>
      </c>
      <c r="K57" s="1188">
        <v>0</v>
      </c>
    </row>
    <row r="58" spans="1:11" ht="20.399999999999999" x14ac:dyDescent="0.3">
      <c r="A58" s="761" t="s">
        <v>195</v>
      </c>
      <c r="B58" s="765">
        <v>2020</v>
      </c>
      <c r="C58" s="761" t="s">
        <v>2345</v>
      </c>
      <c r="D58" s="761" t="s">
        <v>42</v>
      </c>
      <c r="E58" s="761" t="s">
        <v>7263</v>
      </c>
      <c r="F58" s="1187">
        <v>-19614.97</v>
      </c>
      <c r="G58" s="761" t="s">
        <v>631</v>
      </c>
      <c r="H58" s="1187">
        <v>-18263.25</v>
      </c>
      <c r="I58" s="1187">
        <v>-1351.71997070313</v>
      </c>
      <c r="J58" s="1187">
        <v>-19614.970703125</v>
      </c>
      <c r="K58" s="1188">
        <v>-19614.97</v>
      </c>
    </row>
    <row r="59" spans="1:11" ht="20.399999999999999" x14ac:dyDescent="0.3">
      <c r="A59" s="761" t="s">
        <v>195</v>
      </c>
      <c r="B59" s="765">
        <v>2020</v>
      </c>
      <c r="C59" s="761" t="s">
        <v>2345</v>
      </c>
      <c r="D59" s="761" t="s">
        <v>2063</v>
      </c>
      <c r="E59" s="761" t="s">
        <v>7263</v>
      </c>
      <c r="F59" s="1187">
        <v>0</v>
      </c>
      <c r="G59" s="766"/>
      <c r="H59" s="767"/>
      <c r="I59" s="767"/>
      <c r="J59" s="1187">
        <v>0</v>
      </c>
      <c r="K59" s="1188">
        <v>0</v>
      </c>
    </row>
    <row r="60" spans="1:11" ht="20.399999999999999" x14ac:dyDescent="0.3">
      <c r="A60" s="761" t="s">
        <v>195</v>
      </c>
      <c r="B60" s="765">
        <v>2020</v>
      </c>
      <c r="C60" s="761" t="s">
        <v>2345</v>
      </c>
      <c r="D60" s="761" t="s">
        <v>2064</v>
      </c>
      <c r="E60" s="761" t="s">
        <v>7263</v>
      </c>
      <c r="F60" s="1187">
        <v>-0.03</v>
      </c>
      <c r="G60" s="766"/>
      <c r="H60" s="767"/>
      <c r="I60" s="767"/>
      <c r="J60" s="1187">
        <v>0</v>
      </c>
      <c r="K60" s="1188">
        <v>-0.03</v>
      </c>
    </row>
    <row r="61" spans="1:11" ht="20.399999999999999" x14ac:dyDescent="0.3">
      <c r="A61" s="761" t="s">
        <v>195</v>
      </c>
      <c r="B61" s="765">
        <v>2020</v>
      </c>
      <c r="C61" s="761" t="s">
        <v>2345</v>
      </c>
      <c r="D61" s="761" t="s">
        <v>2065</v>
      </c>
      <c r="E61" s="761" t="s">
        <v>7263</v>
      </c>
      <c r="F61" s="1187">
        <v>115.84</v>
      </c>
      <c r="G61" s="766"/>
      <c r="H61" s="767"/>
      <c r="I61" s="767"/>
      <c r="J61" s="1187">
        <v>0</v>
      </c>
      <c r="K61" s="1188">
        <v>115.84</v>
      </c>
    </row>
    <row r="62" spans="1:11" ht="20.399999999999999" x14ac:dyDescent="0.3">
      <c r="A62" s="761" t="s">
        <v>195</v>
      </c>
      <c r="B62" s="765">
        <v>2020</v>
      </c>
      <c r="C62" s="761" t="s">
        <v>2345</v>
      </c>
      <c r="D62" s="761" t="s">
        <v>2066</v>
      </c>
      <c r="E62" s="761" t="s">
        <v>7263</v>
      </c>
      <c r="F62" s="1187">
        <v>-2861.5</v>
      </c>
      <c r="G62" s="766"/>
      <c r="H62" s="767"/>
      <c r="I62" s="767"/>
      <c r="J62" s="1187">
        <v>0</v>
      </c>
      <c r="K62" s="1188">
        <v>-2861.5</v>
      </c>
    </row>
    <row r="63" spans="1:11" ht="30.6" x14ac:dyDescent="0.3">
      <c r="A63" s="761" t="s">
        <v>195</v>
      </c>
      <c r="B63" s="765">
        <v>2020</v>
      </c>
      <c r="C63" s="761" t="s">
        <v>2346</v>
      </c>
      <c r="D63" s="761" t="s">
        <v>43</v>
      </c>
      <c r="E63" s="761" t="s">
        <v>7264</v>
      </c>
      <c r="F63" s="1187">
        <v>46907.46</v>
      </c>
      <c r="G63" s="761" t="s">
        <v>631</v>
      </c>
      <c r="H63" s="1187">
        <v>45438.76953125</v>
      </c>
      <c r="I63" s="1187">
        <v>1468.68994140625</v>
      </c>
      <c r="J63" s="1187">
        <v>46907.4609375</v>
      </c>
      <c r="K63" s="1188">
        <v>46907.46</v>
      </c>
    </row>
    <row r="64" spans="1:11" ht="30.6" x14ac:dyDescent="0.3">
      <c r="A64" s="761" t="s">
        <v>195</v>
      </c>
      <c r="B64" s="765">
        <v>2020</v>
      </c>
      <c r="C64" s="761" t="s">
        <v>2347</v>
      </c>
      <c r="D64" s="761" t="s">
        <v>44</v>
      </c>
      <c r="E64" s="761" t="s">
        <v>7265</v>
      </c>
      <c r="F64" s="1187">
        <v>36517.24</v>
      </c>
      <c r="G64" s="761" t="s">
        <v>631</v>
      </c>
      <c r="H64" s="1187">
        <v>35553.3515625</v>
      </c>
      <c r="I64" s="1187">
        <v>963.89001464843795</v>
      </c>
      <c r="J64" s="1187">
        <v>36517.23828125</v>
      </c>
      <c r="K64" s="1188">
        <v>36517.24</v>
      </c>
    </row>
    <row r="65" spans="1:11" ht="30.6" x14ac:dyDescent="0.3">
      <c r="A65" s="761" t="s">
        <v>195</v>
      </c>
      <c r="B65" s="765">
        <v>2020</v>
      </c>
      <c r="C65" s="761" t="s">
        <v>2348</v>
      </c>
      <c r="D65" s="761" t="s">
        <v>46</v>
      </c>
      <c r="E65" s="761" t="s">
        <v>7266</v>
      </c>
      <c r="F65" s="1187">
        <v>-17487.64</v>
      </c>
      <c r="G65" s="761" t="s">
        <v>631</v>
      </c>
      <c r="H65" s="1187">
        <v>-16064.419921875</v>
      </c>
      <c r="I65" s="1187">
        <v>-1423.21997070313</v>
      </c>
      <c r="J65" s="1187">
        <v>-17487.640625</v>
      </c>
      <c r="K65" s="1188">
        <v>-17487.64</v>
      </c>
    </row>
    <row r="66" spans="1:11" ht="20.399999999999999" x14ac:dyDescent="0.3">
      <c r="A66" s="761" t="s">
        <v>195</v>
      </c>
      <c r="B66" s="765">
        <v>2020</v>
      </c>
      <c r="C66" s="761" t="s">
        <v>2349</v>
      </c>
      <c r="D66" s="761" t="s">
        <v>339</v>
      </c>
      <c r="E66" s="761" t="s">
        <v>7267</v>
      </c>
      <c r="F66" s="1187">
        <v>-4785.68</v>
      </c>
      <c r="G66" s="761" t="s">
        <v>631</v>
      </c>
      <c r="H66" s="1187">
        <v>-5036.52001953125</v>
      </c>
      <c r="I66" s="1187">
        <v>250.83999633789099</v>
      </c>
      <c r="J66" s="1187">
        <v>-4785.68017578125</v>
      </c>
      <c r="K66" s="1188">
        <v>-4785.68</v>
      </c>
    </row>
    <row r="67" spans="1:11" ht="40.799999999999997" x14ac:dyDescent="0.3">
      <c r="A67" s="761" t="s">
        <v>195</v>
      </c>
      <c r="B67" s="765">
        <v>2020</v>
      </c>
      <c r="C67" s="761" t="s">
        <v>2350</v>
      </c>
      <c r="D67" s="761" t="s">
        <v>633</v>
      </c>
      <c r="E67" s="761" t="s">
        <v>7268</v>
      </c>
      <c r="F67" s="1187">
        <v>0</v>
      </c>
      <c r="G67" s="761" t="s">
        <v>631</v>
      </c>
      <c r="H67" s="767"/>
      <c r="I67" s="767"/>
      <c r="J67" s="1187">
        <v>0</v>
      </c>
      <c r="K67" s="1188">
        <v>0</v>
      </c>
    </row>
    <row r="68" spans="1:11" ht="40.799999999999997" x14ac:dyDescent="0.3">
      <c r="A68" s="761" t="s">
        <v>195</v>
      </c>
      <c r="B68" s="765">
        <v>2020</v>
      </c>
      <c r="C68" s="761" t="s">
        <v>2350</v>
      </c>
      <c r="D68" s="761" t="s">
        <v>634</v>
      </c>
      <c r="E68" s="761" t="s">
        <v>7269</v>
      </c>
      <c r="F68" s="1187">
        <v>0</v>
      </c>
      <c r="G68" s="761" t="s">
        <v>631</v>
      </c>
      <c r="H68" s="767"/>
      <c r="I68" s="767"/>
      <c r="J68" s="1187">
        <v>0</v>
      </c>
      <c r="K68" s="1188">
        <v>0</v>
      </c>
    </row>
    <row r="69" spans="1:11" ht="40.799999999999997" x14ac:dyDescent="0.3">
      <c r="A69" s="761" t="s">
        <v>195</v>
      </c>
      <c r="B69" s="765">
        <v>2020</v>
      </c>
      <c r="C69" s="761" t="s">
        <v>2350</v>
      </c>
      <c r="D69" s="761" t="s">
        <v>635</v>
      </c>
      <c r="E69" s="761" t="s">
        <v>7270</v>
      </c>
      <c r="F69" s="1187">
        <v>0</v>
      </c>
      <c r="G69" s="761" t="s">
        <v>631</v>
      </c>
      <c r="H69" s="767"/>
      <c r="I69" s="767"/>
      <c r="J69" s="1187">
        <v>0</v>
      </c>
      <c r="K69" s="1188">
        <v>0</v>
      </c>
    </row>
    <row r="70" spans="1:11" ht="40.799999999999997" x14ac:dyDescent="0.3">
      <c r="A70" s="761" t="s">
        <v>195</v>
      </c>
      <c r="B70" s="765">
        <v>2020</v>
      </c>
      <c r="C70" s="761" t="s">
        <v>2350</v>
      </c>
      <c r="D70" s="761" t="s">
        <v>636</v>
      </c>
      <c r="E70" s="761" t="s">
        <v>7271</v>
      </c>
      <c r="F70" s="1187">
        <v>0</v>
      </c>
      <c r="G70" s="761" t="s">
        <v>631</v>
      </c>
      <c r="H70" s="767"/>
      <c r="I70" s="767"/>
      <c r="J70" s="1187">
        <v>0</v>
      </c>
      <c r="K70" s="1188">
        <v>0</v>
      </c>
    </row>
    <row r="71" spans="1:11" ht="40.799999999999997" x14ac:dyDescent="0.3">
      <c r="A71" s="761" t="s">
        <v>195</v>
      </c>
      <c r="B71" s="765">
        <v>2020</v>
      </c>
      <c r="C71" s="761" t="s">
        <v>2350</v>
      </c>
      <c r="D71" s="761" t="s">
        <v>637</v>
      </c>
      <c r="E71" s="761" t="s">
        <v>7272</v>
      </c>
      <c r="F71" s="1187">
        <v>0</v>
      </c>
      <c r="G71" s="761" t="s">
        <v>631</v>
      </c>
      <c r="H71" s="767"/>
      <c r="I71" s="767"/>
      <c r="J71" s="1187">
        <v>0</v>
      </c>
      <c r="K71" s="1188">
        <v>0</v>
      </c>
    </row>
    <row r="72" spans="1:11" ht="40.799999999999997" x14ac:dyDescent="0.3">
      <c r="A72" s="761" t="s">
        <v>195</v>
      </c>
      <c r="B72" s="765">
        <v>2020</v>
      </c>
      <c r="C72" s="761" t="s">
        <v>2350</v>
      </c>
      <c r="D72" s="761" t="s">
        <v>638</v>
      </c>
      <c r="E72" s="761" t="s">
        <v>7273</v>
      </c>
      <c r="F72" s="1187">
        <v>0</v>
      </c>
      <c r="G72" s="761" t="s">
        <v>631</v>
      </c>
      <c r="H72" s="767"/>
      <c r="I72" s="767"/>
      <c r="J72" s="1187">
        <v>0</v>
      </c>
      <c r="K72" s="1188">
        <v>0</v>
      </c>
    </row>
    <row r="73" spans="1:11" ht="40.799999999999997" x14ac:dyDescent="0.3">
      <c r="A73" s="761" t="s">
        <v>195</v>
      </c>
      <c r="B73" s="765">
        <v>2020</v>
      </c>
      <c r="C73" s="761" t="s">
        <v>2350</v>
      </c>
      <c r="D73" s="761" t="s">
        <v>639</v>
      </c>
      <c r="E73" s="761" t="s">
        <v>7274</v>
      </c>
      <c r="F73" s="1187">
        <v>0</v>
      </c>
      <c r="G73" s="761" t="s">
        <v>631</v>
      </c>
      <c r="H73" s="767"/>
      <c r="I73" s="767"/>
      <c r="J73" s="1187">
        <v>0</v>
      </c>
      <c r="K73" s="1188">
        <v>0</v>
      </c>
    </row>
    <row r="74" spans="1:11" ht="40.799999999999997" x14ac:dyDescent="0.3">
      <c r="A74" s="761" t="s">
        <v>195</v>
      </c>
      <c r="B74" s="765">
        <v>2020</v>
      </c>
      <c r="C74" s="761" t="s">
        <v>2350</v>
      </c>
      <c r="D74" s="761" t="s">
        <v>1613</v>
      </c>
      <c r="E74" s="761" t="s">
        <v>7275</v>
      </c>
      <c r="F74" s="1187">
        <v>0</v>
      </c>
      <c r="G74" s="761" t="s">
        <v>631</v>
      </c>
      <c r="H74" s="767"/>
      <c r="I74" s="767"/>
      <c r="J74" s="1187">
        <v>0</v>
      </c>
      <c r="K74" s="1188">
        <v>0</v>
      </c>
    </row>
    <row r="75" spans="1:11" ht="40.799999999999997" x14ac:dyDescent="0.3">
      <c r="A75" s="761" t="s">
        <v>195</v>
      </c>
      <c r="B75" s="765">
        <v>2020</v>
      </c>
      <c r="C75" s="761" t="s">
        <v>2350</v>
      </c>
      <c r="D75" s="761" t="s">
        <v>2067</v>
      </c>
      <c r="E75" s="761" t="s">
        <v>7276</v>
      </c>
      <c r="F75" s="1187">
        <v>0</v>
      </c>
      <c r="G75" s="761" t="s">
        <v>631</v>
      </c>
      <c r="H75" s="767"/>
      <c r="I75" s="767"/>
      <c r="J75" s="1187">
        <v>0</v>
      </c>
      <c r="K75" s="1188">
        <v>0</v>
      </c>
    </row>
    <row r="76" spans="1:11" ht="40.799999999999997" x14ac:dyDescent="0.3">
      <c r="A76" s="761" t="s">
        <v>195</v>
      </c>
      <c r="B76" s="765">
        <v>2020</v>
      </c>
      <c r="C76" s="761" t="s">
        <v>2350</v>
      </c>
      <c r="D76" s="761" t="s">
        <v>3762</v>
      </c>
      <c r="E76" s="761" t="s">
        <v>7277</v>
      </c>
      <c r="F76" s="1187">
        <v>0</v>
      </c>
      <c r="G76" s="761" t="s">
        <v>631</v>
      </c>
      <c r="H76" s="1187">
        <v>20861.630859375</v>
      </c>
      <c r="I76" s="1187">
        <v>1109.88000488281</v>
      </c>
      <c r="J76" s="1187">
        <v>21971.509765625</v>
      </c>
      <c r="K76" s="1188">
        <v>21971.51</v>
      </c>
    </row>
    <row r="77" spans="1:11" ht="40.799999999999997" x14ac:dyDescent="0.3">
      <c r="A77" s="761" t="s">
        <v>195</v>
      </c>
      <c r="B77" s="765">
        <v>2020</v>
      </c>
      <c r="C77" s="761" t="s">
        <v>2350</v>
      </c>
      <c r="D77" s="761" t="s">
        <v>4844</v>
      </c>
      <c r="E77" s="761" t="s">
        <v>7278</v>
      </c>
      <c r="F77" s="1187">
        <v>0</v>
      </c>
      <c r="G77" s="761" t="s">
        <v>631</v>
      </c>
      <c r="H77" s="1187">
        <v>-4098.41015625</v>
      </c>
      <c r="I77" s="1187">
        <v>-2150.46997070313</v>
      </c>
      <c r="J77" s="1187">
        <v>-6248.8798828125</v>
      </c>
      <c r="K77" s="1188">
        <v>-6248.88</v>
      </c>
    </row>
    <row r="78" spans="1:11" ht="40.799999999999997" x14ac:dyDescent="0.3">
      <c r="A78" s="761" t="s">
        <v>195</v>
      </c>
      <c r="B78" s="765">
        <v>2020</v>
      </c>
      <c r="C78" s="761" t="s">
        <v>2350</v>
      </c>
      <c r="D78" s="761" t="s">
        <v>7101</v>
      </c>
      <c r="E78" s="761" t="s">
        <v>7279</v>
      </c>
      <c r="F78" s="1187">
        <v>0</v>
      </c>
      <c r="G78" s="761" t="s">
        <v>631</v>
      </c>
      <c r="H78" s="1187">
        <v>27321.310546875</v>
      </c>
      <c r="I78" s="1187">
        <v>-23330.55078125</v>
      </c>
      <c r="J78" s="1187">
        <v>3990.76000976563</v>
      </c>
      <c r="K78" s="1188">
        <v>3990.76</v>
      </c>
    </row>
    <row r="79" spans="1:11" ht="40.799999999999997" x14ac:dyDescent="0.3">
      <c r="A79" s="761" t="s">
        <v>195</v>
      </c>
      <c r="B79" s="765">
        <v>2020</v>
      </c>
      <c r="C79" s="761" t="s">
        <v>2350</v>
      </c>
      <c r="D79" s="761" t="s">
        <v>640</v>
      </c>
      <c r="E79" s="761" t="s">
        <v>7280</v>
      </c>
      <c r="F79" s="1187">
        <v>19713.39</v>
      </c>
      <c r="G79" s="766"/>
      <c r="H79" s="767"/>
      <c r="I79" s="767"/>
      <c r="J79" s="1187">
        <v>0</v>
      </c>
      <c r="K79" s="1188">
        <v>19713.39</v>
      </c>
    </row>
    <row r="80" spans="1:11" ht="20.399999999999999" x14ac:dyDescent="0.3">
      <c r="A80" s="761" t="s">
        <v>228</v>
      </c>
      <c r="B80" s="765">
        <v>2020</v>
      </c>
      <c r="C80" s="761" t="s">
        <v>2342</v>
      </c>
      <c r="D80" s="761" t="s">
        <v>45</v>
      </c>
      <c r="E80" s="761" t="s">
        <v>649</v>
      </c>
      <c r="F80" s="1187">
        <v>211145</v>
      </c>
      <c r="G80" s="761" t="s">
        <v>631</v>
      </c>
      <c r="H80" s="1187">
        <v>206144</v>
      </c>
      <c r="I80" s="1187">
        <v>5001</v>
      </c>
      <c r="J80" s="1187">
        <v>211145</v>
      </c>
      <c r="K80" s="1188">
        <v>211145</v>
      </c>
    </row>
    <row r="81" spans="1:11" ht="30.6" x14ac:dyDescent="0.3">
      <c r="A81" s="761" t="s">
        <v>228</v>
      </c>
      <c r="B81" s="765">
        <v>2020</v>
      </c>
      <c r="C81" s="761" t="s">
        <v>2343</v>
      </c>
      <c r="D81" s="761" t="s">
        <v>632</v>
      </c>
      <c r="E81" s="761" t="s">
        <v>650</v>
      </c>
      <c r="F81" s="1187">
        <v>-45370</v>
      </c>
      <c r="G81" s="761" t="s">
        <v>631</v>
      </c>
      <c r="H81" s="1187">
        <v>-43867</v>
      </c>
      <c r="I81" s="1187">
        <v>-1503</v>
      </c>
      <c r="J81" s="1187">
        <v>-45370</v>
      </c>
      <c r="K81" s="1188">
        <v>-45370</v>
      </c>
    </row>
    <row r="82" spans="1:11" ht="20.399999999999999" x14ac:dyDescent="0.3">
      <c r="A82" s="761" t="s">
        <v>228</v>
      </c>
      <c r="B82" s="765">
        <v>2020</v>
      </c>
      <c r="C82" s="761" t="s">
        <v>2344</v>
      </c>
      <c r="D82" s="761" t="s">
        <v>452</v>
      </c>
      <c r="E82" s="761" t="s">
        <v>651</v>
      </c>
      <c r="F82" s="1187">
        <v>0</v>
      </c>
      <c r="G82" s="766"/>
      <c r="H82" s="767"/>
      <c r="I82" s="767"/>
      <c r="J82" s="1187">
        <v>0</v>
      </c>
      <c r="K82" s="1188">
        <v>0</v>
      </c>
    </row>
    <row r="83" spans="1:11" ht="20.399999999999999" x14ac:dyDescent="0.3">
      <c r="A83" s="761" t="s">
        <v>228</v>
      </c>
      <c r="B83" s="765">
        <v>2020</v>
      </c>
      <c r="C83" s="761" t="s">
        <v>2345</v>
      </c>
      <c r="D83" s="761" t="s">
        <v>42</v>
      </c>
      <c r="E83" s="761" t="s">
        <v>652</v>
      </c>
      <c r="F83" s="1187">
        <v>-951190</v>
      </c>
      <c r="G83" s="761" t="s">
        <v>631</v>
      </c>
      <c r="H83" s="1187">
        <v>-929214</v>
      </c>
      <c r="I83" s="1187">
        <v>-21976</v>
      </c>
      <c r="J83" s="1187">
        <v>-951190</v>
      </c>
      <c r="K83" s="1188">
        <v>-951190</v>
      </c>
    </row>
    <row r="84" spans="1:11" ht="20.399999999999999" x14ac:dyDescent="0.3">
      <c r="A84" s="761" t="s">
        <v>228</v>
      </c>
      <c r="B84" s="765">
        <v>2020</v>
      </c>
      <c r="C84" s="761" t="s">
        <v>2345</v>
      </c>
      <c r="D84" s="761" t="s">
        <v>2063</v>
      </c>
      <c r="E84" s="761" t="s">
        <v>652</v>
      </c>
      <c r="F84" s="1187">
        <v>0</v>
      </c>
      <c r="G84" s="766"/>
      <c r="H84" s="767"/>
      <c r="I84" s="767"/>
      <c r="J84" s="1187">
        <v>0</v>
      </c>
      <c r="K84" s="1188">
        <v>0</v>
      </c>
    </row>
    <row r="85" spans="1:11" ht="20.399999999999999" x14ac:dyDescent="0.3">
      <c r="A85" s="761" t="s">
        <v>228</v>
      </c>
      <c r="B85" s="765">
        <v>2020</v>
      </c>
      <c r="C85" s="761" t="s">
        <v>2345</v>
      </c>
      <c r="D85" s="761" t="s">
        <v>2064</v>
      </c>
      <c r="E85" s="761" t="s">
        <v>652</v>
      </c>
      <c r="F85" s="1187">
        <v>0</v>
      </c>
      <c r="G85" s="766"/>
      <c r="H85" s="767"/>
      <c r="I85" s="767"/>
      <c r="J85" s="1187">
        <v>0</v>
      </c>
      <c r="K85" s="1188">
        <v>0</v>
      </c>
    </row>
    <row r="86" spans="1:11" ht="20.399999999999999" x14ac:dyDescent="0.3">
      <c r="A86" s="761" t="s">
        <v>228</v>
      </c>
      <c r="B86" s="765">
        <v>2020</v>
      </c>
      <c r="C86" s="761" t="s">
        <v>2345</v>
      </c>
      <c r="D86" s="761" t="s">
        <v>2065</v>
      </c>
      <c r="E86" s="761" t="s">
        <v>652</v>
      </c>
      <c r="F86" s="1187">
        <v>-2733</v>
      </c>
      <c r="G86" s="766"/>
      <c r="H86" s="767"/>
      <c r="I86" s="767"/>
      <c r="J86" s="1187">
        <v>0</v>
      </c>
      <c r="K86" s="1188">
        <v>-2733</v>
      </c>
    </row>
    <row r="87" spans="1:11" ht="20.399999999999999" x14ac:dyDescent="0.3">
      <c r="A87" s="761" t="s">
        <v>228</v>
      </c>
      <c r="B87" s="765">
        <v>2020</v>
      </c>
      <c r="C87" s="761" t="s">
        <v>2345</v>
      </c>
      <c r="D87" s="761" t="s">
        <v>2066</v>
      </c>
      <c r="E87" s="761" t="s">
        <v>652</v>
      </c>
      <c r="F87" s="1187">
        <v>-131228</v>
      </c>
      <c r="G87" s="766"/>
      <c r="H87" s="767"/>
      <c r="I87" s="767"/>
      <c r="J87" s="1187">
        <v>0</v>
      </c>
      <c r="K87" s="1188">
        <v>-131228</v>
      </c>
    </row>
    <row r="88" spans="1:11" ht="30.6" x14ac:dyDescent="0.3">
      <c r="A88" s="761" t="s">
        <v>228</v>
      </c>
      <c r="B88" s="765">
        <v>2020</v>
      </c>
      <c r="C88" s="761" t="s">
        <v>2346</v>
      </c>
      <c r="D88" s="761" t="s">
        <v>43</v>
      </c>
      <c r="E88" s="761" t="s">
        <v>653</v>
      </c>
      <c r="F88" s="1187">
        <v>253627</v>
      </c>
      <c r="G88" s="761" t="s">
        <v>631</v>
      </c>
      <c r="H88" s="1187">
        <v>252112</v>
      </c>
      <c r="I88" s="1187">
        <v>1515</v>
      </c>
      <c r="J88" s="1187">
        <v>253627</v>
      </c>
      <c r="K88" s="1188">
        <v>253627</v>
      </c>
    </row>
    <row r="89" spans="1:11" ht="30.6" x14ac:dyDescent="0.3">
      <c r="A89" s="761" t="s">
        <v>228</v>
      </c>
      <c r="B89" s="765">
        <v>2020</v>
      </c>
      <c r="C89" s="761" t="s">
        <v>2347</v>
      </c>
      <c r="D89" s="761" t="s">
        <v>44</v>
      </c>
      <c r="E89" s="761" t="s">
        <v>654</v>
      </c>
      <c r="F89" s="1187">
        <v>74376</v>
      </c>
      <c r="G89" s="761" t="s">
        <v>631</v>
      </c>
      <c r="H89" s="1187">
        <v>70761</v>
      </c>
      <c r="I89" s="1187">
        <v>3615</v>
      </c>
      <c r="J89" s="1187">
        <v>74376</v>
      </c>
      <c r="K89" s="1188">
        <v>74376</v>
      </c>
    </row>
    <row r="90" spans="1:11" ht="30.6" x14ac:dyDescent="0.3">
      <c r="A90" s="761" t="s">
        <v>228</v>
      </c>
      <c r="B90" s="765">
        <v>2020</v>
      </c>
      <c r="C90" s="761" t="s">
        <v>2348</v>
      </c>
      <c r="D90" s="761" t="s">
        <v>46</v>
      </c>
      <c r="E90" s="761" t="s">
        <v>655</v>
      </c>
      <c r="F90" s="1187">
        <v>-877921</v>
      </c>
      <c r="G90" s="761" t="s">
        <v>631</v>
      </c>
      <c r="H90" s="1187">
        <v>-857505</v>
      </c>
      <c r="I90" s="1187">
        <v>-20416</v>
      </c>
      <c r="J90" s="1187">
        <v>-877921</v>
      </c>
      <c r="K90" s="1188">
        <v>-877921</v>
      </c>
    </row>
    <row r="91" spans="1:11" ht="20.399999999999999" x14ac:dyDescent="0.3">
      <c r="A91" s="761" t="s">
        <v>228</v>
      </c>
      <c r="B91" s="765">
        <v>2020</v>
      </c>
      <c r="C91" s="761" t="s">
        <v>2349</v>
      </c>
      <c r="D91" s="761" t="s">
        <v>339</v>
      </c>
      <c r="E91" s="761" t="s">
        <v>656</v>
      </c>
      <c r="F91" s="1187">
        <v>-24459</v>
      </c>
      <c r="G91" s="761" t="s">
        <v>631</v>
      </c>
      <c r="H91" s="1187">
        <v>-31229</v>
      </c>
      <c r="I91" s="1187">
        <v>6770</v>
      </c>
      <c r="J91" s="1187">
        <v>-24459</v>
      </c>
      <c r="K91" s="1188">
        <v>-24459</v>
      </c>
    </row>
    <row r="92" spans="1:11" ht="40.799999999999997" x14ac:dyDescent="0.3">
      <c r="A92" s="761" t="s">
        <v>228</v>
      </c>
      <c r="B92" s="765">
        <v>2020</v>
      </c>
      <c r="C92" s="761" t="s">
        <v>2350</v>
      </c>
      <c r="D92" s="761" t="s">
        <v>633</v>
      </c>
      <c r="E92" s="761" t="s">
        <v>1024</v>
      </c>
      <c r="F92" s="1187">
        <v>0</v>
      </c>
      <c r="G92" s="761" t="s">
        <v>631</v>
      </c>
      <c r="H92" s="767"/>
      <c r="I92" s="767"/>
      <c r="J92" s="1187">
        <v>0</v>
      </c>
      <c r="K92" s="1188">
        <v>0</v>
      </c>
    </row>
    <row r="93" spans="1:11" ht="40.799999999999997" x14ac:dyDescent="0.3">
      <c r="A93" s="761" t="s">
        <v>228</v>
      </c>
      <c r="B93" s="765">
        <v>2020</v>
      </c>
      <c r="C93" s="761" t="s">
        <v>2350</v>
      </c>
      <c r="D93" s="761" t="s">
        <v>634</v>
      </c>
      <c r="E93" s="761" t="s">
        <v>1025</v>
      </c>
      <c r="F93" s="1187">
        <v>0</v>
      </c>
      <c r="G93" s="761" t="s">
        <v>631</v>
      </c>
      <c r="H93" s="767"/>
      <c r="I93" s="767"/>
      <c r="J93" s="1187">
        <v>0</v>
      </c>
      <c r="K93" s="1188">
        <v>0</v>
      </c>
    </row>
    <row r="94" spans="1:11" ht="40.799999999999997" x14ac:dyDescent="0.3">
      <c r="A94" s="761" t="s">
        <v>228</v>
      </c>
      <c r="B94" s="765">
        <v>2020</v>
      </c>
      <c r="C94" s="761" t="s">
        <v>2350</v>
      </c>
      <c r="D94" s="761" t="s">
        <v>635</v>
      </c>
      <c r="E94" s="761" t="s">
        <v>1026</v>
      </c>
      <c r="F94" s="1187">
        <v>0</v>
      </c>
      <c r="G94" s="761" t="s">
        <v>631</v>
      </c>
      <c r="H94" s="767"/>
      <c r="I94" s="767"/>
      <c r="J94" s="1187">
        <v>0</v>
      </c>
      <c r="K94" s="1188">
        <v>0</v>
      </c>
    </row>
    <row r="95" spans="1:11" ht="40.799999999999997" x14ac:dyDescent="0.3">
      <c r="A95" s="761" t="s">
        <v>228</v>
      </c>
      <c r="B95" s="765">
        <v>2020</v>
      </c>
      <c r="C95" s="761" t="s">
        <v>2350</v>
      </c>
      <c r="D95" s="761" t="s">
        <v>636</v>
      </c>
      <c r="E95" s="761" t="s">
        <v>1027</v>
      </c>
      <c r="F95" s="1187">
        <v>0</v>
      </c>
      <c r="G95" s="761" t="s">
        <v>631</v>
      </c>
      <c r="H95" s="767"/>
      <c r="I95" s="767"/>
      <c r="J95" s="1187">
        <v>0</v>
      </c>
      <c r="K95" s="1188">
        <v>0</v>
      </c>
    </row>
    <row r="96" spans="1:11" ht="40.799999999999997" x14ac:dyDescent="0.3">
      <c r="A96" s="761" t="s">
        <v>228</v>
      </c>
      <c r="B96" s="765">
        <v>2020</v>
      </c>
      <c r="C96" s="761" t="s">
        <v>2350</v>
      </c>
      <c r="D96" s="761" t="s">
        <v>637</v>
      </c>
      <c r="E96" s="761" t="s">
        <v>1028</v>
      </c>
      <c r="F96" s="1187">
        <v>0</v>
      </c>
      <c r="G96" s="761" t="s">
        <v>631</v>
      </c>
      <c r="H96" s="767"/>
      <c r="I96" s="767"/>
      <c r="J96" s="1187">
        <v>0</v>
      </c>
      <c r="K96" s="1188">
        <v>0</v>
      </c>
    </row>
    <row r="97" spans="1:11" ht="40.799999999999997" x14ac:dyDescent="0.3">
      <c r="A97" s="761" t="s">
        <v>228</v>
      </c>
      <c r="B97" s="765">
        <v>2020</v>
      </c>
      <c r="C97" s="761" t="s">
        <v>2350</v>
      </c>
      <c r="D97" s="761" t="s">
        <v>638</v>
      </c>
      <c r="E97" s="761" t="s">
        <v>1029</v>
      </c>
      <c r="F97" s="1187">
        <v>0</v>
      </c>
      <c r="G97" s="761" t="s">
        <v>631</v>
      </c>
      <c r="H97" s="767"/>
      <c r="I97" s="767"/>
      <c r="J97" s="1187">
        <v>0</v>
      </c>
      <c r="K97" s="1188">
        <v>0</v>
      </c>
    </row>
    <row r="98" spans="1:11" ht="40.799999999999997" x14ac:dyDescent="0.3">
      <c r="A98" s="761" t="s">
        <v>228</v>
      </c>
      <c r="B98" s="765">
        <v>2020</v>
      </c>
      <c r="C98" s="761" t="s">
        <v>2350</v>
      </c>
      <c r="D98" s="761" t="s">
        <v>639</v>
      </c>
      <c r="E98" s="761" t="s">
        <v>1030</v>
      </c>
      <c r="F98" s="1187">
        <v>0</v>
      </c>
      <c r="G98" s="761" t="s">
        <v>631</v>
      </c>
      <c r="H98" s="767"/>
      <c r="I98" s="767"/>
      <c r="J98" s="1187">
        <v>0</v>
      </c>
      <c r="K98" s="1188">
        <v>0</v>
      </c>
    </row>
    <row r="99" spans="1:11" ht="40.799999999999997" x14ac:dyDescent="0.3">
      <c r="A99" s="761" t="s">
        <v>228</v>
      </c>
      <c r="B99" s="765">
        <v>2020</v>
      </c>
      <c r="C99" s="761" t="s">
        <v>2350</v>
      </c>
      <c r="D99" s="761" t="s">
        <v>1613</v>
      </c>
      <c r="E99" s="761" t="s">
        <v>1956</v>
      </c>
      <c r="F99" s="1187">
        <v>0</v>
      </c>
      <c r="G99" s="761" t="s">
        <v>631</v>
      </c>
      <c r="H99" s="767"/>
      <c r="I99" s="767"/>
      <c r="J99" s="1187">
        <v>0</v>
      </c>
      <c r="K99" s="1188">
        <v>0</v>
      </c>
    </row>
    <row r="100" spans="1:11" ht="40.799999999999997" x14ac:dyDescent="0.3">
      <c r="A100" s="761" t="s">
        <v>228</v>
      </c>
      <c r="B100" s="765">
        <v>2020</v>
      </c>
      <c r="C100" s="761" t="s">
        <v>2350</v>
      </c>
      <c r="D100" s="761" t="s">
        <v>2067</v>
      </c>
      <c r="E100" s="761" t="s">
        <v>2069</v>
      </c>
      <c r="F100" s="1187">
        <v>0</v>
      </c>
      <c r="G100" s="761" t="s">
        <v>631</v>
      </c>
      <c r="H100" s="1187">
        <v>30493</v>
      </c>
      <c r="I100" s="1187">
        <v>1815</v>
      </c>
      <c r="J100" s="1187">
        <v>32308</v>
      </c>
      <c r="K100" s="1188">
        <v>32308</v>
      </c>
    </row>
    <row r="101" spans="1:11" ht="40.799999999999997" x14ac:dyDescent="0.3">
      <c r="A101" s="761" t="s">
        <v>228</v>
      </c>
      <c r="B101" s="765">
        <v>2020</v>
      </c>
      <c r="C101" s="761" t="s">
        <v>2350</v>
      </c>
      <c r="D101" s="761" t="s">
        <v>3762</v>
      </c>
      <c r="E101" s="761" t="s">
        <v>4326</v>
      </c>
      <c r="F101" s="1187">
        <v>0</v>
      </c>
      <c r="G101" s="761" t="s">
        <v>631</v>
      </c>
      <c r="H101" s="1187">
        <v>45471</v>
      </c>
      <c r="I101" s="1187">
        <v>-6449</v>
      </c>
      <c r="J101" s="1187">
        <v>39022</v>
      </c>
      <c r="K101" s="1188">
        <v>39022</v>
      </c>
    </row>
    <row r="102" spans="1:11" ht="40.799999999999997" x14ac:dyDescent="0.3">
      <c r="A102" s="761" t="s">
        <v>228</v>
      </c>
      <c r="B102" s="765">
        <v>2020</v>
      </c>
      <c r="C102" s="761" t="s">
        <v>2350</v>
      </c>
      <c r="D102" s="761" t="s">
        <v>4844</v>
      </c>
      <c r="E102" s="761" t="s">
        <v>5779</v>
      </c>
      <c r="F102" s="1187">
        <v>0</v>
      </c>
      <c r="G102" s="761" t="s">
        <v>631</v>
      </c>
      <c r="H102" s="1187">
        <v>30493</v>
      </c>
      <c r="I102" s="1187">
        <v>1043</v>
      </c>
      <c r="J102" s="1187">
        <v>31536</v>
      </c>
      <c r="K102" s="1188">
        <v>31536</v>
      </c>
    </row>
    <row r="103" spans="1:11" ht="40.799999999999997" x14ac:dyDescent="0.3">
      <c r="A103" s="761" t="s">
        <v>228</v>
      </c>
      <c r="B103" s="765">
        <v>2020</v>
      </c>
      <c r="C103" s="761" t="s">
        <v>2350</v>
      </c>
      <c r="D103" s="761" t="s">
        <v>7101</v>
      </c>
      <c r="E103" s="761" t="s">
        <v>7104</v>
      </c>
      <c r="F103" s="1187">
        <v>0</v>
      </c>
      <c r="G103" s="761" t="s">
        <v>631</v>
      </c>
      <c r="H103" s="1187">
        <v>-635412</v>
      </c>
      <c r="I103" s="1187">
        <v>4241</v>
      </c>
      <c r="J103" s="1187">
        <v>-631171</v>
      </c>
      <c r="K103" s="1188">
        <v>-631171</v>
      </c>
    </row>
    <row r="104" spans="1:11" ht="40.799999999999997" x14ac:dyDescent="0.3">
      <c r="A104" s="761" t="s">
        <v>228</v>
      </c>
      <c r="B104" s="765">
        <v>2020</v>
      </c>
      <c r="C104" s="761" t="s">
        <v>2350</v>
      </c>
      <c r="D104" s="761" t="s">
        <v>640</v>
      </c>
      <c r="E104" s="761" t="s">
        <v>1347</v>
      </c>
      <c r="F104" s="1187">
        <v>-528305</v>
      </c>
      <c r="G104" s="766"/>
      <c r="H104" s="767"/>
      <c r="I104" s="767"/>
      <c r="J104" s="1187">
        <v>0</v>
      </c>
      <c r="K104" s="1188">
        <v>-528305</v>
      </c>
    </row>
    <row r="105" spans="1:11" x14ac:dyDescent="0.3">
      <c r="A105" s="761" t="s">
        <v>169</v>
      </c>
      <c r="B105" s="765">
        <v>2020</v>
      </c>
      <c r="C105" s="761" t="s">
        <v>2342</v>
      </c>
      <c r="D105" s="761" t="s">
        <v>45</v>
      </c>
      <c r="E105" s="761" t="s">
        <v>657</v>
      </c>
      <c r="F105" s="1187">
        <v>0</v>
      </c>
      <c r="G105" s="761" t="s">
        <v>631</v>
      </c>
      <c r="H105" s="767"/>
      <c r="I105" s="767"/>
      <c r="J105" s="1187">
        <v>0</v>
      </c>
      <c r="K105" s="1188">
        <v>0</v>
      </c>
    </row>
    <row r="106" spans="1:11" ht="30.6" x14ac:dyDescent="0.3">
      <c r="A106" s="761" t="s">
        <v>169</v>
      </c>
      <c r="B106" s="765">
        <v>2020</v>
      </c>
      <c r="C106" s="761" t="s">
        <v>2343</v>
      </c>
      <c r="D106" s="761" t="s">
        <v>632</v>
      </c>
      <c r="E106" s="761" t="s">
        <v>658</v>
      </c>
      <c r="F106" s="1187">
        <v>-45378.38</v>
      </c>
      <c r="G106" s="761" t="s">
        <v>631</v>
      </c>
      <c r="H106" s="1187">
        <v>-44050.87109375</v>
      </c>
      <c r="I106" s="1187">
        <v>-1327.51000976563</v>
      </c>
      <c r="J106" s="1187">
        <v>-45378.37890625</v>
      </c>
      <c r="K106" s="1188">
        <v>-45378.38</v>
      </c>
    </row>
    <row r="107" spans="1:11" ht="20.399999999999999" x14ac:dyDescent="0.3">
      <c r="A107" s="761" t="s">
        <v>169</v>
      </c>
      <c r="B107" s="765">
        <v>2020</v>
      </c>
      <c r="C107" s="761" t="s">
        <v>2344</v>
      </c>
      <c r="D107" s="761" t="s">
        <v>452</v>
      </c>
      <c r="E107" s="761" t="s">
        <v>659</v>
      </c>
      <c r="F107" s="1187">
        <v>28859.27</v>
      </c>
      <c r="G107" s="766"/>
      <c r="H107" s="767"/>
      <c r="I107" s="767"/>
      <c r="J107" s="1187">
        <v>0</v>
      </c>
      <c r="K107" s="1188">
        <v>28859.27</v>
      </c>
    </row>
    <row r="108" spans="1:11" ht="20.399999999999999" x14ac:dyDescent="0.3">
      <c r="A108" s="761" t="s">
        <v>169</v>
      </c>
      <c r="B108" s="765">
        <v>2020</v>
      </c>
      <c r="C108" s="761" t="s">
        <v>2345</v>
      </c>
      <c r="D108" s="761" t="s">
        <v>42</v>
      </c>
      <c r="E108" s="761" t="s">
        <v>660</v>
      </c>
      <c r="F108" s="1187">
        <v>-459941.28</v>
      </c>
      <c r="G108" s="761" t="s">
        <v>631</v>
      </c>
      <c r="H108" s="1187">
        <v>-452198.96875</v>
      </c>
      <c r="I108" s="1187">
        <v>-7742.2998046875</v>
      </c>
      <c r="J108" s="1187">
        <v>-459941.28125</v>
      </c>
      <c r="K108" s="1188">
        <v>-459941.28</v>
      </c>
    </row>
    <row r="109" spans="1:11" ht="20.399999999999999" x14ac:dyDescent="0.3">
      <c r="A109" s="761" t="s">
        <v>169</v>
      </c>
      <c r="B109" s="765">
        <v>2020</v>
      </c>
      <c r="C109" s="761" t="s">
        <v>2345</v>
      </c>
      <c r="D109" s="761" t="s">
        <v>2063</v>
      </c>
      <c r="E109" s="761" t="s">
        <v>660</v>
      </c>
      <c r="F109" s="1187">
        <v>0</v>
      </c>
      <c r="G109" s="766"/>
      <c r="H109" s="767"/>
      <c r="I109" s="767"/>
      <c r="J109" s="1187">
        <v>0</v>
      </c>
      <c r="K109" s="1188">
        <v>0</v>
      </c>
    </row>
    <row r="110" spans="1:11" ht="20.399999999999999" x14ac:dyDescent="0.3">
      <c r="A110" s="761" t="s">
        <v>169</v>
      </c>
      <c r="B110" s="765">
        <v>2020</v>
      </c>
      <c r="C110" s="761" t="s">
        <v>2345</v>
      </c>
      <c r="D110" s="761" t="s">
        <v>2064</v>
      </c>
      <c r="E110" s="761" t="s">
        <v>660</v>
      </c>
      <c r="F110" s="1187">
        <v>0</v>
      </c>
      <c r="G110" s="766"/>
      <c r="H110" s="767"/>
      <c r="I110" s="767"/>
      <c r="J110" s="1187">
        <v>0</v>
      </c>
      <c r="K110" s="1188">
        <v>0</v>
      </c>
    </row>
    <row r="111" spans="1:11" ht="20.399999999999999" x14ac:dyDescent="0.3">
      <c r="A111" s="761" t="s">
        <v>169</v>
      </c>
      <c r="B111" s="765">
        <v>2020</v>
      </c>
      <c r="C111" s="761" t="s">
        <v>2345</v>
      </c>
      <c r="D111" s="761" t="s">
        <v>2065</v>
      </c>
      <c r="E111" s="761" t="s">
        <v>660</v>
      </c>
      <c r="F111" s="1187">
        <v>-15702.02</v>
      </c>
      <c r="G111" s="766"/>
      <c r="H111" s="767"/>
      <c r="I111" s="767"/>
      <c r="J111" s="1187">
        <v>0</v>
      </c>
      <c r="K111" s="1188">
        <v>-15702.02</v>
      </c>
    </row>
    <row r="112" spans="1:11" ht="20.399999999999999" x14ac:dyDescent="0.3">
      <c r="A112" s="761" t="s">
        <v>169</v>
      </c>
      <c r="B112" s="765">
        <v>2020</v>
      </c>
      <c r="C112" s="761" t="s">
        <v>2345</v>
      </c>
      <c r="D112" s="761" t="s">
        <v>2066</v>
      </c>
      <c r="E112" s="761" t="s">
        <v>660</v>
      </c>
      <c r="F112" s="1187">
        <v>-557938.93000000005</v>
      </c>
      <c r="G112" s="766"/>
      <c r="H112" s="767"/>
      <c r="I112" s="767"/>
      <c r="J112" s="1187">
        <v>0</v>
      </c>
      <c r="K112" s="1188">
        <v>-557938.93000000005</v>
      </c>
    </row>
    <row r="113" spans="1:11" ht="30.6" x14ac:dyDescent="0.3">
      <c r="A113" s="761" t="s">
        <v>169</v>
      </c>
      <c r="B113" s="765">
        <v>2020</v>
      </c>
      <c r="C113" s="761" t="s">
        <v>2346</v>
      </c>
      <c r="D113" s="761" t="s">
        <v>43</v>
      </c>
      <c r="E113" s="761" t="s">
        <v>661</v>
      </c>
      <c r="F113" s="1187">
        <v>47275.14</v>
      </c>
      <c r="G113" s="761" t="s">
        <v>631</v>
      </c>
      <c r="H113" s="1187">
        <v>50137.30859375</v>
      </c>
      <c r="I113" s="1187">
        <v>-2862.169921875</v>
      </c>
      <c r="J113" s="1187">
        <v>47275.140625</v>
      </c>
      <c r="K113" s="1188">
        <v>47275.14</v>
      </c>
    </row>
    <row r="114" spans="1:11" ht="30.6" x14ac:dyDescent="0.3">
      <c r="A114" s="761" t="s">
        <v>169</v>
      </c>
      <c r="B114" s="765">
        <v>2020</v>
      </c>
      <c r="C114" s="761" t="s">
        <v>2347</v>
      </c>
      <c r="D114" s="761" t="s">
        <v>44</v>
      </c>
      <c r="E114" s="761" t="s">
        <v>662</v>
      </c>
      <c r="F114" s="1187">
        <v>399574.12</v>
      </c>
      <c r="G114" s="761" t="s">
        <v>631</v>
      </c>
      <c r="H114" s="1187">
        <v>387864.90625</v>
      </c>
      <c r="I114" s="1187">
        <v>11709.2197265625</v>
      </c>
      <c r="J114" s="1187">
        <v>399574.125</v>
      </c>
      <c r="K114" s="1188">
        <v>399574.12</v>
      </c>
    </row>
    <row r="115" spans="1:11" ht="30.6" x14ac:dyDescent="0.3">
      <c r="A115" s="761" t="s">
        <v>169</v>
      </c>
      <c r="B115" s="765">
        <v>2020</v>
      </c>
      <c r="C115" s="761" t="s">
        <v>2348</v>
      </c>
      <c r="D115" s="761" t="s">
        <v>46</v>
      </c>
      <c r="E115" s="761" t="s">
        <v>663</v>
      </c>
      <c r="F115" s="1187">
        <v>581097.57999999996</v>
      </c>
      <c r="G115" s="761" t="s">
        <v>631</v>
      </c>
      <c r="H115" s="1187">
        <v>528361.4375</v>
      </c>
      <c r="I115" s="1187">
        <v>52736.16015625</v>
      </c>
      <c r="J115" s="1187">
        <v>581097.5625</v>
      </c>
      <c r="K115" s="1188">
        <v>581097.57999999996</v>
      </c>
    </row>
    <row r="116" spans="1:11" ht="20.399999999999999" x14ac:dyDescent="0.3">
      <c r="A116" s="761" t="s">
        <v>169</v>
      </c>
      <c r="B116" s="765">
        <v>2020</v>
      </c>
      <c r="C116" s="761" t="s">
        <v>2349</v>
      </c>
      <c r="D116" s="761" t="s">
        <v>339</v>
      </c>
      <c r="E116" s="761" t="s">
        <v>664</v>
      </c>
      <c r="F116" s="1187">
        <v>1574114.97</v>
      </c>
      <c r="G116" s="761" t="s">
        <v>631</v>
      </c>
      <c r="H116" s="1187">
        <v>1658336.875</v>
      </c>
      <c r="I116" s="1187">
        <v>-84221.890625</v>
      </c>
      <c r="J116" s="1187">
        <v>1574115</v>
      </c>
      <c r="K116" s="1188">
        <v>1574114.97</v>
      </c>
    </row>
    <row r="117" spans="1:11" ht="40.799999999999997" x14ac:dyDescent="0.3">
      <c r="A117" s="761" t="s">
        <v>169</v>
      </c>
      <c r="B117" s="765">
        <v>2020</v>
      </c>
      <c r="C117" s="761" t="s">
        <v>2350</v>
      </c>
      <c r="D117" s="761" t="s">
        <v>633</v>
      </c>
      <c r="E117" s="761" t="s">
        <v>1031</v>
      </c>
      <c r="F117" s="1187">
        <v>0</v>
      </c>
      <c r="G117" s="761" t="s">
        <v>631</v>
      </c>
      <c r="H117" s="767"/>
      <c r="I117" s="767"/>
      <c r="J117" s="1187">
        <v>0</v>
      </c>
      <c r="K117" s="1188">
        <v>0</v>
      </c>
    </row>
    <row r="118" spans="1:11" ht="40.799999999999997" x14ac:dyDescent="0.3">
      <c r="A118" s="761" t="s">
        <v>169</v>
      </c>
      <c r="B118" s="765">
        <v>2020</v>
      </c>
      <c r="C118" s="761" t="s">
        <v>2350</v>
      </c>
      <c r="D118" s="761" t="s">
        <v>634</v>
      </c>
      <c r="E118" s="761" t="s">
        <v>1032</v>
      </c>
      <c r="F118" s="1187">
        <v>0</v>
      </c>
      <c r="G118" s="761" t="s">
        <v>631</v>
      </c>
      <c r="H118" s="767"/>
      <c r="I118" s="767"/>
      <c r="J118" s="1187">
        <v>0</v>
      </c>
      <c r="K118" s="1188">
        <v>0</v>
      </c>
    </row>
    <row r="119" spans="1:11" ht="40.799999999999997" x14ac:dyDescent="0.3">
      <c r="A119" s="761" t="s">
        <v>169</v>
      </c>
      <c r="B119" s="765">
        <v>2020</v>
      </c>
      <c r="C119" s="761" t="s">
        <v>2350</v>
      </c>
      <c r="D119" s="761" t="s">
        <v>635</v>
      </c>
      <c r="E119" s="761" t="s">
        <v>1033</v>
      </c>
      <c r="F119" s="1187">
        <v>0</v>
      </c>
      <c r="G119" s="761" t="s">
        <v>631</v>
      </c>
      <c r="H119" s="767"/>
      <c r="I119" s="767"/>
      <c r="J119" s="1187">
        <v>0</v>
      </c>
      <c r="K119" s="1188">
        <v>0</v>
      </c>
    </row>
    <row r="120" spans="1:11" ht="40.799999999999997" x14ac:dyDescent="0.3">
      <c r="A120" s="761" t="s">
        <v>169</v>
      </c>
      <c r="B120" s="765">
        <v>2020</v>
      </c>
      <c r="C120" s="761" t="s">
        <v>2350</v>
      </c>
      <c r="D120" s="761" t="s">
        <v>636</v>
      </c>
      <c r="E120" s="761" t="s">
        <v>1034</v>
      </c>
      <c r="F120" s="1187">
        <v>0</v>
      </c>
      <c r="G120" s="761" t="s">
        <v>631</v>
      </c>
      <c r="H120" s="767"/>
      <c r="I120" s="767"/>
      <c r="J120" s="1187">
        <v>0</v>
      </c>
      <c r="K120" s="1188">
        <v>0</v>
      </c>
    </row>
    <row r="121" spans="1:11" ht="40.799999999999997" x14ac:dyDescent="0.3">
      <c r="A121" s="761" t="s">
        <v>169</v>
      </c>
      <c r="B121" s="765">
        <v>2020</v>
      </c>
      <c r="C121" s="761" t="s">
        <v>2350</v>
      </c>
      <c r="D121" s="761" t="s">
        <v>637</v>
      </c>
      <c r="E121" s="761" t="s">
        <v>1035</v>
      </c>
      <c r="F121" s="1187">
        <v>0</v>
      </c>
      <c r="G121" s="761" t="s">
        <v>631</v>
      </c>
      <c r="H121" s="767"/>
      <c r="I121" s="767"/>
      <c r="J121" s="1187">
        <v>0</v>
      </c>
      <c r="K121" s="1188">
        <v>0</v>
      </c>
    </row>
    <row r="122" spans="1:11" ht="40.799999999999997" x14ac:dyDescent="0.3">
      <c r="A122" s="761" t="s">
        <v>169</v>
      </c>
      <c r="B122" s="765">
        <v>2020</v>
      </c>
      <c r="C122" s="761" t="s">
        <v>2350</v>
      </c>
      <c r="D122" s="761" t="s">
        <v>638</v>
      </c>
      <c r="E122" s="761" t="s">
        <v>1036</v>
      </c>
      <c r="F122" s="1187">
        <v>0</v>
      </c>
      <c r="G122" s="761" t="s">
        <v>631</v>
      </c>
      <c r="H122" s="767"/>
      <c r="I122" s="767"/>
      <c r="J122" s="1187">
        <v>0</v>
      </c>
      <c r="K122" s="1188">
        <v>0</v>
      </c>
    </row>
    <row r="123" spans="1:11" ht="40.799999999999997" x14ac:dyDescent="0.3">
      <c r="A123" s="761" t="s">
        <v>169</v>
      </c>
      <c r="B123" s="765">
        <v>2020</v>
      </c>
      <c r="C123" s="761" t="s">
        <v>2350</v>
      </c>
      <c r="D123" s="761" t="s">
        <v>639</v>
      </c>
      <c r="E123" s="761" t="s">
        <v>1037</v>
      </c>
      <c r="F123" s="1187">
        <v>0</v>
      </c>
      <c r="G123" s="761" t="s">
        <v>631</v>
      </c>
      <c r="H123" s="767"/>
      <c r="I123" s="767"/>
      <c r="J123" s="1187">
        <v>0</v>
      </c>
      <c r="K123" s="1188">
        <v>0</v>
      </c>
    </row>
    <row r="124" spans="1:11" ht="40.799999999999997" x14ac:dyDescent="0.3">
      <c r="A124" s="761" t="s">
        <v>169</v>
      </c>
      <c r="B124" s="765">
        <v>2020</v>
      </c>
      <c r="C124" s="761" t="s">
        <v>2350</v>
      </c>
      <c r="D124" s="761" t="s">
        <v>1613</v>
      </c>
      <c r="E124" s="761" t="s">
        <v>1957</v>
      </c>
      <c r="F124" s="1187">
        <v>0</v>
      </c>
      <c r="G124" s="761" t="s">
        <v>631</v>
      </c>
      <c r="H124" s="1187">
        <v>36.849998474121101</v>
      </c>
      <c r="I124" s="1187">
        <v>-86.379997253417997</v>
      </c>
      <c r="J124" s="1187">
        <v>-49.529998779296903</v>
      </c>
      <c r="K124" s="1188">
        <v>-49.53</v>
      </c>
    </row>
    <row r="125" spans="1:11" ht="40.799999999999997" x14ac:dyDescent="0.3">
      <c r="A125" s="761" t="s">
        <v>169</v>
      </c>
      <c r="B125" s="765">
        <v>2020</v>
      </c>
      <c r="C125" s="761" t="s">
        <v>2350</v>
      </c>
      <c r="D125" s="761" t="s">
        <v>2067</v>
      </c>
      <c r="E125" s="761" t="s">
        <v>2070</v>
      </c>
      <c r="F125" s="1187">
        <v>0</v>
      </c>
      <c r="G125" s="761" t="s">
        <v>631</v>
      </c>
      <c r="H125" s="1187">
        <v>1724.66003417969</v>
      </c>
      <c r="I125" s="1187">
        <v>59.2299995422363</v>
      </c>
      <c r="J125" s="1187">
        <v>1783.89001464844</v>
      </c>
      <c r="K125" s="1188">
        <v>1783.89</v>
      </c>
    </row>
    <row r="126" spans="1:11" ht="40.799999999999997" x14ac:dyDescent="0.3">
      <c r="A126" s="761" t="s">
        <v>169</v>
      </c>
      <c r="B126" s="765">
        <v>2020</v>
      </c>
      <c r="C126" s="761" t="s">
        <v>2350</v>
      </c>
      <c r="D126" s="761" t="s">
        <v>3762</v>
      </c>
      <c r="E126" s="761" t="s">
        <v>4327</v>
      </c>
      <c r="F126" s="1187">
        <v>0</v>
      </c>
      <c r="G126" s="761" t="s">
        <v>631</v>
      </c>
      <c r="H126" s="1187">
        <v>11254.0302734375</v>
      </c>
      <c r="I126" s="1187">
        <v>42882.62890625</v>
      </c>
      <c r="J126" s="1187">
        <v>54136.66015625</v>
      </c>
      <c r="K126" s="1188">
        <v>54136.66</v>
      </c>
    </row>
    <row r="127" spans="1:11" ht="40.799999999999997" x14ac:dyDescent="0.3">
      <c r="A127" s="761" t="s">
        <v>169</v>
      </c>
      <c r="B127" s="765">
        <v>2020</v>
      </c>
      <c r="C127" s="761" t="s">
        <v>2350</v>
      </c>
      <c r="D127" s="761" t="s">
        <v>4844</v>
      </c>
      <c r="E127" s="761" t="s">
        <v>5780</v>
      </c>
      <c r="F127" s="1187">
        <v>0</v>
      </c>
      <c r="G127" s="761" t="s">
        <v>631</v>
      </c>
      <c r="H127" s="1187">
        <v>-9005.330078125</v>
      </c>
      <c r="I127" s="1187">
        <v>7285.240234375</v>
      </c>
      <c r="J127" s="1187">
        <v>-1720.08996582031</v>
      </c>
      <c r="K127" s="1188">
        <v>-1720.09</v>
      </c>
    </row>
    <row r="128" spans="1:11" ht="40.799999999999997" x14ac:dyDescent="0.3">
      <c r="A128" s="761" t="s">
        <v>169</v>
      </c>
      <c r="B128" s="765">
        <v>2020</v>
      </c>
      <c r="C128" s="761" t="s">
        <v>2350</v>
      </c>
      <c r="D128" s="761" t="s">
        <v>7101</v>
      </c>
      <c r="E128" s="761" t="s">
        <v>7105</v>
      </c>
      <c r="F128" s="1187">
        <v>0</v>
      </c>
      <c r="G128" s="761" t="s">
        <v>631</v>
      </c>
      <c r="H128" s="1187">
        <v>105720.7265625</v>
      </c>
      <c r="I128" s="1187">
        <v>-285171.59375</v>
      </c>
      <c r="J128" s="1187">
        <v>-179450.84375</v>
      </c>
      <c r="K128" s="1188">
        <v>-179450.85</v>
      </c>
    </row>
    <row r="129" spans="1:11" ht="40.799999999999997" x14ac:dyDescent="0.3">
      <c r="A129" s="761" t="s">
        <v>169</v>
      </c>
      <c r="B129" s="765">
        <v>2020</v>
      </c>
      <c r="C129" s="761" t="s">
        <v>2350</v>
      </c>
      <c r="D129" s="761" t="s">
        <v>640</v>
      </c>
      <c r="E129" s="761" t="s">
        <v>1348</v>
      </c>
      <c r="F129" s="1187">
        <v>-125299.92</v>
      </c>
      <c r="G129" s="766"/>
      <c r="H129" s="767"/>
      <c r="I129" s="767"/>
      <c r="J129" s="1187">
        <v>0</v>
      </c>
      <c r="K129" s="1188">
        <v>-125299.92</v>
      </c>
    </row>
    <row r="130" spans="1:11" x14ac:dyDescent="0.3">
      <c r="A130" s="761" t="s">
        <v>170</v>
      </c>
      <c r="B130" s="765">
        <v>2020</v>
      </c>
      <c r="C130" s="761" t="s">
        <v>2342</v>
      </c>
      <c r="D130" s="761" t="s">
        <v>45</v>
      </c>
      <c r="E130" s="761" t="s">
        <v>665</v>
      </c>
      <c r="F130" s="1187">
        <v>0</v>
      </c>
      <c r="G130" s="761" t="s">
        <v>631</v>
      </c>
      <c r="H130" s="767"/>
      <c r="I130" s="767"/>
      <c r="J130" s="1187">
        <v>0</v>
      </c>
      <c r="K130" s="1188">
        <v>0</v>
      </c>
    </row>
    <row r="131" spans="1:11" ht="30.6" x14ac:dyDescent="0.3">
      <c r="A131" s="761" t="s">
        <v>170</v>
      </c>
      <c r="B131" s="765">
        <v>2020</v>
      </c>
      <c r="C131" s="761" t="s">
        <v>2343</v>
      </c>
      <c r="D131" s="761" t="s">
        <v>632</v>
      </c>
      <c r="E131" s="761" t="s">
        <v>666</v>
      </c>
      <c r="F131" s="1187">
        <v>-77270.95</v>
      </c>
      <c r="G131" s="761" t="s">
        <v>631</v>
      </c>
      <c r="H131" s="1187">
        <v>-77461.2421875</v>
      </c>
      <c r="I131" s="1187">
        <v>190.28999328613301</v>
      </c>
      <c r="J131" s="1187">
        <v>-77270.953125</v>
      </c>
      <c r="K131" s="1188">
        <v>-77270.95</v>
      </c>
    </row>
    <row r="132" spans="1:11" ht="20.399999999999999" x14ac:dyDescent="0.3">
      <c r="A132" s="761" t="s">
        <v>170</v>
      </c>
      <c r="B132" s="765">
        <v>2020</v>
      </c>
      <c r="C132" s="761" t="s">
        <v>2344</v>
      </c>
      <c r="D132" s="761" t="s">
        <v>452</v>
      </c>
      <c r="E132" s="761" t="s">
        <v>667</v>
      </c>
      <c r="F132" s="1187">
        <v>1706582.96</v>
      </c>
      <c r="G132" s="766"/>
      <c r="H132" s="767"/>
      <c r="I132" s="767"/>
      <c r="J132" s="1187">
        <v>0</v>
      </c>
      <c r="K132" s="1188">
        <v>1706582.96</v>
      </c>
    </row>
    <row r="133" spans="1:11" ht="20.399999999999999" x14ac:dyDescent="0.3">
      <c r="A133" s="761" t="s">
        <v>170</v>
      </c>
      <c r="B133" s="765">
        <v>2020</v>
      </c>
      <c r="C133" s="761" t="s">
        <v>2345</v>
      </c>
      <c r="D133" s="761" t="s">
        <v>42</v>
      </c>
      <c r="E133" s="761" t="s">
        <v>668</v>
      </c>
      <c r="F133" s="1187">
        <v>-2390000.15</v>
      </c>
      <c r="G133" s="761" t="s">
        <v>631</v>
      </c>
      <c r="H133" s="1187">
        <v>-2288381</v>
      </c>
      <c r="I133" s="1187">
        <v>-101619.1171875</v>
      </c>
      <c r="J133" s="1187">
        <v>-2390000.25</v>
      </c>
      <c r="K133" s="1188">
        <v>-2390000.15</v>
      </c>
    </row>
    <row r="134" spans="1:11" ht="20.399999999999999" x14ac:dyDescent="0.3">
      <c r="A134" s="761" t="s">
        <v>170</v>
      </c>
      <c r="B134" s="765">
        <v>2020</v>
      </c>
      <c r="C134" s="761" t="s">
        <v>2345</v>
      </c>
      <c r="D134" s="761" t="s">
        <v>2063</v>
      </c>
      <c r="E134" s="761" t="s">
        <v>668</v>
      </c>
      <c r="F134" s="1187">
        <v>0</v>
      </c>
      <c r="G134" s="766"/>
      <c r="H134" s="767"/>
      <c r="I134" s="767"/>
      <c r="J134" s="1187">
        <v>0</v>
      </c>
      <c r="K134" s="1188">
        <v>0</v>
      </c>
    </row>
    <row r="135" spans="1:11" ht="20.399999999999999" x14ac:dyDescent="0.3">
      <c r="A135" s="761" t="s">
        <v>170</v>
      </c>
      <c r="B135" s="765">
        <v>2020</v>
      </c>
      <c r="C135" s="761" t="s">
        <v>2345</v>
      </c>
      <c r="D135" s="761" t="s">
        <v>2064</v>
      </c>
      <c r="E135" s="761" t="s">
        <v>668</v>
      </c>
      <c r="F135" s="1187">
        <v>0</v>
      </c>
      <c r="G135" s="766"/>
      <c r="H135" s="767"/>
      <c r="I135" s="767"/>
      <c r="J135" s="1187">
        <v>0</v>
      </c>
      <c r="K135" s="1188">
        <v>0</v>
      </c>
    </row>
    <row r="136" spans="1:11" ht="20.399999999999999" x14ac:dyDescent="0.3">
      <c r="A136" s="761" t="s">
        <v>170</v>
      </c>
      <c r="B136" s="765">
        <v>2020</v>
      </c>
      <c r="C136" s="761" t="s">
        <v>2345</v>
      </c>
      <c r="D136" s="761" t="s">
        <v>2065</v>
      </c>
      <c r="E136" s="761" t="s">
        <v>668</v>
      </c>
      <c r="F136" s="1187">
        <v>-1672.4</v>
      </c>
      <c r="G136" s="766"/>
      <c r="H136" s="767"/>
      <c r="I136" s="767"/>
      <c r="J136" s="1187">
        <v>0</v>
      </c>
      <c r="K136" s="1188">
        <v>-1672.4</v>
      </c>
    </row>
    <row r="137" spans="1:11" ht="20.399999999999999" x14ac:dyDescent="0.3">
      <c r="A137" s="761" t="s">
        <v>170</v>
      </c>
      <c r="B137" s="765">
        <v>2020</v>
      </c>
      <c r="C137" s="761" t="s">
        <v>2345</v>
      </c>
      <c r="D137" s="761" t="s">
        <v>2066</v>
      </c>
      <c r="E137" s="761" t="s">
        <v>668</v>
      </c>
      <c r="F137" s="1187">
        <v>-231497.3</v>
      </c>
      <c r="G137" s="766"/>
      <c r="H137" s="767"/>
      <c r="I137" s="767"/>
      <c r="J137" s="1187">
        <v>0</v>
      </c>
      <c r="K137" s="1188">
        <v>-231497.3</v>
      </c>
    </row>
    <row r="138" spans="1:11" ht="30.6" x14ac:dyDescent="0.3">
      <c r="A138" s="761" t="s">
        <v>170</v>
      </c>
      <c r="B138" s="765">
        <v>2020</v>
      </c>
      <c r="C138" s="761" t="s">
        <v>2346</v>
      </c>
      <c r="D138" s="761" t="s">
        <v>43</v>
      </c>
      <c r="E138" s="761" t="s">
        <v>669</v>
      </c>
      <c r="F138" s="1187">
        <v>196055.64</v>
      </c>
      <c r="G138" s="761" t="s">
        <v>631</v>
      </c>
      <c r="H138" s="1187">
        <v>193153.078125</v>
      </c>
      <c r="I138" s="1187">
        <v>2902.56005859375</v>
      </c>
      <c r="J138" s="1187">
        <v>196055.640625</v>
      </c>
      <c r="K138" s="1188">
        <v>196055.64</v>
      </c>
    </row>
    <row r="139" spans="1:11" ht="30.6" x14ac:dyDescent="0.3">
      <c r="A139" s="761" t="s">
        <v>170</v>
      </c>
      <c r="B139" s="765">
        <v>2020</v>
      </c>
      <c r="C139" s="761" t="s">
        <v>2347</v>
      </c>
      <c r="D139" s="761" t="s">
        <v>44</v>
      </c>
      <c r="E139" s="761" t="s">
        <v>670</v>
      </c>
      <c r="F139" s="1187">
        <v>651863.99</v>
      </c>
      <c r="G139" s="761" t="s">
        <v>631</v>
      </c>
      <c r="H139" s="1187">
        <v>639805.75</v>
      </c>
      <c r="I139" s="1187">
        <v>12058.26953125</v>
      </c>
      <c r="J139" s="1187">
        <v>651864</v>
      </c>
      <c r="K139" s="1188">
        <v>651863.99</v>
      </c>
    </row>
    <row r="140" spans="1:11" ht="30.6" x14ac:dyDescent="0.3">
      <c r="A140" s="761" t="s">
        <v>170</v>
      </c>
      <c r="B140" s="765">
        <v>2020</v>
      </c>
      <c r="C140" s="761" t="s">
        <v>2348</v>
      </c>
      <c r="D140" s="761" t="s">
        <v>46</v>
      </c>
      <c r="E140" s="761" t="s">
        <v>671</v>
      </c>
      <c r="F140" s="1187">
        <v>1239263.3899999999</v>
      </c>
      <c r="G140" s="761" t="s">
        <v>631</v>
      </c>
      <c r="H140" s="1187">
        <v>1142065.5</v>
      </c>
      <c r="I140" s="1187">
        <v>97197.84375</v>
      </c>
      <c r="J140" s="1187">
        <v>1239263.375</v>
      </c>
      <c r="K140" s="1188">
        <v>1239263.3899999999</v>
      </c>
    </row>
    <row r="141" spans="1:11" ht="20.399999999999999" x14ac:dyDescent="0.3">
      <c r="A141" s="761" t="s">
        <v>170</v>
      </c>
      <c r="B141" s="765">
        <v>2020</v>
      </c>
      <c r="C141" s="761" t="s">
        <v>2349</v>
      </c>
      <c r="D141" s="761" t="s">
        <v>339</v>
      </c>
      <c r="E141" s="761" t="s">
        <v>672</v>
      </c>
      <c r="F141" s="1187">
        <v>2781878.6</v>
      </c>
      <c r="G141" s="761" t="s">
        <v>631</v>
      </c>
      <c r="H141" s="1187">
        <v>2637148.75</v>
      </c>
      <c r="I141" s="1187">
        <v>144729.8125</v>
      </c>
      <c r="J141" s="1187">
        <v>2781878.5</v>
      </c>
      <c r="K141" s="1188">
        <v>2781878.6</v>
      </c>
    </row>
    <row r="142" spans="1:11" ht="40.799999999999997" x14ac:dyDescent="0.3">
      <c r="A142" s="761" t="s">
        <v>170</v>
      </c>
      <c r="B142" s="765">
        <v>2020</v>
      </c>
      <c r="C142" s="761" t="s">
        <v>2350</v>
      </c>
      <c r="D142" s="761" t="s">
        <v>633</v>
      </c>
      <c r="E142" s="761" t="s">
        <v>1038</v>
      </c>
      <c r="F142" s="1187">
        <v>0</v>
      </c>
      <c r="G142" s="761" t="s">
        <v>631</v>
      </c>
      <c r="H142" s="767"/>
      <c r="I142" s="767"/>
      <c r="J142" s="1187">
        <v>0</v>
      </c>
      <c r="K142" s="1188">
        <v>0</v>
      </c>
    </row>
    <row r="143" spans="1:11" ht="40.799999999999997" x14ac:dyDescent="0.3">
      <c r="A143" s="761" t="s">
        <v>170</v>
      </c>
      <c r="B143" s="765">
        <v>2020</v>
      </c>
      <c r="C143" s="761" t="s">
        <v>2350</v>
      </c>
      <c r="D143" s="761" t="s">
        <v>634</v>
      </c>
      <c r="E143" s="761" t="s">
        <v>1039</v>
      </c>
      <c r="F143" s="1187">
        <v>0</v>
      </c>
      <c r="G143" s="761" t="s">
        <v>631</v>
      </c>
      <c r="H143" s="767"/>
      <c r="I143" s="767"/>
      <c r="J143" s="1187">
        <v>0</v>
      </c>
      <c r="K143" s="1188">
        <v>0</v>
      </c>
    </row>
    <row r="144" spans="1:11" ht="40.799999999999997" x14ac:dyDescent="0.3">
      <c r="A144" s="761" t="s">
        <v>170</v>
      </c>
      <c r="B144" s="765">
        <v>2020</v>
      </c>
      <c r="C144" s="761" t="s">
        <v>2350</v>
      </c>
      <c r="D144" s="761" t="s">
        <v>635</v>
      </c>
      <c r="E144" s="761" t="s">
        <v>1040</v>
      </c>
      <c r="F144" s="1187">
        <v>0</v>
      </c>
      <c r="G144" s="761" t="s">
        <v>631</v>
      </c>
      <c r="H144" s="767"/>
      <c r="I144" s="767"/>
      <c r="J144" s="1187">
        <v>0</v>
      </c>
      <c r="K144" s="1188">
        <v>0</v>
      </c>
    </row>
    <row r="145" spans="1:11" ht="40.799999999999997" x14ac:dyDescent="0.3">
      <c r="A145" s="761" t="s">
        <v>170</v>
      </c>
      <c r="B145" s="765">
        <v>2020</v>
      </c>
      <c r="C145" s="761" t="s">
        <v>2350</v>
      </c>
      <c r="D145" s="761" t="s">
        <v>636</v>
      </c>
      <c r="E145" s="761" t="s">
        <v>1041</v>
      </c>
      <c r="F145" s="1187">
        <v>0</v>
      </c>
      <c r="G145" s="761" t="s">
        <v>631</v>
      </c>
      <c r="H145" s="767"/>
      <c r="I145" s="767"/>
      <c r="J145" s="1187">
        <v>0</v>
      </c>
      <c r="K145" s="1188">
        <v>0</v>
      </c>
    </row>
    <row r="146" spans="1:11" ht="40.799999999999997" x14ac:dyDescent="0.3">
      <c r="A146" s="761" t="s">
        <v>170</v>
      </c>
      <c r="B146" s="765">
        <v>2020</v>
      </c>
      <c r="C146" s="761" t="s">
        <v>2350</v>
      </c>
      <c r="D146" s="761" t="s">
        <v>637</v>
      </c>
      <c r="E146" s="761" t="s">
        <v>1042</v>
      </c>
      <c r="F146" s="1187">
        <v>0</v>
      </c>
      <c r="G146" s="761" t="s">
        <v>631</v>
      </c>
      <c r="H146" s="767"/>
      <c r="I146" s="767"/>
      <c r="J146" s="1187">
        <v>0</v>
      </c>
      <c r="K146" s="1188">
        <v>0</v>
      </c>
    </row>
    <row r="147" spans="1:11" ht="40.799999999999997" x14ac:dyDescent="0.3">
      <c r="A147" s="761" t="s">
        <v>170</v>
      </c>
      <c r="B147" s="765">
        <v>2020</v>
      </c>
      <c r="C147" s="761" t="s">
        <v>2350</v>
      </c>
      <c r="D147" s="761" t="s">
        <v>638</v>
      </c>
      <c r="E147" s="761" t="s">
        <v>1043</v>
      </c>
      <c r="F147" s="1187">
        <v>0</v>
      </c>
      <c r="G147" s="761" t="s">
        <v>631</v>
      </c>
      <c r="H147" s="767"/>
      <c r="I147" s="767"/>
      <c r="J147" s="1187">
        <v>0</v>
      </c>
      <c r="K147" s="1188">
        <v>0</v>
      </c>
    </row>
    <row r="148" spans="1:11" ht="40.799999999999997" x14ac:dyDescent="0.3">
      <c r="A148" s="761" t="s">
        <v>170</v>
      </c>
      <c r="B148" s="765">
        <v>2020</v>
      </c>
      <c r="C148" s="761" t="s">
        <v>2350</v>
      </c>
      <c r="D148" s="761" t="s">
        <v>639</v>
      </c>
      <c r="E148" s="761" t="s">
        <v>1044</v>
      </c>
      <c r="F148" s="1187">
        <v>0</v>
      </c>
      <c r="G148" s="761" t="s">
        <v>631</v>
      </c>
      <c r="H148" s="767"/>
      <c r="I148" s="767"/>
      <c r="J148" s="1187">
        <v>0</v>
      </c>
      <c r="K148" s="1188">
        <v>0</v>
      </c>
    </row>
    <row r="149" spans="1:11" ht="40.799999999999997" x14ac:dyDescent="0.3">
      <c r="A149" s="761" t="s">
        <v>170</v>
      </c>
      <c r="B149" s="765">
        <v>2020</v>
      </c>
      <c r="C149" s="761" t="s">
        <v>2350</v>
      </c>
      <c r="D149" s="761" t="s">
        <v>1613</v>
      </c>
      <c r="E149" s="761" t="s">
        <v>1958</v>
      </c>
      <c r="F149" s="1187">
        <v>0</v>
      </c>
      <c r="G149" s="761" t="s">
        <v>631</v>
      </c>
      <c r="H149" s="767"/>
      <c r="I149" s="767"/>
      <c r="J149" s="1187">
        <v>0</v>
      </c>
      <c r="K149" s="1188">
        <v>0</v>
      </c>
    </row>
    <row r="150" spans="1:11" ht="40.799999999999997" x14ac:dyDescent="0.3">
      <c r="A150" s="761" t="s">
        <v>170</v>
      </c>
      <c r="B150" s="765">
        <v>2020</v>
      </c>
      <c r="C150" s="761" t="s">
        <v>2350</v>
      </c>
      <c r="D150" s="761" t="s">
        <v>2067</v>
      </c>
      <c r="E150" s="761" t="s">
        <v>2071</v>
      </c>
      <c r="F150" s="1187">
        <v>0</v>
      </c>
      <c r="G150" s="761" t="s">
        <v>631</v>
      </c>
      <c r="H150" s="1187">
        <v>-1205582</v>
      </c>
      <c r="I150" s="1187">
        <v>1199052.375</v>
      </c>
      <c r="J150" s="1187">
        <v>-6529.68994140625</v>
      </c>
      <c r="K150" s="1188">
        <v>-6529.6899999999396</v>
      </c>
    </row>
    <row r="151" spans="1:11" ht="40.799999999999997" x14ac:dyDescent="0.3">
      <c r="A151" s="761" t="s">
        <v>170</v>
      </c>
      <c r="B151" s="765">
        <v>2020</v>
      </c>
      <c r="C151" s="761" t="s">
        <v>2350</v>
      </c>
      <c r="D151" s="761" t="s">
        <v>3762</v>
      </c>
      <c r="E151" s="761" t="s">
        <v>4328</v>
      </c>
      <c r="F151" s="1187">
        <v>0</v>
      </c>
      <c r="G151" s="761" t="s">
        <v>631</v>
      </c>
      <c r="H151" s="1187">
        <v>-281801.46875</v>
      </c>
      <c r="I151" s="1187">
        <v>-79842.5</v>
      </c>
      <c r="J151" s="1187">
        <v>-361643.96875</v>
      </c>
      <c r="K151" s="1188">
        <v>-361643.96</v>
      </c>
    </row>
    <row r="152" spans="1:11" ht="40.799999999999997" x14ac:dyDescent="0.3">
      <c r="A152" s="761" t="s">
        <v>170</v>
      </c>
      <c r="B152" s="765">
        <v>2020</v>
      </c>
      <c r="C152" s="761" t="s">
        <v>2350</v>
      </c>
      <c r="D152" s="761" t="s">
        <v>4844</v>
      </c>
      <c r="E152" s="761" t="s">
        <v>5781</v>
      </c>
      <c r="F152" s="1187">
        <v>0</v>
      </c>
      <c r="G152" s="761" t="s">
        <v>631</v>
      </c>
      <c r="H152" s="1187">
        <v>-91110.140625</v>
      </c>
      <c r="I152" s="1187">
        <v>167114.765625</v>
      </c>
      <c r="J152" s="1187">
        <v>76004.6171875</v>
      </c>
      <c r="K152" s="1188">
        <v>76004.62</v>
      </c>
    </row>
    <row r="153" spans="1:11" ht="40.799999999999997" x14ac:dyDescent="0.3">
      <c r="A153" s="761" t="s">
        <v>170</v>
      </c>
      <c r="B153" s="765">
        <v>2020</v>
      </c>
      <c r="C153" s="761" t="s">
        <v>2350</v>
      </c>
      <c r="D153" s="761" t="s">
        <v>7101</v>
      </c>
      <c r="E153" s="761" t="s">
        <v>7106</v>
      </c>
      <c r="F153" s="1187">
        <v>0</v>
      </c>
      <c r="G153" s="761" t="s">
        <v>631</v>
      </c>
      <c r="H153" s="1187">
        <v>128275.3828125</v>
      </c>
      <c r="I153" s="1187">
        <v>19101.0703125</v>
      </c>
      <c r="J153" s="1187">
        <v>147376.453125</v>
      </c>
      <c r="K153" s="1188">
        <v>147376.45000000001</v>
      </c>
    </row>
    <row r="154" spans="1:11" ht="40.799999999999997" x14ac:dyDescent="0.3">
      <c r="A154" s="761" t="s">
        <v>170</v>
      </c>
      <c r="B154" s="765">
        <v>2020</v>
      </c>
      <c r="C154" s="761" t="s">
        <v>2350</v>
      </c>
      <c r="D154" s="761" t="s">
        <v>640</v>
      </c>
      <c r="E154" s="761" t="s">
        <v>1349</v>
      </c>
      <c r="F154" s="1187">
        <v>-144792.57999999999</v>
      </c>
      <c r="G154" s="766"/>
      <c r="H154" s="767"/>
      <c r="I154" s="767"/>
      <c r="J154" s="1187">
        <v>0</v>
      </c>
      <c r="K154" s="1188">
        <v>-144792.57999999999</v>
      </c>
    </row>
    <row r="155" spans="1:11" x14ac:dyDescent="0.3">
      <c r="A155" s="761" t="s">
        <v>415</v>
      </c>
      <c r="B155" s="765">
        <v>2020</v>
      </c>
      <c r="C155" s="761" t="s">
        <v>2342</v>
      </c>
      <c r="D155" s="761" t="s">
        <v>45</v>
      </c>
      <c r="E155" s="761" t="s">
        <v>673</v>
      </c>
      <c r="F155" s="1187">
        <v>71020.789999999994</v>
      </c>
      <c r="G155" s="761" t="s">
        <v>631</v>
      </c>
      <c r="H155" s="1187">
        <v>68810.953125</v>
      </c>
      <c r="I155" s="1187">
        <v>2209.84008789063</v>
      </c>
      <c r="J155" s="1187">
        <v>71020.7890625</v>
      </c>
      <c r="K155" s="1188">
        <v>71020.789999999994</v>
      </c>
    </row>
    <row r="156" spans="1:11" ht="30.6" x14ac:dyDescent="0.3">
      <c r="A156" s="761" t="s">
        <v>415</v>
      </c>
      <c r="B156" s="765">
        <v>2020</v>
      </c>
      <c r="C156" s="761" t="s">
        <v>2343</v>
      </c>
      <c r="D156" s="761" t="s">
        <v>632</v>
      </c>
      <c r="E156" s="761" t="s">
        <v>674</v>
      </c>
      <c r="F156" s="1187">
        <v>-13649.73</v>
      </c>
      <c r="G156" s="761" t="s">
        <v>631</v>
      </c>
      <c r="H156" s="1187">
        <v>-13461.599609375</v>
      </c>
      <c r="I156" s="1187">
        <v>-188.13000488281301</v>
      </c>
      <c r="J156" s="1187">
        <v>-13649.73046875</v>
      </c>
      <c r="K156" s="1188">
        <v>-13649.73</v>
      </c>
    </row>
    <row r="157" spans="1:11" ht="20.399999999999999" x14ac:dyDescent="0.3">
      <c r="A157" s="761" t="s">
        <v>415</v>
      </c>
      <c r="B157" s="765">
        <v>2020</v>
      </c>
      <c r="C157" s="761" t="s">
        <v>2344</v>
      </c>
      <c r="D157" s="761" t="s">
        <v>452</v>
      </c>
      <c r="E157" s="761" t="s">
        <v>675</v>
      </c>
      <c r="F157" s="1187">
        <v>0</v>
      </c>
      <c r="G157" s="766"/>
      <c r="H157" s="767"/>
      <c r="I157" s="767"/>
      <c r="J157" s="1187">
        <v>0</v>
      </c>
      <c r="K157" s="1188">
        <v>0</v>
      </c>
    </row>
    <row r="158" spans="1:11" ht="20.399999999999999" x14ac:dyDescent="0.3">
      <c r="A158" s="761" t="s">
        <v>415</v>
      </c>
      <c r="B158" s="765">
        <v>2020</v>
      </c>
      <c r="C158" s="761" t="s">
        <v>2345</v>
      </c>
      <c r="D158" s="761" t="s">
        <v>42</v>
      </c>
      <c r="E158" s="761" t="s">
        <v>676</v>
      </c>
      <c r="F158" s="1187">
        <v>-192189.03</v>
      </c>
      <c r="G158" s="761" t="s">
        <v>631</v>
      </c>
      <c r="H158" s="1187">
        <v>-191196.359375</v>
      </c>
      <c r="I158" s="1187">
        <v>-992.66998291015602</v>
      </c>
      <c r="J158" s="1187">
        <v>-192189.03125</v>
      </c>
      <c r="K158" s="1188">
        <v>-192189.03</v>
      </c>
    </row>
    <row r="159" spans="1:11" ht="20.399999999999999" x14ac:dyDescent="0.3">
      <c r="A159" s="761" t="s">
        <v>415</v>
      </c>
      <c r="B159" s="765">
        <v>2020</v>
      </c>
      <c r="C159" s="761" t="s">
        <v>2345</v>
      </c>
      <c r="D159" s="761" t="s">
        <v>2063</v>
      </c>
      <c r="E159" s="761" t="s">
        <v>676</v>
      </c>
      <c r="F159" s="1187">
        <v>0</v>
      </c>
      <c r="G159" s="766"/>
      <c r="H159" s="767"/>
      <c r="I159" s="767"/>
      <c r="J159" s="1187">
        <v>0</v>
      </c>
      <c r="K159" s="1188">
        <v>0</v>
      </c>
    </row>
    <row r="160" spans="1:11" ht="20.399999999999999" x14ac:dyDescent="0.3">
      <c r="A160" s="761" t="s">
        <v>415</v>
      </c>
      <c r="B160" s="765">
        <v>2020</v>
      </c>
      <c r="C160" s="761" t="s">
        <v>2345</v>
      </c>
      <c r="D160" s="761" t="s">
        <v>2064</v>
      </c>
      <c r="E160" s="761" t="s">
        <v>676</v>
      </c>
      <c r="F160" s="1187">
        <v>0</v>
      </c>
      <c r="G160" s="766"/>
      <c r="H160" s="767"/>
      <c r="I160" s="767"/>
      <c r="J160" s="1187">
        <v>0</v>
      </c>
      <c r="K160" s="1188">
        <v>0</v>
      </c>
    </row>
    <row r="161" spans="1:11" ht="20.399999999999999" x14ac:dyDescent="0.3">
      <c r="A161" s="761" t="s">
        <v>415</v>
      </c>
      <c r="B161" s="765">
        <v>2020</v>
      </c>
      <c r="C161" s="761" t="s">
        <v>2345</v>
      </c>
      <c r="D161" s="761" t="s">
        <v>2065</v>
      </c>
      <c r="E161" s="761" t="s">
        <v>676</v>
      </c>
      <c r="F161" s="1187">
        <v>-951.5</v>
      </c>
      <c r="G161" s="766"/>
      <c r="H161" s="767"/>
      <c r="I161" s="767"/>
      <c r="J161" s="1187">
        <v>0</v>
      </c>
      <c r="K161" s="1188">
        <v>-951.5</v>
      </c>
    </row>
    <row r="162" spans="1:11" ht="20.399999999999999" x14ac:dyDescent="0.3">
      <c r="A162" s="761" t="s">
        <v>415</v>
      </c>
      <c r="B162" s="765">
        <v>2020</v>
      </c>
      <c r="C162" s="761" t="s">
        <v>2345</v>
      </c>
      <c r="D162" s="761" t="s">
        <v>2066</v>
      </c>
      <c r="E162" s="761" t="s">
        <v>676</v>
      </c>
      <c r="F162" s="1187">
        <v>-64150.41</v>
      </c>
      <c r="G162" s="766"/>
      <c r="H162" s="767"/>
      <c r="I162" s="767"/>
      <c r="J162" s="1187">
        <v>0</v>
      </c>
      <c r="K162" s="1188">
        <v>-64150.41</v>
      </c>
    </row>
    <row r="163" spans="1:11" ht="30.6" x14ac:dyDescent="0.3">
      <c r="A163" s="761" t="s">
        <v>415</v>
      </c>
      <c r="B163" s="765">
        <v>2020</v>
      </c>
      <c r="C163" s="761" t="s">
        <v>2346</v>
      </c>
      <c r="D163" s="761" t="s">
        <v>43</v>
      </c>
      <c r="E163" s="761" t="s">
        <v>677</v>
      </c>
      <c r="F163" s="1187">
        <v>377684.39</v>
      </c>
      <c r="G163" s="761" t="s">
        <v>631</v>
      </c>
      <c r="H163" s="1187">
        <v>367154</v>
      </c>
      <c r="I163" s="1187">
        <v>10530.3798828125</v>
      </c>
      <c r="J163" s="1187">
        <v>377684.375</v>
      </c>
      <c r="K163" s="1188">
        <v>377684.39</v>
      </c>
    </row>
    <row r="164" spans="1:11" ht="30.6" x14ac:dyDescent="0.3">
      <c r="A164" s="761" t="s">
        <v>415</v>
      </c>
      <c r="B164" s="765">
        <v>2020</v>
      </c>
      <c r="C164" s="761" t="s">
        <v>2347</v>
      </c>
      <c r="D164" s="761" t="s">
        <v>44</v>
      </c>
      <c r="E164" s="761" t="s">
        <v>678</v>
      </c>
      <c r="F164" s="1187">
        <v>174382.04</v>
      </c>
      <c r="G164" s="761" t="s">
        <v>631</v>
      </c>
      <c r="H164" s="1187">
        <v>165518.71875</v>
      </c>
      <c r="I164" s="1187">
        <v>8863.3203125</v>
      </c>
      <c r="J164" s="1187">
        <v>174382.046875</v>
      </c>
      <c r="K164" s="1188">
        <v>174382.04</v>
      </c>
    </row>
    <row r="165" spans="1:11" ht="30.6" x14ac:dyDescent="0.3">
      <c r="A165" s="761" t="s">
        <v>415</v>
      </c>
      <c r="B165" s="765">
        <v>2020</v>
      </c>
      <c r="C165" s="761" t="s">
        <v>2348</v>
      </c>
      <c r="D165" s="761" t="s">
        <v>46</v>
      </c>
      <c r="E165" s="761" t="s">
        <v>679</v>
      </c>
      <c r="F165" s="1187">
        <v>-295913.58</v>
      </c>
      <c r="G165" s="761" t="s">
        <v>631</v>
      </c>
      <c r="H165" s="1187">
        <v>-299141.625</v>
      </c>
      <c r="I165" s="1187">
        <v>3228.05004882813</v>
      </c>
      <c r="J165" s="1187">
        <v>-295913.59375</v>
      </c>
      <c r="K165" s="1188">
        <v>-295913.58</v>
      </c>
    </row>
    <row r="166" spans="1:11" ht="20.399999999999999" x14ac:dyDescent="0.3">
      <c r="A166" s="761" t="s">
        <v>415</v>
      </c>
      <c r="B166" s="765">
        <v>2020</v>
      </c>
      <c r="C166" s="761" t="s">
        <v>2349</v>
      </c>
      <c r="D166" s="761" t="s">
        <v>339</v>
      </c>
      <c r="E166" s="761" t="s">
        <v>680</v>
      </c>
      <c r="F166" s="1187">
        <v>557559.46</v>
      </c>
      <c r="G166" s="761" t="s">
        <v>631</v>
      </c>
      <c r="H166" s="1187">
        <v>544133.9375</v>
      </c>
      <c r="I166" s="1187">
        <v>13425.5400390625</v>
      </c>
      <c r="J166" s="1187">
        <v>557559.4375</v>
      </c>
      <c r="K166" s="1188">
        <v>557559.46</v>
      </c>
    </row>
    <row r="167" spans="1:11" ht="40.799999999999997" x14ac:dyDescent="0.3">
      <c r="A167" s="761" t="s">
        <v>415</v>
      </c>
      <c r="B167" s="765">
        <v>2020</v>
      </c>
      <c r="C167" s="761" t="s">
        <v>2350</v>
      </c>
      <c r="D167" s="761" t="s">
        <v>633</v>
      </c>
      <c r="E167" s="761" t="s">
        <v>1045</v>
      </c>
      <c r="F167" s="1187">
        <v>0</v>
      </c>
      <c r="G167" s="761" t="s">
        <v>631</v>
      </c>
      <c r="H167" s="767"/>
      <c r="I167" s="767"/>
      <c r="J167" s="1187">
        <v>0</v>
      </c>
      <c r="K167" s="1188">
        <v>0</v>
      </c>
    </row>
    <row r="168" spans="1:11" ht="40.799999999999997" x14ac:dyDescent="0.3">
      <c r="A168" s="761" t="s">
        <v>415</v>
      </c>
      <c r="B168" s="765">
        <v>2020</v>
      </c>
      <c r="C168" s="761" t="s">
        <v>2350</v>
      </c>
      <c r="D168" s="761" t="s">
        <v>634</v>
      </c>
      <c r="E168" s="761" t="s">
        <v>1046</v>
      </c>
      <c r="F168" s="1187">
        <v>0</v>
      </c>
      <c r="G168" s="761" t="s">
        <v>631</v>
      </c>
      <c r="H168" s="767"/>
      <c r="I168" s="767"/>
      <c r="J168" s="1187">
        <v>0</v>
      </c>
      <c r="K168" s="1188">
        <v>0</v>
      </c>
    </row>
    <row r="169" spans="1:11" ht="40.799999999999997" x14ac:dyDescent="0.3">
      <c r="A169" s="761" t="s">
        <v>415</v>
      </c>
      <c r="B169" s="765">
        <v>2020</v>
      </c>
      <c r="C169" s="761" t="s">
        <v>2350</v>
      </c>
      <c r="D169" s="761" t="s">
        <v>635</v>
      </c>
      <c r="E169" s="761" t="s">
        <v>1047</v>
      </c>
      <c r="F169" s="1187">
        <v>0</v>
      </c>
      <c r="G169" s="761" t="s">
        <v>631</v>
      </c>
      <c r="H169" s="767"/>
      <c r="I169" s="767"/>
      <c r="J169" s="1187">
        <v>0</v>
      </c>
      <c r="K169" s="1188">
        <v>0</v>
      </c>
    </row>
    <row r="170" spans="1:11" ht="40.799999999999997" x14ac:dyDescent="0.3">
      <c r="A170" s="761" t="s">
        <v>415</v>
      </c>
      <c r="B170" s="765">
        <v>2020</v>
      </c>
      <c r="C170" s="761" t="s">
        <v>2350</v>
      </c>
      <c r="D170" s="761" t="s">
        <v>636</v>
      </c>
      <c r="E170" s="761" t="s">
        <v>1048</v>
      </c>
      <c r="F170" s="1187">
        <v>0</v>
      </c>
      <c r="G170" s="761" t="s">
        <v>631</v>
      </c>
      <c r="H170" s="767"/>
      <c r="I170" s="767"/>
      <c r="J170" s="1187">
        <v>0</v>
      </c>
      <c r="K170" s="1188">
        <v>0</v>
      </c>
    </row>
    <row r="171" spans="1:11" ht="40.799999999999997" x14ac:dyDescent="0.3">
      <c r="A171" s="761" t="s">
        <v>415</v>
      </c>
      <c r="B171" s="765">
        <v>2020</v>
      </c>
      <c r="C171" s="761" t="s">
        <v>2350</v>
      </c>
      <c r="D171" s="761" t="s">
        <v>637</v>
      </c>
      <c r="E171" s="761" t="s">
        <v>1049</v>
      </c>
      <c r="F171" s="1187">
        <v>0</v>
      </c>
      <c r="G171" s="761" t="s">
        <v>631</v>
      </c>
      <c r="H171" s="767"/>
      <c r="I171" s="767"/>
      <c r="J171" s="1187">
        <v>0</v>
      </c>
      <c r="K171" s="1188">
        <v>0</v>
      </c>
    </row>
    <row r="172" spans="1:11" ht="40.799999999999997" x14ac:dyDescent="0.3">
      <c r="A172" s="761" t="s">
        <v>415</v>
      </c>
      <c r="B172" s="765">
        <v>2020</v>
      </c>
      <c r="C172" s="761" t="s">
        <v>2350</v>
      </c>
      <c r="D172" s="761" t="s">
        <v>638</v>
      </c>
      <c r="E172" s="761" t="s">
        <v>1050</v>
      </c>
      <c r="F172" s="1187">
        <v>0</v>
      </c>
      <c r="G172" s="761" t="s">
        <v>631</v>
      </c>
      <c r="H172" s="767"/>
      <c r="I172" s="767"/>
      <c r="J172" s="1187">
        <v>0</v>
      </c>
      <c r="K172" s="1188">
        <v>0</v>
      </c>
    </row>
    <row r="173" spans="1:11" ht="40.799999999999997" x14ac:dyDescent="0.3">
      <c r="A173" s="761" t="s">
        <v>415</v>
      </c>
      <c r="B173" s="765">
        <v>2020</v>
      </c>
      <c r="C173" s="761" t="s">
        <v>2350</v>
      </c>
      <c r="D173" s="761" t="s">
        <v>639</v>
      </c>
      <c r="E173" s="761" t="s">
        <v>1051</v>
      </c>
      <c r="F173" s="1187">
        <v>0</v>
      </c>
      <c r="G173" s="761" t="s">
        <v>631</v>
      </c>
      <c r="H173" s="767"/>
      <c r="I173" s="767"/>
      <c r="J173" s="1187">
        <v>0</v>
      </c>
      <c r="K173" s="1188">
        <v>0</v>
      </c>
    </row>
    <row r="174" spans="1:11" ht="40.799999999999997" x14ac:dyDescent="0.3">
      <c r="A174" s="761" t="s">
        <v>415</v>
      </c>
      <c r="B174" s="765">
        <v>2020</v>
      </c>
      <c r="C174" s="761" t="s">
        <v>2350</v>
      </c>
      <c r="D174" s="761" t="s">
        <v>1613</v>
      </c>
      <c r="E174" s="761" t="s">
        <v>1959</v>
      </c>
      <c r="F174" s="1187">
        <v>0</v>
      </c>
      <c r="G174" s="761" t="s">
        <v>631</v>
      </c>
      <c r="H174" s="767"/>
      <c r="I174" s="767"/>
      <c r="J174" s="1187">
        <v>0</v>
      </c>
      <c r="K174" s="1188">
        <v>0</v>
      </c>
    </row>
    <row r="175" spans="1:11" ht="40.799999999999997" x14ac:dyDescent="0.3">
      <c r="A175" s="761" t="s">
        <v>415</v>
      </c>
      <c r="B175" s="765">
        <v>2020</v>
      </c>
      <c r="C175" s="761" t="s">
        <v>2350</v>
      </c>
      <c r="D175" s="761" t="s">
        <v>2067</v>
      </c>
      <c r="E175" s="761" t="s">
        <v>2072</v>
      </c>
      <c r="F175" s="1187">
        <v>0</v>
      </c>
      <c r="G175" s="761" t="s">
        <v>631</v>
      </c>
      <c r="H175" s="1187">
        <v>-197244.015625</v>
      </c>
      <c r="I175" s="1187">
        <v>249948.984375</v>
      </c>
      <c r="J175" s="1187">
        <v>52704.96875</v>
      </c>
      <c r="K175" s="1188">
        <v>52704.97</v>
      </c>
    </row>
    <row r="176" spans="1:11" ht="40.799999999999997" x14ac:dyDescent="0.3">
      <c r="A176" s="761" t="s">
        <v>415</v>
      </c>
      <c r="B176" s="765">
        <v>2020</v>
      </c>
      <c r="C176" s="761" t="s">
        <v>2350</v>
      </c>
      <c r="D176" s="761" t="s">
        <v>3762</v>
      </c>
      <c r="E176" s="761" t="s">
        <v>4329</v>
      </c>
      <c r="F176" s="1187">
        <v>0</v>
      </c>
      <c r="G176" s="761" t="s">
        <v>631</v>
      </c>
      <c r="H176" s="1187">
        <v>11219.849609375</v>
      </c>
      <c r="I176" s="1187">
        <v>-1314.32995605469</v>
      </c>
      <c r="J176" s="1187">
        <v>9905.51953125</v>
      </c>
      <c r="K176" s="1188">
        <v>9905.52</v>
      </c>
    </row>
    <row r="177" spans="1:11" ht="40.799999999999997" x14ac:dyDescent="0.3">
      <c r="A177" s="761" t="s">
        <v>415</v>
      </c>
      <c r="B177" s="765">
        <v>2020</v>
      </c>
      <c r="C177" s="761" t="s">
        <v>2350</v>
      </c>
      <c r="D177" s="761" t="s">
        <v>4844</v>
      </c>
      <c r="E177" s="761" t="s">
        <v>5782</v>
      </c>
      <c r="F177" s="1187">
        <v>0</v>
      </c>
      <c r="G177" s="761" t="s">
        <v>631</v>
      </c>
      <c r="H177" s="1187">
        <v>-48667.28125</v>
      </c>
      <c r="I177" s="1187">
        <v>-30155.810546875</v>
      </c>
      <c r="J177" s="1187">
        <v>-78823.09375</v>
      </c>
      <c r="K177" s="1188">
        <v>-78823.09</v>
      </c>
    </row>
    <row r="178" spans="1:11" ht="40.799999999999997" x14ac:dyDescent="0.3">
      <c r="A178" s="761" t="s">
        <v>415</v>
      </c>
      <c r="B178" s="765">
        <v>2020</v>
      </c>
      <c r="C178" s="761" t="s">
        <v>2350</v>
      </c>
      <c r="D178" s="761" t="s">
        <v>7101</v>
      </c>
      <c r="E178" s="761" t="s">
        <v>7107</v>
      </c>
      <c r="F178" s="1187">
        <v>0</v>
      </c>
      <c r="G178" s="761" t="s">
        <v>631</v>
      </c>
      <c r="H178" s="1187">
        <v>9017.58984375</v>
      </c>
      <c r="I178" s="1187">
        <v>-23274.16015625</v>
      </c>
      <c r="J178" s="1187">
        <v>-14256.5703125</v>
      </c>
      <c r="K178" s="1188">
        <v>-14256.57</v>
      </c>
    </row>
    <row r="179" spans="1:11" ht="40.799999999999997" x14ac:dyDescent="0.3">
      <c r="A179" s="761" t="s">
        <v>415</v>
      </c>
      <c r="B179" s="765">
        <v>2020</v>
      </c>
      <c r="C179" s="761" t="s">
        <v>2350</v>
      </c>
      <c r="D179" s="761" t="s">
        <v>640</v>
      </c>
      <c r="E179" s="761" t="s">
        <v>1350</v>
      </c>
      <c r="F179" s="1187">
        <v>-30469.17</v>
      </c>
      <c r="G179" s="766"/>
      <c r="H179" s="767"/>
      <c r="I179" s="767"/>
      <c r="J179" s="1187">
        <v>0</v>
      </c>
      <c r="K179" s="1188">
        <v>-30469.17</v>
      </c>
    </row>
    <row r="180" spans="1:11" x14ac:dyDescent="0.3">
      <c r="A180" s="761" t="s">
        <v>171</v>
      </c>
      <c r="B180" s="765">
        <v>2020</v>
      </c>
      <c r="C180" s="761" t="s">
        <v>2342</v>
      </c>
      <c r="D180" s="761" t="s">
        <v>45</v>
      </c>
      <c r="E180" s="761" t="s">
        <v>681</v>
      </c>
      <c r="F180" s="1187">
        <v>25015.88</v>
      </c>
      <c r="G180" s="761" t="s">
        <v>631</v>
      </c>
      <c r="H180" s="1187">
        <v>24763.919921875</v>
      </c>
      <c r="I180" s="1187">
        <v>251.96000671386699</v>
      </c>
      <c r="J180" s="1187">
        <v>25015.880859375</v>
      </c>
      <c r="K180" s="1188">
        <v>25015.88</v>
      </c>
    </row>
    <row r="181" spans="1:11" ht="30.6" x14ac:dyDescent="0.3">
      <c r="A181" s="761" t="s">
        <v>171</v>
      </c>
      <c r="B181" s="765">
        <v>2020</v>
      </c>
      <c r="C181" s="761" t="s">
        <v>2343</v>
      </c>
      <c r="D181" s="761" t="s">
        <v>632</v>
      </c>
      <c r="E181" s="761" t="s">
        <v>682</v>
      </c>
      <c r="F181" s="1187">
        <v>-7975.39</v>
      </c>
      <c r="G181" s="761" t="s">
        <v>631</v>
      </c>
      <c r="H181" s="1187">
        <v>-7735.08984375</v>
      </c>
      <c r="I181" s="1187">
        <v>-240.30000305175801</v>
      </c>
      <c r="J181" s="1187">
        <v>-7975.39013671875</v>
      </c>
      <c r="K181" s="1188">
        <v>-7975.39</v>
      </c>
    </row>
    <row r="182" spans="1:11" ht="20.399999999999999" x14ac:dyDescent="0.3">
      <c r="A182" s="761" t="s">
        <v>171</v>
      </c>
      <c r="B182" s="765">
        <v>2020</v>
      </c>
      <c r="C182" s="761" t="s">
        <v>2344</v>
      </c>
      <c r="D182" s="761" t="s">
        <v>452</v>
      </c>
      <c r="E182" s="761" t="s">
        <v>683</v>
      </c>
      <c r="F182" s="1187">
        <v>33560.639999999999</v>
      </c>
      <c r="G182" s="766"/>
      <c r="H182" s="767"/>
      <c r="I182" s="767"/>
      <c r="J182" s="1187">
        <v>0</v>
      </c>
      <c r="K182" s="1188">
        <v>33560.639999999999</v>
      </c>
    </row>
    <row r="183" spans="1:11" ht="20.399999999999999" x14ac:dyDescent="0.3">
      <c r="A183" s="761" t="s">
        <v>171</v>
      </c>
      <c r="B183" s="765">
        <v>2020</v>
      </c>
      <c r="C183" s="761" t="s">
        <v>2345</v>
      </c>
      <c r="D183" s="761" t="s">
        <v>42</v>
      </c>
      <c r="E183" s="761" t="s">
        <v>684</v>
      </c>
      <c r="F183" s="1187">
        <v>-34304.370000000003</v>
      </c>
      <c r="G183" s="761" t="s">
        <v>631</v>
      </c>
      <c r="H183" s="1187">
        <v>-33824.66015625</v>
      </c>
      <c r="I183" s="1187">
        <v>-479.70999145507801</v>
      </c>
      <c r="J183" s="1187">
        <v>-34304.37109375</v>
      </c>
      <c r="K183" s="1188">
        <v>-34304.370000000003</v>
      </c>
    </row>
    <row r="184" spans="1:11" ht="20.399999999999999" x14ac:dyDescent="0.3">
      <c r="A184" s="761" t="s">
        <v>171</v>
      </c>
      <c r="B184" s="765">
        <v>2020</v>
      </c>
      <c r="C184" s="761" t="s">
        <v>2345</v>
      </c>
      <c r="D184" s="761" t="s">
        <v>2063</v>
      </c>
      <c r="E184" s="761" t="s">
        <v>684</v>
      </c>
      <c r="F184" s="1187">
        <v>0</v>
      </c>
      <c r="G184" s="766"/>
      <c r="H184" s="767"/>
      <c r="I184" s="767"/>
      <c r="J184" s="1187">
        <v>0</v>
      </c>
      <c r="K184" s="1188">
        <v>0</v>
      </c>
    </row>
    <row r="185" spans="1:11" ht="20.399999999999999" x14ac:dyDescent="0.3">
      <c r="A185" s="761" t="s">
        <v>171</v>
      </c>
      <c r="B185" s="765">
        <v>2020</v>
      </c>
      <c r="C185" s="761" t="s">
        <v>2345</v>
      </c>
      <c r="D185" s="761" t="s">
        <v>2064</v>
      </c>
      <c r="E185" s="761" t="s">
        <v>684</v>
      </c>
      <c r="F185" s="1187">
        <v>0</v>
      </c>
      <c r="G185" s="766"/>
      <c r="H185" s="767"/>
      <c r="I185" s="767"/>
      <c r="J185" s="1187">
        <v>0</v>
      </c>
      <c r="K185" s="1188">
        <v>0</v>
      </c>
    </row>
    <row r="186" spans="1:11" ht="20.399999999999999" x14ac:dyDescent="0.3">
      <c r="A186" s="761" t="s">
        <v>171</v>
      </c>
      <c r="B186" s="765">
        <v>2020</v>
      </c>
      <c r="C186" s="761" t="s">
        <v>2345</v>
      </c>
      <c r="D186" s="761" t="s">
        <v>2065</v>
      </c>
      <c r="E186" s="761" t="s">
        <v>684</v>
      </c>
      <c r="F186" s="1187">
        <v>-42.89</v>
      </c>
      <c r="G186" s="766"/>
      <c r="H186" s="767"/>
      <c r="I186" s="767"/>
      <c r="J186" s="1187">
        <v>0</v>
      </c>
      <c r="K186" s="1188">
        <v>-42.89</v>
      </c>
    </row>
    <row r="187" spans="1:11" ht="20.399999999999999" x14ac:dyDescent="0.3">
      <c r="A187" s="761" t="s">
        <v>171</v>
      </c>
      <c r="B187" s="765">
        <v>2020</v>
      </c>
      <c r="C187" s="761" t="s">
        <v>2345</v>
      </c>
      <c r="D187" s="761" t="s">
        <v>2066</v>
      </c>
      <c r="E187" s="761" t="s">
        <v>684</v>
      </c>
      <c r="F187" s="1187">
        <v>-2510.4299999999998</v>
      </c>
      <c r="G187" s="766"/>
      <c r="H187" s="767"/>
      <c r="I187" s="767"/>
      <c r="J187" s="1187">
        <v>0</v>
      </c>
      <c r="K187" s="1188">
        <v>-2510.4299999999998</v>
      </c>
    </row>
    <row r="188" spans="1:11" ht="30.6" x14ac:dyDescent="0.3">
      <c r="A188" s="761" t="s">
        <v>171</v>
      </c>
      <c r="B188" s="765">
        <v>2020</v>
      </c>
      <c r="C188" s="761" t="s">
        <v>2346</v>
      </c>
      <c r="D188" s="761" t="s">
        <v>43</v>
      </c>
      <c r="E188" s="761" t="s">
        <v>685</v>
      </c>
      <c r="F188" s="1187">
        <v>-35136.639999999999</v>
      </c>
      <c r="G188" s="761" t="s">
        <v>631</v>
      </c>
      <c r="H188" s="1187">
        <v>-34443.5</v>
      </c>
      <c r="I188" s="1187">
        <v>-693.14001464843795</v>
      </c>
      <c r="J188" s="1187">
        <v>-35136.640625</v>
      </c>
      <c r="K188" s="1188">
        <v>-35136.639999999999</v>
      </c>
    </row>
    <row r="189" spans="1:11" ht="30.6" x14ac:dyDescent="0.3">
      <c r="A189" s="761" t="s">
        <v>171</v>
      </c>
      <c r="B189" s="765">
        <v>2020</v>
      </c>
      <c r="C189" s="761" t="s">
        <v>2347</v>
      </c>
      <c r="D189" s="761" t="s">
        <v>44</v>
      </c>
      <c r="E189" s="761" t="s">
        <v>686</v>
      </c>
      <c r="F189" s="1187">
        <v>-10027.83</v>
      </c>
      <c r="G189" s="761" t="s">
        <v>631</v>
      </c>
      <c r="H189" s="1187">
        <v>-9515.599609375</v>
      </c>
      <c r="I189" s="1187">
        <v>-512.22998046875</v>
      </c>
      <c r="J189" s="1187">
        <v>-10027.830078125</v>
      </c>
      <c r="K189" s="1188">
        <v>-10027.83</v>
      </c>
    </row>
    <row r="190" spans="1:11" ht="30.6" x14ac:dyDescent="0.3">
      <c r="A190" s="761" t="s">
        <v>171</v>
      </c>
      <c r="B190" s="765">
        <v>2020</v>
      </c>
      <c r="C190" s="761" t="s">
        <v>2348</v>
      </c>
      <c r="D190" s="761" t="s">
        <v>46</v>
      </c>
      <c r="E190" s="761" t="s">
        <v>687</v>
      </c>
      <c r="F190" s="1187">
        <v>105455.5</v>
      </c>
      <c r="G190" s="761" t="s">
        <v>631</v>
      </c>
      <c r="H190" s="1187">
        <v>105311.2265625</v>
      </c>
      <c r="I190" s="1187">
        <v>144.27000427246099</v>
      </c>
      <c r="J190" s="1187">
        <v>105455.5</v>
      </c>
      <c r="K190" s="1188">
        <v>105455.5</v>
      </c>
    </row>
    <row r="191" spans="1:11" ht="20.399999999999999" x14ac:dyDescent="0.3">
      <c r="A191" s="761" t="s">
        <v>171</v>
      </c>
      <c r="B191" s="765">
        <v>2020</v>
      </c>
      <c r="C191" s="761" t="s">
        <v>2349</v>
      </c>
      <c r="D191" s="761" t="s">
        <v>339</v>
      </c>
      <c r="E191" s="761" t="s">
        <v>688</v>
      </c>
      <c r="F191" s="1187">
        <v>46717.62</v>
      </c>
      <c r="G191" s="761" t="s">
        <v>631</v>
      </c>
      <c r="H191" s="1187">
        <v>44441.08984375</v>
      </c>
      <c r="I191" s="1187">
        <v>2276.53002929688</v>
      </c>
      <c r="J191" s="1187">
        <v>46717.62109375</v>
      </c>
      <c r="K191" s="1188">
        <v>46717.62</v>
      </c>
    </row>
    <row r="192" spans="1:11" ht="40.799999999999997" x14ac:dyDescent="0.3">
      <c r="A192" s="761" t="s">
        <v>171</v>
      </c>
      <c r="B192" s="765">
        <v>2020</v>
      </c>
      <c r="C192" s="761" t="s">
        <v>2350</v>
      </c>
      <c r="D192" s="761" t="s">
        <v>633</v>
      </c>
      <c r="E192" s="761" t="s">
        <v>1052</v>
      </c>
      <c r="F192" s="1187">
        <v>0</v>
      </c>
      <c r="G192" s="761" t="s">
        <v>631</v>
      </c>
      <c r="H192" s="767"/>
      <c r="I192" s="767"/>
      <c r="J192" s="1187">
        <v>0</v>
      </c>
      <c r="K192" s="1188">
        <v>0</v>
      </c>
    </row>
    <row r="193" spans="1:11" ht="40.799999999999997" x14ac:dyDescent="0.3">
      <c r="A193" s="761" t="s">
        <v>171</v>
      </c>
      <c r="B193" s="765">
        <v>2020</v>
      </c>
      <c r="C193" s="761" t="s">
        <v>2350</v>
      </c>
      <c r="D193" s="761" t="s">
        <v>634</v>
      </c>
      <c r="E193" s="761" t="s">
        <v>1053</v>
      </c>
      <c r="F193" s="1187">
        <v>0</v>
      </c>
      <c r="G193" s="761" t="s">
        <v>631</v>
      </c>
      <c r="H193" s="767"/>
      <c r="I193" s="767"/>
      <c r="J193" s="1187">
        <v>0</v>
      </c>
      <c r="K193" s="1188">
        <v>0</v>
      </c>
    </row>
    <row r="194" spans="1:11" ht="40.799999999999997" x14ac:dyDescent="0.3">
      <c r="A194" s="761" t="s">
        <v>171</v>
      </c>
      <c r="B194" s="765">
        <v>2020</v>
      </c>
      <c r="C194" s="761" t="s">
        <v>2350</v>
      </c>
      <c r="D194" s="761" t="s">
        <v>635</v>
      </c>
      <c r="E194" s="761" t="s">
        <v>1054</v>
      </c>
      <c r="F194" s="1187">
        <v>0</v>
      </c>
      <c r="G194" s="761" t="s">
        <v>631</v>
      </c>
      <c r="H194" s="767"/>
      <c r="I194" s="767"/>
      <c r="J194" s="1187">
        <v>0</v>
      </c>
      <c r="K194" s="1188">
        <v>0</v>
      </c>
    </row>
    <row r="195" spans="1:11" ht="40.799999999999997" x14ac:dyDescent="0.3">
      <c r="A195" s="761" t="s">
        <v>171</v>
      </c>
      <c r="B195" s="765">
        <v>2020</v>
      </c>
      <c r="C195" s="761" t="s">
        <v>2350</v>
      </c>
      <c r="D195" s="761" t="s">
        <v>636</v>
      </c>
      <c r="E195" s="761" t="s">
        <v>1055</v>
      </c>
      <c r="F195" s="1187">
        <v>0</v>
      </c>
      <c r="G195" s="761" t="s">
        <v>631</v>
      </c>
      <c r="H195" s="767"/>
      <c r="I195" s="767"/>
      <c r="J195" s="1187">
        <v>0</v>
      </c>
      <c r="K195" s="1188">
        <v>0</v>
      </c>
    </row>
    <row r="196" spans="1:11" ht="40.799999999999997" x14ac:dyDescent="0.3">
      <c r="A196" s="761" t="s">
        <v>171</v>
      </c>
      <c r="B196" s="765">
        <v>2020</v>
      </c>
      <c r="C196" s="761" t="s">
        <v>2350</v>
      </c>
      <c r="D196" s="761" t="s">
        <v>637</v>
      </c>
      <c r="E196" s="761" t="s">
        <v>1056</v>
      </c>
      <c r="F196" s="1187">
        <v>0</v>
      </c>
      <c r="G196" s="761" t="s">
        <v>631</v>
      </c>
      <c r="H196" s="767"/>
      <c r="I196" s="767"/>
      <c r="J196" s="1187">
        <v>0</v>
      </c>
      <c r="K196" s="1188">
        <v>0</v>
      </c>
    </row>
    <row r="197" spans="1:11" ht="40.799999999999997" x14ac:dyDescent="0.3">
      <c r="A197" s="761" t="s">
        <v>171</v>
      </c>
      <c r="B197" s="765">
        <v>2020</v>
      </c>
      <c r="C197" s="761" t="s">
        <v>2350</v>
      </c>
      <c r="D197" s="761" t="s">
        <v>638</v>
      </c>
      <c r="E197" s="761" t="s">
        <v>1057</v>
      </c>
      <c r="F197" s="1187">
        <v>0</v>
      </c>
      <c r="G197" s="761" t="s">
        <v>631</v>
      </c>
      <c r="H197" s="767"/>
      <c r="I197" s="767"/>
      <c r="J197" s="1187">
        <v>0</v>
      </c>
      <c r="K197" s="1188">
        <v>0</v>
      </c>
    </row>
    <row r="198" spans="1:11" ht="40.799999999999997" x14ac:dyDescent="0.3">
      <c r="A198" s="761" t="s">
        <v>171</v>
      </c>
      <c r="B198" s="765">
        <v>2020</v>
      </c>
      <c r="C198" s="761" t="s">
        <v>2350</v>
      </c>
      <c r="D198" s="761" t="s">
        <v>639</v>
      </c>
      <c r="E198" s="761" t="s">
        <v>1058</v>
      </c>
      <c r="F198" s="1187">
        <v>0</v>
      </c>
      <c r="G198" s="761" t="s">
        <v>631</v>
      </c>
      <c r="H198" s="767"/>
      <c r="I198" s="767"/>
      <c r="J198" s="1187">
        <v>0</v>
      </c>
      <c r="K198" s="1188">
        <v>0</v>
      </c>
    </row>
    <row r="199" spans="1:11" ht="40.799999999999997" x14ac:dyDescent="0.3">
      <c r="A199" s="761" t="s">
        <v>171</v>
      </c>
      <c r="B199" s="765">
        <v>2020</v>
      </c>
      <c r="C199" s="761" t="s">
        <v>2350</v>
      </c>
      <c r="D199" s="761" t="s">
        <v>1613</v>
      </c>
      <c r="E199" s="761" t="s">
        <v>1960</v>
      </c>
      <c r="F199" s="1187">
        <v>0</v>
      </c>
      <c r="G199" s="761" t="s">
        <v>631</v>
      </c>
      <c r="H199" s="767"/>
      <c r="I199" s="767"/>
      <c r="J199" s="1187">
        <v>0</v>
      </c>
      <c r="K199" s="1188">
        <v>0</v>
      </c>
    </row>
    <row r="200" spans="1:11" ht="40.799999999999997" x14ac:dyDescent="0.3">
      <c r="A200" s="761" t="s">
        <v>171</v>
      </c>
      <c r="B200" s="765">
        <v>2020</v>
      </c>
      <c r="C200" s="761" t="s">
        <v>2350</v>
      </c>
      <c r="D200" s="761" t="s">
        <v>2067</v>
      </c>
      <c r="E200" s="761" t="s">
        <v>2073</v>
      </c>
      <c r="F200" s="1187">
        <v>0</v>
      </c>
      <c r="G200" s="761" t="s">
        <v>631</v>
      </c>
      <c r="H200" s="767"/>
      <c r="I200" s="767"/>
      <c r="J200" s="1187">
        <v>0</v>
      </c>
      <c r="K200" s="1188">
        <v>0</v>
      </c>
    </row>
    <row r="201" spans="1:11" ht="40.799999999999997" x14ac:dyDescent="0.3">
      <c r="A201" s="761" t="s">
        <v>171</v>
      </c>
      <c r="B201" s="765">
        <v>2020</v>
      </c>
      <c r="C201" s="761" t="s">
        <v>2350</v>
      </c>
      <c r="D201" s="761" t="s">
        <v>3762</v>
      </c>
      <c r="E201" s="761" t="s">
        <v>4330</v>
      </c>
      <c r="F201" s="1187">
        <v>0</v>
      </c>
      <c r="G201" s="761" t="s">
        <v>631</v>
      </c>
      <c r="H201" s="1187">
        <v>-8616.41015625</v>
      </c>
      <c r="I201" s="1187">
        <v>42.959999084472699</v>
      </c>
      <c r="J201" s="1187">
        <v>-8573.4501953125</v>
      </c>
      <c r="K201" s="1188">
        <v>-8573.4500000000007</v>
      </c>
    </row>
    <row r="202" spans="1:11" ht="40.799999999999997" x14ac:dyDescent="0.3">
      <c r="A202" s="761" t="s">
        <v>171</v>
      </c>
      <c r="B202" s="765">
        <v>2020</v>
      </c>
      <c r="C202" s="761" t="s">
        <v>2350</v>
      </c>
      <c r="D202" s="761" t="s">
        <v>4844</v>
      </c>
      <c r="E202" s="761" t="s">
        <v>5783</v>
      </c>
      <c r="F202" s="1187">
        <v>0</v>
      </c>
      <c r="G202" s="761" t="s">
        <v>631</v>
      </c>
      <c r="H202" s="1187">
        <v>82639.0078125</v>
      </c>
      <c r="I202" s="1187">
        <v>8448.2001953125</v>
      </c>
      <c r="J202" s="1187">
        <v>91087.2109375</v>
      </c>
      <c r="K202" s="1188">
        <v>91087.21</v>
      </c>
    </row>
    <row r="203" spans="1:11" ht="40.799999999999997" x14ac:dyDescent="0.3">
      <c r="A203" s="761" t="s">
        <v>171</v>
      </c>
      <c r="B203" s="765">
        <v>2020</v>
      </c>
      <c r="C203" s="761" t="s">
        <v>2350</v>
      </c>
      <c r="D203" s="761" t="s">
        <v>7101</v>
      </c>
      <c r="E203" s="761" t="s">
        <v>7108</v>
      </c>
      <c r="F203" s="1187">
        <v>0</v>
      </c>
      <c r="G203" s="761" t="s">
        <v>631</v>
      </c>
      <c r="H203" s="1187">
        <v>-6617.8798828125</v>
      </c>
      <c r="I203" s="1187">
        <v>2850.8798828125</v>
      </c>
      <c r="J203" s="1187">
        <v>-3767</v>
      </c>
      <c r="K203" s="1188">
        <v>-3767</v>
      </c>
    </row>
    <row r="204" spans="1:11" ht="40.799999999999997" x14ac:dyDescent="0.3">
      <c r="A204" s="761" t="s">
        <v>171</v>
      </c>
      <c r="B204" s="765">
        <v>2020</v>
      </c>
      <c r="C204" s="761" t="s">
        <v>2350</v>
      </c>
      <c r="D204" s="761" t="s">
        <v>640</v>
      </c>
      <c r="E204" s="761" t="s">
        <v>1351</v>
      </c>
      <c r="F204" s="1187">
        <v>78746.759999999995</v>
      </c>
      <c r="G204" s="766"/>
      <c r="H204" s="767"/>
      <c r="I204" s="767"/>
      <c r="J204" s="1187">
        <v>0</v>
      </c>
      <c r="K204" s="1188">
        <v>78746.759999999995</v>
      </c>
    </row>
    <row r="205" spans="1:11" ht="20.399999999999999" x14ac:dyDescent="0.3">
      <c r="A205" s="761" t="s">
        <v>196</v>
      </c>
      <c r="B205" s="765">
        <v>2020</v>
      </c>
      <c r="C205" s="761" t="s">
        <v>2342</v>
      </c>
      <c r="D205" s="761" t="s">
        <v>45</v>
      </c>
      <c r="E205" s="761" t="s">
        <v>689</v>
      </c>
      <c r="F205" s="1187">
        <v>42644.36</v>
      </c>
      <c r="G205" s="761" t="s">
        <v>631</v>
      </c>
      <c r="H205" s="1187">
        <v>41443.80078125</v>
      </c>
      <c r="I205" s="1187">
        <v>1200.56005859375</v>
      </c>
      <c r="J205" s="1187">
        <v>42644.359375</v>
      </c>
      <c r="K205" s="1188">
        <v>42644.36</v>
      </c>
    </row>
    <row r="206" spans="1:11" ht="30.6" x14ac:dyDescent="0.3">
      <c r="A206" s="761" t="s">
        <v>196</v>
      </c>
      <c r="B206" s="765">
        <v>2020</v>
      </c>
      <c r="C206" s="761" t="s">
        <v>2343</v>
      </c>
      <c r="D206" s="761" t="s">
        <v>632</v>
      </c>
      <c r="E206" s="761" t="s">
        <v>690</v>
      </c>
      <c r="F206" s="1187">
        <v>-197.33</v>
      </c>
      <c r="G206" s="761" t="s">
        <v>631</v>
      </c>
      <c r="H206" s="1187">
        <v>-195.63000488281301</v>
      </c>
      <c r="I206" s="1187">
        <v>-1.70000004768372</v>
      </c>
      <c r="J206" s="1187">
        <v>-197.330001831055</v>
      </c>
      <c r="K206" s="1188">
        <v>-197.33</v>
      </c>
    </row>
    <row r="207" spans="1:11" ht="20.399999999999999" x14ac:dyDescent="0.3">
      <c r="A207" s="761" t="s">
        <v>196</v>
      </c>
      <c r="B207" s="765">
        <v>2020</v>
      </c>
      <c r="C207" s="761" t="s">
        <v>2344</v>
      </c>
      <c r="D207" s="761" t="s">
        <v>452</v>
      </c>
      <c r="E207" s="761" t="s">
        <v>691</v>
      </c>
      <c r="F207" s="1187">
        <v>0</v>
      </c>
      <c r="G207" s="766"/>
      <c r="H207" s="767"/>
      <c r="I207" s="767"/>
      <c r="J207" s="1187">
        <v>0</v>
      </c>
      <c r="K207" s="1188">
        <v>0</v>
      </c>
    </row>
    <row r="208" spans="1:11" ht="20.399999999999999" x14ac:dyDescent="0.3">
      <c r="A208" s="761" t="s">
        <v>196</v>
      </c>
      <c r="B208" s="765">
        <v>2020</v>
      </c>
      <c r="C208" s="761" t="s">
        <v>2345</v>
      </c>
      <c r="D208" s="761" t="s">
        <v>42</v>
      </c>
      <c r="E208" s="761" t="s">
        <v>692</v>
      </c>
      <c r="F208" s="1187">
        <v>-13875.16</v>
      </c>
      <c r="G208" s="761" t="s">
        <v>631</v>
      </c>
      <c r="H208" s="1187">
        <v>-13607.9501953125</v>
      </c>
      <c r="I208" s="1187">
        <v>-267.20999145507801</v>
      </c>
      <c r="J208" s="1187">
        <v>-13875.16015625</v>
      </c>
      <c r="K208" s="1188">
        <v>-13875.16</v>
      </c>
    </row>
    <row r="209" spans="1:11" ht="20.399999999999999" x14ac:dyDescent="0.3">
      <c r="A209" s="761" t="s">
        <v>196</v>
      </c>
      <c r="B209" s="765">
        <v>2020</v>
      </c>
      <c r="C209" s="761" t="s">
        <v>2345</v>
      </c>
      <c r="D209" s="761" t="s">
        <v>2063</v>
      </c>
      <c r="E209" s="761" t="s">
        <v>692</v>
      </c>
      <c r="F209" s="1187">
        <v>0</v>
      </c>
      <c r="G209" s="766"/>
      <c r="H209" s="767"/>
      <c r="I209" s="767"/>
      <c r="J209" s="1187">
        <v>0</v>
      </c>
      <c r="K209" s="1188">
        <v>0</v>
      </c>
    </row>
    <row r="210" spans="1:11" ht="20.399999999999999" x14ac:dyDescent="0.3">
      <c r="A210" s="761" t="s">
        <v>196</v>
      </c>
      <c r="B210" s="765">
        <v>2020</v>
      </c>
      <c r="C210" s="761" t="s">
        <v>2345</v>
      </c>
      <c r="D210" s="761" t="s">
        <v>2064</v>
      </c>
      <c r="E210" s="761" t="s">
        <v>692</v>
      </c>
      <c r="F210" s="1187">
        <v>0</v>
      </c>
      <c r="G210" s="766"/>
      <c r="H210" s="767"/>
      <c r="I210" s="767"/>
      <c r="J210" s="1187">
        <v>0</v>
      </c>
      <c r="K210" s="1188">
        <v>0</v>
      </c>
    </row>
    <row r="211" spans="1:11" ht="20.399999999999999" x14ac:dyDescent="0.3">
      <c r="A211" s="761" t="s">
        <v>196</v>
      </c>
      <c r="B211" s="765">
        <v>2020</v>
      </c>
      <c r="C211" s="761" t="s">
        <v>2345</v>
      </c>
      <c r="D211" s="761" t="s">
        <v>2065</v>
      </c>
      <c r="E211" s="761" t="s">
        <v>692</v>
      </c>
      <c r="F211" s="1187">
        <v>-43.43</v>
      </c>
      <c r="G211" s="766"/>
      <c r="H211" s="767"/>
      <c r="I211" s="767"/>
      <c r="J211" s="1187">
        <v>0</v>
      </c>
      <c r="K211" s="1188">
        <v>-43.43</v>
      </c>
    </row>
    <row r="212" spans="1:11" ht="20.399999999999999" x14ac:dyDescent="0.3">
      <c r="A212" s="761" t="s">
        <v>196</v>
      </c>
      <c r="B212" s="765">
        <v>2020</v>
      </c>
      <c r="C212" s="761" t="s">
        <v>2345</v>
      </c>
      <c r="D212" s="761" t="s">
        <v>2066</v>
      </c>
      <c r="E212" s="761" t="s">
        <v>692</v>
      </c>
      <c r="F212" s="1187">
        <v>-2667.44</v>
      </c>
      <c r="G212" s="766"/>
      <c r="H212" s="767"/>
      <c r="I212" s="767"/>
      <c r="J212" s="1187">
        <v>0</v>
      </c>
      <c r="K212" s="1188">
        <v>-2667.44</v>
      </c>
    </row>
    <row r="213" spans="1:11" ht="30.6" x14ac:dyDescent="0.3">
      <c r="A213" s="761" t="s">
        <v>196</v>
      </c>
      <c r="B213" s="765">
        <v>2020</v>
      </c>
      <c r="C213" s="761" t="s">
        <v>2346</v>
      </c>
      <c r="D213" s="761" t="s">
        <v>43</v>
      </c>
      <c r="E213" s="761" t="s">
        <v>693</v>
      </c>
      <c r="F213" s="1187">
        <v>-3788.19</v>
      </c>
      <c r="G213" s="761" t="s">
        <v>631</v>
      </c>
      <c r="H213" s="1187">
        <v>-3599.47998046875</v>
      </c>
      <c r="I213" s="1187">
        <v>-188.71000671386699</v>
      </c>
      <c r="J213" s="1187">
        <v>-3788.18994140625</v>
      </c>
      <c r="K213" s="1188">
        <v>-3788.19</v>
      </c>
    </row>
    <row r="214" spans="1:11" ht="30.6" x14ac:dyDescent="0.3">
      <c r="A214" s="761" t="s">
        <v>196</v>
      </c>
      <c r="B214" s="765">
        <v>2020</v>
      </c>
      <c r="C214" s="761" t="s">
        <v>2347</v>
      </c>
      <c r="D214" s="761" t="s">
        <v>44</v>
      </c>
      <c r="E214" s="761" t="s">
        <v>694</v>
      </c>
      <c r="F214" s="1187">
        <v>8680.6200000000008</v>
      </c>
      <c r="G214" s="761" t="s">
        <v>631</v>
      </c>
      <c r="H214" s="1187">
        <v>8457.1904296875</v>
      </c>
      <c r="I214" s="1187">
        <v>223.42999267578099</v>
      </c>
      <c r="J214" s="1187">
        <v>8680.6201171875</v>
      </c>
      <c r="K214" s="1188">
        <v>8680.6200000000008</v>
      </c>
    </row>
    <row r="215" spans="1:11" ht="30.6" x14ac:dyDescent="0.3">
      <c r="A215" s="761" t="s">
        <v>196</v>
      </c>
      <c r="B215" s="765">
        <v>2020</v>
      </c>
      <c r="C215" s="761" t="s">
        <v>2348</v>
      </c>
      <c r="D215" s="761" t="s">
        <v>46</v>
      </c>
      <c r="E215" s="761" t="s">
        <v>695</v>
      </c>
      <c r="F215" s="1187">
        <v>99617.279999999999</v>
      </c>
      <c r="G215" s="761" t="s">
        <v>631</v>
      </c>
      <c r="H215" s="1187">
        <v>92564.34375</v>
      </c>
      <c r="I215" s="1187">
        <v>7052.93994140625</v>
      </c>
      <c r="J215" s="1187">
        <v>99617.28125</v>
      </c>
      <c r="K215" s="1188">
        <v>99617.279999999999</v>
      </c>
    </row>
    <row r="216" spans="1:11" ht="20.399999999999999" x14ac:dyDescent="0.3">
      <c r="A216" s="761" t="s">
        <v>196</v>
      </c>
      <c r="B216" s="765">
        <v>2020</v>
      </c>
      <c r="C216" s="761" t="s">
        <v>2349</v>
      </c>
      <c r="D216" s="761" t="s">
        <v>339</v>
      </c>
      <c r="E216" s="761" t="s">
        <v>696</v>
      </c>
      <c r="F216" s="1187">
        <v>10321.48</v>
      </c>
      <c r="G216" s="761" t="s">
        <v>631</v>
      </c>
      <c r="H216" s="1187">
        <v>9055.1103515625</v>
      </c>
      <c r="I216" s="1187">
        <v>1266.36999511719</v>
      </c>
      <c r="J216" s="1187">
        <v>10321.48046875</v>
      </c>
      <c r="K216" s="1188">
        <v>10321.48</v>
      </c>
    </row>
    <row r="217" spans="1:11" ht="40.799999999999997" x14ac:dyDescent="0.3">
      <c r="A217" s="761" t="s">
        <v>196</v>
      </c>
      <c r="B217" s="765">
        <v>2020</v>
      </c>
      <c r="C217" s="761" t="s">
        <v>2350</v>
      </c>
      <c r="D217" s="761" t="s">
        <v>633</v>
      </c>
      <c r="E217" s="761" t="s">
        <v>1059</v>
      </c>
      <c r="F217" s="1187">
        <v>0</v>
      </c>
      <c r="G217" s="761" t="s">
        <v>631</v>
      </c>
      <c r="H217" s="767"/>
      <c r="I217" s="767"/>
      <c r="J217" s="1187">
        <v>0</v>
      </c>
      <c r="K217" s="1188">
        <v>0</v>
      </c>
    </row>
    <row r="218" spans="1:11" ht="40.799999999999997" x14ac:dyDescent="0.3">
      <c r="A218" s="761" t="s">
        <v>196</v>
      </c>
      <c r="B218" s="765">
        <v>2020</v>
      </c>
      <c r="C218" s="761" t="s">
        <v>2350</v>
      </c>
      <c r="D218" s="761" t="s">
        <v>634</v>
      </c>
      <c r="E218" s="761" t="s">
        <v>1060</v>
      </c>
      <c r="F218" s="1187">
        <v>0</v>
      </c>
      <c r="G218" s="761" t="s">
        <v>631</v>
      </c>
      <c r="H218" s="767"/>
      <c r="I218" s="767"/>
      <c r="J218" s="1187">
        <v>0</v>
      </c>
      <c r="K218" s="1188">
        <v>0</v>
      </c>
    </row>
    <row r="219" spans="1:11" ht="40.799999999999997" x14ac:dyDescent="0.3">
      <c r="A219" s="761" t="s">
        <v>196</v>
      </c>
      <c r="B219" s="765">
        <v>2020</v>
      </c>
      <c r="C219" s="761" t="s">
        <v>2350</v>
      </c>
      <c r="D219" s="761" t="s">
        <v>635</v>
      </c>
      <c r="E219" s="761" t="s">
        <v>1061</v>
      </c>
      <c r="F219" s="1187">
        <v>0</v>
      </c>
      <c r="G219" s="761" t="s">
        <v>631</v>
      </c>
      <c r="H219" s="767"/>
      <c r="I219" s="767"/>
      <c r="J219" s="1187">
        <v>0</v>
      </c>
      <c r="K219" s="1188">
        <v>0</v>
      </c>
    </row>
    <row r="220" spans="1:11" ht="40.799999999999997" x14ac:dyDescent="0.3">
      <c r="A220" s="761" t="s">
        <v>196</v>
      </c>
      <c r="B220" s="765">
        <v>2020</v>
      </c>
      <c r="C220" s="761" t="s">
        <v>2350</v>
      </c>
      <c r="D220" s="761" t="s">
        <v>636</v>
      </c>
      <c r="E220" s="761" t="s">
        <v>1062</v>
      </c>
      <c r="F220" s="1187">
        <v>0</v>
      </c>
      <c r="G220" s="761" t="s">
        <v>631</v>
      </c>
      <c r="H220" s="767"/>
      <c r="I220" s="767"/>
      <c r="J220" s="1187">
        <v>0</v>
      </c>
      <c r="K220" s="1188">
        <v>0</v>
      </c>
    </row>
    <row r="221" spans="1:11" ht="40.799999999999997" x14ac:dyDescent="0.3">
      <c r="A221" s="761" t="s">
        <v>196</v>
      </c>
      <c r="B221" s="765">
        <v>2020</v>
      </c>
      <c r="C221" s="761" t="s">
        <v>2350</v>
      </c>
      <c r="D221" s="761" t="s">
        <v>637</v>
      </c>
      <c r="E221" s="761" t="s">
        <v>1063</v>
      </c>
      <c r="F221" s="1187">
        <v>0</v>
      </c>
      <c r="G221" s="761" t="s">
        <v>631</v>
      </c>
      <c r="H221" s="767"/>
      <c r="I221" s="767"/>
      <c r="J221" s="1187">
        <v>0</v>
      </c>
      <c r="K221" s="1188">
        <v>0</v>
      </c>
    </row>
    <row r="222" spans="1:11" ht="40.799999999999997" x14ac:dyDescent="0.3">
      <c r="A222" s="761" t="s">
        <v>196</v>
      </c>
      <c r="B222" s="765">
        <v>2020</v>
      </c>
      <c r="C222" s="761" t="s">
        <v>2350</v>
      </c>
      <c r="D222" s="761" t="s">
        <v>638</v>
      </c>
      <c r="E222" s="761" t="s">
        <v>1064</v>
      </c>
      <c r="F222" s="1187">
        <v>0</v>
      </c>
      <c r="G222" s="761" t="s">
        <v>631</v>
      </c>
      <c r="H222" s="767"/>
      <c r="I222" s="767"/>
      <c r="J222" s="1187">
        <v>0</v>
      </c>
      <c r="K222" s="1188">
        <v>0</v>
      </c>
    </row>
    <row r="223" spans="1:11" ht="40.799999999999997" x14ac:dyDescent="0.3">
      <c r="A223" s="761" t="s">
        <v>196</v>
      </c>
      <c r="B223" s="765">
        <v>2020</v>
      </c>
      <c r="C223" s="761" t="s">
        <v>2350</v>
      </c>
      <c r="D223" s="761" t="s">
        <v>639</v>
      </c>
      <c r="E223" s="761" t="s">
        <v>1065</v>
      </c>
      <c r="F223" s="1187">
        <v>0</v>
      </c>
      <c r="G223" s="761" t="s">
        <v>631</v>
      </c>
      <c r="H223" s="767"/>
      <c r="I223" s="767"/>
      <c r="J223" s="1187">
        <v>0</v>
      </c>
      <c r="K223" s="1188">
        <v>0</v>
      </c>
    </row>
    <row r="224" spans="1:11" ht="40.799999999999997" x14ac:dyDescent="0.3">
      <c r="A224" s="761" t="s">
        <v>196</v>
      </c>
      <c r="B224" s="765">
        <v>2020</v>
      </c>
      <c r="C224" s="761" t="s">
        <v>2350</v>
      </c>
      <c r="D224" s="761" t="s">
        <v>1613</v>
      </c>
      <c r="E224" s="761" t="s">
        <v>1961</v>
      </c>
      <c r="F224" s="1187">
        <v>0</v>
      </c>
      <c r="G224" s="761" t="s">
        <v>631</v>
      </c>
      <c r="H224" s="767"/>
      <c r="I224" s="767"/>
      <c r="J224" s="1187">
        <v>0</v>
      </c>
      <c r="K224" s="1188">
        <v>0</v>
      </c>
    </row>
    <row r="225" spans="1:11" ht="40.799999999999997" x14ac:dyDescent="0.3">
      <c r="A225" s="761" t="s">
        <v>196</v>
      </c>
      <c r="B225" s="765">
        <v>2020</v>
      </c>
      <c r="C225" s="761" t="s">
        <v>2350</v>
      </c>
      <c r="D225" s="761" t="s">
        <v>2067</v>
      </c>
      <c r="E225" s="761" t="s">
        <v>2074</v>
      </c>
      <c r="F225" s="1187">
        <v>0</v>
      </c>
      <c r="G225" s="761" t="s">
        <v>631</v>
      </c>
      <c r="H225" s="767"/>
      <c r="I225" s="767"/>
      <c r="J225" s="1187">
        <v>0</v>
      </c>
      <c r="K225" s="1188">
        <v>0</v>
      </c>
    </row>
    <row r="226" spans="1:11" ht="40.799999999999997" x14ac:dyDescent="0.3">
      <c r="A226" s="761" t="s">
        <v>196</v>
      </c>
      <c r="B226" s="765">
        <v>2020</v>
      </c>
      <c r="C226" s="761" t="s">
        <v>2350</v>
      </c>
      <c r="D226" s="761" t="s">
        <v>3762</v>
      </c>
      <c r="E226" s="761" t="s">
        <v>4331</v>
      </c>
      <c r="F226" s="1187">
        <v>0</v>
      </c>
      <c r="G226" s="761" t="s">
        <v>631</v>
      </c>
      <c r="H226" s="767"/>
      <c r="I226" s="767"/>
      <c r="J226" s="1187">
        <v>0</v>
      </c>
      <c r="K226" s="1188">
        <v>0</v>
      </c>
    </row>
    <row r="227" spans="1:11" ht="40.799999999999997" x14ac:dyDescent="0.3">
      <c r="A227" s="761" t="s">
        <v>196</v>
      </c>
      <c r="B227" s="765">
        <v>2020</v>
      </c>
      <c r="C227" s="761" t="s">
        <v>2350</v>
      </c>
      <c r="D227" s="761" t="s">
        <v>4844</v>
      </c>
      <c r="E227" s="761" t="s">
        <v>5784</v>
      </c>
      <c r="F227" s="1187">
        <v>0</v>
      </c>
      <c r="G227" s="761" t="s">
        <v>631</v>
      </c>
      <c r="H227" s="767"/>
      <c r="I227" s="767"/>
      <c r="J227" s="1187">
        <v>0</v>
      </c>
      <c r="K227" s="1188">
        <v>0</v>
      </c>
    </row>
    <row r="228" spans="1:11" ht="40.799999999999997" x14ac:dyDescent="0.3">
      <c r="A228" s="761" t="s">
        <v>196</v>
      </c>
      <c r="B228" s="765">
        <v>2020</v>
      </c>
      <c r="C228" s="761" t="s">
        <v>2350</v>
      </c>
      <c r="D228" s="761" t="s">
        <v>7101</v>
      </c>
      <c r="E228" s="761" t="s">
        <v>7109</v>
      </c>
      <c r="F228" s="1187">
        <v>0</v>
      </c>
      <c r="G228" s="761" t="s">
        <v>631</v>
      </c>
      <c r="H228" s="1187">
        <v>-47935.05078125</v>
      </c>
      <c r="I228" s="1187">
        <v>7032.97998046875</v>
      </c>
      <c r="J228" s="1187">
        <v>-40902.0703125</v>
      </c>
      <c r="K228" s="1188">
        <v>-40902.07</v>
      </c>
    </row>
    <row r="229" spans="1:11" ht="40.799999999999997" x14ac:dyDescent="0.3">
      <c r="A229" s="761" t="s">
        <v>196</v>
      </c>
      <c r="B229" s="765">
        <v>2020</v>
      </c>
      <c r="C229" s="761" t="s">
        <v>2350</v>
      </c>
      <c r="D229" s="761" t="s">
        <v>640</v>
      </c>
      <c r="E229" s="761" t="s">
        <v>1352</v>
      </c>
      <c r="F229" s="1187">
        <v>-40902.07</v>
      </c>
      <c r="G229" s="766"/>
      <c r="H229" s="767"/>
      <c r="I229" s="767"/>
      <c r="J229" s="1187">
        <v>0</v>
      </c>
      <c r="K229" s="1188">
        <v>-40902.07</v>
      </c>
    </row>
    <row r="230" spans="1:11" x14ac:dyDescent="0.3">
      <c r="A230" s="761" t="s">
        <v>172</v>
      </c>
      <c r="B230" s="765">
        <v>2020</v>
      </c>
      <c r="C230" s="761" t="s">
        <v>2342</v>
      </c>
      <c r="D230" s="761" t="s">
        <v>45</v>
      </c>
      <c r="E230" s="761" t="s">
        <v>697</v>
      </c>
      <c r="F230" s="1187">
        <v>42005.16</v>
      </c>
      <c r="G230" s="761" t="s">
        <v>631</v>
      </c>
      <c r="H230" s="1187">
        <v>40376.3984375</v>
      </c>
      <c r="I230" s="1187">
        <v>1628.76000976563</v>
      </c>
      <c r="J230" s="1187">
        <v>42005.16015625</v>
      </c>
      <c r="K230" s="1188">
        <v>42005.16</v>
      </c>
    </row>
    <row r="231" spans="1:11" ht="30.6" x14ac:dyDescent="0.3">
      <c r="A231" s="761" t="s">
        <v>172</v>
      </c>
      <c r="B231" s="765">
        <v>2020</v>
      </c>
      <c r="C231" s="761" t="s">
        <v>2343</v>
      </c>
      <c r="D231" s="761" t="s">
        <v>632</v>
      </c>
      <c r="E231" s="761" t="s">
        <v>698</v>
      </c>
      <c r="F231" s="1187">
        <v>-1707.97</v>
      </c>
      <c r="G231" s="761" t="s">
        <v>631</v>
      </c>
      <c r="H231" s="1187">
        <v>-1673.92004394531</v>
      </c>
      <c r="I231" s="1187">
        <v>-34.049999237060497</v>
      </c>
      <c r="J231" s="1187">
        <v>-1707.96997070313</v>
      </c>
      <c r="K231" s="1188">
        <v>-1707.97</v>
      </c>
    </row>
    <row r="232" spans="1:11" ht="20.399999999999999" x14ac:dyDescent="0.3">
      <c r="A232" s="761" t="s">
        <v>172</v>
      </c>
      <c r="B232" s="765">
        <v>2020</v>
      </c>
      <c r="C232" s="761" t="s">
        <v>2344</v>
      </c>
      <c r="D232" s="761" t="s">
        <v>452</v>
      </c>
      <c r="E232" s="761" t="s">
        <v>699</v>
      </c>
      <c r="F232" s="1187">
        <v>4990.08</v>
      </c>
      <c r="G232" s="766"/>
      <c r="H232" s="767"/>
      <c r="I232" s="767"/>
      <c r="J232" s="1187">
        <v>0</v>
      </c>
      <c r="K232" s="1188">
        <v>4990.08</v>
      </c>
    </row>
    <row r="233" spans="1:11" ht="20.399999999999999" x14ac:dyDescent="0.3">
      <c r="A233" s="761" t="s">
        <v>172</v>
      </c>
      <c r="B233" s="765">
        <v>2020</v>
      </c>
      <c r="C233" s="761" t="s">
        <v>2345</v>
      </c>
      <c r="D233" s="761" t="s">
        <v>42</v>
      </c>
      <c r="E233" s="761" t="s">
        <v>700</v>
      </c>
      <c r="F233" s="1187">
        <v>5137.17</v>
      </c>
      <c r="G233" s="761" t="s">
        <v>631</v>
      </c>
      <c r="H233" s="1187">
        <v>4469.4501953125</v>
      </c>
      <c r="I233" s="1187">
        <v>667.719970703125</v>
      </c>
      <c r="J233" s="1187">
        <v>5137.169921875</v>
      </c>
      <c r="K233" s="1188">
        <v>5137.17</v>
      </c>
    </row>
    <row r="234" spans="1:11" ht="20.399999999999999" x14ac:dyDescent="0.3">
      <c r="A234" s="761" t="s">
        <v>172</v>
      </c>
      <c r="B234" s="765">
        <v>2020</v>
      </c>
      <c r="C234" s="761" t="s">
        <v>2345</v>
      </c>
      <c r="D234" s="761" t="s">
        <v>2063</v>
      </c>
      <c r="E234" s="761" t="s">
        <v>700</v>
      </c>
      <c r="F234" s="1187">
        <v>0</v>
      </c>
      <c r="G234" s="766"/>
      <c r="H234" s="767"/>
      <c r="I234" s="767"/>
      <c r="J234" s="1187">
        <v>0</v>
      </c>
      <c r="K234" s="1188">
        <v>0</v>
      </c>
    </row>
    <row r="235" spans="1:11" ht="20.399999999999999" x14ac:dyDescent="0.3">
      <c r="A235" s="761" t="s">
        <v>172</v>
      </c>
      <c r="B235" s="765">
        <v>2020</v>
      </c>
      <c r="C235" s="761" t="s">
        <v>2345</v>
      </c>
      <c r="D235" s="761" t="s">
        <v>2064</v>
      </c>
      <c r="E235" s="761" t="s">
        <v>700</v>
      </c>
      <c r="F235" s="1187">
        <v>0</v>
      </c>
      <c r="G235" s="766"/>
      <c r="H235" s="767"/>
      <c r="I235" s="767"/>
      <c r="J235" s="1187">
        <v>0</v>
      </c>
      <c r="K235" s="1188">
        <v>0</v>
      </c>
    </row>
    <row r="236" spans="1:11" ht="20.399999999999999" x14ac:dyDescent="0.3">
      <c r="A236" s="761" t="s">
        <v>172</v>
      </c>
      <c r="B236" s="765">
        <v>2020</v>
      </c>
      <c r="C236" s="761" t="s">
        <v>2345</v>
      </c>
      <c r="D236" s="761" t="s">
        <v>2065</v>
      </c>
      <c r="E236" s="761" t="s">
        <v>700</v>
      </c>
      <c r="F236" s="1187">
        <v>360.17</v>
      </c>
      <c r="G236" s="766"/>
      <c r="H236" s="767"/>
      <c r="I236" s="767"/>
      <c r="J236" s="1187">
        <v>0</v>
      </c>
      <c r="K236" s="1188">
        <v>360.17</v>
      </c>
    </row>
    <row r="237" spans="1:11" ht="20.399999999999999" x14ac:dyDescent="0.3">
      <c r="A237" s="761" t="s">
        <v>172</v>
      </c>
      <c r="B237" s="765">
        <v>2020</v>
      </c>
      <c r="C237" s="761" t="s">
        <v>2345</v>
      </c>
      <c r="D237" s="761" t="s">
        <v>2066</v>
      </c>
      <c r="E237" s="761" t="s">
        <v>700</v>
      </c>
      <c r="F237" s="1187">
        <v>8866.6</v>
      </c>
      <c r="G237" s="766"/>
      <c r="H237" s="767"/>
      <c r="I237" s="767"/>
      <c r="J237" s="1187">
        <v>0</v>
      </c>
      <c r="K237" s="1188">
        <v>8866.6</v>
      </c>
    </row>
    <row r="238" spans="1:11" ht="30.6" x14ac:dyDescent="0.3">
      <c r="A238" s="761" t="s">
        <v>172</v>
      </c>
      <c r="B238" s="765">
        <v>2020</v>
      </c>
      <c r="C238" s="761" t="s">
        <v>2346</v>
      </c>
      <c r="D238" s="761" t="s">
        <v>43</v>
      </c>
      <c r="E238" s="761" t="s">
        <v>701</v>
      </c>
      <c r="F238" s="1187">
        <v>-16236.35</v>
      </c>
      <c r="G238" s="761" t="s">
        <v>631</v>
      </c>
      <c r="H238" s="1187">
        <v>-15844.58984375</v>
      </c>
      <c r="I238" s="1187">
        <v>-391.760009765625</v>
      </c>
      <c r="J238" s="1187">
        <v>-16236.349609375</v>
      </c>
      <c r="K238" s="1188">
        <v>-16236.35</v>
      </c>
    </row>
    <row r="239" spans="1:11" ht="30.6" x14ac:dyDescent="0.3">
      <c r="A239" s="761" t="s">
        <v>172</v>
      </c>
      <c r="B239" s="765">
        <v>2020</v>
      </c>
      <c r="C239" s="761" t="s">
        <v>2347</v>
      </c>
      <c r="D239" s="761" t="s">
        <v>44</v>
      </c>
      <c r="E239" s="761" t="s">
        <v>702</v>
      </c>
      <c r="F239" s="1187">
        <v>-1085.9000000000001</v>
      </c>
      <c r="G239" s="761" t="s">
        <v>631</v>
      </c>
      <c r="H239" s="1187">
        <v>-1095.09997558594</v>
      </c>
      <c r="I239" s="1187">
        <v>9.1999998092651403</v>
      </c>
      <c r="J239" s="1187">
        <v>-1085.90002441406</v>
      </c>
      <c r="K239" s="1188">
        <v>-1085.9000000000001</v>
      </c>
    </row>
    <row r="240" spans="1:11" ht="30.6" x14ac:dyDescent="0.3">
      <c r="A240" s="761" t="s">
        <v>172</v>
      </c>
      <c r="B240" s="765">
        <v>2020</v>
      </c>
      <c r="C240" s="761" t="s">
        <v>2348</v>
      </c>
      <c r="D240" s="761" t="s">
        <v>46</v>
      </c>
      <c r="E240" s="761" t="s">
        <v>703</v>
      </c>
      <c r="F240" s="1187">
        <v>-174790.37</v>
      </c>
      <c r="G240" s="761" t="s">
        <v>631</v>
      </c>
      <c r="H240" s="1187">
        <v>-174296.15625</v>
      </c>
      <c r="I240" s="1187">
        <v>-494.22000122070301</v>
      </c>
      <c r="J240" s="1187">
        <v>-174790.375</v>
      </c>
      <c r="K240" s="1188">
        <v>-174790.37</v>
      </c>
    </row>
    <row r="241" spans="1:11" ht="20.399999999999999" x14ac:dyDescent="0.3">
      <c r="A241" s="761" t="s">
        <v>172</v>
      </c>
      <c r="B241" s="765">
        <v>2020</v>
      </c>
      <c r="C241" s="761" t="s">
        <v>2349</v>
      </c>
      <c r="D241" s="761" t="s">
        <v>339</v>
      </c>
      <c r="E241" s="761" t="s">
        <v>704</v>
      </c>
      <c r="F241" s="1187">
        <v>470.84</v>
      </c>
      <c r="G241" s="761" t="s">
        <v>631</v>
      </c>
      <c r="H241" s="1187">
        <v>504.04998779296898</v>
      </c>
      <c r="I241" s="1187">
        <v>-33.209999084472699</v>
      </c>
      <c r="J241" s="1187">
        <v>470.83999633789102</v>
      </c>
      <c r="K241" s="1188">
        <v>470.84</v>
      </c>
    </row>
    <row r="242" spans="1:11" ht="40.799999999999997" x14ac:dyDescent="0.3">
      <c r="A242" s="761" t="s">
        <v>172</v>
      </c>
      <c r="B242" s="765">
        <v>2020</v>
      </c>
      <c r="C242" s="761" t="s">
        <v>2350</v>
      </c>
      <c r="D242" s="761" t="s">
        <v>633</v>
      </c>
      <c r="E242" s="761" t="s">
        <v>1066</v>
      </c>
      <c r="F242" s="1187">
        <v>0</v>
      </c>
      <c r="G242" s="761" t="s">
        <v>631</v>
      </c>
      <c r="H242" s="767"/>
      <c r="I242" s="767"/>
      <c r="J242" s="1187">
        <v>0</v>
      </c>
      <c r="K242" s="1188">
        <v>0</v>
      </c>
    </row>
    <row r="243" spans="1:11" ht="40.799999999999997" x14ac:dyDescent="0.3">
      <c r="A243" s="761" t="s">
        <v>172</v>
      </c>
      <c r="B243" s="765">
        <v>2020</v>
      </c>
      <c r="C243" s="761" t="s">
        <v>2350</v>
      </c>
      <c r="D243" s="761" t="s">
        <v>634</v>
      </c>
      <c r="E243" s="761" t="s">
        <v>1067</v>
      </c>
      <c r="F243" s="1187">
        <v>0</v>
      </c>
      <c r="G243" s="761" t="s">
        <v>631</v>
      </c>
      <c r="H243" s="767"/>
      <c r="I243" s="767"/>
      <c r="J243" s="1187">
        <v>0</v>
      </c>
      <c r="K243" s="1188">
        <v>0</v>
      </c>
    </row>
    <row r="244" spans="1:11" ht="40.799999999999997" x14ac:dyDescent="0.3">
      <c r="A244" s="761" t="s">
        <v>172</v>
      </c>
      <c r="B244" s="765">
        <v>2020</v>
      </c>
      <c r="C244" s="761" t="s">
        <v>2350</v>
      </c>
      <c r="D244" s="761" t="s">
        <v>635</v>
      </c>
      <c r="E244" s="761" t="s">
        <v>1068</v>
      </c>
      <c r="F244" s="1187">
        <v>0</v>
      </c>
      <c r="G244" s="761" t="s">
        <v>631</v>
      </c>
      <c r="H244" s="767"/>
      <c r="I244" s="767"/>
      <c r="J244" s="1187">
        <v>0</v>
      </c>
      <c r="K244" s="1188">
        <v>0</v>
      </c>
    </row>
    <row r="245" spans="1:11" ht="40.799999999999997" x14ac:dyDescent="0.3">
      <c r="A245" s="761" t="s">
        <v>172</v>
      </c>
      <c r="B245" s="765">
        <v>2020</v>
      </c>
      <c r="C245" s="761" t="s">
        <v>2350</v>
      </c>
      <c r="D245" s="761" t="s">
        <v>636</v>
      </c>
      <c r="E245" s="761" t="s">
        <v>1069</v>
      </c>
      <c r="F245" s="1187">
        <v>0</v>
      </c>
      <c r="G245" s="761" t="s">
        <v>631</v>
      </c>
      <c r="H245" s="767"/>
      <c r="I245" s="767"/>
      <c r="J245" s="1187">
        <v>0</v>
      </c>
      <c r="K245" s="1188">
        <v>0</v>
      </c>
    </row>
    <row r="246" spans="1:11" ht="40.799999999999997" x14ac:dyDescent="0.3">
      <c r="A246" s="761" t="s">
        <v>172</v>
      </c>
      <c r="B246" s="765">
        <v>2020</v>
      </c>
      <c r="C246" s="761" t="s">
        <v>2350</v>
      </c>
      <c r="D246" s="761" t="s">
        <v>637</v>
      </c>
      <c r="E246" s="761" t="s">
        <v>1070</v>
      </c>
      <c r="F246" s="1187">
        <v>0</v>
      </c>
      <c r="G246" s="761" t="s">
        <v>631</v>
      </c>
      <c r="H246" s="767"/>
      <c r="I246" s="767"/>
      <c r="J246" s="1187">
        <v>0</v>
      </c>
      <c r="K246" s="1188">
        <v>0</v>
      </c>
    </row>
    <row r="247" spans="1:11" ht="40.799999999999997" x14ac:dyDescent="0.3">
      <c r="A247" s="761" t="s">
        <v>172</v>
      </c>
      <c r="B247" s="765">
        <v>2020</v>
      </c>
      <c r="C247" s="761" t="s">
        <v>2350</v>
      </c>
      <c r="D247" s="761" t="s">
        <v>638</v>
      </c>
      <c r="E247" s="761" t="s">
        <v>1071</v>
      </c>
      <c r="F247" s="1187">
        <v>0</v>
      </c>
      <c r="G247" s="761" t="s">
        <v>631</v>
      </c>
      <c r="H247" s="767"/>
      <c r="I247" s="767"/>
      <c r="J247" s="1187">
        <v>0</v>
      </c>
      <c r="K247" s="1188">
        <v>0</v>
      </c>
    </row>
    <row r="248" spans="1:11" ht="40.799999999999997" x14ac:dyDescent="0.3">
      <c r="A248" s="761" t="s">
        <v>172</v>
      </c>
      <c r="B248" s="765">
        <v>2020</v>
      </c>
      <c r="C248" s="761" t="s">
        <v>2350</v>
      </c>
      <c r="D248" s="761" t="s">
        <v>639</v>
      </c>
      <c r="E248" s="761" t="s">
        <v>1072</v>
      </c>
      <c r="F248" s="1187">
        <v>0</v>
      </c>
      <c r="G248" s="761" t="s">
        <v>631</v>
      </c>
      <c r="H248" s="767"/>
      <c r="I248" s="767"/>
      <c r="J248" s="1187">
        <v>0</v>
      </c>
      <c r="K248" s="1188">
        <v>0</v>
      </c>
    </row>
    <row r="249" spans="1:11" ht="40.799999999999997" x14ac:dyDescent="0.3">
      <c r="A249" s="761" t="s">
        <v>172</v>
      </c>
      <c r="B249" s="765">
        <v>2020</v>
      </c>
      <c r="C249" s="761" t="s">
        <v>2350</v>
      </c>
      <c r="D249" s="761" t="s">
        <v>1613</v>
      </c>
      <c r="E249" s="761" t="s">
        <v>1962</v>
      </c>
      <c r="F249" s="1187">
        <v>0</v>
      </c>
      <c r="G249" s="761" t="s">
        <v>631</v>
      </c>
      <c r="H249" s="767"/>
      <c r="I249" s="767"/>
      <c r="J249" s="1187">
        <v>0</v>
      </c>
      <c r="K249" s="1188">
        <v>0</v>
      </c>
    </row>
    <row r="250" spans="1:11" ht="40.799999999999997" x14ac:dyDescent="0.3">
      <c r="A250" s="761" t="s">
        <v>172</v>
      </c>
      <c r="B250" s="765">
        <v>2020</v>
      </c>
      <c r="C250" s="761" t="s">
        <v>2350</v>
      </c>
      <c r="D250" s="761" t="s">
        <v>2067</v>
      </c>
      <c r="E250" s="761" t="s">
        <v>2075</v>
      </c>
      <c r="F250" s="1187">
        <v>0</v>
      </c>
      <c r="G250" s="761" t="s">
        <v>631</v>
      </c>
      <c r="H250" s="1187">
        <v>186236.703125</v>
      </c>
      <c r="I250" s="1187">
        <v>4389.759765625</v>
      </c>
      <c r="J250" s="1187">
        <v>190626.453125</v>
      </c>
      <c r="K250" s="1188">
        <v>190626.46</v>
      </c>
    </row>
    <row r="251" spans="1:11" ht="40.799999999999997" x14ac:dyDescent="0.3">
      <c r="A251" s="761" t="s">
        <v>172</v>
      </c>
      <c r="B251" s="765">
        <v>2020</v>
      </c>
      <c r="C251" s="761" t="s">
        <v>2350</v>
      </c>
      <c r="D251" s="761" t="s">
        <v>3762</v>
      </c>
      <c r="E251" s="761" t="s">
        <v>4332</v>
      </c>
      <c r="F251" s="1187">
        <v>0</v>
      </c>
      <c r="G251" s="761" t="s">
        <v>631</v>
      </c>
      <c r="H251" s="1187">
        <v>-48209.94140625</v>
      </c>
      <c r="I251" s="767"/>
      <c r="J251" s="1187">
        <v>-48209.94140625</v>
      </c>
      <c r="K251" s="1188">
        <v>-48209.94</v>
      </c>
    </row>
    <row r="252" spans="1:11" ht="40.799999999999997" x14ac:dyDescent="0.3">
      <c r="A252" s="761" t="s">
        <v>172</v>
      </c>
      <c r="B252" s="765">
        <v>2020</v>
      </c>
      <c r="C252" s="761" t="s">
        <v>2350</v>
      </c>
      <c r="D252" s="761" t="s">
        <v>4844</v>
      </c>
      <c r="E252" s="761" t="s">
        <v>5785</v>
      </c>
      <c r="F252" s="1187">
        <v>0</v>
      </c>
      <c r="G252" s="761" t="s">
        <v>631</v>
      </c>
      <c r="H252" s="1187">
        <v>-113727.34375</v>
      </c>
      <c r="I252" s="767"/>
      <c r="J252" s="1187">
        <v>-113727.34375</v>
      </c>
      <c r="K252" s="1188">
        <v>-113727.34</v>
      </c>
    </row>
    <row r="253" spans="1:11" ht="40.799999999999997" x14ac:dyDescent="0.3">
      <c r="A253" s="761" t="s">
        <v>172</v>
      </c>
      <c r="B253" s="765">
        <v>2020</v>
      </c>
      <c r="C253" s="761" t="s">
        <v>2350</v>
      </c>
      <c r="D253" s="761" t="s">
        <v>7101</v>
      </c>
      <c r="E253" s="761" t="s">
        <v>7110</v>
      </c>
      <c r="F253" s="1187">
        <v>0</v>
      </c>
      <c r="G253" s="761" t="s">
        <v>631</v>
      </c>
      <c r="H253" s="767"/>
      <c r="I253" s="767"/>
      <c r="J253" s="1187">
        <v>0</v>
      </c>
      <c r="K253" s="1188">
        <v>0</v>
      </c>
    </row>
    <row r="254" spans="1:11" ht="40.799999999999997" x14ac:dyDescent="0.3">
      <c r="A254" s="761" t="s">
        <v>172</v>
      </c>
      <c r="B254" s="765">
        <v>2020</v>
      </c>
      <c r="C254" s="761" t="s">
        <v>2350</v>
      </c>
      <c r="D254" s="761" t="s">
        <v>640</v>
      </c>
      <c r="E254" s="761" t="s">
        <v>1353</v>
      </c>
      <c r="F254" s="1187">
        <v>28689.18</v>
      </c>
      <c r="G254" s="766"/>
      <c r="H254" s="767"/>
      <c r="I254" s="767"/>
      <c r="J254" s="1187">
        <v>0</v>
      </c>
      <c r="K254" s="1188">
        <v>28689.18</v>
      </c>
    </row>
    <row r="255" spans="1:11" x14ac:dyDescent="0.3">
      <c r="A255" s="761" t="s">
        <v>173</v>
      </c>
      <c r="B255" s="765">
        <v>2020</v>
      </c>
      <c r="C255" s="761" t="s">
        <v>2342</v>
      </c>
      <c r="D255" s="761" t="s">
        <v>45</v>
      </c>
      <c r="E255" s="761" t="s">
        <v>705</v>
      </c>
      <c r="F255" s="1187">
        <v>812168.25</v>
      </c>
      <c r="G255" s="761" t="s">
        <v>631</v>
      </c>
      <c r="H255" s="1187">
        <v>795706</v>
      </c>
      <c r="I255" s="1187">
        <v>16462.279296875</v>
      </c>
      <c r="J255" s="1187">
        <v>812168.25</v>
      </c>
      <c r="K255" s="1188">
        <v>812168.25</v>
      </c>
    </row>
    <row r="256" spans="1:11" ht="30.6" x14ac:dyDescent="0.3">
      <c r="A256" s="761" t="s">
        <v>173</v>
      </c>
      <c r="B256" s="765">
        <v>2020</v>
      </c>
      <c r="C256" s="761" t="s">
        <v>2343</v>
      </c>
      <c r="D256" s="761" t="s">
        <v>632</v>
      </c>
      <c r="E256" s="761" t="s">
        <v>706</v>
      </c>
      <c r="F256" s="1187">
        <v>-9053.61</v>
      </c>
      <c r="G256" s="761" t="s">
        <v>631</v>
      </c>
      <c r="H256" s="1187">
        <v>-8842.5</v>
      </c>
      <c r="I256" s="1187">
        <v>-211.11000061035199</v>
      </c>
      <c r="J256" s="1187">
        <v>-9053.6103515625</v>
      </c>
      <c r="K256" s="1188">
        <v>-9053.61</v>
      </c>
    </row>
    <row r="257" spans="1:11" ht="20.399999999999999" x14ac:dyDescent="0.3">
      <c r="A257" s="761" t="s">
        <v>173</v>
      </c>
      <c r="B257" s="765">
        <v>2020</v>
      </c>
      <c r="C257" s="761" t="s">
        <v>2344</v>
      </c>
      <c r="D257" s="761" t="s">
        <v>452</v>
      </c>
      <c r="E257" s="761" t="s">
        <v>707</v>
      </c>
      <c r="F257" s="1187">
        <v>0</v>
      </c>
      <c r="G257" s="766"/>
      <c r="H257" s="767"/>
      <c r="I257" s="767"/>
      <c r="J257" s="1187">
        <v>0</v>
      </c>
      <c r="K257" s="1188">
        <v>0</v>
      </c>
    </row>
    <row r="258" spans="1:11" ht="20.399999999999999" x14ac:dyDescent="0.3">
      <c r="A258" s="761" t="s">
        <v>173</v>
      </c>
      <c r="B258" s="765">
        <v>2020</v>
      </c>
      <c r="C258" s="761" t="s">
        <v>2345</v>
      </c>
      <c r="D258" s="761" t="s">
        <v>42</v>
      </c>
      <c r="E258" s="761" t="s">
        <v>708</v>
      </c>
      <c r="F258" s="1187">
        <v>-153827.51999999999</v>
      </c>
      <c r="G258" s="761" t="s">
        <v>631</v>
      </c>
      <c r="H258" s="1187">
        <v>-148686.34375</v>
      </c>
      <c r="I258" s="1187">
        <v>-5141.18017578125</v>
      </c>
      <c r="J258" s="1187">
        <v>-153827.515625</v>
      </c>
      <c r="K258" s="1188">
        <v>-153827.51999999999</v>
      </c>
    </row>
    <row r="259" spans="1:11" ht="20.399999999999999" x14ac:dyDescent="0.3">
      <c r="A259" s="761" t="s">
        <v>173</v>
      </c>
      <c r="B259" s="765">
        <v>2020</v>
      </c>
      <c r="C259" s="761" t="s">
        <v>2345</v>
      </c>
      <c r="D259" s="761" t="s">
        <v>2063</v>
      </c>
      <c r="E259" s="761" t="s">
        <v>708</v>
      </c>
      <c r="F259" s="1187">
        <v>0</v>
      </c>
      <c r="G259" s="766"/>
      <c r="H259" s="767"/>
      <c r="I259" s="767"/>
      <c r="J259" s="1187">
        <v>0</v>
      </c>
      <c r="K259" s="1188">
        <v>0</v>
      </c>
    </row>
    <row r="260" spans="1:11" ht="20.399999999999999" x14ac:dyDescent="0.3">
      <c r="A260" s="761" t="s">
        <v>173</v>
      </c>
      <c r="B260" s="765">
        <v>2020</v>
      </c>
      <c r="C260" s="761" t="s">
        <v>2345</v>
      </c>
      <c r="D260" s="761" t="s">
        <v>2064</v>
      </c>
      <c r="E260" s="761" t="s">
        <v>708</v>
      </c>
      <c r="F260" s="1187">
        <v>0</v>
      </c>
      <c r="G260" s="766"/>
      <c r="H260" s="767"/>
      <c r="I260" s="767"/>
      <c r="J260" s="1187">
        <v>0</v>
      </c>
      <c r="K260" s="1188">
        <v>0</v>
      </c>
    </row>
    <row r="261" spans="1:11" ht="20.399999999999999" x14ac:dyDescent="0.3">
      <c r="A261" s="761" t="s">
        <v>173</v>
      </c>
      <c r="B261" s="765">
        <v>2020</v>
      </c>
      <c r="C261" s="761" t="s">
        <v>2345</v>
      </c>
      <c r="D261" s="761" t="s">
        <v>2065</v>
      </c>
      <c r="E261" s="761" t="s">
        <v>708</v>
      </c>
      <c r="F261" s="1187">
        <v>0</v>
      </c>
      <c r="G261" s="766"/>
      <c r="H261" s="767"/>
      <c r="I261" s="767"/>
      <c r="J261" s="1187">
        <v>0</v>
      </c>
      <c r="K261" s="1188">
        <v>0</v>
      </c>
    </row>
    <row r="262" spans="1:11" ht="20.399999999999999" x14ac:dyDescent="0.3">
      <c r="A262" s="761" t="s">
        <v>173</v>
      </c>
      <c r="B262" s="765">
        <v>2020</v>
      </c>
      <c r="C262" s="761" t="s">
        <v>2345</v>
      </c>
      <c r="D262" s="761" t="s">
        <v>2066</v>
      </c>
      <c r="E262" s="761" t="s">
        <v>708</v>
      </c>
      <c r="F262" s="1187">
        <v>0</v>
      </c>
      <c r="G262" s="766"/>
      <c r="H262" s="767"/>
      <c r="I262" s="767"/>
      <c r="J262" s="1187">
        <v>0</v>
      </c>
      <c r="K262" s="1188">
        <v>0</v>
      </c>
    </row>
    <row r="263" spans="1:11" ht="30.6" x14ac:dyDescent="0.3">
      <c r="A263" s="761" t="s">
        <v>173</v>
      </c>
      <c r="B263" s="765">
        <v>2020</v>
      </c>
      <c r="C263" s="761" t="s">
        <v>2346</v>
      </c>
      <c r="D263" s="761" t="s">
        <v>43</v>
      </c>
      <c r="E263" s="761" t="s">
        <v>709</v>
      </c>
      <c r="F263" s="1187">
        <v>-96251.97</v>
      </c>
      <c r="G263" s="761" t="s">
        <v>631</v>
      </c>
      <c r="H263" s="1187">
        <v>-97524.3984375</v>
      </c>
      <c r="I263" s="1187">
        <v>1272.43005371094</v>
      </c>
      <c r="J263" s="1187">
        <v>-96251.96875</v>
      </c>
      <c r="K263" s="1188">
        <v>-96251.97</v>
      </c>
    </row>
    <row r="264" spans="1:11" ht="30.6" x14ac:dyDescent="0.3">
      <c r="A264" s="761" t="s">
        <v>173</v>
      </c>
      <c r="B264" s="765">
        <v>2020</v>
      </c>
      <c r="C264" s="761" t="s">
        <v>2347</v>
      </c>
      <c r="D264" s="761" t="s">
        <v>44</v>
      </c>
      <c r="E264" s="761" t="s">
        <v>710</v>
      </c>
      <c r="F264" s="1187">
        <v>30920.87</v>
      </c>
      <c r="G264" s="761" t="s">
        <v>631</v>
      </c>
      <c r="H264" s="1187">
        <v>29098.220703125</v>
      </c>
      <c r="I264" s="1187">
        <v>1822.65002441406</v>
      </c>
      <c r="J264" s="1187">
        <v>30920.869140625</v>
      </c>
      <c r="K264" s="1188">
        <v>30920.87</v>
      </c>
    </row>
    <row r="265" spans="1:11" ht="30.6" x14ac:dyDescent="0.3">
      <c r="A265" s="761" t="s">
        <v>173</v>
      </c>
      <c r="B265" s="765">
        <v>2020</v>
      </c>
      <c r="C265" s="761" t="s">
        <v>2348</v>
      </c>
      <c r="D265" s="761" t="s">
        <v>46</v>
      </c>
      <c r="E265" s="761" t="s">
        <v>711</v>
      </c>
      <c r="F265" s="1187">
        <v>-3979857.05</v>
      </c>
      <c r="G265" s="761" t="s">
        <v>631</v>
      </c>
      <c r="H265" s="1187">
        <v>-3918997.25</v>
      </c>
      <c r="I265" s="1187">
        <v>-60859.83984375</v>
      </c>
      <c r="J265" s="1187">
        <v>-3979857</v>
      </c>
      <c r="K265" s="1188">
        <v>-3979857.05</v>
      </c>
    </row>
    <row r="266" spans="1:11" ht="20.399999999999999" x14ac:dyDescent="0.3">
      <c r="A266" s="761" t="s">
        <v>173</v>
      </c>
      <c r="B266" s="765">
        <v>2020</v>
      </c>
      <c r="C266" s="761" t="s">
        <v>2349</v>
      </c>
      <c r="D266" s="761" t="s">
        <v>339</v>
      </c>
      <c r="E266" s="761" t="s">
        <v>712</v>
      </c>
      <c r="F266" s="1187">
        <v>-925367.57</v>
      </c>
      <c r="G266" s="761" t="s">
        <v>631</v>
      </c>
      <c r="H266" s="1187">
        <v>-906758.3125</v>
      </c>
      <c r="I266" s="1187">
        <v>-18609.259765625</v>
      </c>
      <c r="J266" s="1187">
        <v>-925367.5625</v>
      </c>
      <c r="K266" s="1188">
        <v>-925367.57</v>
      </c>
    </row>
    <row r="267" spans="1:11" ht="40.799999999999997" x14ac:dyDescent="0.3">
      <c r="A267" s="761" t="s">
        <v>173</v>
      </c>
      <c r="B267" s="765">
        <v>2020</v>
      </c>
      <c r="C267" s="761" t="s">
        <v>2350</v>
      </c>
      <c r="D267" s="761" t="s">
        <v>633</v>
      </c>
      <c r="E267" s="761" t="s">
        <v>1073</v>
      </c>
      <c r="F267" s="1187">
        <v>0</v>
      </c>
      <c r="G267" s="761" t="s">
        <v>631</v>
      </c>
      <c r="H267" s="767"/>
      <c r="I267" s="767"/>
      <c r="J267" s="1187">
        <v>0</v>
      </c>
      <c r="K267" s="1188">
        <v>0</v>
      </c>
    </row>
    <row r="268" spans="1:11" ht="40.799999999999997" x14ac:dyDescent="0.3">
      <c r="A268" s="761" t="s">
        <v>173</v>
      </c>
      <c r="B268" s="765">
        <v>2020</v>
      </c>
      <c r="C268" s="761" t="s">
        <v>2350</v>
      </c>
      <c r="D268" s="761" t="s">
        <v>634</v>
      </c>
      <c r="E268" s="761" t="s">
        <v>1074</v>
      </c>
      <c r="F268" s="1187">
        <v>0</v>
      </c>
      <c r="G268" s="761" t="s">
        <v>631</v>
      </c>
      <c r="H268" s="767"/>
      <c r="I268" s="767"/>
      <c r="J268" s="1187">
        <v>0</v>
      </c>
      <c r="K268" s="1188">
        <v>0</v>
      </c>
    </row>
    <row r="269" spans="1:11" ht="40.799999999999997" x14ac:dyDescent="0.3">
      <c r="A269" s="761" t="s">
        <v>173</v>
      </c>
      <c r="B269" s="765">
        <v>2020</v>
      </c>
      <c r="C269" s="761" t="s">
        <v>2350</v>
      </c>
      <c r="D269" s="761" t="s">
        <v>635</v>
      </c>
      <c r="E269" s="761" t="s">
        <v>1075</v>
      </c>
      <c r="F269" s="1187">
        <v>0</v>
      </c>
      <c r="G269" s="761" t="s">
        <v>631</v>
      </c>
      <c r="H269" s="767"/>
      <c r="I269" s="767"/>
      <c r="J269" s="1187">
        <v>0</v>
      </c>
      <c r="K269" s="1188">
        <v>0</v>
      </c>
    </row>
    <row r="270" spans="1:11" ht="40.799999999999997" x14ac:dyDescent="0.3">
      <c r="A270" s="761" t="s">
        <v>173</v>
      </c>
      <c r="B270" s="765">
        <v>2020</v>
      </c>
      <c r="C270" s="761" t="s">
        <v>2350</v>
      </c>
      <c r="D270" s="761" t="s">
        <v>636</v>
      </c>
      <c r="E270" s="761" t="s">
        <v>1076</v>
      </c>
      <c r="F270" s="1187">
        <v>0</v>
      </c>
      <c r="G270" s="761" t="s">
        <v>631</v>
      </c>
      <c r="H270" s="1187">
        <v>1324616</v>
      </c>
      <c r="I270" s="767"/>
      <c r="J270" s="1187">
        <v>1324616</v>
      </c>
      <c r="K270" s="1188">
        <v>1324616</v>
      </c>
    </row>
    <row r="271" spans="1:11" ht="40.799999999999997" x14ac:dyDescent="0.3">
      <c r="A271" s="761" t="s">
        <v>173</v>
      </c>
      <c r="B271" s="765">
        <v>2020</v>
      </c>
      <c r="C271" s="761" t="s">
        <v>2350</v>
      </c>
      <c r="D271" s="761" t="s">
        <v>637</v>
      </c>
      <c r="E271" s="761" t="s">
        <v>1077</v>
      </c>
      <c r="F271" s="1187">
        <v>0</v>
      </c>
      <c r="G271" s="761" t="s">
        <v>631</v>
      </c>
      <c r="H271" s="767"/>
      <c r="I271" s="767"/>
      <c r="J271" s="1187">
        <v>0</v>
      </c>
      <c r="K271" s="1188">
        <v>0</v>
      </c>
    </row>
    <row r="272" spans="1:11" ht="40.799999999999997" x14ac:dyDescent="0.3">
      <c r="A272" s="761" t="s">
        <v>173</v>
      </c>
      <c r="B272" s="765">
        <v>2020</v>
      </c>
      <c r="C272" s="761" t="s">
        <v>2350</v>
      </c>
      <c r="D272" s="761" t="s">
        <v>638</v>
      </c>
      <c r="E272" s="761" t="s">
        <v>1078</v>
      </c>
      <c r="F272" s="1187">
        <v>0</v>
      </c>
      <c r="G272" s="761" t="s">
        <v>631</v>
      </c>
      <c r="H272" s="767"/>
      <c r="I272" s="767"/>
      <c r="J272" s="1187">
        <v>0</v>
      </c>
      <c r="K272" s="1188">
        <v>0</v>
      </c>
    </row>
    <row r="273" spans="1:11" ht="40.799999999999997" x14ac:dyDescent="0.3">
      <c r="A273" s="761" t="s">
        <v>173</v>
      </c>
      <c r="B273" s="765">
        <v>2020</v>
      </c>
      <c r="C273" s="761" t="s">
        <v>2350</v>
      </c>
      <c r="D273" s="761" t="s">
        <v>639</v>
      </c>
      <c r="E273" s="761" t="s">
        <v>1079</v>
      </c>
      <c r="F273" s="1187">
        <v>0</v>
      </c>
      <c r="G273" s="761" t="s">
        <v>631</v>
      </c>
      <c r="H273" s="767"/>
      <c r="I273" s="767"/>
      <c r="J273" s="1187">
        <v>0</v>
      </c>
      <c r="K273" s="1188">
        <v>0</v>
      </c>
    </row>
    <row r="274" spans="1:11" ht="40.799999999999997" x14ac:dyDescent="0.3">
      <c r="A274" s="761" t="s">
        <v>173</v>
      </c>
      <c r="B274" s="765">
        <v>2020</v>
      </c>
      <c r="C274" s="761" t="s">
        <v>2350</v>
      </c>
      <c r="D274" s="761" t="s">
        <v>1613</v>
      </c>
      <c r="E274" s="761" t="s">
        <v>1963</v>
      </c>
      <c r="F274" s="1187">
        <v>0</v>
      </c>
      <c r="G274" s="761" t="s">
        <v>631</v>
      </c>
      <c r="H274" s="767"/>
      <c r="I274" s="767"/>
      <c r="J274" s="1187">
        <v>0</v>
      </c>
      <c r="K274" s="1188">
        <v>0</v>
      </c>
    </row>
    <row r="275" spans="1:11" ht="40.799999999999997" x14ac:dyDescent="0.3">
      <c r="A275" s="761" t="s">
        <v>173</v>
      </c>
      <c r="B275" s="765">
        <v>2020</v>
      </c>
      <c r="C275" s="761" t="s">
        <v>2350</v>
      </c>
      <c r="D275" s="761" t="s">
        <v>2067</v>
      </c>
      <c r="E275" s="761" t="s">
        <v>2076</v>
      </c>
      <c r="F275" s="1187">
        <v>0</v>
      </c>
      <c r="G275" s="761" t="s">
        <v>631</v>
      </c>
      <c r="H275" s="767"/>
      <c r="I275" s="767"/>
      <c r="J275" s="1187">
        <v>0</v>
      </c>
      <c r="K275" s="1188">
        <v>0</v>
      </c>
    </row>
    <row r="276" spans="1:11" ht="40.799999999999997" x14ac:dyDescent="0.3">
      <c r="A276" s="761" t="s">
        <v>173</v>
      </c>
      <c r="B276" s="765">
        <v>2020</v>
      </c>
      <c r="C276" s="761" t="s">
        <v>2350</v>
      </c>
      <c r="D276" s="761" t="s">
        <v>3762</v>
      </c>
      <c r="E276" s="761" t="s">
        <v>4333</v>
      </c>
      <c r="F276" s="1187">
        <v>0</v>
      </c>
      <c r="G276" s="761" t="s">
        <v>631</v>
      </c>
      <c r="H276" s="1187">
        <v>15864.08984375</v>
      </c>
      <c r="I276" s="767"/>
      <c r="J276" s="1187">
        <v>15864.08984375</v>
      </c>
      <c r="K276" s="1188">
        <v>15864.09</v>
      </c>
    </row>
    <row r="277" spans="1:11" ht="40.799999999999997" x14ac:dyDescent="0.3">
      <c r="A277" s="761" t="s">
        <v>173</v>
      </c>
      <c r="B277" s="765">
        <v>2020</v>
      </c>
      <c r="C277" s="761" t="s">
        <v>2350</v>
      </c>
      <c r="D277" s="761" t="s">
        <v>4844</v>
      </c>
      <c r="E277" s="761" t="s">
        <v>5786</v>
      </c>
      <c r="F277" s="1187">
        <v>0</v>
      </c>
      <c r="G277" s="761" t="s">
        <v>631</v>
      </c>
      <c r="H277" s="1187">
        <v>-202619.453125</v>
      </c>
      <c r="I277" s="767"/>
      <c r="J277" s="1187">
        <v>-202619.453125</v>
      </c>
      <c r="K277" s="1188">
        <v>-202619.45</v>
      </c>
    </row>
    <row r="278" spans="1:11" ht="40.799999999999997" x14ac:dyDescent="0.3">
      <c r="A278" s="761" t="s">
        <v>173</v>
      </c>
      <c r="B278" s="765">
        <v>2020</v>
      </c>
      <c r="C278" s="761" t="s">
        <v>2350</v>
      </c>
      <c r="D278" s="761" t="s">
        <v>7101</v>
      </c>
      <c r="E278" s="761" t="s">
        <v>7111</v>
      </c>
      <c r="F278" s="1187">
        <v>0</v>
      </c>
      <c r="G278" s="761" t="s">
        <v>631</v>
      </c>
      <c r="H278" s="1187">
        <v>280116.15625</v>
      </c>
      <c r="I278" s="767"/>
      <c r="J278" s="1187">
        <v>280116.15625</v>
      </c>
      <c r="K278" s="1188">
        <v>280116.17</v>
      </c>
    </row>
    <row r="279" spans="1:11" ht="40.799999999999997" x14ac:dyDescent="0.3">
      <c r="A279" s="761" t="s">
        <v>173</v>
      </c>
      <c r="B279" s="765">
        <v>2020</v>
      </c>
      <c r="C279" s="761" t="s">
        <v>2350</v>
      </c>
      <c r="D279" s="761" t="s">
        <v>640</v>
      </c>
      <c r="E279" s="761" t="s">
        <v>1354</v>
      </c>
      <c r="F279" s="1187">
        <v>1417976.81</v>
      </c>
      <c r="G279" s="766"/>
      <c r="H279" s="767"/>
      <c r="I279" s="767"/>
      <c r="J279" s="1187">
        <v>0</v>
      </c>
      <c r="K279" s="1188">
        <v>1417976.81</v>
      </c>
    </row>
    <row r="280" spans="1:11" x14ac:dyDescent="0.3">
      <c r="A280" s="761" t="s">
        <v>5684</v>
      </c>
      <c r="B280" s="765">
        <v>2020</v>
      </c>
      <c r="C280" s="761" t="s">
        <v>2342</v>
      </c>
      <c r="D280" s="761" t="s">
        <v>45</v>
      </c>
      <c r="E280" s="761" t="s">
        <v>7281</v>
      </c>
      <c r="F280" s="1187">
        <v>2725325.42</v>
      </c>
      <c r="G280" s="761" t="s">
        <v>631</v>
      </c>
      <c r="H280" s="1187">
        <v>2673452</v>
      </c>
      <c r="I280" s="1187">
        <v>51873.5</v>
      </c>
      <c r="J280" s="1187">
        <v>2725325.5</v>
      </c>
      <c r="K280" s="1188">
        <v>2725325.42</v>
      </c>
    </row>
    <row r="281" spans="1:11" ht="30.6" x14ac:dyDescent="0.3">
      <c r="A281" s="761" t="s">
        <v>5684</v>
      </c>
      <c r="B281" s="765">
        <v>2020</v>
      </c>
      <c r="C281" s="761" t="s">
        <v>2343</v>
      </c>
      <c r="D281" s="761" t="s">
        <v>632</v>
      </c>
      <c r="E281" s="761" t="s">
        <v>7282</v>
      </c>
      <c r="F281" s="1187">
        <v>-277972.98</v>
      </c>
      <c r="G281" s="761" t="s">
        <v>631</v>
      </c>
      <c r="H281" s="1187">
        <v>-271813</v>
      </c>
      <c r="I281" s="1187">
        <v>-6159.97021484375</v>
      </c>
      <c r="J281" s="1187">
        <v>-277972.96875</v>
      </c>
      <c r="K281" s="1188">
        <v>-277972.98</v>
      </c>
    </row>
    <row r="282" spans="1:11" ht="20.399999999999999" x14ac:dyDescent="0.3">
      <c r="A282" s="761" t="s">
        <v>5684</v>
      </c>
      <c r="B282" s="765">
        <v>2020</v>
      </c>
      <c r="C282" s="761" t="s">
        <v>2344</v>
      </c>
      <c r="D282" s="761" t="s">
        <v>452</v>
      </c>
      <c r="E282" s="761" t="s">
        <v>7283</v>
      </c>
      <c r="F282" s="1187">
        <v>2196336.92</v>
      </c>
      <c r="G282" s="766"/>
      <c r="H282" s="767"/>
      <c r="I282" s="767"/>
      <c r="J282" s="1187">
        <v>0</v>
      </c>
      <c r="K282" s="1188">
        <v>2196336.92</v>
      </c>
    </row>
    <row r="283" spans="1:11" ht="20.399999999999999" x14ac:dyDescent="0.3">
      <c r="A283" s="761" t="s">
        <v>5684</v>
      </c>
      <c r="B283" s="765">
        <v>2020</v>
      </c>
      <c r="C283" s="761" t="s">
        <v>2345</v>
      </c>
      <c r="D283" s="761" t="s">
        <v>42</v>
      </c>
      <c r="E283" s="761" t="s">
        <v>7284</v>
      </c>
      <c r="F283" s="1187">
        <v>-2604588.81</v>
      </c>
      <c r="G283" s="761" t="s">
        <v>631</v>
      </c>
      <c r="H283" s="1187">
        <v>-2532310</v>
      </c>
      <c r="I283" s="1187">
        <v>-72278.7265625</v>
      </c>
      <c r="J283" s="1187">
        <v>-2604588.75</v>
      </c>
      <c r="K283" s="1188">
        <v>-2604588.81</v>
      </c>
    </row>
    <row r="284" spans="1:11" ht="20.399999999999999" x14ac:dyDescent="0.3">
      <c r="A284" s="761" t="s">
        <v>5684</v>
      </c>
      <c r="B284" s="765">
        <v>2020</v>
      </c>
      <c r="C284" s="761" t="s">
        <v>2345</v>
      </c>
      <c r="D284" s="761" t="s">
        <v>2063</v>
      </c>
      <c r="E284" s="761" t="s">
        <v>7284</v>
      </c>
      <c r="F284" s="1187">
        <v>0</v>
      </c>
      <c r="G284" s="766"/>
      <c r="H284" s="767"/>
      <c r="I284" s="767"/>
      <c r="J284" s="1187">
        <v>0</v>
      </c>
      <c r="K284" s="1188">
        <v>0</v>
      </c>
    </row>
    <row r="285" spans="1:11" ht="20.399999999999999" x14ac:dyDescent="0.3">
      <c r="A285" s="761" t="s">
        <v>5684</v>
      </c>
      <c r="B285" s="765">
        <v>2020</v>
      </c>
      <c r="C285" s="761" t="s">
        <v>2345</v>
      </c>
      <c r="D285" s="761" t="s">
        <v>2064</v>
      </c>
      <c r="E285" s="761" t="s">
        <v>7284</v>
      </c>
      <c r="F285" s="1187">
        <v>0.28999999999999998</v>
      </c>
      <c r="G285" s="766"/>
      <c r="H285" s="767"/>
      <c r="I285" s="767"/>
      <c r="J285" s="1187">
        <v>0</v>
      </c>
      <c r="K285" s="1188">
        <v>0.28999999999999998</v>
      </c>
    </row>
    <row r="286" spans="1:11" ht="20.399999999999999" x14ac:dyDescent="0.3">
      <c r="A286" s="761" t="s">
        <v>5684</v>
      </c>
      <c r="B286" s="765">
        <v>2020</v>
      </c>
      <c r="C286" s="761" t="s">
        <v>2345</v>
      </c>
      <c r="D286" s="761" t="s">
        <v>2065</v>
      </c>
      <c r="E286" s="761" t="s">
        <v>7284</v>
      </c>
      <c r="F286" s="1187">
        <v>-8167.63</v>
      </c>
      <c r="G286" s="766"/>
      <c r="H286" s="767"/>
      <c r="I286" s="767"/>
      <c r="J286" s="1187">
        <v>0</v>
      </c>
      <c r="K286" s="1188">
        <v>-8167.63</v>
      </c>
    </row>
    <row r="287" spans="1:11" ht="20.399999999999999" x14ac:dyDescent="0.3">
      <c r="A287" s="761" t="s">
        <v>5684</v>
      </c>
      <c r="B287" s="765">
        <v>2020</v>
      </c>
      <c r="C287" s="761" t="s">
        <v>2345</v>
      </c>
      <c r="D287" s="761" t="s">
        <v>2066</v>
      </c>
      <c r="E287" s="761" t="s">
        <v>7284</v>
      </c>
      <c r="F287" s="1187">
        <v>-399294.7</v>
      </c>
      <c r="G287" s="766"/>
      <c r="H287" s="767"/>
      <c r="I287" s="767"/>
      <c r="J287" s="1187">
        <v>0</v>
      </c>
      <c r="K287" s="1188">
        <v>-399294.7</v>
      </c>
    </row>
    <row r="288" spans="1:11" ht="30.6" x14ac:dyDescent="0.3">
      <c r="A288" s="761" t="s">
        <v>5684</v>
      </c>
      <c r="B288" s="765">
        <v>2020</v>
      </c>
      <c r="C288" s="761" t="s">
        <v>2346</v>
      </c>
      <c r="D288" s="761" t="s">
        <v>43</v>
      </c>
      <c r="E288" s="761" t="s">
        <v>7285</v>
      </c>
      <c r="F288" s="1187">
        <v>832715.85</v>
      </c>
      <c r="G288" s="761" t="s">
        <v>631</v>
      </c>
      <c r="H288" s="1187">
        <v>832884.875</v>
      </c>
      <c r="I288" s="1187">
        <v>-169.02999877929699</v>
      </c>
      <c r="J288" s="1187">
        <v>832715.875</v>
      </c>
      <c r="K288" s="1188">
        <v>832715.85</v>
      </c>
    </row>
    <row r="289" spans="1:11" ht="30.6" x14ac:dyDescent="0.3">
      <c r="A289" s="761" t="s">
        <v>5684</v>
      </c>
      <c r="B289" s="765">
        <v>2020</v>
      </c>
      <c r="C289" s="761" t="s">
        <v>2347</v>
      </c>
      <c r="D289" s="761" t="s">
        <v>44</v>
      </c>
      <c r="E289" s="761" t="s">
        <v>7286</v>
      </c>
      <c r="F289" s="1187">
        <v>1065965.23</v>
      </c>
      <c r="G289" s="761" t="s">
        <v>631</v>
      </c>
      <c r="H289" s="1187">
        <v>1048748.375</v>
      </c>
      <c r="I289" s="1187">
        <v>17216.849609375</v>
      </c>
      <c r="J289" s="1187">
        <v>1065965.25</v>
      </c>
      <c r="K289" s="1188">
        <v>1065965.23</v>
      </c>
    </row>
    <row r="290" spans="1:11" ht="30.6" x14ac:dyDescent="0.3">
      <c r="A290" s="761" t="s">
        <v>5684</v>
      </c>
      <c r="B290" s="765">
        <v>2020</v>
      </c>
      <c r="C290" s="761" t="s">
        <v>2348</v>
      </c>
      <c r="D290" s="761" t="s">
        <v>46</v>
      </c>
      <c r="E290" s="761" t="s">
        <v>7287</v>
      </c>
      <c r="F290" s="1187">
        <v>-270760.44</v>
      </c>
      <c r="G290" s="761" t="s">
        <v>631</v>
      </c>
      <c r="H290" s="1187">
        <v>-226175.703125</v>
      </c>
      <c r="I290" s="1187">
        <v>-44584.73828125</v>
      </c>
      <c r="J290" s="1187">
        <v>-270760.4375</v>
      </c>
      <c r="K290" s="1188">
        <v>-270760.44</v>
      </c>
    </row>
    <row r="291" spans="1:11" ht="20.399999999999999" x14ac:dyDescent="0.3">
      <c r="A291" s="761" t="s">
        <v>5684</v>
      </c>
      <c r="B291" s="765">
        <v>2020</v>
      </c>
      <c r="C291" s="761" t="s">
        <v>2349</v>
      </c>
      <c r="D291" s="761" t="s">
        <v>339</v>
      </c>
      <c r="E291" s="761" t="s">
        <v>7288</v>
      </c>
      <c r="F291" s="1187">
        <v>1898425.81</v>
      </c>
      <c r="G291" s="761" t="s">
        <v>631</v>
      </c>
      <c r="H291" s="1187">
        <v>1838410.75</v>
      </c>
      <c r="I291" s="1187">
        <v>60015.109375</v>
      </c>
      <c r="J291" s="1187">
        <v>1898425.75</v>
      </c>
      <c r="K291" s="1188">
        <v>1898425.81</v>
      </c>
    </row>
    <row r="292" spans="1:11" ht="40.799999999999997" x14ac:dyDescent="0.3">
      <c r="A292" s="761" t="s">
        <v>5684</v>
      </c>
      <c r="B292" s="765">
        <v>2020</v>
      </c>
      <c r="C292" s="761" t="s">
        <v>2350</v>
      </c>
      <c r="D292" s="761" t="s">
        <v>633</v>
      </c>
      <c r="E292" s="761" t="s">
        <v>7289</v>
      </c>
      <c r="F292" s="1187">
        <v>0</v>
      </c>
      <c r="G292" s="761" t="s">
        <v>631</v>
      </c>
      <c r="H292" s="767"/>
      <c r="I292" s="767"/>
      <c r="J292" s="1187">
        <v>0</v>
      </c>
      <c r="K292" s="1188">
        <v>0</v>
      </c>
    </row>
    <row r="293" spans="1:11" ht="40.799999999999997" x14ac:dyDescent="0.3">
      <c r="A293" s="761" t="s">
        <v>5684</v>
      </c>
      <c r="B293" s="765">
        <v>2020</v>
      </c>
      <c r="C293" s="761" t="s">
        <v>2350</v>
      </c>
      <c r="D293" s="761" t="s">
        <v>634</v>
      </c>
      <c r="E293" s="761" t="s">
        <v>7290</v>
      </c>
      <c r="F293" s="1187">
        <v>0</v>
      </c>
      <c r="G293" s="761" t="s">
        <v>631</v>
      </c>
      <c r="H293" s="767"/>
      <c r="I293" s="767"/>
      <c r="J293" s="1187">
        <v>0</v>
      </c>
      <c r="K293" s="1188">
        <v>0</v>
      </c>
    </row>
    <row r="294" spans="1:11" ht="40.799999999999997" x14ac:dyDescent="0.3">
      <c r="A294" s="761" t="s">
        <v>5684</v>
      </c>
      <c r="B294" s="765">
        <v>2020</v>
      </c>
      <c r="C294" s="761" t="s">
        <v>2350</v>
      </c>
      <c r="D294" s="761" t="s">
        <v>635</v>
      </c>
      <c r="E294" s="761" t="s">
        <v>7291</v>
      </c>
      <c r="F294" s="1187">
        <v>0</v>
      </c>
      <c r="G294" s="761" t="s">
        <v>631</v>
      </c>
      <c r="H294" s="767"/>
      <c r="I294" s="767"/>
      <c r="J294" s="1187">
        <v>0</v>
      </c>
      <c r="K294" s="1188">
        <v>0</v>
      </c>
    </row>
    <row r="295" spans="1:11" ht="40.799999999999997" x14ac:dyDescent="0.3">
      <c r="A295" s="761" t="s">
        <v>5684</v>
      </c>
      <c r="B295" s="765">
        <v>2020</v>
      </c>
      <c r="C295" s="761" t="s">
        <v>2350</v>
      </c>
      <c r="D295" s="761" t="s">
        <v>636</v>
      </c>
      <c r="E295" s="761" t="s">
        <v>7292</v>
      </c>
      <c r="F295" s="1187">
        <v>0</v>
      </c>
      <c r="G295" s="761" t="s">
        <v>631</v>
      </c>
      <c r="H295" s="767"/>
      <c r="I295" s="767"/>
      <c r="J295" s="1187">
        <v>0</v>
      </c>
      <c r="K295" s="1188">
        <v>0</v>
      </c>
    </row>
    <row r="296" spans="1:11" ht="40.799999999999997" x14ac:dyDescent="0.3">
      <c r="A296" s="761" t="s">
        <v>5684</v>
      </c>
      <c r="B296" s="765">
        <v>2020</v>
      </c>
      <c r="C296" s="761" t="s">
        <v>2350</v>
      </c>
      <c r="D296" s="761" t="s">
        <v>637</v>
      </c>
      <c r="E296" s="761" t="s">
        <v>7293</v>
      </c>
      <c r="F296" s="1187">
        <v>0</v>
      </c>
      <c r="G296" s="761" t="s">
        <v>631</v>
      </c>
      <c r="H296" s="767"/>
      <c r="I296" s="767"/>
      <c r="J296" s="1187">
        <v>0</v>
      </c>
      <c r="K296" s="1188">
        <v>0</v>
      </c>
    </row>
    <row r="297" spans="1:11" ht="40.799999999999997" x14ac:dyDescent="0.3">
      <c r="A297" s="761" t="s">
        <v>5684</v>
      </c>
      <c r="B297" s="765">
        <v>2020</v>
      </c>
      <c r="C297" s="761" t="s">
        <v>2350</v>
      </c>
      <c r="D297" s="761" t="s">
        <v>638</v>
      </c>
      <c r="E297" s="761" t="s">
        <v>7294</v>
      </c>
      <c r="F297" s="1187">
        <v>0</v>
      </c>
      <c r="G297" s="761" t="s">
        <v>631</v>
      </c>
      <c r="H297" s="767"/>
      <c r="I297" s="767"/>
      <c r="J297" s="1187">
        <v>0</v>
      </c>
      <c r="K297" s="1188">
        <v>0</v>
      </c>
    </row>
    <row r="298" spans="1:11" ht="40.799999999999997" x14ac:dyDescent="0.3">
      <c r="A298" s="761" t="s">
        <v>5684</v>
      </c>
      <c r="B298" s="765">
        <v>2020</v>
      </c>
      <c r="C298" s="761" t="s">
        <v>2350</v>
      </c>
      <c r="D298" s="761" t="s">
        <v>639</v>
      </c>
      <c r="E298" s="761" t="s">
        <v>7295</v>
      </c>
      <c r="F298" s="1187">
        <v>0</v>
      </c>
      <c r="G298" s="761" t="s">
        <v>631</v>
      </c>
      <c r="H298" s="767"/>
      <c r="I298" s="767"/>
      <c r="J298" s="1187">
        <v>0</v>
      </c>
      <c r="K298" s="1188">
        <v>0</v>
      </c>
    </row>
    <row r="299" spans="1:11" ht="40.799999999999997" x14ac:dyDescent="0.3">
      <c r="A299" s="761" t="s">
        <v>5684</v>
      </c>
      <c r="B299" s="765">
        <v>2020</v>
      </c>
      <c r="C299" s="761" t="s">
        <v>2350</v>
      </c>
      <c r="D299" s="761" t="s">
        <v>1613</v>
      </c>
      <c r="E299" s="761" t="s">
        <v>7296</v>
      </c>
      <c r="F299" s="1187">
        <v>0</v>
      </c>
      <c r="G299" s="761" t="s">
        <v>631</v>
      </c>
      <c r="H299" s="767"/>
      <c r="I299" s="767"/>
      <c r="J299" s="1187">
        <v>0</v>
      </c>
      <c r="K299" s="1188">
        <v>0</v>
      </c>
    </row>
    <row r="300" spans="1:11" ht="40.799999999999997" x14ac:dyDescent="0.3">
      <c r="A300" s="761" t="s">
        <v>5684</v>
      </c>
      <c r="B300" s="765">
        <v>2020</v>
      </c>
      <c r="C300" s="761" t="s">
        <v>2350</v>
      </c>
      <c r="D300" s="761" t="s">
        <v>2067</v>
      </c>
      <c r="E300" s="761" t="s">
        <v>7297</v>
      </c>
      <c r="F300" s="1187">
        <v>0</v>
      </c>
      <c r="G300" s="761" t="s">
        <v>631</v>
      </c>
      <c r="H300" s="1187">
        <v>-23350.009765625</v>
      </c>
      <c r="I300" s="1187">
        <v>19488.060546875</v>
      </c>
      <c r="J300" s="1187">
        <v>-3861.94995117188</v>
      </c>
      <c r="K300" s="1188">
        <v>-3861.95</v>
      </c>
    </row>
    <row r="301" spans="1:11" ht="40.799999999999997" x14ac:dyDescent="0.3">
      <c r="A301" s="761" t="s">
        <v>5684</v>
      </c>
      <c r="B301" s="765">
        <v>2020</v>
      </c>
      <c r="C301" s="761" t="s">
        <v>2350</v>
      </c>
      <c r="D301" s="761" t="s">
        <v>3762</v>
      </c>
      <c r="E301" s="761" t="s">
        <v>7298</v>
      </c>
      <c r="F301" s="1187">
        <v>0</v>
      </c>
      <c r="G301" s="761" t="s">
        <v>631</v>
      </c>
      <c r="H301" s="1187">
        <v>-204810.09375</v>
      </c>
      <c r="I301" s="1187">
        <v>-139664.65625</v>
      </c>
      <c r="J301" s="1187">
        <v>-344474.75</v>
      </c>
      <c r="K301" s="1188">
        <v>-344474.74</v>
      </c>
    </row>
    <row r="302" spans="1:11" ht="40.799999999999997" x14ac:dyDescent="0.3">
      <c r="A302" s="761" t="s">
        <v>5684</v>
      </c>
      <c r="B302" s="765">
        <v>2020</v>
      </c>
      <c r="C302" s="761" t="s">
        <v>2350</v>
      </c>
      <c r="D302" s="761" t="s">
        <v>4844</v>
      </c>
      <c r="E302" s="761" t="s">
        <v>7299</v>
      </c>
      <c r="F302" s="1187">
        <v>0</v>
      </c>
      <c r="G302" s="761" t="s">
        <v>631</v>
      </c>
      <c r="H302" s="1187">
        <v>88898.640625</v>
      </c>
      <c r="I302" s="1187">
        <v>-24109.609375</v>
      </c>
      <c r="J302" s="1187">
        <v>64789.03125</v>
      </c>
      <c r="K302" s="1188">
        <v>64789.03</v>
      </c>
    </row>
    <row r="303" spans="1:11" ht="40.799999999999997" x14ac:dyDescent="0.3">
      <c r="A303" s="761" t="s">
        <v>5684</v>
      </c>
      <c r="B303" s="765">
        <v>2020</v>
      </c>
      <c r="C303" s="761" t="s">
        <v>2350</v>
      </c>
      <c r="D303" s="761" t="s">
        <v>7101</v>
      </c>
      <c r="E303" s="761" t="s">
        <v>7300</v>
      </c>
      <c r="F303" s="1187">
        <v>0</v>
      </c>
      <c r="G303" s="761" t="s">
        <v>631</v>
      </c>
      <c r="H303" s="1187">
        <v>-655172.0625</v>
      </c>
      <c r="I303" s="1187">
        <v>-58856.6015625</v>
      </c>
      <c r="J303" s="1187">
        <v>-714028.6875</v>
      </c>
      <c r="K303" s="1188">
        <v>-714028.67</v>
      </c>
    </row>
    <row r="304" spans="1:11" ht="40.799999999999997" x14ac:dyDescent="0.3">
      <c r="A304" s="761" t="s">
        <v>5684</v>
      </c>
      <c r="B304" s="765">
        <v>2020</v>
      </c>
      <c r="C304" s="761" t="s">
        <v>2350</v>
      </c>
      <c r="D304" s="761" t="s">
        <v>640</v>
      </c>
      <c r="E304" s="761" t="s">
        <v>7301</v>
      </c>
      <c r="F304" s="1187">
        <v>-997576.33</v>
      </c>
      <c r="G304" s="766"/>
      <c r="H304" s="767"/>
      <c r="I304" s="767"/>
      <c r="J304" s="1187">
        <v>0</v>
      </c>
      <c r="K304" s="1188">
        <v>-997576.33</v>
      </c>
    </row>
    <row r="305" spans="1:11" x14ac:dyDescent="0.3">
      <c r="A305" s="761" t="s">
        <v>2041</v>
      </c>
      <c r="B305" s="765">
        <v>2020</v>
      </c>
      <c r="C305" s="761" t="s">
        <v>2342</v>
      </c>
      <c r="D305" s="761" t="s">
        <v>45</v>
      </c>
      <c r="E305" s="1067" t="s">
        <v>7221</v>
      </c>
      <c r="F305" s="1187">
        <v>-682495.2</v>
      </c>
      <c r="G305" s="761" t="s">
        <v>631</v>
      </c>
      <c r="H305" s="1187">
        <v>-641028.75</v>
      </c>
      <c r="I305" s="1187">
        <v>-41466.46875</v>
      </c>
      <c r="J305" s="1187">
        <v>-682495.1875</v>
      </c>
      <c r="K305" s="1188">
        <v>-682495.2</v>
      </c>
    </row>
    <row r="306" spans="1:11" ht="30.6" x14ac:dyDescent="0.3">
      <c r="A306" s="761" t="s">
        <v>2041</v>
      </c>
      <c r="B306" s="765">
        <v>2020</v>
      </c>
      <c r="C306" s="761" t="s">
        <v>2343</v>
      </c>
      <c r="D306" s="761" t="s">
        <v>632</v>
      </c>
      <c r="E306" s="1067" t="s">
        <v>7222</v>
      </c>
      <c r="F306" s="1187">
        <v>-48921.47</v>
      </c>
      <c r="G306" s="761" t="s">
        <v>631</v>
      </c>
      <c r="H306" s="1187">
        <v>-45507.69140625</v>
      </c>
      <c r="I306" s="1187">
        <v>-3413.78002929688</v>
      </c>
      <c r="J306" s="1187">
        <v>-48921.46875</v>
      </c>
      <c r="K306" s="1188">
        <v>-48921.47</v>
      </c>
    </row>
    <row r="307" spans="1:11" ht="20.399999999999999" x14ac:dyDescent="0.3">
      <c r="A307" s="761" t="s">
        <v>2041</v>
      </c>
      <c r="B307" s="765">
        <v>2020</v>
      </c>
      <c r="C307" s="761" t="s">
        <v>2344</v>
      </c>
      <c r="D307" s="761" t="s">
        <v>452</v>
      </c>
      <c r="E307" s="1067" t="s">
        <v>7223</v>
      </c>
      <c r="F307" s="1187">
        <v>780716.83</v>
      </c>
      <c r="G307" s="766"/>
      <c r="H307" s="767"/>
      <c r="I307" s="767"/>
      <c r="J307" s="1187">
        <v>0</v>
      </c>
      <c r="K307" s="1188">
        <v>780716.83</v>
      </c>
    </row>
    <row r="308" spans="1:11" ht="20.399999999999999" x14ac:dyDescent="0.3">
      <c r="A308" s="761" t="s">
        <v>2041</v>
      </c>
      <c r="B308" s="765">
        <v>2020</v>
      </c>
      <c r="C308" s="761" t="s">
        <v>2345</v>
      </c>
      <c r="D308" s="761" t="s">
        <v>42</v>
      </c>
      <c r="E308" s="1067" t="s">
        <v>7224</v>
      </c>
      <c r="F308" s="1187">
        <v>-838557.91</v>
      </c>
      <c r="G308" s="761" t="s">
        <v>631</v>
      </c>
      <c r="H308" s="1187">
        <v>-468026.96875</v>
      </c>
      <c r="I308" s="1187">
        <v>-370530.9375</v>
      </c>
      <c r="J308" s="1187">
        <v>-838557.9375</v>
      </c>
      <c r="K308" s="1188">
        <v>-838557.91</v>
      </c>
    </row>
    <row r="309" spans="1:11" ht="20.399999999999999" x14ac:dyDescent="0.3">
      <c r="A309" s="761" t="s">
        <v>2041</v>
      </c>
      <c r="B309" s="765">
        <v>2020</v>
      </c>
      <c r="C309" s="761" t="s">
        <v>2345</v>
      </c>
      <c r="D309" s="761" t="s">
        <v>2063</v>
      </c>
      <c r="E309" s="1067" t="s">
        <v>7224</v>
      </c>
      <c r="F309" s="1187">
        <v>0</v>
      </c>
      <c r="G309" s="766"/>
      <c r="H309" s="767"/>
      <c r="I309" s="767"/>
      <c r="J309" s="1187">
        <v>0</v>
      </c>
      <c r="K309" s="1188">
        <v>0</v>
      </c>
    </row>
    <row r="310" spans="1:11" ht="20.399999999999999" x14ac:dyDescent="0.3">
      <c r="A310" s="761" t="s">
        <v>2041</v>
      </c>
      <c r="B310" s="765">
        <v>2020</v>
      </c>
      <c r="C310" s="761" t="s">
        <v>2345</v>
      </c>
      <c r="D310" s="761" t="s">
        <v>2064</v>
      </c>
      <c r="E310" s="1067" t="s">
        <v>7224</v>
      </c>
      <c r="F310" s="1187">
        <v>0</v>
      </c>
      <c r="G310" s="766"/>
      <c r="H310" s="767"/>
      <c r="I310" s="767"/>
      <c r="J310" s="1187">
        <v>0</v>
      </c>
      <c r="K310" s="1188">
        <v>0</v>
      </c>
    </row>
    <row r="311" spans="1:11" ht="20.399999999999999" x14ac:dyDescent="0.3">
      <c r="A311" s="761" t="s">
        <v>2041</v>
      </c>
      <c r="B311" s="765">
        <v>2020</v>
      </c>
      <c r="C311" s="761" t="s">
        <v>2345</v>
      </c>
      <c r="D311" s="761" t="s">
        <v>2065</v>
      </c>
      <c r="E311" s="1067" t="s">
        <v>7224</v>
      </c>
      <c r="F311" s="1187">
        <v>793.45</v>
      </c>
      <c r="G311" s="766"/>
      <c r="H311" s="767"/>
      <c r="I311" s="767"/>
      <c r="J311" s="1187">
        <v>0</v>
      </c>
      <c r="K311" s="1188">
        <v>793.45</v>
      </c>
    </row>
    <row r="312" spans="1:11" ht="20.399999999999999" x14ac:dyDescent="0.3">
      <c r="A312" s="761" t="s">
        <v>2041</v>
      </c>
      <c r="B312" s="765">
        <v>2020</v>
      </c>
      <c r="C312" s="761" t="s">
        <v>2345</v>
      </c>
      <c r="D312" s="761" t="s">
        <v>2066</v>
      </c>
      <c r="E312" s="1067" t="s">
        <v>7224</v>
      </c>
      <c r="F312" s="1187">
        <v>-200520.57</v>
      </c>
      <c r="G312" s="766"/>
      <c r="H312" s="767"/>
      <c r="I312" s="767"/>
      <c r="J312" s="1187">
        <v>0</v>
      </c>
      <c r="K312" s="1188">
        <v>-200520.57</v>
      </c>
    </row>
    <row r="313" spans="1:11" ht="30.6" x14ac:dyDescent="0.3">
      <c r="A313" s="761" t="s">
        <v>2041</v>
      </c>
      <c r="B313" s="765">
        <v>2020</v>
      </c>
      <c r="C313" s="761" t="s">
        <v>2346</v>
      </c>
      <c r="D313" s="761" t="s">
        <v>43</v>
      </c>
      <c r="E313" s="1067" t="s">
        <v>7225</v>
      </c>
      <c r="F313" s="1187">
        <v>287736.74</v>
      </c>
      <c r="G313" s="761" t="s">
        <v>631</v>
      </c>
      <c r="H313" s="1187">
        <v>238755.3125</v>
      </c>
      <c r="I313" s="1187">
        <v>48981.421875</v>
      </c>
      <c r="J313" s="1187">
        <v>287736.75</v>
      </c>
      <c r="K313" s="1188">
        <v>287736.74</v>
      </c>
    </row>
    <row r="314" spans="1:11" ht="30.6" x14ac:dyDescent="0.3">
      <c r="A314" s="761" t="s">
        <v>2041</v>
      </c>
      <c r="B314" s="765">
        <v>2020</v>
      </c>
      <c r="C314" s="761" t="s">
        <v>2347</v>
      </c>
      <c r="D314" s="761" t="s">
        <v>44</v>
      </c>
      <c r="E314" s="1067" t="s">
        <v>7226</v>
      </c>
      <c r="F314" s="1187">
        <v>950899.8</v>
      </c>
      <c r="G314" s="761" t="s">
        <v>631</v>
      </c>
      <c r="H314" s="1187">
        <v>899062.3125</v>
      </c>
      <c r="I314" s="1187">
        <v>51837.5</v>
      </c>
      <c r="J314" s="1187">
        <v>950899.8125</v>
      </c>
      <c r="K314" s="1188">
        <v>950899.8</v>
      </c>
    </row>
    <row r="315" spans="1:11" ht="30.6" x14ac:dyDescent="0.3">
      <c r="A315" s="761" t="s">
        <v>2041</v>
      </c>
      <c r="B315" s="765">
        <v>2020</v>
      </c>
      <c r="C315" s="761" t="s">
        <v>2348</v>
      </c>
      <c r="D315" s="761" t="s">
        <v>46</v>
      </c>
      <c r="E315" s="1067" t="s">
        <v>7227</v>
      </c>
      <c r="F315" s="1187">
        <v>-1236253.6000000001</v>
      </c>
      <c r="G315" s="761" t="s">
        <v>631</v>
      </c>
      <c r="H315" s="1187">
        <v>-1059268.75</v>
      </c>
      <c r="I315" s="1187">
        <v>-176984.84375</v>
      </c>
      <c r="J315" s="1187">
        <v>-1236253.625</v>
      </c>
      <c r="K315" s="1188">
        <v>-1236253.6000000001</v>
      </c>
    </row>
    <row r="316" spans="1:11" ht="20.399999999999999" x14ac:dyDescent="0.3">
      <c r="A316" s="761" t="s">
        <v>2041</v>
      </c>
      <c r="B316" s="765">
        <v>2020</v>
      </c>
      <c r="C316" s="761" t="s">
        <v>2349</v>
      </c>
      <c r="D316" s="761" t="s">
        <v>339</v>
      </c>
      <c r="E316" s="1067" t="s">
        <v>7228</v>
      </c>
      <c r="F316" s="1187">
        <v>-41016</v>
      </c>
      <c r="G316" s="761" t="s">
        <v>631</v>
      </c>
      <c r="H316" s="1187">
        <v>-295970.125</v>
      </c>
      <c r="I316" s="1187">
        <v>254954.109375</v>
      </c>
      <c r="J316" s="1187">
        <v>-41016</v>
      </c>
      <c r="K316" s="1188">
        <v>-41016</v>
      </c>
    </row>
    <row r="317" spans="1:11" ht="40.799999999999997" x14ac:dyDescent="0.3">
      <c r="A317" s="761" t="s">
        <v>2041</v>
      </c>
      <c r="B317" s="765">
        <v>2020</v>
      </c>
      <c r="C317" s="761" t="s">
        <v>2350</v>
      </c>
      <c r="D317" s="761" t="s">
        <v>633</v>
      </c>
      <c r="E317" s="1067" t="s">
        <v>7229</v>
      </c>
      <c r="F317" s="1187">
        <v>0</v>
      </c>
      <c r="G317" s="761" t="s">
        <v>631</v>
      </c>
      <c r="H317" s="767"/>
      <c r="I317" s="767"/>
      <c r="J317" s="1187">
        <v>0</v>
      </c>
      <c r="K317" s="1188">
        <v>0</v>
      </c>
    </row>
    <row r="318" spans="1:11" ht="40.799999999999997" x14ac:dyDescent="0.3">
      <c r="A318" s="761" t="s">
        <v>2041</v>
      </c>
      <c r="B318" s="765">
        <v>2020</v>
      </c>
      <c r="C318" s="761" t="s">
        <v>2350</v>
      </c>
      <c r="D318" s="761" t="s">
        <v>634</v>
      </c>
      <c r="E318" s="1067" t="s">
        <v>7230</v>
      </c>
      <c r="F318" s="1187">
        <v>0</v>
      </c>
      <c r="G318" s="761" t="s">
        <v>631</v>
      </c>
      <c r="H318" s="767"/>
      <c r="I318" s="767"/>
      <c r="J318" s="1187">
        <v>0</v>
      </c>
      <c r="K318" s="1188">
        <v>0</v>
      </c>
    </row>
    <row r="319" spans="1:11" ht="40.799999999999997" x14ac:dyDescent="0.3">
      <c r="A319" s="761" t="s">
        <v>2041</v>
      </c>
      <c r="B319" s="765">
        <v>2020</v>
      </c>
      <c r="C319" s="761" t="s">
        <v>2350</v>
      </c>
      <c r="D319" s="761" t="s">
        <v>635</v>
      </c>
      <c r="E319" s="1067" t="s">
        <v>7231</v>
      </c>
      <c r="F319" s="1187">
        <v>0</v>
      </c>
      <c r="G319" s="761" t="s">
        <v>631</v>
      </c>
      <c r="H319" s="767"/>
      <c r="I319" s="767"/>
      <c r="J319" s="1187">
        <v>0</v>
      </c>
      <c r="K319" s="1188">
        <v>0</v>
      </c>
    </row>
    <row r="320" spans="1:11" ht="40.799999999999997" x14ac:dyDescent="0.3">
      <c r="A320" s="761" t="s">
        <v>2041</v>
      </c>
      <c r="B320" s="765">
        <v>2020</v>
      </c>
      <c r="C320" s="761" t="s">
        <v>2350</v>
      </c>
      <c r="D320" s="761" t="s">
        <v>636</v>
      </c>
      <c r="E320" s="1067" t="s">
        <v>7232</v>
      </c>
      <c r="F320" s="1187">
        <v>0</v>
      </c>
      <c r="G320" s="761" t="s">
        <v>631</v>
      </c>
      <c r="H320" s="767"/>
      <c r="I320" s="767"/>
      <c r="J320" s="1187">
        <v>0</v>
      </c>
      <c r="K320" s="1188">
        <v>0</v>
      </c>
    </row>
    <row r="321" spans="1:11" ht="40.799999999999997" x14ac:dyDescent="0.3">
      <c r="A321" s="761" t="s">
        <v>2041</v>
      </c>
      <c r="B321" s="765">
        <v>2020</v>
      </c>
      <c r="C321" s="761" t="s">
        <v>2350</v>
      </c>
      <c r="D321" s="761" t="s">
        <v>637</v>
      </c>
      <c r="E321" s="1067" t="s">
        <v>7233</v>
      </c>
      <c r="F321" s="1187">
        <v>0</v>
      </c>
      <c r="G321" s="761" t="s">
        <v>631</v>
      </c>
      <c r="H321" s="767"/>
      <c r="I321" s="767"/>
      <c r="J321" s="1187">
        <v>0</v>
      </c>
      <c r="K321" s="1188">
        <v>0</v>
      </c>
    </row>
    <row r="322" spans="1:11" ht="40.799999999999997" x14ac:dyDescent="0.3">
      <c r="A322" s="761" t="s">
        <v>2041</v>
      </c>
      <c r="B322" s="765">
        <v>2020</v>
      </c>
      <c r="C322" s="761" t="s">
        <v>2350</v>
      </c>
      <c r="D322" s="761" t="s">
        <v>638</v>
      </c>
      <c r="E322" s="1067" t="s">
        <v>7234</v>
      </c>
      <c r="F322" s="1187">
        <v>0</v>
      </c>
      <c r="G322" s="761" t="s">
        <v>631</v>
      </c>
      <c r="H322" s="767"/>
      <c r="I322" s="767"/>
      <c r="J322" s="1187">
        <v>0</v>
      </c>
      <c r="K322" s="1188">
        <v>0</v>
      </c>
    </row>
    <row r="323" spans="1:11" ht="40.799999999999997" x14ac:dyDescent="0.3">
      <c r="A323" s="761" t="s">
        <v>2041</v>
      </c>
      <c r="B323" s="765">
        <v>2020</v>
      </c>
      <c r="C323" s="761" t="s">
        <v>2350</v>
      </c>
      <c r="D323" s="761" t="s">
        <v>639</v>
      </c>
      <c r="E323" s="1067" t="s">
        <v>7235</v>
      </c>
      <c r="F323" s="1187">
        <v>0</v>
      </c>
      <c r="G323" s="761" t="s">
        <v>631</v>
      </c>
      <c r="H323" s="767"/>
      <c r="I323" s="767"/>
      <c r="J323" s="1187">
        <v>0</v>
      </c>
      <c r="K323" s="1188">
        <v>0</v>
      </c>
    </row>
    <row r="324" spans="1:11" ht="40.799999999999997" x14ac:dyDescent="0.3">
      <c r="A324" s="761" t="s">
        <v>2041</v>
      </c>
      <c r="B324" s="765">
        <v>2020</v>
      </c>
      <c r="C324" s="761" t="s">
        <v>2350</v>
      </c>
      <c r="D324" s="761" t="s">
        <v>1613</v>
      </c>
      <c r="E324" s="1067" t="s">
        <v>7236</v>
      </c>
      <c r="F324" s="1187">
        <v>0</v>
      </c>
      <c r="G324" s="761" t="s">
        <v>631</v>
      </c>
      <c r="H324" s="767"/>
      <c r="I324" s="767"/>
      <c r="J324" s="1187">
        <v>0</v>
      </c>
      <c r="K324" s="1188">
        <v>0</v>
      </c>
    </row>
    <row r="325" spans="1:11" ht="40.799999999999997" x14ac:dyDescent="0.3">
      <c r="A325" s="761" t="s">
        <v>2041</v>
      </c>
      <c r="B325" s="765">
        <v>2020</v>
      </c>
      <c r="C325" s="761" t="s">
        <v>2350</v>
      </c>
      <c r="D325" s="761" t="s">
        <v>2067</v>
      </c>
      <c r="E325" s="1067" t="s">
        <v>7237</v>
      </c>
      <c r="F325" s="1187">
        <v>0</v>
      </c>
      <c r="G325" s="761" t="s">
        <v>631</v>
      </c>
      <c r="H325" s="767"/>
      <c r="I325" s="767"/>
      <c r="J325" s="1187">
        <v>0</v>
      </c>
      <c r="K325" s="1188">
        <v>0</v>
      </c>
    </row>
    <row r="326" spans="1:11" ht="40.799999999999997" x14ac:dyDescent="0.3">
      <c r="A326" s="761" t="s">
        <v>2041</v>
      </c>
      <c r="B326" s="765">
        <v>2020</v>
      </c>
      <c r="C326" s="761" t="s">
        <v>2350</v>
      </c>
      <c r="D326" s="761" t="s">
        <v>3762</v>
      </c>
      <c r="E326" s="1067" t="s">
        <v>7238</v>
      </c>
      <c r="F326" s="1187">
        <v>0</v>
      </c>
      <c r="G326" s="761" t="s">
        <v>631</v>
      </c>
      <c r="H326" s="1187">
        <v>-9390.58984375</v>
      </c>
      <c r="I326" s="1187">
        <v>4137.18017578125</v>
      </c>
      <c r="J326" s="1187">
        <v>-5253.41015625</v>
      </c>
      <c r="K326" s="1188">
        <v>-5253.41</v>
      </c>
    </row>
    <row r="327" spans="1:11" ht="40.799999999999997" x14ac:dyDescent="0.3">
      <c r="A327" s="761" t="s">
        <v>2041</v>
      </c>
      <c r="B327" s="765">
        <v>2020</v>
      </c>
      <c r="C327" s="761" t="s">
        <v>2350</v>
      </c>
      <c r="D327" s="761" t="s">
        <v>4844</v>
      </c>
      <c r="E327" s="1067" t="s">
        <v>7239</v>
      </c>
      <c r="F327" s="1187">
        <v>0</v>
      </c>
      <c r="G327" s="761" t="s">
        <v>631</v>
      </c>
      <c r="H327" s="1187">
        <v>2054967.25</v>
      </c>
      <c r="I327" s="1187">
        <v>-351908.625</v>
      </c>
      <c r="J327" s="1187">
        <v>1703058.625</v>
      </c>
      <c r="K327" s="1188">
        <v>1703058.58</v>
      </c>
    </row>
    <row r="328" spans="1:11" ht="40.799999999999997" x14ac:dyDescent="0.3">
      <c r="A328" s="761" t="s">
        <v>2041</v>
      </c>
      <c r="B328" s="765">
        <v>2020</v>
      </c>
      <c r="C328" s="761" t="s">
        <v>2350</v>
      </c>
      <c r="D328" s="761" t="s">
        <v>7101</v>
      </c>
      <c r="E328" s="1067" t="s">
        <v>7240</v>
      </c>
      <c r="F328" s="1187">
        <v>0</v>
      </c>
      <c r="G328" s="761" t="s">
        <v>631</v>
      </c>
      <c r="H328" s="1187">
        <v>584554.5625</v>
      </c>
      <c r="I328" s="1187">
        <v>29682</v>
      </c>
      <c r="J328" s="1187">
        <v>614236.5625</v>
      </c>
      <c r="K328" s="1188">
        <v>614236.54</v>
      </c>
    </row>
    <row r="329" spans="1:11" ht="40.799999999999997" x14ac:dyDescent="0.3">
      <c r="A329" s="761" t="s">
        <v>2041</v>
      </c>
      <c r="B329" s="765">
        <v>2020</v>
      </c>
      <c r="C329" s="761" t="s">
        <v>2350</v>
      </c>
      <c r="D329" s="761" t="s">
        <v>640</v>
      </c>
      <c r="E329" s="1067" t="s">
        <v>7241</v>
      </c>
      <c r="F329" s="1187">
        <v>2312041.71</v>
      </c>
      <c r="G329" s="766"/>
      <c r="H329" s="767"/>
      <c r="I329" s="767"/>
      <c r="J329" s="1187">
        <v>0</v>
      </c>
      <c r="K329" s="1188">
        <v>2312041.71</v>
      </c>
    </row>
    <row r="330" spans="1:11" x14ac:dyDescent="0.3">
      <c r="A330" s="761" t="s">
        <v>416</v>
      </c>
      <c r="B330" s="765">
        <v>2020</v>
      </c>
      <c r="C330" s="761" t="s">
        <v>2342</v>
      </c>
      <c r="D330" s="761" t="s">
        <v>45</v>
      </c>
      <c r="E330" s="761" t="s">
        <v>713</v>
      </c>
      <c r="F330" s="1187">
        <v>786546.27</v>
      </c>
      <c r="G330" s="761" t="s">
        <v>631</v>
      </c>
      <c r="H330" s="1187">
        <v>777891.9375</v>
      </c>
      <c r="I330" s="1187">
        <v>8654.3095703125</v>
      </c>
      <c r="J330" s="1187">
        <v>786546.25</v>
      </c>
      <c r="K330" s="1188">
        <v>786546.27</v>
      </c>
    </row>
    <row r="331" spans="1:11" ht="30.6" x14ac:dyDescent="0.3">
      <c r="A331" s="761" t="s">
        <v>416</v>
      </c>
      <c r="B331" s="765">
        <v>2020</v>
      </c>
      <c r="C331" s="761" t="s">
        <v>2343</v>
      </c>
      <c r="D331" s="761" t="s">
        <v>632</v>
      </c>
      <c r="E331" s="761" t="s">
        <v>714</v>
      </c>
      <c r="F331" s="1187">
        <v>-82952.86</v>
      </c>
      <c r="G331" s="761" t="s">
        <v>631</v>
      </c>
      <c r="H331" s="1187">
        <v>-80251.96875</v>
      </c>
      <c r="I331" s="1187">
        <v>-2700.88989257813</v>
      </c>
      <c r="J331" s="1187">
        <v>-82952.859375</v>
      </c>
      <c r="K331" s="1188">
        <v>-82952.86</v>
      </c>
    </row>
    <row r="332" spans="1:11" ht="20.399999999999999" x14ac:dyDescent="0.3">
      <c r="A332" s="761" t="s">
        <v>416</v>
      </c>
      <c r="B332" s="765">
        <v>2020</v>
      </c>
      <c r="C332" s="761" t="s">
        <v>2344</v>
      </c>
      <c r="D332" s="761" t="s">
        <v>452</v>
      </c>
      <c r="E332" s="761" t="s">
        <v>715</v>
      </c>
      <c r="F332" s="1187">
        <v>689256.46</v>
      </c>
      <c r="G332" s="766"/>
      <c r="H332" s="767"/>
      <c r="I332" s="767"/>
      <c r="J332" s="1187">
        <v>0</v>
      </c>
      <c r="K332" s="1188">
        <v>689256.46</v>
      </c>
    </row>
    <row r="333" spans="1:11" ht="20.399999999999999" x14ac:dyDescent="0.3">
      <c r="A333" s="761" t="s">
        <v>416</v>
      </c>
      <c r="B333" s="765">
        <v>2020</v>
      </c>
      <c r="C333" s="761" t="s">
        <v>2345</v>
      </c>
      <c r="D333" s="761" t="s">
        <v>42</v>
      </c>
      <c r="E333" s="761" t="s">
        <v>716</v>
      </c>
      <c r="F333" s="1187">
        <v>-1623540.21</v>
      </c>
      <c r="G333" s="761" t="s">
        <v>631</v>
      </c>
      <c r="H333" s="1187">
        <v>-1556908.875</v>
      </c>
      <c r="I333" s="1187">
        <v>-66631.2890625</v>
      </c>
      <c r="J333" s="1187">
        <v>-1623540.25</v>
      </c>
      <c r="K333" s="1188">
        <v>-1623540.21</v>
      </c>
    </row>
    <row r="334" spans="1:11" ht="20.399999999999999" x14ac:dyDescent="0.3">
      <c r="A334" s="761" t="s">
        <v>416</v>
      </c>
      <c r="B334" s="765">
        <v>2020</v>
      </c>
      <c r="C334" s="761" t="s">
        <v>2345</v>
      </c>
      <c r="D334" s="761" t="s">
        <v>2063</v>
      </c>
      <c r="E334" s="761" t="s">
        <v>716</v>
      </c>
      <c r="F334" s="1187">
        <v>0</v>
      </c>
      <c r="G334" s="766"/>
      <c r="H334" s="767"/>
      <c r="I334" s="767"/>
      <c r="J334" s="1187">
        <v>0</v>
      </c>
      <c r="K334" s="1188">
        <v>0</v>
      </c>
    </row>
    <row r="335" spans="1:11" ht="20.399999999999999" x14ac:dyDescent="0.3">
      <c r="A335" s="761" t="s">
        <v>416</v>
      </c>
      <c r="B335" s="765">
        <v>2020</v>
      </c>
      <c r="C335" s="761" t="s">
        <v>2345</v>
      </c>
      <c r="D335" s="761" t="s">
        <v>2064</v>
      </c>
      <c r="E335" s="761" t="s">
        <v>716</v>
      </c>
      <c r="F335" s="1187">
        <v>0</v>
      </c>
      <c r="G335" s="766"/>
      <c r="H335" s="767"/>
      <c r="I335" s="767"/>
      <c r="J335" s="1187">
        <v>0</v>
      </c>
      <c r="K335" s="1188">
        <v>0</v>
      </c>
    </row>
    <row r="336" spans="1:11" ht="20.399999999999999" x14ac:dyDescent="0.3">
      <c r="A336" s="761" t="s">
        <v>416</v>
      </c>
      <c r="B336" s="765">
        <v>2020</v>
      </c>
      <c r="C336" s="761" t="s">
        <v>2345</v>
      </c>
      <c r="D336" s="761" t="s">
        <v>2065</v>
      </c>
      <c r="E336" s="761" t="s">
        <v>716</v>
      </c>
      <c r="F336" s="1187">
        <v>1210.69</v>
      </c>
      <c r="G336" s="766"/>
      <c r="H336" s="767"/>
      <c r="I336" s="767"/>
      <c r="J336" s="1187">
        <v>0</v>
      </c>
      <c r="K336" s="1188">
        <v>1210.69</v>
      </c>
    </row>
    <row r="337" spans="1:11" ht="20.399999999999999" x14ac:dyDescent="0.3">
      <c r="A337" s="761" t="s">
        <v>416</v>
      </c>
      <c r="B337" s="765">
        <v>2020</v>
      </c>
      <c r="C337" s="761" t="s">
        <v>2345</v>
      </c>
      <c r="D337" s="761" t="s">
        <v>2066</v>
      </c>
      <c r="E337" s="761" t="s">
        <v>716</v>
      </c>
      <c r="F337" s="1187">
        <v>-43408.32</v>
      </c>
      <c r="G337" s="766"/>
      <c r="H337" s="767"/>
      <c r="I337" s="767"/>
      <c r="J337" s="1187">
        <v>0</v>
      </c>
      <c r="K337" s="1188">
        <v>-43408.32</v>
      </c>
    </row>
    <row r="338" spans="1:11" ht="30.6" x14ac:dyDescent="0.3">
      <c r="A338" s="761" t="s">
        <v>416</v>
      </c>
      <c r="B338" s="765">
        <v>2020</v>
      </c>
      <c r="C338" s="761" t="s">
        <v>2346</v>
      </c>
      <c r="D338" s="761" t="s">
        <v>43</v>
      </c>
      <c r="E338" s="761" t="s">
        <v>717</v>
      </c>
      <c r="F338" s="1187">
        <v>385765.12</v>
      </c>
      <c r="G338" s="761" t="s">
        <v>631</v>
      </c>
      <c r="H338" s="1187">
        <v>387232.65625</v>
      </c>
      <c r="I338" s="1187">
        <v>-1467.55004882813</v>
      </c>
      <c r="J338" s="1187">
        <v>385765.125</v>
      </c>
      <c r="K338" s="1188">
        <v>385765.12</v>
      </c>
    </row>
    <row r="339" spans="1:11" ht="30.6" x14ac:dyDescent="0.3">
      <c r="A339" s="761" t="s">
        <v>416</v>
      </c>
      <c r="B339" s="765">
        <v>2020</v>
      </c>
      <c r="C339" s="761" t="s">
        <v>2347</v>
      </c>
      <c r="D339" s="761" t="s">
        <v>44</v>
      </c>
      <c r="E339" s="761" t="s">
        <v>718</v>
      </c>
      <c r="F339" s="1187">
        <v>504882.73</v>
      </c>
      <c r="G339" s="761" t="s">
        <v>631</v>
      </c>
      <c r="H339" s="1187">
        <v>489954.625</v>
      </c>
      <c r="I339" s="1187">
        <v>14928.1201171875</v>
      </c>
      <c r="J339" s="1187">
        <v>504882.71875</v>
      </c>
      <c r="K339" s="1188">
        <v>504882.73</v>
      </c>
    </row>
    <row r="340" spans="1:11" ht="30.6" x14ac:dyDescent="0.3">
      <c r="A340" s="761" t="s">
        <v>416</v>
      </c>
      <c r="B340" s="765">
        <v>2020</v>
      </c>
      <c r="C340" s="761" t="s">
        <v>2348</v>
      </c>
      <c r="D340" s="761" t="s">
        <v>46</v>
      </c>
      <c r="E340" s="761" t="s">
        <v>719</v>
      </c>
      <c r="F340" s="1187">
        <v>181281.6</v>
      </c>
      <c r="G340" s="761" t="s">
        <v>631</v>
      </c>
      <c r="H340" s="1187">
        <v>222122.375</v>
      </c>
      <c r="I340" s="1187">
        <v>-40840.76953125</v>
      </c>
      <c r="J340" s="1187">
        <v>181281.59375</v>
      </c>
      <c r="K340" s="1188">
        <v>181281.6</v>
      </c>
    </row>
    <row r="341" spans="1:11" ht="20.399999999999999" x14ac:dyDescent="0.3">
      <c r="A341" s="761" t="s">
        <v>416</v>
      </c>
      <c r="B341" s="765">
        <v>2020</v>
      </c>
      <c r="C341" s="761" t="s">
        <v>2349</v>
      </c>
      <c r="D341" s="761" t="s">
        <v>339</v>
      </c>
      <c r="E341" s="761" t="s">
        <v>720</v>
      </c>
      <c r="F341" s="1187">
        <v>205374.99</v>
      </c>
      <c r="G341" s="761" t="s">
        <v>631</v>
      </c>
      <c r="H341" s="1187">
        <v>145843.875</v>
      </c>
      <c r="I341" s="1187">
        <v>59531.109375</v>
      </c>
      <c r="J341" s="1187">
        <v>205374.984375</v>
      </c>
      <c r="K341" s="1188">
        <v>205374.99</v>
      </c>
    </row>
    <row r="342" spans="1:11" ht="40.799999999999997" x14ac:dyDescent="0.3">
      <c r="A342" s="761" t="s">
        <v>416</v>
      </c>
      <c r="B342" s="765">
        <v>2020</v>
      </c>
      <c r="C342" s="761" t="s">
        <v>2350</v>
      </c>
      <c r="D342" s="761" t="s">
        <v>633</v>
      </c>
      <c r="E342" s="761" t="s">
        <v>1080</v>
      </c>
      <c r="F342" s="1187">
        <v>0</v>
      </c>
      <c r="G342" s="761" t="s">
        <v>631</v>
      </c>
      <c r="H342" s="1187">
        <v>0</v>
      </c>
      <c r="I342" s="1187">
        <v>0</v>
      </c>
      <c r="J342" s="1187">
        <v>0</v>
      </c>
      <c r="K342" s="1188">
        <v>0</v>
      </c>
    </row>
    <row r="343" spans="1:11" ht="40.799999999999997" x14ac:dyDescent="0.3">
      <c r="A343" s="761" t="s">
        <v>416</v>
      </c>
      <c r="B343" s="765">
        <v>2020</v>
      </c>
      <c r="C343" s="761" t="s">
        <v>2350</v>
      </c>
      <c r="D343" s="761" t="s">
        <v>634</v>
      </c>
      <c r="E343" s="761" t="s">
        <v>1081</v>
      </c>
      <c r="F343" s="1187">
        <v>0</v>
      </c>
      <c r="G343" s="761" t="s">
        <v>631</v>
      </c>
      <c r="H343" s="1187">
        <v>0</v>
      </c>
      <c r="I343" s="1187">
        <v>0</v>
      </c>
      <c r="J343" s="1187">
        <v>0</v>
      </c>
      <c r="K343" s="1188">
        <v>0</v>
      </c>
    </row>
    <row r="344" spans="1:11" ht="40.799999999999997" x14ac:dyDescent="0.3">
      <c r="A344" s="761" t="s">
        <v>416</v>
      </c>
      <c r="B344" s="765">
        <v>2020</v>
      </c>
      <c r="C344" s="761" t="s">
        <v>2350</v>
      </c>
      <c r="D344" s="761" t="s">
        <v>635</v>
      </c>
      <c r="E344" s="761" t="s">
        <v>1082</v>
      </c>
      <c r="F344" s="1187">
        <v>0</v>
      </c>
      <c r="G344" s="761" t="s">
        <v>631</v>
      </c>
      <c r="H344" s="1187">
        <v>0</v>
      </c>
      <c r="I344" s="1187">
        <v>0</v>
      </c>
      <c r="J344" s="1187">
        <v>0</v>
      </c>
      <c r="K344" s="1188">
        <v>0</v>
      </c>
    </row>
    <row r="345" spans="1:11" ht="40.799999999999997" x14ac:dyDescent="0.3">
      <c r="A345" s="761" t="s">
        <v>416</v>
      </c>
      <c r="B345" s="765">
        <v>2020</v>
      </c>
      <c r="C345" s="761" t="s">
        <v>2350</v>
      </c>
      <c r="D345" s="761" t="s">
        <v>636</v>
      </c>
      <c r="E345" s="761" t="s">
        <v>1083</v>
      </c>
      <c r="F345" s="1187">
        <v>0</v>
      </c>
      <c r="G345" s="761" t="s">
        <v>631</v>
      </c>
      <c r="H345" s="1187">
        <v>0</v>
      </c>
      <c r="I345" s="1187">
        <v>0</v>
      </c>
      <c r="J345" s="1187">
        <v>0</v>
      </c>
      <c r="K345" s="1188">
        <v>0</v>
      </c>
    </row>
    <row r="346" spans="1:11" ht="40.799999999999997" x14ac:dyDescent="0.3">
      <c r="A346" s="761" t="s">
        <v>416</v>
      </c>
      <c r="B346" s="765">
        <v>2020</v>
      </c>
      <c r="C346" s="761" t="s">
        <v>2350</v>
      </c>
      <c r="D346" s="761" t="s">
        <v>637</v>
      </c>
      <c r="E346" s="761" t="s">
        <v>1084</v>
      </c>
      <c r="F346" s="1187">
        <v>0</v>
      </c>
      <c r="G346" s="761" t="s">
        <v>631</v>
      </c>
      <c r="H346" s="1187">
        <v>0</v>
      </c>
      <c r="I346" s="1187">
        <v>0</v>
      </c>
      <c r="J346" s="1187">
        <v>0</v>
      </c>
      <c r="K346" s="1188">
        <v>0</v>
      </c>
    </row>
    <row r="347" spans="1:11" ht="40.799999999999997" x14ac:dyDescent="0.3">
      <c r="A347" s="761" t="s">
        <v>416</v>
      </c>
      <c r="B347" s="765">
        <v>2020</v>
      </c>
      <c r="C347" s="761" t="s">
        <v>2350</v>
      </c>
      <c r="D347" s="761" t="s">
        <v>638</v>
      </c>
      <c r="E347" s="761" t="s">
        <v>1085</v>
      </c>
      <c r="F347" s="1187">
        <v>0</v>
      </c>
      <c r="G347" s="761" t="s">
        <v>631</v>
      </c>
      <c r="H347" s="1187">
        <v>0</v>
      </c>
      <c r="I347" s="1187">
        <v>0</v>
      </c>
      <c r="J347" s="1187">
        <v>0</v>
      </c>
      <c r="K347" s="1188">
        <v>0</v>
      </c>
    </row>
    <row r="348" spans="1:11" ht="40.799999999999997" x14ac:dyDescent="0.3">
      <c r="A348" s="761" t="s">
        <v>416</v>
      </c>
      <c r="B348" s="765">
        <v>2020</v>
      </c>
      <c r="C348" s="761" t="s">
        <v>2350</v>
      </c>
      <c r="D348" s="761" t="s">
        <v>639</v>
      </c>
      <c r="E348" s="761" t="s">
        <v>1086</v>
      </c>
      <c r="F348" s="1187">
        <v>0</v>
      </c>
      <c r="G348" s="761" t="s">
        <v>631</v>
      </c>
      <c r="H348" s="1187">
        <v>190382.640625</v>
      </c>
      <c r="I348" s="1187">
        <v>14206.41015625</v>
      </c>
      <c r="J348" s="1187">
        <v>204589.046875</v>
      </c>
      <c r="K348" s="1188">
        <v>204589.05</v>
      </c>
    </row>
    <row r="349" spans="1:11" ht="40.799999999999997" x14ac:dyDescent="0.3">
      <c r="A349" s="761" t="s">
        <v>416</v>
      </c>
      <c r="B349" s="765">
        <v>2020</v>
      </c>
      <c r="C349" s="761" t="s">
        <v>2350</v>
      </c>
      <c r="D349" s="761" t="s">
        <v>1613</v>
      </c>
      <c r="E349" s="761" t="s">
        <v>1964</v>
      </c>
      <c r="F349" s="1187">
        <v>0</v>
      </c>
      <c r="G349" s="761" t="s">
        <v>631</v>
      </c>
      <c r="H349" s="1187">
        <v>8443.7998046875</v>
      </c>
      <c r="I349" s="1187">
        <v>3386.77001953125</v>
      </c>
      <c r="J349" s="1187">
        <v>11830.5703125</v>
      </c>
      <c r="K349" s="1188">
        <v>11830.57</v>
      </c>
    </row>
    <row r="350" spans="1:11" ht="40.799999999999997" x14ac:dyDescent="0.3">
      <c r="A350" s="761" t="s">
        <v>416</v>
      </c>
      <c r="B350" s="765">
        <v>2020</v>
      </c>
      <c r="C350" s="761" t="s">
        <v>2350</v>
      </c>
      <c r="D350" s="761" t="s">
        <v>2067</v>
      </c>
      <c r="E350" s="761" t="s">
        <v>2077</v>
      </c>
      <c r="F350" s="1187">
        <v>0</v>
      </c>
      <c r="G350" s="761" t="s">
        <v>631</v>
      </c>
      <c r="H350" s="1187">
        <v>14876.7099609375</v>
      </c>
      <c r="I350" s="1187">
        <v>3660.77001953125</v>
      </c>
      <c r="J350" s="1187">
        <v>18537.48046875</v>
      </c>
      <c r="K350" s="1188">
        <v>18537.48</v>
      </c>
    </row>
    <row r="351" spans="1:11" ht="40.799999999999997" x14ac:dyDescent="0.3">
      <c r="A351" s="761" t="s">
        <v>416</v>
      </c>
      <c r="B351" s="765">
        <v>2020</v>
      </c>
      <c r="C351" s="761" t="s">
        <v>2350</v>
      </c>
      <c r="D351" s="761" t="s">
        <v>3762</v>
      </c>
      <c r="E351" s="761" t="s">
        <v>4334</v>
      </c>
      <c r="F351" s="1187">
        <v>0</v>
      </c>
      <c r="G351" s="761" t="s">
        <v>631</v>
      </c>
      <c r="H351" s="1187">
        <v>-106743.390625</v>
      </c>
      <c r="I351" s="1187">
        <v>-12478.0703125</v>
      </c>
      <c r="J351" s="1187">
        <v>-119221.4609375</v>
      </c>
      <c r="K351" s="1188">
        <v>-119221.46</v>
      </c>
    </row>
    <row r="352" spans="1:11" ht="40.799999999999997" x14ac:dyDescent="0.3">
      <c r="A352" s="761" t="s">
        <v>416</v>
      </c>
      <c r="B352" s="765">
        <v>2020</v>
      </c>
      <c r="C352" s="761" t="s">
        <v>2350</v>
      </c>
      <c r="D352" s="761" t="s">
        <v>4844</v>
      </c>
      <c r="E352" s="761" t="s">
        <v>5787</v>
      </c>
      <c r="F352" s="1187">
        <v>0</v>
      </c>
      <c r="G352" s="761" t="s">
        <v>631</v>
      </c>
      <c r="H352" s="1187">
        <v>368807.46875</v>
      </c>
      <c r="I352" s="1187">
        <v>19647.580078125</v>
      </c>
      <c r="J352" s="1187">
        <v>388455.0625</v>
      </c>
      <c r="K352" s="1188">
        <v>388455.05</v>
      </c>
    </row>
    <row r="353" spans="1:11" ht="40.799999999999997" x14ac:dyDescent="0.3">
      <c r="A353" s="761" t="s">
        <v>416</v>
      </c>
      <c r="B353" s="765">
        <v>2020</v>
      </c>
      <c r="C353" s="761" t="s">
        <v>2350</v>
      </c>
      <c r="D353" s="761" t="s">
        <v>7101</v>
      </c>
      <c r="E353" s="761" t="s">
        <v>7112</v>
      </c>
      <c r="F353" s="1187">
        <v>0</v>
      </c>
      <c r="G353" s="761" t="s">
        <v>631</v>
      </c>
      <c r="H353" s="1187">
        <v>269953</v>
      </c>
      <c r="I353" s="1187">
        <v>7183.509765625</v>
      </c>
      <c r="J353" s="1187">
        <v>277136.5</v>
      </c>
      <c r="K353" s="1188">
        <v>277136.5</v>
      </c>
    </row>
    <row r="354" spans="1:11" ht="40.799999999999997" x14ac:dyDescent="0.3">
      <c r="A354" s="761" t="s">
        <v>416</v>
      </c>
      <c r="B354" s="765">
        <v>2020</v>
      </c>
      <c r="C354" s="761" t="s">
        <v>2350</v>
      </c>
      <c r="D354" s="761" t="s">
        <v>640</v>
      </c>
      <c r="E354" s="761" t="s">
        <v>1355</v>
      </c>
      <c r="F354" s="1187">
        <v>781327.19</v>
      </c>
      <c r="G354" s="766"/>
      <c r="H354" s="767"/>
      <c r="I354" s="767"/>
      <c r="J354" s="1187">
        <v>0</v>
      </c>
      <c r="K354" s="1188">
        <v>781327.19</v>
      </c>
    </row>
    <row r="355" spans="1:11" x14ac:dyDescent="0.3">
      <c r="A355" s="761" t="s">
        <v>4737</v>
      </c>
      <c r="B355" s="765">
        <v>2020</v>
      </c>
      <c r="C355" s="761" t="s">
        <v>2342</v>
      </c>
      <c r="D355" s="761" t="s">
        <v>45</v>
      </c>
      <c r="E355" s="761" t="s">
        <v>7113</v>
      </c>
      <c r="F355" s="1187">
        <v>0</v>
      </c>
      <c r="G355" s="761" t="s">
        <v>631</v>
      </c>
      <c r="H355" s="767"/>
      <c r="I355" s="767"/>
      <c r="J355" s="1187">
        <v>0</v>
      </c>
      <c r="K355" s="1188">
        <v>0</v>
      </c>
    </row>
    <row r="356" spans="1:11" ht="30.6" x14ac:dyDescent="0.3">
      <c r="A356" s="761" t="s">
        <v>4737</v>
      </c>
      <c r="B356" s="765">
        <v>2020</v>
      </c>
      <c r="C356" s="761" t="s">
        <v>2343</v>
      </c>
      <c r="D356" s="761" t="s">
        <v>632</v>
      </c>
      <c r="E356" s="761" t="s">
        <v>7114</v>
      </c>
      <c r="F356" s="1187">
        <v>-101953.05</v>
      </c>
      <c r="G356" s="761" t="s">
        <v>631</v>
      </c>
      <c r="H356" s="1187">
        <v>-98726.578125</v>
      </c>
      <c r="I356" s="1187">
        <v>-3226.46997070313</v>
      </c>
      <c r="J356" s="1187">
        <v>-101953.046875</v>
      </c>
      <c r="K356" s="1188">
        <v>-101953.05</v>
      </c>
    </row>
    <row r="357" spans="1:11" ht="20.399999999999999" x14ac:dyDescent="0.3">
      <c r="A357" s="761" t="s">
        <v>4737</v>
      </c>
      <c r="B357" s="765">
        <v>2020</v>
      </c>
      <c r="C357" s="761" t="s">
        <v>2344</v>
      </c>
      <c r="D357" s="761" t="s">
        <v>452</v>
      </c>
      <c r="E357" s="761" t="s">
        <v>7115</v>
      </c>
      <c r="F357" s="1187">
        <v>3949718.63</v>
      </c>
      <c r="G357" s="766"/>
      <c r="H357" s="767"/>
      <c r="I357" s="767"/>
      <c r="J357" s="1187">
        <v>0</v>
      </c>
      <c r="K357" s="1188">
        <v>3949718.63</v>
      </c>
    </row>
    <row r="358" spans="1:11" ht="20.399999999999999" x14ac:dyDescent="0.3">
      <c r="A358" s="761" t="s">
        <v>4737</v>
      </c>
      <c r="B358" s="765">
        <v>2020</v>
      </c>
      <c r="C358" s="761" t="s">
        <v>2345</v>
      </c>
      <c r="D358" s="761" t="s">
        <v>42</v>
      </c>
      <c r="E358" s="761" t="s">
        <v>7116</v>
      </c>
      <c r="F358" s="1187">
        <v>-1031808.14</v>
      </c>
      <c r="G358" s="761" t="s">
        <v>631</v>
      </c>
      <c r="H358" s="1187">
        <v>-1008750.25</v>
      </c>
      <c r="I358" s="1187">
        <v>-23057.859375</v>
      </c>
      <c r="J358" s="1187">
        <v>-1031808.125</v>
      </c>
      <c r="K358" s="1188">
        <v>-1031808.14</v>
      </c>
    </row>
    <row r="359" spans="1:11" ht="20.399999999999999" x14ac:dyDescent="0.3">
      <c r="A359" s="761" t="s">
        <v>4737</v>
      </c>
      <c r="B359" s="765">
        <v>2020</v>
      </c>
      <c r="C359" s="761" t="s">
        <v>2345</v>
      </c>
      <c r="D359" s="761" t="s">
        <v>2063</v>
      </c>
      <c r="E359" s="761" t="s">
        <v>7116</v>
      </c>
      <c r="F359" s="1187">
        <v>0</v>
      </c>
      <c r="G359" s="766"/>
      <c r="H359" s="767"/>
      <c r="I359" s="767"/>
      <c r="J359" s="1187">
        <v>0</v>
      </c>
      <c r="K359" s="1188">
        <v>0</v>
      </c>
    </row>
    <row r="360" spans="1:11" ht="20.399999999999999" x14ac:dyDescent="0.3">
      <c r="A360" s="761" t="s">
        <v>4737</v>
      </c>
      <c r="B360" s="765">
        <v>2020</v>
      </c>
      <c r="C360" s="761" t="s">
        <v>2345</v>
      </c>
      <c r="D360" s="761" t="s">
        <v>2064</v>
      </c>
      <c r="E360" s="761" t="s">
        <v>7116</v>
      </c>
      <c r="F360" s="1187">
        <v>0</v>
      </c>
      <c r="G360" s="766"/>
      <c r="H360" s="767"/>
      <c r="I360" s="767"/>
      <c r="J360" s="1187">
        <v>0</v>
      </c>
      <c r="K360" s="1188">
        <v>0</v>
      </c>
    </row>
    <row r="361" spans="1:11" ht="20.399999999999999" x14ac:dyDescent="0.3">
      <c r="A361" s="761" t="s">
        <v>4737</v>
      </c>
      <c r="B361" s="765">
        <v>2020</v>
      </c>
      <c r="C361" s="761" t="s">
        <v>2345</v>
      </c>
      <c r="D361" s="761" t="s">
        <v>2065</v>
      </c>
      <c r="E361" s="761" t="s">
        <v>7116</v>
      </c>
      <c r="F361" s="1187">
        <v>-3616.24</v>
      </c>
      <c r="G361" s="766"/>
      <c r="H361" s="767"/>
      <c r="I361" s="767"/>
      <c r="J361" s="1187">
        <v>0</v>
      </c>
      <c r="K361" s="1188">
        <v>-3616.24</v>
      </c>
    </row>
    <row r="362" spans="1:11" ht="20.399999999999999" x14ac:dyDescent="0.3">
      <c r="A362" s="761" t="s">
        <v>4737</v>
      </c>
      <c r="B362" s="765">
        <v>2020</v>
      </c>
      <c r="C362" s="761" t="s">
        <v>2345</v>
      </c>
      <c r="D362" s="761" t="s">
        <v>2066</v>
      </c>
      <c r="E362" s="761" t="s">
        <v>7116</v>
      </c>
      <c r="F362" s="1187">
        <v>-176758.91</v>
      </c>
      <c r="G362" s="766"/>
      <c r="H362" s="767"/>
      <c r="I362" s="767"/>
      <c r="J362" s="1187">
        <v>0</v>
      </c>
      <c r="K362" s="1188">
        <v>-176758.91</v>
      </c>
    </row>
    <row r="363" spans="1:11" ht="30.6" x14ac:dyDescent="0.3">
      <c r="A363" s="761" t="s">
        <v>4737</v>
      </c>
      <c r="B363" s="765">
        <v>2020</v>
      </c>
      <c r="C363" s="761" t="s">
        <v>2346</v>
      </c>
      <c r="D363" s="761" t="s">
        <v>43</v>
      </c>
      <c r="E363" s="761" t="s">
        <v>7117</v>
      </c>
      <c r="F363" s="1187">
        <v>1013999.12</v>
      </c>
      <c r="G363" s="761" t="s">
        <v>631</v>
      </c>
      <c r="H363" s="1187">
        <v>993509.3125</v>
      </c>
      <c r="I363" s="1187">
        <v>20489.830078125</v>
      </c>
      <c r="J363" s="1187">
        <v>1013999.125</v>
      </c>
      <c r="K363" s="1188">
        <v>1013999.12</v>
      </c>
    </row>
    <row r="364" spans="1:11" ht="30.6" x14ac:dyDescent="0.3">
      <c r="A364" s="761" t="s">
        <v>4737</v>
      </c>
      <c r="B364" s="765">
        <v>2020</v>
      </c>
      <c r="C364" s="761" t="s">
        <v>2347</v>
      </c>
      <c r="D364" s="761" t="s">
        <v>44</v>
      </c>
      <c r="E364" s="761" t="s">
        <v>7118</v>
      </c>
      <c r="F364" s="1187">
        <v>638910.34</v>
      </c>
      <c r="G364" s="761" t="s">
        <v>631</v>
      </c>
      <c r="H364" s="1187">
        <v>617253.375</v>
      </c>
      <c r="I364" s="1187">
        <v>21656.94921875</v>
      </c>
      <c r="J364" s="1187">
        <v>638910.3125</v>
      </c>
      <c r="K364" s="1188">
        <v>638910.34</v>
      </c>
    </row>
    <row r="365" spans="1:11" ht="30.6" x14ac:dyDescent="0.3">
      <c r="A365" s="761" t="s">
        <v>4737</v>
      </c>
      <c r="B365" s="765">
        <v>2020</v>
      </c>
      <c r="C365" s="761" t="s">
        <v>2348</v>
      </c>
      <c r="D365" s="761" t="s">
        <v>46</v>
      </c>
      <c r="E365" s="761" t="s">
        <v>7119</v>
      </c>
      <c r="F365" s="1187">
        <v>-840999</v>
      </c>
      <c r="G365" s="761" t="s">
        <v>631</v>
      </c>
      <c r="H365" s="1187">
        <v>-830033.375</v>
      </c>
      <c r="I365" s="1187">
        <v>-10965.6201171875</v>
      </c>
      <c r="J365" s="1187">
        <v>-840999</v>
      </c>
      <c r="K365" s="1188">
        <v>-840999</v>
      </c>
    </row>
    <row r="366" spans="1:11" ht="20.399999999999999" x14ac:dyDescent="0.3">
      <c r="A366" s="761" t="s">
        <v>4737</v>
      </c>
      <c r="B366" s="765">
        <v>2020</v>
      </c>
      <c r="C366" s="761" t="s">
        <v>2349</v>
      </c>
      <c r="D366" s="761" t="s">
        <v>339</v>
      </c>
      <c r="E366" s="761" t="s">
        <v>7120</v>
      </c>
      <c r="F366" s="1187">
        <v>-1124587.6000000001</v>
      </c>
      <c r="G366" s="761" t="s">
        <v>631</v>
      </c>
      <c r="H366" s="1187">
        <v>-1095269</v>
      </c>
      <c r="I366" s="1187">
        <v>-29318.609375</v>
      </c>
      <c r="J366" s="1187">
        <v>-1124587.625</v>
      </c>
      <c r="K366" s="1188">
        <v>-1124587.6000000001</v>
      </c>
    </row>
    <row r="367" spans="1:11" ht="40.799999999999997" x14ac:dyDescent="0.3">
      <c r="A367" s="761" t="s">
        <v>4737</v>
      </c>
      <c r="B367" s="765">
        <v>2020</v>
      </c>
      <c r="C367" s="761" t="s">
        <v>2350</v>
      </c>
      <c r="D367" s="761" t="s">
        <v>633</v>
      </c>
      <c r="E367" s="761" t="s">
        <v>7121</v>
      </c>
      <c r="F367" s="1187">
        <v>0</v>
      </c>
      <c r="G367" s="761" t="s">
        <v>631</v>
      </c>
      <c r="H367" s="767"/>
      <c r="I367" s="767"/>
      <c r="J367" s="1187">
        <v>0</v>
      </c>
      <c r="K367" s="1188">
        <v>0</v>
      </c>
    </row>
    <row r="368" spans="1:11" ht="40.799999999999997" x14ac:dyDescent="0.3">
      <c r="A368" s="761" t="s">
        <v>4737</v>
      </c>
      <c r="B368" s="765">
        <v>2020</v>
      </c>
      <c r="C368" s="761" t="s">
        <v>2350</v>
      </c>
      <c r="D368" s="761" t="s">
        <v>634</v>
      </c>
      <c r="E368" s="761" t="s">
        <v>7122</v>
      </c>
      <c r="F368" s="1187">
        <v>0</v>
      </c>
      <c r="G368" s="761" t="s">
        <v>631</v>
      </c>
      <c r="H368" s="767"/>
      <c r="I368" s="767"/>
      <c r="J368" s="1187">
        <v>0</v>
      </c>
      <c r="K368" s="1188">
        <v>0</v>
      </c>
    </row>
    <row r="369" spans="1:11" ht="40.799999999999997" x14ac:dyDescent="0.3">
      <c r="A369" s="761" t="s">
        <v>4737</v>
      </c>
      <c r="B369" s="765">
        <v>2020</v>
      </c>
      <c r="C369" s="761" t="s">
        <v>2350</v>
      </c>
      <c r="D369" s="761" t="s">
        <v>635</v>
      </c>
      <c r="E369" s="761" t="s">
        <v>7123</v>
      </c>
      <c r="F369" s="1187">
        <v>0</v>
      </c>
      <c r="G369" s="761" t="s">
        <v>631</v>
      </c>
      <c r="H369" s="767"/>
      <c r="I369" s="767"/>
      <c r="J369" s="1187">
        <v>0</v>
      </c>
      <c r="K369" s="1188">
        <v>0</v>
      </c>
    </row>
    <row r="370" spans="1:11" ht="40.799999999999997" x14ac:dyDescent="0.3">
      <c r="A370" s="761" t="s">
        <v>4737</v>
      </c>
      <c r="B370" s="765">
        <v>2020</v>
      </c>
      <c r="C370" s="761" t="s">
        <v>2350</v>
      </c>
      <c r="D370" s="761" t="s">
        <v>636</v>
      </c>
      <c r="E370" s="761" t="s">
        <v>7124</v>
      </c>
      <c r="F370" s="1187">
        <v>0</v>
      </c>
      <c r="G370" s="761" t="s">
        <v>631</v>
      </c>
      <c r="H370" s="767"/>
      <c r="I370" s="767"/>
      <c r="J370" s="1187">
        <v>0</v>
      </c>
      <c r="K370" s="1188">
        <v>0</v>
      </c>
    </row>
    <row r="371" spans="1:11" ht="40.799999999999997" x14ac:dyDescent="0.3">
      <c r="A371" s="761" t="s">
        <v>4737</v>
      </c>
      <c r="B371" s="765">
        <v>2020</v>
      </c>
      <c r="C371" s="761" t="s">
        <v>2350</v>
      </c>
      <c r="D371" s="761" t="s">
        <v>637</v>
      </c>
      <c r="E371" s="761" t="s">
        <v>7125</v>
      </c>
      <c r="F371" s="1187">
        <v>0</v>
      </c>
      <c r="G371" s="761" t="s">
        <v>631</v>
      </c>
      <c r="H371" s="767"/>
      <c r="I371" s="767"/>
      <c r="J371" s="1187">
        <v>0</v>
      </c>
      <c r="K371" s="1188">
        <v>0</v>
      </c>
    </row>
    <row r="372" spans="1:11" ht="40.799999999999997" x14ac:dyDescent="0.3">
      <c r="A372" s="761" t="s">
        <v>4737</v>
      </c>
      <c r="B372" s="765">
        <v>2020</v>
      </c>
      <c r="C372" s="761" t="s">
        <v>2350</v>
      </c>
      <c r="D372" s="761" t="s">
        <v>638</v>
      </c>
      <c r="E372" s="761" t="s">
        <v>7126</v>
      </c>
      <c r="F372" s="1187">
        <v>0</v>
      </c>
      <c r="G372" s="761" t="s">
        <v>631</v>
      </c>
      <c r="H372" s="767"/>
      <c r="I372" s="767"/>
      <c r="J372" s="1187">
        <v>0</v>
      </c>
      <c r="K372" s="1188">
        <v>0</v>
      </c>
    </row>
    <row r="373" spans="1:11" ht="40.799999999999997" x14ac:dyDescent="0.3">
      <c r="A373" s="761" t="s">
        <v>4737</v>
      </c>
      <c r="B373" s="765">
        <v>2020</v>
      </c>
      <c r="C373" s="761" t="s">
        <v>2350</v>
      </c>
      <c r="D373" s="761" t="s">
        <v>639</v>
      </c>
      <c r="E373" s="761" t="s">
        <v>7127</v>
      </c>
      <c r="F373" s="1187">
        <v>0</v>
      </c>
      <c r="G373" s="761" t="s">
        <v>631</v>
      </c>
      <c r="H373" s="767"/>
      <c r="I373" s="767"/>
      <c r="J373" s="1187">
        <v>0</v>
      </c>
      <c r="K373" s="1188">
        <v>0</v>
      </c>
    </row>
    <row r="374" spans="1:11" ht="40.799999999999997" x14ac:dyDescent="0.3">
      <c r="A374" s="761" t="s">
        <v>4737</v>
      </c>
      <c r="B374" s="765">
        <v>2020</v>
      </c>
      <c r="C374" s="761" t="s">
        <v>2350</v>
      </c>
      <c r="D374" s="761" t="s">
        <v>1613</v>
      </c>
      <c r="E374" s="761" t="s">
        <v>7128</v>
      </c>
      <c r="F374" s="1187">
        <v>0</v>
      </c>
      <c r="G374" s="761" t="s">
        <v>631</v>
      </c>
      <c r="H374" s="767"/>
      <c r="I374" s="767"/>
      <c r="J374" s="1187">
        <v>0</v>
      </c>
      <c r="K374" s="1188">
        <v>0</v>
      </c>
    </row>
    <row r="375" spans="1:11" ht="40.799999999999997" x14ac:dyDescent="0.3">
      <c r="A375" s="761" t="s">
        <v>4737</v>
      </c>
      <c r="B375" s="765">
        <v>2020</v>
      </c>
      <c r="C375" s="761" t="s">
        <v>2350</v>
      </c>
      <c r="D375" s="761" t="s">
        <v>2067</v>
      </c>
      <c r="E375" s="761" t="s">
        <v>7129</v>
      </c>
      <c r="F375" s="1187">
        <v>0</v>
      </c>
      <c r="G375" s="761" t="s">
        <v>631</v>
      </c>
      <c r="H375" s="767"/>
      <c r="I375" s="767"/>
      <c r="J375" s="1187">
        <v>0</v>
      </c>
      <c r="K375" s="1188">
        <v>0</v>
      </c>
    </row>
    <row r="376" spans="1:11" ht="40.799999999999997" x14ac:dyDescent="0.3">
      <c r="A376" s="761" t="s">
        <v>4737</v>
      </c>
      <c r="B376" s="765">
        <v>2020</v>
      </c>
      <c r="C376" s="761" t="s">
        <v>2350</v>
      </c>
      <c r="D376" s="761" t="s">
        <v>3762</v>
      </c>
      <c r="E376" s="761" t="s">
        <v>7130</v>
      </c>
      <c r="F376" s="1187">
        <v>0</v>
      </c>
      <c r="G376" s="761" t="s">
        <v>631</v>
      </c>
      <c r="H376" s="1187">
        <v>-40248.828125</v>
      </c>
      <c r="I376" s="1187">
        <v>-250496.046875</v>
      </c>
      <c r="J376" s="1187">
        <v>-290744.875</v>
      </c>
      <c r="K376" s="1188">
        <v>-290744.88</v>
      </c>
    </row>
    <row r="377" spans="1:11" ht="40.799999999999997" x14ac:dyDescent="0.3">
      <c r="A377" s="761" t="s">
        <v>4737</v>
      </c>
      <c r="B377" s="765">
        <v>2020</v>
      </c>
      <c r="C377" s="761" t="s">
        <v>2350</v>
      </c>
      <c r="D377" s="761" t="s">
        <v>4844</v>
      </c>
      <c r="E377" s="761" t="s">
        <v>7131</v>
      </c>
      <c r="F377" s="1187">
        <v>0</v>
      </c>
      <c r="G377" s="761" t="s">
        <v>631</v>
      </c>
      <c r="H377" s="1187">
        <v>554254.5</v>
      </c>
      <c r="I377" s="1187">
        <v>38220.71875</v>
      </c>
      <c r="J377" s="1187">
        <v>592475.25</v>
      </c>
      <c r="K377" s="1188">
        <v>592475.22</v>
      </c>
    </row>
    <row r="378" spans="1:11" ht="40.799999999999997" x14ac:dyDescent="0.3">
      <c r="A378" s="761" t="s">
        <v>4737</v>
      </c>
      <c r="B378" s="765">
        <v>2020</v>
      </c>
      <c r="C378" s="761" t="s">
        <v>2350</v>
      </c>
      <c r="D378" s="761" t="s">
        <v>7101</v>
      </c>
      <c r="E378" s="761" t="s">
        <v>7132</v>
      </c>
      <c r="F378" s="1187">
        <v>0</v>
      </c>
      <c r="G378" s="761" t="s">
        <v>631</v>
      </c>
      <c r="H378" s="1187">
        <v>-81129.5078125</v>
      </c>
      <c r="I378" s="1187">
        <v>-5283.02978515625</v>
      </c>
      <c r="J378" s="1187">
        <v>-86412.5390625</v>
      </c>
      <c r="K378" s="1188">
        <v>-86412.54</v>
      </c>
    </row>
    <row r="379" spans="1:11" ht="40.799999999999997" x14ac:dyDescent="0.3">
      <c r="A379" s="761" t="s">
        <v>4737</v>
      </c>
      <c r="B379" s="765">
        <v>2020</v>
      </c>
      <c r="C379" s="761" t="s">
        <v>2350</v>
      </c>
      <c r="D379" s="761" t="s">
        <v>640</v>
      </c>
      <c r="E379" s="761" t="s">
        <v>7133</v>
      </c>
      <c r="F379" s="1187">
        <v>215317.8</v>
      </c>
      <c r="G379" s="766"/>
      <c r="H379" s="767"/>
      <c r="I379" s="767"/>
      <c r="J379" s="1187">
        <v>0</v>
      </c>
      <c r="K379" s="1188">
        <v>215317.8</v>
      </c>
    </row>
    <row r="380" spans="1:11" ht="20.399999999999999" x14ac:dyDescent="0.3">
      <c r="A380" s="761" t="s">
        <v>4649</v>
      </c>
      <c r="B380" s="765">
        <v>2020</v>
      </c>
      <c r="C380" s="761" t="s">
        <v>2342</v>
      </c>
      <c r="D380" s="761" t="s">
        <v>45</v>
      </c>
      <c r="E380" s="761" t="s">
        <v>4845</v>
      </c>
      <c r="F380" s="1187">
        <v>1121724.95</v>
      </c>
      <c r="G380" s="761" t="s">
        <v>631</v>
      </c>
      <c r="H380" s="1187">
        <v>1097696.125</v>
      </c>
      <c r="I380" s="1187">
        <v>24028.76953125</v>
      </c>
      <c r="J380" s="1187">
        <v>1121725</v>
      </c>
      <c r="K380" s="1188">
        <v>1121724.95</v>
      </c>
    </row>
    <row r="381" spans="1:11" ht="30.6" x14ac:dyDescent="0.3">
      <c r="A381" s="761" t="s">
        <v>4649</v>
      </c>
      <c r="B381" s="765">
        <v>2020</v>
      </c>
      <c r="C381" s="761" t="s">
        <v>2343</v>
      </c>
      <c r="D381" s="761" t="s">
        <v>632</v>
      </c>
      <c r="E381" s="761" t="s">
        <v>4846</v>
      </c>
      <c r="F381" s="1187">
        <v>-25810.18</v>
      </c>
      <c r="G381" s="761" t="s">
        <v>631</v>
      </c>
      <c r="H381" s="1187">
        <v>-25015.390625</v>
      </c>
      <c r="I381" s="1187">
        <v>-794.78997802734398</v>
      </c>
      <c r="J381" s="1187">
        <v>-25810.1796875</v>
      </c>
      <c r="K381" s="1188">
        <v>-25810.18</v>
      </c>
    </row>
    <row r="382" spans="1:11" ht="20.399999999999999" x14ac:dyDescent="0.3">
      <c r="A382" s="761" t="s">
        <v>4649</v>
      </c>
      <c r="B382" s="765">
        <v>2020</v>
      </c>
      <c r="C382" s="761" t="s">
        <v>2344</v>
      </c>
      <c r="D382" s="761" t="s">
        <v>452</v>
      </c>
      <c r="E382" s="761" t="s">
        <v>4847</v>
      </c>
      <c r="F382" s="1187">
        <v>312629.43</v>
      </c>
      <c r="G382" s="766"/>
      <c r="H382" s="767"/>
      <c r="I382" s="767"/>
      <c r="J382" s="1187">
        <v>0</v>
      </c>
      <c r="K382" s="1188">
        <v>312629.43</v>
      </c>
    </row>
    <row r="383" spans="1:11" ht="20.399999999999999" x14ac:dyDescent="0.3">
      <c r="A383" s="761" t="s">
        <v>4649</v>
      </c>
      <c r="B383" s="765">
        <v>2020</v>
      </c>
      <c r="C383" s="761" t="s">
        <v>2345</v>
      </c>
      <c r="D383" s="761" t="s">
        <v>42</v>
      </c>
      <c r="E383" s="761" t="s">
        <v>4848</v>
      </c>
      <c r="F383" s="1187">
        <v>-114287.34</v>
      </c>
      <c r="G383" s="761" t="s">
        <v>631</v>
      </c>
      <c r="H383" s="1187">
        <v>-107070.859375</v>
      </c>
      <c r="I383" s="1187">
        <v>-7216.47998046875</v>
      </c>
      <c r="J383" s="1187">
        <v>-114287.34375</v>
      </c>
      <c r="K383" s="1188">
        <v>-114287.34</v>
      </c>
    </row>
    <row r="384" spans="1:11" ht="20.399999999999999" x14ac:dyDescent="0.3">
      <c r="A384" s="761" t="s">
        <v>4649</v>
      </c>
      <c r="B384" s="765">
        <v>2020</v>
      </c>
      <c r="C384" s="761" t="s">
        <v>2345</v>
      </c>
      <c r="D384" s="761" t="s">
        <v>2063</v>
      </c>
      <c r="E384" s="761" t="s">
        <v>4848</v>
      </c>
      <c r="F384" s="1187">
        <v>0</v>
      </c>
      <c r="G384" s="766"/>
      <c r="H384" s="767"/>
      <c r="I384" s="767"/>
      <c r="J384" s="1187">
        <v>0</v>
      </c>
      <c r="K384" s="1188">
        <v>0</v>
      </c>
    </row>
    <row r="385" spans="1:11" ht="20.399999999999999" x14ac:dyDescent="0.3">
      <c r="A385" s="761" t="s">
        <v>4649</v>
      </c>
      <c r="B385" s="765">
        <v>2020</v>
      </c>
      <c r="C385" s="761" t="s">
        <v>2345</v>
      </c>
      <c r="D385" s="761" t="s">
        <v>2064</v>
      </c>
      <c r="E385" s="761" t="s">
        <v>4848</v>
      </c>
      <c r="F385" s="1187">
        <v>0</v>
      </c>
      <c r="G385" s="766"/>
      <c r="H385" s="767"/>
      <c r="I385" s="767"/>
      <c r="J385" s="1187">
        <v>0</v>
      </c>
      <c r="K385" s="1188">
        <v>0</v>
      </c>
    </row>
    <row r="386" spans="1:11" ht="20.399999999999999" x14ac:dyDescent="0.3">
      <c r="A386" s="761" t="s">
        <v>4649</v>
      </c>
      <c r="B386" s="765">
        <v>2020</v>
      </c>
      <c r="C386" s="761" t="s">
        <v>2345</v>
      </c>
      <c r="D386" s="761" t="s">
        <v>2065</v>
      </c>
      <c r="E386" s="761" t="s">
        <v>4848</v>
      </c>
      <c r="F386" s="1187">
        <v>-63.49</v>
      </c>
      <c r="G386" s="766"/>
      <c r="H386" s="767"/>
      <c r="I386" s="767"/>
      <c r="J386" s="1187">
        <v>0</v>
      </c>
      <c r="K386" s="1188">
        <v>-63.49</v>
      </c>
    </row>
    <row r="387" spans="1:11" ht="20.399999999999999" x14ac:dyDescent="0.3">
      <c r="A387" s="761" t="s">
        <v>4649</v>
      </c>
      <c r="B387" s="765">
        <v>2020</v>
      </c>
      <c r="C387" s="761" t="s">
        <v>2345</v>
      </c>
      <c r="D387" s="761" t="s">
        <v>2066</v>
      </c>
      <c r="E387" s="761" t="s">
        <v>4848</v>
      </c>
      <c r="F387" s="1187">
        <v>-26430.29</v>
      </c>
      <c r="G387" s="766"/>
      <c r="H387" s="767"/>
      <c r="I387" s="767"/>
      <c r="J387" s="1187">
        <v>0</v>
      </c>
      <c r="K387" s="1188">
        <v>-26430.29</v>
      </c>
    </row>
    <row r="388" spans="1:11" ht="30.6" x14ac:dyDescent="0.3">
      <c r="A388" s="761" t="s">
        <v>4649</v>
      </c>
      <c r="B388" s="765">
        <v>2020</v>
      </c>
      <c r="C388" s="761" t="s">
        <v>2346</v>
      </c>
      <c r="D388" s="761" t="s">
        <v>43</v>
      </c>
      <c r="E388" s="761" t="s">
        <v>4849</v>
      </c>
      <c r="F388" s="1187">
        <v>52533</v>
      </c>
      <c r="G388" s="761" t="s">
        <v>631</v>
      </c>
      <c r="H388" s="1187">
        <v>51267.01171875</v>
      </c>
      <c r="I388" s="1187">
        <v>1265.98999023438</v>
      </c>
      <c r="J388" s="1187">
        <v>52533</v>
      </c>
      <c r="K388" s="1188">
        <v>52533</v>
      </c>
    </row>
    <row r="389" spans="1:11" ht="30.6" x14ac:dyDescent="0.3">
      <c r="A389" s="761" t="s">
        <v>4649</v>
      </c>
      <c r="B389" s="765">
        <v>2020</v>
      </c>
      <c r="C389" s="761" t="s">
        <v>2347</v>
      </c>
      <c r="D389" s="761" t="s">
        <v>44</v>
      </c>
      <c r="E389" s="761" t="s">
        <v>4850</v>
      </c>
      <c r="F389" s="1187">
        <v>69165.64</v>
      </c>
      <c r="G389" s="761" t="s">
        <v>631</v>
      </c>
      <c r="H389" s="1187">
        <v>68083.5703125</v>
      </c>
      <c r="I389" s="1187">
        <v>1082.06994628906</v>
      </c>
      <c r="J389" s="1187">
        <v>69165.640625</v>
      </c>
      <c r="K389" s="1188">
        <v>69165.64</v>
      </c>
    </row>
    <row r="390" spans="1:11" ht="30.6" x14ac:dyDescent="0.3">
      <c r="A390" s="761" t="s">
        <v>4649</v>
      </c>
      <c r="B390" s="765">
        <v>2020</v>
      </c>
      <c r="C390" s="761" t="s">
        <v>2348</v>
      </c>
      <c r="D390" s="761" t="s">
        <v>46</v>
      </c>
      <c r="E390" s="761" t="s">
        <v>4851</v>
      </c>
      <c r="F390" s="1187">
        <v>-50780.82</v>
      </c>
      <c r="G390" s="761" t="s">
        <v>631</v>
      </c>
      <c r="H390" s="1187">
        <v>-38069.55859375</v>
      </c>
      <c r="I390" s="1187">
        <v>-12711.259765625</v>
      </c>
      <c r="J390" s="1187">
        <v>-50780.8203125</v>
      </c>
      <c r="K390" s="1188">
        <v>-50780.82</v>
      </c>
    </row>
    <row r="391" spans="1:11" ht="20.399999999999999" x14ac:dyDescent="0.3">
      <c r="A391" s="761" t="s">
        <v>4649</v>
      </c>
      <c r="B391" s="765">
        <v>2020</v>
      </c>
      <c r="C391" s="761" t="s">
        <v>2349</v>
      </c>
      <c r="D391" s="761" t="s">
        <v>339</v>
      </c>
      <c r="E391" s="761" t="s">
        <v>4852</v>
      </c>
      <c r="F391" s="1187">
        <v>104106.98</v>
      </c>
      <c r="G391" s="761" t="s">
        <v>631</v>
      </c>
      <c r="H391" s="1187">
        <v>78943.5234375</v>
      </c>
      <c r="I391" s="1187">
        <v>25163.4609375</v>
      </c>
      <c r="J391" s="1187">
        <v>104106.9765625</v>
      </c>
      <c r="K391" s="1188">
        <v>104106.98</v>
      </c>
    </row>
    <row r="392" spans="1:11" ht="40.799999999999997" x14ac:dyDescent="0.3">
      <c r="A392" s="761" t="s">
        <v>4649</v>
      </c>
      <c r="B392" s="765">
        <v>2020</v>
      </c>
      <c r="C392" s="761" t="s">
        <v>2350</v>
      </c>
      <c r="D392" s="761" t="s">
        <v>633</v>
      </c>
      <c r="E392" s="761" t="s">
        <v>4853</v>
      </c>
      <c r="F392" s="1187">
        <v>0</v>
      </c>
      <c r="G392" s="761" t="s">
        <v>631</v>
      </c>
      <c r="H392" s="767"/>
      <c r="I392" s="767"/>
      <c r="J392" s="1187">
        <v>0</v>
      </c>
      <c r="K392" s="1188">
        <v>0</v>
      </c>
    </row>
    <row r="393" spans="1:11" ht="40.799999999999997" x14ac:dyDescent="0.3">
      <c r="A393" s="761" t="s">
        <v>4649</v>
      </c>
      <c r="B393" s="765">
        <v>2020</v>
      </c>
      <c r="C393" s="761" t="s">
        <v>2350</v>
      </c>
      <c r="D393" s="761" t="s">
        <v>634</v>
      </c>
      <c r="E393" s="761" t="s">
        <v>4854</v>
      </c>
      <c r="F393" s="1187">
        <v>0</v>
      </c>
      <c r="G393" s="761" t="s">
        <v>631</v>
      </c>
      <c r="H393" s="767"/>
      <c r="I393" s="767"/>
      <c r="J393" s="1187">
        <v>0</v>
      </c>
      <c r="K393" s="1188">
        <v>0</v>
      </c>
    </row>
    <row r="394" spans="1:11" ht="40.799999999999997" x14ac:dyDescent="0.3">
      <c r="A394" s="761" t="s">
        <v>4649</v>
      </c>
      <c r="B394" s="765">
        <v>2020</v>
      </c>
      <c r="C394" s="761" t="s">
        <v>2350</v>
      </c>
      <c r="D394" s="761" t="s">
        <v>635</v>
      </c>
      <c r="E394" s="761" t="s">
        <v>4855</v>
      </c>
      <c r="F394" s="1187">
        <v>0</v>
      </c>
      <c r="G394" s="761" t="s">
        <v>631</v>
      </c>
      <c r="H394" s="767"/>
      <c r="I394" s="767"/>
      <c r="J394" s="1187">
        <v>0</v>
      </c>
      <c r="K394" s="1188">
        <v>0</v>
      </c>
    </row>
    <row r="395" spans="1:11" ht="40.799999999999997" x14ac:dyDescent="0.3">
      <c r="A395" s="761" t="s">
        <v>4649</v>
      </c>
      <c r="B395" s="765">
        <v>2020</v>
      </c>
      <c r="C395" s="761" t="s">
        <v>2350</v>
      </c>
      <c r="D395" s="761" t="s">
        <v>636</v>
      </c>
      <c r="E395" s="761" t="s">
        <v>4856</v>
      </c>
      <c r="F395" s="1187">
        <v>0</v>
      </c>
      <c r="G395" s="761" t="s">
        <v>631</v>
      </c>
      <c r="H395" s="767"/>
      <c r="I395" s="767"/>
      <c r="J395" s="1187">
        <v>0</v>
      </c>
      <c r="K395" s="1188">
        <v>0</v>
      </c>
    </row>
    <row r="396" spans="1:11" ht="40.799999999999997" x14ac:dyDescent="0.3">
      <c r="A396" s="761" t="s">
        <v>4649</v>
      </c>
      <c r="B396" s="765">
        <v>2020</v>
      </c>
      <c r="C396" s="761" t="s">
        <v>2350</v>
      </c>
      <c r="D396" s="761" t="s">
        <v>637</v>
      </c>
      <c r="E396" s="761" t="s">
        <v>4857</v>
      </c>
      <c r="F396" s="1187">
        <v>0</v>
      </c>
      <c r="G396" s="761" t="s">
        <v>631</v>
      </c>
      <c r="H396" s="767"/>
      <c r="I396" s="767"/>
      <c r="J396" s="1187">
        <v>0</v>
      </c>
      <c r="K396" s="1188">
        <v>0</v>
      </c>
    </row>
    <row r="397" spans="1:11" ht="40.799999999999997" x14ac:dyDescent="0.3">
      <c r="A397" s="761" t="s">
        <v>4649</v>
      </c>
      <c r="B397" s="765">
        <v>2020</v>
      </c>
      <c r="C397" s="761" t="s">
        <v>2350</v>
      </c>
      <c r="D397" s="761" t="s">
        <v>638</v>
      </c>
      <c r="E397" s="761" t="s">
        <v>4858</v>
      </c>
      <c r="F397" s="1187">
        <v>0</v>
      </c>
      <c r="G397" s="761" t="s">
        <v>631</v>
      </c>
      <c r="H397" s="767"/>
      <c r="I397" s="767"/>
      <c r="J397" s="1187">
        <v>0</v>
      </c>
      <c r="K397" s="1188">
        <v>0</v>
      </c>
    </row>
    <row r="398" spans="1:11" ht="40.799999999999997" x14ac:dyDescent="0.3">
      <c r="A398" s="761" t="s">
        <v>4649</v>
      </c>
      <c r="B398" s="765">
        <v>2020</v>
      </c>
      <c r="C398" s="761" t="s">
        <v>2350</v>
      </c>
      <c r="D398" s="761" t="s">
        <v>639</v>
      </c>
      <c r="E398" s="761" t="s">
        <v>4859</v>
      </c>
      <c r="F398" s="1187">
        <v>0</v>
      </c>
      <c r="G398" s="761" t="s">
        <v>631</v>
      </c>
      <c r="H398" s="767"/>
      <c r="I398" s="767"/>
      <c r="J398" s="1187">
        <v>0</v>
      </c>
      <c r="K398" s="1188">
        <v>0</v>
      </c>
    </row>
    <row r="399" spans="1:11" ht="40.799999999999997" x14ac:dyDescent="0.3">
      <c r="A399" s="761" t="s">
        <v>4649</v>
      </c>
      <c r="B399" s="765">
        <v>2020</v>
      </c>
      <c r="C399" s="761" t="s">
        <v>2350</v>
      </c>
      <c r="D399" s="761" t="s">
        <v>1613</v>
      </c>
      <c r="E399" s="761" t="s">
        <v>4860</v>
      </c>
      <c r="F399" s="1187">
        <v>0</v>
      </c>
      <c r="G399" s="761" t="s">
        <v>631</v>
      </c>
      <c r="H399" s="767"/>
      <c r="I399" s="767"/>
      <c r="J399" s="1187">
        <v>0</v>
      </c>
      <c r="K399" s="1188">
        <v>0</v>
      </c>
    </row>
    <row r="400" spans="1:11" ht="40.799999999999997" x14ac:dyDescent="0.3">
      <c r="A400" s="761" t="s">
        <v>4649</v>
      </c>
      <c r="B400" s="765">
        <v>2020</v>
      </c>
      <c r="C400" s="761" t="s">
        <v>2350</v>
      </c>
      <c r="D400" s="761" t="s">
        <v>2067</v>
      </c>
      <c r="E400" s="761" t="s">
        <v>4861</v>
      </c>
      <c r="F400" s="1187">
        <v>0</v>
      </c>
      <c r="G400" s="761" t="s">
        <v>631</v>
      </c>
      <c r="H400" s="767"/>
      <c r="I400" s="767"/>
      <c r="J400" s="1187">
        <v>0</v>
      </c>
      <c r="K400" s="1188">
        <v>0</v>
      </c>
    </row>
    <row r="401" spans="1:11" ht="40.799999999999997" x14ac:dyDescent="0.3">
      <c r="A401" s="761" t="s">
        <v>4649</v>
      </c>
      <c r="B401" s="765">
        <v>2020</v>
      </c>
      <c r="C401" s="761" t="s">
        <v>2350</v>
      </c>
      <c r="D401" s="761" t="s">
        <v>3762</v>
      </c>
      <c r="E401" s="761" t="s">
        <v>4862</v>
      </c>
      <c r="F401" s="1187">
        <v>0</v>
      </c>
      <c r="G401" s="761" t="s">
        <v>631</v>
      </c>
      <c r="H401" s="767"/>
      <c r="I401" s="767"/>
      <c r="J401" s="1187">
        <v>0</v>
      </c>
      <c r="K401" s="1188">
        <v>0</v>
      </c>
    </row>
    <row r="402" spans="1:11" ht="40.799999999999997" x14ac:dyDescent="0.3">
      <c r="A402" s="761" t="s">
        <v>4649</v>
      </c>
      <c r="B402" s="765">
        <v>2020</v>
      </c>
      <c r="C402" s="761" t="s">
        <v>2350</v>
      </c>
      <c r="D402" s="761" t="s">
        <v>4844</v>
      </c>
      <c r="E402" s="761" t="s">
        <v>5788</v>
      </c>
      <c r="F402" s="1187">
        <v>0</v>
      </c>
      <c r="G402" s="761" t="s">
        <v>631</v>
      </c>
      <c r="H402" s="1187">
        <v>345895.15625</v>
      </c>
      <c r="I402" s="1187">
        <v>46852.5703125</v>
      </c>
      <c r="J402" s="1187">
        <v>392747.71875</v>
      </c>
      <c r="K402" s="1188">
        <v>392747.72</v>
      </c>
    </row>
    <row r="403" spans="1:11" ht="40.799999999999997" x14ac:dyDescent="0.3">
      <c r="A403" s="761" t="s">
        <v>4649</v>
      </c>
      <c r="B403" s="765">
        <v>2020</v>
      </c>
      <c r="C403" s="761" t="s">
        <v>2350</v>
      </c>
      <c r="D403" s="761" t="s">
        <v>7101</v>
      </c>
      <c r="E403" s="761" t="s">
        <v>7134</v>
      </c>
      <c r="F403" s="1187">
        <v>0</v>
      </c>
      <c r="G403" s="761" t="s">
        <v>631</v>
      </c>
      <c r="H403" s="1187">
        <v>205181.4375</v>
      </c>
      <c r="I403" s="1187">
        <v>16444.91015625</v>
      </c>
      <c r="J403" s="1187">
        <v>221626.34375</v>
      </c>
      <c r="K403" s="1188">
        <v>221626.35</v>
      </c>
    </row>
    <row r="404" spans="1:11" ht="40.799999999999997" x14ac:dyDescent="0.3">
      <c r="A404" s="761" t="s">
        <v>4649</v>
      </c>
      <c r="B404" s="765">
        <v>2020</v>
      </c>
      <c r="C404" s="761" t="s">
        <v>2350</v>
      </c>
      <c r="D404" s="761" t="s">
        <v>640</v>
      </c>
      <c r="E404" s="761" t="s">
        <v>4863</v>
      </c>
      <c r="F404" s="1187">
        <v>614374.06999999995</v>
      </c>
      <c r="G404" s="766"/>
      <c r="H404" s="767"/>
      <c r="I404" s="767"/>
      <c r="J404" s="1187">
        <v>0</v>
      </c>
      <c r="K404" s="1188">
        <v>614374.06999999995</v>
      </c>
    </row>
    <row r="405" spans="1:11" x14ac:dyDescent="0.3">
      <c r="A405" s="761" t="s">
        <v>6898</v>
      </c>
      <c r="B405" s="765">
        <v>2020</v>
      </c>
      <c r="C405" s="761" t="s">
        <v>2342</v>
      </c>
      <c r="D405" s="761" t="s">
        <v>45</v>
      </c>
      <c r="E405" s="761" t="s">
        <v>7135</v>
      </c>
      <c r="F405" s="1187">
        <v>499791.86</v>
      </c>
      <c r="G405" s="761" t="s">
        <v>631</v>
      </c>
      <c r="H405" s="1187">
        <v>484842.875</v>
      </c>
      <c r="I405" s="1187">
        <v>14949</v>
      </c>
      <c r="J405" s="1187">
        <v>499791.875</v>
      </c>
      <c r="K405" s="1188">
        <v>499791.86</v>
      </c>
    </row>
    <row r="406" spans="1:11" ht="30.6" x14ac:dyDescent="0.3">
      <c r="A406" s="761" t="s">
        <v>6898</v>
      </c>
      <c r="B406" s="765">
        <v>2020</v>
      </c>
      <c r="C406" s="761" t="s">
        <v>2343</v>
      </c>
      <c r="D406" s="761" t="s">
        <v>632</v>
      </c>
      <c r="E406" s="761" t="s">
        <v>7136</v>
      </c>
      <c r="F406" s="1187">
        <v>-39139.61</v>
      </c>
      <c r="G406" s="761" t="s">
        <v>631</v>
      </c>
      <c r="H406" s="1187">
        <v>-38289.05078125</v>
      </c>
      <c r="I406" s="1187">
        <v>-850.55999755859398</v>
      </c>
      <c r="J406" s="1187">
        <v>-39139.609375</v>
      </c>
      <c r="K406" s="1188">
        <v>-39139.61</v>
      </c>
    </row>
    <row r="407" spans="1:11" ht="20.399999999999999" x14ac:dyDescent="0.3">
      <c r="A407" s="761" t="s">
        <v>6898</v>
      </c>
      <c r="B407" s="765">
        <v>2020</v>
      </c>
      <c r="C407" s="761" t="s">
        <v>2344</v>
      </c>
      <c r="D407" s="761" t="s">
        <v>452</v>
      </c>
      <c r="E407" s="761" t="s">
        <v>7137</v>
      </c>
      <c r="F407" s="1187">
        <v>571353.16</v>
      </c>
      <c r="G407" s="766"/>
      <c r="H407" s="767"/>
      <c r="I407" s="767"/>
      <c r="J407" s="1187">
        <v>0</v>
      </c>
      <c r="K407" s="1188">
        <v>571353.16</v>
      </c>
    </row>
    <row r="408" spans="1:11" ht="20.399999999999999" x14ac:dyDescent="0.3">
      <c r="A408" s="761" t="s">
        <v>6898</v>
      </c>
      <c r="B408" s="765">
        <v>2020</v>
      </c>
      <c r="C408" s="761" t="s">
        <v>2345</v>
      </c>
      <c r="D408" s="761" t="s">
        <v>42</v>
      </c>
      <c r="E408" s="761" t="s">
        <v>7138</v>
      </c>
      <c r="F408" s="1187">
        <v>-293527.83</v>
      </c>
      <c r="G408" s="761" t="s">
        <v>631</v>
      </c>
      <c r="H408" s="1187">
        <v>-291328.59375</v>
      </c>
      <c r="I408" s="1187">
        <v>-2199.22998046875</v>
      </c>
      <c r="J408" s="1187">
        <v>-293527.84375</v>
      </c>
      <c r="K408" s="1188">
        <v>-293527.83</v>
      </c>
    </row>
    <row r="409" spans="1:11" ht="20.399999999999999" x14ac:dyDescent="0.3">
      <c r="A409" s="761" t="s">
        <v>6898</v>
      </c>
      <c r="B409" s="765">
        <v>2020</v>
      </c>
      <c r="C409" s="761" t="s">
        <v>2345</v>
      </c>
      <c r="D409" s="761" t="s">
        <v>2063</v>
      </c>
      <c r="E409" s="761" t="s">
        <v>7138</v>
      </c>
      <c r="F409" s="1187">
        <v>0</v>
      </c>
      <c r="G409" s="766"/>
      <c r="H409" s="767"/>
      <c r="I409" s="767"/>
      <c r="J409" s="1187">
        <v>0</v>
      </c>
      <c r="K409" s="1188">
        <v>0</v>
      </c>
    </row>
    <row r="410" spans="1:11" ht="20.399999999999999" x14ac:dyDescent="0.3">
      <c r="A410" s="761" t="s">
        <v>6898</v>
      </c>
      <c r="B410" s="765">
        <v>2020</v>
      </c>
      <c r="C410" s="761" t="s">
        <v>2345</v>
      </c>
      <c r="D410" s="761" t="s">
        <v>2064</v>
      </c>
      <c r="E410" s="761" t="s">
        <v>7138</v>
      </c>
      <c r="F410" s="1187">
        <v>0</v>
      </c>
      <c r="G410" s="766"/>
      <c r="H410" s="767"/>
      <c r="I410" s="767"/>
      <c r="J410" s="1187">
        <v>0</v>
      </c>
      <c r="K410" s="1188">
        <v>0</v>
      </c>
    </row>
    <row r="411" spans="1:11" ht="20.399999999999999" x14ac:dyDescent="0.3">
      <c r="A411" s="761" t="s">
        <v>6898</v>
      </c>
      <c r="B411" s="765">
        <v>2020</v>
      </c>
      <c r="C411" s="761" t="s">
        <v>2345</v>
      </c>
      <c r="D411" s="761" t="s">
        <v>2065</v>
      </c>
      <c r="E411" s="761" t="s">
        <v>7138</v>
      </c>
      <c r="F411" s="1187">
        <v>0</v>
      </c>
      <c r="G411" s="766"/>
      <c r="H411" s="767"/>
      <c r="I411" s="767"/>
      <c r="J411" s="1187">
        <v>0</v>
      </c>
      <c r="K411" s="1188">
        <v>0</v>
      </c>
    </row>
    <row r="412" spans="1:11" ht="20.399999999999999" x14ac:dyDescent="0.3">
      <c r="A412" s="761" t="s">
        <v>6898</v>
      </c>
      <c r="B412" s="765">
        <v>2020</v>
      </c>
      <c r="C412" s="761" t="s">
        <v>2345</v>
      </c>
      <c r="D412" s="761" t="s">
        <v>2066</v>
      </c>
      <c r="E412" s="761" t="s">
        <v>7138</v>
      </c>
      <c r="F412" s="1187">
        <v>0</v>
      </c>
      <c r="G412" s="766"/>
      <c r="H412" s="767"/>
      <c r="I412" s="767"/>
      <c r="J412" s="1187">
        <v>0</v>
      </c>
      <c r="K412" s="1188">
        <v>0</v>
      </c>
    </row>
    <row r="413" spans="1:11" ht="30.6" x14ac:dyDescent="0.3">
      <c r="A413" s="761" t="s">
        <v>6898</v>
      </c>
      <c r="B413" s="765">
        <v>2020</v>
      </c>
      <c r="C413" s="761" t="s">
        <v>2346</v>
      </c>
      <c r="D413" s="761" t="s">
        <v>43</v>
      </c>
      <c r="E413" s="761" t="s">
        <v>7139</v>
      </c>
      <c r="F413" s="1187">
        <v>-241248.63</v>
      </c>
      <c r="G413" s="761" t="s">
        <v>631</v>
      </c>
      <c r="H413" s="1187">
        <v>-234785.65625</v>
      </c>
      <c r="I413" s="1187">
        <v>-6462.97021484375</v>
      </c>
      <c r="J413" s="1187">
        <v>-241248.625</v>
      </c>
      <c r="K413" s="1188">
        <v>-241248.63</v>
      </c>
    </row>
    <row r="414" spans="1:11" ht="30.6" x14ac:dyDescent="0.3">
      <c r="A414" s="761" t="s">
        <v>6898</v>
      </c>
      <c r="B414" s="765">
        <v>2020</v>
      </c>
      <c r="C414" s="761" t="s">
        <v>2347</v>
      </c>
      <c r="D414" s="761" t="s">
        <v>44</v>
      </c>
      <c r="E414" s="761" t="s">
        <v>7140</v>
      </c>
      <c r="F414" s="1187">
        <v>3369.25</v>
      </c>
      <c r="G414" s="761" t="s">
        <v>631</v>
      </c>
      <c r="H414" s="1187">
        <v>2041.15002441406</v>
      </c>
      <c r="I414" s="1187">
        <v>1328.09997558594</v>
      </c>
      <c r="J414" s="1187">
        <v>3369.25</v>
      </c>
      <c r="K414" s="1188">
        <v>3369.25</v>
      </c>
    </row>
    <row r="415" spans="1:11" ht="30.6" x14ac:dyDescent="0.3">
      <c r="A415" s="761" t="s">
        <v>6898</v>
      </c>
      <c r="B415" s="765">
        <v>2020</v>
      </c>
      <c r="C415" s="761" t="s">
        <v>2348</v>
      </c>
      <c r="D415" s="761" t="s">
        <v>46</v>
      </c>
      <c r="E415" s="761" t="s">
        <v>7141</v>
      </c>
      <c r="F415" s="1187">
        <v>3784987.03</v>
      </c>
      <c r="G415" s="761" t="s">
        <v>631</v>
      </c>
      <c r="H415" s="1187">
        <v>3691215.25</v>
      </c>
      <c r="I415" s="1187">
        <v>93771.8125</v>
      </c>
      <c r="J415" s="1187">
        <v>3784987</v>
      </c>
      <c r="K415" s="1188">
        <v>3784987.03</v>
      </c>
    </row>
    <row r="416" spans="1:11" ht="20.399999999999999" x14ac:dyDescent="0.3">
      <c r="A416" s="761" t="s">
        <v>6898</v>
      </c>
      <c r="B416" s="765">
        <v>2020</v>
      </c>
      <c r="C416" s="761" t="s">
        <v>2349</v>
      </c>
      <c r="D416" s="761" t="s">
        <v>339</v>
      </c>
      <c r="E416" s="761" t="s">
        <v>7142</v>
      </c>
      <c r="F416" s="1187">
        <v>864571.77</v>
      </c>
      <c r="G416" s="761" t="s">
        <v>631</v>
      </c>
      <c r="H416" s="1187">
        <v>813761.75</v>
      </c>
      <c r="I416" s="1187">
        <v>50810.03125</v>
      </c>
      <c r="J416" s="1187">
        <v>864571.75</v>
      </c>
      <c r="K416" s="1188">
        <v>864571.77</v>
      </c>
    </row>
    <row r="417" spans="1:11" ht="40.799999999999997" x14ac:dyDescent="0.3">
      <c r="A417" s="761" t="s">
        <v>6898</v>
      </c>
      <c r="B417" s="765">
        <v>2020</v>
      </c>
      <c r="C417" s="761" t="s">
        <v>2350</v>
      </c>
      <c r="D417" s="761" t="s">
        <v>633</v>
      </c>
      <c r="E417" s="761" t="s">
        <v>7143</v>
      </c>
      <c r="F417" s="1187">
        <v>0</v>
      </c>
      <c r="G417" s="761" t="s">
        <v>631</v>
      </c>
      <c r="H417" s="767"/>
      <c r="I417" s="767"/>
      <c r="J417" s="1187">
        <v>0</v>
      </c>
      <c r="K417" s="1188">
        <v>0</v>
      </c>
    </row>
    <row r="418" spans="1:11" ht="40.799999999999997" x14ac:dyDescent="0.3">
      <c r="A418" s="761" t="s">
        <v>6898</v>
      </c>
      <c r="B418" s="765">
        <v>2020</v>
      </c>
      <c r="C418" s="761" t="s">
        <v>2350</v>
      </c>
      <c r="D418" s="761" t="s">
        <v>634</v>
      </c>
      <c r="E418" s="761" t="s">
        <v>7144</v>
      </c>
      <c r="F418" s="1187">
        <v>0</v>
      </c>
      <c r="G418" s="761" t="s">
        <v>631</v>
      </c>
      <c r="H418" s="767"/>
      <c r="I418" s="767"/>
      <c r="J418" s="1187">
        <v>0</v>
      </c>
      <c r="K418" s="1188">
        <v>0</v>
      </c>
    </row>
    <row r="419" spans="1:11" ht="40.799999999999997" x14ac:dyDescent="0.3">
      <c r="A419" s="761" t="s">
        <v>6898</v>
      </c>
      <c r="B419" s="765">
        <v>2020</v>
      </c>
      <c r="C419" s="761" t="s">
        <v>2350</v>
      </c>
      <c r="D419" s="761" t="s">
        <v>635</v>
      </c>
      <c r="E419" s="761" t="s">
        <v>7145</v>
      </c>
      <c r="F419" s="1187">
        <v>0</v>
      </c>
      <c r="G419" s="761" t="s">
        <v>631</v>
      </c>
      <c r="H419" s="767"/>
      <c r="I419" s="767"/>
      <c r="J419" s="1187">
        <v>0</v>
      </c>
      <c r="K419" s="1188">
        <v>0</v>
      </c>
    </row>
    <row r="420" spans="1:11" ht="40.799999999999997" x14ac:dyDescent="0.3">
      <c r="A420" s="761" t="s">
        <v>6898</v>
      </c>
      <c r="B420" s="765">
        <v>2020</v>
      </c>
      <c r="C420" s="761" t="s">
        <v>2350</v>
      </c>
      <c r="D420" s="761" t="s">
        <v>636</v>
      </c>
      <c r="E420" s="761" t="s">
        <v>7146</v>
      </c>
      <c r="F420" s="1187">
        <v>0</v>
      </c>
      <c r="G420" s="761" t="s">
        <v>631</v>
      </c>
      <c r="H420" s="767"/>
      <c r="I420" s="767"/>
      <c r="J420" s="1187">
        <v>0</v>
      </c>
      <c r="K420" s="1188">
        <v>0</v>
      </c>
    </row>
    <row r="421" spans="1:11" ht="40.799999999999997" x14ac:dyDescent="0.3">
      <c r="A421" s="761" t="s">
        <v>6898</v>
      </c>
      <c r="B421" s="765">
        <v>2020</v>
      </c>
      <c r="C421" s="761" t="s">
        <v>2350</v>
      </c>
      <c r="D421" s="761" t="s">
        <v>637</v>
      </c>
      <c r="E421" s="761" t="s">
        <v>7147</v>
      </c>
      <c r="F421" s="1187">
        <v>0</v>
      </c>
      <c r="G421" s="761" t="s">
        <v>631</v>
      </c>
      <c r="H421" s="767"/>
      <c r="I421" s="767"/>
      <c r="J421" s="1187">
        <v>0</v>
      </c>
      <c r="K421" s="1188">
        <v>0</v>
      </c>
    </row>
    <row r="422" spans="1:11" ht="40.799999999999997" x14ac:dyDescent="0.3">
      <c r="A422" s="761" t="s">
        <v>6898</v>
      </c>
      <c r="B422" s="765">
        <v>2020</v>
      </c>
      <c r="C422" s="761" t="s">
        <v>2350</v>
      </c>
      <c r="D422" s="761" t="s">
        <v>638</v>
      </c>
      <c r="E422" s="761" t="s">
        <v>7148</v>
      </c>
      <c r="F422" s="1187">
        <v>0</v>
      </c>
      <c r="G422" s="761" t="s">
        <v>631</v>
      </c>
      <c r="H422" s="767"/>
      <c r="I422" s="767"/>
      <c r="J422" s="1187">
        <v>0</v>
      </c>
      <c r="K422" s="1188">
        <v>0</v>
      </c>
    </row>
    <row r="423" spans="1:11" ht="40.799999999999997" x14ac:dyDescent="0.3">
      <c r="A423" s="761" t="s">
        <v>6898</v>
      </c>
      <c r="B423" s="765">
        <v>2020</v>
      </c>
      <c r="C423" s="761" t="s">
        <v>2350</v>
      </c>
      <c r="D423" s="761" t="s">
        <v>639</v>
      </c>
      <c r="E423" s="761" t="s">
        <v>7149</v>
      </c>
      <c r="F423" s="1187">
        <v>0</v>
      </c>
      <c r="G423" s="761" t="s">
        <v>631</v>
      </c>
      <c r="H423" s="767"/>
      <c r="I423" s="767"/>
      <c r="J423" s="1187">
        <v>0</v>
      </c>
      <c r="K423" s="1188">
        <v>0</v>
      </c>
    </row>
    <row r="424" spans="1:11" ht="40.799999999999997" x14ac:dyDescent="0.3">
      <c r="A424" s="761" t="s">
        <v>6898</v>
      </c>
      <c r="B424" s="765">
        <v>2020</v>
      </c>
      <c r="C424" s="761" t="s">
        <v>2350</v>
      </c>
      <c r="D424" s="761" t="s">
        <v>1613</v>
      </c>
      <c r="E424" s="761" t="s">
        <v>7150</v>
      </c>
      <c r="F424" s="1187">
        <v>0</v>
      </c>
      <c r="G424" s="761" t="s">
        <v>631</v>
      </c>
      <c r="H424" s="767"/>
      <c r="I424" s="767"/>
      <c r="J424" s="1187">
        <v>0</v>
      </c>
      <c r="K424" s="1188">
        <v>0</v>
      </c>
    </row>
    <row r="425" spans="1:11" ht="40.799999999999997" x14ac:dyDescent="0.3">
      <c r="A425" s="761" t="s">
        <v>6898</v>
      </c>
      <c r="B425" s="765">
        <v>2020</v>
      </c>
      <c r="C425" s="761" t="s">
        <v>2350</v>
      </c>
      <c r="D425" s="761" t="s">
        <v>2067</v>
      </c>
      <c r="E425" s="761" t="s">
        <v>7151</v>
      </c>
      <c r="F425" s="1187">
        <v>0</v>
      </c>
      <c r="G425" s="761" t="s">
        <v>631</v>
      </c>
      <c r="H425" s="1187">
        <v>-412316.1875</v>
      </c>
      <c r="I425" s="1187">
        <v>1348.76000976563</v>
      </c>
      <c r="J425" s="1187">
        <v>-410967.4375</v>
      </c>
      <c r="K425" s="1188">
        <v>-410967.44</v>
      </c>
    </row>
    <row r="426" spans="1:11" ht="40.799999999999997" x14ac:dyDescent="0.3">
      <c r="A426" s="761" t="s">
        <v>6898</v>
      </c>
      <c r="B426" s="765">
        <v>2020</v>
      </c>
      <c r="C426" s="761" t="s">
        <v>2350</v>
      </c>
      <c r="D426" s="761" t="s">
        <v>3762</v>
      </c>
      <c r="E426" s="761" t="s">
        <v>7152</v>
      </c>
      <c r="F426" s="1187">
        <v>0</v>
      </c>
      <c r="G426" s="761" t="s">
        <v>631</v>
      </c>
      <c r="H426" s="767"/>
      <c r="I426" s="767"/>
      <c r="J426" s="1187">
        <v>0</v>
      </c>
      <c r="K426" s="1188">
        <v>0</v>
      </c>
    </row>
    <row r="427" spans="1:11" ht="40.799999999999997" x14ac:dyDescent="0.3">
      <c r="A427" s="761" t="s">
        <v>6898</v>
      </c>
      <c r="B427" s="765">
        <v>2020</v>
      </c>
      <c r="C427" s="761" t="s">
        <v>2350</v>
      </c>
      <c r="D427" s="761" t="s">
        <v>4844</v>
      </c>
      <c r="E427" s="761" t="s">
        <v>7153</v>
      </c>
      <c r="F427" s="1187">
        <v>0</v>
      </c>
      <c r="G427" s="761" t="s">
        <v>631</v>
      </c>
      <c r="H427" s="1187">
        <v>-374840.21875</v>
      </c>
      <c r="I427" s="1187">
        <v>35318.98046875</v>
      </c>
      <c r="J427" s="1187">
        <v>-339521.25</v>
      </c>
      <c r="K427" s="1188">
        <v>-339521.25</v>
      </c>
    </row>
    <row r="428" spans="1:11" ht="40.799999999999997" x14ac:dyDescent="0.3">
      <c r="A428" s="761" t="s">
        <v>6898</v>
      </c>
      <c r="B428" s="765">
        <v>2020</v>
      </c>
      <c r="C428" s="761" t="s">
        <v>2350</v>
      </c>
      <c r="D428" s="761" t="s">
        <v>7101</v>
      </c>
      <c r="E428" s="761" t="s">
        <v>7154</v>
      </c>
      <c r="F428" s="1187">
        <v>0</v>
      </c>
      <c r="G428" s="761" t="s">
        <v>631</v>
      </c>
      <c r="H428" s="1187">
        <v>175469.328125</v>
      </c>
      <c r="I428" s="1187">
        <v>7299.740234375</v>
      </c>
      <c r="J428" s="1187">
        <v>182769.0625</v>
      </c>
      <c r="K428" s="1188">
        <v>182769.07</v>
      </c>
    </row>
    <row r="429" spans="1:11" ht="40.799999999999997" x14ac:dyDescent="0.3">
      <c r="A429" s="761" t="s">
        <v>6898</v>
      </c>
      <c r="B429" s="765">
        <v>2020</v>
      </c>
      <c r="C429" s="761" t="s">
        <v>2350</v>
      </c>
      <c r="D429" s="761" t="s">
        <v>640</v>
      </c>
      <c r="E429" s="761" t="s">
        <v>7155</v>
      </c>
      <c r="F429" s="1187">
        <v>-567719.62</v>
      </c>
      <c r="G429" s="766"/>
      <c r="H429" s="767"/>
      <c r="I429" s="767"/>
      <c r="J429" s="1187">
        <v>0</v>
      </c>
      <c r="K429" s="1188">
        <v>-567719.62</v>
      </c>
    </row>
    <row r="430" spans="1:11" ht="20.399999999999999" x14ac:dyDescent="0.3">
      <c r="A430" s="761" t="s">
        <v>197</v>
      </c>
      <c r="B430" s="765">
        <v>2020</v>
      </c>
      <c r="C430" s="761" t="s">
        <v>2342</v>
      </c>
      <c r="D430" s="761" t="s">
        <v>45</v>
      </c>
      <c r="E430" s="761" t="s">
        <v>721</v>
      </c>
      <c r="F430" s="1187">
        <v>-215636.67</v>
      </c>
      <c r="G430" s="761" t="s">
        <v>631</v>
      </c>
      <c r="H430" s="1187">
        <v>-205515.296875</v>
      </c>
      <c r="I430" s="1187">
        <v>-10121.3701171875</v>
      </c>
      <c r="J430" s="1187">
        <v>-215636.671875</v>
      </c>
      <c r="K430" s="1188">
        <v>-215636.67</v>
      </c>
    </row>
    <row r="431" spans="1:11" ht="30.6" x14ac:dyDescent="0.3">
      <c r="A431" s="761" t="s">
        <v>197</v>
      </c>
      <c r="B431" s="765">
        <v>2020</v>
      </c>
      <c r="C431" s="761" t="s">
        <v>2343</v>
      </c>
      <c r="D431" s="761" t="s">
        <v>632</v>
      </c>
      <c r="E431" s="761" t="s">
        <v>722</v>
      </c>
      <c r="F431" s="1187">
        <v>-5443.21</v>
      </c>
      <c r="G431" s="761" t="s">
        <v>631</v>
      </c>
      <c r="H431" s="1187">
        <v>-5176.89990234375</v>
      </c>
      <c r="I431" s="1187">
        <v>-266.30999755859398</v>
      </c>
      <c r="J431" s="1187">
        <v>-5443.2099609375</v>
      </c>
      <c r="K431" s="1188">
        <v>-5443.21</v>
      </c>
    </row>
    <row r="432" spans="1:11" ht="20.399999999999999" x14ac:dyDescent="0.3">
      <c r="A432" s="761" t="s">
        <v>197</v>
      </c>
      <c r="B432" s="765">
        <v>2020</v>
      </c>
      <c r="C432" s="761" t="s">
        <v>2344</v>
      </c>
      <c r="D432" s="761" t="s">
        <v>452</v>
      </c>
      <c r="E432" s="761" t="s">
        <v>723</v>
      </c>
      <c r="F432" s="1187">
        <v>0</v>
      </c>
      <c r="G432" s="766"/>
      <c r="H432" s="767"/>
      <c r="I432" s="767"/>
      <c r="J432" s="1187">
        <v>0</v>
      </c>
      <c r="K432" s="1188">
        <v>0</v>
      </c>
    </row>
    <row r="433" spans="1:11" ht="20.399999999999999" x14ac:dyDescent="0.3">
      <c r="A433" s="761" t="s">
        <v>197</v>
      </c>
      <c r="B433" s="765">
        <v>2020</v>
      </c>
      <c r="C433" s="761" t="s">
        <v>2345</v>
      </c>
      <c r="D433" s="761" t="s">
        <v>42</v>
      </c>
      <c r="E433" s="761" t="s">
        <v>724</v>
      </c>
      <c r="F433" s="1187">
        <v>-86687.06</v>
      </c>
      <c r="G433" s="761" t="s">
        <v>631</v>
      </c>
      <c r="H433" s="1187">
        <v>-77310.25</v>
      </c>
      <c r="I433" s="1187">
        <v>-9376.8095703125</v>
      </c>
      <c r="J433" s="1187">
        <v>-86687.0625</v>
      </c>
      <c r="K433" s="1188">
        <v>-86687.06</v>
      </c>
    </row>
    <row r="434" spans="1:11" ht="20.399999999999999" x14ac:dyDescent="0.3">
      <c r="A434" s="761" t="s">
        <v>197</v>
      </c>
      <c r="B434" s="765">
        <v>2020</v>
      </c>
      <c r="C434" s="761" t="s">
        <v>2345</v>
      </c>
      <c r="D434" s="761" t="s">
        <v>2063</v>
      </c>
      <c r="E434" s="761" t="s">
        <v>724</v>
      </c>
      <c r="F434" s="1187">
        <v>0</v>
      </c>
      <c r="G434" s="766"/>
      <c r="H434" s="767"/>
      <c r="I434" s="767"/>
      <c r="J434" s="1187">
        <v>0</v>
      </c>
      <c r="K434" s="1188">
        <v>0</v>
      </c>
    </row>
    <row r="435" spans="1:11" ht="20.399999999999999" x14ac:dyDescent="0.3">
      <c r="A435" s="761" t="s">
        <v>197</v>
      </c>
      <c r="B435" s="765">
        <v>2020</v>
      </c>
      <c r="C435" s="761" t="s">
        <v>2345</v>
      </c>
      <c r="D435" s="761" t="s">
        <v>2064</v>
      </c>
      <c r="E435" s="761" t="s">
        <v>724</v>
      </c>
      <c r="F435" s="1187">
        <v>0</v>
      </c>
      <c r="G435" s="766"/>
      <c r="H435" s="767"/>
      <c r="I435" s="767"/>
      <c r="J435" s="1187">
        <v>0</v>
      </c>
      <c r="K435" s="1188">
        <v>0</v>
      </c>
    </row>
    <row r="436" spans="1:11" ht="20.399999999999999" x14ac:dyDescent="0.3">
      <c r="A436" s="761" t="s">
        <v>197</v>
      </c>
      <c r="B436" s="765">
        <v>2020</v>
      </c>
      <c r="C436" s="761" t="s">
        <v>2345</v>
      </c>
      <c r="D436" s="761" t="s">
        <v>2065</v>
      </c>
      <c r="E436" s="761" t="s">
        <v>724</v>
      </c>
      <c r="F436" s="1187">
        <v>0</v>
      </c>
      <c r="G436" s="766"/>
      <c r="H436" s="767"/>
      <c r="I436" s="767"/>
      <c r="J436" s="1187">
        <v>0</v>
      </c>
      <c r="K436" s="1188">
        <v>0</v>
      </c>
    </row>
    <row r="437" spans="1:11" ht="20.399999999999999" x14ac:dyDescent="0.3">
      <c r="A437" s="761" t="s">
        <v>197</v>
      </c>
      <c r="B437" s="765">
        <v>2020</v>
      </c>
      <c r="C437" s="761" t="s">
        <v>2345</v>
      </c>
      <c r="D437" s="761" t="s">
        <v>2066</v>
      </c>
      <c r="E437" s="761" t="s">
        <v>724</v>
      </c>
      <c r="F437" s="1187">
        <v>0</v>
      </c>
      <c r="G437" s="766"/>
      <c r="H437" s="767"/>
      <c r="I437" s="767"/>
      <c r="J437" s="1187">
        <v>0</v>
      </c>
      <c r="K437" s="1188">
        <v>0</v>
      </c>
    </row>
    <row r="438" spans="1:11" ht="30.6" x14ac:dyDescent="0.3">
      <c r="A438" s="761" t="s">
        <v>197</v>
      </c>
      <c r="B438" s="765">
        <v>2020</v>
      </c>
      <c r="C438" s="761" t="s">
        <v>2346</v>
      </c>
      <c r="D438" s="761" t="s">
        <v>43</v>
      </c>
      <c r="E438" s="761" t="s">
        <v>725</v>
      </c>
      <c r="F438" s="1187">
        <v>11124.72</v>
      </c>
      <c r="G438" s="761" t="s">
        <v>631</v>
      </c>
      <c r="H438" s="1187">
        <v>14048.6396484375</v>
      </c>
      <c r="I438" s="1187">
        <v>-2923.919921875</v>
      </c>
      <c r="J438" s="1187">
        <v>11124.7197265625</v>
      </c>
      <c r="K438" s="1188">
        <v>11124.72</v>
      </c>
    </row>
    <row r="439" spans="1:11" ht="30.6" x14ac:dyDescent="0.3">
      <c r="A439" s="761" t="s">
        <v>197</v>
      </c>
      <c r="B439" s="765">
        <v>2020</v>
      </c>
      <c r="C439" s="761" t="s">
        <v>2347</v>
      </c>
      <c r="D439" s="761" t="s">
        <v>44</v>
      </c>
      <c r="E439" s="761" t="s">
        <v>726</v>
      </c>
      <c r="F439" s="1187">
        <v>913779.89</v>
      </c>
      <c r="G439" s="761" t="s">
        <v>631</v>
      </c>
      <c r="H439" s="1187">
        <v>878322.5</v>
      </c>
      <c r="I439" s="1187">
        <v>35457.37890625</v>
      </c>
      <c r="J439" s="1187">
        <v>913779.875</v>
      </c>
      <c r="K439" s="1188">
        <v>913779.89</v>
      </c>
    </row>
    <row r="440" spans="1:11" ht="30.6" x14ac:dyDescent="0.3">
      <c r="A440" s="761" t="s">
        <v>197</v>
      </c>
      <c r="B440" s="765">
        <v>2020</v>
      </c>
      <c r="C440" s="761" t="s">
        <v>2348</v>
      </c>
      <c r="D440" s="761" t="s">
        <v>46</v>
      </c>
      <c r="E440" s="761" t="s">
        <v>727</v>
      </c>
      <c r="F440" s="1187">
        <v>361503.65</v>
      </c>
      <c r="G440" s="761" t="s">
        <v>631</v>
      </c>
      <c r="H440" s="1187">
        <v>373972.5</v>
      </c>
      <c r="I440" s="1187">
        <v>-12468.8603515625</v>
      </c>
      <c r="J440" s="1187">
        <v>361503.65625</v>
      </c>
      <c r="K440" s="1188">
        <v>361503.65</v>
      </c>
    </row>
    <row r="441" spans="1:11" ht="20.399999999999999" x14ac:dyDescent="0.3">
      <c r="A441" s="761" t="s">
        <v>197</v>
      </c>
      <c r="B441" s="765">
        <v>2020</v>
      </c>
      <c r="C441" s="761" t="s">
        <v>2349</v>
      </c>
      <c r="D441" s="761" t="s">
        <v>339</v>
      </c>
      <c r="E441" s="761" t="s">
        <v>728</v>
      </c>
      <c r="F441" s="1187">
        <v>-221109.98</v>
      </c>
      <c r="G441" s="761" t="s">
        <v>631</v>
      </c>
      <c r="H441" s="1187">
        <v>-208211.4375</v>
      </c>
      <c r="I441" s="1187">
        <v>-12898.5498046875</v>
      </c>
      <c r="J441" s="1187">
        <v>-221109.984375</v>
      </c>
      <c r="K441" s="1188">
        <v>-221109.98</v>
      </c>
    </row>
    <row r="442" spans="1:11" ht="40.799999999999997" x14ac:dyDescent="0.3">
      <c r="A442" s="761" t="s">
        <v>197</v>
      </c>
      <c r="B442" s="765">
        <v>2020</v>
      </c>
      <c r="C442" s="761" t="s">
        <v>2350</v>
      </c>
      <c r="D442" s="761" t="s">
        <v>633</v>
      </c>
      <c r="E442" s="761" t="s">
        <v>1087</v>
      </c>
      <c r="F442" s="1187">
        <v>0</v>
      </c>
      <c r="G442" s="761" t="s">
        <v>631</v>
      </c>
      <c r="H442" s="767"/>
      <c r="I442" s="767"/>
      <c r="J442" s="1187">
        <v>0</v>
      </c>
      <c r="K442" s="1188">
        <v>0</v>
      </c>
    </row>
    <row r="443" spans="1:11" ht="40.799999999999997" x14ac:dyDescent="0.3">
      <c r="A443" s="761" t="s">
        <v>197</v>
      </c>
      <c r="B443" s="765">
        <v>2020</v>
      </c>
      <c r="C443" s="761" t="s">
        <v>2350</v>
      </c>
      <c r="D443" s="761" t="s">
        <v>634</v>
      </c>
      <c r="E443" s="761" t="s">
        <v>1088</v>
      </c>
      <c r="F443" s="1187">
        <v>0</v>
      </c>
      <c r="G443" s="761" t="s">
        <v>631</v>
      </c>
      <c r="H443" s="767"/>
      <c r="I443" s="767"/>
      <c r="J443" s="1187">
        <v>0</v>
      </c>
      <c r="K443" s="1188">
        <v>0</v>
      </c>
    </row>
    <row r="444" spans="1:11" ht="40.799999999999997" x14ac:dyDescent="0.3">
      <c r="A444" s="761" t="s">
        <v>197</v>
      </c>
      <c r="B444" s="765">
        <v>2020</v>
      </c>
      <c r="C444" s="761" t="s">
        <v>2350</v>
      </c>
      <c r="D444" s="761" t="s">
        <v>635</v>
      </c>
      <c r="E444" s="761" t="s">
        <v>1089</v>
      </c>
      <c r="F444" s="1187">
        <v>0</v>
      </c>
      <c r="G444" s="761" t="s">
        <v>631</v>
      </c>
      <c r="H444" s="767"/>
      <c r="I444" s="767"/>
      <c r="J444" s="1187">
        <v>0</v>
      </c>
      <c r="K444" s="1188">
        <v>0</v>
      </c>
    </row>
    <row r="445" spans="1:11" ht="40.799999999999997" x14ac:dyDescent="0.3">
      <c r="A445" s="761" t="s">
        <v>197</v>
      </c>
      <c r="B445" s="765">
        <v>2020</v>
      </c>
      <c r="C445" s="761" t="s">
        <v>2350</v>
      </c>
      <c r="D445" s="761" t="s">
        <v>636</v>
      </c>
      <c r="E445" s="761" t="s">
        <v>1090</v>
      </c>
      <c r="F445" s="1187">
        <v>0</v>
      </c>
      <c r="G445" s="761" t="s">
        <v>631</v>
      </c>
      <c r="H445" s="767"/>
      <c r="I445" s="767"/>
      <c r="J445" s="1187">
        <v>0</v>
      </c>
      <c r="K445" s="1188">
        <v>0</v>
      </c>
    </row>
    <row r="446" spans="1:11" ht="40.799999999999997" x14ac:dyDescent="0.3">
      <c r="A446" s="761" t="s">
        <v>197</v>
      </c>
      <c r="B446" s="765">
        <v>2020</v>
      </c>
      <c r="C446" s="761" t="s">
        <v>2350</v>
      </c>
      <c r="D446" s="761" t="s">
        <v>637</v>
      </c>
      <c r="E446" s="761" t="s">
        <v>1091</v>
      </c>
      <c r="F446" s="1187">
        <v>0</v>
      </c>
      <c r="G446" s="761" t="s">
        <v>631</v>
      </c>
      <c r="H446" s="1187">
        <v>25234.349609375</v>
      </c>
      <c r="I446" s="1187">
        <v>-3540.60009765625</v>
      </c>
      <c r="J446" s="1187">
        <v>21693.75</v>
      </c>
      <c r="K446" s="1188">
        <v>21693.75</v>
      </c>
    </row>
    <row r="447" spans="1:11" ht="40.799999999999997" x14ac:dyDescent="0.3">
      <c r="A447" s="761" t="s">
        <v>197</v>
      </c>
      <c r="B447" s="765">
        <v>2020</v>
      </c>
      <c r="C447" s="761" t="s">
        <v>2350</v>
      </c>
      <c r="D447" s="761" t="s">
        <v>638</v>
      </c>
      <c r="E447" s="761" t="s">
        <v>1092</v>
      </c>
      <c r="F447" s="1187">
        <v>0</v>
      </c>
      <c r="G447" s="761" t="s">
        <v>631</v>
      </c>
      <c r="H447" s="767"/>
      <c r="I447" s="767"/>
      <c r="J447" s="1187">
        <v>0</v>
      </c>
      <c r="K447" s="1188">
        <v>0</v>
      </c>
    </row>
    <row r="448" spans="1:11" ht="40.799999999999997" x14ac:dyDescent="0.3">
      <c r="A448" s="761" t="s">
        <v>197</v>
      </c>
      <c r="B448" s="765">
        <v>2020</v>
      </c>
      <c r="C448" s="761" t="s">
        <v>2350</v>
      </c>
      <c r="D448" s="761" t="s">
        <v>639</v>
      </c>
      <c r="E448" s="761" t="s">
        <v>1093</v>
      </c>
      <c r="F448" s="1187">
        <v>0</v>
      </c>
      <c r="G448" s="761" t="s">
        <v>631</v>
      </c>
      <c r="H448" s="1187">
        <v>53523.76171875</v>
      </c>
      <c r="I448" s="1187">
        <v>-32063.369140625</v>
      </c>
      <c r="J448" s="1187">
        <v>21460.390625</v>
      </c>
      <c r="K448" s="1188">
        <v>21460.39</v>
      </c>
    </row>
    <row r="449" spans="1:11" ht="40.799999999999997" x14ac:dyDescent="0.3">
      <c r="A449" s="761" t="s">
        <v>197</v>
      </c>
      <c r="B449" s="765">
        <v>2020</v>
      </c>
      <c r="C449" s="761" t="s">
        <v>2350</v>
      </c>
      <c r="D449" s="761" t="s">
        <v>1613</v>
      </c>
      <c r="E449" s="761" t="s">
        <v>1965</v>
      </c>
      <c r="F449" s="1187">
        <v>0</v>
      </c>
      <c r="G449" s="761" t="s">
        <v>631</v>
      </c>
      <c r="H449" s="1187">
        <v>7251.27001953125</v>
      </c>
      <c r="I449" s="1187">
        <v>-8903</v>
      </c>
      <c r="J449" s="1187">
        <v>-1651.72998046875</v>
      </c>
      <c r="K449" s="1188">
        <v>-1651.73</v>
      </c>
    </row>
    <row r="450" spans="1:11" ht="40.799999999999997" x14ac:dyDescent="0.3">
      <c r="A450" s="761" t="s">
        <v>197</v>
      </c>
      <c r="B450" s="765">
        <v>2020</v>
      </c>
      <c r="C450" s="761" t="s">
        <v>2350</v>
      </c>
      <c r="D450" s="761" t="s">
        <v>2067</v>
      </c>
      <c r="E450" s="761" t="s">
        <v>2078</v>
      </c>
      <c r="F450" s="1187">
        <v>0</v>
      </c>
      <c r="G450" s="761" t="s">
        <v>631</v>
      </c>
      <c r="H450" s="767"/>
      <c r="I450" s="767"/>
      <c r="J450" s="1187">
        <v>0</v>
      </c>
      <c r="K450" s="1188">
        <v>0</v>
      </c>
    </row>
    <row r="451" spans="1:11" ht="40.799999999999997" x14ac:dyDescent="0.3">
      <c r="A451" s="761" t="s">
        <v>197</v>
      </c>
      <c r="B451" s="765">
        <v>2020</v>
      </c>
      <c r="C451" s="761" t="s">
        <v>2350</v>
      </c>
      <c r="D451" s="761" t="s">
        <v>3762</v>
      </c>
      <c r="E451" s="761" t="s">
        <v>4335</v>
      </c>
      <c r="F451" s="1187">
        <v>0</v>
      </c>
      <c r="G451" s="761" t="s">
        <v>631</v>
      </c>
      <c r="H451" s="767"/>
      <c r="I451" s="767"/>
      <c r="J451" s="1187">
        <v>0</v>
      </c>
      <c r="K451" s="1188">
        <v>0</v>
      </c>
    </row>
    <row r="452" spans="1:11" ht="40.799999999999997" x14ac:dyDescent="0.3">
      <c r="A452" s="761" t="s">
        <v>197</v>
      </c>
      <c r="B452" s="765">
        <v>2020</v>
      </c>
      <c r="C452" s="761" t="s">
        <v>2350</v>
      </c>
      <c r="D452" s="761" t="s">
        <v>4844</v>
      </c>
      <c r="E452" s="761" t="s">
        <v>5789</v>
      </c>
      <c r="F452" s="1187">
        <v>0</v>
      </c>
      <c r="G452" s="761" t="s">
        <v>631</v>
      </c>
      <c r="H452" s="767"/>
      <c r="I452" s="767"/>
      <c r="J452" s="1187">
        <v>0</v>
      </c>
      <c r="K452" s="1188">
        <v>0</v>
      </c>
    </row>
    <row r="453" spans="1:11" ht="40.799999999999997" x14ac:dyDescent="0.3">
      <c r="A453" s="761" t="s">
        <v>197</v>
      </c>
      <c r="B453" s="765">
        <v>2020</v>
      </c>
      <c r="C453" s="761" t="s">
        <v>2350</v>
      </c>
      <c r="D453" s="761" t="s">
        <v>7101</v>
      </c>
      <c r="E453" s="761" t="s">
        <v>7156</v>
      </c>
      <c r="F453" s="1187">
        <v>0</v>
      </c>
      <c r="G453" s="761" t="s">
        <v>631</v>
      </c>
      <c r="H453" s="767"/>
      <c r="I453" s="767"/>
      <c r="J453" s="1187">
        <v>0</v>
      </c>
      <c r="K453" s="1188">
        <v>0</v>
      </c>
    </row>
    <row r="454" spans="1:11" ht="40.799999999999997" x14ac:dyDescent="0.3">
      <c r="A454" s="761" t="s">
        <v>197</v>
      </c>
      <c r="B454" s="765">
        <v>2020</v>
      </c>
      <c r="C454" s="761" t="s">
        <v>2350</v>
      </c>
      <c r="D454" s="761" t="s">
        <v>640</v>
      </c>
      <c r="E454" s="761" t="s">
        <v>1356</v>
      </c>
      <c r="F454" s="1187">
        <v>41502.410000000003</v>
      </c>
      <c r="G454" s="766"/>
      <c r="H454" s="767"/>
      <c r="I454" s="767"/>
      <c r="J454" s="1187">
        <v>0</v>
      </c>
      <c r="K454" s="1188">
        <v>41502.410000000003</v>
      </c>
    </row>
    <row r="455" spans="1:11" x14ac:dyDescent="0.3">
      <c r="A455" s="761" t="s">
        <v>175</v>
      </c>
      <c r="B455" s="765">
        <v>2020</v>
      </c>
      <c r="C455" s="761" t="s">
        <v>2342</v>
      </c>
      <c r="D455" s="761" t="s">
        <v>45</v>
      </c>
      <c r="E455" s="761" t="s">
        <v>1909</v>
      </c>
      <c r="F455" s="1187">
        <v>2242014.5699999998</v>
      </c>
      <c r="G455" s="761" t="s">
        <v>631</v>
      </c>
      <c r="H455" s="1187">
        <v>2132908.5</v>
      </c>
      <c r="I455" s="1187">
        <v>109106.078125</v>
      </c>
      <c r="J455" s="1187">
        <v>2242014.5</v>
      </c>
      <c r="K455" s="1188">
        <v>2242014.5699999998</v>
      </c>
    </row>
    <row r="456" spans="1:11" ht="30.6" x14ac:dyDescent="0.3">
      <c r="A456" s="761" t="s">
        <v>175</v>
      </c>
      <c r="B456" s="765">
        <v>2020</v>
      </c>
      <c r="C456" s="761" t="s">
        <v>2343</v>
      </c>
      <c r="D456" s="761" t="s">
        <v>632</v>
      </c>
      <c r="E456" s="761" t="s">
        <v>1910</v>
      </c>
      <c r="F456" s="1187">
        <v>-34385.910000000003</v>
      </c>
      <c r="G456" s="761" t="s">
        <v>631</v>
      </c>
      <c r="H456" s="1187">
        <v>-33136.3515625</v>
      </c>
      <c r="I456" s="1187">
        <v>-1249.56005859375</v>
      </c>
      <c r="J456" s="1187">
        <v>-34385.91015625</v>
      </c>
      <c r="K456" s="1188">
        <v>-34385.910000000003</v>
      </c>
    </row>
    <row r="457" spans="1:11" ht="20.399999999999999" x14ac:dyDescent="0.3">
      <c r="A457" s="761" t="s">
        <v>175</v>
      </c>
      <c r="B457" s="765">
        <v>2020</v>
      </c>
      <c r="C457" s="761" t="s">
        <v>2344</v>
      </c>
      <c r="D457" s="761" t="s">
        <v>452</v>
      </c>
      <c r="E457" s="761" t="s">
        <v>1911</v>
      </c>
      <c r="F457" s="1187">
        <v>201348.23</v>
      </c>
      <c r="G457" s="766"/>
      <c r="H457" s="767"/>
      <c r="I457" s="767"/>
      <c r="J457" s="1187">
        <v>0</v>
      </c>
      <c r="K457" s="1188">
        <v>201348.23</v>
      </c>
    </row>
    <row r="458" spans="1:11" ht="20.399999999999999" x14ac:dyDescent="0.3">
      <c r="A458" s="761" t="s">
        <v>175</v>
      </c>
      <c r="B458" s="765">
        <v>2020</v>
      </c>
      <c r="C458" s="761" t="s">
        <v>2345</v>
      </c>
      <c r="D458" s="761" t="s">
        <v>42</v>
      </c>
      <c r="E458" s="761" t="s">
        <v>1912</v>
      </c>
      <c r="F458" s="1187">
        <v>-714823.65</v>
      </c>
      <c r="G458" s="761" t="s">
        <v>631</v>
      </c>
      <c r="H458" s="1187">
        <v>-686609.1875</v>
      </c>
      <c r="I458" s="1187">
        <v>-28214.44921875</v>
      </c>
      <c r="J458" s="1187">
        <v>-714823.625</v>
      </c>
      <c r="K458" s="1188">
        <v>-714823.65</v>
      </c>
    </row>
    <row r="459" spans="1:11" ht="20.399999999999999" x14ac:dyDescent="0.3">
      <c r="A459" s="761" t="s">
        <v>175</v>
      </c>
      <c r="B459" s="765">
        <v>2020</v>
      </c>
      <c r="C459" s="761" t="s">
        <v>2345</v>
      </c>
      <c r="D459" s="761" t="s">
        <v>2063</v>
      </c>
      <c r="E459" s="761" t="s">
        <v>1912</v>
      </c>
      <c r="F459" s="1187">
        <v>0</v>
      </c>
      <c r="G459" s="766"/>
      <c r="H459" s="767"/>
      <c r="I459" s="767"/>
      <c r="J459" s="1187">
        <v>0</v>
      </c>
      <c r="K459" s="1188">
        <v>0</v>
      </c>
    </row>
    <row r="460" spans="1:11" ht="20.399999999999999" x14ac:dyDescent="0.3">
      <c r="A460" s="761" t="s">
        <v>175</v>
      </c>
      <c r="B460" s="765">
        <v>2020</v>
      </c>
      <c r="C460" s="761" t="s">
        <v>2345</v>
      </c>
      <c r="D460" s="761" t="s">
        <v>2064</v>
      </c>
      <c r="E460" s="761" t="s">
        <v>1912</v>
      </c>
      <c r="F460" s="1187">
        <v>0</v>
      </c>
      <c r="G460" s="766"/>
      <c r="H460" s="767"/>
      <c r="I460" s="767"/>
      <c r="J460" s="1187">
        <v>0</v>
      </c>
      <c r="K460" s="1188">
        <v>0</v>
      </c>
    </row>
    <row r="461" spans="1:11" ht="20.399999999999999" x14ac:dyDescent="0.3">
      <c r="A461" s="761" t="s">
        <v>175</v>
      </c>
      <c r="B461" s="765">
        <v>2020</v>
      </c>
      <c r="C461" s="761" t="s">
        <v>2345</v>
      </c>
      <c r="D461" s="761" t="s">
        <v>2065</v>
      </c>
      <c r="E461" s="761" t="s">
        <v>1912</v>
      </c>
      <c r="F461" s="1187">
        <v>-2163.63</v>
      </c>
      <c r="G461" s="766"/>
      <c r="H461" s="767"/>
      <c r="I461" s="767"/>
      <c r="J461" s="1187">
        <v>0</v>
      </c>
      <c r="K461" s="1188">
        <v>-2163.63</v>
      </c>
    </row>
    <row r="462" spans="1:11" ht="20.399999999999999" x14ac:dyDescent="0.3">
      <c r="A462" s="761" t="s">
        <v>175</v>
      </c>
      <c r="B462" s="765">
        <v>2020</v>
      </c>
      <c r="C462" s="761" t="s">
        <v>2345</v>
      </c>
      <c r="D462" s="761" t="s">
        <v>2066</v>
      </c>
      <c r="E462" s="761" t="s">
        <v>1912</v>
      </c>
      <c r="F462" s="1187">
        <v>-125852.46</v>
      </c>
      <c r="G462" s="766"/>
      <c r="H462" s="767"/>
      <c r="I462" s="767"/>
      <c r="J462" s="1187">
        <v>0</v>
      </c>
      <c r="K462" s="1188">
        <v>-125852.46</v>
      </c>
    </row>
    <row r="463" spans="1:11" ht="30.6" x14ac:dyDescent="0.3">
      <c r="A463" s="761" t="s">
        <v>175</v>
      </c>
      <c r="B463" s="765">
        <v>2020</v>
      </c>
      <c r="C463" s="761" t="s">
        <v>2346</v>
      </c>
      <c r="D463" s="761" t="s">
        <v>43</v>
      </c>
      <c r="E463" s="761" t="s">
        <v>1913</v>
      </c>
      <c r="F463" s="1187">
        <v>2531202.6</v>
      </c>
      <c r="G463" s="761" t="s">
        <v>631</v>
      </c>
      <c r="H463" s="1187">
        <v>2453257.5</v>
      </c>
      <c r="I463" s="1187">
        <v>77945.078125</v>
      </c>
      <c r="J463" s="1187">
        <v>2531202.5</v>
      </c>
      <c r="K463" s="1188">
        <v>2531202.6</v>
      </c>
    </row>
    <row r="464" spans="1:11" ht="30.6" x14ac:dyDescent="0.3">
      <c r="A464" s="761" t="s">
        <v>175</v>
      </c>
      <c r="B464" s="765">
        <v>2020</v>
      </c>
      <c r="C464" s="761" t="s">
        <v>2347</v>
      </c>
      <c r="D464" s="761" t="s">
        <v>44</v>
      </c>
      <c r="E464" s="761" t="s">
        <v>1914</v>
      </c>
      <c r="F464" s="1187">
        <v>1824442.56</v>
      </c>
      <c r="G464" s="761" t="s">
        <v>631</v>
      </c>
      <c r="H464" s="1187">
        <v>1763543.5</v>
      </c>
      <c r="I464" s="1187">
        <v>60899</v>
      </c>
      <c r="J464" s="1187">
        <v>1824442.5</v>
      </c>
      <c r="K464" s="1188">
        <v>1824442.56</v>
      </c>
    </row>
    <row r="465" spans="1:11" ht="30.6" x14ac:dyDescent="0.3">
      <c r="A465" s="761" t="s">
        <v>175</v>
      </c>
      <c r="B465" s="765">
        <v>2020</v>
      </c>
      <c r="C465" s="761" t="s">
        <v>2348</v>
      </c>
      <c r="D465" s="761" t="s">
        <v>46</v>
      </c>
      <c r="E465" s="761" t="s">
        <v>1915</v>
      </c>
      <c r="F465" s="1187">
        <v>-887210.62</v>
      </c>
      <c r="G465" s="761" t="s">
        <v>631</v>
      </c>
      <c r="H465" s="1187">
        <v>-813771.75</v>
      </c>
      <c r="I465" s="1187">
        <v>-73438.8984375</v>
      </c>
      <c r="J465" s="1187">
        <v>-887210.625</v>
      </c>
      <c r="K465" s="1188">
        <v>-887210.62</v>
      </c>
    </row>
    <row r="466" spans="1:11" ht="20.399999999999999" x14ac:dyDescent="0.3">
      <c r="A466" s="761" t="s">
        <v>175</v>
      </c>
      <c r="B466" s="765">
        <v>2020</v>
      </c>
      <c r="C466" s="761" t="s">
        <v>2349</v>
      </c>
      <c r="D466" s="761" t="s">
        <v>339</v>
      </c>
      <c r="E466" s="761" t="s">
        <v>1916</v>
      </c>
      <c r="F466" s="1187">
        <v>820203.38</v>
      </c>
      <c r="G466" s="761" t="s">
        <v>631</v>
      </c>
      <c r="H466" s="1187">
        <v>817862.5</v>
      </c>
      <c r="I466" s="1187">
        <v>2340.89990234375</v>
      </c>
      <c r="J466" s="1187">
        <v>820203.375</v>
      </c>
      <c r="K466" s="1188">
        <v>820203.38</v>
      </c>
    </row>
    <row r="467" spans="1:11" ht="40.799999999999997" x14ac:dyDescent="0.3">
      <c r="A467" s="761" t="s">
        <v>175</v>
      </c>
      <c r="B467" s="765">
        <v>2020</v>
      </c>
      <c r="C467" s="761" t="s">
        <v>2350</v>
      </c>
      <c r="D467" s="761" t="s">
        <v>633</v>
      </c>
      <c r="E467" s="761" t="s">
        <v>1917</v>
      </c>
      <c r="F467" s="1187">
        <v>0</v>
      </c>
      <c r="G467" s="761" t="s">
        <v>631</v>
      </c>
      <c r="H467" s="767"/>
      <c r="I467" s="767"/>
      <c r="J467" s="1187">
        <v>0</v>
      </c>
      <c r="K467" s="1188">
        <v>0</v>
      </c>
    </row>
    <row r="468" spans="1:11" ht="40.799999999999997" x14ac:dyDescent="0.3">
      <c r="A468" s="761" t="s">
        <v>175</v>
      </c>
      <c r="B468" s="765">
        <v>2020</v>
      </c>
      <c r="C468" s="761" t="s">
        <v>2350</v>
      </c>
      <c r="D468" s="761" t="s">
        <v>634</v>
      </c>
      <c r="E468" s="761" t="s">
        <v>1918</v>
      </c>
      <c r="F468" s="1187">
        <v>0</v>
      </c>
      <c r="G468" s="761" t="s">
        <v>631</v>
      </c>
      <c r="H468" s="767"/>
      <c r="I468" s="767"/>
      <c r="J468" s="1187">
        <v>0</v>
      </c>
      <c r="K468" s="1188">
        <v>0</v>
      </c>
    </row>
    <row r="469" spans="1:11" ht="40.799999999999997" x14ac:dyDescent="0.3">
      <c r="A469" s="761" t="s">
        <v>175</v>
      </c>
      <c r="B469" s="765">
        <v>2020</v>
      </c>
      <c r="C469" s="761" t="s">
        <v>2350</v>
      </c>
      <c r="D469" s="761" t="s">
        <v>635</v>
      </c>
      <c r="E469" s="761" t="s">
        <v>1919</v>
      </c>
      <c r="F469" s="1187">
        <v>0</v>
      </c>
      <c r="G469" s="761" t="s">
        <v>631</v>
      </c>
      <c r="H469" s="767"/>
      <c r="I469" s="767"/>
      <c r="J469" s="1187">
        <v>0</v>
      </c>
      <c r="K469" s="1188">
        <v>0</v>
      </c>
    </row>
    <row r="470" spans="1:11" ht="40.799999999999997" x14ac:dyDescent="0.3">
      <c r="A470" s="761" t="s">
        <v>175</v>
      </c>
      <c r="B470" s="765">
        <v>2020</v>
      </c>
      <c r="C470" s="761" t="s">
        <v>2350</v>
      </c>
      <c r="D470" s="761" t="s">
        <v>636</v>
      </c>
      <c r="E470" s="761" t="s">
        <v>1920</v>
      </c>
      <c r="F470" s="1187">
        <v>0</v>
      </c>
      <c r="G470" s="761" t="s">
        <v>631</v>
      </c>
      <c r="H470" s="767"/>
      <c r="I470" s="767"/>
      <c r="J470" s="1187">
        <v>0</v>
      </c>
      <c r="K470" s="1188">
        <v>0</v>
      </c>
    </row>
    <row r="471" spans="1:11" ht="40.799999999999997" x14ac:dyDescent="0.3">
      <c r="A471" s="761" t="s">
        <v>175</v>
      </c>
      <c r="B471" s="765">
        <v>2020</v>
      </c>
      <c r="C471" s="761" t="s">
        <v>2350</v>
      </c>
      <c r="D471" s="761" t="s">
        <v>637</v>
      </c>
      <c r="E471" s="761" t="s">
        <v>1921</v>
      </c>
      <c r="F471" s="1187">
        <v>0</v>
      </c>
      <c r="G471" s="761" t="s">
        <v>631</v>
      </c>
      <c r="H471" s="767"/>
      <c r="I471" s="767"/>
      <c r="J471" s="1187">
        <v>0</v>
      </c>
      <c r="K471" s="1188">
        <v>0</v>
      </c>
    </row>
    <row r="472" spans="1:11" ht="40.799999999999997" x14ac:dyDescent="0.3">
      <c r="A472" s="761" t="s">
        <v>175</v>
      </c>
      <c r="B472" s="765">
        <v>2020</v>
      </c>
      <c r="C472" s="761" t="s">
        <v>2350</v>
      </c>
      <c r="D472" s="761" t="s">
        <v>638</v>
      </c>
      <c r="E472" s="761" t="s">
        <v>1922</v>
      </c>
      <c r="F472" s="1187">
        <v>0</v>
      </c>
      <c r="G472" s="761" t="s">
        <v>631</v>
      </c>
      <c r="H472" s="767"/>
      <c r="I472" s="767"/>
      <c r="J472" s="1187">
        <v>0</v>
      </c>
      <c r="K472" s="1188">
        <v>0</v>
      </c>
    </row>
    <row r="473" spans="1:11" ht="40.799999999999997" x14ac:dyDescent="0.3">
      <c r="A473" s="761" t="s">
        <v>175</v>
      </c>
      <c r="B473" s="765">
        <v>2020</v>
      </c>
      <c r="C473" s="761" t="s">
        <v>2350</v>
      </c>
      <c r="D473" s="761" t="s">
        <v>639</v>
      </c>
      <c r="E473" s="761" t="s">
        <v>1923</v>
      </c>
      <c r="F473" s="1187">
        <v>0</v>
      </c>
      <c r="G473" s="761" t="s">
        <v>631</v>
      </c>
      <c r="H473" s="767"/>
      <c r="I473" s="767"/>
      <c r="J473" s="1187">
        <v>0</v>
      </c>
      <c r="K473" s="1188">
        <v>0</v>
      </c>
    </row>
    <row r="474" spans="1:11" ht="40.799999999999997" x14ac:dyDescent="0.3">
      <c r="A474" s="761" t="s">
        <v>175</v>
      </c>
      <c r="B474" s="765">
        <v>2020</v>
      </c>
      <c r="C474" s="761" t="s">
        <v>2350</v>
      </c>
      <c r="D474" s="761" t="s">
        <v>1613</v>
      </c>
      <c r="E474" s="761" t="s">
        <v>1966</v>
      </c>
      <c r="F474" s="1187">
        <v>0</v>
      </c>
      <c r="G474" s="761" t="s">
        <v>631</v>
      </c>
      <c r="H474" s="1187">
        <v>2149571</v>
      </c>
      <c r="I474" s="1187">
        <v>228776.90625</v>
      </c>
      <c r="J474" s="1187">
        <v>2378348</v>
      </c>
      <c r="K474" s="1188">
        <v>2378348.0099999998</v>
      </c>
    </row>
    <row r="475" spans="1:11" ht="40.799999999999997" x14ac:dyDescent="0.3">
      <c r="A475" s="761" t="s">
        <v>175</v>
      </c>
      <c r="B475" s="765">
        <v>2020</v>
      </c>
      <c r="C475" s="761" t="s">
        <v>2350</v>
      </c>
      <c r="D475" s="761" t="s">
        <v>2067</v>
      </c>
      <c r="E475" s="761" t="s">
        <v>2079</v>
      </c>
      <c r="F475" s="1187">
        <v>0</v>
      </c>
      <c r="G475" s="761" t="s">
        <v>631</v>
      </c>
      <c r="H475" s="767"/>
      <c r="I475" s="767"/>
      <c r="J475" s="1187">
        <v>0</v>
      </c>
      <c r="K475" s="1188">
        <v>0</v>
      </c>
    </row>
    <row r="476" spans="1:11" ht="40.799999999999997" x14ac:dyDescent="0.3">
      <c r="A476" s="761" t="s">
        <v>175</v>
      </c>
      <c r="B476" s="765">
        <v>2020</v>
      </c>
      <c r="C476" s="761" t="s">
        <v>2350</v>
      </c>
      <c r="D476" s="761" t="s">
        <v>3762</v>
      </c>
      <c r="E476" s="761" t="s">
        <v>4336</v>
      </c>
      <c r="F476" s="1187">
        <v>0</v>
      </c>
      <c r="G476" s="761" t="s">
        <v>631</v>
      </c>
      <c r="H476" s="767"/>
      <c r="I476" s="767"/>
      <c r="J476" s="1187">
        <v>0</v>
      </c>
      <c r="K476" s="1188">
        <v>0</v>
      </c>
    </row>
    <row r="477" spans="1:11" ht="40.799999999999997" x14ac:dyDescent="0.3">
      <c r="A477" s="761" t="s">
        <v>175</v>
      </c>
      <c r="B477" s="765">
        <v>2020</v>
      </c>
      <c r="C477" s="761" t="s">
        <v>2350</v>
      </c>
      <c r="D477" s="761" t="s">
        <v>4844</v>
      </c>
      <c r="E477" s="761" t="s">
        <v>5790</v>
      </c>
      <c r="F477" s="1187">
        <v>0</v>
      </c>
      <c r="G477" s="761" t="s">
        <v>631</v>
      </c>
      <c r="H477" s="1187">
        <v>840260.25</v>
      </c>
      <c r="I477" s="1187">
        <v>47241.30859375</v>
      </c>
      <c r="J477" s="1187">
        <v>887501.5625</v>
      </c>
      <c r="K477" s="1188">
        <v>887501.58</v>
      </c>
    </row>
    <row r="478" spans="1:11" ht="40.799999999999997" x14ac:dyDescent="0.3">
      <c r="A478" s="761" t="s">
        <v>175</v>
      </c>
      <c r="B478" s="765">
        <v>2020</v>
      </c>
      <c r="C478" s="761" t="s">
        <v>2350</v>
      </c>
      <c r="D478" s="761" t="s">
        <v>7101</v>
      </c>
      <c r="E478" s="761" t="s">
        <v>7157</v>
      </c>
      <c r="F478" s="1187">
        <v>0</v>
      </c>
      <c r="G478" s="761" t="s">
        <v>631</v>
      </c>
      <c r="H478" s="767"/>
      <c r="I478" s="767"/>
      <c r="J478" s="1187">
        <v>0</v>
      </c>
      <c r="K478" s="1188">
        <v>0</v>
      </c>
    </row>
    <row r="479" spans="1:11" ht="40.799999999999997" x14ac:dyDescent="0.3">
      <c r="A479" s="761" t="s">
        <v>175</v>
      </c>
      <c r="B479" s="765">
        <v>2020</v>
      </c>
      <c r="C479" s="761" t="s">
        <v>2350</v>
      </c>
      <c r="D479" s="761" t="s">
        <v>640</v>
      </c>
      <c r="E479" s="761" t="s">
        <v>1924</v>
      </c>
      <c r="F479" s="1187">
        <v>3265849.59</v>
      </c>
      <c r="G479" s="766"/>
      <c r="H479" s="767"/>
      <c r="I479" s="767"/>
      <c r="J479" s="1187">
        <v>0</v>
      </c>
      <c r="K479" s="1188">
        <v>3265849.59</v>
      </c>
    </row>
    <row r="480" spans="1:11" x14ac:dyDescent="0.3">
      <c r="A480" s="761" t="s">
        <v>176</v>
      </c>
      <c r="B480" s="765">
        <v>2020</v>
      </c>
      <c r="C480" s="761" t="s">
        <v>2342</v>
      </c>
      <c r="D480" s="761" t="s">
        <v>45</v>
      </c>
      <c r="E480" s="761" t="s">
        <v>1471</v>
      </c>
      <c r="F480" s="1187">
        <v>89294.57</v>
      </c>
      <c r="G480" s="761" t="s">
        <v>631</v>
      </c>
      <c r="H480" s="1187">
        <v>88394.28125</v>
      </c>
      <c r="I480" s="1187">
        <v>900.28997802734398</v>
      </c>
      <c r="J480" s="1187">
        <v>89294.5703125</v>
      </c>
      <c r="K480" s="1188">
        <v>89294.57</v>
      </c>
    </row>
    <row r="481" spans="1:11" ht="30.6" x14ac:dyDescent="0.3">
      <c r="A481" s="761" t="s">
        <v>176</v>
      </c>
      <c r="B481" s="765">
        <v>2020</v>
      </c>
      <c r="C481" s="761" t="s">
        <v>2343</v>
      </c>
      <c r="D481" s="761" t="s">
        <v>632</v>
      </c>
      <c r="E481" s="761" t="s">
        <v>1472</v>
      </c>
      <c r="F481" s="1187">
        <v>-31548.59</v>
      </c>
      <c r="G481" s="761" t="s">
        <v>631</v>
      </c>
      <c r="H481" s="1187">
        <v>-30561.80078125</v>
      </c>
      <c r="I481" s="1187">
        <v>-986.78997802734398</v>
      </c>
      <c r="J481" s="1187">
        <v>-31548.58984375</v>
      </c>
      <c r="K481" s="1188">
        <v>-31548.59</v>
      </c>
    </row>
    <row r="482" spans="1:11" ht="20.399999999999999" x14ac:dyDescent="0.3">
      <c r="A482" s="761" t="s">
        <v>176</v>
      </c>
      <c r="B482" s="765">
        <v>2020</v>
      </c>
      <c r="C482" s="761" t="s">
        <v>2344</v>
      </c>
      <c r="D482" s="761" t="s">
        <v>452</v>
      </c>
      <c r="E482" s="761" t="s">
        <v>1473</v>
      </c>
      <c r="F482" s="1187">
        <v>426426.72</v>
      </c>
      <c r="G482" s="766"/>
      <c r="H482" s="767"/>
      <c r="I482" s="767"/>
      <c r="J482" s="1187">
        <v>0</v>
      </c>
      <c r="K482" s="1188">
        <v>426426.72</v>
      </c>
    </row>
    <row r="483" spans="1:11" ht="20.399999999999999" x14ac:dyDescent="0.3">
      <c r="A483" s="761" t="s">
        <v>176</v>
      </c>
      <c r="B483" s="765">
        <v>2020</v>
      </c>
      <c r="C483" s="761" t="s">
        <v>2345</v>
      </c>
      <c r="D483" s="761" t="s">
        <v>42</v>
      </c>
      <c r="E483" s="761" t="s">
        <v>1474</v>
      </c>
      <c r="F483" s="1187">
        <v>-252060.34</v>
      </c>
      <c r="G483" s="761" t="s">
        <v>631</v>
      </c>
      <c r="H483" s="1187">
        <v>-251329.234375</v>
      </c>
      <c r="I483" s="1187">
        <v>-731.09997558593795</v>
      </c>
      <c r="J483" s="1187">
        <v>-252060.34375</v>
      </c>
      <c r="K483" s="1188">
        <v>-252060.34</v>
      </c>
    </row>
    <row r="484" spans="1:11" ht="20.399999999999999" x14ac:dyDescent="0.3">
      <c r="A484" s="761" t="s">
        <v>176</v>
      </c>
      <c r="B484" s="765">
        <v>2020</v>
      </c>
      <c r="C484" s="761" t="s">
        <v>2345</v>
      </c>
      <c r="D484" s="761" t="s">
        <v>2063</v>
      </c>
      <c r="E484" s="761" t="s">
        <v>1474</v>
      </c>
      <c r="F484" s="1187">
        <v>0</v>
      </c>
      <c r="G484" s="766"/>
      <c r="H484" s="767"/>
      <c r="I484" s="767"/>
      <c r="J484" s="1187">
        <v>0</v>
      </c>
      <c r="K484" s="1188">
        <v>0</v>
      </c>
    </row>
    <row r="485" spans="1:11" ht="20.399999999999999" x14ac:dyDescent="0.3">
      <c r="A485" s="761" t="s">
        <v>176</v>
      </c>
      <c r="B485" s="765">
        <v>2020</v>
      </c>
      <c r="C485" s="761" t="s">
        <v>2345</v>
      </c>
      <c r="D485" s="761" t="s">
        <v>2064</v>
      </c>
      <c r="E485" s="761" t="s">
        <v>1474</v>
      </c>
      <c r="F485" s="1187">
        <v>0</v>
      </c>
      <c r="G485" s="766"/>
      <c r="H485" s="767"/>
      <c r="I485" s="767"/>
      <c r="J485" s="1187">
        <v>0</v>
      </c>
      <c r="K485" s="1188">
        <v>0</v>
      </c>
    </row>
    <row r="486" spans="1:11" ht="20.399999999999999" x14ac:dyDescent="0.3">
      <c r="A486" s="761" t="s">
        <v>176</v>
      </c>
      <c r="B486" s="765">
        <v>2020</v>
      </c>
      <c r="C486" s="761" t="s">
        <v>2345</v>
      </c>
      <c r="D486" s="761" t="s">
        <v>2065</v>
      </c>
      <c r="E486" s="761" t="s">
        <v>1474</v>
      </c>
      <c r="F486" s="1187">
        <v>-503.05</v>
      </c>
      <c r="G486" s="766"/>
      <c r="H486" s="767"/>
      <c r="I486" s="767"/>
      <c r="J486" s="1187">
        <v>0</v>
      </c>
      <c r="K486" s="1188">
        <v>-503.05</v>
      </c>
    </row>
    <row r="487" spans="1:11" ht="20.399999999999999" x14ac:dyDescent="0.3">
      <c r="A487" s="761" t="s">
        <v>176</v>
      </c>
      <c r="B487" s="765">
        <v>2020</v>
      </c>
      <c r="C487" s="761" t="s">
        <v>2345</v>
      </c>
      <c r="D487" s="761" t="s">
        <v>2066</v>
      </c>
      <c r="E487" s="761" t="s">
        <v>1474</v>
      </c>
      <c r="F487" s="1187">
        <v>-37161.85</v>
      </c>
      <c r="G487" s="766"/>
      <c r="H487" s="767"/>
      <c r="I487" s="767"/>
      <c r="J487" s="1187">
        <v>0</v>
      </c>
      <c r="K487" s="1188">
        <v>-37161.85</v>
      </c>
    </row>
    <row r="488" spans="1:11" ht="30.6" x14ac:dyDescent="0.3">
      <c r="A488" s="761" t="s">
        <v>176</v>
      </c>
      <c r="B488" s="765">
        <v>2020</v>
      </c>
      <c r="C488" s="761" t="s">
        <v>2346</v>
      </c>
      <c r="D488" s="761" t="s">
        <v>43</v>
      </c>
      <c r="E488" s="761" t="s">
        <v>1475</v>
      </c>
      <c r="F488" s="1187">
        <v>-91801.39</v>
      </c>
      <c r="G488" s="761" t="s">
        <v>631</v>
      </c>
      <c r="H488" s="1187">
        <v>-89876.359375</v>
      </c>
      <c r="I488" s="1187">
        <v>-1925.03002929688</v>
      </c>
      <c r="J488" s="1187">
        <v>-91801.390625</v>
      </c>
      <c r="K488" s="1188">
        <v>-91801.39</v>
      </c>
    </row>
    <row r="489" spans="1:11" ht="30.6" x14ac:dyDescent="0.3">
      <c r="A489" s="761" t="s">
        <v>176</v>
      </c>
      <c r="B489" s="765">
        <v>2020</v>
      </c>
      <c r="C489" s="761" t="s">
        <v>2347</v>
      </c>
      <c r="D489" s="761" t="s">
        <v>44</v>
      </c>
      <c r="E489" s="761" t="s">
        <v>1476</v>
      </c>
      <c r="F489" s="1187">
        <v>189657.46</v>
      </c>
      <c r="G489" s="761" t="s">
        <v>631</v>
      </c>
      <c r="H489" s="1187">
        <v>184676.40625</v>
      </c>
      <c r="I489" s="1187">
        <v>4981.06005859375</v>
      </c>
      <c r="J489" s="1187">
        <v>189657.453125</v>
      </c>
      <c r="K489" s="1188">
        <v>189657.46</v>
      </c>
    </row>
    <row r="490" spans="1:11" ht="30.6" x14ac:dyDescent="0.3">
      <c r="A490" s="761" t="s">
        <v>176</v>
      </c>
      <c r="B490" s="765">
        <v>2020</v>
      </c>
      <c r="C490" s="761" t="s">
        <v>2348</v>
      </c>
      <c r="D490" s="761" t="s">
        <v>46</v>
      </c>
      <c r="E490" s="761" t="s">
        <v>1477</v>
      </c>
      <c r="F490" s="1187">
        <v>-317853.90999999997</v>
      </c>
      <c r="G490" s="761" t="s">
        <v>631</v>
      </c>
      <c r="H490" s="1187">
        <v>-302945.28125</v>
      </c>
      <c r="I490" s="1187">
        <v>-14908.6201171875</v>
      </c>
      <c r="J490" s="1187">
        <v>-317853.90625</v>
      </c>
      <c r="K490" s="1188">
        <v>-317853.90999999997</v>
      </c>
    </row>
    <row r="491" spans="1:11" ht="20.399999999999999" x14ac:dyDescent="0.3">
      <c r="A491" s="761" t="s">
        <v>176</v>
      </c>
      <c r="B491" s="765">
        <v>2020</v>
      </c>
      <c r="C491" s="761" t="s">
        <v>2349</v>
      </c>
      <c r="D491" s="761" t="s">
        <v>339</v>
      </c>
      <c r="E491" s="761" t="s">
        <v>1478</v>
      </c>
      <c r="F491" s="1187">
        <v>-18494.73</v>
      </c>
      <c r="G491" s="761" t="s">
        <v>631</v>
      </c>
      <c r="H491" s="1187">
        <v>-21614.509765625</v>
      </c>
      <c r="I491" s="1187">
        <v>3119.78002929688</v>
      </c>
      <c r="J491" s="1187">
        <v>-18494.73046875</v>
      </c>
      <c r="K491" s="1188">
        <v>-18494.73</v>
      </c>
    </row>
    <row r="492" spans="1:11" ht="40.799999999999997" x14ac:dyDescent="0.3">
      <c r="A492" s="761" t="s">
        <v>176</v>
      </c>
      <c r="B492" s="765">
        <v>2020</v>
      </c>
      <c r="C492" s="761" t="s">
        <v>2350</v>
      </c>
      <c r="D492" s="761" t="s">
        <v>633</v>
      </c>
      <c r="E492" s="761" t="s">
        <v>1479</v>
      </c>
      <c r="F492" s="1187">
        <v>0</v>
      </c>
      <c r="G492" s="761" t="s">
        <v>631</v>
      </c>
      <c r="H492" s="767"/>
      <c r="I492" s="767"/>
      <c r="J492" s="1187">
        <v>0</v>
      </c>
      <c r="K492" s="1188">
        <v>0</v>
      </c>
    </row>
    <row r="493" spans="1:11" ht="40.799999999999997" x14ac:dyDescent="0.3">
      <c r="A493" s="761" t="s">
        <v>176</v>
      </c>
      <c r="B493" s="765">
        <v>2020</v>
      </c>
      <c r="C493" s="761" t="s">
        <v>2350</v>
      </c>
      <c r="D493" s="761" t="s">
        <v>634</v>
      </c>
      <c r="E493" s="761" t="s">
        <v>1480</v>
      </c>
      <c r="F493" s="1187">
        <v>0</v>
      </c>
      <c r="G493" s="761" t="s">
        <v>631</v>
      </c>
      <c r="H493" s="767"/>
      <c r="I493" s="767"/>
      <c r="J493" s="1187">
        <v>0</v>
      </c>
      <c r="K493" s="1188">
        <v>0</v>
      </c>
    </row>
    <row r="494" spans="1:11" ht="40.799999999999997" x14ac:dyDescent="0.3">
      <c r="A494" s="761" t="s">
        <v>176</v>
      </c>
      <c r="B494" s="765">
        <v>2020</v>
      </c>
      <c r="C494" s="761" t="s">
        <v>2350</v>
      </c>
      <c r="D494" s="761" t="s">
        <v>635</v>
      </c>
      <c r="E494" s="761" t="s">
        <v>1481</v>
      </c>
      <c r="F494" s="1187">
        <v>0</v>
      </c>
      <c r="G494" s="761" t="s">
        <v>631</v>
      </c>
      <c r="H494" s="767"/>
      <c r="I494" s="767"/>
      <c r="J494" s="1187">
        <v>0</v>
      </c>
      <c r="K494" s="1188">
        <v>0</v>
      </c>
    </row>
    <row r="495" spans="1:11" ht="40.799999999999997" x14ac:dyDescent="0.3">
      <c r="A495" s="761" t="s">
        <v>176</v>
      </c>
      <c r="B495" s="765">
        <v>2020</v>
      </c>
      <c r="C495" s="761" t="s">
        <v>2350</v>
      </c>
      <c r="D495" s="761" t="s">
        <v>636</v>
      </c>
      <c r="E495" s="761" t="s">
        <v>1482</v>
      </c>
      <c r="F495" s="1187">
        <v>0</v>
      </c>
      <c r="G495" s="761" t="s">
        <v>631</v>
      </c>
      <c r="H495" s="767"/>
      <c r="I495" s="767"/>
      <c r="J495" s="1187">
        <v>0</v>
      </c>
      <c r="K495" s="1188">
        <v>0</v>
      </c>
    </row>
    <row r="496" spans="1:11" ht="40.799999999999997" x14ac:dyDescent="0.3">
      <c r="A496" s="761" t="s">
        <v>176</v>
      </c>
      <c r="B496" s="765">
        <v>2020</v>
      </c>
      <c r="C496" s="761" t="s">
        <v>2350</v>
      </c>
      <c r="D496" s="761" t="s">
        <v>637</v>
      </c>
      <c r="E496" s="761" t="s">
        <v>1483</v>
      </c>
      <c r="F496" s="1187">
        <v>0</v>
      </c>
      <c r="G496" s="761" t="s">
        <v>631</v>
      </c>
      <c r="H496" s="767"/>
      <c r="I496" s="767"/>
      <c r="J496" s="1187">
        <v>0</v>
      </c>
      <c r="K496" s="1188">
        <v>0</v>
      </c>
    </row>
    <row r="497" spans="1:11" ht="40.799999999999997" x14ac:dyDescent="0.3">
      <c r="A497" s="761" t="s">
        <v>176</v>
      </c>
      <c r="B497" s="765">
        <v>2020</v>
      </c>
      <c r="C497" s="761" t="s">
        <v>2350</v>
      </c>
      <c r="D497" s="761" t="s">
        <v>638</v>
      </c>
      <c r="E497" s="761" t="s">
        <v>1484</v>
      </c>
      <c r="F497" s="1187">
        <v>0</v>
      </c>
      <c r="G497" s="761" t="s">
        <v>631</v>
      </c>
      <c r="H497" s="767"/>
      <c r="I497" s="767"/>
      <c r="J497" s="1187">
        <v>0</v>
      </c>
      <c r="K497" s="1188">
        <v>0</v>
      </c>
    </row>
    <row r="498" spans="1:11" ht="40.799999999999997" x14ac:dyDescent="0.3">
      <c r="A498" s="761" t="s">
        <v>176</v>
      </c>
      <c r="B498" s="765">
        <v>2020</v>
      </c>
      <c r="C498" s="761" t="s">
        <v>2350</v>
      </c>
      <c r="D498" s="761" t="s">
        <v>639</v>
      </c>
      <c r="E498" s="761" t="s">
        <v>1485</v>
      </c>
      <c r="F498" s="1187">
        <v>0</v>
      </c>
      <c r="G498" s="761" t="s">
        <v>631</v>
      </c>
      <c r="H498" s="767"/>
      <c r="I498" s="767"/>
      <c r="J498" s="1187">
        <v>0</v>
      </c>
      <c r="K498" s="1188">
        <v>0</v>
      </c>
    </row>
    <row r="499" spans="1:11" ht="40.799999999999997" x14ac:dyDescent="0.3">
      <c r="A499" s="761" t="s">
        <v>176</v>
      </c>
      <c r="B499" s="765">
        <v>2020</v>
      </c>
      <c r="C499" s="761" t="s">
        <v>2350</v>
      </c>
      <c r="D499" s="761" t="s">
        <v>1613</v>
      </c>
      <c r="E499" s="761" t="s">
        <v>1967</v>
      </c>
      <c r="F499" s="1187">
        <v>0</v>
      </c>
      <c r="G499" s="761" t="s">
        <v>631</v>
      </c>
      <c r="H499" s="767"/>
      <c r="I499" s="767"/>
      <c r="J499" s="1187">
        <v>0</v>
      </c>
      <c r="K499" s="1188">
        <v>0</v>
      </c>
    </row>
    <row r="500" spans="1:11" ht="40.799999999999997" x14ac:dyDescent="0.3">
      <c r="A500" s="761" t="s">
        <v>176</v>
      </c>
      <c r="B500" s="765">
        <v>2020</v>
      </c>
      <c r="C500" s="761" t="s">
        <v>2350</v>
      </c>
      <c r="D500" s="761" t="s">
        <v>2067</v>
      </c>
      <c r="E500" s="761" t="s">
        <v>2080</v>
      </c>
      <c r="F500" s="1187">
        <v>0</v>
      </c>
      <c r="G500" s="761" t="s">
        <v>631</v>
      </c>
      <c r="H500" s="767"/>
      <c r="I500" s="767"/>
      <c r="J500" s="1187">
        <v>0</v>
      </c>
      <c r="K500" s="1188">
        <v>0</v>
      </c>
    </row>
    <row r="501" spans="1:11" ht="40.799999999999997" x14ac:dyDescent="0.3">
      <c r="A501" s="761" t="s">
        <v>176</v>
      </c>
      <c r="B501" s="765">
        <v>2020</v>
      </c>
      <c r="C501" s="761" t="s">
        <v>2350</v>
      </c>
      <c r="D501" s="761" t="s">
        <v>3762</v>
      </c>
      <c r="E501" s="761" t="s">
        <v>4337</v>
      </c>
      <c r="F501" s="1187">
        <v>0</v>
      </c>
      <c r="G501" s="761" t="s">
        <v>631</v>
      </c>
      <c r="H501" s="1187">
        <v>-80471.7890625</v>
      </c>
      <c r="I501" s="1187">
        <v>-24292.470703125</v>
      </c>
      <c r="J501" s="1187">
        <v>-104764.2578125</v>
      </c>
      <c r="K501" s="1188">
        <v>-104764.26</v>
      </c>
    </row>
    <row r="502" spans="1:11" ht="40.799999999999997" x14ac:dyDescent="0.3">
      <c r="A502" s="761" t="s">
        <v>176</v>
      </c>
      <c r="B502" s="765">
        <v>2020</v>
      </c>
      <c r="C502" s="761" t="s">
        <v>2350</v>
      </c>
      <c r="D502" s="761" t="s">
        <v>4844</v>
      </c>
      <c r="E502" s="761" t="s">
        <v>5791</v>
      </c>
      <c r="F502" s="1187">
        <v>0</v>
      </c>
      <c r="G502" s="761" t="s">
        <v>631</v>
      </c>
      <c r="H502" s="1187">
        <v>68080.2734375</v>
      </c>
      <c r="I502" s="1187">
        <v>17783.669921875</v>
      </c>
      <c r="J502" s="1187">
        <v>85863.9375</v>
      </c>
      <c r="K502" s="1188">
        <v>85863.94</v>
      </c>
    </row>
    <row r="503" spans="1:11" ht="40.799999999999997" x14ac:dyDescent="0.3">
      <c r="A503" s="761" t="s">
        <v>176</v>
      </c>
      <c r="B503" s="765">
        <v>2020</v>
      </c>
      <c r="C503" s="761" t="s">
        <v>2350</v>
      </c>
      <c r="D503" s="761" t="s">
        <v>7101</v>
      </c>
      <c r="E503" s="761" t="s">
        <v>7158</v>
      </c>
      <c r="F503" s="1187">
        <v>0</v>
      </c>
      <c r="G503" s="761" t="s">
        <v>631</v>
      </c>
      <c r="H503" s="1187">
        <v>-13721.580078125</v>
      </c>
      <c r="I503" s="1187">
        <v>7706.93017578125</v>
      </c>
      <c r="J503" s="1187">
        <v>-6014.64990234375</v>
      </c>
      <c r="K503" s="1188">
        <v>-6014.65</v>
      </c>
    </row>
    <row r="504" spans="1:11" ht="40.799999999999997" x14ac:dyDescent="0.3">
      <c r="A504" s="761" t="s">
        <v>176</v>
      </c>
      <c r="B504" s="765">
        <v>2020</v>
      </c>
      <c r="C504" s="761" t="s">
        <v>2350</v>
      </c>
      <c r="D504" s="761" t="s">
        <v>640</v>
      </c>
      <c r="E504" s="761" t="s">
        <v>1486</v>
      </c>
      <c r="F504" s="1187">
        <v>-24914.97</v>
      </c>
      <c r="G504" s="766"/>
      <c r="H504" s="767"/>
      <c r="I504" s="767"/>
      <c r="J504" s="1187">
        <v>0</v>
      </c>
      <c r="K504" s="1188">
        <v>-24914.97</v>
      </c>
    </row>
    <row r="505" spans="1:11" x14ac:dyDescent="0.3">
      <c r="A505" s="761" t="s">
        <v>177</v>
      </c>
      <c r="B505" s="765">
        <v>2020</v>
      </c>
      <c r="C505" s="761" t="s">
        <v>2342</v>
      </c>
      <c r="D505" s="761" t="s">
        <v>45</v>
      </c>
      <c r="E505" s="761" t="s">
        <v>729</v>
      </c>
      <c r="F505" s="1187">
        <v>0</v>
      </c>
      <c r="G505" s="761" t="s">
        <v>631</v>
      </c>
      <c r="H505" s="767"/>
      <c r="I505" s="767"/>
      <c r="J505" s="1187">
        <v>0</v>
      </c>
      <c r="K505" s="1188">
        <v>0</v>
      </c>
    </row>
    <row r="506" spans="1:11" ht="30.6" x14ac:dyDescent="0.3">
      <c r="A506" s="761" t="s">
        <v>177</v>
      </c>
      <c r="B506" s="765">
        <v>2020</v>
      </c>
      <c r="C506" s="761" t="s">
        <v>2343</v>
      </c>
      <c r="D506" s="761" t="s">
        <v>632</v>
      </c>
      <c r="E506" s="761" t="s">
        <v>730</v>
      </c>
      <c r="F506" s="1187">
        <v>-2328.7199999999998</v>
      </c>
      <c r="G506" s="761" t="s">
        <v>631</v>
      </c>
      <c r="H506" s="1187">
        <v>-2269.72998046875</v>
      </c>
      <c r="I506" s="1187">
        <v>-58.990001678466797</v>
      </c>
      <c r="J506" s="1187">
        <v>-2328.71997070313</v>
      </c>
      <c r="K506" s="1188">
        <v>-2328.7199999999998</v>
      </c>
    </row>
    <row r="507" spans="1:11" ht="20.399999999999999" x14ac:dyDescent="0.3">
      <c r="A507" s="761" t="s">
        <v>177</v>
      </c>
      <c r="B507" s="765">
        <v>2020</v>
      </c>
      <c r="C507" s="761" t="s">
        <v>2344</v>
      </c>
      <c r="D507" s="761" t="s">
        <v>452</v>
      </c>
      <c r="E507" s="761" t="s">
        <v>731</v>
      </c>
      <c r="F507" s="1187">
        <v>49420.89</v>
      </c>
      <c r="G507" s="766"/>
      <c r="H507" s="767"/>
      <c r="I507" s="767"/>
      <c r="J507" s="1187">
        <v>0</v>
      </c>
      <c r="K507" s="1188">
        <v>49420.89</v>
      </c>
    </row>
    <row r="508" spans="1:11" ht="20.399999999999999" x14ac:dyDescent="0.3">
      <c r="A508" s="761" t="s">
        <v>177</v>
      </c>
      <c r="B508" s="765">
        <v>2020</v>
      </c>
      <c r="C508" s="761" t="s">
        <v>2345</v>
      </c>
      <c r="D508" s="761" t="s">
        <v>42</v>
      </c>
      <c r="E508" s="761" t="s">
        <v>732</v>
      </c>
      <c r="F508" s="1187">
        <v>-273034.48</v>
      </c>
      <c r="G508" s="761" t="s">
        <v>631</v>
      </c>
      <c r="H508" s="1187">
        <v>-262301.78125</v>
      </c>
      <c r="I508" s="1187">
        <v>-10732.7099609375</v>
      </c>
      <c r="J508" s="1187">
        <v>-273034.46875</v>
      </c>
      <c r="K508" s="1188">
        <v>-273034.48</v>
      </c>
    </row>
    <row r="509" spans="1:11" ht="20.399999999999999" x14ac:dyDescent="0.3">
      <c r="A509" s="761" t="s">
        <v>177</v>
      </c>
      <c r="B509" s="765">
        <v>2020</v>
      </c>
      <c r="C509" s="761" t="s">
        <v>2345</v>
      </c>
      <c r="D509" s="761" t="s">
        <v>2063</v>
      </c>
      <c r="E509" s="761" t="s">
        <v>732</v>
      </c>
      <c r="F509" s="1187">
        <v>0</v>
      </c>
      <c r="G509" s="766"/>
      <c r="H509" s="767"/>
      <c r="I509" s="767"/>
      <c r="J509" s="1187">
        <v>0</v>
      </c>
      <c r="K509" s="1188">
        <v>0</v>
      </c>
    </row>
    <row r="510" spans="1:11" ht="20.399999999999999" x14ac:dyDescent="0.3">
      <c r="A510" s="761" t="s">
        <v>177</v>
      </c>
      <c r="B510" s="765">
        <v>2020</v>
      </c>
      <c r="C510" s="761" t="s">
        <v>2345</v>
      </c>
      <c r="D510" s="761" t="s">
        <v>2064</v>
      </c>
      <c r="E510" s="761" t="s">
        <v>732</v>
      </c>
      <c r="F510" s="1187">
        <v>0</v>
      </c>
      <c r="G510" s="766"/>
      <c r="H510" s="767"/>
      <c r="I510" s="767"/>
      <c r="J510" s="1187">
        <v>0</v>
      </c>
      <c r="K510" s="1188">
        <v>0</v>
      </c>
    </row>
    <row r="511" spans="1:11" ht="20.399999999999999" x14ac:dyDescent="0.3">
      <c r="A511" s="761" t="s">
        <v>177</v>
      </c>
      <c r="B511" s="765">
        <v>2020</v>
      </c>
      <c r="C511" s="761" t="s">
        <v>2345</v>
      </c>
      <c r="D511" s="761" t="s">
        <v>2065</v>
      </c>
      <c r="E511" s="761" t="s">
        <v>732</v>
      </c>
      <c r="F511" s="1187">
        <v>-1485.64</v>
      </c>
      <c r="G511" s="766"/>
      <c r="H511" s="767"/>
      <c r="I511" s="767"/>
      <c r="J511" s="1187">
        <v>0</v>
      </c>
      <c r="K511" s="1188">
        <v>-1485.64</v>
      </c>
    </row>
    <row r="512" spans="1:11" ht="20.399999999999999" x14ac:dyDescent="0.3">
      <c r="A512" s="761" t="s">
        <v>177</v>
      </c>
      <c r="B512" s="765">
        <v>2020</v>
      </c>
      <c r="C512" s="761" t="s">
        <v>2345</v>
      </c>
      <c r="D512" s="761" t="s">
        <v>2066</v>
      </c>
      <c r="E512" s="761" t="s">
        <v>732</v>
      </c>
      <c r="F512" s="1187">
        <v>-46161.56</v>
      </c>
      <c r="G512" s="766"/>
      <c r="H512" s="767"/>
      <c r="I512" s="767"/>
      <c r="J512" s="1187">
        <v>0</v>
      </c>
      <c r="K512" s="1188">
        <v>-46161.56</v>
      </c>
    </row>
    <row r="513" spans="1:11" ht="30.6" x14ac:dyDescent="0.3">
      <c r="A513" s="761" t="s">
        <v>177</v>
      </c>
      <c r="B513" s="765">
        <v>2020</v>
      </c>
      <c r="C513" s="761" t="s">
        <v>2346</v>
      </c>
      <c r="D513" s="761" t="s">
        <v>43</v>
      </c>
      <c r="E513" s="761" t="s">
        <v>733</v>
      </c>
      <c r="F513" s="1187">
        <v>10885.84</v>
      </c>
      <c r="G513" s="761" t="s">
        <v>631</v>
      </c>
      <c r="H513" s="1187">
        <v>10741.0703125</v>
      </c>
      <c r="I513" s="1187">
        <v>144.77000427246099</v>
      </c>
      <c r="J513" s="1187">
        <v>10885.83984375</v>
      </c>
      <c r="K513" s="1188">
        <v>10885.84</v>
      </c>
    </row>
    <row r="514" spans="1:11" ht="30.6" x14ac:dyDescent="0.3">
      <c r="A514" s="761" t="s">
        <v>177</v>
      </c>
      <c r="B514" s="765">
        <v>2020</v>
      </c>
      <c r="C514" s="761" t="s">
        <v>2347</v>
      </c>
      <c r="D514" s="761" t="s">
        <v>44</v>
      </c>
      <c r="E514" s="761" t="s">
        <v>734</v>
      </c>
      <c r="F514" s="1187">
        <v>5942.27</v>
      </c>
      <c r="G514" s="761" t="s">
        <v>631</v>
      </c>
      <c r="H514" s="1187">
        <v>5618.4501953125</v>
      </c>
      <c r="I514" s="1187">
        <v>323.82000732421898</v>
      </c>
      <c r="J514" s="1187">
        <v>5942.27001953125</v>
      </c>
      <c r="K514" s="1188">
        <v>5942.27</v>
      </c>
    </row>
    <row r="515" spans="1:11" ht="30.6" x14ac:dyDescent="0.3">
      <c r="A515" s="761" t="s">
        <v>177</v>
      </c>
      <c r="B515" s="765">
        <v>2020</v>
      </c>
      <c r="C515" s="761" t="s">
        <v>2348</v>
      </c>
      <c r="D515" s="761" t="s">
        <v>46</v>
      </c>
      <c r="E515" s="761" t="s">
        <v>735</v>
      </c>
      <c r="F515" s="1187">
        <v>136857.25</v>
      </c>
      <c r="G515" s="761" t="s">
        <v>631</v>
      </c>
      <c r="H515" s="1187">
        <v>130847</v>
      </c>
      <c r="I515" s="1187">
        <v>6010.25</v>
      </c>
      <c r="J515" s="1187">
        <v>136857.25</v>
      </c>
      <c r="K515" s="1188">
        <v>136857.25</v>
      </c>
    </row>
    <row r="516" spans="1:11" ht="20.399999999999999" x14ac:dyDescent="0.3">
      <c r="A516" s="761" t="s">
        <v>177</v>
      </c>
      <c r="B516" s="765">
        <v>2020</v>
      </c>
      <c r="C516" s="761" t="s">
        <v>2349</v>
      </c>
      <c r="D516" s="761" t="s">
        <v>339</v>
      </c>
      <c r="E516" s="761" t="s">
        <v>736</v>
      </c>
      <c r="F516" s="1187">
        <v>57249.63</v>
      </c>
      <c r="G516" s="761" t="s">
        <v>631</v>
      </c>
      <c r="H516" s="1187">
        <v>56113.828125</v>
      </c>
      <c r="I516" s="1187">
        <v>1135.80004882813</v>
      </c>
      <c r="J516" s="1187">
        <v>57249.62890625</v>
      </c>
      <c r="K516" s="1188">
        <v>57249.63</v>
      </c>
    </row>
    <row r="517" spans="1:11" ht="40.799999999999997" x14ac:dyDescent="0.3">
      <c r="A517" s="761" t="s">
        <v>177</v>
      </c>
      <c r="B517" s="765">
        <v>2020</v>
      </c>
      <c r="C517" s="761" t="s">
        <v>2350</v>
      </c>
      <c r="D517" s="761" t="s">
        <v>633</v>
      </c>
      <c r="E517" s="761" t="s">
        <v>1094</v>
      </c>
      <c r="F517" s="1187">
        <v>0</v>
      </c>
      <c r="G517" s="761" t="s">
        <v>631</v>
      </c>
      <c r="H517" s="767"/>
      <c r="I517" s="767"/>
      <c r="J517" s="1187">
        <v>0</v>
      </c>
      <c r="K517" s="1188">
        <v>0</v>
      </c>
    </row>
    <row r="518" spans="1:11" ht="40.799999999999997" x14ac:dyDescent="0.3">
      <c r="A518" s="761" t="s">
        <v>177</v>
      </c>
      <c r="B518" s="765">
        <v>2020</v>
      </c>
      <c r="C518" s="761" t="s">
        <v>2350</v>
      </c>
      <c r="D518" s="761" t="s">
        <v>634</v>
      </c>
      <c r="E518" s="761" t="s">
        <v>1095</v>
      </c>
      <c r="F518" s="1187">
        <v>0</v>
      </c>
      <c r="G518" s="761" t="s">
        <v>631</v>
      </c>
      <c r="H518" s="767"/>
      <c r="I518" s="767"/>
      <c r="J518" s="1187">
        <v>0</v>
      </c>
      <c r="K518" s="1188">
        <v>0</v>
      </c>
    </row>
    <row r="519" spans="1:11" ht="40.799999999999997" x14ac:dyDescent="0.3">
      <c r="A519" s="761" t="s">
        <v>177</v>
      </c>
      <c r="B519" s="765">
        <v>2020</v>
      </c>
      <c r="C519" s="761" t="s">
        <v>2350</v>
      </c>
      <c r="D519" s="761" t="s">
        <v>635</v>
      </c>
      <c r="E519" s="761" t="s">
        <v>1096</v>
      </c>
      <c r="F519" s="1187">
        <v>0</v>
      </c>
      <c r="G519" s="761" t="s">
        <v>631</v>
      </c>
      <c r="H519" s="767"/>
      <c r="I519" s="767"/>
      <c r="J519" s="1187">
        <v>0</v>
      </c>
      <c r="K519" s="1188">
        <v>0</v>
      </c>
    </row>
    <row r="520" spans="1:11" ht="40.799999999999997" x14ac:dyDescent="0.3">
      <c r="A520" s="761" t="s">
        <v>177</v>
      </c>
      <c r="B520" s="765">
        <v>2020</v>
      </c>
      <c r="C520" s="761" t="s">
        <v>2350</v>
      </c>
      <c r="D520" s="761" t="s">
        <v>636</v>
      </c>
      <c r="E520" s="761" t="s">
        <v>1097</v>
      </c>
      <c r="F520" s="1187">
        <v>0</v>
      </c>
      <c r="G520" s="761" t="s">
        <v>631</v>
      </c>
      <c r="H520" s="767"/>
      <c r="I520" s="767"/>
      <c r="J520" s="1187">
        <v>0</v>
      </c>
      <c r="K520" s="1188">
        <v>0</v>
      </c>
    </row>
    <row r="521" spans="1:11" ht="40.799999999999997" x14ac:dyDescent="0.3">
      <c r="A521" s="761" t="s">
        <v>177</v>
      </c>
      <c r="B521" s="765">
        <v>2020</v>
      </c>
      <c r="C521" s="761" t="s">
        <v>2350</v>
      </c>
      <c r="D521" s="761" t="s">
        <v>637</v>
      </c>
      <c r="E521" s="761" t="s">
        <v>1098</v>
      </c>
      <c r="F521" s="1187">
        <v>0</v>
      </c>
      <c r="G521" s="761" t="s">
        <v>631</v>
      </c>
      <c r="H521" s="767"/>
      <c r="I521" s="767"/>
      <c r="J521" s="1187">
        <v>0</v>
      </c>
      <c r="K521" s="1188">
        <v>0</v>
      </c>
    </row>
    <row r="522" spans="1:11" ht="40.799999999999997" x14ac:dyDescent="0.3">
      <c r="A522" s="761" t="s">
        <v>177</v>
      </c>
      <c r="B522" s="765">
        <v>2020</v>
      </c>
      <c r="C522" s="761" t="s">
        <v>2350</v>
      </c>
      <c r="D522" s="761" t="s">
        <v>638</v>
      </c>
      <c r="E522" s="761" t="s">
        <v>1099</v>
      </c>
      <c r="F522" s="1187">
        <v>0</v>
      </c>
      <c r="G522" s="761" t="s">
        <v>631</v>
      </c>
      <c r="H522" s="767"/>
      <c r="I522" s="767"/>
      <c r="J522" s="1187">
        <v>0</v>
      </c>
      <c r="K522" s="1188">
        <v>0</v>
      </c>
    </row>
    <row r="523" spans="1:11" ht="40.799999999999997" x14ac:dyDescent="0.3">
      <c r="A523" s="761" t="s">
        <v>177</v>
      </c>
      <c r="B523" s="765">
        <v>2020</v>
      </c>
      <c r="C523" s="761" t="s">
        <v>2350</v>
      </c>
      <c r="D523" s="761" t="s">
        <v>639</v>
      </c>
      <c r="E523" s="761" t="s">
        <v>1100</v>
      </c>
      <c r="F523" s="1187">
        <v>0</v>
      </c>
      <c r="G523" s="761" t="s">
        <v>631</v>
      </c>
      <c r="H523" s="767"/>
      <c r="I523" s="767"/>
      <c r="J523" s="1187">
        <v>0</v>
      </c>
      <c r="K523" s="1188">
        <v>0</v>
      </c>
    </row>
    <row r="524" spans="1:11" ht="40.799999999999997" x14ac:dyDescent="0.3">
      <c r="A524" s="761" t="s">
        <v>177</v>
      </c>
      <c r="B524" s="765">
        <v>2020</v>
      </c>
      <c r="C524" s="761" t="s">
        <v>2350</v>
      </c>
      <c r="D524" s="761" t="s">
        <v>1613</v>
      </c>
      <c r="E524" s="761" t="s">
        <v>1968</v>
      </c>
      <c r="F524" s="1187">
        <v>0</v>
      </c>
      <c r="G524" s="761" t="s">
        <v>631</v>
      </c>
      <c r="H524" s="767"/>
      <c r="I524" s="767"/>
      <c r="J524" s="1187">
        <v>0</v>
      </c>
      <c r="K524" s="1188">
        <v>0</v>
      </c>
    </row>
    <row r="525" spans="1:11" ht="40.799999999999997" x14ac:dyDescent="0.3">
      <c r="A525" s="761" t="s">
        <v>177</v>
      </c>
      <c r="B525" s="765">
        <v>2020</v>
      </c>
      <c r="C525" s="761" t="s">
        <v>2350</v>
      </c>
      <c r="D525" s="761" t="s">
        <v>2067</v>
      </c>
      <c r="E525" s="761" t="s">
        <v>2081</v>
      </c>
      <c r="F525" s="1187">
        <v>0</v>
      </c>
      <c r="G525" s="761" t="s">
        <v>631</v>
      </c>
      <c r="H525" s="1187">
        <v>26176.58984375</v>
      </c>
      <c r="I525" s="1187">
        <v>-2460.34008789063</v>
      </c>
      <c r="J525" s="1187">
        <v>23716.25</v>
      </c>
      <c r="K525" s="1188">
        <v>23716.25</v>
      </c>
    </row>
    <row r="526" spans="1:11" ht="40.799999999999997" x14ac:dyDescent="0.3">
      <c r="A526" s="761" t="s">
        <v>177</v>
      </c>
      <c r="B526" s="765">
        <v>2020</v>
      </c>
      <c r="C526" s="761" t="s">
        <v>2350</v>
      </c>
      <c r="D526" s="761" t="s">
        <v>3762</v>
      </c>
      <c r="E526" s="761" t="s">
        <v>4338</v>
      </c>
      <c r="F526" s="1187">
        <v>0</v>
      </c>
      <c r="G526" s="761" t="s">
        <v>631</v>
      </c>
      <c r="H526" s="1187">
        <v>70549.5234375</v>
      </c>
      <c r="I526" s="1187">
        <v>-15879.41015625</v>
      </c>
      <c r="J526" s="1187">
        <v>54670.109375</v>
      </c>
      <c r="K526" s="1188">
        <v>54670.11</v>
      </c>
    </row>
    <row r="527" spans="1:11" ht="40.799999999999997" x14ac:dyDescent="0.3">
      <c r="A527" s="761" t="s">
        <v>177</v>
      </c>
      <c r="B527" s="765">
        <v>2020</v>
      </c>
      <c r="C527" s="761" t="s">
        <v>2350</v>
      </c>
      <c r="D527" s="761" t="s">
        <v>4844</v>
      </c>
      <c r="E527" s="761" t="s">
        <v>5792</v>
      </c>
      <c r="F527" s="1187">
        <v>0</v>
      </c>
      <c r="G527" s="761" t="s">
        <v>631</v>
      </c>
      <c r="H527" s="767"/>
      <c r="I527" s="767"/>
      <c r="J527" s="1187">
        <v>0</v>
      </c>
      <c r="K527" s="1188">
        <v>0</v>
      </c>
    </row>
    <row r="528" spans="1:11" ht="40.799999999999997" x14ac:dyDescent="0.3">
      <c r="A528" s="761" t="s">
        <v>177</v>
      </c>
      <c r="B528" s="765">
        <v>2020</v>
      </c>
      <c r="C528" s="761" t="s">
        <v>2350</v>
      </c>
      <c r="D528" s="761" t="s">
        <v>7101</v>
      </c>
      <c r="E528" s="761" t="s">
        <v>7159</v>
      </c>
      <c r="F528" s="1187">
        <v>0</v>
      </c>
      <c r="G528" s="761" t="s">
        <v>631</v>
      </c>
      <c r="H528" s="767"/>
      <c r="I528" s="767"/>
      <c r="J528" s="1187">
        <v>0</v>
      </c>
      <c r="K528" s="1188">
        <v>0</v>
      </c>
    </row>
    <row r="529" spans="1:11" ht="40.799999999999997" x14ac:dyDescent="0.3">
      <c r="A529" s="761" t="s">
        <v>177</v>
      </c>
      <c r="B529" s="765">
        <v>2020</v>
      </c>
      <c r="C529" s="761" t="s">
        <v>2350</v>
      </c>
      <c r="D529" s="761" t="s">
        <v>640</v>
      </c>
      <c r="E529" s="761" t="s">
        <v>1357</v>
      </c>
      <c r="F529" s="1187">
        <v>78386.36</v>
      </c>
      <c r="G529" s="766"/>
      <c r="H529" s="767"/>
      <c r="I529" s="767"/>
      <c r="J529" s="1187">
        <v>0</v>
      </c>
      <c r="K529" s="1188">
        <v>78386.36</v>
      </c>
    </row>
    <row r="530" spans="1:11" x14ac:dyDescent="0.3">
      <c r="A530" s="761" t="s">
        <v>160</v>
      </c>
      <c r="B530" s="765">
        <v>2020</v>
      </c>
      <c r="C530" s="761" t="s">
        <v>2342</v>
      </c>
      <c r="D530" s="761" t="s">
        <v>45</v>
      </c>
      <c r="E530" s="761" t="s">
        <v>737</v>
      </c>
      <c r="F530" s="1187">
        <v>375194.49</v>
      </c>
      <c r="G530" s="761" t="s">
        <v>631</v>
      </c>
      <c r="H530" s="1187">
        <v>367413.03125</v>
      </c>
      <c r="I530" s="1187">
        <v>7781.47021484375</v>
      </c>
      <c r="J530" s="1187">
        <v>375194.5</v>
      </c>
      <c r="K530" s="1188">
        <v>375194.49</v>
      </c>
    </row>
    <row r="531" spans="1:11" ht="30.6" x14ac:dyDescent="0.3">
      <c r="A531" s="761" t="s">
        <v>160</v>
      </c>
      <c r="B531" s="765">
        <v>2020</v>
      </c>
      <c r="C531" s="761" t="s">
        <v>2343</v>
      </c>
      <c r="D531" s="761" t="s">
        <v>632</v>
      </c>
      <c r="E531" s="761" t="s">
        <v>738</v>
      </c>
      <c r="F531" s="1187">
        <v>-59221.7</v>
      </c>
      <c r="G531" s="761" t="s">
        <v>631</v>
      </c>
      <c r="H531" s="1187">
        <v>-57472.76171875</v>
      </c>
      <c r="I531" s="1187">
        <v>-1748.93994140625</v>
      </c>
      <c r="J531" s="1187">
        <v>-59221.69921875</v>
      </c>
      <c r="K531" s="1188">
        <v>-59221.7</v>
      </c>
    </row>
    <row r="532" spans="1:11" ht="20.399999999999999" x14ac:dyDescent="0.3">
      <c r="A532" s="761" t="s">
        <v>160</v>
      </c>
      <c r="B532" s="765">
        <v>2020</v>
      </c>
      <c r="C532" s="761" t="s">
        <v>2344</v>
      </c>
      <c r="D532" s="761" t="s">
        <v>452</v>
      </c>
      <c r="E532" s="761" t="s">
        <v>739</v>
      </c>
      <c r="F532" s="1187">
        <v>1250131.8400000001</v>
      </c>
      <c r="G532" s="766"/>
      <c r="H532" s="767"/>
      <c r="I532" s="767"/>
      <c r="J532" s="1187">
        <v>0</v>
      </c>
      <c r="K532" s="1188">
        <v>1250131.8400000001</v>
      </c>
    </row>
    <row r="533" spans="1:11" ht="20.399999999999999" x14ac:dyDescent="0.3">
      <c r="A533" s="761" t="s">
        <v>160</v>
      </c>
      <c r="B533" s="765">
        <v>2020</v>
      </c>
      <c r="C533" s="761" t="s">
        <v>2345</v>
      </c>
      <c r="D533" s="761" t="s">
        <v>42</v>
      </c>
      <c r="E533" s="761" t="s">
        <v>740</v>
      </c>
      <c r="F533" s="1187">
        <v>-594395.35</v>
      </c>
      <c r="G533" s="761" t="s">
        <v>631</v>
      </c>
      <c r="H533" s="1187">
        <v>-588871.375</v>
      </c>
      <c r="I533" s="1187">
        <v>-5523.97021484375</v>
      </c>
      <c r="J533" s="1187">
        <v>-594395.375</v>
      </c>
      <c r="K533" s="1188">
        <v>-594395.35</v>
      </c>
    </row>
    <row r="534" spans="1:11" ht="20.399999999999999" x14ac:dyDescent="0.3">
      <c r="A534" s="761" t="s">
        <v>160</v>
      </c>
      <c r="B534" s="765">
        <v>2020</v>
      </c>
      <c r="C534" s="761" t="s">
        <v>2345</v>
      </c>
      <c r="D534" s="761" t="s">
        <v>2063</v>
      </c>
      <c r="E534" s="761" t="s">
        <v>740</v>
      </c>
      <c r="F534" s="1187">
        <v>0</v>
      </c>
      <c r="G534" s="766"/>
      <c r="H534" s="767"/>
      <c r="I534" s="767"/>
      <c r="J534" s="1187">
        <v>0</v>
      </c>
      <c r="K534" s="1188">
        <v>0</v>
      </c>
    </row>
    <row r="535" spans="1:11" ht="20.399999999999999" x14ac:dyDescent="0.3">
      <c r="A535" s="761" t="s">
        <v>160</v>
      </c>
      <c r="B535" s="765">
        <v>2020</v>
      </c>
      <c r="C535" s="761" t="s">
        <v>2345</v>
      </c>
      <c r="D535" s="761" t="s">
        <v>2064</v>
      </c>
      <c r="E535" s="761" t="s">
        <v>740</v>
      </c>
      <c r="F535" s="1187">
        <v>419.91</v>
      </c>
      <c r="G535" s="766"/>
      <c r="H535" s="767"/>
      <c r="I535" s="767"/>
      <c r="J535" s="1187">
        <v>0</v>
      </c>
      <c r="K535" s="1188">
        <v>419.91</v>
      </c>
    </row>
    <row r="536" spans="1:11" ht="20.399999999999999" x14ac:dyDescent="0.3">
      <c r="A536" s="761" t="s">
        <v>160</v>
      </c>
      <c r="B536" s="765">
        <v>2020</v>
      </c>
      <c r="C536" s="761" t="s">
        <v>2345</v>
      </c>
      <c r="D536" s="761" t="s">
        <v>2065</v>
      </c>
      <c r="E536" s="761" t="s">
        <v>740</v>
      </c>
      <c r="F536" s="1187">
        <v>0</v>
      </c>
      <c r="G536" s="766"/>
      <c r="H536" s="767"/>
      <c r="I536" s="767"/>
      <c r="J536" s="1187">
        <v>0</v>
      </c>
      <c r="K536" s="1188">
        <v>0</v>
      </c>
    </row>
    <row r="537" spans="1:11" ht="20.399999999999999" x14ac:dyDescent="0.3">
      <c r="A537" s="761" t="s">
        <v>160</v>
      </c>
      <c r="B537" s="765">
        <v>2020</v>
      </c>
      <c r="C537" s="761" t="s">
        <v>2345</v>
      </c>
      <c r="D537" s="761" t="s">
        <v>2066</v>
      </c>
      <c r="E537" s="761" t="s">
        <v>740</v>
      </c>
      <c r="F537" s="1187">
        <v>-164867.60999999999</v>
      </c>
      <c r="G537" s="766"/>
      <c r="H537" s="767"/>
      <c r="I537" s="767"/>
      <c r="J537" s="1187">
        <v>0</v>
      </c>
      <c r="K537" s="1188">
        <v>-164867.60999999999</v>
      </c>
    </row>
    <row r="538" spans="1:11" ht="30.6" x14ac:dyDescent="0.3">
      <c r="A538" s="761" t="s">
        <v>160</v>
      </c>
      <c r="B538" s="765">
        <v>2020</v>
      </c>
      <c r="C538" s="761" t="s">
        <v>2346</v>
      </c>
      <c r="D538" s="761" t="s">
        <v>43</v>
      </c>
      <c r="E538" s="761" t="s">
        <v>741</v>
      </c>
      <c r="F538" s="1187">
        <v>100527.84</v>
      </c>
      <c r="G538" s="761" t="s">
        <v>631</v>
      </c>
      <c r="H538" s="1187">
        <v>102066.8515625</v>
      </c>
      <c r="I538" s="1187">
        <v>-1539.01000976563</v>
      </c>
      <c r="J538" s="1187">
        <v>100527.84375</v>
      </c>
      <c r="K538" s="1188">
        <v>100527.84</v>
      </c>
    </row>
    <row r="539" spans="1:11" ht="30.6" x14ac:dyDescent="0.3">
      <c r="A539" s="761" t="s">
        <v>160</v>
      </c>
      <c r="B539" s="765">
        <v>2020</v>
      </c>
      <c r="C539" s="761" t="s">
        <v>2347</v>
      </c>
      <c r="D539" s="761" t="s">
        <v>44</v>
      </c>
      <c r="E539" s="761" t="s">
        <v>742</v>
      </c>
      <c r="F539" s="1187">
        <v>309137.55</v>
      </c>
      <c r="G539" s="761" t="s">
        <v>631</v>
      </c>
      <c r="H539" s="1187">
        <v>307625.53125</v>
      </c>
      <c r="I539" s="1187">
        <v>1512.01000976563</v>
      </c>
      <c r="J539" s="1187">
        <v>309137.5625</v>
      </c>
      <c r="K539" s="1188">
        <v>309137.55</v>
      </c>
    </row>
    <row r="540" spans="1:11" ht="30.6" x14ac:dyDescent="0.3">
      <c r="A540" s="761" t="s">
        <v>160</v>
      </c>
      <c r="B540" s="765">
        <v>2020</v>
      </c>
      <c r="C540" s="761" t="s">
        <v>2348</v>
      </c>
      <c r="D540" s="761" t="s">
        <v>46</v>
      </c>
      <c r="E540" s="761" t="s">
        <v>743</v>
      </c>
      <c r="F540" s="1187">
        <v>-1494503.95</v>
      </c>
      <c r="G540" s="761" t="s">
        <v>631</v>
      </c>
      <c r="H540" s="1187">
        <v>-1459987.75</v>
      </c>
      <c r="I540" s="1187">
        <v>-34516.140625</v>
      </c>
      <c r="J540" s="1187">
        <v>-1494504</v>
      </c>
      <c r="K540" s="1188">
        <v>-1494503.95</v>
      </c>
    </row>
    <row r="541" spans="1:11" ht="20.399999999999999" x14ac:dyDescent="0.3">
      <c r="A541" s="761" t="s">
        <v>160</v>
      </c>
      <c r="B541" s="765">
        <v>2020</v>
      </c>
      <c r="C541" s="761" t="s">
        <v>2349</v>
      </c>
      <c r="D541" s="761" t="s">
        <v>339</v>
      </c>
      <c r="E541" s="761" t="s">
        <v>744</v>
      </c>
      <c r="F541" s="1187">
        <v>-837898.77</v>
      </c>
      <c r="G541" s="761" t="s">
        <v>631</v>
      </c>
      <c r="H541" s="1187">
        <v>-821873.9375</v>
      </c>
      <c r="I541" s="1187">
        <v>-16024.830078125</v>
      </c>
      <c r="J541" s="1187">
        <v>-837898.75</v>
      </c>
      <c r="K541" s="1188">
        <v>-837898.77</v>
      </c>
    </row>
    <row r="542" spans="1:11" ht="40.799999999999997" x14ac:dyDescent="0.3">
      <c r="A542" s="761" t="s">
        <v>160</v>
      </c>
      <c r="B542" s="765">
        <v>2020</v>
      </c>
      <c r="C542" s="761" t="s">
        <v>2350</v>
      </c>
      <c r="D542" s="761" t="s">
        <v>633</v>
      </c>
      <c r="E542" s="761" t="s">
        <v>1101</v>
      </c>
      <c r="F542" s="1187">
        <v>0</v>
      </c>
      <c r="G542" s="761" t="s">
        <v>631</v>
      </c>
      <c r="H542" s="1187">
        <v>0</v>
      </c>
      <c r="I542" s="1187">
        <v>0</v>
      </c>
      <c r="J542" s="1187">
        <v>0</v>
      </c>
      <c r="K542" s="1188">
        <v>0</v>
      </c>
    </row>
    <row r="543" spans="1:11" ht="40.799999999999997" x14ac:dyDescent="0.3">
      <c r="A543" s="761" t="s">
        <v>160</v>
      </c>
      <c r="B543" s="765">
        <v>2020</v>
      </c>
      <c r="C543" s="761" t="s">
        <v>2350</v>
      </c>
      <c r="D543" s="761" t="s">
        <v>634</v>
      </c>
      <c r="E543" s="761" t="s">
        <v>1102</v>
      </c>
      <c r="F543" s="1187">
        <v>0</v>
      </c>
      <c r="G543" s="761" t="s">
        <v>631</v>
      </c>
      <c r="H543" s="1187">
        <v>0</v>
      </c>
      <c r="I543" s="1187">
        <v>0</v>
      </c>
      <c r="J543" s="1187">
        <v>0</v>
      </c>
      <c r="K543" s="1188">
        <v>0</v>
      </c>
    </row>
    <row r="544" spans="1:11" ht="40.799999999999997" x14ac:dyDescent="0.3">
      <c r="A544" s="761" t="s">
        <v>160</v>
      </c>
      <c r="B544" s="765">
        <v>2020</v>
      </c>
      <c r="C544" s="761" t="s">
        <v>2350</v>
      </c>
      <c r="D544" s="761" t="s">
        <v>635</v>
      </c>
      <c r="E544" s="761" t="s">
        <v>1103</v>
      </c>
      <c r="F544" s="1187">
        <v>0</v>
      </c>
      <c r="G544" s="761" t="s">
        <v>631</v>
      </c>
      <c r="H544" s="1187">
        <v>0</v>
      </c>
      <c r="I544" s="1187">
        <v>0</v>
      </c>
      <c r="J544" s="1187">
        <v>0</v>
      </c>
      <c r="K544" s="1188">
        <v>0</v>
      </c>
    </row>
    <row r="545" spans="1:11" ht="40.799999999999997" x14ac:dyDescent="0.3">
      <c r="A545" s="761" t="s">
        <v>160</v>
      </c>
      <c r="B545" s="765">
        <v>2020</v>
      </c>
      <c r="C545" s="761" t="s">
        <v>2350</v>
      </c>
      <c r="D545" s="761" t="s">
        <v>636</v>
      </c>
      <c r="E545" s="761" t="s">
        <v>1104</v>
      </c>
      <c r="F545" s="1187">
        <v>0</v>
      </c>
      <c r="G545" s="761" t="s">
        <v>631</v>
      </c>
      <c r="H545" s="1187">
        <v>0</v>
      </c>
      <c r="I545" s="1187">
        <v>0</v>
      </c>
      <c r="J545" s="1187">
        <v>0</v>
      </c>
      <c r="K545" s="1188">
        <v>0</v>
      </c>
    </row>
    <row r="546" spans="1:11" ht="40.799999999999997" x14ac:dyDescent="0.3">
      <c r="A546" s="761" t="s">
        <v>160</v>
      </c>
      <c r="B546" s="765">
        <v>2020</v>
      </c>
      <c r="C546" s="761" t="s">
        <v>2350</v>
      </c>
      <c r="D546" s="761" t="s">
        <v>637</v>
      </c>
      <c r="E546" s="761" t="s">
        <v>1105</v>
      </c>
      <c r="F546" s="1187">
        <v>0</v>
      </c>
      <c r="G546" s="761" t="s">
        <v>631</v>
      </c>
      <c r="H546" s="1187">
        <v>0</v>
      </c>
      <c r="I546" s="1187">
        <v>0</v>
      </c>
      <c r="J546" s="1187">
        <v>0</v>
      </c>
      <c r="K546" s="1188">
        <v>0</v>
      </c>
    </row>
    <row r="547" spans="1:11" ht="40.799999999999997" x14ac:dyDescent="0.3">
      <c r="A547" s="761" t="s">
        <v>160</v>
      </c>
      <c r="B547" s="765">
        <v>2020</v>
      </c>
      <c r="C547" s="761" t="s">
        <v>2350</v>
      </c>
      <c r="D547" s="761" t="s">
        <v>638</v>
      </c>
      <c r="E547" s="761" t="s">
        <v>1106</v>
      </c>
      <c r="F547" s="1187">
        <v>0</v>
      </c>
      <c r="G547" s="761" t="s">
        <v>631</v>
      </c>
      <c r="H547" s="1187">
        <v>-125059.2578125</v>
      </c>
      <c r="I547" s="1187">
        <v>-102921.84375</v>
      </c>
      <c r="J547" s="1187">
        <v>-227981.09375</v>
      </c>
      <c r="K547" s="1188">
        <v>-227981.1</v>
      </c>
    </row>
    <row r="548" spans="1:11" ht="40.799999999999997" x14ac:dyDescent="0.3">
      <c r="A548" s="761" t="s">
        <v>160</v>
      </c>
      <c r="B548" s="765">
        <v>2020</v>
      </c>
      <c r="C548" s="761" t="s">
        <v>2350</v>
      </c>
      <c r="D548" s="761" t="s">
        <v>639</v>
      </c>
      <c r="E548" s="761" t="s">
        <v>1107</v>
      </c>
      <c r="F548" s="1187">
        <v>0</v>
      </c>
      <c r="G548" s="761" t="s">
        <v>631</v>
      </c>
      <c r="H548" s="1187">
        <v>0</v>
      </c>
      <c r="I548" s="1187">
        <v>0</v>
      </c>
      <c r="J548" s="1187">
        <v>0</v>
      </c>
      <c r="K548" s="1188">
        <v>0</v>
      </c>
    </row>
    <row r="549" spans="1:11" ht="40.799999999999997" x14ac:dyDescent="0.3">
      <c r="A549" s="761" t="s">
        <v>160</v>
      </c>
      <c r="B549" s="765">
        <v>2020</v>
      </c>
      <c r="C549" s="761" t="s">
        <v>2350</v>
      </c>
      <c r="D549" s="761" t="s">
        <v>1613</v>
      </c>
      <c r="E549" s="761" t="s">
        <v>1969</v>
      </c>
      <c r="F549" s="1187">
        <v>0</v>
      </c>
      <c r="G549" s="761" t="s">
        <v>631</v>
      </c>
      <c r="H549" s="1187">
        <v>0</v>
      </c>
      <c r="I549" s="1187">
        <v>0</v>
      </c>
      <c r="J549" s="1187">
        <v>0</v>
      </c>
      <c r="K549" s="1188">
        <v>0</v>
      </c>
    </row>
    <row r="550" spans="1:11" ht="40.799999999999997" x14ac:dyDescent="0.3">
      <c r="A550" s="761" t="s">
        <v>160</v>
      </c>
      <c r="B550" s="765">
        <v>2020</v>
      </c>
      <c r="C550" s="761" t="s">
        <v>2350</v>
      </c>
      <c r="D550" s="761" t="s">
        <v>2067</v>
      </c>
      <c r="E550" s="761" t="s">
        <v>2082</v>
      </c>
      <c r="F550" s="1187">
        <v>0</v>
      </c>
      <c r="G550" s="761" t="s">
        <v>631</v>
      </c>
      <c r="H550" s="1187">
        <v>67677.109375</v>
      </c>
      <c r="I550" s="1187">
        <v>9111.1298828125</v>
      </c>
      <c r="J550" s="1187">
        <v>76788.2421875</v>
      </c>
      <c r="K550" s="1188">
        <v>76788.240000000005</v>
      </c>
    </row>
    <row r="551" spans="1:11" ht="40.799999999999997" x14ac:dyDescent="0.3">
      <c r="A551" s="761" t="s">
        <v>160</v>
      </c>
      <c r="B551" s="765">
        <v>2020</v>
      </c>
      <c r="C551" s="761" t="s">
        <v>2350</v>
      </c>
      <c r="D551" s="761" t="s">
        <v>3762</v>
      </c>
      <c r="E551" s="761" t="s">
        <v>4339</v>
      </c>
      <c r="F551" s="1187">
        <v>0</v>
      </c>
      <c r="G551" s="761" t="s">
        <v>631</v>
      </c>
      <c r="H551" s="1187">
        <v>-52179.69921875</v>
      </c>
      <c r="I551" s="1187">
        <v>-12647.2900390625</v>
      </c>
      <c r="J551" s="1187">
        <v>-64826.98828125</v>
      </c>
      <c r="K551" s="1188">
        <v>-64826.99</v>
      </c>
    </row>
    <row r="552" spans="1:11" ht="40.799999999999997" x14ac:dyDescent="0.3">
      <c r="A552" s="761" t="s">
        <v>160</v>
      </c>
      <c r="B552" s="765">
        <v>2020</v>
      </c>
      <c r="C552" s="761" t="s">
        <v>2350</v>
      </c>
      <c r="D552" s="761" t="s">
        <v>4844</v>
      </c>
      <c r="E552" s="761" t="s">
        <v>5793</v>
      </c>
      <c r="F552" s="1187">
        <v>0</v>
      </c>
      <c r="G552" s="761" t="s">
        <v>631</v>
      </c>
      <c r="H552" s="1187">
        <v>155600</v>
      </c>
      <c r="I552" s="1187">
        <v>3185.1298828125</v>
      </c>
      <c r="J552" s="1187">
        <v>158785.125</v>
      </c>
      <c r="K552" s="1188">
        <v>158785.13</v>
      </c>
    </row>
    <row r="553" spans="1:11" ht="40.799999999999997" x14ac:dyDescent="0.3">
      <c r="A553" s="761" t="s">
        <v>160</v>
      </c>
      <c r="B553" s="765">
        <v>2020</v>
      </c>
      <c r="C553" s="761" t="s">
        <v>2350</v>
      </c>
      <c r="D553" s="761" t="s">
        <v>7101</v>
      </c>
      <c r="E553" s="761" t="s">
        <v>7160</v>
      </c>
      <c r="F553" s="1187">
        <v>0</v>
      </c>
      <c r="G553" s="761" t="s">
        <v>631</v>
      </c>
      <c r="H553" s="1187">
        <v>-772469.4375</v>
      </c>
      <c r="I553" s="1187">
        <v>-92039.1796875</v>
      </c>
      <c r="J553" s="1187">
        <v>-864508.625</v>
      </c>
      <c r="K553" s="1188">
        <v>-864508.61</v>
      </c>
    </row>
    <row r="554" spans="1:11" ht="40.799999999999997" x14ac:dyDescent="0.3">
      <c r="A554" s="761" t="s">
        <v>160</v>
      </c>
      <c r="B554" s="765">
        <v>2020</v>
      </c>
      <c r="C554" s="761" t="s">
        <v>2350</v>
      </c>
      <c r="D554" s="761" t="s">
        <v>640</v>
      </c>
      <c r="E554" s="761" t="s">
        <v>1358</v>
      </c>
      <c r="F554" s="1187">
        <v>-921743.33</v>
      </c>
      <c r="G554" s="766"/>
      <c r="H554" s="767"/>
      <c r="I554" s="767"/>
      <c r="J554" s="1187">
        <v>0</v>
      </c>
      <c r="K554" s="1188">
        <v>-921743.33</v>
      </c>
    </row>
    <row r="555" spans="1:11" x14ac:dyDescent="0.3">
      <c r="A555" s="761" t="s">
        <v>600</v>
      </c>
      <c r="B555" s="765">
        <v>2020</v>
      </c>
      <c r="C555" s="761" t="s">
        <v>2342</v>
      </c>
      <c r="D555" s="761" t="s">
        <v>45</v>
      </c>
      <c r="E555" s="761" t="s">
        <v>745</v>
      </c>
      <c r="F555" s="1187">
        <v>220241.37</v>
      </c>
      <c r="G555" s="761" t="s">
        <v>631</v>
      </c>
      <c r="H555" s="1187">
        <v>217005.5</v>
      </c>
      <c r="I555" s="1187">
        <v>3235.8701171875</v>
      </c>
      <c r="J555" s="1187">
        <v>220241.375</v>
      </c>
      <c r="K555" s="1188">
        <v>220241.37</v>
      </c>
    </row>
    <row r="556" spans="1:11" ht="30.6" x14ac:dyDescent="0.3">
      <c r="A556" s="761" t="s">
        <v>600</v>
      </c>
      <c r="B556" s="765">
        <v>2020</v>
      </c>
      <c r="C556" s="761" t="s">
        <v>2343</v>
      </c>
      <c r="D556" s="761" t="s">
        <v>632</v>
      </c>
      <c r="E556" s="761" t="s">
        <v>746</v>
      </c>
      <c r="F556" s="1187">
        <v>-14043.74</v>
      </c>
      <c r="G556" s="761" t="s">
        <v>631</v>
      </c>
      <c r="H556" s="1187">
        <v>-13616.4697265625</v>
      </c>
      <c r="I556" s="1187">
        <v>-427.26998901367199</v>
      </c>
      <c r="J556" s="1187">
        <v>-14043.740234375</v>
      </c>
      <c r="K556" s="1188">
        <v>-14043.74</v>
      </c>
    </row>
    <row r="557" spans="1:11" ht="20.399999999999999" x14ac:dyDescent="0.3">
      <c r="A557" s="761" t="s">
        <v>600</v>
      </c>
      <c r="B557" s="765">
        <v>2020</v>
      </c>
      <c r="C557" s="761" t="s">
        <v>2344</v>
      </c>
      <c r="D557" s="761" t="s">
        <v>452</v>
      </c>
      <c r="E557" s="761" t="s">
        <v>747</v>
      </c>
      <c r="F557" s="1187">
        <v>70688</v>
      </c>
      <c r="G557" s="766"/>
      <c r="H557" s="767"/>
      <c r="I557" s="767"/>
      <c r="J557" s="1187">
        <v>0</v>
      </c>
      <c r="K557" s="1188">
        <v>70688</v>
      </c>
    </row>
    <row r="558" spans="1:11" ht="20.399999999999999" x14ac:dyDescent="0.3">
      <c r="A558" s="761" t="s">
        <v>600</v>
      </c>
      <c r="B558" s="765">
        <v>2020</v>
      </c>
      <c r="C558" s="761" t="s">
        <v>2345</v>
      </c>
      <c r="D558" s="761" t="s">
        <v>42</v>
      </c>
      <c r="E558" s="761" t="s">
        <v>748</v>
      </c>
      <c r="F558" s="1187">
        <v>-66826.16</v>
      </c>
      <c r="G558" s="761" t="s">
        <v>631</v>
      </c>
      <c r="H558" s="1187">
        <v>-66117.078125</v>
      </c>
      <c r="I558" s="1187">
        <v>-709.08001708984398</v>
      </c>
      <c r="J558" s="1187">
        <v>-66826.15625</v>
      </c>
      <c r="K558" s="1188">
        <v>-66826.16</v>
      </c>
    </row>
    <row r="559" spans="1:11" ht="20.399999999999999" x14ac:dyDescent="0.3">
      <c r="A559" s="761" t="s">
        <v>600</v>
      </c>
      <c r="B559" s="765">
        <v>2020</v>
      </c>
      <c r="C559" s="761" t="s">
        <v>2345</v>
      </c>
      <c r="D559" s="761" t="s">
        <v>2063</v>
      </c>
      <c r="E559" s="761" t="s">
        <v>748</v>
      </c>
      <c r="F559" s="1187">
        <v>0</v>
      </c>
      <c r="G559" s="766"/>
      <c r="H559" s="767"/>
      <c r="I559" s="767"/>
      <c r="J559" s="1187">
        <v>0</v>
      </c>
      <c r="K559" s="1188">
        <v>0</v>
      </c>
    </row>
    <row r="560" spans="1:11" ht="20.399999999999999" x14ac:dyDescent="0.3">
      <c r="A560" s="761" t="s">
        <v>600</v>
      </c>
      <c r="B560" s="765">
        <v>2020</v>
      </c>
      <c r="C560" s="761" t="s">
        <v>2345</v>
      </c>
      <c r="D560" s="761" t="s">
        <v>2064</v>
      </c>
      <c r="E560" s="761" t="s">
        <v>748</v>
      </c>
      <c r="F560" s="1187">
        <v>0</v>
      </c>
      <c r="G560" s="766"/>
      <c r="H560" s="767"/>
      <c r="I560" s="767"/>
      <c r="J560" s="1187">
        <v>0</v>
      </c>
      <c r="K560" s="1188">
        <v>0</v>
      </c>
    </row>
    <row r="561" spans="1:11" ht="20.399999999999999" x14ac:dyDescent="0.3">
      <c r="A561" s="761" t="s">
        <v>600</v>
      </c>
      <c r="B561" s="765">
        <v>2020</v>
      </c>
      <c r="C561" s="761" t="s">
        <v>2345</v>
      </c>
      <c r="D561" s="761" t="s">
        <v>2065</v>
      </c>
      <c r="E561" s="761" t="s">
        <v>748</v>
      </c>
      <c r="F561" s="1187">
        <v>0</v>
      </c>
      <c r="G561" s="766"/>
      <c r="H561" s="767"/>
      <c r="I561" s="767"/>
      <c r="J561" s="1187">
        <v>0</v>
      </c>
      <c r="K561" s="1188">
        <v>0</v>
      </c>
    </row>
    <row r="562" spans="1:11" ht="20.399999999999999" x14ac:dyDescent="0.3">
      <c r="A562" s="761" t="s">
        <v>600</v>
      </c>
      <c r="B562" s="765">
        <v>2020</v>
      </c>
      <c r="C562" s="761" t="s">
        <v>2345</v>
      </c>
      <c r="D562" s="761" t="s">
        <v>2066</v>
      </c>
      <c r="E562" s="761" t="s">
        <v>748</v>
      </c>
      <c r="F562" s="1187">
        <v>0</v>
      </c>
      <c r="G562" s="766"/>
      <c r="H562" s="767"/>
      <c r="I562" s="767"/>
      <c r="J562" s="1187">
        <v>0</v>
      </c>
      <c r="K562" s="1188">
        <v>0</v>
      </c>
    </row>
    <row r="563" spans="1:11" ht="30.6" x14ac:dyDescent="0.3">
      <c r="A563" s="761" t="s">
        <v>600</v>
      </c>
      <c r="B563" s="765">
        <v>2020</v>
      </c>
      <c r="C563" s="761" t="s">
        <v>2346</v>
      </c>
      <c r="D563" s="761" t="s">
        <v>43</v>
      </c>
      <c r="E563" s="761" t="s">
        <v>749</v>
      </c>
      <c r="F563" s="1187">
        <v>181618.6</v>
      </c>
      <c r="G563" s="761" t="s">
        <v>631</v>
      </c>
      <c r="H563" s="1187">
        <v>179867.75</v>
      </c>
      <c r="I563" s="1187">
        <v>1750.84997558594</v>
      </c>
      <c r="J563" s="1187">
        <v>181618.59375</v>
      </c>
      <c r="K563" s="1188">
        <v>181618.6</v>
      </c>
    </row>
    <row r="564" spans="1:11" ht="30.6" x14ac:dyDescent="0.3">
      <c r="A564" s="761" t="s">
        <v>600</v>
      </c>
      <c r="B564" s="765">
        <v>2020</v>
      </c>
      <c r="C564" s="761" t="s">
        <v>2347</v>
      </c>
      <c r="D564" s="761" t="s">
        <v>44</v>
      </c>
      <c r="E564" s="761" t="s">
        <v>750</v>
      </c>
      <c r="F564" s="1187">
        <v>102462.75</v>
      </c>
      <c r="G564" s="761" t="s">
        <v>631</v>
      </c>
      <c r="H564" s="1187">
        <v>100589.2421875</v>
      </c>
      <c r="I564" s="1187">
        <v>1873.51000976563</v>
      </c>
      <c r="J564" s="1187">
        <v>102462.75</v>
      </c>
      <c r="K564" s="1188">
        <v>102462.75</v>
      </c>
    </row>
    <row r="565" spans="1:11" ht="30.6" x14ac:dyDescent="0.3">
      <c r="A565" s="761" t="s">
        <v>600</v>
      </c>
      <c r="B565" s="765">
        <v>2020</v>
      </c>
      <c r="C565" s="761" t="s">
        <v>2348</v>
      </c>
      <c r="D565" s="761" t="s">
        <v>46</v>
      </c>
      <c r="E565" s="761" t="s">
        <v>751</v>
      </c>
      <c r="F565" s="1187">
        <v>384799.39</v>
      </c>
      <c r="G565" s="761" t="s">
        <v>631</v>
      </c>
      <c r="H565" s="1187">
        <v>377420</v>
      </c>
      <c r="I565" s="1187">
        <v>7379.39013671875</v>
      </c>
      <c r="J565" s="1187">
        <v>384799.375</v>
      </c>
      <c r="K565" s="1188">
        <v>384799.39</v>
      </c>
    </row>
    <row r="566" spans="1:11" ht="20.399999999999999" x14ac:dyDescent="0.3">
      <c r="A566" s="761" t="s">
        <v>600</v>
      </c>
      <c r="B566" s="765">
        <v>2020</v>
      </c>
      <c r="C566" s="761" t="s">
        <v>2349</v>
      </c>
      <c r="D566" s="761" t="s">
        <v>339</v>
      </c>
      <c r="E566" s="761" t="s">
        <v>752</v>
      </c>
      <c r="F566" s="1187">
        <v>223306.99</v>
      </c>
      <c r="G566" s="761" t="s">
        <v>631</v>
      </c>
      <c r="H566" s="1187">
        <v>213785.765625</v>
      </c>
      <c r="I566" s="1187">
        <v>9521.2197265625</v>
      </c>
      <c r="J566" s="1187">
        <v>223306.984375</v>
      </c>
      <c r="K566" s="1188">
        <v>223306.99</v>
      </c>
    </row>
    <row r="567" spans="1:11" ht="40.799999999999997" x14ac:dyDescent="0.3">
      <c r="A567" s="761" t="s">
        <v>600</v>
      </c>
      <c r="B567" s="765">
        <v>2020</v>
      </c>
      <c r="C567" s="761" t="s">
        <v>2350</v>
      </c>
      <c r="D567" s="761" t="s">
        <v>633</v>
      </c>
      <c r="E567" s="761" t="s">
        <v>1108</v>
      </c>
      <c r="F567" s="1187">
        <v>0</v>
      </c>
      <c r="G567" s="761" t="s">
        <v>631</v>
      </c>
      <c r="H567" s="767"/>
      <c r="I567" s="767"/>
      <c r="J567" s="1187">
        <v>0</v>
      </c>
      <c r="K567" s="1188">
        <v>0</v>
      </c>
    </row>
    <row r="568" spans="1:11" ht="40.799999999999997" x14ac:dyDescent="0.3">
      <c r="A568" s="761" t="s">
        <v>600</v>
      </c>
      <c r="B568" s="765">
        <v>2020</v>
      </c>
      <c r="C568" s="761" t="s">
        <v>2350</v>
      </c>
      <c r="D568" s="761" t="s">
        <v>634</v>
      </c>
      <c r="E568" s="761" t="s">
        <v>1109</v>
      </c>
      <c r="F568" s="1187">
        <v>0</v>
      </c>
      <c r="G568" s="761" t="s">
        <v>631</v>
      </c>
      <c r="H568" s="767"/>
      <c r="I568" s="767"/>
      <c r="J568" s="1187">
        <v>0</v>
      </c>
      <c r="K568" s="1188">
        <v>0</v>
      </c>
    </row>
    <row r="569" spans="1:11" ht="40.799999999999997" x14ac:dyDescent="0.3">
      <c r="A569" s="761" t="s">
        <v>600</v>
      </c>
      <c r="B569" s="765">
        <v>2020</v>
      </c>
      <c r="C569" s="761" t="s">
        <v>2350</v>
      </c>
      <c r="D569" s="761" t="s">
        <v>635</v>
      </c>
      <c r="E569" s="761" t="s">
        <v>1110</v>
      </c>
      <c r="F569" s="1187">
        <v>0</v>
      </c>
      <c r="G569" s="761" t="s">
        <v>631</v>
      </c>
      <c r="H569" s="767"/>
      <c r="I569" s="767"/>
      <c r="J569" s="1187">
        <v>0</v>
      </c>
      <c r="K569" s="1188">
        <v>0</v>
      </c>
    </row>
    <row r="570" spans="1:11" ht="40.799999999999997" x14ac:dyDescent="0.3">
      <c r="A570" s="761" t="s">
        <v>600</v>
      </c>
      <c r="B570" s="765">
        <v>2020</v>
      </c>
      <c r="C570" s="761" t="s">
        <v>2350</v>
      </c>
      <c r="D570" s="761" t="s">
        <v>636</v>
      </c>
      <c r="E570" s="761" t="s">
        <v>1111</v>
      </c>
      <c r="F570" s="1187">
        <v>0</v>
      </c>
      <c r="G570" s="761" t="s">
        <v>631</v>
      </c>
      <c r="H570" s="767"/>
      <c r="I570" s="767"/>
      <c r="J570" s="1187">
        <v>0</v>
      </c>
      <c r="K570" s="1188">
        <v>0</v>
      </c>
    </row>
    <row r="571" spans="1:11" ht="40.799999999999997" x14ac:dyDescent="0.3">
      <c r="A571" s="761" t="s">
        <v>600</v>
      </c>
      <c r="B571" s="765">
        <v>2020</v>
      </c>
      <c r="C571" s="761" t="s">
        <v>2350</v>
      </c>
      <c r="D571" s="761" t="s">
        <v>637</v>
      </c>
      <c r="E571" s="761" t="s">
        <v>1112</v>
      </c>
      <c r="F571" s="1187">
        <v>0</v>
      </c>
      <c r="G571" s="761" t="s">
        <v>631</v>
      </c>
      <c r="H571" s="767"/>
      <c r="I571" s="767"/>
      <c r="J571" s="1187">
        <v>0</v>
      </c>
      <c r="K571" s="1188">
        <v>0</v>
      </c>
    </row>
    <row r="572" spans="1:11" ht="40.799999999999997" x14ac:dyDescent="0.3">
      <c r="A572" s="761" t="s">
        <v>600</v>
      </c>
      <c r="B572" s="765">
        <v>2020</v>
      </c>
      <c r="C572" s="761" t="s">
        <v>2350</v>
      </c>
      <c r="D572" s="761" t="s">
        <v>638</v>
      </c>
      <c r="E572" s="761" t="s">
        <v>1113</v>
      </c>
      <c r="F572" s="1187">
        <v>0</v>
      </c>
      <c r="G572" s="761" t="s">
        <v>631</v>
      </c>
      <c r="H572" s="767"/>
      <c r="I572" s="767"/>
      <c r="J572" s="1187">
        <v>0</v>
      </c>
      <c r="K572" s="1188">
        <v>0</v>
      </c>
    </row>
    <row r="573" spans="1:11" ht="40.799999999999997" x14ac:dyDescent="0.3">
      <c r="A573" s="761" t="s">
        <v>600</v>
      </c>
      <c r="B573" s="765">
        <v>2020</v>
      </c>
      <c r="C573" s="761" t="s">
        <v>2350</v>
      </c>
      <c r="D573" s="761" t="s">
        <v>639</v>
      </c>
      <c r="E573" s="761" t="s">
        <v>1114</v>
      </c>
      <c r="F573" s="1187">
        <v>0</v>
      </c>
      <c r="G573" s="761" t="s">
        <v>631</v>
      </c>
      <c r="H573" s="767"/>
      <c r="I573" s="1187">
        <v>-602.15002441406295</v>
      </c>
      <c r="J573" s="1187">
        <v>-602.15002441406295</v>
      </c>
      <c r="K573" s="1188">
        <v>-602.15</v>
      </c>
    </row>
    <row r="574" spans="1:11" ht="40.799999999999997" x14ac:dyDescent="0.3">
      <c r="A574" s="761" t="s">
        <v>600</v>
      </c>
      <c r="B574" s="765">
        <v>2020</v>
      </c>
      <c r="C574" s="761" t="s">
        <v>2350</v>
      </c>
      <c r="D574" s="761" t="s">
        <v>1613</v>
      </c>
      <c r="E574" s="761" t="s">
        <v>1970</v>
      </c>
      <c r="F574" s="1187">
        <v>0</v>
      </c>
      <c r="G574" s="761" t="s">
        <v>631</v>
      </c>
      <c r="H574" s="767"/>
      <c r="I574" s="767"/>
      <c r="J574" s="1187">
        <v>0</v>
      </c>
      <c r="K574" s="1188">
        <v>0</v>
      </c>
    </row>
    <row r="575" spans="1:11" ht="40.799999999999997" x14ac:dyDescent="0.3">
      <c r="A575" s="761" t="s">
        <v>600</v>
      </c>
      <c r="B575" s="765">
        <v>2020</v>
      </c>
      <c r="C575" s="761" t="s">
        <v>2350</v>
      </c>
      <c r="D575" s="761" t="s">
        <v>2067</v>
      </c>
      <c r="E575" s="761" t="s">
        <v>2083</v>
      </c>
      <c r="F575" s="1187">
        <v>0</v>
      </c>
      <c r="G575" s="761" t="s">
        <v>631</v>
      </c>
      <c r="H575" s="767"/>
      <c r="I575" s="767"/>
      <c r="J575" s="1187">
        <v>0</v>
      </c>
      <c r="K575" s="1188">
        <v>0</v>
      </c>
    </row>
    <row r="576" spans="1:11" ht="40.799999999999997" x14ac:dyDescent="0.3">
      <c r="A576" s="761" t="s">
        <v>600</v>
      </c>
      <c r="B576" s="765">
        <v>2020</v>
      </c>
      <c r="C576" s="761" t="s">
        <v>2350</v>
      </c>
      <c r="D576" s="761" t="s">
        <v>3762</v>
      </c>
      <c r="E576" s="761" t="s">
        <v>4340</v>
      </c>
      <c r="F576" s="1187">
        <v>0</v>
      </c>
      <c r="G576" s="761" t="s">
        <v>631</v>
      </c>
      <c r="H576" s="767"/>
      <c r="I576" s="767"/>
      <c r="J576" s="1187">
        <v>0</v>
      </c>
      <c r="K576" s="1188">
        <v>0</v>
      </c>
    </row>
    <row r="577" spans="1:11" ht="40.799999999999997" x14ac:dyDescent="0.3">
      <c r="A577" s="761" t="s">
        <v>600</v>
      </c>
      <c r="B577" s="765">
        <v>2020</v>
      </c>
      <c r="C577" s="761" t="s">
        <v>2350</v>
      </c>
      <c r="D577" s="761" t="s">
        <v>4844</v>
      </c>
      <c r="E577" s="761" t="s">
        <v>5794</v>
      </c>
      <c r="F577" s="1187">
        <v>0</v>
      </c>
      <c r="G577" s="761" t="s">
        <v>631</v>
      </c>
      <c r="H577" s="1187">
        <v>-4221.43017578125</v>
      </c>
      <c r="I577" s="1187">
        <v>1649.27001953125</v>
      </c>
      <c r="J577" s="1187">
        <v>-2572.15991210938</v>
      </c>
      <c r="K577" s="1188">
        <v>-2572.16</v>
      </c>
    </row>
    <row r="578" spans="1:11" ht="40.799999999999997" x14ac:dyDescent="0.3">
      <c r="A578" s="761" t="s">
        <v>600</v>
      </c>
      <c r="B578" s="765">
        <v>2020</v>
      </c>
      <c r="C578" s="761" t="s">
        <v>2350</v>
      </c>
      <c r="D578" s="761" t="s">
        <v>7101</v>
      </c>
      <c r="E578" s="761" t="s">
        <v>7161</v>
      </c>
      <c r="F578" s="1187">
        <v>0</v>
      </c>
      <c r="G578" s="761" t="s">
        <v>631</v>
      </c>
      <c r="H578" s="1187">
        <v>108537.609375</v>
      </c>
      <c r="I578" s="1187">
        <v>-124598.203125</v>
      </c>
      <c r="J578" s="1187">
        <v>-16060.58984375</v>
      </c>
      <c r="K578" s="1188">
        <v>-16060.59</v>
      </c>
    </row>
    <row r="579" spans="1:11" ht="40.799999999999997" x14ac:dyDescent="0.3">
      <c r="A579" s="761" t="s">
        <v>600</v>
      </c>
      <c r="B579" s="765">
        <v>2020</v>
      </c>
      <c r="C579" s="761" t="s">
        <v>2350</v>
      </c>
      <c r="D579" s="761" t="s">
        <v>640</v>
      </c>
      <c r="E579" s="761" t="s">
        <v>1359</v>
      </c>
      <c r="F579" s="1187">
        <v>-19234.900000000001</v>
      </c>
      <c r="G579" s="766"/>
      <c r="H579" s="767"/>
      <c r="I579" s="767"/>
      <c r="J579" s="1187">
        <v>0</v>
      </c>
      <c r="K579" s="1188">
        <v>-19234.900000000001</v>
      </c>
    </row>
    <row r="580" spans="1:11" x14ac:dyDescent="0.3">
      <c r="A580" s="761" t="s">
        <v>199</v>
      </c>
      <c r="B580" s="765">
        <v>2020</v>
      </c>
      <c r="C580" s="761" t="s">
        <v>2342</v>
      </c>
      <c r="D580" s="761" t="s">
        <v>45</v>
      </c>
      <c r="E580" s="761" t="s">
        <v>753</v>
      </c>
      <c r="F580" s="1187">
        <v>-2625.46</v>
      </c>
      <c r="G580" s="761" t="s">
        <v>631</v>
      </c>
      <c r="H580" s="1187">
        <v>-1204.51000976563</v>
      </c>
      <c r="I580" s="1187">
        <v>-1420.94995117188</v>
      </c>
      <c r="J580" s="1187">
        <v>-2625.4599609375</v>
      </c>
      <c r="K580" s="1188">
        <v>-2625.46</v>
      </c>
    </row>
    <row r="581" spans="1:11" ht="30.6" x14ac:dyDescent="0.3">
      <c r="A581" s="761" t="s">
        <v>199</v>
      </c>
      <c r="B581" s="765">
        <v>2020</v>
      </c>
      <c r="C581" s="761" t="s">
        <v>2343</v>
      </c>
      <c r="D581" s="761" t="s">
        <v>632</v>
      </c>
      <c r="E581" s="761" t="s">
        <v>754</v>
      </c>
      <c r="F581" s="1187">
        <v>-29301.86</v>
      </c>
      <c r="G581" s="761" t="s">
        <v>631</v>
      </c>
      <c r="H581" s="1187">
        <v>-28366.490234375</v>
      </c>
      <c r="I581" s="1187">
        <v>-935.36999511718795</v>
      </c>
      <c r="J581" s="1187">
        <v>-29301.859375</v>
      </c>
      <c r="K581" s="1188">
        <v>-29301.86</v>
      </c>
    </row>
    <row r="582" spans="1:11" ht="20.399999999999999" x14ac:dyDescent="0.3">
      <c r="A582" s="761" t="s">
        <v>199</v>
      </c>
      <c r="B582" s="765">
        <v>2020</v>
      </c>
      <c r="C582" s="761" t="s">
        <v>2344</v>
      </c>
      <c r="D582" s="761" t="s">
        <v>452</v>
      </c>
      <c r="E582" s="761" t="s">
        <v>755</v>
      </c>
      <c r="F582" s="1187">
        <v>364132.02</v>
      </c>
      <c r="G582" s="766"/>
      <c r="H582" s="767"/>
      <c r="I582" s="767"/>
      <c r="J582" s="1187">
        <v>0</v>
      </c>
      <c r="K582" s="1188">
        <v>364132.02</v>
      </c>
    </row>
    <row r="583" spans="1:11" ht="20.399999999999999" x14ac:dyDescent="0.3">
      <c r="A583" s="761" t="s">
        <v>199</v>
      </c>
      <c r="B583" s="765">
        <v>2020</v>
      </c>
      <c r="C583" s="761" t="s">
        <v>2345</v>
      </c>
      <c r="D583" s="761" t="s">
        <v>42</v>
      </c>
      <c r="E583" s="761" t="s">
        <v>756</v>
      </c>
      <c r="F583" s="1187">
        <v>-225553.17</v>
      </c>
      <c r="G583" s="761" t="s">
        <v>631</v>
      </c>
      <c r="H583" s="1187">
        <v>-212688.515625</v>
      </c>
      <c r="I583" s="1187">
        <v>-12864.66015625</v>
      </c>
      <c r="J583" s="1187">
        <v>-225553.171875</v>
      </c>
      <c r="K583" s="1188">
        <v>-225553.17</v>
      </c>
    </row>
    <row r="584" spans="1:11" ht="20.399999999999999" x14ac:dyDescent="0.3">
      <c r="A584" s="761" t="s">
        <v>199</v>
      </c>
      <c r="B584" s="765">
        <v>2020</v>
      </c>
      <c r="C584" s="761" t="s">
        <v>2345</v>
      </c>
      <c r="D584" s="761" t="s">
        <v>2063</v>
      </c>
      <c r="E584" s="761" t="s">
        <v>756</v>
      </c>
      <c r="F584" s="1187">
        <v>0</v>
      </c>
      <c r="G584" s="766"/>
      <c r="H584" s="767"/>
      <c r="I584" s="767"/>
      <c r="J584" s="1187">
        <v>0</v>
      </c>
      <c r="K584" s="1188">
        <v>0</v>
      </c>
    </row>
    <row r="585" spans="1:11" ht="20.399999999999999" x14ac:dyDescent="0.3">
      <c r="A585" s="761" t="s">
        <v>199</v>
      </c>
      <c r="B585" s="765">
        <v>2020</v>
      </c>
      <c r="C585" s="761" t="s">
        <v>2345</v>
      </c>
      <c r="D585" s="761" t="s">
        <v>2064</v>
      </c>
      <c r="E585" s="761" t="s">
        <v>756</v>
      </c>
      <c r="F585" s="1187">
        <v>0</v>
      </c>
      <c r="G585" s="766"/>
      <c r="H585" s="767"/>
      <c r="I585" s="767"/>
      <c r="J585" s="1187">
        <v>0</v>
      </c>
      <c r="K585" s="1188">
        <v>0</v>
      </c>
    </row>
    <row r="586" spans="1:11" ht="20.399999999999999" x14ac:dyDescent="0.3">
      <c r="A586" s="761" t="s">
        <v>199</v>
      </c>
      <c r="B586" s="765">
        <v>2020</v>
      </c>
      <c r="C586" s="761" t="s">
        <v>2345</v>
      </c>
      <c r="D586" s="761" t="s">
        <v>2065</v>
      </c>
      <c r="E586" s="761" t="s">
        <v>756</v>
      </c>
      <c r="F586" s="1187">
        <v>-1927</v>
      </c>
      <c r="G586" s="766"/>
      <c r="H586" s="767"/>
      <c r="I586" s="767"/>
      <c r="J586" s="1187">
        <v>0</v>
      </c>
      <c r="K586" s="1188">
        <v>-1927</v>
      </c>
    </row>
    <row r="587" spans="1:11" ht="20.399999999999999" x14ac:dyDescent="0.3">
      <c r="A587" s="761" t="s">
        <v>199</v>
      </c>
      <c r="B587" s="765">
        <v>2020</v>
      </c>
      <c r="C587" s="761" t="s">
        <v>2345</v>
      </c>
      <c r="D587" s="761" t="s">
        <v>2066</v>
      </c>
      <c r="E587" s="761" t="s">
        <v>756</v>
      </c>
      <c r="F587" s="1187">
        <v>-64599</v>
      </c>
      <c r="G587" s="766"/>
      <c r="H587" s="767"/>
      <c r="I587" s="767"/>
      <c r="J587" s="1187">
        <v>0</v>
      </c>
      <c r="K587" s="1188">
        <v>-64599</v>
      </c>
    </row>
    <row r="588" spans="1:11" ht="30.6" x14ac:dyDescent="0.3">
      <c r="A588" s="761" t="s">
        <v>199</v>
      </c>
      <c r="B588" s="765">
        <v>2020</v>
      </c>
      <c r="C588" s="761" t="s">
        <v>2346</v>
      </c>
      <c r="D588" s="761" t="s">
        <v>43</v>
      </c>
      <c r="E588" s="761" t="s">
        <v>757</v>
      </c>
      <c r="F588" s="1187">
        <v>219176.17</v>
      </c>
      <c r="G588" s="761" t="s">
        <v>631</v>
      </c>
      <c r="H588" s="1187">
        <v>215405.515625</v>
      </c>
      <c r="I588" s="1187">
        <v>3770.65991210938</v>
      </c>
      <c r="J588" s="1187">
        <v>219176.171875</v>
      </c>
      <c r="K588" s="1188">
        <v>219176.17</v>
      </c>
    </row>
    <row r="589" spans="1:11" ht="30.6" x14ac:dyDescent="0.3">
      <c r="A589" s="761" t="s">
        <v>199</v>
      </c>
      <c r="B589" s="765">
        <v>2020</v>
      </c>
      <c r="C589" s="761" t="s">
        <v>2347</v>
      </c>
      <c r="D589" s="761" t="s">
        <v>44</v>
      </c>
      <c r="E589" s="761" t="s">
        <v>758</v>
      </c>
      <c r="F589" s="1187">
        <v>75657.070000000007</v>
      </c>
      <c r="G589" s="761" t="s">
        <v>631</v>
      </c>
      <c r="H589" s="1187">
        <v>74609.4921875</v>
      </c>
      <c r="I589" s="1187">
        <v>1047.57995605469</v>
      </c>
      <c r="J589" s="1187">
        <v>75657.0703125</v>
      </c>
      <c r="K589" s="1188">
        <v>75657.070000000007</v>
      </c>
    </row>
    <row r="590" spans="1:11" ht="30.6" x14ac:dyDescent="0.3">
      <c r="A590" s="761" t="s">
        <v>199</v>
      </c>
      <c r="B590" s="765">
        <v>2020</v>
      </c>
      <c r="C590" s="761" t="s">
        <v>2348</v>
      </c>
      <c r="D590" s="761" t="s">
        <v>46</v>
      </c>
      <c r="E590" s="761" t="s">
        <v>759</v>
      </c>
      <c r="F590" s="1187">
        <v>-26426.89</v>
      </c>
      <c r="G590" s="761" t="s">
        <v>631</v>
      </c>
      <c r="H590" s="1187">
        <v>-52626</v>
      </c>
      <c r="I590" s="1187">
        <v>26199.109375</v>
      </c>
      <c r="J590" s="1187">
        <v>-26426.890625</v>
      </c>
      <c r="K590" s="1188">
        <v>-26426.89</v>
      </c>
    </row>
    <row r="591" spans="1:11" ht="20.399999999999999" x14ac:dyDescent="0.3">
      <c r="A591" s="761" t="s">
        <v>199</v>
      </c>
      <c r="B591" s="765">
        <v>2020</v>
      </c>
      <c r="C591" s="761" t="s">
        <v>2349</v>
      </c>
      <c r="D591" s="761" t="s">
        <v>339</v>
      </c>
      <c r="E591" s="761" t="s">
        <v>760</v>
      </c>
      <c r="F591" s="1187">
        <v>-2257703.29</v>
      </c>
      <c r="G591" s="761" t="s">
        <v>631</v>
      </c>
      <c r="H591" s="1187">
        <v>-2224710</v>
      </c>
      <c r="I591" s="1187">
        <v>-32993.2890625</v>
      </c>
      <c r="J591" s="1187">
        <v>-2257703.25</v>
      </c>
      <c r="K591" s="1188">
        <v>-2257703.29</v>
      </c>
    </row>
    <row r="592" spans="1:11" ht="40.799999999999997" x14ac:dyDescent="0.3">
      <c r="A592" s="761" t="s">
        <v>199</v>
      </c>
      <c r="B592" s="765">
        <v>2020</v>
      </c>
      <c r="C592" s="761" t="s">
        <v>2350</v>
      </c>
      <c r="D592" s="761" t="s">
        <v>633</v>
      </c>
      <c r="E592" s="761" t="s">
        <v>1115</v>
      </c>
      <c r="F592" s="1187">
        <v>0</v>
      </c>
      <c r="G592" s="761" t="s">
        <v>631</v>
      </c>
      <c r="H592" s="1187">
        <v>0</v>
      </c>
      <c r="I592" s="1187">
        <v>0</v>
      </c>
      <c r="J592" s="1187">
        <v>0</v>
      </c>
      <c r="K592" s="1188">
        <v>0</v>
      </c>
    </row>
    <row r="593" spans="1:11" ht="40.799999999999997" x14ac:dyDescent="0.3">
      <c r="A593" s="761" t="s">
        <v>199</v>
      </c>
      <c r="B593" s="765">
        <v>2020</v>
      </c>
      <c r="C593" s="761" t="s">
        <v>2350</v>
      </c>
      <c r="D593" s="761" t="s">
        <v>634</v>
      </c>
      <c r="E593" s="761" t="s">
        <v>1116</v>
      </c>
      <c r="F593" s="1187">
        <v>0</v>
      </c>
      <c r="G593" s="761" t="s">
        <v>631</v>
      </c>
      <c r="H593" s="1187">
        <v>0</v>
      </c>
      <c r="I593" s="1187">
        <v>0</v>
      </c>
      <c r="J593" s="1187">
        <v>0</v>
      </c>
      <c r="K593" s="1188">
        <v>0</v>
      </c>
    </row>
    <row r="594" spans="1:11" ht="40.799999999999997" x14ac:dyDescent="0.3">
      <c r="A594" s="761" t="s">
        <v>199</v>
      </c>
      <c r="B594" s="765">
        <v>2020</v>
      </c>
      <c r="C594" s="761" t="s">
        <v>2350</v>
      </c>
      <c r="D594" s="761" t="s">
        <v>635</v>
      </c>
      <c r="E594" s="761" t="s">
        <v>1117</v>
      </c>
      <c r="F594" s="1187">
        <v>0</v>
      </c>
      <c r="G594" s="761" t="s">
        <v>631</v>
      </c>
      <c r="H594" s="767"/>
      <c r="I594" s="767"/>
      <c r="J594" s="1187">
        <v>0</v>
      </c>
      <c r="K594" s="1188">
        <v>0</v>
      </c>
    </row>
    <row r="595" spans="1:11" ht="40.799999999999997" x14ac:dyDescent="0.3">
      <c r="A595" s="761" t="s">
        <v>199</v>
      </c>
      <c r="B595" s="765">
        <v>2020</v>
      </c>
      <c r="C595" s="761" t="s">
        <v>2350</v>
      </c>
      <c r="D595" s="761" t="s">
        <v>636</v>
      </c>
      <c r="E595" s="761" t="s">
        <v>1118</v>
      </c>
      <c r="F595" s="1187">
        <v>0</v>
      </c>
      <c r="G595" s="761" t="s">
        <v>631</v>
      </c>
      <c r="H595" s="767"/>
      <c r="I595" s="767"/>
      <c r="J595" s="1187">
        <v>0</v>
      </c>
      <c r="K595" s="1188">
        <v>0</v>
      </c>
    </row>
    <row r="596" spans="1:11" ht="40.799999999999997" x14ac:dyDescent="0.3">
      <c r="A596" s="761" t="s">
        <v>199</v>
      </c>
      <c r="B596" s="765">
        <v>2020</v>
      </c>
      <c r="C596" s="761" t="s">
        <v>2350</v>
      </c>
      <c r="D596" s="761" t="s">
        <v>637</v>
      </c>
      <c r="E596" s="761" t="s">
        <v>1119</v>
      </c>
      <c r="F596" s="1187">
        <v>0</v>
      </c>
      <c r="G596" s="761" t="s">
        <v>631</v>
      </c>
      <c r="H596" s="767"/>
      <c r="I596" s="767"/>
      <c r="J596" s="1187">
        <v>0</v>
      </c>
      <c r="K596" s="1188">
        <v>0</v>
      </c>
    </row>
    <row r="597" spans="1:11" ht="40.799999999999997" x14ac:dyDescent="0.3">
      <c r="A597" s="761" t="s">
        <v>199</v>
      </c>
      <c r="B597" s="765">
        <v>2020</v>
      </c>
      <c r="C597" s="761" t="s">
        <v>2350</v>
      </c>
      <c r="D597" s="761" t="s">
        <v>638</v>
      </c>
      <c r="E597" s="761" t="s">
        <v>1120</v>
      </c>
      <c r="F597" s="1187">
        <v>0</v>
      </c>
      <c r="G597" s="761" t="s">
        <v>631</v>
      </c>
      <c r="H597" s="767"/>
      <c r="I597" s="767"/>
      <c r="J597" s="1187">
        <v>0</v>
      </c>
      <c r="K597" s="1188">
        <v>0</v>
      </c>
    </row>
    <row r="598" spans="1:11" ht="40.799999999999997" x14ac:dyDescent="0.3">
      <c r="A598" s="761" t="s">
        <v>199</v>
      </c>
      <c r="B598" s="765">
        <v>2020</v>
      </c>
      <c r="C598" s="761" t="s">
        <v>2350</v>
      </c>
      <c r="D598" s="761" t="s">
        <v>639</v>
      </c>
      <c r="E598" s="761" t="s">
        <v>1121</v>
      </c>
      <c r="F598" s="1187">
        <v>0</v>
      </c>
      <c r="G598" s="761" t="s">
        <v>631</v>
      </c>
      <c r="H598" s="767"/>
      <c r="I598" s="767"/>
      <c r="J598" s="1187">
        <v>0</v>
      </c>
      <c r="K598" s="1188">
        <v>0</v>
      </c>
    </row>
    <row r="599" spans="1:11" ht="40.799999999999997" x14ac:dyDescent="0.3">
      <c r="A599" s="761" t="s">
        <v>199</v>
      </c>
      <c r="B599" s="765">
        <v>2020</v>
      </c>
      <c r="C599" s="761" t="s">
        <v>2350</v>
      </c>
      <c r="D599" s="761" t="s">
        <v>1613</v>
      </c>
      <c r="E599" s="761" t="s">
        <v>1971</v>
      </c>
      <c r="F599" s="1187">
        <v>0</v>
      </c>
      <c r="G599" s="761" t="s">
        <v>631</v>
      </c>
      <c r="H599" s="767"/>
      <c r="I599" s="767"/>
      <c r="J599" s="1187">
        <v>0</v>
      </c>
      <c r="K599" s="1188">
        <v>0</v>
      </c>
    </row>
    <row r="600" spans="1:11" ht="40.799999999999997" x14ac:dyDescent="0.3">
      <c r="A600" s="761" t="s">
        <v>199</v>
      </c>
      <c r="B600" s="765">
        <v>2020</v>
      </c>
      <c r="C600" s="761" t="s">
        <v>2350</v>
      </c>
      <c r="D600" s="761" t="s">
        <v>2067</v>
      </c>
      <c r="E600" s="761" t="s">
        <v>2084</v>
      </c>
      <c r="F600" s="1187">
        <v>0</v>
      </c>
      <c r="G600" s="761" t="s">
        <v>631</v>
      </c>
      <c r="H600" s="1187">
        <v>-27869.490234375</v>
      </c>
      <c r="I600" s="1187">
        <v>62574.140625</v>
      </c>
      <c r="J600" s="1187">
        <v>34704.6484375</v>
      </c>
      <c r="K600" s="1188">
        <v>34704.65</v>
      </c>
    </row>
    <row r="601" spans="1:11" ht="40.799999999999997" x14ac:dyDescent="0.3">
      <c r="A601" s="761" t="s">
        <v>199</v>
      </c>
      <c r="B601" s="765">
        <v>2020</v>
      </c>
      <c r="C601" s="761" t="s">
        <v>2350</v>
      </c>
      <c r="D601" s="761" t="s">
        <v>3762</v>
      </c>
      <c r="E601" s="761" t="s">
        <v>4341</v>
      </c>
      <c r="F601" s="1187">
        <v>0</v>
      </c>
      <c r="G601" s="761" t="s">
        <v>631</v>
      </c>
      <c r="H601" s="767"/>
      <c r="I601" s="767"/>
      <c r="J601" s="1187">
        <v>0</v>
      </c>
      <c r="K601" s="1188">
        <v>0</v>
      </c>
    </row>
    <row r="602" spans="1:11" ht="40.799999999999997" x14ac:dyDescent="0.3">
      <c r="A602" s="761" t="s">
        <v>199</v>
      </c>
      <c r="B602" s="765">
        <v>2020</v>
      </c>
      <c r="C602" s="761" t="s">
        <v>2350</v>
      </c>
      <c r="D602" s="761" t="s">
        <v>4844</v>
      </c>
      <c r="E602" s="761" t="s">
        <v>5795</v>
      </c>
      <c r="F602" s="1187">
        <v>0</v>
      </c>
      <c r="G602" s="761" t="s">
        <v>631</v>
      </c>
      <c r="H602" s="1187">
        <v>-217813.421875</v>
      </c>
      <c r="I602" s="1187">
        <v>203170.125</v>
      </c>
      <c r="J602" s="1187">
        <v>-14643.2900390625</v>
      </c>
      <c r="K602" s="1188">
        <v>-14643.29</v>
      </c>
    </row>
    <row r="603" spans="1:11" ht="40.799999999999997" x14ac:dyDescent="0.3">
      <c r="A603" s="761" t="s">
        <v>199</v>
      </c>
      <c r="B603" s="765">
        <v>2020</v>
      </c>
      <c r="C603" s="761" t="s">
        <v>2350</v>
      </c>
      <c r="D603" s="761" t="s">
        <v>7101</v>
      </c>
      <c r="E603" s="761" t="s">
        <v>7162</v>
      </c>
      <c r="F603" s="1187">
        <v>0</v>
      </c>
      <c r="G603" s="761" t="s">
        <v>631</v>
      </c>
      <c r="H603" s="1187">
        <v>-229060.796875</v>
      </c>
      <c r="I603" s="1187">
        <v>-19124.640625</v>
      </c>
      <c r="J603" s="1187">
        <v>-248185.4375</v>
      </c>
      <c r="K603" s="1188">
        <v>-248185.44</v>
      </c>
    </row>
    <row r="604" spans="1:11" ht="40.799999999999997" x14ac:dyDescent="0.3">
      <c r="A604" s="761" t="s">
        <v>199</v>
      </c>
      <c r="B604" s="765">
        <v>2020</v>
      </c>
      <c r="C604" s="761" t="s">
        <v>2350</v>
      </c>
      <c r="D604" s="761" t="s">
        <v>640</v>
      </c>
      <c r="E604" s="761" t="s">
        <v>1360</v>
      </c>
      <c r="F604" s="1187">
        <v>-228124.08</v>
      </c>
      <c r="G604" s="766"/>
      <c r="H604" s="767"/>
      <c r="I604" s="767"/>
      <c r="J604" s="1187">
        <v>0</v>
      </c>
      <c r="K604" s="1188">
        <v>-228124.08</v>
      </c>
    </row>
    <row r="605" spans="1:11" ht="20.399999999999999" x14ac:dyDescent="0.3">
      <c r="A605" s="761" t="s">
        <v>4745</v>
      </c>
      <c r="B605" s="765">
        <v>2020</v>
      </c>
      <c r="C605" s="761" t="s">
        <v>2342</v>
      </c>
      <c r="D605" s="761" t="s">
        <v>45</v>
      </c>
      <c r="E605" s="1067" t="s">
        <v>5274</v>
      </c>
      <c r="F605" s="1187">
        <v>193161.28</v>
      </c>
      <c r="G605" s="761" t="s">
        <v>631</v>
      </c>
      <c r="H605" s="1187">
        <v>188970.8125</v>
      </c>
      <c r="I605" s="1187">
        <v>4190.47021484375</v>
      </c>
      <c r="J605" s="1187">
        <v>193161.28125</v>
      </c>
      <c r="K605" s="1188">
        <v>193161.28</v>
      </c>
    </row>
    <row r="606" spans="1:11" ht="30.6" x14ac:dyDescent="0.3">
      <c r="A606" s="761" t="s">
        <v>4745</v>
      </c>
      <c r="B606" s="765">
        <v>2020</v>
      </c>
      <c r="C606" s="761" t="s">
        <v>2343</v>
      </c>
      <c r="D606" s="761" t="s">
        <v>632</v>
      </c>
      <c r="E606" s="1067" t="s">
        <v>5275</v>
      </c>
      <c r="F606" s="1187">
        <v>-2143.77</v>
      </c>
      <c r="G606" s="761" t="s">
        <v>631</v>
      </c>
      <c r="H606" s="1187">
        <v>-2078.06005859375</v>
      </c>
      <c r="I606" s="1187">
        <v>-65.709999084472699</v>
      </c>
      <c r="J606" s="1187">
        <v>-2143.77001953125</v>
      </c>
      <c r="K606" s="1188">
        <v>-2143.77</v>
      </c>
    </row>
    <row r="607" spans="1:11" ht="20.399999999999999" x14ac:dyDescent="0.3">
      <c r="A607" s="761" t="s">
        <v>4745</v>
      </c>
      <c r="B607" s="765">
        <v>2020</v>
      </c>
      <c r="C607" s="761" t="s">
        <v>2344</v>
      </c>
      <c r="D607" s="761" t="s">
        <v>452</v>
      </c>
      <c r="E607" s="1067" t="s">
        <v>5276</v>
      </c>
      <c r="F607" s="1187">
        <v>27.38</v>
      </c>
      <c r="G607" s="766"/>
      <c r="H607" s="767"/>
      <c r="I607" s="767"/>
      <c r="J607" s="1187">
        <v>0</v>
      </c>
      <c r="K607" s="1188">
        <v>27.38</v>
      </c>
    </row>
    <row r="608" spans="1:11" ht="20.399999999999999" x14ac:dyDescent="0.3">
      <c r="A608" s="761" t="s">
        <v>4745</v>
      </c>
      <c r="B608" s="765">
        <v>2020</v>
      </c>
      <c r="C608" s="761" t="s">
        <v>2345</v>
      </c>
      <c r="D608" s="761" t="s">
        <v>42</v>
      </c>
      <c r="E608" s="1067" t="s">
        <v>5277</v>
      </c>
      <c r="F608" s="1187">
        <v>6838.19</v>
      </c>
      <c r="G608" s="761" t="s">
        <v>631</v>
      </c>
      <c r="H608" s="1187">
        <v>6749</v>
      </c>
      <c r="I608" s="1187">
        <v>89.190002441406307</v>
      </c>
      <c r="J608" s="1187">
        <v>6838.18994140625</v>
      </c>
      <c r="K608" s="1188">
        <v>6838.19</v>
      </c>
    </row>
    <row r="609" spans="1:11" ht="20.399999999999999" x14ac:dyDescent="0.3">
      <c r="A609" s="761" t="s">
        <v>4745</v>
      </c>
      <c r="B609" s="765">
        <v>2020</v>
      </c>
      <c r="C609" s="761" t="s">
        <v>2345</v>
      </c>
      <c r="D609" s="761" t="s">
        <v>2063</v>
      </c>
      <c r="E609" s="1067" t="s">
        <v>5277</v>
      </c>
      <c r="F609" s="1187">
        <v>0</v>
      </c>
      <c r="G609" s="766"/>
      <c r="H609" s="767"/>
      <c r="I609" s="767"/>
      <c r="J609" s="1187">
        <v>0</v>
      </c>
      <c r="K609" s="1188">
        <v>0</v>
      </c>
    </row>
    <row r="610" spans="1:11" ht="20.399999999999999" x14ac:dyDescent="0.3">
      <c r="A610" s="761" t="s">
        <v>4745</v>
      </c>
      <c r="B610" s="765">
        <v>2020</v>
      </c>
      <c r="C610" s="761" t="s">
        <v>2345</v>
      </c>
      <c r="D610" s="761" t="s">
        <v>2064</v>
      </c>
      <c r="E610" s="1067" t="s">
        <v>5277</v>
      </c>
      <c r="F610" s="1187">
        <v>-0.01</v>
      </c>
      <c r="G610" s="766"/>
      <c r="H610" s="767"/>
      <c r="I610" s="767"/>
      <c r="J610" s="1187">
        <v>0</v>
      </c>
      <c r="K610" s="1188">
        <v>-0.01</v>
      </c>
    </row>
    <row r="611" spans="1:11" ht="20.399999999999999" x14ac:dyDescent="0.3">
      <c r="A611" s="761" t="s">
        <v>4745</v>
      </c>
      <c r="B611" s="765">
        <v>2020</v>
      </c>
      <c r="C611" s="761" t="s">
        <v>2345</v>
      </c>
      <c r="D611" s="761" t="s">
        <v>2065</v>
      </c>
      <c r="E611" s="1067" t="s">
        <v>5277</v>
      </c>
      <c r="F611" s="1187">
        <v>89.19</v>
      </c>
      <c r="G611" s="766"/>
      <c r="H611" s="767"/>
      <c r="I611" s="767"/>
      <c r="J611" s="1187">
        <v>0</v>
      </c>
      <c r="K611" s="1188">
        <v>89.19</v>
      </c>
    </row>
    <row r="612" spans="1:11" ht="20.399999999999999" x14ac:dyDescent="0.3">
      <c r="A612" s="761" t="s">
        <v>4745</v>
      </c>
      <c r="B612" s="765">
        <v>2020</v>
      </c>
      <c r="C612" s="761" t="s">
        <v>2345</v>
      </c>
      <c r="D612" s="761" t="s">
        <v>2066</v>
      </c>
      <c r="E612" s="1067" t="s">
        <v>5277</v>
      </c>
      <c r="F612" s="1187">
        <v>489.9</v>
      </c>
      <c r="G612" s="766"/>
      <c r="H612" s="767"/>
      <c r="I612" s="767"/>
      <c r="J612" s="1187">
        <v>0</v>
      </c>
      <c r="K612" s="1188">
        <v>489.9</v>
      </c>
    </row>
    <row r="613" spans="1:11" ht="30.6" x14ac:dyDescent="0.3">
      <c r="A613" s="761" t="s">
        <v>4745</v>
      </c>
      <c r="B613" s="765">
        <v>2020</v>
      </c>
      <c r="C613" s="761" t="s">
        <v>2346</v>
      </c>
      <c r="D613" s="761" t="s">
        <v>43</v>
      </c>
      <c r="E613" s="1067" t="s">
        <v>5278</v>
      </c>
      <c r="F613" s="1187">
        <v>7956.42</v>
      </c>
      <c r="G613" s="761" t="s">
        <v>631</v>
      </c>
      <c r="H613" s="1187">
        <v>7385.830078125</v>
      </c>
      <c r="I613" s="1187">
        <v>570.59002685546898</v>
      </c>
      <c r="J613" s="1187">
        <v>7956.419921875</v>
      </c>
      <c r="K613" s="1188">
        <v>7956.42</v>
      </c>
    </row>
    <row r="614" spans="1:11" ht="30.6" x14ac:dyDescent="0.3">
      <c r="A614" s="761" t="s">
        <v>4745</v>
      </c>
      <c r="B614" s="765">
        <v>2020</v>
      </c>
      <c r="C614" s="761" t="s">
        <v>2347</v>
      </c>
      <c r="D614" s="761" t="s">
        <v>44</v>
      </c>
      <c r="E614" s="1067" t="s">
        <v>5279</v>
      </c>
      <c r="F614" s="1187">
        <v>-479.81</v>
      </c>
      <c r="G614" s="761" t="s">
        <v>631</v>
      </c>
      <c r="H614" s="1187">
        <v>-882.65997314453102</v>
      </c>
      <c r="I614" s="1187">
        <v>402.85000610351602</v>
      </c>
      <c r="J614" s="1187">
        <v>-479.80999755859398</v>
      </c>
      <c r="K614" s="1188">
        <v>-479.81</v>
      </c>
    </row>
    <row r="615" spans="1:11" ht="30.6" x14ac:dyDescent="0.3">
      <c r="A615" s="761" t="s">
        <v>4745</v>
      </c>
      <c r="B615" s="765">
        <v>2020</v>
      </c>
      <c r="C615" s="761" t="s">
        <v>2348</v>
      </c>
      <c r="D615" s="761" t="s">
        <v>46</v>
      </c>
      <c r="E615" s="1067" t="s">
        <v>5280</v>
      </c>
      <c r="F615" s="1187">
        <v>18538.14</v>
      </c>
      <c r="G615" s="761" t="s">
        <v>631</v>
      </c>
      <c r="H615" s="1187">
        <v>20349.619140625</v>
      </c>
      <c r="I615" s="1187">
        <v>-1811.47998046875</v>
      </c>
      <c r="J615" s="1187">
        <v>18538.140625</v>
      </c>
      <c r="K615" s="1188">
        <v>18538.14</v>
      </c>
    </row>
    <row r="616" spans="1:11" ht="20.399999999999999" x14ac:dyDescent="0.3">
      <c r="A616" s="761" t="s">
        <v>4745</v>
      </c>
      <c r="B616" s="765">
        <v>2020</v>
      </c>
      <c r="C616" s="761" t="s">
        <v>2349</v>
      </c>
      <c r="D616" s="761" t="s">
        <v>339</v>
      </c>
      <c r="E616" s="1067" t="s">
        <v>5281</v>
      </c>
      <c r="F616" s="1187">
        <v>1222.49</v>
      </c>
      <c r="G616" s="761" t="s">
        <v>631</v>
      </c>
      <c r="H616" s="1187">
        <v>1017.65002441406</v>
      </c>
      <c r="I616" s="1187">
        <v>204.83999633789099</v>
      </c>
      <c r="J616" s="1187">
        <v>1222.48999023438</v>
      </c>
      <c r="K616" s="1188">
        <v>1222.49</v>
      </c>
    </row>
    <row r="617" spans="1:11" ht="40.799999999999997" x14ac:dyDescent="0.3">
      <c r="A617" s="761" t="s">
        <v>4745</v>
      </c>
      <c r="B617" s="765">
        <v>2020</v>
      </c>
      <c r="C617" s="761" t="s">
        <v>2350</v>
      </c>
      <c r="D617" s="761" t="s">
        <v>633</v>
      </c>
      <c r="E617" s="1067" t="s">
        <v>5282</v>
      </c>
      <c r="F617" s="1187">
        <v>0</v>
      </c>
      <c r="G617" s="761" t="s">
        <v>631</v>
      </c>
      <c r="H617" s="767"/>
      <c r="I617" s="767"/>
      <c r="J617" s="1187">
        <v>0</v>
      </c>
      <c r="K617" s="1188">
        <v>0</v>
      </c>
    </row>
    <row r="618" spans="1:11" ht="40.799999999999997" x14ac:dyDescent="0.3">
      <c r="A618" s="761" t="s">
        <v>4745</v>
      </c>
      <c r="B618" s="765">
        <v>2020</v>
      </c>
      <c r="C618" s="761" t="s">
        <v>2350</v>
      </c>
      <c r="D618" s="761" t="s">
        <v>634</v>
      </c>
      <c r="E618" s="1067" t="s">
        <v>5283</v>
      </c>
      <c r="F618" s="1187">
        <v>0</v>
      </c>
      <c r="G618" s="761" t="s">
        <v>631</v>
      </c>
      <c r="H618" s="767"/>
      <c r="I618" s="767"/>
      <c r="J618" s="1187">
        <v>0</v>
      </c>
      <c r="K618" s="1188">
        <v>0</v>
      </c>
    </row>
    <row r="619" spans="1:11" ht="40.799999999999997" x14ac:dyDescent="0.3">
      <c r="A619" s="761" t="s">
        <v>4745</v>
      </c>
      <c r="B619" s="765">
        <v>2020</v>
      </c>
      <c r="C619" s="761" t="s">
        <v>2350</v>
      </c>
      <c r="D619" s="761" t="s">
        <v>635</v>
      </c>
      <c r="E619" s="1067" t="s">
        <v>5284</v>
      </c>
      <c r="F619" s="1187">
        <v>0</v>
      </c>
      <c r="G619" s="761" t="s">
        <v>631</v>
      </c>
      <c r="H619" s="767"/>
      <c r="I619" s="767"/>
      <c r="J619" s="1187">
        <v>0</v>
      </c>
      <c r="K619" s="1188">
        <v>0</v>
      </c>
    </row>
    <row r="620" spans="1:11" ht="40.799999999999997" x14ac:dyDescent="0.3">
      <c r="A620" s="761" t="s">
        <v>4745</v>
      </c>
      <c r="B620" s="765">
        <v>2020</v>
      </c>
      <c r="C620" s="761" t="s">
        <v>2350</v>
      </c>
      <c r="D620" s="761" t="s">
        <v>636</v>
      </c>
      <c r="E620" s="1067" t="s">
        <v>5285</v>
      </c>
      <c r="F620" s="1187">
        <v>0</v>
      </c>
      <c r="G620" s="761" t="s">
        <v>631</v>
      </c>
      <c r="H620" s="1187">
        <v>53.180000305175803</v>
      </c>
      <c r="I620" s="1187">
        <v>-893.42999267578102</v>
      </c>
      <c r="J620" s="1187">
        <v>-840.25</v>
      </c>
      <c r="K620" s="1188">
        <v>-840.25</v>
      </c>
    </row>
    <row r="621" spans="1:11" ht="40.799999999999997" x14ac:dyDescent="0.3">
      <c r="A621" s="761" t="s">
        <v>4745</v>
      </c>
      <c r="B621" s="765">
        <v>2020</v>
      </c>
      <c r="C621" s="761" t="s">
        <v>2350</v>
      </c>
      <c r="D621" s="761" t="s">
        <v>637</v>
      </c>
      <c r="E621" s="1067" t="s">
        <v>5286</v>
      </c>
      <c r="F621" s="1187">
        <v>0</v>
      </c>
      <c r="G621" s="761" t="s">
        <v>631</v>
      </c>
      <c r="H621" s="767"/>
      <c r="I621" s="1187">
        <v>-6.96000003814697</v>
      </c>
      <c r="J621" s="1187">
        <v>-6.96000003814697</v>
      </c>
      <c r="K621" s="1188">
        <v>-6.96</v>
      </c>
    </row>
    <row r="622" spans="1:11" ht="40.799999999999997" x14ac:dyDescent="0.3">
      <c r="A622" s="761" t="s">
        <v>4745</v>
      </c>
      <c r="B622" s="765">
        <v>2020</v>
      </c>
      <c r="C622" s="761" t="s">
        <v>2350</v>
      </c>
      <c r="D622" s="761" t="s">
        <v>638</v>
      </c>
      <c r="E622" s="1067" t="s">
        <v>5287</v>
      </c>
      <c r="F622" s="1187">
        <v>0</v>
      </c>
      <c r="G622" s="761" t="s">
        <v>631</v>
      </c>
      <c r="H622" s="1187">
        <v>16.75</v>
      </c>
      <c r="I622" s="1187">
        <v>139.75</v>
      </c>
      <c r="J622" s="1187">
        <v>156.5</v>
      </c>
      <c r="K622" s="1188">
        <v>156.5</v>
      </c>
    </row>
    <row r="623" spans="1:11" ht="40.799999999999997" x14ac:dyDescent="0.3">
      <c r="A623" s="761" t="s">
        <v>4745</v>
      </c>
      <c r="B623" s="765">
        <v>2020</v>
      </c>
      <c r="C623" s="761" t="s">
        <v>2350</v>
      </c>
      <c r="D623" s="761" t="s">
        <v>639</v>
      </c>
      <c r="E623" s="1067" t="s">
        <v>5288</v>
      </c>
      <c r="F623" s="1187">
        <v>0</v>
      </c>
      <c r="G623" s="761" t="s">
        <v>631</v>
      </c>
      <c r="H623" s="767"/>
      <c r="I623" s="767"/>
      <c r="J623" s="1187">
        <v>0</v>
      </c>
      <c r="K623" s="1188">
        <v>0</v>
      </c>
    </row>
    <row r="624" spans="1:11" ht="40.799999999999997" x14ac:dyDescent="0.3">
      <c r="A624" s="761" t="s">
        <v>4745</v>
      </c>
      <c r="B624" s="765">
        <v>2020</v>
      </c>
      <c r="C624" s="761" t="s">
        <v>2350</v>
      </c>
      <c r="D624" s="761" t="s">
        <v>1613</v>
      </c>
      <c r="E624" s="1067" t="s">
        <v>5289</v>
      </c>
      <c r="F624" s="1187">
        <v>0</v>
      </c>
      <c r="G624" s="761" t="s">
        <v>631</v>
      </c>
      <c r="H624" s="1187">
        <v>4422.259765625</v>
      </c>
      <c r="I624" s="1187">
        <v>430.04998779296898</v>
      </c>
      <c r="J624" s="1187">
        <v>4852.31005859375</v>
      </c>
      <c r="K624" s="1188">
        <v>4852.3100000000004</v>
      </c>
    </row>
    <row r="625" spans="1:11" ht="40.799999999999997" x14ac:dyDescent="0.3">
      <c r="A625" s="761" t="s">
        <v>4745</v>
      </c>
      <c r="B625" s="765">
        <v>2020</v>
      </c>
      <c r="C625" s="761" t="s">
        <v>2350</v>
      </c>
      <c r="D625" s="761" t="s">
        <v>2067</v>
      </c>
      <c r="E625" s="1067" t="s">
        <v>5290</v>
      </c>
      <c r="F625" s="1187">
        <v>0</v>
      </c>
      <c r="G625" s="761" t="s">
        <v>631</v>
      </c>
      <c r="H625" s="767"/>
      <c r="I625" s="767"/>
      <c r="J625" s="1187">
        <v>0</v>
      </c>
      <c r="K625" s="1188">
        <v>0</v>
      </c>
    </row>
    <row r="626" spans="1:11" ht="40.799999999999997" x14ac:dyDescent="0.3">
      <c r="A626" s="761" t="s">
        <v>4745</v>
      </c>
      <c r="B626" s="765">
        <v>2020</v>
      </c>
      <c r="C626" s="761" t="s">
        <v>2350</v>
      </c>
      <c r="D626" s="761" t="s">
        <v>3762</v>
      </c>
      <c r="E626" s="1067" t="s">
        <v>5291</v>
      </c>
      <c r="F626" s="1187">
        <v>0</v>
      </c>
      <c r="G626" s="761" t="s">
        <v>631</v>
      </c>
      <c r="H626" s="1187">
        <v>5110.77978515625</v>
      </c>
      <c r="I626" s="1187">
        <v>2149.60009765625</v>
      </c>
      <c r="J626" s="1187">
        <v>7260.3798828125</v>
      </c>
      <c r="K626" s="1188">
        <v>7260.38</v>
      </c>
    </row>
    <row r="627" spans="1:11" ht="40.799999999999997" x14ac:dyDescent="0.3">
      <c r="A627" s="761" t="s">
        <v>4745</v>
      </c>
      <c r="B627" s="765">
        <v>2020</v>
      </c>
      <c r="C627" s="761" t="s">
        <v>2350</v>
      </c>
      <c r="D627" s="761" t="s">
        <v>4844</v>
      </c>
      <c r="E627" s="1067" t="s">
        <v>5796</v>
      </c>
      <c r="F627" s="1187">
        <v>0</v>
      </c>
      <c r="G627" s="761" t="s">
        <v>631</v>
      </c>
      <c r="H627" s="1187">
        <v>-8974.919921875</v>
      </c>
      <c r="I627" s="1187">
        <v>6058.25</v>
      </c>
      <c r="J627" s="1187">
        <v>-2916.669921875</v>
      </c>
      <c r="K627" s="1188">
        <v>-2916.67</v>
      </c>
    </row>
    <row r="628" spans="1:11" ht="40.799999999999997" x14ac:dyDescent="0.3">
      <c r="A628" s="761" t="s">
        <v>4745</v>
      </c>
      <c r="B628" s="765">
        <v>2020</v>
      </c>
      <c r="C628" s="761" t="s">
        <v>2350</v>
      </c>
      <c r="D628" s="761" t="s">
        <v>7101</v>
      </c>
      <c r="E628" s="1067" t="s">
        <v>7163</v>
      </c>
      <c r="F628" s="1187">
        <v>0</v>
      </c>
      <c r="G628" s="761" t="s">
        <v>631</v>
      </c>
      <c r="H628" s="1187">
        <v>207010.53125</v>
      </c>
      <c r="I628" s="1187">
        <v>-157983.59375</v>
      </c>
      <c r="J628" s="1187">
        <v>49026.94140625</v>
      </c>
      <c r="K628" s="1188">
        <v>49026.94</v>
      </c>
    </row>
    <row r="629" spans="1:11" ht="40.799999999999997" x14ac:dyDescent="0.3">
      <c r="A629" s="761" t="s">
        <v>4745</v>
      </c>
      <c r="B629" s="765">
        <v>2020</v>
      </c>
      <c r="C629" s="761" t="s">
        <v>2350</v>
      </c>
      <c r="D629" s="761" t="s">
        <v>640</v>
      </c>
      <c r="E629" s="1067" t="s">
        <v>5292</v>
      </c>
      <c r="F629" s="1187">
        <v>57532.25</v>
      </c>
      <c r="G629" s="766"/>
      <c r="H629" s="767"/>
      <c r="I629" s="767"/>
      <c r="J629" s="1187">
        <v>0</v>
      </c>
      <c r="K629" s="1188">
        <v>57532.25</v>
      </c>
    </row>
    <row r="630" spans="1:11" x14ac:dyDescent="0.3">
      <c r="A630" s="761" t="s">
        <v>200</v>
      </c>
      <c r="B630" s="765">
        <v>2020</v>
      </c>
      <c r="C630" s="761" t="s">
        <v>2342</v>
      </c>
      <c r="D630" s="761" t="s">
        <v>45</v>
      </c>
      <c r="E630" s="761" t="s">
        <v>761</v>
      </c>
      <c r="F630" s="1187">
        <v>113610.69</v>
      </c>
      <c r="G630" s="761" t="s">
        <v>631</v>
      </c>
      <c r="H630" s="1187">
        <v>110851.2421875</v>
      </c>
      <c r="I630" s="1187">
        <v>2759.44995117188</v>
      </c>
      <c r="J630" s="1187">
        <v>113610.6875</v>
      </c>
      <c r="K630" s="1188">
        <v>113610.69</v>
      </c>
    </row>
    <row r="631" spans="1:11" ht="30.6" x14ac:dyDescent="0.3">
      <c r="A631" s="761" t="s">
        <v>200</v>
      </c>
      <c r="B631" s="765">
        <v>2020</v>
      </c>
      <c r="C631" s="761" t="s">
        <v>2343</v>
      </c>
      <c r="D631" s="761" t="s">
        <v>632</v>
      </c>
      <c r="E631" s="761" t="s">
        <v>762</v>
      </c>
      <c r="F631" s="1187">
        <v>519.83000000000004</v>
      </c>
      <c r="G631" s="761" t="s">
        <v>631</v>
      </c>
      <c r="H631" s="1187">
        <v>523.13000488281295</v>
      </c>
      <c r="I631" s="1187">
        <v>-3.2999999523162802</v>
      </c>
      <c r="J631" s="1187">
        <v>519.83001708984398</v>
      </c>
      <c r="K631" s="1188">
        <v>519.83000000000004</v>
      </c>
    </row>
    <row r="632" spans="1:11" ht="20.399999999999999" x14ac:dyDescent="0.3">
      <c r="A632" s="761" t="s">
        <v>200</v>
      </c>
      <c r="B632" s="765">
        <v>2020</v>
      </c>
      <c r="C632" s="761" t="s">
        <v>2344</v>
      </c>
      <c r="D632" s="761" t="s">
        <v>452</v>
      </c>
      <c r="E632" s="761" t="s">
        <v>763</v>
      </c>
      <c r="F632" s="1187">
        <v>0</v>
      </c>
      <c r="G632" s="766"/>
      <c r="H632" s="767"/>
      <c r="I632" s="767"/>
      <c r="J632" s="1187">
        <v>0</v>
      </c>
      <c r="K632" s="1188">
        <v>0</v>
      </c>
    </row>
    <row r="633" spans="1:11" ht="20.399999999999999" x14ac:dyDescent="0.3">
      <c r="A633" s="761" t="s">
        <v>200</v>
      </c>
      <c r="B633" s="765">
        <v>2020</v>
      </c>
      <c r="C633" s="761" t="s">
        <v>2345</v>
      </c>
      <c r="D633" s="761" t="s">
        <v>42</v>
      </c>
      <c r="E633" s="761" t="s">
        <v>764</v>
      </c>
      <c r="F633" s="1187">
        <v>-7021.18</v>
      </c>
      <c r="G633" s="761" t="s">
        <v>631</v>
      </c>
      <c r="H633" s="1187">
        <v>-7025.259765625</v>
      </c>
      <c r="I633" s="1187">
        <v>4.0799999237060502</v>
      </c>
      <c r="J633" s="1187">
        <v>-7021.18017578125</v>
      </c>
      <c r="K633" s="1188">
        <v>-7021.18</v>
      </c>
    </row>
    <row r="634" spans="1:11" ht="20.399999999999999" x14ac:dyDescent="0.3">
      <c r="A634" s="761" t="s">
        <v>200</v>
      </c>
      <c r="B634" s="765">
        <v>2020</v>
      </c>
      <c r="C634" s="761" t="s">
        <v>2345</v>
      </c>
      <c r="D634" s="761" t="s">
        <v>2063</v>
      </c>
      <c r="E634" s="761" t="s">
        <v>764</v>
      </c>
      <c r="F634" s="1187">
        <v>0</v>
      </c>
      <c r="G634" s="766"/>
      <c r="H634" s="767"/>
      <c r="I634" s="767"/>
      <c r="J634" s="1187">
        <v>0</v>
      </c>
      <c r="K634" s="1188">
        <v>0</v>
      </c>
    </row>
    <row r="635" spans="1:11" ht="20.399999999999999" x14ac:dyDescent="0.3">
      <c r="A635" s="761" t="s">
        <v>200</v>
      </c>
      <c r="B635" s="765">
        <v>2020</v>
      </c>
      <c r="C635" s="761" t="s">
        <v>2345</v>
      </c>
      <c r="D635" s="761" t="s">
        <v>2064</v>
      </c>
      <c r="E635" s="761" t="s">
        <v>764</v>
      </c>
      <c r="F635" s="1187">
        <v>0</v>
      </c>
      <c r="G635" s="766"/>
      <c r="H635" s="767"/>
      <c r="I635" s="767"/>
      <c r="J635" s="1187">
        <v>0</v>
      </c>
      <c r="K635" s="1188">
        <v>0</v>
      </c>
    </row>
    <row r="636" spans="1:11" ht="20.399999999999999" x14ac:dyDescent="0.3">
      <c r="A636" s="761" t="s">
        <v>200</v>
      </c>
      <c r="B636" s="765">
        <v>2020</v>
      </c>
      <c r="C636" s="761" t="s">
        <v>2345</v>
      </c>
      <c r="D636" s="761" t="s">
        <v>2065</v>
      </c>
      <c r="E636" s="761" t="s">
        <v>764</v>
      </c>
      <c r="F636" s="1187">
        <v>0</v>
      </c>
      <c r="G636" s="766"/>
      <c r="H636" s="767"/>
      <c r="I636" s="767"/>
      <c r="J636" s="1187">
        <v>0</v>
      </c>
      <c r="K636" s="1188">
        <v>0</v>
      </c>
    </row>
    <row r="637" spans="1:11" ht="20.399999999999999" x14ac:dyDescent="0.3">
      <c r="A637" s="761" t="s">
        <v>200</v>
      </c>
      <c r="B637" s="765">
        <v>2020</v>
      </c>
      <c r="C637" s="761" t="s">
        <v>2345</v>
      </c>
      <c r="D637" s="761" t="s">
        <v>2066</v>
      </c>
      <c r="E637" s="761" t="s">
        <v>764</v>
      </c>
      <c r="F637" s="1187">
        <v>0</v>
      </c>
      <c r="G637" s="766"/>
      <c r="H637" s="767"/>
      <c r="I637" s="767"/>
      <c r="J637" s="1187">
        <v>0</v>
      </c>
      <c r="K637" s="1188">
        <v>0</v>
      </c>
    </row>
    <row r="638" spans="1:11" ht="30.6" x14ac:dyDescent="0.3">
      <c r="A638" s="761" t="s">
        <v>200</v>
      </c>
      <c r="B638" s="765">
        <v>2020</v>
      </c>
      <c r="C638" s="761" t="s">
        <v>2346</v>
      </c>
      <c r="D638" s="761" t="s">
        <v>43</v>
      </c>
      <c r="E638" s="761" t="s">
        <v>765</v>
      </c>
      <c r="F638" s="1187">
        <v>11857.28</v>
      </c>
      <c r="G638" s="761" t="s">
        <v>631</v>
      </c>
      <c r="H638" s="1187">
        <v>11450.349609375</v>
      </c>
      <c r="I638" s="1187">
        <v>406.92999267578102</v>
      </c>
      <c r="J638" s="1187">
        <v>11857.2802734375</v>
      </c>
      <c r="K638" s="1188">
        <v>11857.28</v>
      </c>
    </row>
    <row r="639" spans="1:11" ht="30.6" x14ac:dyDescent="0.3">
      <c r="A639" s="761" t="s">
        <v>200</v>
      </c>
      <c r="B639" s="765">
        <v>2020</v>
      </c>
      <c r="C639" s="761" t="s">
        <v>2347</v>
      </c>
      <c r="D639" s="761" t="s">
        <v>44</v>
      </c>
      <c r="E639" s="761" t="s">
        <v>766</v>
      </c>
      <c r="F639" s="1187">
        <v>14317.01</v>
      </c>
      <c r="G639" s="761" t="s">
        <v>631</v>
      </c>
      <c r="H639" s="1187">
        <v>13916.5703125</v>
      </c>
      <c r="I639" s="1187">
        <v>400.44000244140602</v>
      </c>
      <c r="J639" s="1187">
        <v>14317.009765625</v>
      </c>
      <c r="K639" s="1188">
        <v>14317.01</v>
      </c>
    </row>
    <row r="640" spans="1:11" ht="30.6" x14ac:dyDescent="0.3">
      <c r="A640" s="761" t="s">
        <v>200</v>
      </c>
      <c r="B640" s="765">
        <v>2020</v>
      </c>
      <c r="C640" s="761" t="s">
        <v>2348</v>
      </c>
      <c r="D640" s="761" t="s">
        <v>46</v>
      </c>
      <c r="E640" s="761" t="s">
        <v>767</v>
      </c>
      <c r="F640" s="1187">
        <v>-306049.59000000003</v>
      </c>
      <c r="G640" s="761" t="s">
        <v>631</v>
      </c>
      <c r="H640" s="1187">
        <v>-299800.15625</v>
      </c>
      <c r="I640" s="1187">
        <v>-6249.419921875</v>
      </c>
      <c r="J640" s="1187">
        <v>-306049.59375</v>
      </c>
      <c r="K640" s="1188">
        <v>-306049.59000000003</v>
      </c>
    </row>
    <row r="641" spans="1:11" ht="20.399999999999999" x14ac:dyDescent="0.3">
      <c r="A641" s="761" t="s">
        <v>200</v>
      </c>
      <c r="B641" s="765">
        <v>2020</v>
      </c>
      <c r="C641" s="761" t="s">
        <v>2349</v>
      </c>
      <c r="D641" s="761" t="s">
        <v>339</v>
      </c>
      <c r="E641" s="761" t="s">
        <v>768</v>
      </c>
      <c r="F641" s="1187">
        <v>90796.64</v>
      </c>
      <c r="G641" s="761" t="s">
        <v>631</v>
      </c>
      <c r="H641" s="1187">
        <v>82606.2265625</v>
      </c>
      <c r="I641" s="1187">
        <v>8190.41015625</v>
      </c>
      <c r="J641" s="1187">
        <v>90796.640625</v>
      </c>
      <c r="K641" s="1188">
        <v>90796.64</v>
      </c>
    </row>
    <row r="642" spans="1:11" ht="40.799999999999997" x14ac:dyDescent="0.3">
      <c r="A642" s="761" t="s">
        <v>200</v>
      </c>
      <c r="B642" s="765">
        <v>2020</v>
      </c>
      <c r="C642" s="761" t="s">
        <v>2350</v>
      </c>
      <c r="D642" s="761" t="s">
        <v>633</v>
      </c>
      <c r="E642" s="761" t="s">
        <v>1122</v>
      </c>
      <c r="F642" s="1187">
        <v>0</v>
      </c>
      <c r="G642" s="761" t="s">
        <v>631</v>
      </c>
      <c r="H642" s="767"/>
      <c r="I642" s="767"/>
      <c r="J642" s="1187">
        <v>0</v>
      </c>
      <c r="K642" s="1188">
        <v>0</v>
      </c>
    </row>
    <row r="643" spans="1:11" ht="40.799999999999997" x14ac:dyDescent="0.3">
      <c r="A643" s="761" t="s">
        <v>200</v>
      </c>
      <c r="B643" s="765">
        <v>2020</v>
      </c>
      <c r="C643" s="761" t="s">
        <v>2350</v>
      </c>
      <c r="D643" s="761" t="s">
        <v>634</v>
      </c>
      <c r="E643" s="761" t="s">
        <v>1123</v>
      </c>
      <c r="F643" s="1187">
        <v>0</v>
      </c>
      <c r="G643" s="761" t="s">
        <v>631</v>
      </c>
      <c r="H643" s="767"/>
      <c r="I643" s="767"/>
      <c r="J643" s="1187">
        <v>0</v>
      </c>
      <c r="K643" s="1188">
        <v>0</v>
      </c>
    </row>
    <row r="644" spans="1:11" ht="40.799999999999997" x14ac:dyDescent="0.3">
      <c r="A644" s="761" t="s">
        <v>200</v>
      </c>
      <c r="B644" s="765">
        <v>2020</v>
      </c>
      <c r="C644" s="761" t="s">
        <v>2350</v>
      </c>
      <c r="D644" s="761" t="s">
        <v>635</v>
      </c>
      <c r="E644" s="761" t="s">
        <v>1124</v>
      </c>
      <c r="F644" s="1187">
        <v>0</v>
      </c>
      <c r="G644" s="761" t="s">
        <v>631</v>
      </c>
      <c r="H644" s="767"/>
      <c r="I644" s="767"/>
      <c r="J644" s="1187">
        <v>0</v>
      </c>
      <c r="K644" s="1188">
        <v>0</v>
      </c>
    </row>
    <row r="645" spans="1:11" ht="40.799999999999997" x14ac:dyDescent="0.3">
      <c r="A645" s="761" t="s">
        <v>200</v>
      </c>
      <c r="B645" s="765">
        <v>2020</v>
      </c>
      <c r="C645" s="761" t="s">
        <v>2350</v>
      </c>
      <c r="D645" s="761" t="s">
        <v>636</v>
      </c>
      <c r="E645" s="761" t="s">
        <v>1125</v>
      </c>
      <c r="F645" s="1187">
        <v>0</v>
      </c>
      <c r="G645" s="761" t="s">
        <v>631</v>
      </c>
      <c r="H645" s="767"/>
      <c r="I645" s="767"/>
      <c r="J645" s="1187">
        <v>0</v>
      </c>
      <c r="K645" s="1188">
        <v>0</v>
      </c>
    </row>
    <row r="646" spans="1:11" ht="40.799999999999997" x14ac:dyDescent="0.3">
      <c r="A646" s="761" t="s">
        <v>200</v>
      </c>
      <c r="B646" s="765">
        <v>2020</v>
      </c>
      <c r="C646" s="761" t="s">
        <v>2350</v>
      </c>
      <c r="D646" s="761" t="s">
        <v>637</v>
      </c>
      <c r="E646" s="761" t="s">
        <v>1126</v>
      </c>
      <c r="F646" s="1187">
        <v>0</v>
      </c>
      <c r="G646" s="761" t="s">
        <v>631</v>
      </c>
      <c r="H646" s="767"/>
      <c r="I646" s="767"/>
      <c r="J646" s="1187">
        <v>0</v>
      </c>
      <c r="K646" s="1188">
        <v>0</v>
      </c>
    </row>
    <row r="647" spans="1:11" ht="40.799999999999997" x14ac:dyDescent="0.3">
      <c r="A647" s="761" t="s">
        <v>200</v>
      </c>
      <c r="B647" s="765">
        <v>2020</v>
      </c>
      <c r="C647" s="761" t="s">
        <v>2350</v>
      </c>
      <c r="D647" s="761" t="s">
        <v>638</v>
      </c>
      <c r="E647" s="761" t="s">
        <v>1127</v>
      </c>
      <c r="F647" s="1187">
        <v>0</v>
      </c>
      <c r="G647" s="761" t="s">
        <v>631</v>
      </c>
      <c r="H647" s="767"/>
      <c r="I647" s="767"/>
      <c r="J647" s="1187">
        <v>0</v>
      </c>
      <c r="K647" s="1188">
        <v>0</v>
      </c>
    </row>
    <row r="648" spans="1:11" ht="40.799999999999997" x14ac:dyDescent="0.3">
      <c r="A648" s="761" t="s">
        <v>200</v>
      </c>
      <c r="B648" s="765">
        <v>2020</v>
      </c>
      <c r="C648" s="761" t="s">
        <v>2350</v>
      </c>
      <c r="D648" s="761" t="s">
        <v>639</v>
      </c>
      <c r="E648" s="761" t="s">
        <v>1128</v>
      </c>
      <c r="F648" s="1187">
        <v>0</v>
      </c>
      <c r="G648" s="761" t="s">
        <v>631</v>
      </c>
      <c r="H648" s="767"/>
      <c r="I648" s="767"/>
      <c r="J648" s="1187">
        <v>0</v>
      </c>
      <c r="K648" s="1188">
        <v>0</v>
      </c>
    </row>
    <row r="649" spans="1:11" ht="40.799999999999997" x14ac:dyDescent="0.3">
      <c r="A649" s="761" t="s">
        <v>200</v>
      </c>
      <c r="B649" s="765">
        <v>2020</v>
      </c>
      <c r="C649" s="761" t="s">
        <v>2350</v>
      </c>
      <c r="D649" s="761" t="s">
        <v>1613</v>
      </c>
      <c r="E649" s="761" t="s">
        <v>1972</v>
      </c>
      <c r="F649" s="1187">
        <v>0</v>
      </c>
      <c r="G649" s="761" t="s">
        <v>631</v>
      </c>
      <c r="H649" s="767"/>
      <c r="I649" s="767"/>
      <c r="J649" s="1187">
        <v>0</v>
      </c>
      <c r="K649" s="1188">
        <v>0</v>
      </c>
    </row>
    <row r="650" spans="1:11" ht="40.799999999999997" x14ac:dyDescent="0.3">
      <c r="A650" s="761" t="s">
        <v>200</v>
      </c>
      <c r="B650" s="765">
        <v>2020</v>
      </c>
      <c r="C650" s="761" t="s">
        <v>2350</v>
      </c>
      <c r="D650" s="761" t="s">
        <v>2067</v>
      </c>
      <c r="E650" s="761" t="s">
        <v>2085</v>
      </c>
      <c r="F650" s="1187">
        <v>0</v>
      </c>
      <c r="G650" s="761" t="s">
        <v>631</v>
      </c>
      <c r="H650" s="767"/>
      <c r="I650" s="767"/>
      <c r="J650" s="1187">
        <v>0</v>
      </c>
      <c r="K650" s="1188">
        <v>0</v>
      </c>
    </row>
    <row r="651" spans="1:11" ht="40.799999999999997" x14ac:dyDescent="0.3">
      <c r="A651" s="761" t="s">
        <v>200</v>
      </c>
      <c r="B651" s="765">
        <v>2020</v>
      </c>
      <c r="C651" s="761" t="s">
        <v>2350</v>
      </c>
      <c r="D651" s="761" t="s">
        <v>3762</v>
      </c>
      <c r="E651" s="761" t="s">
        <v>4342</v>
      </c>
      <c r="F651" s="1187">
        <v>0</v>
      </c>
      <c r="G651" s="761" t="s">
        <v>631</v>
      </c>
      <c r="H651" s="767"/>
      <c r="I651" s="767"/>
      <c r="J651" s="1187">
        <v>0</v>
      </c>
      <c r="K651" s="1188">
        <v>0</v>
      </c>
    </row>
    <row r="652" spans="1:11" ht="40.799999999999997" x14ac:dyDescent="0.3">
      <c r="A652" s="761" t="s">
        <v>200</v>
      </c>
      <c r="B652" s="765">
        <v>2020</v>
      </c>
      <c r="C652" s="761" t="s">
        <v>2350</v>
      </c>
      <c r="D652" s="761" t="s">
        <v>4844</v>
      </c>
      <c r="E652" s="761" t="s">
        <v>5797</v>
      </c>
      <c r="F652" s="1187">
        <v>0</v>
      </c>
      <c r="G652" s="761" t="s">
        <v>631</v>
      </c>
      <c r="H652" s="767"/>
      <c r="I652" s="767"/>
      <c r="J652" s="1187">
        <v>0</v>
      </c>
      <c r="K652" s="1188">
        <v>0</v>
      </c>
    </row>
    <row r="653" spans="1:11" ht="40.799999999999997" x14ac:dyDescent="0.3">
      <c r="A653" s="761" t="s">
        <v>200</v>
      </c>
      <c r="B653" s="765">
        <v>2020</v>
      </c>
      <c r="C653" s="761" t="s">
        <v>2350</v>
      </c>
      <c r="D653" s="761" t="s">
        <v>7101</v>
      </c>
      <c r="E653" s="761" t="s">
        <v>7164</v>
      </c>
      <c r="F653" s="1187">
        <v>0</v>
      </c>
      <c r="G653" s="761" t="s">
        <v>631</v>
      </c>
      <c r="H653" s="1187">
        <v>252094.953125</v>
      </c>
      <c r="I653" s="1187">
        <v>2223.2900390625</v>
      </c>
      <c r="J653" s="1187">
        <v>254318.25</v>
      </c>
      <c r="K653" s="1188">
        <v>254318.25</v>
      </c>
    </row>
    <row r="654" spans="1:11" ht="40.799999999999997" x14ac:dyDescent="0.3">
      <c r="A654" s="761" t="s">
        <v>200</v>
      </c>
      <c r="B654" s="765">
        <v>2020</v>
      </c>
      <c r="C654" s="761" t="s">
        <v>2350</v>
      </c>
      <c r="D654" s="761" t="s">
        <v>640</v>
      </c>
      <c r="E654" s="761" t="s">
        <v>1361</v>
      </c>
      <c r="F654" s="1187">
        <v>254318.25</v>
      </c>
      <c r="G654" s="766"/>
      <c r="H654" s="767"/>
      <c r="I654" s="767"/>
      <c r="J654" s="1187">
        <v>0</v>
      </c>
      <c r="K654" s="1188">
        <v>254318.25</v>
      </c>
    </row>
    <row r="655" spans="1:11" x14ac:dyDescent="0.3">
      <c r="A655" s="761" t="s">
        <v>179</v>
      </c>
      <c r="B655" s="765">
        <v>2020</v>
      </c>
      <c r="C655" s="761" t="s">
        <v>2342</v>
      </c>
      <c r="D655" s="761" t="s">
        <v>45</v>
      </c>
      <c r="E655" s="761" t="s">
        <v>769</v>
      </c>
      <c r="F655" s="1187">
        <v>16449.759999999998</v>
      </c>
      <c r="G655" s="761" t="s">
        <v>631</v>
      </c>
      <c r="H655" s="1187">
        <v>16232.6103515625</v>
      </c>
      <c r="I655" s="1187">
        <v>217.14999389648401</v>
      </c>
      <c r="J655" s="1187">
        <v>16449.759765625</v>
      </c>
      <c r="K655" s="1188">
        <v>16449.759999999998</v>
      </c>
    </row>
    <row r="656" spans="1:11" ht="30.6" x14ac:dyDescent="0.3">
      <c r="A656" s="761" t="s">
        <v>179</v>
      </c>
      <c r="B656" s="765">
        <v>2020</v>
      </c>
      <c r="C656" s="761" t="s">
        <v>2343</v>
      </c>
      <c r="D656" s="761" t="s">
        <v>632</v>
      </c>
      <c r="E656" s="761" t="s">
        <v>770</v>
      </c>
      <c r="F656" s="1187">
        <v>-3122.72</v>
      </c>
      <c r="G656" s="761" t="s">
        <v>631</v>
      </c>
      <c r="H656" s="1187">
        <v>-3048.14990234375</v>
      </c>
      <c r="I656" s="1187">
        <v>-74.569999694824205</v>
      </c>
      <c r="J656" s="1187">
        <v>-3122.71997070313</v>
      </c>
      <c r="K656" s="1188">
        <v>-3122.72</v>
      </c>
    </row>
    <row r="657" spans="1:11" ht="20.399999999999999" x14ac:dyDescent="0.3">
      <c r="A657" s="761" t="s">
        <v>179</v>
      </c>
      <c r="B657" s="765">
        <v>2020</v>
      </c>
      <c r="C657" s="761" t="s">
        <v>2344</v>
      </c>
      <c r="D657" s="761" t="s">
        <v>452</v>
      </c>
      <c r="E657" s="761" t="s">
        <v>771</v>
      </c>
      <c r="F657" s="1187">
        <v>-5443.09</v>
      </c>
      <c r="G657" s="766"/>
      <c r="H657" s="767"/>
      <c r="I657" s="767"/>
      <c r="J657" s="1187">
        <v>0</v>
      </c>
      <c r="K657" s="1188">
        <v>-5443.09</v>
      </c>
    </row>
    <row r="658" spans="1:11" ht="20.399999999999999" x14ac:dyDescent="0.3">
      <c r="A658" s="761" t="s">
        <v>179</v>
      </c>
      <c r="B658" s="765">
        <v>2020</v>
      </c>
      <c r="C658" s="761" t="s">
        <v>2345</v>
      </c>
      <c r="D658" s="761" t="s">
        <v>42</v>
      </c>
      <c r="E658" s="761" t="s">
        <v>772</v>
      </c>
      <c r="F658" s="1187">
        <v>-67092.33</v>
      </c>
      <c r="G658" s="761" t="s">
        <v>631</v>
      </c>
      <c r="H658" s="1187">
        <v>-66845.890625</v>
      </c>
      <c r="I658" s="1187">
        <v>-246.44000244140599</v>
      </c>
      <c r="J658" s="1187">
        <v>-67092.328125</v>
      </c>
      <c r="K658" s="1188">
        <v>-67092.33</v>
      </c>
    </row>
    <row r="659" spans="1:11" ht="20.399999999999999" x14ac:dyDescent="0.3">
      <c r="A659" s="761" t="s">
        <v>179</v>
      </c>
      <c r="B659" s="765">
        <v>2020</v>
      </c>
      <c r="C659" s="761" t="s">
        <v>2345</v>
      </c>
      <c r="D659" s="761" t="s">
        <v>2063</v>
      </c>
      <c r="E659" s="761" t="s">
        <v>772</v>
      </c>
      <c r="F659" s="1187">
        <v>0</v>
      </c>
      <c r="G659" s="766"/>
      <c r="H659" s="767"/>
      <c r="I659" s="767"/>
      <c r="J659" s="1187">
        <v>0</v>
      </c>
      <c r="K659" s="1188">
        <v>0</v>
      </c>
    </row>
    <row r="660" spans="1:11" ht="20.399999999999999" x14ac:dyDescent="0.3">
      <c r="A660" s="761" t="s">
        <v>179</v>
      </c>
      <c r="B660" s="765">
        <v>2020</v>
      </c>
      <c r="C660" s="761" t="s">
        <v>2345</v>
      </c>
      <c r="D660" s="761" t="s">
        <v>2064</v>
      </c>
      <c r="E660" s="761" t="s">
        <v>772</v>
      </c>
      <c r="F660" s="1187">
        <v>0</v>
      </c>
      <c r="G660" s="766"/>
      <c r="H660" s="767"/>
      <c r="I660" s="767"/>
      <c r="J660" s="1187">
        <v>0</v>
      </c>
      <c r="K660" s="1188">
        <v>0</v>
      </c>
    </row>
    <row r="661" spans="1:11" ht="20.399999999999999" x14ac:dyDescent="0.3">
      <c r="A661" s="761" t="s">
        <v>179</v>
      </c>
      <c r="B661" s="765">
        <v>2020</v>
      </c>
      <c r="C661" s="761" t="s">
        <v>2345</v>
      </c>
      <c r="D661" s="761" t="s">
        <v>2065</v>
      </c>
      <c r="E661" s="761" t="s">
        <v>772</v>
      </c>
      <c r="F661" s="1187">
        <v>-2386.3000000000002</v>
      </c>
      <c r="G661" s="766"/>
      <c r="H661" s="767"/>
      <c r="I661" s="767"/>
      <c r="J661" s="1187">
        <v>0</v>
      </c>
      <c r="K661" s="1188">
        <v>-2386.3000000000002</v>
      </c>
    </row>
    <row r="662" spans="1:11" ht="20.399999999999999" x14ac:dyDescent="0.3">
      <c r="A662" s="761" t="s">
        <v>179</v>
      </c>
      <c r="B662" s="765">
        <v>2020</v>
      </c>
      <c r="C662" s="761" t="s">
        <v>2345</v>
      </c>
      <c r="D662" s="761" t="s">
        <v>2066</v>
      </c>
      <c r="E662" s="761" t="s">
        <v>772</v>
      </c>
      <c r="F662" s="1187">
        <v>-49259.64</v>
      </c>
      <c r="G662" s="766"/>
      <c r="H662" s="767"/>
      <c r="I662" s="767"/>
      <c r="J662" s="1187">
        <v>0</v>
      </c>
      <c r="K662" s="1188">
        <v>-49259.64</v>
      </c>
    </row>
    <row r="663" spans="1:11" ht="30.6" x14ac:dyDescent="0.3">
      <c r="A663" s="761" t="s">
        <v>179</v>
      </c>
      <c r="B663" s="765">
        <v>2020</v>
      </c>
      <c r="C663" s="761" t="s">
        <v>2346</v>
      </c>
      <c r="D663" s="761" t="s">
        <v>43</v>
      </c>
      <c r="E663" s="761" t="s">
        <v>773</v>
      </c>
      <c r="F663" s="1187">
        <v>-61661.88</v>
      </c>
      <c r="G663" s="761" t="s">
        <v>631</v>
      </c>
      <c r="H663" s="1187">
        <v>-58877.1796875</v>
      </c>
      <c r="I663" s="1187">
        <v>-2784.69995117188</v>
      </c>
      <c r="J663" s="1187">
        <v>-61661.87890625</v>
      </c>
      <c r="K663" s="1188">
        <v>-61661.88</v>
      </c>
    </row>
    <row r="664" spans="1:11" ht="30.6" x14ac:dyDescent="0.3">
      <c r="A664" s="761" t="s">
        <v>179</v>
      </c>
      <c r="B664" s="765">
        <v>2020</v>
      </c>
      <c r="C664" s="761" t="s">
        <v>2347</v>
      </c>
      <c r="D664" s="761" t="s">
        <v>44</v>
      </c>
      <c r="E664" s="761" t="s">
        <v>774</v>
      </c>
      <c r="F664" s="1187">
        <v>-66539.87</v>
      </c>
      <c r="G664" s="761" t="s">
        <v>631</v>
      </c>
      <c r="H664" s="1187">
        <v>-64359.94921875</v>
      </c>
      <c r="I664" s="1187">
        <v>-2179.919921875</v>
      </c>
      <c r="J664" s="1187">
        <v>-66539.8671875</v>
      </c>
      <c r="K664" s="1188">
        <v>-66539.87</v>
      </c>
    </row>
    <row r="665" spans="1:11" ht="30.6" x14ac:dyDescent="0.3">
      <c r="A665" s="761" t="s">
        <v>179</v>
      </c>
      <c r="B665" s="765">
        <v>2020</v>
      </c>
      <c r="C665" s="761" t="s">
        <v>2348</v>
      </c>
      <c r="D665" s="761" t="s">
        <v>46</v>
      </c>
      <c r="E665" s="761" t="s">
        <v>775</v>
      </c>
      <c r="F665" s="1187">
        <v>283666.14</v>
      </c>
      <c r="G665" s="761" t="s">
        <v>631</v>
      </c>
      <c r="H665" s="1187">
        <v>270870.78125</v>
      </c>
      <c r="I665" s="1187">
        <v>12795.3603515625</v>
      </c>
      <c r="J665" s="1187">
        <v>283666.125</v>
      </c>
      <c r="K665" s="1188">
        <v>283666.14</v>
      </c>
    </row>
    <row r="666" spans="1:11" ht="20.399999999999999" x14ac:dyDescent="0.3">
      <c r="A666" s="761" t="s">
        <v>179</v>
      </c>
      <c r="B666" s="765">
        <v>2020</v>
      </c>
      <c r="C666" s="761" t="s">
        <v>2349</v>
      </c>
      <c r="D666" s="761" t="s">
        <v>339</v>
      </c>
      <c r="E666" s="761" t="s">
        <v>776</v>
      </c>
      <c r="F666" s="1187">
        <v>-978365.2</v>
      </c>
      <c r="G666" s="761" t="s">
        <v>631</v>
      </c>
      <c r="H666" s="1187">
        <v>-934933.875</v>
      </c>
      <c r="I666" s="1187">
        <v>-43431.3203125</v>
      </c>
      <c r="J666" s="1187">
        <v>-978365.1875</v>
      </c>
      <c r="K666" s="1188">
        <v>-978365.2</v>
      </c>
    </row>
    <row r="667" spans="1:11" ht="40.799999999999997" x14ac:dyDescent="0.3">
      <c r="A667" s="761" t="s">
        <v>179</v>
      </c>
      <c r="B667" s="765">
        <v>2020</v>
      </c>
      <c r="C667" s="761" t="s">
        <v>2350</v>
      </c>
      <c r="D667" s="761" t="s">
        <v>633</v>
      </c>
      <c r="E667" s="761" t="s">
        <v>1129</v>
      </c>
      <c r="F667" s="1187">
        <v>0</v>
      </c>
      <c r="G667" s="761" t="s">
        <v>631</v>
      </c>
      <c r="H667" s="767"/>
      <c r="I667" s="767"/>
      <c r="J667" s="1187">
        <v>0</v>
      </c>
      <c r="K667" s="1188">
        <v>0</v>
      </c>
    </row>
    <row r="668" spans="1:11" ht="40.799999999999997" x14ac:dyDescent="0.3">
      <c r="A668" s="761" t="s">
        <v>179</v>
      </c>
      <c r="B668" s="765">
        <v>2020</v>
      </c>
      <c r="C668" s="761" t="s">
        <v>2350</v>
      </c>
      <c r="D668" s="761" t="s">
        <v>634</v>
      </c>
      <c r="E668" s="761" t="s">
        <v>1130</v>
      </c>
      <c r="F668" s="1187">
        <v>0</v>
      </c>
      <c r="G668" s="761" t="s">
        <v>631</v>
      </c>
      <c r="H668" s="767"/>
      <c r="I668" s="767"/>
      <c r="J668" s="1187">
        <v>0</v>
      </c>
      <c r="K668" s="1188">
        <v>0</v>
      </c>
    </row>
    <row r="669" spans="1:11" ht="40.799999999999997" x14ac:dyDescent="0.3">
      <c r="A669" s="761" t="s">
        <v>179</v>
      </c>
      <c r="B669" s="765">
        <v>2020</v>
      </c>
      <c r="C669" s="761" t="s">
        <v>2350</v>
      </c>
      <c r="D669" s="761" t="s">
        <v>635</v>
      </c>
      <c r="E669" s="761" t="s">
        <v>1131</v>
      </c>
      <c r="F669" s="1187">
        <v>0</v>
      </c>
      <c r="G669" s="761" t="s">
        <v>631</v>
      </c>
      <c r="H669" s="767"/>
      <c r="I669" s="767"/>
      <c r="J669" s="1187">
        <v>0</v>
      </c>
      <c r="K669" s="1188">
        <v>0</v>
      </c>
    </row>
    <row r="670" spans="1:11" ht="40.799999999999997" x14ac:dyDescent="0.3">
      <c r="A670" s="761" t="s">
        <v>179</v>
      </c>
      <c r="B670" s="765">
        <v>2020</v>
      </c>
      <c r="C670" s="761" t="s">
        <v>2350</v>
      </c>
      <c r="D670" s="761" t="s">
        <v>636</v>
      </c>
      <c r="E670" s="761" t="s">
        <v>1132</v>
      </c>
      <c r="F670" s="1187">
        <v>0</v>
      </c>
      <c r="G670" s="761" t="s">
        <v>631</v>
      </c>
      <c r="H670" s="767"/>
      <c r="I670" s="767"/>
      <c r="J670" s="1187">
        <v>0</v>
      </c>
      <c r="K670" s="1188">
        <v>0</v>
      </c>
    </row>
    <row r="671" spans="1:11" ht="40.799999999999997" x14ac:dyDescent="0.3">
      <c r="A671" s="761" t="s">
        <v>179</v>
      </c>
      <c r="B671" s="765">
        <v>2020</v>
      </c>
      <c r="C671" s="761" t="s">
        <v>2350</v>
      </c>
      <c r="D671" s="761" t="s">
        <v>637</v>
      </c>
      <c r="E671" s="761" t="s">
        <v>1133</v>
      </c>
      <c r="F671" s="1187">
        <v>0</v>
      </c>
      <c r="G671" s="761" t="s">
        <v>631</v>
      </c>
      <c r="H671" s="767"/>
      <c r="I671" s="767"/>
      <c r="J671" s="1187">
        <v>0</v>
      </c>
      <c r="K671" s="1188">
        <v>0</v>
      </c>
    </row>
    <row r="672" spans="1:11" ht="40.799999999999997" x14ac:dyDescent="0.3">
      <c r="A672" s="761" t="s">
        <v>179</v>
      </c>
      <c r="B672" s="765">
        <v>2020</v>
      </c>
      <c r="C672" s="761" t="s">
        <v>2350</v>
      </c>
      <c r="D672" s="761" t="s">
        <v>638</v>
      </c>
      <c r="E672" s="761" t="s">
        <v>1134</v>
      </c>
      <c r="F672" s="1187">
        <v>0</v>
      </c>
      <c r="G672" s="761" t="s">
        <v>631</v>
      </c>
      <c r="H672" s="767"/>
      <c r="I672" s="767"/>
      <c r="J672" s="1187">
        <v>0</v>
      </c>
      <c r="K672" s="1188">
        <v>0</v>
      </c>
    </row>
    <row r="673" spans="1:11" ht="40.799999999999997" x14ac:dyDescent="0.3">
      <c r="A673" s="761" t="s">
        <v>179</v>
      </c>
      <c r="B673" s="765">
        <v>2020</v>
      </c>
      <c r="C673" s="761" t="s">
        <v>2350</v>
      </c>
      <c r="D673" s="761" t="s">
        <v>639</v>
      </c>
      <c r="E673" s="761" t="s">
        <v>1135</v>
      </c>
      <c r="F673" s="1187">
        <v>0</v>
      </c>
      <c r="G673" s="761" t="s">
        <v>631</v>
      </c>
      <c r="H673" s="767"/>
      <c r="I673" s="767"/>
      <c r="J673" s="1187">
        <v>0</v>
      </c>
      <c r="K673" s="1188">
        <v>0</v>
      </c>
    </row>
    <row r="674" spans="1:11" ht="40.799999999999997" x14ac:dyDescent="0.3">
      <c r="A674" s="761" t="s">
        <v>179</v>
      </c>
      <c r="B674" s="765">
        <v>2020</v>
      </c>
      <c r="C674" s="761" t="s">
        <v>2350</v>
      </c>
      <c r="D674" s="761" t="s">
        <v>1613</v>
      </c>
      <c r="E674" s="761" t="s">
        <v>1973</v>
      </c>
      <c r="F674" s="1187">
        <v>0</v>
      </c>
      <c r="G674" s="761" t="s">
        <v>631</v>
      </c>
      <c r="H674" s="767"/>
      <c r="I674" s="767"/>
      <c r="J674" s="1187">
        <v>0</v>
      </c>
      <c r="K674" s="1188">
        <v>0</v>
      </c>
    </row>
    <row r="675" spans="1:11" ht="40.799999999999997" x14ac:dyDescent="0.3">
      <c r="A675" s="761" t="s">
        <v>179</v>
      </c>
      <c r="B675" s="765">
        <v>2020</v>
      </c>
      <c r="C675" s="761" t="s">
        <v>2350</v>
      </c>
      <c r="D675" s="761" t="s">
        <v>2067</v>
      </c>
      <c r="E675" s="761" t="s">
        <v>2086</v>
      </c>
      <c r="F675" s="1187">
        <v>0</v>
      </c>
      <c r="G675" s="761" t="s">
        <v>631</v>
      </c>
      <c r="H675" s="767"/>
      <c r="I675" s="767"/>
      <c r="J675" s="1187">
        <v>0</v>
      </c>
      <c r="K675" s="1188">
        <v>0</v>
      </c>
    </row>
    <row r="676" spans="1:11" ht="40.799999999999997" x14ac:dyDescent="0.3">
      <c r="A676" s="761" t="s">
        <v>179</v>
      </c>
      <c r="B676" s="765">
        <v>2020</v>
      </c>
      <c r="C676" s="761" t="s">
        <v>2350</v>
      </c>
      <c r="D676" s="761" t="s">
        <v>3762</v>
      </c>
      <c r="E676" s="761" t="s">
        <v>4343</v>
      </c>
      <c r="F676" s="1187">
        <v>0</v>
      </c>
      <c r="G676" s="761" t="s">
        <v>631</v>
      </c>
      <c r="H676" s="767"/>
      <c r="I676" s="767"/>
      <c r="J676" s="1187">
        <v>0</v>
      </c>
      <c r="K676" s="1188">
        <v>0</v>
      </c>
    </row>
    <row r="677" spans="1:11" ht="40.799999999999997" x14ac:dyDescent="0.3">
      <c r="A677" s="761" t="s">
        <v>179</v>
      </c>
      <c r="B677" s="765">
        <v>2020</v>
      </c>
      <c r="C677" s="761" t="s">
        <v>2350</v>
      </c>
      <c r="D677" s="761" t="s">
        <v>4844</v>
      </c>
      <c r="E677" s="761" t="s">
        <v>5798</v>
      </c>
      <c r="F677" s="1187">
        <v>0</v>
      </c>
      <c r="G677" s="761" t="s">
        <v>631</v>
      </c>
      <c r="H677" s="1187">
        <v>-71669.421875</v>
      </c>
      <c r="I677" s="1187">
        <v>-5539.93994140625</v>
      </c>
      <c r="J677" s="1187">
        <v>-77209.359375</v>
      </c>
      <c r="K677" s="1188">
        <v>-77209.36</v>
      </c>
    </row>
    <row r="678" spans="1:11" ht="40.799999999999997" x14ac:dyDescent="0.3">
      <c r="A678" s="761" t="s">
        <v>179</v>
      </c>
      <c r="B678" s="765">
        <v>2020</v>
      </c>
      <c r="C678" s="761" t="s">
        <v>2350</v>
      </c>
      <c r="D678" s="761" t="s">
        <v>7101</v>
      </c>
      <c r="E678" s="761" t="s">
        <v>7165</v>
      </c>
      <c r="F678" s="1187">
        <v>0</v>
      </c>
      <c r="G678" s="761" t="s">
        <v>631</v>
      </c>
      <c r="H678" s="1187">
        <v>-12375.0498046875</v>
      </c>
      <c r="I678" s="1187">
        <v>-621.760009765625</v>
      </c>
      <c r="J678" s="1187">
        <v>-12996.8095703125</v>
      </c>
      <c r="K678" s="1188">
        <v>-12996.81</v>
      </c>
    </row>
    <row r="679" spans="1:11" ht="40.799999999999997" x14ac:dyDescent="0.3">
      <c r="A679" s="761" t="s">
        <v>179</v>
      </c>
      <c r="B679" s="765">
        <v>2020</v>
      </c>
      <c r="C679" s="761" t="s">
        <v>2350</v>
      </c>
      <c r="D679" s="761" t="s">
        <v>640</v>
      </c>
      <c r="E679" s="761" t="s">
        <v>1362</v>
      </c>
      <c r="F679" s="1187">
        <v>-90206.17</v>
      </c>
      <c r="G679" s="766"/>
      <c r="H679" s="767"/>
      <c r="I679" s="767"/>
      <c r="J679" s="1187">
        <v>0</v>
      </c>
      <c r="K679" s="1188">
        <v>-90206.17</v>
      </c>
    </row>
    <row r="680" spans="1:11" x14ac:dyDescent="0.3">
      <c r="A680" s="761" t="s">
        <v>207</v>
      </c>
      <c r="B680" s="765">
        <v>2020</v>
      </c>
      <c r="C680" s="761" t="s">
        <v>2342</v>
      </c>
      <c r="D680" s="761" t="s">
        <v>45</v>
      </c>
      <c r="E680" s="761" t="s">
        <v>777</v>
      </c>
      <c r="F680" s="1187">
        <v>8986096.5899999999</v>
      </c>
      <c r="G680" s="761" t="s">
        <v>631</v>
      </c>
      <c r="H680" s="1187">
        <v>8898527</v>
      </c>
      <c r="I680" s="1187">
        <v>87569.84375</v>
      </c>
      <c r="J680" s="1187">
        <v>8986097</v>
      </c>
      <c r="K680" s="1188">
        <v>8986096.5899999999</v>
      </c>
    </row>
    <row r="681" spans="1:11" ht="30.6" x14ac:dyDescent="0.3">
      <c r="A681" s="761" t="s">
        <v>207</v>
      </c>
      <c r="B681" s="765">
        <v>2020</v>
      </c>
      <c r="C681" s="761" t="s">
        <v>2343</v>
      </c>
      <c r="D681" s="761" t="s">
        <v>632</v>
      </c>
      <c r="E681" s="761" t="s">
        <v>778</v>
      </c>
      <c r="F681" s="1187">
        <v>-2199945.2999999998</v>
      </c>
      <c r="G681" s="761" t="s">
        <v>631</v>
      </c>
      <c r="H681" s="1187">
        <v>-2119761.75</v>
      </c>
      <c r="I681" s="1187">
        <v>-80183.46875</v>
      </c>
      <c r="J681" s="1187">
        <v>-2199945.25</v>
      </c>
      <c r="K681" s="1188">
        <v>-2199945.2999999998</v>
      </c>
    </row>
    <row r="682" spans="1:11" ht="20.399999999999999" x14ac:dyDescent="0.3">
      <c r="A682" s="761" t="s">
        <v>207</v>
      </c>
      <c r="B682" s="765">
        <v>2020</v>
      </c>
      <c r="C682" s="761" t="s">
        <v>2344</v>
      </c>
      <c r="D682" s="761" t="s">
        <v>452</v>
      </c>
      <c r="E682" s="761" t="s">
        <v>779</v>
      </c>
      <c r="F682" s="1187">
        <v>0</v>
      </c>
      <c r="G682" s="766"/>
      <c r="H682" s="767"/>
      <c r="I682" s="767"/>
      <c r="J682" s="1187">
        <v>0</v>
      </c>
      <c r="K682" s="1188">
        <v>0</v>
      </c>
    </row>
    <row r="683" spans="1:11" ht="20.399999999999999" x14ac:dyDescent="0.3">
      <c r="A683" s="761" t="s">
        <v>207</v>
      </c>
      <c r="B683" s="765">
        <v>2020</v>
      </c>
      <c r="C683" s="761" t="s">
        <v>2345</v>
      </c>
      <c r="D683" s="761" t="s">
        <v>42</v>
      </c>
      <c r="E683" s="761" t="s">
        <v>780</v>
      </c>
      <c r="F683" s="1187">
        <v>-70159392.099999994</v>
      </c>
      <c r="G683" s="761" t="s">
        <v>631</v>
      </c>
      <c r="H683" s="1187">
        <v>-71035888</v>
      </c>
      <c r="I683" s="1187">
        <v>876495.3125</v>
      </c>
      <c r="J683" s="1187">
        <v>-70159392</v>
      </c>
      <c r="K683" s="1188">
        <v>-70159392.099999994</v>
      </c>
    </row>
    <row r="684" spans="1:11" ht="20.399999999999999" x14ac:dyDescent="0.3">
      <c r="A684" s="761" t="s">
        <v>207</v>
      </c>
      <c r="B684" s="765">
        <v>2020</v>
      </c>
      <c r="C684" s="761" t="s">
        <v>2345</v>
      </c>
      <c r="D684" s="761" t="s">
        <v>2063</v>
      </c>
      <c r="E684" s="761" t="s">
        <v>780</v>
      </c>
      <c r="F684" s="1187">
        <v>0</v>
      </c>
      <c r="G684" s="766"/>
      <c r="H684" s="767"/>
      <c r="I684" s="767"/>
      <c r="J684" s="1187">
        <v>0</v>
      </c>
      <c r="K684" s="1188">
        <v>0</v>
      </c>
    </row>
    <row r="685" spans="1:11" ht="20.399999999999999" x14ac:dyDescent="0.3">
      <c r="A685" s="761" t="s">
        <v>207</v>
      </c>
      <c r="B685" s="765">
        <v>2020</v>
      </c>
      <c r="C685" s="761" t="s">
        <v>2345</v>
      </c>
      <c r="D685" s="761" t="s">
        <v>2064</v>
      </c>
      <c r="E685" s="761" t="s">
        <v>780</v>
      </c>
      <c r="F685" s="1187">
        <v>0</v>
      </c>
      <c r="G685" s="766"/>
      <c r="H685" s="767"/>
      <c r="I685" s="767"/>
      <c r="J685" s="1187">
        <v>0</v>
      </c>
      <c r="K685" s="1188">
        <v>0</v>
      </c>
    </row>
    <row r="686" spans="1:11" ht="20.399999999999999" x14ac:dyDescent="0.3">
      <c r="A686" s="761" t="s">
        <v>207</v>
      </c>
      <c r="B686" s="765">
        <v>2020</v>
      </c>
      <c r="C686" s="761" t="s">
        <v>2345</v>
      </c>
      <c r="D686" s="761" t="s">
        <v>2065</v>
      </c>
      <c r="E686" s="761" t="s">
        <v>780</v>
      </c>
      <c r="F686" s="1187">
        <v>211623.04000000001</v>
      </c>
      <c r="G686" s="766"/>
      <c r="H686" s="767"/>
      <c r="I686" s="767"/>
      <c r="J686" s="1187">
        <v>0</v>
      </c>
      <c r="K686" s="1188">
        <v>211623.04000000001</v>
      </c>
    </row>
    <row r="687" spans="1:11" ht="20.399999999999999" x14ac:dyDescent="0.3">
      <c r="A687" s="761" t="s">
        <v>207</v>
      </c>
      <c r="B687" s="765">
        <v>2020</v>
      </c>
      <c r="C687" s="761" t="s">
        <v>2345</v>
      </c>
      <c r="D687" s="761" t="s">
        <v>2066</v>
      </c>
      <c r="E687" s="761" t="s">
        <v>780</v>
      </c>
      <c r="F687" s="1187">
        <v>-1118145.0900000001</v>
      </c>
      <c r="G687" s="766"/>
      <c r="H687" s="767"/>
      <c r="I687" s="767"/>
      <c r="J687" s="1187">
        <v>0</v>
      </c>
      <c r="K687" s="1188">
        <v>-1118145.0900000001</v>
      </c>
    </row>
    <row r="688" spans="1:11" ht="30.6" x14ac:dyDescent="0.3">
      <c r="A688" s="761" t="s">
        <v>207</v>
      </c>
      <c r="B688" s="765">
        <v>2020</v>
      </c>
      <c r="C688" s="761" t="s">
        <v>2346</v>
      </c>
      <c r="D688" s="761" t="s">
        <v>43</v>
      </c>
      <c r="E688" s="761" t="s">
        <v>781</v>
      </c>
      <c r="F688" s="1187">
        <v>-50397739.939999998</v>
      </c>
      <c r="G688" s="761" t="s">
        <v>631</v>
      </c>
      <c r="H688" s="1187">
        <v>-46426944</v>
      </c>
      <c r="I688" s="1187">
        <v>-3970796</v>
      </c>
      <c r="J688" s="1187">
        <v>-50397740</v>
      </c>
      <c r="K688" s="1188">
        <v>-50397739.939999998</v>
      </c>
    </row>
    <row r="689" spans="1:11" ht="30.6" x14ac:dyDescent="0.3">
      <c r="A689" s="761" t="s">
        <v>207</v>
      </c>
      <c r="B689" s="765">
        <v>2020</v>
      </c>
      <c r="C689" s="761" t="s">
        <v>2347</v>
      </c>
      <c r="D689" s="761" t="s">
        <v>44</v>
      </c>
      <c r="E689" s="761" t="s">
        <v>782</v>
      </c>
      <c r="F689" s="1187">
        <v>104770877.61</v>
      </c>
      <c r="G689" s="761" t="s">
        <v>631</v>
      </c>
      <c r="H689" s="1187">
        <v>100854480</v>
      </c>
      <c r="I689" s="1187">
        <v>3916397.5</v>
      </c>
      <c r="J689" s="1187">
        <v>104770880</v>
      </c>
      <c r="K689" s="1188">
        <v>104770877.61</v>
      </c>
    </row>
    <row r="690" spans="1:11" ht="30.6" x14ac:dyDescent="0.3">
      <c r="A690" s="761" t="s">
        <v>207</v>
      </c>
      <c r="B690" s="765">
        <v>2020</v>
      </c>
      <c r="C690" s="761" t="s">
        <v>2348</v>
      </c>
      <c r="D690" s="761" t="s">
        <v>46</v>
      </c>
      <c r="E690" s="761" t="s">
        <v>783</v>
      </c>
      <c r="F690" s="1187">
        <v>14191043.960000001</v>
      </c>
      <c r="G690" s="761" t="s">
        <v>631</v>
      </c>
      <c r="H690" s="1187">
        <v>12799633</v>
      </c>
      <c r="I690" s="1187">
        <v>1391411.25</v>
      </c>
      <c r="J690" s="1187">
        <v>14191044</v>
      </c>
      <c r="K690" s="1188">
        <v>14191043.960000001</v>
      </c>
    </row>
    <row r="691" spans="1:11" ht="20.399999999999999" x14ac:dyDescent="0.3">
      <c r="A691" s="761" t="s">
        <v>207</v>
      </c>
      <c r="B691" s="765">
        <v>2020</v>
      </c>
      <c r="C691" s="761" t="s">
        <v>2349</v>
      </c>
      <c r="D691" s="761" t="s">
        <v>339</v>
      </c>
      <c r="E691" s="761" t="s">
        <v>784</v>
      </c>
      <c r="F691" s="1187">
        <v>-30475984.829999998</v>
      </c>
      <c r="G691" s="761" t="s">
        <v>631</v>
      </c>
      <c r="H691" s="1187">
        <v>-32439788</v>
      </c>
      <c r="I691" s="1187">
        <v>1963803.25</v>
      </c>
      <c r="J691" s="1187">
        <v>-30475984</v>
      </c>
      <c r="K691" s="1188">
        <v>-30475984.829999998</v>
      </c>
    </row>
    <row r="692" spans="1:11" ht="40.799999999999997" x14ac:dyDescent="0.3">
      <c r="A692" s="761" t="s">
        <v>207</v>
      </c>
      <c r="B692" s="765">
        <v>2020</v>
      </c>
      <c r="C692" s="761" t="s">
        <v>2350</v>
      </c>
      <c r="D692" s="761" t="s">
        <v>633</v>
      </c>
      <c r="E692" s="761" t="s">
        <v>1136</v>
      </c>
      <c r="F692" s="1187">
        <v>0</v>
      </c>
      <c r="G692" s="761" t="s">
        <v>631</v>
      </c>
      <c r="H692" s="1187">
        <v>0</v>
      </c>
      <c r="I692" s="1187">
        <v>0</v>
      </c>
      <c r="J692" s="1187">
        <v>0</v>
      </c>
      <c r="K692" s="1188">
        <v>0</v>
      </c>
    </row>
    <row r="693" spans="1:11" ht="40.799999999999997" x14ac:dyDescent="0.3">
      <c r="A693" s="761" t="s">
        <v>207</v>
      </c>
      <c r="B693" s="765">
        <v>2020</v>
      </c>
      <c r="C693" s="761" t="s">
        <v>2350</v>
      </c>
      <c r="D693" s="761" t="s">
        <v>634</v>
      </c>
      <c r="E693" s="761" t="s">
        <v>1137</v>
      </c>
      <c r="F693" s="1187">
        <v>0</v>
      </c>
      <c r="G693" s="761" t="s">
        <v>631</v>
      </c>
      <c r="H693" s="1187">
        <v>0</v>
      </c>
      <c r="I693" s="1187">
        <v>0</v>
      </c>
      <c r="J693" s="1187">
        <v>0</v>
      </c>
      <c r="K693" s="1188">
        <v>0</v>
      </c>
    </row>
    <row r="694" spans="1:11" ht="40.799999999999997" x14ac:dyDescent="0.3">
      <c r="A694" s="761" t="s">
        <v>207</v>
      </c>
      <c r="B694" s="765">
        <v>2020</v>
      </c>
      <c r="C694" s="761" t="s">
        <v>2350</v>
      </c>
      <c r="D694" s="761" t="s">
        <v>635</v>
      </c>
      <c r="E694" s="761" t="s">
        <v>1138</v>
      </c>
      <c r="F694" s="1187">
        <v>0</v>
      </c>
      <c r="G694" s="761" t="s">
        <v>631</v>
      </c>
      <c r="H694" s="1187">
        <v>0</v>
      </c>
      <c r="I694" s="1187">
        <v>0</v>
      </c>
      <c r="J694" s="1187">
        <v>0</v>
      </c>
      <c r="K694" s="1188">
        <v>0</v>
      </c>
    </row>
    <row r="695" spans="1:11" ht="40.799999999999997" x14ac:dyDescent="0.3">
      <c r="A695" s="761" t="s">
        <v>207</v>
      </c>
      <c r="B695" s="765">
        <v>2020</v>
      </c>
      <c r="C695" s="761" t="s">
        <v>2350</v>
      </c>
      <c r="D695" s="761" t="s">
        <v>636</v>
      </c>
      <c r="E695" s="761" t="s">
        <v>1139</v>
      </c>
      <c r="F695" s="1187">
        <v>0</v>
      </c>
      <c r="G695" s="761" t="s">
        <v>631</v>
      </c>
      <c r="H695" s="1187">
        <v>0</v>
      </c>
      <c r="I695" s="1187">
        <v>0</v>
      </c>
      <c r="J695" s="1187">
        <v>0</v>
      </c>
      <c r="K695" s="1188">
        <v>0</v>
      </c>
    </row>
    <row r="696" spans="1:11" ht="40.799999999999997" x14ac:dyDescent="0.3">
      <c r="A696" s="761" t="s">
        <v>207</v>
      </c>
      <c r="B696" s="765">
        <v>2020</v>
      </c>
      <c r="C696" s="761" t="s">
        <v>2350</v>
      </c>
      <c r="D696" s="761" t="s">
        <v>637</v>
      </c>
      <c r="E696" s="761" t="s">
        <v>1140</v>
      </c>
      <c r="F696" s="1187">
        <v>0</v>
      </c>
      <c r="G696" s="761" t="s">
        <v>631</v>
      </c>
      <c r="H696" s="1187">
        <v>0</v>
      </c>
      <c r="I696" s="1187">
        <v>0</v>
      </c>
      <c r="J696" s="1187">
        <v>0</v>
      </c>
      <c r="K696" s="1188">
        <v>0</v>
      </c>
    </row>
    <row r="697" spans="1:11" ht="40.799999999999997" x14ac:dyDescent="0.3">
      <c r="A697" s="761" t="s">
        <v>207</v>
      </c>
      <c r="B697" s="765">
        <v>2020</v>
      </c>
      <c r="C697" s="761" t="s">
        <v>2350</v>
      </c>
      <c r="D697" s="761" t="s">
        <v>638</v>
      </c>
      <c r="E697" s="761" t="s">
        <v>1141</v>
      </c>
      <c r="F697" s="1187">
        <v>0</v>
      </c>
      <c r="G697" s="761" t="s">
        <v>631</v>
      </c>
      <c r="H697" s="1187">
        <v>0</v>
      </c>
      <c r="I697" s="1187">
        <v>0</v>
      </c>
      <c r="J697" s="1187">
        <v>0</v>
      </c>
      <c r="K697" s="1188">
        <v>0</v>
      </c>
    </row>
    <row r="698" spans="1:11" ht="40.799999999999997" x14ac:dyDescent="0.3">
      <c r="A698" s="761" t="s">
        <v>207</v>
      </c>
      <c r="B698" s="765">
        <v>2020</v>
      </c>
      <c r="C698" s="761" t="s">
        <v>2350</v>
      </c>
      <c r="D698" s="761" t="s">
        <v>639</v>
      </c>
      <c r="E698" s="761" t="s">
        <v>1142</v>
      </c>
      <c r="F698" s="1187">
        <v>0</v>
      </c>
      <c r="G698" s="761" t="s">
        <v>631</v>
      </c>
      <c r="H698" s="1187">
        <v>0</v>
      </c>
      <c r="I698" s="1187">
        <v>0</v>
      </c>
      <c r="J698" s="1187">
        <v>0</v>
      </c>
      <c r="K698" s="1188">
        <v>0</v>
      </c>
    </row>
    <row r="699" spans="1:11" ht="40.799999999999997" x14ac:dyDescent="0.3">
      <c r="A699" s="761" t="s">
        <v>207</v>
      </c>
      <c r="B699" s="765">
        <v>2020</v>
      </c>
      <c r="C699" s="761" t="s">
        <v>2350</v>
      </c>
      <c r="D699" s="761" t="s">
        <v>1613</v>
      </c>
      <c r="E699" s="761" t="s">
        <v>1974</v>
      </c>
      <c r="F699" s="1187">
        <v>0</v>
      </c>
      <c r="G699" s="761" t="s">
        <v>631</v>
      </c>
      <c r="H699" s="1187">
        <v>-6468678</v>
      </c>
      <c r="I699" s="1187">
        <v>35357.8984375</v>
      </c>
      <c r="J699" s="1187">
        <v>-6433320</v>
      </c>
      <c r="K699" s="1188">
        <v>-6433320.2300000004</v>
      </c>
    </row>
    <row r="700" spans="1:11" ht="40.799999999999997" x14ac:dyDescent="0.3">
      <c r="A700" s="761" t="s">
        <v>207</v>
      </c>
      <c r="B700" s="765">
        <v>2020</v>
      </c>
      <c r="C700" s="761" t="s">
        <v>2350</v>
      </c>
      <c r="D700" s="761" t="s">
        <v>2067</v>
      </c>
      <c r="E700" s="761" t="s">
        <v>2087</v>
      </c>
      <c r="F700" s="1187">
        <v>0</v>
      </c>
      <c r="G700" s="761" t="s">
        <v>631</v>
      </c>
      <c r="H700" s="1187">
        <v>0</v>
      </c>
      <c r="I700" s="1187">
        <v>0</v>
      </c>
      <c r="J700" s="1187">
        <v>0</v>
      </c>
      <c r="K700" s="1188">
        <v>0</v>
      </c>
    </row>
    <row r="701" spans="1:11" ht="40.799999999999997" x14ac:dyDescent="0.3">
      <c r="A701" s="761" t="s">
        <v>207</v>
      </c>
      <c r="B701" s="765">
        <v>2020</v>
      </c>
      <c r="C701" s="761" t="s">
        <v>2350</v>
      </c>
      <c r="D701" s="761" t="s">
        <v>3762</v>
      </c>
      <c r="E701" s="761" t="s">
        <v>4344</v>
      </c>
      <c r="F701" s="1187">
        <v>0</v>
      </c>
      <c r="G701" s="761" t="s">
        <v>631</v>
      </c>
      <c r="H701" s="1187">
        <v>-3904.2099609375</v>
      </c>
      <c r="I701" s="1187">
        <v>-172043.21875</v>
      </c>
      <c r="J701" s="1187">
        <v>-175947.4375</v>
      </c>
      <c r="K701" s="1188">
        <v>-175947.43</v>
      </c>
    </row>
    <row r="702" spans="1:11" ht="40.799999999999997" x14ac:dyDescent="0.3">
      <c r="A702" s="761" t="s">
        <v>207</v>
      </c>
      <c r="B702" s="765">
        <v>2020</v>
      </c>
      <c r="C702" s="761" t="s">
        <v>2350</v>
      </c>
      <c r="D702" s="761" t="s">
        <v>4844</v>
      </c>
      <c r="E702" s="761" t="s">
        <v>5799</v>
      </c>
      <c r="F702" s="1187">
        <v>0</v>
      </c>
      <c r="G702" s="761" t="s">
        <v>631</v>
      </c>
      <c r="H702" s="1187">
        <v>-196395.796875</v>
      </c>
      <c r="I702" s="1187">
        <v>120061.9375</v>
      </c>
      <c r="J702" s="1187">
        <v>-76333.859375</v>
      </c>
      <c r="K702" s="1188">
        <v>-76333.86</v>
      </c>
    </row>
    <row r="703" spans="1:11" ht="40.799999999999997" x14ac:dyDescent="0.3">
      <c r="A703" s="761" t="s">
        <v>207</v>
      </c>
      <c r="B703" s="765">
        <v>2020</v>
      </c>
      <c r="C703" s="761" t="s">
        <v>2350</v>
      </c>
      <c r="D703" s="761" t="s">
        <v>7101</v>
      </c>
      <c r="E703" s="761" t="s">
        <v>7166</v>
      </c>
      <c r="F703" s="1187">
        <v>0</v>
      </c>
      <c r="G703" s="761" t="s">
        <v>631</v>
      </c>
      <c r="H703" s="1187">
        <v>-31856768</v>
      </c>
      <c r="I703" s="1187">
        <v>-3264684.5</v>
      </c>
      <c r="J703" s="1187">
        <v>-35121452</v>
      </c>
      <c r="K703" s="1188">
        <v>-35121451.700000003</v>
      </c>
    </row>
    <row r="704" spans="1:11" ht="40.799999999999997" x14ac:dyDescent="0.3">
      <c r="A704" s="761" t="s">
        <v>207</v>
      </c>
      <c r="B704" s="765">
        <v>2020</v>
      </c>
      <c r="C704" s="761" t="s">
        <v>2350</v>
      </c>
      <c r="D704" s="761" t="s">
        <v>640</v>
      </c>
      <c r="E704" s="761" t="s">
        <v>1363</v>
      </c>
      <c r="F704" s="1187">
        <v>-41807053.219999999</v>
      </c>
      <c r="G704" s="766"/>
      <c r="H704" s="767"/>
      <c r="I704" s="767"/>
      <c r="J704" s="1187">
        <v>0</v>
      </c>
      <c r="K704" s="1188">
        <v>-41807053.219999999</v>
      </c>
    </row>
    <row r="705" spans="1:11" ht="20.399999999999999" x14ac:dyDescent="0.3">
      <c r="A705" s="761" t="s">
        <v>601</v>
      </c>
      <c r="B705" s="765">
        <v>2020</v>
      </c>
      <c r="C705" s="761" t="s">
        <v>2342</v>
      </c>
      <c r="D705" s="761" t="s">
        <v>45</v>
      </c>
      <c r="E705" s="761" t="s">
        <v>785</v>
      </c>
      <c r="F705" s="1187">
        <v>0</v>
      </c>
      <c r="G705" s="761" t="s">
        <v>631</v>
      </c>
      <c r="H705" s="1187">
        <v>0</v>
      </c>
      <c r="I705" s="1187">
        <v>0</v>
      </c>
      <c r="J705" s="1187">
        <v>0</v>
      </c>
      <c r="K705" s="1188">
        <v>0</v>
      </c>
    </row>
    <row r="706" spans="1:11" ht="30.6" x14ac:dyDescent="0.3">
      <c r="A706" s="761" t="s">
        <v>601</v>
      </c>
      <c r="B706" s="765">
        <v>2020</v>
      </c>
      <c r="C706" s="761" t="s">
        <v>2343</v>
      </c>
      <c r="D706" s="761" t="s">
        <v>632</v>
      </c>
      <c r="E706" s="761" t="s">
        <v>786</v>
      </c>
      <c r="F706" s="1187">
        <v>0</v>
      </c>
      <c r="G706" s="761" t="s">
        <v>631</v>
      </c>
      <c r="H706" s="1187">
        <v>0</v>
      </c>
      <c r="I706" s="1187">
        <v>0</v>
      </c>
      <c r="J706" s="1187">
        <v>0</v>
      </c>
      <c r="K706" s="1188">
        <v>0</v>
      </c>
    </row>
    <row r="707" spans="1:11" ht="20.399999999999999" x14ac:dyDescent="0.3">
      <c r="A707" s="761" t="s">
        <v>601</v>
      </c>
      <c r="B707" s="765">
        <v>2020</v>
      </c>
      <c r="C707" s="761" t="s">
        <v>2344</v>
      </c>
      <c r="D707" s="761" t="s">
        <v>452</v>
      </c>
      <c r="E707" s="761" t="s">
        <v>787</v>
      </c>
      <c r="F707" s="1187">
        <v>0</v>
      </c>
      <c r="G707" s="766"/>
      <c r="H707" s="767"/>
      <c r="I707" s="767"/>
      <c r="J707" s="1187">
        <v>0</v>
      </c>
      <c r="K707" s="1188">
        <v>0</v>
      </c>
    </row>
    <row r="708" spans="1:11" ht="20.399999999999999" x14ac:dyDescent="0.3">
      <c r="A708" s="761" t="s">
        <v>601</v>
      </c>
      <c r="B708" s="765">
        <v>2020</v>
      </c>
      <c r="C708" s="761" t="s">
        <v>2345</v>
      </c>
      <c r="D708" s="761" t="s">
        <v>42</v>
      </c>
      <c r="E708" s="761" t="s">
        <v>788</v>
      </c>
      <c r="F708" s="1187">
        <v>0</v>
      </c>
      <c r="G708" s="761" t="s">
        <v>631</v>
      </c>
      <c r="H708" s="1187">
        <v>0</v>
      </c>
      <c r="I708" s="1187">
        <v>0</v>
      </c>
      <c r="J708" s="1187">
        <v>0</v>
      </c>
      <c r="K708" s="1188">
        <v>0</v>
      </c>
    </row>
    <row r="709" spans="1:11" ht="20.399999999999999" x14ac:dyDescent="0.3">
      <c r="A709" s="761" t="s">
        <v>601</v>
      </c>
      <c r="B709" s="765">
        <v>2020</v>
      </c>
      <c r="C709" s="761" t="s">
        <v>2345</v>
      </c>
      <c r="D709" s="761" t="s">
        <v>2063</v>
      </c>
      <c r="E709" s="761" t="s">
        <v>788</v>
      </c>
      <c r="F709" s="1187">
        <v>0</v>
      </c>
      <c r="G709" s="766"/>
      <c r="H709" s="767"/>
      <c r="I709" s="767"/>
      <c r="J709" s="1187">
        <v>0</v>
      </c>
      <c r="K709" s="1188">
        <v>0</v>
      </c>
    </row>
    <row r="710" spans="1:11" ht="20.399999999999999" x14ac:dyDescent="0.3">
      <c r="A710" s="761" t="s">
        <v>601</v>
      </c>
      <c r="B710" s="765">
        <v>2020</v>
      </c>
      <c r="C710" s="761" t="s">
        <v>2345</v>
      </c>
      <c r="D710" s="761" t="s">
        <v>2064</v>
      </c>
      <c r="E710" s="761" t="s">
        <v>788</v>
      </c>
      <c r="F710" s="1187">
        <v>0</v>
      </c>
      <c r="G710" s="766"/>
      <c r="H710" s="767"/>
      <c r="I710" s="767"/>
      <c r="J710" s="1187">
        <v>0</v>
      </c>
      <c r="K710" s="1188">
        <v>0</v>
      </c>
    </row>
    <row r="711" spans="1:11" ht="20.399999999999999" x14ac:dyDescent="0.3">
      <c r="A711" s="761" t="s">
        <v>601</v>
      </c>
      <c r="B711" s="765">
        <v>2020</v>
      </c>
      <c r="C711" s="761" t="s">
        <v>2345</v>
      </c>
      <c r="D711" s="761" t="s">
        <v>2065</v>
      </c>
      <c r="E711" s="761" t="s">
        <v>788</v>
      </c>
      <c r="F711" s="1187">
        <v>0</v>
      </c>
      <c r="G711" s="766"/>
      <c r="H711" s="767"/>
      <c r="I711" s="767"/>
      <c r="J711" s="1187">
        <v>0</v>
      </c>
      <c r="K711" s="1188">
        <v>0</v>
      </c>
    </row>
    <row r="712" spans="1:11" ht="20.399999999999999" x14ac:dyDescent="0.3">
      <c r="A712" s="761" t="s">
        <v>601</v>
      </c>
      <c r="B712" s="765">
        <v>2020</v>
      </c>
      <c r="C712" s="761" t="s">
        <v>2345</v>
      </c>
      <c r="D712" s="761" t="s">
        <v>2066</v>
      </c>
      <c r="E712" s="761" t="s">
        <v>788</v>
      </c>
      <c r="F712" s="1187">
        <v>0</v>
      </c>
      <c r="G712" s="766"/>
      <c r="H712" s="767"/>
      <c r="I712" s="767"/>
      <c r="J712" s="1187">
        <v>0</v>
      </c>
      <c r="K712" s="1188">
        <v>0</v>
      </c>
    </row>
    <row r="713" spans="1:11" ht="30.6" x14ac:dyDescent="0.3">
      <c r="A713" s="761" t="s">
        <v>601</v>
      </c>
      <c r="B713" s="765">
        <v>2020</v>
      </c>
      <c r="C713" s="761" t="s">
        <v>2346</v>
      </c>
      <c r="D713" s="761" t="s">
        <v>43</v>
      </c>
      <c r="E713" s="761" t="s">
        <v>789</v>
      </c>
      <c r="F713" s="1187">
        <v>0</v>
      </c>
      <c r="G713" s="761" t="s">
        <v>631</v>
      </c>
      <c r="H713" s="1187">
        <v>0</v>
      </c>
      <c r="I713" s="1187">
        <v>0</v>
      </c>
      <c r="J713" s="1187">
        <v>0</v>
      </c>
      <c r="K713" s="1188">
        <v>0</v>
      </c>
    </row>
    <row r="714" spans="1:11" ht="30.6" x14ac:dyDescent="0.3">
      <c r="A714" s="761" t="s">
        <v>601</v>
      </c>
      <c r="B714" s="765">
        <v>2020</v>
      </c>
      <c r="C714" s="761" t="s">
        <v>2347</v>
      </c>
      <c r="D714" s="761" t="s">
        <v>44</v>
      </c>
      <c r="E714" s="761" t="s">
        <v>790</v>
      </c>
      <c r="F714" s="1187">
        <v>0</v>
      </c>
      <c r="G714" s="761" t="s">
        <v>631</v>
      </c>
      <c r="H714" s="1187">
        <v>0</v>
      </c>
      <c r="I714" s="1187">
        <v>0</v>
      </c>
      <c r="J714" s="1187">
        <v>0</v>
      </c>
      <c r="K714" s="1188">
        <v>0</v>
      </c>
    </row>
    <row r="715" spans="1:11" ht="30.6" x14ac:dyDescent="0.3">
      <c r="A715" s="761" t="s">
        <v>601</v>
      </c>
      <c r="B715" s="765">
        <v>2020</v>
      </c>
      <c r="C715" s="761" t="s">
        <v>2348</v>
      </c>
      <c r="D715" s="761" t="s">
        <v>46</v>
      </c>
      <c r="E715" s="761" t="s">
        <v>791</v>
      </c>
      <c r="F715" s="1187">
        <v>0</v>
      </c>
      <c r="G715" s="761" t="s">
        <v>631</v>
      </c>
      <c r="H715" s="1187">
        <v>0</v>
      </c>
      <c r="I715" s="1187">
        <v>0</v>
      </c>
      <c r="J715" s="1187">
        <v>0</v>
      </c>
      <c r="K715" s="1188">
        <v>0</v>
      </c>
    </row>
    <row r="716" spans="1:11" ht="20.399999999999999" x14ac:dyDescent="0.3">
      <c r="A716" s="761" t="s">
        <v>601</v>
      </c>
      <c r="B716" s="765">
        <v>2020</v>
      </c>
      <c r="C716" s="761" t="s">
        <v>2349</v>
      </c>
      <c r="D716" s="761" t="s">
        <v>339</v>
      </c>
      <c r="E716" s="761" t="s">
        <v>792</v>
      </c>
      <c r="F716" s="1187">
        <v>0</v>
      </c>
      <c r="G716" s="761" t="s">
        <v>631</v>
      </c>
      <c r="H716" s="1187">
        <v>0</v>
      </c>
      <c r="I716" s="1187">
        <v>0</v>
      </c>
      <c r="J716" s="1187">
        <v>0</v>
      </c>
      <c r="K716" s="1188">
        <v>0</v>
      </c>
    </row>
    <row r="717" spans="1:11" ht="40.799999999999997" x14ac:dyDescent="0.3">
      <c r="A717" s="761" t="s">
        <v>601</v>
      </c>
      <c r="B717" s="765">
        <v>2020</v>
      </c>
      <c r="C717" s="761" t="s">
        <v>2350</v>
      </c>
      <c r="D717" s="761" t="s">
        <v>633</v>
      </c>
      <c r="E717" s="761" t="s">
        <v>1143</v>
      </c>
      <c r="F717" s="1187">
        <v>0</v>
      </c>
      <c r="G717" s="761" t="s">
        <v>631</v>
      </c>
      <c r="H717" s="1187">
        <v>0</v>
      </c>
      <c r="I717" s="1187">
        <v>0</v>
      </c>
      <c r="J717" s="1187">
        <v>0</v>
      </c>
      <c r="K717" s="1188">
        <v>0</v>
      </c>
    </row>
    <row r="718" spans="1:11" ht="40.799999999999997" x14ac:dyDescent="0.3">
      <c r="A718" s="761" t="s">
        <v>601</v>
      </c>
      <c r="B718" s="765">
        <v>2020</v>
      </c>
      <c r="C718" s="761" t="s">
        <v>2350</v>
      </c>
      <c r="D718" s="761" t="s">
        <v>634</v>
      </c>
      <c r="E718" s="761" t="s">
        <v>1144</v>
      </c>
      <c r="F718" s="1187">
        <v>0</v>
      </c>
      <c r="G718" s="761" t="s">
        <v>631</v>
      </c>
      <c r="H718" s="1187">
        <v>0</v>
      </c>
      <c r="I718" s="1187">
        <v>0</v>
      </c>
      <c r="J718" s="1187">
        <v>0</v>
      </c>
      <c r="K718" s="1188">
        <v>0</v>
      </c>
    </row>
    <row r="719" spans="1:11" ht="40.799999999999997" x14ac:dyDescent="0.3">
      <c r="A719" s="761" t="s">
        <v>601</v>
      </c>
      <c r="B719" s="765">
        <v>2020</v>
      </c>
      <c r="C719" s="761" t="s">
        <v>2350</v>
      </c>
      <c r="D719" s="761" t="s">
        <v>635</v>
      </c>
      <c r="E719" s="761" t="s">
        <v>1145</v>
      </c>
      <c r="F719" s="1187">
        <v>0</v>
      </c>
      <c r="G719" s="761" t="s">
        <v>631</v>
      </c>
      <c r="H719" s="1187">
        <v>0</v>
      </c>
      <c r="I719" s="1187">
        <v>0</v>
      </c>
      <c r="J719" s="1187">
        <v>0</v>
      </c>
      <c r="K719" s="1188">
        <v>0</v>
      </c>
    </row>
    <row r="720" spans="1:11" ht="40.799999999999997" x14ac:dyDescent="0.3">
      <c r="A720" s="761" t="s">
        <v>601</v>
      </c>
      <c r="B720" s="765">
        <v>2020</v>
      </c>
      <c r="C720" s="761" t="s">
        <v>2350</v>
      </c>
      <c r="D720" s="761" t="s">
        <v>636</v>
      </c>
      <c r="E720" s="761" t="s">
        <v>1146</v>
      </c>
      <c r="F720" s="1187">
        <v>0</v>
      </c>
      <c r="G720" s="761" t="s">
        <v>631</v>
      </c>
      <c r="H720" s="1187">
        <v>0</v>
      </c>
      <c r="I720" s="1187">
        <v>0</v>
      </c>
      <c r="J720" s="1187">
        <v>0</v>
      </c>
      <c r="K720" s="1188">
        <v>0</v>
      </c>
    </row>
    <row r="721" spans="1:11" ht="40.799999999999997" x14ac:dyDescent="0.3">
      <c r="A721" s="761" t="s">
        <v>601</v>
      </c>
      <c r="B721" s="765">
        <v>2020</v>
      </c>
      <c r="C721" s="761" t="s">
        <v>2350</v>
      </c>
      <c r="D721" s="761" t="s">
        <v>637</v>
      </c>
      <c r="E721" s="761" t="s">
        <v>1147</v>
      </c>
      <c r="F721" s="1187">
        <v>0</v>
      </c>
      <c r="G721" s="761" t="s">
        <v>631</v>
      </c>
      <c r="H721" s="1187">
        <v>0</v>
      </c>
      <c r="I721" s="1187">
        <v>0</v>
      </c>
      <c r="J721" s="1187">
        <v>0</v>
      </c>
      <c r="K721" s="1188">
        <v>0</v>
      </c>
    </row>
    <row r="722" spans="1:11" ht="40.799999999999997" x14ac:dyDescent="0.3">
      <c r="A722" s="761" t="s">
        <v>601</v>
      </c>
      <c r="B722" s="765">
        <v>2020</v>
      </c>
      <c r="C722" s="761" t="s">
        <v>2350</v>
      </c>
      <c r="D722" s="761" t="s">
        <v>638</v>
      </c>
      <c r="E722" s="761" t="s">
        <v>1148</v>
      </c>
      <c r="F722" s="1187">
        <v>0</v>
      </c>
      <c r="G722" s="761" t="s">
        <v>631</v>
      </c>
      <c r="H722" s="1187">
        <v>0</v>
      </c>
      <c r="I722" s="1187">
        <v>0</v>
      </c>
      <c r="J722" s="1187">
        <v>0</v>
      </c>
      <c r="K722" s="1188">
        <v>0</v>
      </c>
    </row>
    <row r="723" spans="1:11" ht="40.799999999999997" x14ac:dyDescent="0.3">
      <c r="A723" s="761" t="s">
        <v>601</v>
      </c>
      <c r="B723" s="765">
        <v>2020</v>
      </c>
      <c r="C723" s="761" t="s">
        <v>2350</v>
      </c>
      <c r="D723" s="761" t="s">
        <v>639</v>
      </c>
      <c r="E723" s="761" t="s">
        <v>1149</v>
      </c>
      <c r="F723" s="1187">
        <v>0</v>
      </c>
      <c r="G723" s="761" t="s">
        <v>631</v>
      </c>
      <c r="H723" s="1187">
        <v>0</v>
      </c>
      <c r="I723" s="1187">
        <v>0</v>
      </c>
      <c r="J723" s="1187">
        <v>0</v>
      </c>
      <c r="K723" s="1188">
        <v>0</v>
      </c>
    </row>
    <row r="724" spans="1:11" ht="40.799999999999997" x14ac:dyDescent="0.3">
      <c r="A724" s="761" t="s">
        <v>601</v>
      </c>
      <c r="B724" s="765">
        <v>2020</v>
      </c>
      <c r="C724" s="761" t="s">
        <v>2350</v>
      </c>
      <c r="D724" s="761" t="s">
        <v>1613</v>
      </c>
      <c r="E724" s="761" t="s">
        <v>1975</v>
      </c>
      <c r="F724" s="1187">
        <v>0</v>
      </c>
      <c r="G724" s="761" t="s">
        <v>631</v>
      </c>
      <c r="H724" s="1187">
        <v>0</v>
      </c>
      <c r="I724" s="1187">
        <v>0</v>
      </c>
      <c r="J724" s="1187">
        <v>0</v>
      </c>
      <c r="K724" s="1188">
        <v>0</v>
      </c>
    </row>
    <row r="725" spans="1:11" ht="40.799999999999997" x14ac:dyDescent="0.3">
      <c r="A725" s="761" t="s">
        <v>601</v>
      </c>
      <c r="B725" s="765">
        <v>2020</v>
      </c>
      <c r="C725" s="761" t="s">
        <v>2350</v>
      </c>
      <c r="D725" s="761" t="s">
        <v>2067</v>
      </c>
      <c r="E725" s="761" t="s">
        <v>2088</v>
      </c>
      <c r="F725" s="1187">
        <v>0</v>
      </c>
      <c r="G725" s="761" t="s">
        <v>631</v>
      </c>
      <c r="H725" s="1187">
        <v>0</v>
      </c>
      <c r="I725" s="1187">
        <v>0</v>
      </c>
      <c r="J725" s="1187">
        <v>0</v>
      </c>
      <c r="K725" s="1188">
        <v>0</v>
      </c>
    </row>
    <row r="726" spans="1:11" ht="40.799999999999997" x14ac:dyDescent="0.3">
      <c r="A726" s="761" t="s">
        <v>601</v>
      </c>
      <c r="B726" s="765">
        <v>2020</v>
      </c>
      <c r="C726" s="761" t="s">
        <v>2350</v>
      </c>
      <c r="D726" s="761" t="s">
        <v>3762</v>
      </c>
      <c r="E726" s="761" t="s">
        <v>4345</v>
      </c>
      <c r="F726" s="1187">
        <v>0</v>
      </c>
      <c r="G726" s="761" t="s">
        <v>631</v>
      </c>
      <c r="H726" s="1187">
        <v>0</v>
      </c>
      <c r="I726" s="1187">
        <v>0</v>
      </c>
      <c r="J726" s="1187">
        <v>0</v>
      </c>
      <c r="K726" s="1188">
        <v>0</v>
      </c>
    </row>
    <row r="727" spans="1:11" ht="40.799999999999997" x14ac:dyDescent="0.3">
      <c r="A727" s="761" t="s">
        <v>601</v>
      </c>
      <c r="B727" s="765">
        <v>2020</v>
      </c>
      <c r="C727" s="761" t="s">
        <v>2350</v>
      </c>
      <c r="D727" s="761" t="s">
        <v>4844</v>
      </c>
      <c r="E727" s="761" t="s">
        <v>5800</v>
      </c>
      <c r="F727" s="1187">
        <v>0</v>
      </c>
      <c r="G727" s="761" t="s">
        <v>631</v>
      </c>
      <c r="H727" s="1187">
        <v>0</v>
      </c>
      <c r="I727" s="1187">
        <v>0</v>
      </c>
      <c r="J727" s="1187">
        <v>0</v>
      </c>
      <c r="K727" s="1188">
        <v>0</v>
      </c>
    </row>
    <row r="728" spans="1:11" ht="40.799999999999997" x14ac:dyDescent="0.3">
      <c r="A728" s="761" t="s">
        <v>601</v>
      </c>
      <c r="B728" s="765">
        <v>2020</v>
      </c>
      <c r="C728" s="761" t="s">
        <v>2350</v>
      </c>
      <c r="D728" s="761" t="s">
        <v>7101</v>
      </c>
      <c r="E728" s="761" t="s">
        <v>7167</v>
      </c>
      <c r="F728" s="1187">
        <v>0</v>
      </c>
      <c r="G728" s="761" t="s">
        <v>631</v>
      </c>
      <c r="H728" s="1187">
        <v>0</v>
      </c>
      <c r="I728" s="1187">
        <v>0</v>
      </c>
      <c r="J728" s="1187">
        <v>0</v>
      </c>
      <c r="K728" s="1188">
        <v>0</v>
      </c>
    </row>
    <row r="729" spans="1:11" ht="40.799999999999997" x14ac:dyDescent="0.3">
      <c r="A729" s="761" t="s">
        <v>601</v>
      </c>
      <c r="B729" s="765">
        <v>2020</v>
      </c>
      <c r="C729" s="761" t="s">
        <v>2350</v>
      </c>
      <c r="D729" s="761" t="s">
        <v>640</v>
      </c>
      <c r="E729" s="761" t="s">
        <v>1364</v>
      </c>
      <c r="F729" s="1187">
        <v>0</v>
      </c>
      <c r="G729" s="766"/>
      <c r="H729" s="767"/>
      <c r="I729" s="767"/>
      <c r="J729" s="1187">
        <v>0</v>
      </c>
      <c r="K729" s="1188">
        <v>0</v>
      </c>
    </row>
    <row r="730" spans="1:11" x14ac:dyDescent="0.3">
      <c r="A730" s="761" t="s">
        <v>201</v>
      </c>
      <c r="B730" s="765">
        <v>2020</v>
      </c>
      <c r="C730" s="761" t="s">
        <v>2342</v>
      </c>
      <c r="D730" s="761" t="s">
        <v>45</v>
      </c>
      <c r="E730" s="761" t="s">
        <v>793</v>
      </c>
      <c r="F730" s="1187">
        <v>-394816.77</v>
      </c>
      <c r="G730" s="761" t="s">
        <v>631</v>
      </c>
      <c r="H730" s="1187">
        <v>-390228.375</v>
      </c>
      <c r="I730" s="1187">
        <v>-4588.39990234375</v>
      </c>
      <c r="J730" s="1187">
        <v>-394816.78125</v>
      </c>
      <c r="K730" s="1188">
        <v>-394816.77</v>
      </c>
    </row>
    <row r="731" spans="1:11" ht="30.6" x14ac:dyDescent="0.3">
      <c r="A731" s="761" t="s">
        <v>201</v>
      </c>
      <c r="B731" s="765">
        <v>2020</v>
      </c>
      <c r="C731" s="761" t="s">
        <v>2343</v>
      </c>
      <c r="D731" s="761" t="s">
        <v>632</v>
      </c>
      <c r="E731" s="761" t="s">
        <v>794</v>
      </c>
      <c r="F731" s="1187">
        <v>-391166.12</v>
      </c>
      <c r="G731" s="761" t="s">
        <v>631</v>
      </c>
      <c r="H731" s="1187">
        <v>-379232</v>
      </c>
      <c r="I731" s="1187">
        <v>-11934.1103515625</v>
      </c>
      <c r="J731" s="1187">
        <v>-391166.125</v>
      </c>
      <c r="K731" s="1188">
        <v>-391166.12</v>
      </c>
    </row>
    <row r="732" spans="1:11" ht="20.399999999999999" x14ac:dyDescent="0.3">
      <c r="A732" s="761" t="s">
        <v>201</v>
      </c>
      <c r="B732" s="765">
        <v>2020</v>
      </c>
      <c r="C732" s="761" t="s">
        <v>2344</v>
      </c>
      <c r="D732" s="761" t="s">
        <v>452</v>
      </c>
      <c r="E732" s="761" t="s">
        <v>795</v>
      </c>
      <c r="F732" s="1187">
        <v>4537381.7300000004</v>
      </c>
      <c r="G732" s="766"/>
      <c r="H732" s="767"/>
      <c r="I732" s="767"/>
      <c r="J732" s="1187">
        <v>0</v>
      </c>
      <c r="K732" s="1188">
        <v>4537381.7300000004</v>
      </c>
    </row>
    <row r="733" spans="1:11" ht="20.399999999999999" x14ac:dyDescent="0.3">
      <c r="A733" s="761" t="s">
        <v>201</v>
      </c>
      <c r="B733" s="765">
        <v>2020</v>
      </c>
      <c r="C733" s="761" t="s">
        <v>2345</v>
      </c>
      <c r="D733" s="761" t="s">
        <v>42</v>
      </c>
      <c r="E733" s="761" t="s">
        <v>796</v>
      </c>
      <c r="F733" s="1187">
        <v>-4063405.97</v>
      </c>
      <c r="G733" s="761" t="s">
        <v>631</v>
      </c>
      <c r="H733" s="1187">
        <v>-4023705.25</v>
      </c>
      <c r="I733" s="1187">
        <v>-39700.7890625</v>
      </c>
      <c r="J733" s="1187">
        <v>-4063406</v>
      </c>
      <c r="K733" s="1188">
        <v>-4063405.97</v>
      </c>
    </row>
    <row r="734" spans="1:11" ht="20.399999999999999" x14ac:dyDescent="0.3">
      <c r="A734" s="761" t="s">
        <v>201</v>
      </c>
      <c r="B734" s="765">
        <v>2020</v>
      </c>
      <c r="C734" s="761" t="s">
        <v>2345</v>
      </c>
      <c r="D734" s="761" t="s">
        <v>2063</v>
      </c>
      <c r="E734" s="761" t="s">
        <v>796</v>
      </c>
      <c r="F734" s="1187">
        <v>0</v>
      </c>
      <c r="G734" s="766"/>
      <c r="H734" s="767"/>
      <c r="I734" s="767"/>
      <c r="J734" s="1187">
        <v>0</v>
      </c>
      <c r="K734" s="1188">
        <v>0</v>
      </c>
    </row>
    <row r="735" spans="1:11" ht="20.399999999999999" x14ac:dyDescent="0.3">
      <c r="A735" s="761" t="s">
        <v>201</v>
      </c>
      <c r="B735" s="765">
        <v>2020</v>
      </c>
      <c r="C735" s="761" t="s">
        <v>2345</v>
      </c>
      <c r="D735" s="761" t="s">
        <v>2064</v>
      </c>
      <c r="E735" s="761" t="s">
        <v>796</v>
      </c>
      <c r="F735" s="1187">
        <v>-0.64</v>
      </c>
      <c r="G735" s="766"/>
      <c r="H735" s="767"/>
      <c r="I735" s="767"/>
      <c r="J735" s="1187">
        <v>0</v>
      </c>
      <c r="K735" s="1188">
        <v>-0.64</v>
      </c>
    </row>
    <row r="736" spans="1:11" ht="20.399999999999999" x14ac:dyDescent="0.3">
      <c r="A736" s="761" t="s">
        <v>201</v>
      </c>
      <c r="B736" s="765">
        <v>2020</v>
      </c>
      <c r="C736" s="761" t="s">
        <v>2345</v>
      </c>
      <c r="D736" s="761" t="s">
        <v>2065</v>
      </c>
      <c r="E736" s="761" t="s">
        <v>796</v>
      </c>
      <c r="F736" s="1187">
        <v>-9416.9699999999993</v>
      </c>
      <c r="G736" s="766"/>
      <c r="H736" s="767"/>
      <c r="I736" s="767"/>
      <c r="J736" s="1187">
        <v>0</v>
      </c>
      <c r="K736" s="1188">
        <v>-9416.9699999999993</v>
      </c>
    </row>
    <row r="737" spans="1:11" ht="20.399999999999999" x14ac:dyDescent="0.3">
      <c r="A737" s="761" t="s">
        <v>201</v>
      </c>
      <c r="B737" s="765">
        <v>2020</v>
      </c>
      <c r="C737" s="761" t="s">
        <v>2345</v>
      </c>
      <c r="D737" s="761" t="s">
        <v>2066</v>
      </c>
      <c r="E737" s="761" t="s">
        <v>796</v>
      </c>
      <c r="F737" s="1187">
        <v>-617889.85</v>
      </c>
      <c r="G737" s="766"/>
      <c r="H737" s="767"/>
      <c r="I737" s="767"/>
      <c r="J737" s="1187">
        <v>0</v>
      </c>
      <c r="K737" s="1188">
        <v>-617889.85</v>
      </c>
    </row>
    <row r="738" spans="1:11" ht="30.6" x14ac:dyDescent="0.3">
      <c r="A738" s="761" t="s">
        <v>201</v>
      </c>
      <c r="B738" s="765">
        <v>2020</v>
      </c>
      <c r="C738" s="761" t="s">
        <v>2346</v>
      </c>
      <c r="D738" s="761" t="s">
        <v>43</v>
      </c>
      <c r="E738" s="761" t="s">
        <v>797</v>
      </c>
      <c r="F738" s="1187">
        <v>-622895.49</v>
      </c>
      <c r="G738" s="761" t="s">
        <v>631</v>
      </c>
      <c r="H738" s="1187">
        <v>-609389.625</v>
      </c>
      <c r="I738" s="1187">
        <v>-13505.8798828125</v>
      </c>
      <c r="J738" s="1187">
        <v>-622895.5</v>
      </c>
      <c r="K738" s="1188">
        <v>-622895.49</v>
      </c>
    </row>
    <row r="739" spans="1:11" ht="30.6" x14ac:dyDescent="0.3">
      <c r="A739" s="761" t="s">
        <v>201</v>
      </c>
      <c r="B739" s="765">
        <v>2020</v>
      </c>
      <c r="C739" s="761" t="s">
        <v>2347</v>
      </c>
      <c r="D739" s="761" t="s">
        <v>44</v>
      </c>
      <c r="E739" s="761" t="s">
        <v>798</v>
      </c>
      <c r="F739" s="1187">
        <v>-5268148.22</v>
      </c>
      <c r="G739" s="761" t="s">
        <v>631</v>
      </c>
      <c r="H739" s="1187">
        <v>-5195314</v>
      </c>
      <c r="I739" s="1187">
        <v>-72833.96875</v>
      </c>
      <c r="J739" s="1187">
        <v>-5268148</v>
      </c>
      <c r="K739" s="1188">
        <v>-5268148.22</v>
      </c>
    </row>
    <row r="740" spans="1:11" ht="30.6" x14ac:dyDescent="0.3">
      <c r="A740" s="761" t="s">
        <v>201</v>
      </c>
      <c r="B740" s="765">
        <v>2020</v>
      </c>
      <c r="C740" s="761" t="s">
        <v>2348</v>
      </c>
      <c r="D740" s="761" t="s">
        <v>46</v>
      </c>
      <c r="E740" s="761" t="s">
        <v>799</v>
      </c>
      <c r="F740" s="1187">
        <v>3008463.07</v>
      </c>
      <c r="G740" s="761" t="s">
        <v>631</v>
      </c>
      <c r="H740" s="1187">
        <v>2948576</v>
      </c>
      <c r="I740" s="1187">
        <v>59887.0703125</v>
      </c>
      <c r="J740" s="1187">
        <v>3008463</v>
      </c>
      <c r="K740" s="1188">
        <v>3008463.07</v>
      </c>
    </row>
    <row r="741" spans="1:11" ht="20.399999999999999" x14ac:dyDescent="0.3">
      <c r="A741" s="761" t="s">
        <v>201</v>
      </c>
      <c r="B741" s="765">
        <v>2020</v>
      </c>
      <c r="C741" s="761" t="s">
        <v>2349</v>
      </c>
      <c r="D741" s="761" t="s">
        <v>339</v>
      </c>
      <c r="E741" s="761" t="s">
        <v>800</v>
      </c>
      <c r="F741" s="1187">
        <v>1919514.1</v>
      </c>
      <c r="G741" s="761" t="s">
        <v>631</v>
      </c>
      <c r="H741" s="1187">
        <v>1826352.375</v>
      </c>
      <c r="I741" s="1187">
        <v>93161.7265625</v>
      </c>
      <c r="J741" s="1187">
        <v>1919514.125</v>
      </c>
      <c r="K741" s="1188">
        <v>1919514.1</v>
      </c>
    </row>
    <row r="742" spans="1:11" ht="40.799999999999997" x14ac:dyDescent="0.3">
      <c r="A742" s="761" t="s">
        <v>201</v>
      </c>
      <c r="B742" s="765">
        <v>2020</v>
      </c>
      <c r="C742" s="761" t="s">
        <v>2350</v>
      </c>
      <c r="D742" s="761" t="s">
        <v>633</v>
      </c>
      <c r="E742" s="761" t="s">
        <v>1150</v>
      </c>
      <c r="F742" s="1187">
        <v>0</v>
      </c>
      <c r="G742" s="761" t="s">
        <v>631</v>
      </c>
      <c r="H742" s="767"/>
      <c r="I742" s="767"/>
      <c r="J742" s="1187">
        <v>0</v>
      </c>
      <c r="K742" s="1188">
        <v>0</v>
      </c>
    </row>
    <row r="743" spans="1:11" ht="40.799999999999997" x14ac:dyDescent="0.3">
      <c r="A743" s="761" t="s">
        <v>201</v>
      </c>
      <c r="B743" s="765">
        <v>2020</v>
      </c>
      <c r="C743" s="761" t="s">
        <v>2350</v>
      </c>
      <c r="D743" s="761" t="s">
        <v>634</v>
      </c>
      <c r="E743" s="761" t="s">
        <v>1151</v>
      </c>
      <c r="F743" s="1187">
        <v>0</v>
      </c>
      <c r="G743" s="761" t="s">
        <v>631</v>
      </c>
      <c r="H743" s="767"/>
      <c r="I743" s="767"/>
      <c r="J743" s="1187">
        <v>0</v>
      </c>
      <c r="K743" s="1188">
        <v>0</v>
      </c>
    </row>
    <row r="744" spans="1:11" ht="40.799999999999997" x14ac:dyDescent="0.3">
      <c r="A744" s="761" t="s">
        <v>201</v>
      </c>
      <c r="B744" s="765">
        <v>2020</v>
      </c>
      <c r="C744" s="761" t="s">
        <v>2350</v>
      </c>
      <c r="D744" s="761" t="s">
        <v>635</v>
      </c>
      <c r="E744" s="761" t="s">
        <v>1152</v>
      </c>
      <c r="F744" s="1187">
        <v>0</v>
      </c>
      <c r="G744" s="761" t="s">
        <v>631</v>
      </c>
      <c r="H744" s="767"/>
      <c r="I744" s="767"/>
      <c r="J744" s="1187">
        <v>0</v>
      </c>
      <c r="K744" s="1188">
        <v>0</v>
      </c>
    </row>
    <row r="745" spans="1:11" ht="40.799999999999997" x14ac:dyDescent="0.3">
      <c r="A745" s="761" t="s">
        <v>201</v>
      </c>
      <c r="B745" s="765">
        <v>2020</v>
      </c>
      <c r="C745" s="761" t="s">
        <v>2350</v>
      </c>
      <c r="D745" s="761" t="s">
        <v>636</v>
      </c>
      <c r="E745" s="761" t="s">
        <v>1153</v>
      </c>
      <c r="F745" s="1187">
        <v>0</v>
      </c>
      <c r="G745" s="761" t="s">
        <v>631</v>
      </c>
      <c r="H745" s="767"/>
      <c r="I745" s="767"/>
      <c r="J745" s="1187">
        <v>0</v>
      </c>
      <c r="K745" s="1188">
        <v>0</v>
      </c>
    </row>
    <row r="746" spans="1:11" ht="40.799999999999997" x14ac:dyDescent="0.3">
      <c r="A746" s="761" t="s">
        <v>201</v>
      </c>
      <c r="B746" s="765">
        <v>2020</v>
      </c>
      <c r="C746" s="761" t="s">
        <v>2350</v>
      </c>
      <c r="D746" s="761" t="s">
        <v>637</v>
      </c>
      <c r="E746" s="761" t="s">
        <v>1154</v>
      </c>
      <c r="F746" s="1187">
        <v>0</v>
      </c>
      <c r="G746" s="761" t="s">
        <v>631</v>
      </c>
      <c r="H746" s="767"/>
      <c r="I746" s="767"/>
      <c r="J746" s="1187">
        <v>0</v>
      </c>
      <c r="K746" s="1188">
        <v>0</v>
      </c>
    </row>
    <row r="747" spans="1:11" ht="40.799999999999997" x14ac:dyDescent="0.3">
      <c r="A747" s="761" t="s">
        <v>201</v>
      </c>
      <c r="B747" s="765">
        <v>2020</v>
      </c>
      <c r="C747" s="761" t="s">
        <v>2350</v>
      </c>
      <c r="D747" s="761" t="s">
        <v>638</v>
      </c>
      <c r="E747" s="761" t="s">
        <v>1155</v>
      </c>
      <c r="F747" s="1187">
        <v>0</v>
      </c>
      <c r="G747" s="761" t="s">
        <v>631</v>
      </c>
      <c r="H747" s="767"/>
      <c r="I747" s="767"/>
      <c r="J747" s="1187">
        <v>0</v>
      </c>
      <c r="K747" s="1188">
        <v>0</v>
      </c>
    </row>
    <row r="748" spans="1:11" ht="40.799999999999997" x14ac:dyDescent="0.3">
      <c r="A748" s="761" t="s">
        <v>201</v>
      </c>
      <c r="B748" s="765">
        <v>2020</v>
      </c>
      <c r="C748" s="761" t="s">
        <v>2350</v>
      </c>
      <c r="D748" s="761" t="s">
        <v>639</v>
      </c>
      <c r="E748" s="761" t="s">
        <v>1156</v>
      </c>
      <c r="F748" s="1187">
        <v>0</v>
      </c>
      <c r="G748" s="761" t="s">
        <v>631</v>
      </c>
      <c r="H748" s="1187">
        <v>-90122.5234375</v>
      </c>
      <c r="I748" s="1187">
        <v>-5221.080078125</v>
      </c>
      <c r="J748" s="1187">
        <v>-95343.6015625</v>
      </c>
      <c r="K748" s="1188">
        <v>-95343.6</v>
      </c>
    </row>
    <row r="749" spans="1:11" ht="40.799999999999997" x14ac:dyDescent="0.3">
      <c r="A749" s="761" t="s">
        <v>201</v>
      </c>
      <c r="B749" s="765">
        <v>2020</v>
      </c>
      <c r="C749" s="761" t="s">
        <v>2350</v>
      </c>
      <c r="D749" s="761" t="s">
        <v>1613</v>
      </c>
      <c r="E749" s="761" t="s">
        <v>1976</v>
      </c>
      <c r="F749" s="1187">
        <v>0</v>
      </c>
      <c r="G749" s="761" t="s">
        <v>631</v>
      </c>
      <c r="H749" s="767"/>
      <c r="I749" s="767"/>
      <c r="J749" s="1187">
        <v>0</v>
      </c>
      <c r="K749" s="1188">
        <v>0</v>
      </c>
    </row>
    <row r="750" spans="1:11" ht="40.799999999999997" x14ac:dyDescent="0.3">
      <c r="A750" s="761" t="s">
        <v>201</v>
      </c>
      <c r="B750" s="765">
        <v>2020</v>
      </c>
      <c r="C750" s="761" t="s">
        <v>2350</v>
      </c>
      <c r="D750" s="761" t="s">
        <v>2067</v>
      </c>
      <c r="E750" s="761" t="s">
        <v>2089</v>
      </c>
      <c r="F750" s="1187">
        <v>0</v>
      </c>
      <c r="G750" s="761" t="s">
        <v>631</v>
      </c>
      <c r="H750" s="1187">
        <v>91296.9765625</v>
      </c>
      <c r="I750" s="1187">
        <v>-26687.6796875</v>
      </c>
      <c r="J750" s="1187">
        <v>64609.30078125</v>
      </c>
      <c r="K750" s="1188">
        <v>64609.3</v>
      </c>
    </row>
    <row r="751" spans="1:11" ht="40.799999999999997" x14ac:dyDescent="0.3">
      <c r="A751" s="761" t="s">
        <v>201</v>
      </c>
      <c r="B751" s="765">
        <v>2020</v>
      </c>
      <c r="C751" s="761" t="s">
        <v>2350</v>
      </c>
      <c r="D751" s="761" t="s">
        <v>3762</v>
      </c>
      <c r="E751" s="761" t="s">
        <v>4346</v>
      </c>
      <c r="F751" s="1187">
        <v>0</v>
      </c>
      <c r="G751" s="761" t="s">
        <v>631</v>
      </c>
      <c r="H751" s="1187">
        <v>-188153.90625</v>
      </c>
      <c r="I751" s="1187">
        <v>-312860.1875</v>
      </c>
      <c r="J751" s="1187">
        <v>-501014.09375</v>
      </c>
      <c r="K751" s="1188">
        <v>-501014.09</v>
      </c>
    </row>
    <row r="752" spans="1:11" ht="40.799999999999997" x14ac:dyDescent="0.3">
      <c r="A752" s="761" t="s">
        <v>201</v>
      </c>
      <c r="B752" s="765">
        <v>2020</v>
      </c>
      <c r="C752" s="761" t="s">
        <v>2350</v>
      </c>
      <c r="D752" s="761" t="s">
        <v>4844</v>
      </c>
      <c r="E752" s="761" t="s">
        <v>5801</v>
      </c>
      <c r="F752" s="1187">
        <v>0</v>
      </c>
      <c r="G752" s="761" t="s">
        <v>631</v>
      </c>
      <c r="H752" s="1187">
        <v>-272592.3125</v>
      </c>
      <c r="I752" s="1187">
        <v>-425399.375</v>
      </c>
      <c r="J752" s="1187">
        <v>-697991.6875</v>
      </c>
      <c r="K752" s="1188">
        <v>-697991.7</v>
      </c>
    </row>
    <row r="753" spans="1:11" ht="40.799999999999997" x14ac:dyDescent="0.3">
      <c r="A753" s="761" t="s">
        <v>201</v>
      </c>
      <c r="B753" s="765">
        <v>2020</v>
      </c>
      <c r="C753" s="761" t="s">
        <v>2350</v>
      </c>
      <c r="D753" s="761" t="s">
        <v>7101</v>
      </c>
      <c r="E753" s="761" t="s">
        <v>7168</v>
      </c>
      <c r="F753" s="1187">
        <v>0</v>
      </c>
      <c r="G753" s="761" t="s">
        <v>631</v>
      </c>
      <c r="H753" s="1187">
        <v>247684.015625</v>
      </c>
      <c r="I753" s="1187">
        <v>-248537.4375</v>
      </c>
      <c r="J753" s="1187">
        <v>-853.41998291015602</v>
      </c>
      <c r="K753" s="1188">
        <v>-853.42000000001303</v>
      </c>
    </row>
    <row r="754" spans="1:11" ht="40.799999999999997" x14ac:dyDescent="0.3">
      <c r="A754" s="761" t="s">
        <v>201</v>
      </c>
      <c r="B754" s="765">
        <v>2020</v>
      </c>
      <c r="C754" s="761" t="s">
        <v>2350</v>
      </c>
      <c r="D754" s="761" t="s">
        <v>640</v>
      </c>
      <c r="E754" s="761" t="s">
        <v>1365</v>
      </c>
      <c r="F754" s="1187">
        <v>-1230593.51</v>
      </c>
      <c r="G754" s="766"/>
      <c r="H754" s="767"/>
      <c r="I754" s="767"/>
      <c r="J754" s="1187">
        <v>0</v>
      </c>
      <c r="K754" s="1188">
        <v>-1230593.51</v>
      </c>
    </row>
    <row r="755" spans="1:11" x14ac:dyDescent="0.3">
      <c r="A755" s="761" t="s">
        <v>602</v>
      </c>
      <c r="B755" s="765">
        <v>2020</v>
      </c>
      <c r="C755" s="761" t="s">
        <v>2342</v>
      </c>
      <c r="D755" s="761" t="s">
        <v>45</v>
      </c>
      <c r="E755" s="761" t="s">
        <v>801</v>
      </c>
      <c r="F755" s="1187">
        <v>1783915.37</v>
      </c>
      <c r="G755" s="761" t="s">
        <v>631</v>
      </c>
      <c r="H755" s="1187">
        <v>1707949.625</v>
      </c>
      <c r="I755" s="1187">
        <v>75965.6875</v>
      </c>
      <c r="J755" s="1187">
        <v>1783915.375</v>
      </c>
      <c r="K755" s="1188">
        <v>1783915.37</v>
      </c>
    </row>
    <row r="756" spans="1:11" ht="30.6" x14ac:dyDescent="0.3">
      <c r="A756" s="761" t="s">
        <v>602</v>
      </c>
      <c r="B756" s="765">
        <v>2020</v>
      </c>
      <c r="C756" s="761" t="s">
        <v>2343</v>
      </c>
      <c r="D756" s="761" t="s">
        <v>632</v>
      </c>
      <c r="E756" s="761" t="s">
        <v>802</v>
      </c>
      <c r="F756" s="1187">
        <v>-43904.42</v>
      </c>
      <c r="G756" s="761" t="s">
        <v>631</v>
      </c>
      <c r="H756" s="1187">
        <v>-42302.6015625</v>
      </c>
      <c r="I756" s="1187">
        <v>-1601.81994628906</v>
      </c>
      <c r="J756" s="1187">
        <v>-43904.421875</v>
      </c>
      <c r="K756" s="1188">
        <v>-43904.42</v>
      </c>
    </row>
    <row r="757" spans="1:11" ht="20.399999999999999" x14ac:dyDescent="0.3">
      <c r="A757" s="761" t="s">
        <v>602</v>
      </c>
      <c r="B757" s="765">
        <v>2020</v>
      </c>
      <c r="C757" s="761" t="s">
        <v>2344</v>
      </c>
      <c r="D757" s="761" t="s">
        <v>452</v>
      </c>
      <c r="E757" s="761" t="s">
        <v>803</v>
      </c>
      <c r="F757" s="1187">
        <v>-22089</v>
      </c>
      <c r="G757" s="766"/>
      <c r="H757" s="767"/>
      <c r="I757" s="767"/>
      <c r="J757" s="1187">
        <v>0</v>
      </c>
      <c r="K757" s="1188">
        <v>-22089</v>
      </c>
    </row>
    <row r="758" spans="1:11" ht="20.399999999999999" x14ac:dyDescent="0.3">
      <c r="A758" s="761" t="s">
        <v>602</v>
      </c>
      <c r="B758" s="765">
        <v>2020</v>
      </c>
      <c r="C758" s="761" t="s">
        <v>2345</v>
      </c>
      <c r="D758" s="761" t="s">
        <v>42</v>
      </c>
      <c r="E758" s="761" t="s">
        <v>804</v>
      </c>
      <c r="F758" s="1187">
        <v>-748655.52</v>
      </c>
      <c r="G758" s="761" t="s">
        <v>631</v>
      </c>
      <c r="H758" s="1187">
        <v>-698040.375</v>
      </c>
      <c r="I758" s="1187">
        <v>-50615.1484375</v>
      </c>
      <c r="J758" s="1187">
        <v>-748655.5</v>
      </c>
      <c r="K758" s="1188">
        <v>-748655.52</v>
      </c>
    </row>
    <row r="759" spans="1:11" ht="20.399999999999999" x14ac:dyDescent="0.3">
      <c r="A759" s="761" t="s">
        <v>602</v>
      </c>
      <c r="B759" s="765">
        <v>2020</v>
      </c>
      <c r="C759" s="761" t="s">
        <v>2345</v>
      </c>
      <c r="D759" s="761" t="s">
        <v>2063</v>
      </c>
      <c r="E759" s="761" t="s">
        <v>804</v>
      </c>
      <c r="F759" s="1187">
        <v>6.8</v>
      </c>
      <c r="G759" s="766"/>
      <c r="H759" s="767"/>
      <c r="I759" s="767"/>
      <c r="J759" s="1187">
        <v>0</v>
      </c>
      <c r="K759" s="1188">
        <v>6.8</v>
      </c>
    </row>
    <row r="760" spans="1:11" ht="20.399999999999999" x14ac:dyDescent="0.3">
      <c r="A760" s="761" t="s">
        <v>602</v>
      </c>
      <c r="B760" s="765">
        <v>2020</v>
      </c>
      <c r="C760" s="761" t="s">
        <v>2345</v>
      </c>
      <c r="D760" s="761" t="s">
        <v>2064</v>
      </c>
      <c r="E760" s="761" t="s">
        <v>804</v>
      </c>
      <c r="F760" s="1187">
        <v>-17.09</v>
      </c>
      <c r="G760" s="766"/>
      <c r="H760" s="767"/>
      <c r="I760" s="767"/>
      <c r="J760" s="1187">
        <v>0</v>
      </c>
      <c r="K760" s="1188">
        <v>-17.09</v>
      </c>
    </row>
    <row r="761" spans="1:11" ht="20.399999999999999" x14ac:dyDescent="0.3">
      <c r="A761" s="761" t="s">
        <v>602</v>
      </c>
      <c r="B761" s="765">
        <v>2020</v>
      </c>
      <c r="C761" s="761" t="s">
        <v>2345</v>
      </c>
      <c r="D761" s="761" t="s">
        <v>2065</v>
      </c>
      <c r="E761" s="761" t="s">
        <v>804</v>
      </c>
      <c r="F761" s="1187">
        <v>-1201.24</v>
      </c>
      <c r="G761" s="766"/>
      <c r="H761" s="767"/>
      <c r="I761" s="767"/>
      <c r="J761" s="1187">
        <v>0</v>
      </c>
      <c r="K761" s="1188">
        <v>-1201.24</v>
      </c>
    </row>
    <row r="762" spans="1:11" ht="20.399999999999999" x14ac:dyDescent="0.3">
      <c r="A762" s="761" t="s">
        <v>602</v>
      </c>
      <c r="B762" s="765">
        <v>2020</v>
      </c>
      <c r="C762" s="761" t="s">
        <v>2345</v>
      </c>
      <c r="D762" s="761" t="s">
        <v>2066</v>
      </c>
      <c r="E762" s="761" t="s">
        <v>804</v>
      </c>
      <c r="F762" s="1187">
        <v>-48371.72</v>
      </c>
      <c r="G762" s="766"/>
      <c r="H762" s="767"/>
      <c r="I762" s="767"/>
      <c r="J762" s="1187">
        <v>0</v>
      </c>
      <c r="K762" s="1188">
        <v>-48371.72</v>
      </c>
    </row>
    <row r="763" spans="1:11" ht="30.6" x14ac:dyDescent="0.3">
      <c r="A763" s="761" t="s">
        <v>602</v>
      </c>
      <c r="B763" s="765">
        <v>2020</v>
      </c>
      <c r="C763" s="761" t="s">
        <v>2346</v>
      </c>
      <c r="D763" s="761" t="s">
        <v>43</v>
      </c>
      <c r="E763" s="761" t="s">
        <v>805</v>
      </c>
      <c r="F763" s="1187">
        <v>1764531.27</v>
      </c>
      <c r="G763" s="761" t="s">
        <v>631</v>
      </c>
      <c r="H763" s="1187">
        <v>1689519.375</v>
      </c>
      <c r="I763" s="1187">
        <v>75011.9296875</v>
      </c>
      <c r="J763" s="1187">
        <v>1764531.25</v>
      </c>
      <c r="K763" s="1188">
        <v>1764531.27</v>
      </c>
    </row>
    <row r="764" spans="1:11" ht="30.6" x14ac:dyDescent="0.3">
      <c r="A764" s="761" t="s">
        <v>602</v>
      </c>
      <c r="B764" s="765">
        <v>2020</v>
      </c>
      <c r="C764" s="761" t="s">
        <v>2347</v>
      </c>
      <c r="D764" s="761" t="s">
        <v>44</v>
      </c>
      <c r="E764" s="761" t="s">
        <v>806</v>
      </c>
      <c r="F764" s="1187">
        <v>1652143.31</v>
      </c>
      <c r="G764" s="761" t="s">
        <v>631</v>
      </c>
      <c r="H764" s="1187">
        <v>1582535.75</v>
      </c>
      <c r="I764" s="1187">
        <v>69607.5</v>
      </c>
      <c r="J764" s="1187">
        <v>1652143.25</v>
      </c>
      <c r="K764" s="1188">
        <v>1652143.31</v>
      </c>
    </row>
    <row r="765" spans="1:11" ht="30.6" x14ac:dyDescent="0.3">
      <c r="A765" s="761" t="s">
        <v>602</v>
      </c>
      <c r="B765" s="765">
        <v>2020</v>
      </c>
      <c r="C765" s="761" t="s">
        <v>2348</v>
      </c>
      <c r="D765" s="761" t="s">
        <v>46</v>
      </c>
      <c r="E765" s="761" t="s">
        <v>807</v>
      </c>
      <c r="F765" s="1187">
        <v>-1045862.53</v>
      </c>
      <c r="G765" s="761" t="s">
        <v>631</v>
      </c>
      <c r="H765" s="1187">
        <v>-1001147.3125</v>
      </c>
      <c r="I765" s="1187">
        <v>-44715.19921875</v>
      </c>
      <c r="J765" s="1187">
        <v>-1045862.5</v>
      </c>
      <c r="K765" s="1188">
        <v>-1045862.53</v>
      </c>
    </row>
    <row r="766" spans="1:11" ht="20.399999999999999" x14ac:dyDescent="0.3">
      <c r="A766" s="761" t="s">
        <v>602</v>
      </c>
      <c r="B766" s="765">
        <v>2020</v>
      </c>
      <c r="C766" s="761" t="s">
        <v>2349</v>
      </c>
      <c r="D766" s="761" t="s">
        <v>339</v>
      </c>
      <c r="E766" s="761" t="s">
        <v>808</v>
      </c>
      <c r="F766" s="1187">
        <v>2107879.7799999998</v>
      </c>
      <c r="G766" s="761" t="s">
        <v>631</v>
      </c>
      <c r="H766" s="1187">
        <v>2038364.125</v>
      </c>
      <c r="I766" s="1187">
        <v>69515.703125</v>
      </c>
      <c r="J766" s="1187">
        <v>2107879.75</v>
      </c>
      <c r="K766" s="1188">
        <v>2107879.7799999998</v>
      </c>
    </row>
    <row r="767" spans="1:11" ht="40.799999999999997" x14ac:dyDescent="0.3">
      <c r="A767" s="761" t="s">
        <v>602</v>
      </c>
      <c r="B767" s="765">
        <v>2020</v>
      </c>
      <c r="C767" s="761" t="s">
        <v>2350</v>
      </c>
      <c r="D767" s="761" t="s">
        <v>633</v>
      </c>
      <c r="E767" s="761" t="s">
        <v>1157</v>
      </c>
      <c r="F767" s="1187">
        <v>0</v>
      </c>
      <c r="G767" s="761" t="s">
        <v>631</v>
      </c>
      <c r="H767" s="767"/>
      <c r="I767" s="767"/>
      <c r="J767" s="1187">
        <v>0</v>
      </c>
      <c r="K767" s="1188">
        <v>0</v>
      </c>
    </row>
    <row r="768" spans="1:11" ht="40.799999999999997" x14ac:dyDescent="0.3">
      <c r="A768" s="761" t="s">
        <v>602</v>
      </c>
      <c r="B768" s="765">
        <v>2020</v>
      </c>
      <c r="C768" s="761" t="s">
        <v>2350</v>
      </c>
      <c r="D768" s="761" t="s">
        <v>634</v>
      </c>
      <c r="E768" s="761" t="s">
        <v>1158</v>
      </c>
      <c r="F768" s="1187">
        <v>0</v>
      </c>
      <c r="G768" s="761" t="s">
        <v>631</v>
      </c>
      <c r="H768" s="767"/>
      <c r="I768" s="767"/>
      <c r="J768" s="1187">
        <v>0</v>
      </c>
      <c r="K768" s="1188">
        <v>0</v>
      </c>
    </row>
    <row r="769" spans="1:11" ht="40.799999999999997" x14ac:dyDescent="0.3">
      <c r="A769" s="761" t="s">
        <v>602</v>
      </c>
      <c r="B769" s="765">
        <v>2020</v>
      </c>
      <c r="C769" s="761" t="s">
        <v>2350</v>
      </c>
      <c r="D769" s="761" t="s">
        <v>635</v>
      </c>
      <c r="E769" s="761" t="s">
        <v>1159</v>
      </c>
      <c r="F769" s="1187">
        <v>0</v>
      </c>
      <c r="G769" s="761" t="s">
        <v>631</v>
      </c>
      <c r="H769" s="767"/>
      <c r="I769" s="767"/>
      <c r="J769" s="1187">
        <v>0</v>
      </c>
      <c r="K769" s="1188">
        <v>0</v>
      </c>
    </row>
    <row r="770" spans="1:11" ht="40.799999999999997" x14ac:dyDescent="0.3">
      <c r="A770" s="761" t="s">
        <v>602</v>
      </c>
      <c r="B770" s="765">
        <v>2020</v>
      </c>
      <c r="C770" s="761" t="s">
        <v>2350</v>
      </c>
      <c r="D770" s="761" t="s">
        <v>636</v>
      </c>
      <c r="E770" s="761" t="s">
        <v>1160</v>
      </c>
      <c r="F770" s="1187">
        <v>0</v>
      </c>
      <c r="G770" s="761" t="s">
        <v>631</v>
      </c>
      <c r="H770" s="767"/>
      <c r="I770" s="767"/>
      <c r="J770" s="1187">
        <v>0</v>
      </c>
      <c r="K770" s="1188">
        <v>0</v>
      </c>
    </row>
    <row r="771" spans="1:11" ht="40.799999999999997" x14ac:dyDescent="0.3">
      <c r="A771" s="761" t="s">
        <v>602</v>
      </c>
      <c r="B771" s="765">
        <v>2020</v>
      </c>
      <c r="C771" s="761" t="s">
        <v>2350</v>
      </c>
      <c r="D771" s="761" t="s">
        <v>637</v>
      </c>
      <c r="E771" s="761" t="s">
        <v>1161</v>
      </c>
      <c r="F771" s="1187">
        <v>0</v>
      </c>
      <c r="G771" s="761" t="s">
        <v>631</v>
      </c>
      <c r="H771" s="767"/>
      <c r="I771" s="1187">
        <v>13231.08984375</v>
      </c>
      <c r="J771" s="1187">
        <v>13231.08984375</v>
      </c>
      <c r="K771" s="1188">
        <v>13231.09</v>
      </c>
    </row>
    <row r="772" spans="1:11" ht="40.799999999999997" x14ac:dyDescent="0.3">
      <c r="A772" s="761" t="s">
        <v>602</v>
      </c>
      <c r="B772" s="765">
        <v>2020</v>
      </c>
      <c r="C772" s="761" t="s">
        <v>2350</v>
      </c>
      <c r="D772" s="761" t="s">
        <v>638</v>
      </c>
      <c r="E772" s="761" t="s">
        <v>1162</v>
      </c>
      <c r="F772" s="1187">
        <v>0</v>
      </c>
      <c r="G772" s="761" t="s">
        <v>631</v>
      </c>
      <c r="H772" s="767"/>
      <c r="I772" s="1187">
        <v>139.58999633789099</v>
      </c>
      <c r="J772" s="1187">
        <v>139.58999633789099</v>
      </c>
      <c r="K772" s="1188">
        <v>139.59</v>
      </c>
    </row>
    <row r="773" spans="1:11" ht="40.799999999999997" x14ac:dyDescent="0.3">
      <c r="A773" s="761" t="s">
        <v>602</v>
      </c>
      <c r="B773" s="765">
        <v>2020</v>
      </c>
      <c r="C773" s="761" t="s">
        <v>2350</v>
      </c>
      <c r="D773" s="761" t="s">
        <v>639</v>
      </c>
      <c r="E773" s="761" t="s">
        <v>1163</v>
      </c>
      <c r="F773" s="1187">
        <v>0</v>
      </c>
      <c r="G773" s="761" t="s">
        <v>631</v>
      </c>
      <c r="H773" s="767"/>
      <c r="I773" s="767"/>
      <c r="J773" s="1187">
        <v>0</v>
      </c>
      <c r="K773" s="1188">
        <v>0</v>
      </c>
    </row>
    <row r="774" spans="1:11" ht="40.799999999999997" x14ac:dyDescent="0.3">
      <c r="A774" s="761" t="s">
        <v>602</v>
      </c>
      <c r="B774" s="765">
        <v>2020</v>
      </c>
      <c r="C774" s="761" t="s">
        <v>2350</v>
      </c>
      <c r="D774" s="761" t="s">
        <v>1613</v>
      </c>
      <c r="E774" s="761" t="s">
        <v>1977</v>
      </c>
      <c r="F774" s="1187">
        <v>0</v>
      </c>
      <c r="G774" s="761" t="s">
        <v>631</v>
      </c>
      <c r="H774" s="1187">
        <v>-126863.0625</v>
      </c>
      <c r="I774" s="1187">
        <v>22314.5703125</v>
      </c>
      <c r="J774" s="1187">
        <v>-104548.4921875</v>
      </c>
      <c r="K774" s="1188">
        <v>-104548.49</v>
      </c>
    </row>
    <row r="775" spans="1:11" ht="40.799999999999997" x14ac:dyDescent="0.3">
      <c r="A775" s="761" t="s">
        <v>602</v>
      </c>
      <c r="B775" s="765">
        <v>2020</v>
      </c>
      <c r="C775" s="761" t="s">
        <v>2350</v>
      </c>
      <c r="D775" s="761" t="s">
        <v>2067</v>
      </c>
      <c r="E775" s="761" t="s">
        <v>2090</v>
      </c>
      <c r="F775" s="1187">
        <v>0</v>
      </c>
      <c r="G775" s="761" t="s">
        <v>631</v>
      </c>
      <c r="H775" s="1187">
        <v>-353673.25</v>
      </c>
      <c r="I775" s="1187">
        <v>-92753.2734375</v>
      </c>
      <c r="J775" s="1187">
        <v>-446426.53125</v>
      </c>
      <c r="K775" s="1188">
        <v>-446426.53</v>
      </c>
    </row>
    <row r="776" spans="1:11" ht="40.799999999999997" x14ac:dyDescent="0.3">
      <c r="A776" s="761" t="s">
        <v>602</v>
      </c>
      <c r="B776" s="765">
        <v>2020</v>
      </c>
      <c r="C776" s="761" t="s">
        <v>2350</v>
      </c>
      <c r="D776" s="761" t="s">
        <v>3762</v>
      </c>
      <c r="E776" s="761" t="s">
        <v>4347</v>
      </c>
      <c r="F776" s="1187">
        <v>0</v>
      </c>
      <c r="G776" s="761" t="s">
        <v>631</v>
      </c>
      <c r="H776" s="1187">
        <v>1301.11999511719</v>
      </c>
      <c r="I776" s="1187">
        <v>53995.421875</v>
      </c>
      <c r="J776" s="1187">
        <v>55296.5390625</v>
      </c>
      <c r="K776" s="1188">
        <v>55296.54</v>
      </c>
    </row>
    <row r="777" spans="1:11" ht="40.799999999999997" x14ac:dyDescent="0.3">
      <c r="A777" s="761" t="s">
        <v>602</v>
      </c>
      <c r="B777" s="765">
        <v>2020</v>
      </c>
      <c r="C777" s="761" t="s">
        <v>2350</v>
      </c>
      <c r="D777" s="761" t="s">
        <v>4844</v>
      </c>
      <c r="E777" s="761" t="s">
        <v>5802</v>
      </c>
      <c r="F777" s="1187">
        <v>0</v>
      </c>
      <c r="G777" s="761" t="s">
        <v>631</v>
      </c>
      <c r="H777" s="767"/>
      <c r="I777" s="767"/>
      <c r="J777" s="1187">
        <v>0</v>
      </c>
      <c r="K777" s="1188">
        <v>0</v>
      </c>
    </row>
    <row r="778" spans="1:11" ht="40.799999999999997" x14ac:dyDescent="0.3">
      <c r="A778" s="761" t="s">
        <v>602</v>
      </c>
      <c r="B778" s="765">
        <v>2020</v>
      </c>
      <c r="C778" s="761" t="s">
        <v>2350</v>
      </c>
      <c r="D778" s="761" t="s">
        <v>7101</v>
      </c>
      <c r="E778" s="761" t="s">
        <v>7169</v>
      </c>
      <c r="F778" s="1187">
        <v>0</v>
      </c>
      <c r="G778" s="761" t="s">
        <v>631</v>
      </c>
      <c r="H778" s="767"/>
      <c r="I778" s="767"/>
      <c r="J778" s="1187">
        <v>0</v>
      </c>
      <c r="K778" s="1188">
        <v>0</v>
      </c>
    </row>
    <row r="779" spans="1:11" ht="40.799999999999997" x14ac:dyDescent="0.3">
      <c r="A779" s="761" t="s">
        <v>602</v>
      </c>
      <c r="B779" s="765">
        <v>2020</v>
      </c>
      <c r="C779" s="761" t="s">
        <v>2350</v>
      </c>
      <c r="D779" s="761" t="s">
        <v>640</v>
      </c>
      <c r="E779" s="761" t="s">
        <v>1366</v>
      </c>
      <c r="F779" s="1187">
        <v>-482307.8</v>
      </c>
      <c r="G779" s="766"/>
      <c r="H779" s="767"/>
      <c r="I779" s="767"/>
      <c r="J779" s="1187">
        <v>0</v>
      </c>
      <c r="K779" s="1188">
        <v>-482307.8</v>
      </c>
    </row>
    <row r="780" spans="1:11" x14ac:dyDescent="0.3">
      <c r="A780" s="761" t="s">
        <v>159</v>
      </c>
      <c r="B780" s="765">
        <v>2020</v>
      </c>
      <c r="C780" s="761" t="s">
        <v>2342</v>
      </c>
      <c r="D780" s="761" t="s">
        <v>45</v>
      </c>
      <c r="E780" s="761" t="s">
        <v>809</v>
      </c>
      <c r="F780" s="1187">
        <v>211311.48</v>
      </c>
      <c r="G780" s="761" t="s">
        <v>631</v>
      </c>
      <c r="H780" s="1187">
        <v>213314.890625</v>
      </c>
      <c r="I780" s="1187">
        <v>-2003.41003417969</v>
      </c>
      <c r="J780" s="1187">
        <v>211311.484375</v>
      </c>
      <c r="K780" s="1188">
        <v>211311.48</v>
      </c>
    </row>
    <row r="781" spans="1:11" ht="30.6" x14ac:dyDescent="0.3">
      <c r="A781" s="761" t="s">
        <v>159</v>
      </c>
      <c r="B781" s="765">
        <v>2020</v>
      </c>
      <c r="C781" s="761" t="s">
        <v>2343</v>
      </c>
      <c r="D781" s="761" t="s">
        <v>632</v>
      </c>
      <c r="E781" s="761" t="s">
        <v>810</v>
      </c>
      <c r="F781" s="1187">
        <v>-36178.04</v>
      </c>
      <c r="G781" s="761" t="s">
        <v>631</v>
      </c>
      <c r="H781" s="1187">
        <v>-34999.109375</v>
      </c>
      <c r="I781" s="1187">
        <v>-1178.93005371094</v>
      </c>
      <c r="J781" s="1187">
        <v>-36178.0390625</v>
      </c>
      <c r="K781" s="1188">
        <v>-36178.04</v>
      </c>
    </row>
    <row r="782" spans="1:11" ht="20.399999999999999" x14ac:dyDescent="0.3">
      <c r="A782" s="761" t="s">
        <v>159</v>
      </c>
      <c r="B782" s="765">
        <v>2020</v>
      </c>
      <c r="C782" s="761" t="s">
        <v>2344</v>
      </c>
      <c r="D782" s="761" t="s">
        <v>452</v>
      </c>
      <c r="E782" s="761" t="s">
        <v>811</v>
      </c>
      <c r="F782" s="1187">
        <v>0</v>
      </c>
      <c r="G782" s="766"/>
      <c r="H782" s="767"/>
      <c r="I782" s="767"/>
      <c r="J782" s="1187">
        <v>0</v>
      </c>
      <c r="K782" s="1188">
        <v>0</v>
      </c>
    </row>
    <row r="783" spans="1:11" ht="20.399999999999999" x14ac:dyDescent="0.3">
      <c r="A783" s="761" t="s">
        <v>159</v>
      </c>
      <c r="B783" s="765">
        <v>2020</v>
      </c>
      <c r="C783" s="761" t="s">
        <v>2345</v>
      </c>
      <c r="D783" s="761" t="s">
        <v>42</v>
      </c>
      <c r="E783" s="761" t="s">
        <v>812</v>
      </c>
      <c r="F783" s="1187">
        <v>-267358.75</v>
      </c>
      <c r="G783" s="761" t="s">
        <v>631</v>
      </c>
      <c r="H783" s="1187">
        <v>-233901.6875</v>
      </c>
      <c r="I783" s="1187">
        <v>-33457.05859375</v>
      </c>
      <c r="J783" s="1187">
        <v>-267358.75</v>
      </c>
      <c r="K783" s="1188">
        <v>-267358.75</v>
      </c>
    </row>
    <row r="784" spans="1:11" ht="20.399999999999999" x14ac:dyDescent="0.3">
      <c r="A784" s="761" t="s">
        <v>159</v>
      </c>
      <c r="B784" s="765">
        <v>2020</v>
      </c>
      <c r="C784" s="761" t="s">
        <v>2345</v>
      </c>
      <c r="D784" s="761" t="s">
        <v>2063</v>
      </c>
      <c r="E784" s="761" t="s">
        <v>812</v>
      </c>
      <c r="F784" s="1187">
        <v>0</v>
      </c>
      <c r="G784" s="766"/>
      <c r="H784" s="767"/>
      <c r="I784" s="767"/>
      <c r="J784" s="1187">
        <v>0</v>
      </c>
      <c r="K784" s="1188">
        <v>0</v>
      </c>
    </row>
    <row r="785" spans="1:11" ht="20.399999999999999" x14ac:dyDescent="0.3">
      <c r="A785" s="761" t="s">
        <v>159</v>
      </c>
      <c r="B785" s="765">
        <v>2020</v>
      </c>
      <c r="C785" s="761" t="s">
        <v>2345</v>
      </c>
      <c r="D785" s="761" t="s">
        <v>2064</v>
      </c>
      <c r="E785" s="761" t="s">
        <v>812</v>
      </c>
      <c r="F785" s="1187">
        <v>0</v>
      </c>
      <c r="G785" s="766"/>
      <c r="H785" s="767"/>
      <c r="I785" s="767"/>
      <c r="J785" s="1187">
        <v>0</v>
      </c>
      <c r="K785" s="1188">
        <v>0</v>
      </c>
    </row>
    <row r="786" spans="1:11" ht="20.399999999999999" x14ac:dyDescent="0.3">
      <c r="A786" s="761" t="s">
        <v>159</v>
      </c>
      <c r="B786" s="765">
        <v>2020</v>
      </c>
      <c r="C786" s="761" t="s">
        <v>2345</v>
      </c>
      <c r="D786" s="761" t="s">
        <v>2065</v>
      </c>
      <c r="E786" s="761" t="s">
        <v>812</v>
      </c>
      <c r="F786" s="1187">
        <v>-2874.2</v>
      </c>
      <c r="G786" s="766"/>
      <c r="H786" s="767"/>
      <c r="I786" s="767"/>
      <c r="J786" s="1187">
        <v>0</v>
      </c>
      <c r="K786" s="1188">
        <v>-2874.2</v>
      </c>
    </row>
    <row r="787" spans="1:11" ht="20.399999999999999" x14ac:dyDescent="0.3">
      <c r="A787" s="761" t="s">
        <v>159</v>
      </c>
      <c r="B787" s="765">
        <v>2020</v>
      </c>
      <c r="C787" s="761" t="s">
        <v>2345</v>
      </c>
      <c r="D787" s="761" t="s">
        <v>2066</v>
      </c>
      <c r="E787" s="761" t="s">
        <v>812</v>
      </c>
      <c r="F787" s="1187">
        <v>-106850.53</v>
      </c>
      <c r="G787" s="766"/>
      <c r="H787" s="767"/>
      <c r="I787" s="767"/>
      <c r="J787" s="1187">
        <v>0</v>
      </c>
      <c r="K787" s="1188">
        <v>-106850.53</v>
      </c>
    </row>
    <row r="788" spans="1:11" ht="30.6" x14ac:dyDescent="0.3">
      <c r="A788" s="761" t="s">
        <v>159</v>
      </c>
      <c r="B788" s="765">
        <v>2020</v>
      </c>
      <c r="C788" s="761" t="s">
        <v>2346</v>
      </c>
      <c r="D788" s="761" t="s">
        <v>43</v>
      </c>
      <c r="E788" s="761" t="s">
        <v>813</v>
      </c>
      <c r="F788" s="1187">
        <v>528586.1</v>
      </c>
      <c r="G788" s="761" t="s">
        <v>631</v>
      </c>
      <c r="H788" s="1187">
        <v>532562.3125</v>
      </c>
      <c r="I788" s="1187">
        <v>-3976.18994140625</v>
      </c>
      <c r="J788" s="1187">
        <v>528586.125</v>
      </c>
      <c r="K788" s="1188">
        <v>528586.1</v>
      </c>
    </row>
    <row r="789" spans="1:11" ht="30.6" x14ac:dyDescent="0.3">
      <c r="A789" s="761" t="s">
        <v>159</v>
      </c>
      <c r="B789" s="765">
        <v>2020</v>
      </c>
      <c r="C789" s="761" t="s">
        <v>2347</v>
      </c>
      <c r="D789" s="761" t="s">
        <v>44</v>
      </c>
      <c r="E789" s="761" t="s">
        <v>814</v>
      </c>
      <c r="F789" s="1187">
        <v>574153.94999999995</v>
      </c>
      <c r="G789" s="761" t="s">
        <v>631</v>
      </c>
      <c r="H789" s="1187">
        <v>567331.75</v>
      </c>
      <c r="I789" s="1187">
        <v>6822.18017578125</v>
      </c>
      <c r="J789" s="1187">
        <v>574153.9375</v>
      </c>
      <c r="K789" s="1188">
        <v>574153.94999999995</v>
      </c>
    </row>
    <row r="790" spans="1:11" ht="30.6" x14ac:dyDescent="0.3">
      <c r="A790" s="761" t="s">
        <v>159</v>
      </c>
      <c r="B790" s="765">
        <v>2020</v>
      </c>
      <c r="C790" s="761" t="s">
        <v>2348</v>
      </c>
      <c r="D790" s="761" t="s">
        <v>46</v>
      </c>
      <c r="E790" s="761" t="s">
        <v>815</v>
      </c>
      <c r="F790" s="1187">
        <v>2116887.31</v>
      </c>
      <c r="G790" s="761" t="s">
        <v>631</v>
      </c>
      <c r="H790" s="1187">
        <v>2063829.75</v>
      </c>
      <c r="I790" s="1187">
        <v>53057.51171875</v>
      </c>
      <c r="J790" s="1187">
        <v>2116887.25</v>
      </c>
      <c r="K790" s="1188">
        <v>2116887.31</v>
      </c>
    </row>
    <row r="791" spans="1:11" ht="20.399999999999999" x14ac:dyDescent="0.3">
      <c r="A791" s="761" t="s">
        <v>159</v>
      </c>
      <c r="B791" s="765">
        <v>2020</v>
      </c>
      <c r="C791" s="761" t="s">
        <v>2349</v>
      </c>
      <c r="D791" s="761" t="s">
        <v>339</v>
      </c>
      <c r="E791" s="761" t="s">
        <v>816</v>
      </c>
      <c r="F791" s="1187">
        <v>-1092549.97</v>
      </c>
      <c r="G791" s="761" t="s">
        <v>631</v>
      </c>
      <c r="H791" s="1187">
        <v>-1064874.5</v>
      </c>
      <c r="I791" s="1187">
        <v>-27675.490234375</v>
      </c>
      <c r="J791" s="1187">
        <v>-1092550</v>
      </c>
      <c r="K791" s="1188">
        <v>-1092549.97</v>
      </c>
    </row>
    <row r="792" spans="1:11" ht="40.799999999999997" x14ac:dyDescent="0.3">
      <c r="A792" s="761" t="s">
        <v>159</v>
      </c>
      <c r="B792" s="765">
        <v>2020</v>
      </c>
      <c r="C792" s="761" t="s">
        <v>2350</v>
      </c>
      <c r="D792" s="761" t="s">
        <v>633</v>
      </c>
      <c r="E792" s="761" t="s">
        <v>1164</v>
      </c>
      <c r="F792" s="1187">
        <v>0</v>
      </c>
      <c r="G792" s="761" t="s">
        <v>631</v>
      </c>
      <c r="H792" s="767"/>
      <c r="I792" s="767"/>
      <c r="J792" s="1187">
        <v>0</v>
      </c>
      <c r="K792" s="1188">
        <v>0</v>
      </c>
    </row>
    <row r="793" spans="1:11" ht="40.799999999999997" x14ac:dyDescent="0.3">
      <c r="A793" s="761" t="s">
        <v>159</v>
      </c>
      <c r="B793" s="765">
        <v>2020</v>
      </c>
      <c r="C793" s="761" t="s">
        <v>2350</v>
      </c>
      <c r="D793" s="761" t="s">
        <v>634</v>
      </c>
      <c r="E793" s="761" t="s">
        <v>1165</v>
      </c>
      <c r="F793" s="1187">
        <v>0</v>
      </c>
      <c r="G793" s="761" t="s">
        <v>631</v>
      </c>
      <c r="H793" s="767"/>
      <c r="I793" s="767"/>
      <c r="J793" s="1187">
        <v>0</v>
      </c>
      <c r="K793" s="1188">
        <v>0</v>
      </c>
    </row>
    <row r="794" spans="1:11" ht="40.799999999999997" x14ac:dyDescent="0.3">
      <c r="A794" s="761" t="s">
        <v>159</v>
      </c>
      <c r="B794" s="765">
        <v>2020</v>
      </c>
      <c r="C794" s="761" t="s">
        <v>2350</v>
      </c>
      <c r="D794" s="761" t="s">
        <v>635</v>
      </c>
      <c r="E794" s="761" t="s">
        <v>1166</v>
      </c>
      <c r="F794" s="1187">
        <v>0</v>
      </c>
      <c r="G794" s="761" t="s">
        <v>631</v>
      </c>
      <c r="H794" s="767"/>
      <c r="I794" s="767"/>
      <c r="J794" s="1187">
        <v>0</v>
      </c>
      <c r="K794" s="1188">
        <v>0</v>
      </c>
    </row>
    <row r="795" spans="1:11" ht="40.799999999999997" x14ac:dyDescent="0.3">
      <c r="A795" s="761" t="s">
        <v>159</v>
      </c>
      <c r="B795" s="765">
        <v>2020</v>
      </c>
      <c r="C795" s="761" t="s">
        <v>2350</v>
      </c>
      <c r="D795" s="761" t="s">
        <v>636</v>
      </c>
      <c r="E795" s="761" t="s">
        <v>1167</v>
      </c>
      <c r="F795" s="1187">
        <v>0</v>
      </c>
      <c r="G795" s="761" t="s">
        <v>631</v>
      </c>
      <c r="H795" s="767"/>
      <c r="I795" s="767"/>
      <c r="J795" s="1187">
        <v>0</v>
      </c>
      <c r="K795" s="1188">
        <v>0</v>
      </c>
    </row>
    <row r="796" spans="1:11" ht="40.799999999999997" x14ac:dyDescent="0.3">
      <c r="A796" s="761" t="s">
        <v>159</v>
      </c>
      <c r="B796" s="765">
        <v>2020</v>
      </c>
      <c r="C796" s="761" t="s">
        <v>2350</v>
      </c>
      <c r="D796" s="761" t="s">
        <v>637</v>
      </c>
      <c r="E796" s="761" t="s">
        <v>1168</v>
      </c>
      <c r="F796" s="1187">
        <v>0</v>
      </c>
      <c r="G796" s="761" t="s">
        <v>631</v>
      </c>
      <c r="H796" s="767"/>
      <c r="I796" s="767"/>
      <c r="J796" s="1187">
        <v>0</v>
      </c>
      <c r="K796" s="1188">
        <v>0</v>
      </c>
    </row>
    <row r="797" spans="1:11" ht="40.799999999999997" x14ac:dyDescent="0.3">
      <c r="A797" s="761" t="s">
        <v>159</v>
      </c>
      <c r="B797" s="765">
        <v>2020</v>
      </c>
      <c r="C797" s="761" t="s">
        <v>2350</v>
      </c>
      <c r="D797" s="761" t="s">
        <v>638</v>
      </c>
      <c r="E797" s="761" t="s">
        <v>1169</v>
      </c>
      <c r="F797" s="1187">
        <v>0</v>
      </c>
      <c r="G797" s="761" t="s">
        <v>631</v>
      </c>
      <c r="H797" s="767"/>
      <c r="I797" s="767"/>
      <c r="J797" s="1187">
        <v>0</v>
      </c>
      <c r="K797" s="1188">
        <v>0</v>
      </c>
    </row>
    <row r="798" spans="1:11" ht="40.799999999999997" x14ac:dyDescent="0.3">
      <c r="A798" s="761" t="s">
        <v>159</v>
      </c>
      <c r="B798" s="765">
        <v>2020</v>
      </c>
      <c r="C798" s="761" t="s">
        <v>2350</v>
      </c>
      <c r="D798" s="761" t="s">
        <v>639</v>
      </c>
      <c r="E798" s="761" t="s">
        <v>1170</v>
      </c>
      <c r="F798" s="1187">
        <v>0</v>
      </c>
      <c r="G798" s="761" t="s">
        <v>631</v>
      </c>
      <c r="H798" s="1187">
        <v>-1.0199999809265099</v>
      </c>
      <c r="I798" s="767"/>
      <c r="J798" s="1187">
        <v>-1.0199999809265099</v>
      </c>
      <c r="K798" s="1188">
        <v>-1.02</v>
      </c>
    </row>
    <row r="799" spans="1:11" ht="40.799999999999997" x14ac:dyDescent="0.3">
      <c r="A799" s="761" t="s">
        <v>159</v>
      </c>
      <c r="B799" s="765">
        <v>2020</v>
      </c>
      <c r="C799" s="761" t="s">
        <v>2350</v>
      </c>
      <c r="D799" s="761" t="s">
        <v>1613</v>
      </c>
      <c r="E799" s="761" t="s">
        <v>1978</v>
      </c>
      <c r="F799" s="1187">
        <v>0</v>
      </c>
      <c r="G799" s="761" t="s">
        <v>631</v>
      </c>
      <c r="H799" s="767"/>
      <c r="I799" s="1187">
        <v>-8149</v>
      </c>
      <c r="J799" s="1187">
        <v>-8149</v>
      </c>
      <c r="K799" s="1188">
        <v>-8149</v>
      </c>
    </row>
    <row r="800" spans="1:11" ht="40.799999999999997" x14ac:dyDescent="0.3">
      <c r="A800" s="761" t="s">
        <v>159</v>
      </c>
      <c r="B800" s="765">
        <v>2020</v>
      </c>
      <c r="C800" s="761" t="s">
        <v>2350</v>
      </c>
      <c r="D800" s="761" t="s">
        <v>2067</v>
      </c>
      <c r="E800" s="761" t="s">
        <v>2091</v>
      </c>
      <c r="F800" s="1187">
        <v>0</v>
      </c>
      <c r="G800" s="761" t="s">
        <v>631</v>
      </c>
      <c r="H800" s="1187">
        <v>4</v>
      </c>
      <c r="I800" s="767"/>
      <c r="J800" s="1187">
        <v>4</v>
      </c>
      <c r="K800" s="1188">
        <v>4</v>
      </c>
    </row>
    <row r="801" spans="1:11" ht="40.799999999999997" x14ac:dyDescent="0.3">
      <c r="A801" s="761" t="s">
        <v>159</v>
      </c>
      <c r="B801" s="765">
        <v>2020</v>
      </c>
      <c r="C801" s="761" t="s">
        <v>2350</v>
      </c>
      <c r="D801" s="761" t="s">
        <v>3762</v>
      </c>
      <c r="E801" s="761" t="s">
        <v>4348</v>
      </c>
      <c r="F801" s="1187">
        <v>0</v>
      </c>
      <c r="G801" s="761" t="s">
        <v>631</v>
      </c>
      <c r="H801" s="1187">
        <v>-133840.515625</v>
      </c>
      <c r="I801" s="1187">
        <v>136341.171875</v>
      </c>
      <c r="J801" s="1187">
        <v>2500.65991210938</v>
      </c>
      <c r="K801" s="1188">
        <v>2500.66</v>
      </c>
    </row>
    <row r="802" spans="1:11" ht="40.799999999999997" x14ac:dyDescent="0.3">
      <c r="A802" s="761" t="s">
        <v>159</v>
      </c>
      <c r="B802" s="765">
        <v>2020</v>
      </c>
      <c r="C802" s="761" t="s">
        <v>2350</v>
      </c>
      <c r="D802" s="761" t="s">
        <v>4844</v>
      </c>
      <c r="E802" s="761" t="s">
        <v>5803</v>
      </c>
      <c r="F802" s="1187">
        <v>0</v>
      </c>
      <c r="G802" s="761" t="s">
        <v>631</v>
      </c>
      <c r="H802" s="767"/>
      <c r="I802" s="767"/>
      <c r="J802" s="1187">
        <v>0</v>
      </c>
      <c r="K802" s="1188">
        <v>0</v>
      </c>
    </row>
    <row r="803" spans="1:11" ht="40.799999999999997" x14ac:dyDescent="0.3">
      <c r="A803" s="761" t="s">
        <v>159</v>
      </c>
      <c r="B803" s="765">
        <v>2020</v>
      </c>
      <c r="C803" s="761" t="s">
        <v>2350</v>
      </c>
      <c r="D803" s="761" t="s">
        <v>7101</v>
      </c>
      <c r="E803" s="761" t="s">
        <v>7170</v>
      </c>
      <c r="F803" s="1187">
        <v>0</v>
      </c>
      <c r="G803" s="761" t="s">
        <v>631</v>
      </c>
      <c r="H803" s="1187">
        <v>-427349.3125</v>
      </c>
      <c r="I803" s="1187">
        <v>420476.78125</v>
      </c>
      <c r="J803" s="1187">
        <v>-6872.5400390625</v>
      </c>
      <c r="K803" s="1188">
        <v>-6872.53999999998</v>
      </c>
    </row>
    <row r="804" spans="1:11" ht="40.799999999999997" x14ac:dyDescent="0.3">
      <c r="A804" s="761" t="s">
        <v>159</v>
      </c>
      <c r="B804" s="765">
        <v>2020</v>
      </c>
      <c r="C804" s="761" t="s">
        <v>2350</v>
      </c>
      <c r="D804" s="761" t="s">
        <v>640</v>
      </c>
      <c r="E804" s="761" t="s">
        <v>1367</v>
      </c>
      <c r="F804" s="1187">
        <v>-12517.9</v>
      </c>
      <c r="G804" s="766"/>
      <c r="H804" s="767"/>
      <c r="I804" s="767"/>
      <c r="J804" s="1187">
        <v>0</v>
      </c>
      <c r="K804" s="1188">
        <v>-12517.9</v>
      </c>
    </row>
    <row r="805" spans="1:11" x14ac:dyDescent="0.3">
      <c r="A805" s="761" t="s">
        <v>180</v>
      </c>
      <c r="B805" s="765">
        <v>2020</v>
      </c>
      <c r="C805" s="761" t="s">
        <v>2342</v>
      </c>
      <c r="D805" s="761" t="s">
        <v>45</v>
      </c>
      <c r="E805" s="761" t="s">
        <v>817</v>
      </c>
      <c r="F805" s="1187">
        <v>0</v>
      </c>
      <c r="G805" s="761" t="s">
        <v>631</v>
      </c>
      <c r="H805" s="767"/>
      <c r="I805" s="767"/>
      <c r="J805" s="1187">
        <v>0</v>
      </c>
      <c r="K805" s="1188">
        <v>0</v>
      </c>
    </row>
    <row r="806" spans="1:11" ht="30.6" x14ac:dyDescent="0.3">
      <c r="A806" s="761" t="s">
        <v>180</v>
      </c>
      <c r="B806" s="765">
        <v>2020</v>
      </c>
      <c r="C806" s="761" t="s">
        <v>2343</v>
      </c>
      <c r="D806" s="761" t="s">
        <v>632</v>
      </c>
      <c r="E806" s="761" t="s">
        <v>818</v>
      </c>
      <c r="F806" s="1187">
        <v>-123475.54</v>
      </c>
      <c r="G806" s="761" t="s">
        <v>631</v>
      </c>
      <c r="H806" s="1187">
        <v>-120072.3828125</v>
      </c>
      <c r="I806" s="1187">
        <v>-3403.15991210938</v>
      </c>
      <c r="J806" s="1187">
        <v>-123475.5390625</v>
      </c>
      <c r="K806" s="1188">
        <v>-123475.54</v>
      </c>
    </row>
    <row r="807" spans="1:11" ht="20.399999999999999" x14ac:dyDescent="0.3">
      <c r="A807" s="761" t="s">
        <v>180</v>
      </c>
      <c r="B807" s="765">
        <v>2020</v>
      </c>
      <c r="C807" s="761" t="s">
        <v>2344</v>
      </c>
      <c r="D807" s="761" t="s">
        <v>452</v>
      </c>
      <c r="E807" s="761" t="s">
        <v>819</v>
      </c>
      <c r="F807" s="1187">
        <v>836677.81</v>
      </c>
      <c r="G807" s="766"/>
      <c r="H807" s="767"/>
      <c r="I807" s="767"/>
      <c r="J807" s="1187">
        <v>0</v>
      </c>
      <c r="K807" s="1188">
        <v>836677.81</v>
      </c>
    </row>
    <row r="808" spans="1:11" ht="20.399999999999999" x14ac:dyDescent="0.3">
      <c r="A808" s="761" t="s">
        <v>180</v>
      </c>
      <c r="B808" s="765">
        <v>2020</v>
      </c>
      <c r="C808" s="761" t="s">
        <v>2345</v>
      </c>
      <c r="D808" s="761" t="s">
        <v>42</v>
      </c>
      <c r="E808" s="761" t="s">
        <v>820</v>
      </c>
      <c r="F808" s="1187">
        <v>-916337.64</v>
      </c>
      <c r="G808" s="761" t="s">
        <v>631</v>
      </c>
      <c r="H808" s="1187">
        <v>-911435</v>
      </c>
      <c r="I808" s="1187">
        <v>-4902.60986328125</v>
      </c>
      <c r="J808" s="1187">
        <v>-916337.625</v>
      </c>
      <c r="K808" s="1188">
        <v>-916337.64</v>
      </c>
    </row>
    <row r="809" spans="1:11" ht="20.399999999999999" x14ac:dyDescent="0.3">
      <c r="A809" s="761" t="s">
        <v>180</v>
      </c>
      <c r="B809" s="765">
        <v>2020</v>
      </c>
      <c r="C809" s="761" t="s">
        <v>2345</v>
      </c>
      <c r="D809" s="761" t="s">
        <v>2063</v>
      </c>
      <c r="E809" s="761" t="s">
        <v>820</v>
      </c>
      <c r="F809" s="1187">
        <v>0</v>
      </c>
      <c r="G809" s="766"/>
      <c r="H809" s="767"/>
      <c r="I809" s="767"/>
      <c r="J809" s="1187">
        <v>0</v>
      </c>
      <c r="K809" s="1188">
        <v>0</v>
      </c>
    </row>
    <row r="810" spans="1:11" ht="20.399999999999999" x14ac:dyDescent="0.3">
      <c r="A810" s="761" t="s">
        <v>180</v>
      </c>
      <c r="B810" s="765">
        <v>2020</v>
      </c>
      <c r="C810" s="761" t="s">
        <v>2345</v>
      </c>
      <c r="D810" s="761" t="s">
        <v>2064</v>
      </c>
      <c r="E810" s="761" t="s">
        <v>820</v>
      </c>
      <c r="F810" s="1187">
        <v>0</v>
      </c>
      <c r="G810" s="766"/>
      <c r="H810" s="767"/>
      <c r="I810" s="767"/>
      <c r="J810" s="1187">
        <v>0</v>
      </c>
      <c r="K810" s="1188">
        <v>0</v>
      </c>
    </row>
    <row r="811" spans="1:11" ht="20.399999999999999" x14ac:dyDescent="0.3">
      <c r="A811" s="761" t="s">
        <v>180</v>
      </c>
      <c r="B811" s="765">
        <v>2020</v>
      </c>
      <c r="C811" s="761" t="s">
        <v>2345</v>
      </c>
      <c r="D811" s="761" t="s">
        <v>2065</v>
      </c>
      <c r="E811" s="761" t="s">
        <v>820</v>
      </c>
      <c r="F811" s="1187">
        <v>-2867.44</v>
      </c>
      <c r="G811" s="766"/>
      <c r="H811" s="767"/>
      <c r="I811" s="767"/>
      <c r="J811" s="1187">
        <v>0</v>
      </c>
      <c r="K811" s="1188">
        <v>-2867.44</v>
      </c>
    </row>
    <row r="812" spans="1:11" ht="20.399999999999999" x14ac:dyDescent="0.3">
      <c r="A812" s="761" t="s">
        <v>180</v>
      </c>
      <c r="B812" s="765">
        <v>2020</v>
      </c>
      <c r="C812" s="761" t="s">
        <v>2345</v>
      </c>
      <c r="D812" s="761" t="s">
        <v>2066</v>
      </c>
      <c r="E812" s="761" t="s">
        <v>820</v>
      </c>
      <c r="F812" s="1187">
        <v>-168234.53</v>
      </c>
      <c r="G812" s="766"/>
      <c r="H812" s="767"/>
      <c r="I812" s="767"/>
      <c r="J812" s="1187">
        <v>0</v>
      </c>
      <c r="K812" s="1188">
        <v>-168234.53</v>
      </c>
    </row>
    <row r="813" spans="1:11" ht="30.6" x14ac:dyDescent="0.3">
      <c r="A813" s="761" t="s">
        <v>180</v>
      </c>
      <c r="B813" s="765">
        <v>2020</v>
      </c>
      <c r="C813" s="761" t="s">
        <v>2346</v>
      </c>
      <c r="D813" s="761" t="s">
        <v>43</v>
      </c>
      <c r="E813" s="761" t="s">
        <v>821</v>
      </c>
      <c r="F813" s="1187">
        <v>616984.66</v>
      </c>
      <c r="G813" s="761" t="s">
        <v>631</v>
      </c>
      <c r="H813" s="1187">
        <v>609184.9375</v>
      </c>
      <c r="I813" s="1187">
        <v>7799.7001953125</v>
      </c>
      <c r="J813" s="1187">
        <v>616984.6875</v>
      </c>
      <c r="K813" s="1188">
        <v>616984.66</v>
      </c>
    </row>
    <row r="814" spans="1:11" ht="30.6" x14ac:dyDescent="0.3">
      <c r="A814" s="761" t="s">
        <v>180</v>
      </c>
      <c r="B814" s="765">
        <v>2020</v>
      </c>
      <c r="C814" s="761" t="s">
        <v>2347</v>
      </c>
      <c r="D814" s="761" t="s">
        <v>44</v>
      </c>
      <c r="E814" s="761" t="s">
        <v>822</v>
      </c>
      <c r="F814" s="1187">
        <v>135766.65</v>
      </c>
      <c r="G814" s="761" t="s">
        <v>631</v>
      </c>
      <c r="H814" s="1187">
        <v>130583.1875</v>
      </c>
      <c r="I814" s="1187">
        <v>5183.4599609375</v>
      </c>
      <c r="J814" s="1187">
        <v>135766.65625</v>
      </c>
      <c r="K814" s="1188">
        <v>135766.65</v>
      </c>
    </row>
    <row r="815" spans="1:11" ht="30.6" x14ac:dyDescent="0.3">
      <c r="A815" s="761" t="s">
        <v>180</v>
      </c>
      <c r="B815" s="765">
        <v>2020</v>
      </c>
      <c r="C815" s="761" t="s">
        <v>2348</v>
      </c>
      <c r="D815" s="761" t="s">
        <v>46</v>
      </c>
      <c r="E815" s="761" t="s">
        <v>823</v>
      </c>
      <c r="F815" s="1187">
        <v>-16260.23</v>
      </c>
      <c r="G815" s="761" t="s">
        <v>631</v>
      </c>
      <c r="H815" s="1187">
        <v>80238.1171875</v>
      </c>
      <c r="I815" s="1187">
        <v>-96498.3515625</v>
      </c>
      <c r="J815" s="1187">
        <v>-16260.23046875</v>
      </c>
      <c r="K815" s="1188">
        <v>-16260.23</v>
      </c>
    </row>
    <row r="816" spans="1:11" ht="20.399999999999999" x14ac:dyDescent="0.3">
      <c r="A816" s="761" t="s">
        <v>180</v>
      </c>
      <c r="B816" s="765">
        <v>2020</v>
      </c>
      <c r="C816" s="761" t="s">
        <v>2349</v>
      </c>
      <c r="D816" s="761" t="s">
        <v>339</v>
      </c>
      <c r="E816" s="761" t="s">
        <v>824</v>
      </c>
      <c r="F816" s="1187">
        <v>484675.66</v>
      </c>
      <c r="G816" s="761" t="s">
        <v>631</v>
      </c>
      <c r="H816" s="1187">
        <v>397413.625</v>
      </c>
      <c r="I816" s="1187">
        <v>87262.0234375</v>
      </c>
      <c r="J816" s="1187">
        <v>484675.65625</v>
      </c>
      <c r="K816" s="1188">
        <v>484675.66</v>
      </c>
    </row>
    <row r="817" spans="1:11" ht="40.799999999999997" x14ac:dyDescent="0.3">
      <c r="A817" s="761" t="s">
        <v>180</v>
      </c>
      <c r="B817" s="765">
        <v>2020</v>
      </c>
      <c r="C817" s="761" t="s">
        <v>2350</v>
      </c>
      <c r="D817" s="761" t="s">
        <v>633</v>
      </c>
      <c r="E817" s="761" t="s">
        <v>1171</v>
      </c>
      <c r="F817" s="1187">
        <v>0</v>
      </c>
      <c r="G817" s="761" t="s">
        <v>631</v>
      </c>
      <c r="H817" s="767"/>
      <c r="I817" s="767"/>
      <c r="J817" s="1187">
        <v>0</v>
      </c>
      <c r="K817" s="1188">
        <v>0</v>
      </c>
    </row>
    <row r="818" spans="1:11" ht="40.799999999999997" x14ac:dyDescent="0.3">
      <c r="A818" s="761" t="s">
        <v>180</v>
      </c>
      <c r="B818" s="765">
        <v>2020</v>
      </c>
      <c r="C818" s="761" t="s">
        <v>2350</v>
      </c>
      <c r="D818" s="761" t="s">
        <v>634</v>
      </c>
      <c r="E818" s="761" t="s">
        <v>1172</v>
      </c>
      <c r="F818" s="1187">
        <v>0</v>
      </c>
      <c r="G818" s="761" t="s">
        <v>631</v>
      </c>
      <c r="H818" s="767"/>
      <c r="I818" s="767"/>
      <c r="J818" s="1187">
        <v>0</v>
      </c>
      <c r="K818" s="1188">
        <v>0</v>
      </c>
    </row>
    <row r="819" spans="1:11" ht="40.799999999999997" x14ac:dyDescent="0.3">
      <c r="A819" s="761" t="s">
        <v>180</v>
      </c>
      <c r="B819" s="765">
        <v>2020</v>
      </c>
      <c r="C819" s="761" t="s">
        <v>2350</v>
      </c>
      <c r="D819" s="761" t="s">
        <v>635</v>
      </c>
      <c r="E819" s="761" t="s">
        <v>1173</v>
      </c>
      <c r="F819" s="1187">
        <v>0</v>
      </c>
      <c r="G819" s="761" t="s">
        <v>631</v>
      </c>
      <c r="H819" s="767"/>
      <c r="I819" s="767"/>
      <c r="J819" s="1187">
        <v>0</v>
      </c>
      <c r="K819" s="1188">
        <v>0</v>
      </c>
    </row>
    <row r="820" spans="1:11" ht="40.799999999999997" x14ac:dyDescent="0.3">
      <c r="A820" s="761" t="s">
        <v>180</v>
      </c>
      <c r="B820" s="765">
        <v>2020</v>
      </c>
      <c r="C820" s="761" t="s">
        <v>2350</v>
      </c>
      <c r="D820" s="761" t="s">
        <v>636</v>
      </c>
      <c r="E820" s="761" t="s">
        <v>1174</v>
      </c>
      <c r="F820" s="1187">
        <v>0</v>
      </c>
      <c r="G820" s="761" t="s">
        <v>631</v>
      </c>
      <c r="H820" s="767"/>
      <c r="I820" s="767"/>
      <c r="J820" s="1187">
        <v>0</v>
      </c>
      <c r="K820" s="1188">
        <v>0</v>
      </c>
    </row>
    <row r="821" spans="1:11" ht="40.799999999999997" x14ac:dyDescent="0.3">
      <c r="A821" s="761" t="s">
        <v>180</v>
      </c>
      <c r="B821" s="765">
        <v>2020</v>
      </c>
      <c r="C821" s="761" t="s">
        <v>2350</v>
      </c>
      <c r="D821" s="761" t="s">
        <v>637</v>
      </c>
      <c r="E821" s="761" t="s">
        <v>1175</v>
      </c>
      <c r="F821" s="1187">
        <v>0</v>
      </c>
      <c r="G821" s="761" t="s">
        <v>631</v>
      </c>
      <c r="H821" s="767"/>
      <c r="I821" s="767"/>
      <c r="J821" s="1187">
        <v>0</v>
      </c>
      <c r="K821" s="1188">
        <v>0</v>
      </c>
    </row>
    <row r="822" spans="1:11" ht="40.799999999999997" x14ac:dyDescent="0.3">
      <c r="A822" s="761" t="s">
        <v>180</v>
      </c>
      <c r="B822" s="765">
        <v>2020</v>
      </c>
      <c r="C822" s="761" t="s">
        <v>2350</v>
      </c>
      <c r="D822" s="761" t="s">
        <v>638</v>
      </c>
      <c r="E822" s="761" t="s">
        <v>1176</v>
      </c>
      <c r="F822" s="1187">
        <v>0</v>
      </c>
      <c r="G822" s="761" t="s">
        <v>631</v>
      </c>
      <c r="H822" s="767"/>
      <c r="I822" s="767"/>
      <c r="J822" s="1187">
        <v>0</v>
      </c>
      <c r="K822" s="1188">
        <v>0</v>
      </c>
    </row>
    <row r="823" spans="1:11" ht="40.799999999999997" x14ac:dyDescent="0.3">
      <c r="A823" s="761" t="s">
        <v>180</v>
      </c>
      <c r="B823" s="765">
        <v>2020</v>
      </c>
      <c r="C823" s="761" t="s">
        <v>2350</v>
      </c>
      <c r="D823" s="761" t="s">
        <v>639</v>
      </c>
      <c r="E823" s="761" t="s">
        <v>1177</v>
      </c>
      <c r="F823" s="1187">
        <v>0</v>
      </c>
      <c r="G823" s="761" t="s">
        <v>631</v>
      </c>
      <c r="H823" s="767"/>
      <c r="I823" s="767"/>
      <c r="J823" s="1187">
        <v>0</v>
      </c>
      <c r="K823" s="1188">
        <v>0</v>
      </c>
    </row>
    <row r="824" spans="1:11" ht="40.799999999999997" x14ac:dyDescent="0.3">
      <c r="A824" s="761" t="s">
        <v>180</v>
      </c>
      <c r="B824" s="765">
        <v>2020</v>
      </c>
      <c r="C824" s="761" t="s">
        <v>2350</v>
      </c>
      <c r="D824" s="761" t="s">
        <v>1613</v>
      </c>
      <c r="E824" s="761" t="s">
        <v>1979</v>
      </c>
      <c r="F824" s="1187">
        <v>0</v>
      </c>
      <c r="G824" s="761" t="s">
        <v>631</v>
      </c>
      <c r="H824" s="767"/>
      <c r="I824" s="767"/>
      <c r="J824" s="1187">
        <v>0</v>
      </c>
      <c r="K824" s="1188">
        <v>0</v>
      </c>
    </row>
    <row r="825" spans="1:11" ht="40.799999999999997" x14ac:dyDescent="0.3">
      <c r="A825" s="761" t="s">
        <v>180</v>
      </c>
      <c r="B825" s="765">
        <v>2020</v>
      </c>
      <c r="C825" s="761" t="s">
        <v>2350</v>
      </c>
      <c r="D825" s="761" t="s">
        <v>2067</v>
      </c>
      <c r="E825" s="761" t="s">
        <v>2092</v>
      </c>
      <c r="F825" s="1187">
        <v>0</v>
      </c>
      <c r="G825" s="761" t="s">
        <v>631</v>
      </c>
      <c r="H825" s="767"/>
      <c r="I825" s="767"/>
      <c r="J825" s="1187">
        <v>0</v>
      </c>
      <c r="K825" s="1188">
        <v>0</v>
      </c>
    </row>
    <row r="826" spans="1:11" ht="40.799999999999997" x14ac:dyDescent="0.3">
      <c r="A826" s="761" t="s">
        <v>180</v>
      </c>
      <c r="B826" s="765">
        <v>2020</v>
      </c>
      <c r="C826" s="761" t="s">
        <v>2350</v>
      </c>
      <c r="D826" s="761" t="s">
        <v>3762</v>
      </c>
      <c r="E826" s="761" t="s">
        <v>4349</v>
      </c>
      <c r="F826" s="1187">
        <v>0</v>
      </c>
      <c r="G826" s="761" t="s">
        <v>631</v>
      </c>
      <c r="H826" s="767"/>
      <c r="I826" s="767"/>
      <c r="J826" s="1187">
        <v>0</v>
      </c>
      <c r="K826" s="1188">
        <v>0</v>
      </c>
    </row>
    <row r="827" spans="1:11" ht="40.799999999999997" x14ac:dyDescent="0.3">
      <c r="A827" s="761" t="s">
        <v>180</v>
      </c>
      <c r="B827" s="765">
        <v>2020</v>
      </c>
      <c r="C827" s="761" t="s">
        <v>2350</v>
      </c>
      <c r="D827" s="761" t="s">
        <v>4844</v>
      </c>
      <c r="E827" s="761" t="s">
        <v>5804</v>
      </c>
      <c r="F827" s="1187">
        <v>0</v>
      </c>
      <c r="G827" s="761" t="s">
        <v>631</v>
      </c>
      <c r="H827" s="1187">
        <v>844254.9375</v>
      </c>
      <c r="I827" s="1187">
        <v>-44323.1015625</v>
      </c>
      <c r="J827" s="1187">
        <v>799931.8125</v>
      </c>
      <c r="K827" s="1188">
        <v>799931.83</v>
      </c>
    </row>
    <row r="828" spans="1:11" ht="40.799999999999997" x14ac:dyDescent="0.3">
      <c r="A828" s="761" t="s">
        <v>180</v>
      </c>
      <c r="B828" s="765">
        <v>2020</v>
      </c>
      <c r="C828" s="761" t="s">
        <v>2350</v>
      </c>
      <c r="D828" s="761" t="s">
        <v>7101</v>
      </c>
      <c r="E828" s="761" t="s">
        <v>7171</v>
      </c>
      <c r="F828" s="1187">
        <v>0</v>
      </c>
      <c r="G828" s="761" t="s">
        <v>631</v>
      </c>
      <c r="H828" s="1187">
        <v>-138069.0625</v>
      </c>
      <c r="I828" s="1187">
        <v>-32130.009765625</v>
      </c>
      <c r="J828" s="1187">
        <v>-170199.078125</v>
      </c>
      <c r="K828" s="1188">
        <v>-170199.08</v>
      </c>
    </row>
    <row r="829" spans="1:11" ht="40.799999999999997" x14ac:dyDescent="0.3">
      <c r="A829" s="761" t="s">
        <v>180</v>
      </c>
      <c r="B829" s="765">
        <v>2020</v>
      </c>
      <c r="C829" s="761" t="s">
        <v>2350</v>
      </c>
      <c r="D829" s="761" t="s">
        <v>640</v>
      </c>
      <c r="E829" s="761" t="s">
        <v>1368</v>
      </c>
      <c r="F829" s="1187">
        <v>629732.75</v>
      </c>
      <c r="G829" s="766"/>
      <c r="H829" s="767"/>
      <c r="I829" s="767"/>
      <c r="J829" s="1187">
        <v>0</v>
      </c>
      <c r="K829" s="1188">
        <v>629732.75</v>
      </c>
    </row>
    <row r="830" spans="1:11" x14ac:dyDescent="0.3">
      <c r="A830" s="761" t="s">
        <v>202</v>
      </c>
      <c r="B830" s="765">
        <v>2020</v>
      </c>
      <c r="C830" s="761" t="s">
        <v>2342</v>
      </c>
      <c r="D830" s="761" t="s">
        <v>45</v>
      </c>
      <c r="E830" s="761" t="s">
        <v>825</v>
      </c>
      <c r="F830" s="1187">
        <v>1659999.44</v>
      </c>
      <c r="G830" s="761" t="s">
        <v>631</v>
      </c>
      <c r="H830" s="1187">
        <v>1606199</v>
      </c>
      <c r="I830" s="1187">
        <v>53800.37890625</v>
      </c>
      <c r="J830" s="1187">
        <v>1659999.5</v>
      </c>
      <c r="K830" s="1188">
        <v>1659999.44</v>
      </c>
    </row>
    <row r="831" spans="1:11" ht="30.6" x14ac:dyDescent="0.3">
      <c r="A831" s="761" t="s">
        <v>202</v>
      </c>
      <c r="B831" s="765">
        <v>2020</v>
      </c>
      <c r="C831" s="761" t="s">
        <v>2343</v>
      </c>
      <c r="D831" s="761" t="s">
        <v>632</v>
      </c>
      <c r="E831" s="761" t="s">
        <v>826</v>
      </c>
      <c r="F831" s="1187">
        <v>-12164.78</v>
      </c>
      <c r="G831" s="761" t="s">
        <v>631</v>
      </c>
      <c r="H831" s="1187">
        <v>-11638.900390625</v>
      </c>
      <c r="I831" s="1187">
        <v>-525.88000488281295</v>
      </c>
      <c r="J831" s="1187">
        <v>-12164.7802734375</v>
      </c>
      <c r="K831" s="1188">
        <v>-12164.78</v>
      </c>
    </row>
    <row r="832" spans="1:11" ht="20.399999999999999" x14ac:dyDescent="0.3">
      <c r="A832" s="761" t="s">
        <v>202</v>
      </c>
      <c r="B832" s="765">
        <v>2020</v>
      </c>
      <c r="C832" s="761" t="s">
        <v>2344</v>
      </c>
      <c r="D832" s="761" t="s">
        <v>452</v>
      </c>
      <c r="E832" s="761" t="s">
        <v>827</v>
      </c>
      <c r="F832" s="1187">
        <v>0</v>
      </c>
      <c r="G832" s="766"/>
      <c r="H832" s="767"/>
      <c r="I832" s="767"/>
      <c r="J832" s="1187">
        <v>0</v>
      </c>
      <c r="K832" s="1188">
        <v>0</v>
      </c>
    </row>
    <row r="833" spans="1:11" ht="20.399999999999999" x14ac:dyDescent="0.3">
      <c r="A833" s="761" t="s">
        <v>202</v>
      </c>
      <c r="B833" s="765">
        <v>2020</v>
      </c>
      <c r="C833" s="761" t="s">
        <v>2345</v>
      </c>
      <c r="D833" s="761" t="s">
        <v>42</v>
      </c>
      <c r="E833" s="761" t="s">
        <v>828</v>
      </c>
      <c r="F833" s="1187">
        <v>-707099.77</v>
      </c>
      <c r="G833" s="761" t="s">
        <v>631</v>
      </c>
      <c r="H833" s="1187">
        <v>-675762.9375</v>
      </c>
      <c r="I833" s="1187">
        <v>-31336.810546875</v>
      </c>
      <c r="J833" s="1187">
        <v>-707099.75</v>
      </c>
      <c r="K833" s="1188">
        <v>-707099.77</v>
      </c>
    </row>
    <row r="834" spans="1:11" ht="20.399999999999999" x14ac:dyDescent="0.3">
      <c r="A834" s="761" t="s">
        <v>202</v>
      </c>
      <c r="B834" s="765">
        <v>2020</v>
      </c>
      <c r="C834" s="761" t="s">
        <v>2345</v>
      </c>
      <c r="D834" s="761" t="s">
        <v>2063</v>
      </c>
      <c r="E834" s="761" t="s">
        <v>828</v>
      </c>
      <c r="F834" s="1187">
        <v>9.31</v>
      </c>
      <c r="G834" s="766"/>
      <c r="H834" s="767"/>
      <c r="I834" s="767"/>
      <c r="J834" s="1187">
        <v>0</v>
      </c>
      <c r="K834" s="1188">
        <v>9.31</v>
      </c>
    </row>
    <row r="835" spans="1:11" ht="20.399999999999999" x14ac:dyDescent="0.3">
      <c r="A835" s="761" t="s">
        <v>202</v>
      </c>
      <c r="B835" s="765">
        <v>2020</v>
      </c>
      <c r="C835" s="761" t="s">
        <v>2345</v>
      </c>
      <c r="D835" s="761" t="s">
        <v>2064</v>
      </c>
      <c r="E835" s="761" t="s">
        <v>828</v>
      </c>
      <c r="F835" s="1187">
        <v>0.06</v>
      </c>
      <c r="G835" s="766"/>
      <c r="H835" s="767"/>
      <c r="I835" s="767"/>
      <c r="J835" s="1187">
        <v>0</v>
      </c>
      <c r="K835" s="1188">
        <v>0.06</v>
      </c>
    </row>
    <row r="836" spans="1:11" ht="20.399999999999999" x14ac:dyDescent="0.3">
      <c r="A836" s="761" t="s">
        <v>202</v>
      </c>
      <c r="B836" s="765">
        <v>2020</v>
      </c>
      <c r="C836" s="761" t="s">
        <v>2345</v>
      </c>
      <c r="D836" s="761" t="s">
        <v>2065</v>
      </c>
      <c r="E836" s="761" t="s">
        <v>828</v>
      </c>
      <c r="F836" s="1187">
        <v>5079.67</v>
      </c>
      <c r="G836" s="766"/>
      <c r="H836" s="767"/>
      <c r="I836" s="767"/>
      <c r="J836" s="1187">
        <v>0</v>
      </c>
      <c r="K836" s="1188">
        <v>5079.67</v>
      </c>
    </row>
    <row r="837" spans="1:11" ht="20.399999999999999" x14ac:dyDescent="0.3">
      <c r="A837" s="761" t="s">
        <v>202</v>
      </c>
      <c r="B837" s="765">
        <v>2020</v>
      </c>
      <c r="C837" s="761" t="s">
        <v>2345</v>
      </c>
      <c r="D837" s="761" t="s">
        <v>2066</v>
      </c>
      <c r="E837" s="761" t="s">
        <v>828</v>
      </c>
      <c r="F837" s="1187">
        <v>60433.06</v>
      </c>
      <c r="G837" s="766"/>
      <c r="H837" s="767"/>
      <c r="I837" s="767"/>
      <c r="J837" s="1187">
        <v>0</v>
      </c>
      <c r="K837" s="1188">
        <v>60433.06</v>
      </c>
    </row>
    <row r="838" spans="1:11" ht="30.6" x14ac:dyDescent="0.3">
      <c r="A838" s="761" t="s">
        <v>202</v>
      </c>
      <c r="B838" s="765">
        <v>2020</v>
      </c>
      <c r="C838" s="761" t="s">
        <v>2346</v>
      </c>
      <c r="D838" s="761" t="s">
        <v>43</v>
      </c>
      <c r="E838" s="761" t="s">
        <v>829</v>
      </c>
      <c r="F838" s="1187">
        <v>107726.14</v>
      </c>
      <c r="G838" s="761" t="s">
        <v>631</v>
      </c>
      <c r="H838" s="1187">
        <v>105477.453125</v>
      </c>
      <c r="I838" s="1187">
        <v>2248.68994140625</v>
      </c>
      <c r="J838" s="1187">
        <v>107726.140625</v>
      </c>
      <c r="K838" s="1188">
        <v>107726.14</v>
      </c>
    </row>
    <row r="839" spans="1:11" ht="30.6" x14ac:dyDescent="0.3">
      <c r="A839" s="761" t="s">
        <v>202</v>
      </c>
      <c r="B839" s="765">
        <v>2020</v>
      </c>
      <c r="C839" s="761" t="s">
        <v>2347</v>
      </c>
      <c r="D839" s="761" t="s">
        <v>44</v>
      </c>
      <c r="E839" s="761" t="s">
        <v>830</v>
      </c>
      <c r="F839" s="1187">
        <v>191743.06</v>
      </c>
      <c r="G839" s="761" t="s">
        <v>631</v>
      </c>
      <c r="H839" s="1187">
        <v>185753.84375</v>
      </c>
      <c r="I839" s="1187">
        <v>5989.22021484375</v>
      </c>
      <c r="J839" s="1187">
        <v>191743.0625</v>
      </c>
      <c r="K839" s="1188">
        <v>191743.06</v>
      </c>
    </row>
    <row r="840" spans="1:11" ht="30.6" x14ac:dyDescent="0.3">
      <c r="A840" s="761" t="s">
        <v>202</v>
      </c>
      <c r="B840" s="765">
        <v>2020</v>
      </c>
      <c r="C840" s="761" t="s">
        <v>2348</v>
      </c>
      <c r="D840" s="761" t="s">
        <v>46</v>
      </c>
      <c r="E840" s="761" t="s">
        <v>831</v>
      </c>
      <c r="F840" s="1187">
        <v>-292144.38</v>
      </c>
      <c r="G840" s="761" t="s">
        <v>631</v>
      </c>
      <c r="H840" s="1187">
        <v>-293326.09375</v>
      </c>
      <c r="I840" s="1187">
        <v>1181.71997070313</v>
      </c>
      <c r="J840" s="1187">
        <v>-292144.375</v>
      </c>
      <c r="K840" s="1188">
        <v>-292144.38</v>
      </c>
    </row>
    <row r="841" spans="1:11" ht="20.399999999999999" x14ac:dyDescent="0.3">
      <c r="A841" s="761" t="s">
        <v>202</v>
      </c>
      <c r="B841" s="765">
        <v>2020</v>
      </c>
      <c r="C841" s="761" t="s">
        <v>2349</v>
      </c>
      <c r="D841" s="761" t="s">
        <v>339</v>
      </c>
      <c r="E841" s="761" t="s">
        <v>832</v>
      </c>
      <c r="F841" s="1187">
        <v>-1084833.56</v>
      </c>
      <c r="G841" s="761" t="s">
        <v>631</v>
      </c>
      <c r="H841" s="1187">
        <v>-1048944</v>
      </c>
      <c r="I841" s="1187">
        <v>-35889.55078125</v>
      </c>
      <c r="J841" s="1187">
        <v>-1084833.5</v>
      </c>
      <c r="K841" s="1188">
        <v>-1084833.56</v>
      </c>
    </row>
    <row r="842" spans="1:11" ht="40.799999999999997" x14ac:dyDescent="0.3">
      <c r="A842" s="761" t="s">
        <v>202</v>
      </c>
      <c r="B842" s="765">
        <v>2020</v>
      </c>
      <c r="C842" s="761" t="s">
        <v>2350</v>
      </c>
      <c r="D842" s="761" t="s">
        <v>633</v>
      </c>
      <c r="E842" s="761" t="s">
        <v>1178</v>
      </c>
      <c r="F842" s="1187">
        <v>0</v>
      </c>
      <c r="G842" s="761" t="s">
        <v>631</v>
      </c>
      <c r="H842" s="767"/>
      <c r="I842" s="767"/>
      <c r="J842" s="1187">
        <v>0</v>
      </c>
      <c r="K842" s="1188">
        <v>0</v>
      </c>
    </row>
    <row r="843" spans="1:11" ht="40.799999999999997" x14ac:dyDescent="0.3">
      <c r="A843" s="761" t="s">
        <v>202</v>
      </c>
      <c r="B843" s="765">
        <v>2020</v>
      </c>
      <c r="C843" s="761" t="s">
        <v>2350</v>
      </c>
      <c r="D843" s="761" t="s">
        <v>634</v>
      </c>
      <c r="E843" s="761" t="s">
        <v>1179</v>
      </c>
      <c r="F843" s="1187">
        <v>0</v>
      </c>
      <c r="G843" s="761" t="s">
        <v>631</v>
      </c>
      <c r="H843" s="767"/>
      <c r="I843" s="767"/>
      <c r="J843" s="1187">
        <v>0</v>
      </c>
      <c r="K843" s="1188">
        <v>0</v>
      </c>
    </row>
    <row r="844" spans="1:11" ht="40.799999999999997" x14ac:dyDescent="0.3">
      <c r="A844" s="761" t="s">
        <v>202</v>
      </c>
      <c r="B844" s="765">
        <v>2020</v>
      </c>
      <c r="C844" s="761" t="s">
        <v>2350</v>
      </c>
      <c r="D844" s="761" t="s">
        <v>635</v>
      </c>
      <c r="E844" s="761" t="s">
        <v>1180</v>
      </c>
      <c r="F844" s="1187">
        <v>0</v>
      </c>
      <c r="G844" s="761" t="s">
        <v>631</v>
      </c>
      <c r="H844" s="767"/>
      <c r="I844" s="767"/>
      <c r="J844" s="1187">
        <v>0</v>
      </c>
      <c r="K844" s="1188">
        <v>0</v>
      </c>
    </row>
    <row r="845" spans="1:11" ht="40.799999999999997" x14ac:dyDescent="0.3">
      <c r="A845" s="761" t="s">
        <v>202</v>
      </c>
      <c r="B845" s="765">
        <v>2020</v>
      </c>
      <c r="C845" s="761" t="s">
        <v>2350</v>
      </c>
      <c r="D845" s="761" t="s">
        <v>636</v>
      </c>
      <c r="E845" s="761" t="s">
        <v>1181</v>
      </c>
      <c r="F845" s="1187">
        <v>0</v>
      </c>
      <c r="G845" s="761" t="s">
        <v>631</v>
      </c>
      <c r="H845" s="767"/>
      <c r="I845" s="767"/>
      <c r="J845" s="1187">
        <v>0</v>
      </c>
      <c r="K845" s="1188">
        <v>0</v>
      </c>
    </row>
    <row r="846" spans="1:11" ht="40.799999999999997" x14ac:dyDescent="0.3">
      <c r="A846" s="761" t="s">
        <v>202</v>
      </c>
      <c r="B846" s="765">
        <v>2020</v>
      </c>
      <c r="C846" s="761" t="s">
        <v>2350</v>
      </c>
      <c r="D846" s="761" t="s">
        <v>637</v>
      </c>
      <c r="E846" s="761" t="s">
        <v>1182</v>
      </c>
      <c r="F846" s="1187">
        <v>0</v>
      </c>
      <c r="G846" s="761" t="s">
        <v>631</v>
      </c>
      <c r="H846" s="1187">
        <v>170827.09375</v>
      </c>
      <c r="I846" s="1187">
        <v>-71449.15625</v>
      </c>
      <c r="J846" s="1187">
        <v>99377.9375</v>
      </c>
      <c r="K846" s="1188">
        <v>99377.94</v>
      </c>
    </row>
    <row r="847" spans="1:11" ht="40.799999999999997" x14ac:dyDescent="0.3">
      <c r="A847" s="761" t="s">
        <v>202</v>
      </c>
      <c r="B847" s="765">
        <v>2020</v>
      </c>
      <c r="C847" s="761" t="s">
        <v>2350</v>
      </c>
      <c r="D847" s="761" t="s">
        <v>638</v>
      </c>
      <c r="E847" s="761" t="s">
        <v>1183</v>
      </c>
      <c r="F847" s="1187">
        <v>0</v>
      </c>
      <c r="G847" s="761" t="s">
        <v>631</v>
      </c>
      <c r="H847" s="767"/>
      <c r="I847" s="767"/>
      <c r="J847" s="1187">
        <v>0</v>
      </c>
      <c r="K847" s="1188">
        <v>0</v>
      </c>
    </row>
    <row r="848" spans="1:11" ht="40.799999999999997" x14ac:dyDescent="0.3">
      <c r="A848" s="761" t="s">
        <v>202</v>
      </c>
      <c r="B848" s="765">
        <v>2020</v>
      </c>
      <c r="C848" s="761" t="s">
        <v>2350</v>
      </c>
      <c r="D848" s="761" t="s">
        <v>639</v>
      </c>
      <c r="E848" s="761" t="s">
        <v>1184</v>
      </c>
      <c r="F848" s="1187">
        <v>0</v>
      </c>
      <c r="G848" s="761" t="s">
        <v>631</v>
      </c>
      <c r="H848" s="767"/>
      <c r="I848" s="767"/>
      <c r="J848" s="1187">
        <v>0</v>
      </c>
      <c r="K848" s="1188">
        <v>0</v>
      </c>
    </row>
    <row r="849" spans="1:11" ht="40.799999999999997" x14ac:dyDescent="0.3">
      <c r="A849" s="761" t="s">
        <v>202</v>
      </c>
      <c r="B849" s="765">
        <v>2020</v>
      </c>
      <c r="C849" s="761" t="s">
        <v>2350</v>
      </c>
      <c r="D849" s="761" t="s">
        <v>1613</v>
      </c>
      <c r="E849" s="761" t="s">
        <v>1980</v>
      </c>
      <c r="F849" s="1187">
        <v>0</v>
      </c>
      <c r="G849" s="761" t="s">
        <v>631</v>
      </c>
      <c r="H849" s="1187">
        <v>-1477803.75</v>
      </c>
      <c r="I849" s="1187">
        <v>1445766.75</v>
      </c>
      <c r="J849" s="1187">
        <v>-32036.970703125</v>
      </c>
      <c r="K849" s="1188">
        <v>-32036.97</v>
      </c>
    </row>
    <row r="850" spans="1:11" ht="40.799999999999997" x14ac:dyDescent="0.3">
      <c r="A850" s="761" t="s">
        <v>202</v>
      </c>
      <c r="B850" s="765">
        <v>2020</v>
      </c>
      <c r="C850" s="761" t="s">
        <v>2350</v>
      </c>
      <c r="D850" s="761" t="s">
        <v>2067</v>
      </c>
      <c r="E850" s="761" t="s">
        <v>2093</v>
      </c>
      <c r="F850" s="1187">
        <v>0</v>
      </c>
      <c r="G850" s="761" t="s">
        <v>631</v>
      </c>
      <c r="H850" s="1187">
        <v>-17456.5390625</v>
      </c>
      <c r="I850" s="1187">
        <v>-62982.91015625</v>
      </c>
      <c r="J850" s="1187">
        <v>-80439.453125</v>
      </c>
      <c r="K850" s="1188">
        <v>-80439.45</v>
      </c>
    </row>
    <row r="851" spans="1:11" ht="40.799999999999997" x14ac:dyDescent="0.3">
      <c r="A851" s="761" t="s">
        <v>202</v>
      </c>
      <c r="B851" s="765">
        <v>2020</v>
      </c>
      <c r="C851" s="761" t="s">
        <v>2350</v>
      </c>
      <c r="D851" s="761" t="s">
        <v>3762</v>
      </c>
      <c r="E851" s="761" t="s">
        <v>4350</v>
      </c>
      <c r="F851" s="1187">
        <v>0</v>
      </c>
      <c r="G851" s="761" t="s">
        <v>631</v>
      </c>
      <c r="H851" s="1187">
        <v>164266.296875</v>
      </c>
      <c r="I851" s="1187">
        <v>-171994.875</v>
      </c>
      <c r="J851" s="1187">
        <v>-7728.58984375</v>
      </c>
      <c r="K851" s="1188">
        <v>-7728.59</v>
      </c>
    </row>
    <row r="852" spans="1:11" ht="40.799999999999997" x14ac:dyDescent="0.3">
      <c r="A852" s="761" t="s">
        <v>202</v>
      </c>
      <c r="B852" s="765">
        <v>2020</v>
      </c>
      <c r="C852" s="761" t="s">
        <v>2350</v>
      </c>
      <c r="D852" s="761" t="s">
        <v>4844</v>
      </c>
      <c r="E852" s="761" t="s">
        <v>5805</v>
      </c>
      <c r="F852" s="1187">
        <v>0</v>
      </c>
      <c r="G852" s="761" t="s">
        <v>631</v>
      </c>
      <c r="H852" s="767"/>
      <c r="I852" s="767"/>
      <c r="J852" s="1187">
        <v>0</v>
      </c>
      <c r="K852" s="1188">
        <v>0</v>
      </c>
    </row>
    <row r="853" spans="1:11" ht="40.799999999999997" x14ac:dyDescent="0.3">
      <c r="A853" s="761" t="s">
        <v>202</v>
      </c>
      <c r="B853" s="765">
        <v>2020</v>
      </c>
      <c r="C853" s="761" t="s">
        <v>2350</v>
      </c>
      <c r="D853" s="761" t="s">
        <v>7101</v>
      </c>
      <c r="E853" s="761" t="s">
        <v>7172</v>
      </c>
      <c r="F853" s="1187">
        <v>0</v>
      </c>
      <c r="G853" s="761" t="s">
        <v>631</v>
      </c>
      <c r="H853" s="767"/>
      <c r="I853" s="767"/>
      <c r="J853" s="1187">
        <v>0</v>
      </c>
      <c r="K853" s="1188">
        <v>0</v>
      </c>
    </row>
    <row r="854" spans="1:11" ht="40.799999999999997" x14ac:dyDescent="0.3">
      <c r="A854" s="761" t="s">
        <v>202</v>
      </c>
      <c r="B854" s="765">
        <v>2020</v>
      </c>
      <c r="C854" s="761" t="s">
        <v>2350</v>
      </c>
      <c r="D854" s="761" t="s">
        <v>640</v>
      </c>
      <c r="E854" s="761" t="s">
        <v>1369</v>
      </c>
      <c r="F854" s="1187">
        <v>-20827.07</v>
      </c>
      <c r="G854" s="766"/>
      <c r="H854" s="767"/>
      <c r="I854" s="767"/>
      <c r="J854" s="1187">
        <v>0</v>
      </c>
      <c r="K854" s="1188">
        <v>-20827.07</v>
      </c>
    </row>
    <row r="855" spans="1:11" x14ac:dyDescent="0.3">
      <c r="A855" s="761" t="s">
        <v>181</v>
      </c>
      <c r="B855" s="765">
        <v>2020</v>
      </c>
      <c r="C855" s="761" t="s">
        <v>2342</v>
      </c>
      <c r="D855" s="761" t="s">
        <v>45</v>
      </c>
      <c r="E855" s="761" t="s">
        <v>833</v>
      </c>
      <c r="F855" s="1187">
        <v>330028.7</v>
      </c>
      <c r="G855" s="761" t="s">
        <v>631</v>
      </c>
      <c r="H855" s="1187">
        <v>319967.25</v>
      </c>
      <c r="I855" s="1187">
        <v>10061.4501953125</v>
      </c>
      <c r="J855" s="1187">
        <v>330028.6875</v>
      </c>
      <c r="K855" s="1188">
        <v>330028.7</v>
      </c>
    </row>
    <row r="856" spans="1:11" ht="30.6" x14ac:dyDescent="0.3">
      <c r="A856" s="761" t="s">
        <v>181</v>
      </c>
      <c r="B856" s="765">
        <v>2020</v>
      </c>
      <c r="C856" s="761" t="s">
        <v>2343</v>
      </c>
      <c r="D856" s="761" t="s">
        <v>632</v>
      </c>
      <c r="E856" s="761" t="s">
        <v>834</v>
      </c>
      <c r="F856" s="1187">
        <v>-10521.72</v>
      </c>
      <c r="G856" s="761" t="s">
        <v>631</v>
      </c>
      <c r="H856" s="1187">
        <v>-10257.91015625</v>
      </c>
      <c r="I856" s="1187">
        <v>-263.80999755859398</v>
      </c>
      <c r="J856" s="1187">
        <v>-10521.7197265625</v>
      </c>
      <c r="K856" s="1188">
        <v>-10521.72</v>
      </c>
    </row>
    <row r="857" spans="1:11" ht="20.399999999999999" x14ac:dyDescent="0.3">
      <c r="A857" s="761" t="s">
        <v>181</v>
      </c>
      <c r="B857" s="765">
        <v>2020</v>
      </c>
      <c r="C857" s="761" t="s">
        <v>2344</v>
      </c>
      <c r="D857" s="761" t="s">
        <v>452</v>
      </c>
      <c r="E857" s="761" t="s">
        <v>835</v>
      </c>
      <c r="F857" s="1187">
        <v>348529.15</v>
      </c>
      <c r="G857" s="766"/>
      <c r="H857" s="767"/>
      <c r="I857" s="767"/>
      <c r="J857" s="1187">
        <v>0</v>
      </c>
      <c r="K857" s="1188">
        <v>348529.15</v>
      </c>
    </row>
    <row r="858" spans="1:11" ht="20.399999999999999" x14ac:dyDescent="0.3">
      <c r="A858" s="761" t="s">
        <v>181</v>
      </c>
      <c r="B858" s="765">
        <v>2020</v>
      </c>
      <c r="C858" s="761" t="s">
        <v>2345</v>
      </c>
      <c r="D858" s="761" t="s">
        <v>42</v>
      </c>
      <c r="E858" s="761" t="s">
        <v>836</v>
      </c>
      <c r="F858" s="1187">
        <v>-359063.35</v>
      </c>
      <c r="G858" s="761" t="s">
        <v>631</v>
      </c>
      <c r="H858" s="1187">
        <v>-346850.96875</v>
      </c>
      <c r="I858" s="1187">
        <v>-12212.3798828125</v>
      </c>
      <c r="J858" s="1187">
        <v>-359063.34375</v>
      </c>
      <c r="K858" s="1188">
        <v>-359063.35</v>
      </c>
    </row>
    <row r="859" spans="1:11" ht="20.399999999999999" x14ac:dyDescent="0.3">
      <c r="A859" s="761" t="s">
        <v>181</v>
      </c>
      <c r="B859" s="765">
        <v>2020</v>
      </c>
      <c r="C859" s="761" t="s">
        <v>2345</v>
      </c>
      <c r="D859" s="761" t="s">
        <v>2063</v>
      </c>
      <c r="E859" s="761" t="s">
        <v>836</v>
      </c>
      <c r="F859" s="1187">
        <v>0</v>
      </c>
      <c r="G859" s="766"/>
      <c r="H859" s="767"/>
      <c r="I859" s="767"/>
      <c r="J859" s="1187">
        <v>0</v>
      </c>
      <c r="K859" s="1188">
        <v>0</v>
      </c>
    </row>
    <row r="860" spans="1:11" ht="20.399999999999999" x14ac:dyDescent="0.3">
      <c r="A860" s="761" t="s">
        <v>181</v>
      </c>
      <c r="B860" s="765">
        <v>2020</v>
      </c>
      <c r="C860" s="761" t="s">
        <v>2345</v>
      </c>
      <c r="D860" s="761" t="s">
        <v>2064</v>
      </c>
      <c r="E860" s="761" t="s">
        <v>836</v>
      </c>
      <c r="F860" s="1187">
        <v>0</v>
      </c>
      <c r="G860" s="766"/>
      <c r="H860" s="767"/>
      <c r="I860" s="767"/>
      <c r="J860" s="1187">
        <v>0</v>
      </c>
      <c r="K860" s="1188">
        <v>0</v>
      </c>
    </row>
    <row r="861" spans="1:11" ht="20.399999999999999" x14ac:dyDescent="0.3">
      <c r="A861" s="761" t="s">
        <v>181</v>
      </c>
      <c r="B861" s="765">
        <v>2020</v>
      </c>
      <c r="C861" s="761" t="s">
        <v>2345</v>
      </c>
      <c r="D861" s="761" t="s">
        <v>2065</v>
      </c>
      <c r="E861" s="761" t="s">
        <v>836</v>
      </c>
      <c r="F861" s="1187">
        <v>-5406.46</v>
      </c>
      <c r="G861" s="766"/>
      <c r="H861" s="767"/>
      <c r="I861" s="767"/>
      <c r="J861" s="1187">
        <v>0</v>
      </c>
      <c r="K861" s="1188">
        <v>-5406.46</v>
      </c>
    </row>
    <row r="862" spans="1:11" ht="20.399999999999999" x14ac:dyDescent="0.3">
      <c r="A862" s="761" t="s">
        <v>181</v>
      </c>
      <c r="B862" s="765">
        <v>2020</v>
      </c>
      <c r="C862" s="761" t="s">
        <v>2345</v>
      </c>
      <c r="D862" s="761" t="s">
        <v>2066</v>
      </c>
      <c r="E862" s="761" t="s">
        <v>836</v>
      </c>
      <c r="F862" s="1187">
        <v>-11631.08</v>
      </c>
      <c r="G862" s="766"/>
      <c r="H862" s="767"/>
      <c r="I862" s="767"/>
      <c r="J862" s="1187">
        <v>0</v>
      </c>
      <c r="K862" s="1188">
        <v>-11631.08</v>
      </c>
    </row>
    <row r="863" spans="1:11" ht="30.6" x14ac:dyDescent="0.3">
      <c r="A863" s="761" t="s">
        <v>181</v>
      </c>
      <c r="B863" s="765">
        <v>2020</v>
      </c>
      <c r="C863" s="761" t="s">
        <v>2346</v>
      </c>
      <c r="D863" s="761" t="s">
        <v>43</v>
      </c>
      <c r="E863" s="761" t="s">
        <v>837</v>
      </c>
      <c r="F863" s="1187">
        <v>-31103.96</v>
      </c>
      <c r="G863" s="761" t="s">
        <v>631</v>
      </c>
      <c r="H863" s="1187">
        <v>-30573.580078125</v>
      </c>
      <c r="I863" s="1187">
        <v>-530.38000488281295</v>
      </c>
      <c r="J863" s="1187">
        <v>-31103.9609375</v>
      </c>
      <c r="K863" s="1188">
        <v>-31103.96</v>
      </c>
    </row>
    <row r="864" spans="1:11" ht="30.6" x14ac:dyDescent="0.3">
      <c r="A864" s="761" t="s">
        <v>181</v>
      </c>
      <c r="B864" s="765">
        <v>2020</v>
      </c>
      <c r="C864" s="761" t="s">
        <v>2347</v>
      </c>
      <c r="D864" s="761" t="s">
        <v>44</v>
      </c>
      <c r="E864" s="761" t="s">
        <v>838</v>
      </c>
      <c r="F864" s="1187">
        <v>18048.03</v>
      </c>
      <c r="G864" s="761" t="s">
        <v>631</v>
      </c>
      <c r="H864" s="1187">
        <v>17881.310546875</v>
      </c>
      <c r="I864" s="1187">
        <v>166.72000122070301</v>
      </c>
      <c r="J864" s="1187">
        <v>18048.029296875</v>
      </c>
      <c r="K864" s="1188">
        <v>18048.03</v>
      </c>
    </row>
    <row r="865" spans="1:11" ht="30.6" x14ac:dyDescent="0.3">
      <c r="A865" s="761" t="s">
        <v>181</v>
      </c>
      <c r="B865" s="765">
        <v>2020</v>
      </c>
      <c r="C865" s="761" t="s">
        <v>2348</v>
      </c>
      <c r="D865" s="761" t="s">
        <v>46</v>
      </c>
      <c r="E865" s="761" t="s">
        <v>839</v>
      </c>
      <c r="F865" s="1187">
        <v>-247504.6</v>
      </c>
      <c r="G865" s="761" t="s">
        <v>631</v>
      </c>
      <c r="H865" s="1187">
        <v>-252578.5625</v>
      </c>
      <c r="I865" s="1187">
        <v>5073.97021484375</v>
      </c>
      <c r="J865" s="1187">
        <v>-247504.59375</v>
      </c>
      <c r="K865" s="1188">
        <v>-247504.6</v>
      </c>
    </row>
    <row r="866" spans="1:11" ht="20.399999999999999" x14ac:dyDescent="0.3">
      <c r="A866" s="761" t="s">
        <v>181</v>
      </c>
      <c r="B866" s="765">
        <v>2020</v>
      </c>
      <c r="C866" s="761" t="s">
        <v>2349</v>
      </c>
      <c r="D866" s="761" t="s">
        <v>339</v>
      </c>
      <c r="E866" s="761" t="s">
        <v>840</v>
      </c>
      <c r="F866" s="1187">
        <v>7515.95</v>
      </c>
      <c r="G866" s="761" t="s">
        <v>631</v>
      </c>
      <c r="H866" s="1187">
        <v>11092.169921875</v>
      </c>
      <c r="I866" s="1187">
        <v>-3576.21997070313</v>
      </c>
      <c r="J866" s="1187">
        <v>7515.9501953125</v>
      </c>
      <c r="K866" s="1188">
        <v>7515.95</v>
      </c>
    </row>
    <row r="867" spans="1:11" ht="40.799999999999997" x14ac:dyDescent="0.3">
      <c r="A867" s="761" t="s">
        <v>181</v>
      </c>
      <c r="B867" s="765">
        <v>2020</v>
      </c>
      <c r="C867" s="761" t="s">
        <v>2350</v>
      </c>
      <c r="D867" s="761" t="s">
        <v>633</v>
      </c>
      <c r="E867" s="761" t="s">
        <v>1185</v>
      </c>
      <c r="F867" s="1187">
        <v>0</v>
      </c>
      <c r="G867" s="761" t="s">
        <v>631</v>
      </c>
      <c r="H867" s="767"/>
      <c r="I867" s="767"/>
      <c r="J867" s="1187">
        <v>0</v>
      </c>
      <c r="K867" s="1188">
        <v>0</v>
      </c>
    </row>
    <row r="868" spans="1:11" ht="40.799999999999997" x14ac:dyDescent="0.3">
      <c r="A868" s="761" t="s">
        <v>181</v>
      </c>
      <c r="B868" s="765">
        <v>2020</v>
      </c>
      <c r="C868" s="761" t="s">
        <v>2350</v>
      </c>
      <c r="D868" s="761" t="s">
        <v>634</v>
      </c>
      <c r="E868" s="761" t="s">
        <v>1186</v>
      </c>
      <c r="F868" s="1187">
        <v>0</v>
      </c>
      <c r="G868" s="761" t="s">
        <v>631</v>
      </c>
      <c r="H868" s="767"/>
      <c r="I868" s="767"/>
      <c r="J868" s="1187">
        <v>0</v>
      </c>
      <c r="K868" s="1188">
        <v>0</v>
      </c>
    </row>
    <row r="869" spans="1:11" ht="40.799999999999997" x14ac:dyDescent="0.3">
      <c r="A869" s="761" t="s">
        <v>181</v>
      </c>
      <c r="B869" s="765">
        <v>2020</v>
      </c>
      <c r="C869" s="761" t="s">
        <v>2350</v>
      </c>
      <c r="D869" s="761" t="s">
        <v>635</v>
      </c>
      <c r="E869" s="761" t="s">
        <v>1187</v>
      </c>
      <c r="F869" s="1187">
        <v>0</v>
      </c>
      <c r="G869" s="761" t="s">
        <v>631</v>
      </c>
      <c r="H869" s="767"/>
      <c r="I869" s="767"/>
      <c r="J869" s="1187">
        <v>0</v>
      </c>
      <c r="K869" s="1188">
        <v>0</v>
      </c>
    </row>
    <row r="870" spans="1:11" ht="40.799999999999997" x14ac:dyDescent="0.3">
      <c r="A870" s="761" t="s">
        <v>181</v>
      </c>
      <c r="B870" s="765">
        <v>2020</v>
      </c>
      <c r="C870" s="761" t="s">
        <v>2350</v>
      </c>
      <c r="D870" s="761" t="s">
        <v>636</v>
      </c>
      <c r="E870" s="761" t="s">
        <v>1188</v>
      </c>
      <c r="F870" s="1187">
        <v>0</v>
      </c>
      <c r="G870" s="761" t="s">
        <v>631</v>
      </c>
      <c r="H870" s="767"/>
      <c r="I870" s="767"/>
      <c r="J870" s="1187">
        <v>0</v>
      </c>
      <c r="K870" s="1188">
        <v>0</v>
      </c>
    </row>
    <row r="871" spans="1:11" ht="40.799999999999997" x14ac:dyDescent="0.3">
      <c r="A871" s="761" t="s">
        <v>181</v>
      </c>
      <c r="B871" s="765">
        <v>2020</v>
      </c>
      <c r="C871" s="761" t="s">
        <v>2350</v>
      </c>
      <c r="D871" s="761" t="s">
        <v>637</v>
      </c>
      <c r="E871" s="761" t="s">
        <v>1189</v>
      </c>
      <c r="F871" s="1187">
        <v>0</v>
      </c>
      <c r="G871" s="761" t="s">
        <v>631</v>
      </c>
      <c r="H871" s="767"/>
      <c r="I871" s="767"/>
      <c r="J871" s="1187">
        <v>0</v>
      </c>
      <c r="K871" s="1188">
        <v>0</v>
      </c>
    </row>
    <row r="872" spans="1:11" ht="40.799999999999997" x14ac:dyDescent="0.3">
      <c r="A872" s="761" t="s">
        <v>181</v>
      </c>
      <c r="B872" s="765">
        <v>2020</v>
      </c>
      <c r="C872" s="761" t="s">
        <v>2350</v>
      </c>
      <c r="D872" s="761" t="s">
        <v>638</v>
      </c>
      <c r="E872" s="761" t="s">
        <v>1190</v>
      </c>
      <c r="F872" s="1187">
        <v>0</v>
      </c>
      <c r="G872" s="761" t="s">
        <v>631</v>
      </c>
      <c r="H872" s="767"/>
      <c r="I872" s="767"/>
      <c r="J872" s="1187">
        <v>0</v>
      </c>
      <c r="K872" s="1188">
        <v>0</v>
      </c>
    </row>
    <row r="873" spans="1:11" ht="40.799999999999997" x14ac:dyDescent="0.3">
      <c r="A873" s="761" t="s">
        <v>181</v>
      </c>
      <c r="B873" s="765">
        <v>2020</v>
      </c>
      <c r="C873" s="761" t="s">
        <v>2350</v>
      </c>
      <c r="D873" s="761" t="s">
        <v>639</v>
      </c>
      <c r="E873" s="761" t="s">
        <v>1191</v>
      </c>
      <c r="F873" s="1187">
        <v>0</v>
      </c>
      <c r="G873" s="761" t="s">
        <v>631</v>
      </c>
      <c r="H873" s="767"/>
      <c r="I873" s="767"/>
      <c r="J873" s="1187">
        <v>0</v>
      </c>
      <c r="K873" s="1188">
        <v>0</v>
      </c>
    </row>
    <row r="874" spans="1:11" ht="40.799999999999997" x14ac:dyDescent="0.3">
      <c r="A874" s="761" t="s">
        <v>181</v>
      </c>
      <c r="B874" s="765">
        <v>2020</v>
      </c>
      <c r="C874" s="761" t="s">
        <v>2350</v>
      </c>
      <c r="D874" s="761" t="s">
        <v>1613</v>
      </c>
      <c r="E874" s="761" t="s">
        <v>1981</v>
      </c>
      <c r="F874" s="1187">
        <v>0</v>
      </c>
      <c r="G874" s="761" t="s">
        <v>631</v>
      </c>
      <c r="H874" s="767"/>
      <c r="I874" s="767"/>
      <c r="J874" s="1187">
        <v>0</v>
      </c>
      <c r="K874" s="1188">
        <v>0</v>
      </c>
    </row>
    <row r="875" spans="1:11" ht="40.799999999999997" x14ac:dyDescent="0.3">
      <c r="A875" s="761" t="s">
        <v>181</v>
      </c>
      <c r="B875" s="765">
        <v>2020</v>
      </c>
      <c r="C875" s="761" t="s">
        <v>2350</v>
      </c>
      <c r="D875" s="761" t="s">
        <v>2067</v>
      </c>
      <c r="E875" s="761" t="s">
        <v>2094</v>
      </c>
      <c r="F875" s="1187">
        <v>0</v>
      </c>
      <c r="G875" s="761" t="s">
        <v>631</v>
      </c>
      <c r="H875" s="767"/>
      <c r="I875" s="767"/>
      <c r="J875" s="1187">
        <v>0</v>
      </c>
      <c r="K875" s="1188">
        <v>0</v>
      </c>
    </row>
    <row r="876" spans="1:11" ht="40.799999999999997" x14ac:dyDescent="0.3">
      <c r="A876" s="761" t="s">
        <v>181</v>
      </c>
      <c r="B876" s="765">
        <v>2020</v>
      </c>
      <c r="C876" s="761" t="s">
        <v>2350</v>
      </c>
      <c r="D876" s="761" t="s">
        <v>3762</v>
      </c>
      <c r="E876" s="761" t="s">
        <v>4351</v>
      </c>
      <c r="F876" s="1187">
        <v>0</v>
      </c>
      <c r="G876" s="761" t="s">
        <v>631</v>
      </c>
      <c r="H876" s="1187">
        <v>69994.7578125</v>
      </c>
      <c r="I876" s="1187">
        <v>-9810.41015625</v>
      </c>
      <c r="J876" s="1187">
        <v>60184.3515625</v>
      </c>
      <c r="K876" s="1188">
        <v>60184.35</v>
      </c>
    </row>
    <row r="877" spans="1:11" ht="40.799999999999997" x14ac:dyDescent="0.3">
      <c r="A877" s="761" t="s">
        <v>181</v>
      </c>
      <c r="B877" s="765">
        <v>2020</v>
      </c>
      <c r="C877" s="761" t="s">
        <v>2350</v>
      </c>
      <c r="D877" s="761" t="s">
        <v>4844</v>
      </c>
      <c r="E877" s="761" t="s">
        <v>5806</v>
      </c>
      <c r="F877" s="1187">
        <v>0</v>
      </c>
      <c r="G877" s="761" t="s">
        <v>631</v>
      </c>
      <c r="H877" s="1187">
        <v>-2543.01000976563</v>
      </c>
      <c r="I877" s="1187">
        <v>10852.490234375</v>
      </c>
      <c r="J877" s="1187">
        <v>8309.48046875</v>
      </c>
      <c r="K877" s="1188">
        <v>8309.48</v>
      </c>
    </row>
    <row r="878" spans="1:11" ht="40.799999999999997" x14ac:dyDescent="0.3">
      <c r="A878" s="761" t="s">
        <v>181</v>
      </c>
      <c r="B878" s="765">
        <v>2020</v>
      </c>
      <c r="C878" s="761" t="s">
        <v>2350</v>
      </c>
      <c r="D878" s="761" t="s">
        <v>7101</v>
      </c>
      <c r="E878" s="761" t="s">
        <v>7173</v>
      </c>
      <c r="F878" s="1187">
        <v>0</v>
      </c>
      <c r="G878" s="761" t="s">
        <v>631</v>
      </c>
      <c r="H878" s="1187">
        <v>-602438.75</v>
      </c>
      <c r="I878" s="1187">
        <v>489631.0625</v>
      </c>
      <c r="J878" s="1187">
        <v>-112807.7109375</v>
      </c>
      <c r="K878" s="1188">
        <v>-112807.71</v>
      </c>
    </row>
    <row r="879" spans="1:11" ht="40.799999999999997" x14ac:dyDescent="0.3">
      <c r="A879" s="761" t="s">
        <v>181</v>
      </c>
      <c r="B879" s="765">
        <v>2020</v>
      </c>
      <c r="C879" s="761" t="s">
        <v>2350</v>
      </c>
      <c r="D879" s="761" t="s">
        <v>640</v>
      </c>
      <c r="E879" s="761" t="s">
        <v>1370</v>
      </c>
      <c r="F879" s="1187">
        <v>-44313.88</v>
      </c>
      <c r="G879" s="766"/>
      <c r="H879" s="767"/>
      <c r="I879" s="767"/>
      <c r="J879" s="1187">
        <v>0</v>
      </c>
      <c r="K879" s="1188">
        <v>-44313.88</v>
      </c>
    </row>
    <row r="880" spans="1:11" x14ac:dyDescent="0.3">
      <c r="A880" s="761" t="s">
        <v>182</v>
      </c>
      <c r="B880" s="765">
        <v>2020</v>
      </c>
      <c r="C880" s="761" t="s">
        <v>2342</v>
      </c>
      <c r="D880" s="761" t="s">
        <v>45</v>
      </c>
      <c r="E880" s="761" t="s">
        <v>841</v>
      </c>
      <c r="F880" s="1187">
        <v>0</v>
      </c>
      <c r="G880" s="761" t="s">
        <v>631</v>
      </c>
      <c r="H880" s="767"/>
      <c r="I880" s="767"/>
      <c r="J880" s="1187">
        <v>0</v>
      </c>
      <c r="K880" s="1188">
        <v>0</v>
      </c>
    </row>
    <row r="881" spans="1:11" ht="30.6" x14ac:dyDescent="0.3">
      <c r="A881" s="761" t="s">
        <v>182</v>
      </c>
      <c r="B881" s="765">
        <v>2020</v>
      </c>
      <c r="C881" s="761" t="s">
        <v>2343</v>
      </c>
      <c r="D881" s="761" t="s">
        <v>632</v>
      </c>
      <c r="E881" s="761" t="s">
        <v>842</v>
      </c>
      <c r="F881" s="1187">
        <v>-189009.45</v>
      </c>
      <c r="G881" s="761" t="s">
        <v>631</v>
      </c>
      <c r="H881" s="1187">
        <v>-182812.9375</v>
      </c>
      <c r="I881" s="1187">
        <v>-6196.52001953125</v>
      </c>
      <c r="J881" s="1187">
        <v>-189009.453125</v>
      </c>
      <c r="K881" s="1188">
        <v>-189009.45</v>
      </c>
    </row>
    <row r="882" spans="1:11" ht="20.399999999999999" x14ac:dyDescent="0.3">
      <c r="A882" s="761" t="s">
        <v>182</v>
      </c>
      <c r="B882" s="765">
        <v>2020</v>
      </c>
      <c r="C882" s="761" t="s">
        <v>2344</v>
      </c>
      <c r="D882" s="761" t="s">
        <v>452</v>
      </c>
      <c r="E882" s="761" t="s">
        <v>843</v>
      </c>
      <c r="F882" s="1187">
        <v>2185697.61</v>
      </c>
      <c r="G882" s="766"/>
      <c r="H882" s="767"/>
      <c r="I882" s="767"/>
      <c r="J882" s="1187">
        <v>0</v>
      </c>
      <c r="K882" s="1188">
        <v>2185697.61</v>
      </c>
    </row>
    <row r="883" spans="1:11" ht="20.399999999999999" x14ac:dyDescent="0.3">
      <c r="A883" s="761" t="s">
        <v>182</v>
      </c>
      <c r="B883" s="765">
        <v>2020</v>
      </c>
      <c r="C883" s="761" t="s">
        <v>2345</v>
      </c>
      <c r="D883" s="761" t="s">
        <v>42</v>
      </c>
      <c r="E883" s="761" t="s">
        <v>844</v>
      </c>
      <c r="F883" s="1187">
        <v>-4593713.99</v>
      </c>
      <c r="G883" s="761" t="s">
        <v>631</v>
      </c>
      <c r="H883" s="1187">
        <v>-4441415.5</v>
      </c>
      <c r="I883" s="1187">
        <v>-152298.703125</v>
      </c>
      <c r="J883" s="1187">
        <v>-4593714</v>
      </c>
      <c r="K883" s="1188">
        <v>-4593713.99</v>
      </c>
    </row>
    <row r="884" spans="1:11" ht="20.399999999999999" x14ac:dyDescent="0.3">
      <c r="A884" s="761" t="s">
        <v>182</v>
      </c>
      <c r="B884" s="765">
        <v>2020</v>
      </c>
      <c r="C884" s="761" t="s">
        <v>2345</v>
      </c>
      <c r="D884" s="761" t="s">
        <v>2063</v>
      </c>
      <c r="E884" s="761" t="s">
        <v>844</v>
      </c>
      <c r="F884" s="1187">
        <v>-9.42</v>
      </c>
      <c r="G884" s="766"/>
      <c r="H884" s="767"/>
      <c r="I884" s="767"/>
      <c r="J884" s="1187">
        <v>0</v>
      </c>
      <c r="K884" s="1188">
        <v>-9.42</v>
      </c>
    </row>
    <row r="885" spans="1:11" ht="20.399999999999999" x14ac:dyDescent="0.3">
      <c r="A885" s="761" t="s">
        <v>182</v>
      </c>
      <c r="B885" s="765">
        <v>2020</v>
      </c>
      <c r="C885" s="761" t="s">
        <v>2345</v>
      </c>
      <c r="D885" s="761" t="s">
        <v>2064</v>
      </c>
      <c r="E885" s="761" t="s">
        <v>844</v>
      </c>
      <c r="F885" s="1187">
        <v>-182.1</v>
      </c>
      <c r="G885" s="766"/>
      <c r="H885" s="767"/>
      <c r="I885" s="767"/>
      <c r="J885" s="1187">
        <v>0</v>
      </c>
      <c r="K885" s="1188">
        <v>-182.1</v>
      </c>
    </row>
    <row r="886" spans="1:11" ht="20.399999999999999" x14ac:dyDescent="0.3">
      <c r="A886" s="761" t="s">
        <v>182</v>
      </c>
      <c r="B886" s="765">
        <v>2020</v>
      </c>
      <c r="C886" s="761" t="s">
        <v>2345</v>
      </c>
      <c r="D886" s="761" t="s">
        <v>2065</v>
      </c>
      <c r="E886" s="761" t="s">
        <v>844</v>
      </c>
      <c r="F886" s="1187">
        <v>-5423.03</v>
      </c>
      <c r="G886" s="766"/>
      <c r="H886" s="767"/>
      <c r="I886" s="767"/>
      <c r="J886" s="1187">
        <v>0</v>
      </c>
      <c r="K886" s="1188">
        <v>-5423.03</v>
      </c>
    </row>
    <row r="887" spans="1:11" ht="20.399999999999999" x14ac:dyDescent="0.3">
      <c r="A887" s="761" t="s">
        <v>182</v>
      </c>
      <c r="B887" s="765">
        <v>2020</v>
      </c>
      <c r="C887" s="761" t="s">
        <v>2345</v>
      </c>
      <c r="D887" s="761" t="s">
        <v>2066</v>
      </c>
      <c r="E887" s="761" t="s">
        <v>844</v>
      </c>
      <c r="F887" s="1187">
        <v>-295998.75</v>
      </c>
      <c r="G887" s="766"/>
      <c r="H887" s="767"/>
      <c r="I887" s="767"/>
      <c r="J887" s="1187">
        <v>0</v>
      </c>
      <c r="K887" s="1188">
        <v>-295998.75</v>
      </c>
    </row>
    <row r="888" spans="1:11" ht="30.6" x14ac:dyDescent="0.3">
      <c r="A888" s="761" t="s">
        <v>182</v>
      </c>
      <c r="B888" s="765">
        <v>2020</v>
      </c>
      <c r="C888" s="761" t="s">
        <v>2346</v>
      </c>
      <c r="D888" s="761" t="s">
        <v>43</v>
      </c>
      <c r="E888" s="761" t="s">
        <v>845</v>
      </c>
      <c r="F888" s="1187">
        <v>2206068.77</v>
      </c>
      <c r="G888" s="761" t="s">
        <v>631</v>
      </c>
      <c r="H888" s="1187">
        <v>2097955.75</v>
      </c>
      <c r="I888" s="1187">
        <v>108112.9921875</v>
      </c>
      <c r="J888" s="1187">
        <v>2206068.75</v>
      </c>
      <c r="K888" s="1188">
        <v>2206068.77</v>
      </c>
    </row>
    <row r="889" spans="1:11" ht="30.6" x14ac:dyDescent="0.3">
      <c r="A889" s="761" t="s">
        <v>182</v>
      </c>
      <c r="B889" s="765">
        <v>2020</v>
      </c>
      <c r="C889" s="761" t="s">
        <v>2347</v>
      </c>
      <c r="D889" s="761" t="s">
        <v>44</v>
      </c>
      <c r="E889" s="761" t="s">
        <v>846</v>
      </c>
      <c r="F889" s="1187">
        <v>-48882.57</v>
      </c>
      <c r="G889" s="761" t="s">
        <v>631</v>
      </c>
      <c r="H889" s="1187">
        <v>-84533.65625</v>
      </c>
      <c r="I889" s="1187">
        <v>35651.08984375</v>
      </c>
      <c r="J889" s="1187">
        <v>-48882.5703125</v>
      </c>
      <c r="K889" s="1188">
        <v>-48882.57</v>
      </c>
    </row>
    <row r="890" spans="1:11" ht="30.6" x14ac:dyDescent="0.3">
      <c r="A890" s="761" t="s">
        <v>182</v>
      </c>
      <c r="B890" s="765">
        <v>2020</v>
      </c>
      <c r="C890" s="761" t="s">
        <v>2348</v>
      </c>
      <c r="D890" s="761" t="s">
        <v>46</v>
      </c>
      <c r="E890" s="761" t="s">
        <v>847</v>
      </c>
      <c r="F890" s="1187">
        <v>1004198.69</v>
      </c>
      <c r="G890" s="761" t="s">
        <v>631</v>
      </c>
      <c r="H890" s="1187">
        <v>1023899.25</v>
      </c>
      <c r="I890" s="1187">
        <v>-19700.58984375</v>
      </c>
      <c r="J890" s="1187">
        <v>1004198.6875</v>
      </c>
      <c r="K890" s="1188">
        <v>1004198.69</v>
      </c>
    </row>
    <row r="891" spans="1:11" ht="20.399999999999999" x14ac:dyDescent="0.3">
      <c r="A891" s="761" t="s">
        <v>182</v>
      </c>
      <c r="B891" s="765">
        <v>2020</v>
      </c>
      <c r="C891" s="761" t="s">
        <v>2349</v>
      </c>
      <c r="D891" s="761" t="s">
        <v>339</v>
      </c>
      <c r="E891" s="761" t="s">
        <v>848</v>
      </c>
      <c r="F891" s="1187">
        <v>5645394.3099999996</v>
      </c>
      <c r="G891" s="761" t="s">
        <v>631</v>
      </c>
      <c r="H891" s="1187">
        <v>5429987</v>
      </c>
      <c r="I891" s="1187">
        <v>215407.203125</v>
      </c>
      <c r="J891" s="1187">
        <v>5645394.5</v>
      </c>
      <c r="K891" s="1188">
        <v>5645394.3099999996</v>
      </c>
    </row>
    <row r="892" spans="1:11" ht="40.799999999999997" x14ac:dyDescent="0.3">
      <c r="A892" s="761" t="s">
        <v>182</v>
      </c>
      <c r="B892" s="765">
        <v>2020</v>
      </c>
      <c r="C892" s="761" t="s">
        <v>2350</v>
      </c>
      <c r="D892" s="761" t="s">
        <v>633</v>
      </c>
      <c r="E892" s="761" t="s">
        <v>1192</v>
      </c>
      <c r="F892" s="1187">
        <v>0</v>
      </c>
      <c r="G892" s="761" t="s">
        <v>631</v>
      </c>
      <c r="H892" s="767"/>
      <c r="I892" s="767"/>
      <c r="J892" s="1187">
        <v>0</v>
      </c>
      <c r="K892" s="1188">
        <v>0</v>
      </c>
    </row>
    <row r="893" spans="1:11" ht="40.799999999999997" x14ac:dyDescent="0.3">
      <c r="A893" s="761" t="s">
        <v>182</v>
      </c>
      <c r="B893" s="765">
        <v>2020</v>
      </c>
      <c r="C893" s="761" t="s">
        <v>2350</v>
      </c>
      <c r="D893" s="761" t="s">
        <v>634</v>
      </c>
      <c r="E893" s="761" t="s">
        <v>1193</v>
      </c>
      <c r="F893" s="1187">
        <v>0</v>
      </c>
      <c r="G893" s="761" t="s">
        <v>631</v>
      </c>
      <c r="H893" s="767"/>
      <c r="I893" s="767"/>
      <c r="J893" s="1187">
        <v>0</v>
      </c>
      <c r="K893" s="1188">
        <v>0</v>
      </c>
    </row>
    <row r="894" spans="1:11" ht="40.799999999999997" x14ac:dyDescent="0.3">
      <c r="A894" s="761" t="s">
        <v>182</v>
      </c>
      <c r="B894" s="765">
        <v>2020</v>
      </c>
      <c r="C894" s="761" t="s">
        <v>2350</v>
      </c>
      <c r="D894" s="761" t="s">
        <v>635</v>
      </c>
      <c r="E894" s="761" t="s">
        <v>1194</v>
      </c>
      <c r="F894" s="1187">
        <v>0</v>
      </c>
      <c r="G894" s="761" t="s">
        <v>631</v>
      </c>
      <c r="H894" s="767"/>
      <c r="I894" s="767"/>
      <c r="J894" s="1187">
        <v>0</v>
      </c>
      <c r="K894" s="1188">
        <v>0</v>
      </c>
    </row>
    <row r="895" spans="1:11" ht="40.799999999999997" x14ac:dyDescent="0.3">
      <c r="A895" s="761" t="s">
        <v>182</v>
      </c>
      <c r="B895" s="765">
        <v>2020</v>
      </c>
      <c r="C895" s="761" t="s">
        <v>2350</v>
      </c>
      <c r="D895" s="761" t="s">
        <v>636</v>
      </c>
      <c r="E895" s="761" t="s">
        <v>1195</v>
      </c>
      <c r="F895" s="1187">
        <v>0</v>
      </c>
      <c r="G895" s="761" t="s">
        <v>631</v>
      </c>
      <c r="H895" s="767"/>
      <c r="I895" s="767"/>
      <c r="J895" s="1187">
        <v>0</v>
      </c>
      <c r="K895" s="1188">
        <v>0</v>
      </c>
    </row>
    <row r="896" spans="1:11" ht="40.799999999999997" x14ac:dyDescent="0.3">
      <c r="A896" s="761" t="s">
        <v>182</v>
      </c>
      <c r="B896" s="765">
        <v>2020</v>
      </c>
      <c r="C896" s="761" t="s">
        <v>2350</v>
      </c>
      <c r="D896" s="761" t="s">
        <v>637</v>
      </c>
      <c r="E896" s="761" t="s">
        <v>1196</v>
      </c>
      <c r="F896" s="1187">
        <v>0</v>
      </c>
      <c r="G896" s="761" t="s">
        <v>631</v>
      </c>
      <c r="H896" s="767"/>
      <c r="I896" s="767"/>
      <c r="J896" s="1187">
        <v>0</v>
      </c>
      <c r="K896" s="1188">
        <v>0</v>
      </c>
    </row>
    <row r="897" spans="1:11" ht="40.799999999999997" x14ac:dyDescent="0.3">
      <c r="A897" s="761" t="s">
        <v>182</v>
      </c>
      <c r="B897" s="765">
        <v>2020</v>
      </c>
      <c r="C897" s="761" t="s">
        <v>2350</v>
      </c>
      <c r="D897" s="761" t="s">
        <v>638</v>
      </c>
      <c r="E897" s="761" t="s">
        <v>1197</v>
      </c>
      <c r="F897" s="1187">
        <v>0</v>
      </c>
      <c r="G897" s="761" t="s">
        <v>631</v>
      </c>
      <c r="H897" s="767"/>
      <c r="I897" s="767"/>
      <c r="J897" s="1187">
        <v>0</v>
      </c>
      <c r="K897" s="1188">
        <v>0</v>
      </c>
    </row>
    <row r="898" spans="1:11" ht="40.799999999999997" x14ac:dyDescent="0.3">
      <c r="A898" s="761" t="s">
        <v>182</v>
      </c>
      <c r="B898" s="765">
        <v>2020</v>
      </c>
      <c r="C898" s="761" t="s">
        <v>2350</v>
      </c>
      <c r="D898" s="761" t="s">
        <v>639</v>
      </c>
      <c r="E898" s="761" t="s">
        <v>1198</v>
      </c>
      <c r="F898" s="1187">
        <v>0</v>
      </c>
      <c r="G898" s="761" t="s">
        <v>631</v>
      </c>
      <c r="H898" s="767"/>
      <c r="I898" s="767"/>
      <c r="J898" s="1187">
        <v>0</v>
      </c>
      <c r="K898" s="1188">
        <v>0</v>
      </c>
    </row>
    <row r="899" spans="1:11" ht="40.799999999999997" x14ac:dyDescent="0.3">
      <c r="A899" s="761" t="s">
        <v>182</v>
      </c>
      <c r="B899" s="765">
        <v>2020</v>
      </c>
      <c r="C899" s="761" t="s">
        <v>2350</v>
      </c>
      <c r="D899" s="761" t="s">
        <v>1613</v>
      </c>
      <c r="E899" s="761" t="s">
        <v>1982</v>
      </c>
      <c r="F899" s="1187">
        <v>0</v>
      </c>
      <c r="G899" s="761" t="s">
        <v>631</v>
      </c>
      <c r="H899" s="767"/>
      <c r="I899" s="767"/>
      <c r="J899" s="1187">
        <v>0</v>
      </c>
      <c r="K899" s="1188">
        <v>0</v>
      </c>
    </row>
    <row r="900" spans="1:11" ht="40.799999999999997" x14ac:dyDescent="0.3">
      <c r="A900" s="761" t="s">
        <v>182</v>
      </c>
      <c r="B900" s="765">
        <v>2020</v>
      </c>
      <c r="C900" s="761" t="s">
        <v>2350</v>
      </c>
      <c r="D900" s="761" t="s">
        <v>2067</v>
      </c>
      <c r="E900" s="761" t="s">
        <v>2095</v>
      </c>
      <c r="F900" s="1187">
        <v>0</v>
      </c>
      <c r="G900" s="761" t="s">
        <v>631</v>
      </c>
      <c r="H900" s="1187">
        <v>106064.75</v>
      </c>
      <c r="I900" s="1187">
        <v>-196588.5</v>
      </c>
      <c r="J900" s="1187">
        <v>-90523.75</v>
      </c>
      <c r="K900" s="1188">
        <v>-90523.75</v>
      </c>
    </row>
    <row r="901" spans="1:11" ht="40.799999999999997" x14ac:dyDescent="0.3">
      <c r="A901" s="761" t="s">
        <v>182</v>
      </c>
      <c r="B901" s="765">
        <v>2020</v>
      </c>
      <c r="C901" s="761" t="s">
        <v>2350</v>
      </c>
      <c r="D901" s="761" t="s">
        <v>3762</v>
      </c>
      <c r="E901" s="761" t="s">
        <v>4352</v>
      </c>
      <c r="F901" s="1187">
        <v>0</v>
      </c>
      <c r="G901" s="761" t="s">
        <v>631</v>
      </c>
      <c r="H901" s="1187">
        <v>-131705.625</v>
      </c>
      <c r="I901" s="1187">
        <v>-55852.71875</v>
      </c>
      <c r="J901" s="1187">
        <v>-187558.34375</v>
      </c>
      <c r="K901" s="1188">
        <v>-187558.35</v>
      </c>
    </row>
    <row r="902" spans="1:11" ht="40.799999999999997" x14ac:dyDescent="0.3">
      <c r="A902" s="761" t="s">
        <v>182</v>
      </c>
      <c r="B902" s="765">
        <v>2020</v>
      </c>
      <c r="C902" s="761" t="s">
        <v>2350</v>
      </c>
      <c r="D902" s="761" t="s">
        <v>4844</v>
      </c>
      <c r="E902" s="761" t="s">
        <v>5807</v>
      </c>
      <c r="F902" s="1187">
        <v>0</v>
      </c>
      <c r="G902" s="761" t="s">
        <v>631</v>
      </c>
      <c r="H902" s="1187">
        <v>-285492.3125</v>
      </c>
      <c r="I902" s="1187">
        <v>15332.4404296875</v>
      </c>
      <c r="J902" s="1187">
        <v>-270159.875</v>
      </c>
      <c r="K902" s="1188">
        <v>-270159.87</v>
      </c>
    </row>
    <row r="903" spans="1:11" ht="40.799999999999997" x14ac:dyDescent="0.3">
      <c r="A903" s="761" t="s">
        <v>182</v>
      </c>
      <c r="B903" s="765">
        <v>2020</v>
      </c>
      <c r="C903" s="761" t="s">
        <v>2350</v>
      </c>
      <c r="D903" s="761" t="s">
        <v>7101</v>
      </c>
      <c r="E903" s="761" t="s">
        <v>7174</v>
      </c>
      <c r="F903" s="1187">
        <v>0</v>
      </c>
      <c r="G903" s="761" t="s">
        <v>631</v>
      </c>
      <c r="H903" s="1187">
        <v>4859439</v>
      </c>
      <c r="I903" s="1187">
        <v>137477.375</v>
      </c>
      <c r="J903" s="1187">
        <v>4996916.5</v>
      </c>
      <c r="K903" s="1188">
        <v>4996916.5999999996</v>
      </c>
    </row>
    <row r="904" spans="1:11" ht="40.799999999999997" x14ac:dyDescent="0.3">
      <c r="A904" s="761" t="s">
        <v>182</v>
      </c>
      <c r="B904" s="765">
        <v>2020</v>
      </c>
      <c r="C904" s="761" t="s">
        <v>2350</v>
      </c>
      <c r="D904" s="761" t="s">
        <v>640</v>
      </c>
      <c r="E904" s="761" t="s">
        <v>1371</v>
      </c>
      <c r="F904" s="1187">
        <v>4448674.63</v>
      </c>
      <c r="G904" s="766"/>
      <c r="H904" s="767"/>
      <c r="I904" s="767"/>
      <c r="J904" s="1187">
        <v>0</v>
      </c>
      <c r="K904" s="1188">
        <v>4448674.63</v>
      </c>
    </row>
    <row r="905" spans="1:11" x14ac:dyDescent="0.3">
      <c r="A905" s="761" t="s">
        <v>429</v>
      </c>
      <c r="B905" s="765">
        <v>2020</v>
      </c>
      <c r="C905" s="761" t="s">
        <v>2342</v>
      </c>
      <c r="D905" s="761" t="s">
        <v>45</v>
      </c>
      <c r="E905" s="761" t="s">
        <v>849</v>
      </c>
      <c r="F905" s="1187">
        <v>346614</v>
      </c>
      <c r="G905" s="761" t="s">
        <v>631</v>
      </c>
      <c r="H905" s="1187">
        <v>338622</v>
      </c>
      <c r="I905" s="1187">
        <v>7992</v>
      </c>
      <c r="J905" s="1187">
        <v>346614</v>
      </c>
      <c r="K905" s="1188">
        <v>346614</v>
      </c>
    </row>
    <row r="906" spans="1:11" ht="30.6" x14ac:dyDescent="0.3">
      <c r="A906" s="761" t="s">
        <v>429</v>
      </c>
      <c r="B906" s="765">
        <v>2020</v>
      </c>
      <c r="C906" s="761" t="s">
        <v>2343</v>
      </c>
      <c r="D906" s="761" t="s">
        <v>632</v>
      </c>
      <c r="E906" s="761" t="s">
        <v>850</v>
      </c>
      <c r="F906" s="1187">
        <v>-48903</v>
      </c>
      <c r="G906" s="761" t="s">
        <v>631</v>
      </c>
      <c r="H906" s="1187">
        <v>-47731</v>
      </c>
      <c r="I906" s="1187">
        <v>-1172</v>
      </c>
      <c r="J906" s="1187">
        <v>-48903</v>
      </c>
      <c r="K906" s="1188">
        <v>-48903</v>
      </c>
    </row>
    <row r="907" spans="1:11" ht="20.399999999999999" x14ac:dyDescent="0.3">
      <c r="A907" s="761" t="s">
        <v>429</v>
      </c>
      <c r="B907" s="765">
        <v>2020</v>
      </c>
      <c r="C907" s="761" t="s">
        <v>2344</v>
      </c>
      <c r="D907" s="761" t="s">
        <v>452</v>
      </c>
      <c r="E907" s="761" t="s">
        <v>851</v>
      </c>
      <c r="F907" s="1187">
        <v>0</v>
      </c>
      <c r="G907" s="766"/>
      <c r="H907" s="767"/>
      <c r="I907" s="767"/>
      <c r="J907" s="1187">
        <v>0</v>
      </c>
      <c r="K907" s="1188">
        <v>0</v>
      </c>
    </row>
    <row r="908" spans="1:11" ht="20.399999999999999" x14ac:dyDescent="0.3">
      <c r="A908" s="761" t="s">
        <v>429</v>
      </c>
      <c r="B908" s="765">
        <v>2020</v>
      </c>
      <c r="C908" s="761" t="s">
        <v>2345</v>
      </c>
      <c r="D908" s="761" t="s">
        <v>42</v>
      </c>
      <c r="E908" s="761" t="s">
        <v>852</v>
      </c>
      <c r="F908" s="1187">
        <v>-470906</v>
      </c>
      <c r="G908" s="761" t="s">
        <v>631</v>
      </c>
      <c r="H908" s="1187">
        <v>-469462</v>
      </c>
      <c r="I908" s="1187">
        <v>-1444</v>
      </c>
      <c r="J908" s="1187">
        <v>-470906</v>
      </c>
      <c r="K908" s="1188">
        <v>-470906</v>
      </c>
    </row>
    <row r="909" spans="1:11" ht="20.399999999999999" x14ac:dyDescent="0.3">
      <c r="A909" s="761" t="s">
        <v>429</v>
      </c>
      <c r="B909" s="765">
        <v>2020</v>
      </c>
      <c r="C909" s="761" t="s">
        <v>2345</v>
      </c>
      <c r="D909" s="761" t="s">
        <v>2063</v>
      </c>
      <c r="E909" s="761" t="s">
        <v>852</v>
      </c>
      <c r="F909" s="1187">
        <v>0</v>
      </c>
      <c r="G909" s="766"/>
      <c r="H909" s="767"/>
      <c r="I909" s="767"/>
      <c r="J909" s="1187">
        <v>0</v>
      </c>
      <c r="K909" s="1188">
        <v>0</v>
      </c>
    </row>
    <row r="910" spans="1:11" ht="20.399999999999999" x14ac:dyDescent="0.3">
      <c r="A910" s="761" t="s">
        <v>429</v>
      </c>
      <c r="B910" s="765">
        <v>2020</v>
      </c>
      <c r="C910" s="761" t="s">
        <v>2345</v>
      </c>
      <c r="D910" s="761" t="s">
        <v>2064</v>
      </c>
      <c r="E910" s="761" t="s">
        <v>852</v>
      </c>
      <c r="F910" s="1187">
        <v>0</v>
      </c>
      <c r="G910" s="766"/>
      <c r="H910" s="767"/>
      <c r="I910" s="767"/>
      <c r="J910" s="1187">
        <v>0</v>
      </c>
      <c r="K910" s="1188">
        <v>0</v>
      </c>
    </row>
    <row r="911" spans="1:11" ht="20.399999999999999" x14ac:dyDescent="0.3">
      <c r="A911" s="761" t="s">
        <v>429</v>
      </c>
      <c r="B911" s="765">
        <v>2020</v>
      </c>
      <c r="C911" s="761" t="s">
        <v>2345</v>
      </c>
      <c r="D911" s="761" t="s">
        <v>2065</v>
      </c>
      <c r="E911" s="761" t="s">
        <v>852</v>
      </c>
      <c r="F911" s="1187">
        <v>-11640</v>
      </c>
      <c r="G911" s="766"/>
      <c r="H911" s="767"/>
      <c r="I911" s="767"/>
      <c r="J911" s="1187">
        <v>0</v>
      </c>
      <c r="K911" s="1188">
        <v>-11640</v>
      </c>
    </row>
    <row r="912" spans="1:11" ht="20.399999999999999" x14ac:dyDescent="0.3">
      <c r="A912" s="761" t="s">
        <v>429</v>
      </c>
      <c r="B912" s="765">
        <v>2020</v>
      </c>
      <c r="C912" s="761" t="s">
        <v>2345</v>
      </c>
      <c r="D912" s="761" t="s">
        <v>2066</v>
      </c>
      <c r="E912" s="761" t="s">
        <v>852</v>
      </c>
      <c r="F912" s="1187">
        <v>-296447</v>
      </c>
      <c r="G912" s="766"/>
      <c r="H912" s="767"/>
      <c r="I912" s="767"/>
      <c r="J912" s="1187">
        <v>0</v>
      </c>
      <c r="K912" s="1188">
        <v>-296447</v>
      </c>
    </row>
    <row r="913" spans="1:11" ht="30.6" x14ac:dyDescent="0.3">
      <c r="A913" s="761" t="s">
        <v>429</v>
      </c>
      <c r="B913" s="765">
        <v>2020</v>
      </c>
      <c r="C913" s="761" t="s">
        <v>2346</v>
      </c>
      <c r="D913" s="761" t="s">
        <v>43</v>
      </c>
      <c r="E913" s="761" t="s">
        <v>853</v>
      </c>
      <c r="F913" s="1187">
        <v>204461</v>
      </c>
      <c r="G913" s="761" t="s">
        <v>631</v>
      </c>
      <c r="H913" s="1187">
        <v>205313</v>
      </c>
      <c r="I913" s="1187">
        <v>-852</v>
      </c>
      <c r="J913" s="1187">
        <v>204461</v>
      </c>
      <c r="K913" s="1188">
        <v>204461</v>
      </c>
    </row>
    <row r="914" spans="1:11" ht="30.6" x14ac:dyDescent="0.3">
      <c r="A914" s="761" t="s">
        <v>429</v>
      </c>
      <c r="B914" s="765">
        <v>2020</v>
      </c>
      <c r="C914" s="761" t="s">
        <v>2347</v>
      </c>
      <c r="D914" s="761" t="s">
        <v>44</v>
      </c>
      <c r="E914" s="761" t="s">
        <v>854</v>
      </c>
      <c r="F914" s="1187">
        <v>81334</v>
      </c>
      <c r="G914" s="761" t="s">
        <v>631</v>
      </c>
      <c r="H914" s="1187">
        <v>81270</v>
      </c>
      <c r="I914" s="1187">
        <v>64</v>
      </c>
      <c r="J914" s="1187">
        <v>81334</v>
      </c>
      <c r="K914" s="1188">
        <v>81334</v>
      </c>
    </row>
    <row r="915" spans="1:11" ht="30.6" x14ac:dyDescent="0.3">
      <c r="A915" s="761" t="s">
        <v>429</v>
      </c>
      <c r="B915" s="765">
        <v>2020</v>
      </c>
      <c r="C915" s="761" t="s">
        <v>2348</v>
      </c>
      <c r="D915" s="761" t="s">
        <v>46</v>
      </c>
      <c r="E915" s="761" t="s">
        <v>855</v>
      </c>
      <c r="F915" s="1187">
        <v>-1467070</v>
      </c>
      <c r="G915" s="761" t="s">
        <v>631</v>
      </c>
      <c r="H915" s="1187">
        <v>-1446889</v>
      </c>
      <c r="I915" s="1187">
        <v>-20181</v>
      </c>
      <c r="J915" s="1187">
        <v>-1467070</v>
      </c>
      <c r="K915" s="1188">
        <v>-1467070</v>
      </c>
    </row>
    <row r="916" spans="1:11" ht="20.399999999999999" x14ac:dyDescent="0.3">
      <c r="A916" s="761" t="s">
        <v>429</v>
      </c>
      <c r="B916" s="765">
        <v>2020</v>
      </c>
      <c r="C916" s="761" t="s">
        <v>2349</v>
      </c>
      <c r="D916" s="761" t="s">
        <v>339</v>
      </c>
      <c r="E916" s="761" t="s">
        <v>856</v>
      </c>
      <c r="F916" s="1187">
        <v>392198</v>
      </c>
      <c r="G916" s="761" t="s">
        <v>631</v>
      </c>
      <c r="H916" s="1187">
        <v>365043</v>
      </c>
      <c r="I916" s="1187">
        <v>27155</v>
      </c>
      <c r="J916" s="1187">
        <v>392198</v>
      </c>
      <c r="K916" s="1188">
        <v>392198</v>
      </c>
    </row>
    <row r="917" spans="1:11" ht="40.799999999999997" x14ac:dyDescent="0.3">
      <c r="A917" s="761" t="s">
        <v>429</v>
      </c>
      <c r="B917" s="765">
        <v>2020</v>
      </c>
      <c r="C917" s="761" t="s">
        <v>2350</v>
      </c>
      <c r="D917" s="761" t="s">
        <v>633</v>
      </c>
      <c r="E917" s="761" t="s">
        <v>1199</v>
      </c>
      <c r="F917" s="1187">
        <v>0</v>
      </c>
      <c r="G917" s="761" t="s">
        <v>631</v>
      </c>
      <c r="H917" s="767"/>
      <c r="I917" s="767"/>
      <c r="J917" s="1187">
        <v>0</v>
      </c>
      <c r="K917" s="1188">
        <v>0</v>
      </c>
    </row>
    <row r="918" spans="1:11" ht="40.799999999999997" x14ac:dyDescent="0.3">
      <c r="A918" s="761" t="s">
        <v>429</v>
      </c>
      <c r="B918" s="765">
        <v>2020</v>
      </c>
      <c r="C918" s="761" t="s">
        <v>2350</v>
      </c>
      <c r="D918" s="761" t="s">
        <v>634</v>
      </c>
      <c r="E918" s="761" t="s">
        <v>1200</v>
      </c>
      <c r="F918" s="1187">
        <v>0</v>
      </c>
      <c r="G918" s="761" t="s">
        <v>631</v>
      </c>
      <c r="H918" s="767"/>
      <c r="I918" s="767"/>
      <c r="J918" s="1187">
        <v>0</v>
      </c>
      <c r="K918" s="1188">
        <v>0</v>
      </c>
    </row>
    <row r="919" spans="1:11" ht="40.799999999999997" x14ac:dyDescent="0.3">
      <c r="A919" s="761" t="s">
        <v>429</v>
      </c>
      <c r="B919" s="765">
        <v>2020</v>
      </c>
      <c r="C919" s="761" t="s">
        <v>2350</v>
      </c>
      <c r="D919" s="761" t="s">
        <v>635</v>
      </c>
      <c r="E919" s="761" t="s">
        <v>1201</v>
      </c>
      <c r="F919" s="1187">
        <v>0</v>
      </c>
      <c r="G919" s="761" t="s">
        <v>631</v>
      </c>
      <c r="H919" s="767"/>
      <c r="I919" s="767"/>
      <c r="J919" s="1187">
        <v>0</v>
      </c>
      <c r="K919" s="1188">
        <v>0</v>
      </c>
    </row>
    <row r="920" spans="1:11" ht="40.799999999999997" x14ac:dyDescent="0.3">
      <c r="A920" s="761" t="s">
        <v>429</v>
      </c>
      <c r="B920" s="765">
        <v>2020</v>
      </c>
      <c r="C920" s="761" t="s">
        <v>2350</v>
      </c>
      <c r="D920" s="761" t="s">
        <v>636</v>
      </c>
      <c r="E920" s="761" t="s">
        <v>1202</v>
      </c>
      <c r="F920" s="1187">
        <v>0</v>
      </c>
      <c r="G920" s="761" t="s">
        <v>631</v>
      </c>
      <c r="H920" s="767"/>
      <c r="I920" s="767"/>
      <c r="J920" s="1187">
        <v>0</v>
      </c>
      <c r="K920" s="1188">
        <v>0</v>
      </c>
    </row>
    <row r="921" spans="1:11" ht="40.799999999999997" x14ac:dyDescent="0.3">
      <c r="A921" s="761" t="s">
        <v>429</v>
      </c>
      <c r="B921" s="765">
        <v>2020</v>
      </c>
      <c r="C921" s="761" t="s">
        <v>2350</v>
      </c>
      <c r="D921" s="761" t="s">
        <v>637</v>
      </c>
      <c r="E921" s="761" t="s">
        <v>1203</v>
      </c>
      <c r="F921" s="1187">
        <v>0</v>
      </c>
      <c r="G921" s="761" t="s">
        <v>631</v>
      </c>
      <c r="H921" s="767"/>
      <c r="I921" s="767"/>
      <c r="J921" s="1187">
        <v>0</v>
      </c>
      <c r="K921" s="1188">
        <v>0</v>
      </c>
    </row>
    <row r="922" spans="1:11" ht="40.799999999999997" x14ac:dyDescent="0.3">
      <c r="A922" s="761" t="s">
        <v>429</v>
      </c>
      <c r="B922" s="765">
        <v>2020</v>
      </c>
      <c r="C922" s="761" t="s">
        <v>2350</v>
      </c>
      <c r="D922" s="761" t="s">
        <v>638</v>
      </c>
      <c r="E922" s="761" t="s">
        <v>1204</v>
      </c>
      <c r="F922" s="1187">
        <v>0</v>
      </c>
      <c r="G922" s="761" t="s">
        <v>631</v>
      </c>
      <c r="H922" s="767"/>
      <c r="I922" s="767"/>
      <c r="J922" s="1187">
        <v>0</v>
      </c>
      <c r="K922" s="1188">
        <v>0</v>
      </c>
    </row>
    <row r="923" spans="1:11" ht="40.799999999999997" x14ac:dyDescent="0.3">
      <c r="A923" s="761" t="s">
        <v>429</v>
      </c>
      <c r="B923" s="765">
        <v>2020</v>
      </c>
      <c r="C923" s="761" t="s">
        <v>2350</v>
      </c>
      <c r="D923" s="761" t="s">
        <v>639</v>
      </c>
      <c r="E923" s="761" t="s">
        <v>1205</v>
      </c>
      <c r="F923" s="1187">
        <v>0</v>
      </c>
      <c r="G923" s="761" t="s">
        <v>631</v>
      </c>
      <c r="H923" s="767"/>
      <c r="I923" s="1187">
        <v>-666</v>
      </c>
      <c r="J923" s="1187">
        <v>-666</v>
      </c>
      <c r="K923" s="1188">
        <v>-666</v>
      </c>
    </row>
    <row r="924" spans="1:11" ht="40.799999999999997" x14ac:dyDescent="0.3">
      <c r="A924" s="761" t="s">
        <v>429</v>
      </c>
      <c r="B924" s="765">
        <v>2020</v>
      </c>
      <c r="C924" s="761" t="s">
        <v>2350</v>
      </c>
      <c r="D924" s="761" t="s">
        <v>1613</v>
      </c>
      <c r="E924" s="761" t="s">
        <v>1983</v>
      </c>
      <c r="F924" s="1187">
        <v>0</v>
      </c>
      <c r="G924" s="761" t="s">
        <v>631</v>
      </c>
      <c r="H924" s="767"/>
      <c r="I924" s="767"/>
      <c r="J924" s="1187">
        <v>0</v>
      </c>
      <c r="K924" s="1188">
        <v>0</v>
      </c>
    </row>
    <row r="925" spans="1:11" ht="40.799999999999997" x14ac:dyDescent="0.3">
      <c r="A925" s="761" t="s">
        <v>429</v>
      </c>
      <c r="B925" s="765">
        <v>2020</v>
      </c>
      <c r="C925" s="761" t="s">
        <v>2350</v>
      </c>
      <c r="D925" s="761" t="s">
        <v>2067</v>
      </c>
      <c r="E925" s="761" t="s">
        <v>2096</v>
      </c>
      <c r="F925" s="1187">
        <v>0</v>
      </c>
      <c r="G925" s="761" t="s">
        <v>631</v>
      </c>
      <c r="H925" s="1187">
        <v>2628</v>
      </c>
      <c r="I925" s="1187">
        <v>-54</v>
      </c>
      <c r="J925" s="1187">
        <v>2574</v>
      </c>
      <c r="K925" s="1188">
        <v>2574</v>
      </c>
    </row>
    <row r="926" spans="1:11" ht="40.799999999999997" x14ac:dyDescent="0.3">
      <c r="A926" s="761" t="s">
        <v>429</v>
      </c>
      <c r="B926" s="765">
        <v>2020</v>
      </c>
      <c r="C926" s="761" t="s">
        <v>2350</v>
      </c>
      <c r="D926" s="761" t="s">
        <v>3762</v>
      </c>
      <c r="E926" s="761" t="s">
        <v>4353</v>
      </c>
      <c r="F926" s="1187">
        <v>0</v>
      </c>
      <c r="G926" s="761" t="s">
        <v>631</v>
      </c>
      <c r="H926" s="1187">
        <v>-45968</v>
      </c>
      <c r="I926" s="1187">
        <v>-52308</v>
      </c>
      <c r="J926" s="1187">
        <v>-98276</v>
      </c>
      <c r="K926" s="1188">
        <v>-98276</v>
      </c>
    </row>
    <row r="927" spans="1:11" ht="40.799999999999997" x14ac:dyDescent="0.3">
      <c r="A927" s="761" t="s">
        <v>429</v>
      </c>
      <c r="B927" s="765">
        <v>2020</v>
      </c>
      <c r="C927" s="761" t="s">
        <v>2350</v>
      </c>
      <c r="D927" s="761" t="s">
        <v>4844</v>
      </c>
      <c r="E927" s="761" t="s">
        <v>5808</v>
      </c>
      <c r="F927" s="1187">
        <v>0</v>
      </c>
      <c r="G927" s="761" t="s">
        <v>631</v>
      </c>
      <c r="H927" s="767"/>
      <c r="I927" s="767"/>
      <c r="J927" s="1187">
        <v>0</v>
      </c>
      <c r="K927" s="1188">
        <v>0</v>
      </c>
    </row>
    <row r="928" spans="1:11" ht="40.799999999999997" x14ac:dyDescent="0.3">
      <c r="A928" s="761" t="s">
        <v>429</v>
      </c>
      <c r="B928" s="765">
        <v>2020</v>
      </c>
      <c r="C928" s="761" t="s">
        <v>2350</v>
      </c>
      <c r="D928" s="761" t="s">
        <v>7101</v>
      </c>
      <c r="E928" s="761" t="s">
        <v>7175</v>
      </c>
      <c r="F928" s="1187">
        <v>0</v>
      </c>
      <c r="G928" s="761" t="s">
        <v>631</v>
      </c>
      <c r="H928" s="1187">
        <v>403516</v>
      </c>
      <c r="I928" s="1187">
        <v>10704</v>
      </c>
      <c r="J928" s="1187">
        <v>414220</v>
      </c>
      <c r="K928" s="1188">
        <v>414220</v>
      </c>
    </row>
    <row r="929" spans="1:11" ht="40.799999999999997" x14ac:dyDescent="0.3">
      <c r="A929" s="761" t="s">
        <v>429</v>
      </c>
      <c r="B929" s="765">
        <v>2020</v>
      </c>
      <c r="C929" s="761" t="s">
        <v>2350</v>
      </c>
      <c r="D929" s="761" t="s">
        <v>640</v>
      </c>
      <c r="E929" s="761" t="s">
        <v>1372</v>
      </c>
      <c r="F929" s="1187">
        <v>317852</v>
      </c>
      <c r="G929" s="766"/>
      <c r="H929" s="767"/>
      <c r="I929" s="767"/>
      <c r="J929" s="1187">
        <v>0</v>
      </c>
      <c r="K929" s="1188">
        <v>317852</v>
      </c>
    </row>
    <row r="930" spans="1:11" ht="20.399999999999999" x14ac:dyDescent="0.3">
      <c r="A930" s="761" t="s">
        <v>621</v>
      </c>
      <c r="B930" s="765">
        <v>2020</v>
      </c>
      <c r="C930" s="761" t="s">
        <v>2342</v>
      </c>
      <c r="D930" s="761" t="s">
        <v>45</v>
      </c>
      <c r="E930" s="761" t="s">
        <v>3764</v>
      </c>
      <c r="F930" s="1187">
        <v>895563.16</v>
      </c>
      <c r="G930" s="761" t="s">
        <v>631</v>
      </c>
      <c r="H930" s="1187">
        <v>877434.4375</v>
      </c>
      <c r="I930" s="1187">
        <v>18128.7109375</v>
      </c>
      <c r="J930" s="1187">
        <v>895563.1875</v>
      </c>
      <c r="K930" s="1188">
        <v>895563.16</v>
      </c>
    </row>
    <row r="931" spans="1:11" ht="30.6" x14ac:dyDescent="0.3">
      <c r="A931" s="761" t="s">
        <v>621</v>
      </c>
      <c r="B931" s="765">
        <v>2020</v>
      </c>
      <c r="C931" s="761" t="s">
        <v>2343</v>
      </c>
      <c r="D931" s="761" t="s">
        <v>632</v>
      </c>
      <c r="E931" s="761" t="s">
        <v>3765</v>
      </c>
      <c r="F931" s="1187">
        <v>-87372.4</v>
      </c>
      <c r="G931" s="761" t="s">
        <v>631</v>
      </c>
      <c r="H931" s="1187">
        <v>-84335.3984375</v>
      </c>
      <c r="I931" s="1187">
        <v>-3037</v>
      </c>
      <c r="J931" s="1187">
        <v>-87372.3984375</v>
      </c>
      <c r="K931" s="1188">
        <v>-87372.4</v>
      </c>
    </row>
    <row r="932" spans="1:11" ht="20.399999999999999" x14ac:dyDescent="0.3">
      <c r="A932" s="761" t="s">
        <v>621</v>
      </c>
      <c r="B932" s="765">
        <v>2020</v>
      </c>
      <c r="C932" s="761" t="s">
        <v>2344</v>
      </c>
      <c r="D932" s="761" t="s">
        <v>452</v>
      </c>
      <c r="E932" s="761" t="s">
        <v>3766</v>
      </c>
      <c r="F932" s="1187">
        <v>1106270.95</v>
      </c>
      <c r="G932" s="766"/>
      <c r="H932" s="767"/>
      <c r="I932" s="767"/>
      <c r="J932" s="1187">
        <v>0</v>
      </c>
      <c r="K932" s="1188">
        <v>1106270.95</v>
      </c>
    </row>
    <row r="933" spans="1:11" ht="20.399999999999999" x14ac:dyDescent="0.3">
      <c r="A933" s="761" t="s">
        <v>621</v>
      </c>
      <c r="B933" s="765">
        <v>2020</v>
      </c>
      <c r="C933" s="761" t="s">
        <v>2345</v>
      </c>
      <c r="D933" s="761" t="s">
        <v>42</v>
      </c>
      <c r="E933" s="761" t="s">
        <v>3767</v>
      </c>
      <c r="F933" s="1187">
        <v>-347788.73</v>
      </c>
      <c r="G933" s="761" t="s">
        <v>631</v>
      </c>
      <c r="H933" s="1187">
        <v>-327670.65625</v>
      </c>
      <c r="I933" s="1187">
        <v>-20118.0703125</v>
      </c>
      <c r="J933" s="1187">
        <v>-347788.71875</v>
      </c>
      <c r="K933" s="1188">
        <v>-347788.73</v>
      </c>
    </row>
    <row r="934" spans="1:11" ht="20.399999999999999" x14ac:dyDescent="0.3">
      <c r="A934" s="761" t="s">
        <v>621</v>
      </c>
      <c r="B934" s="765">
        <v>2020</v>
      </c>
      <c r="C934" s="761" t="s">
        <v>2345</v>
      </c>
      <c r="D934" s="761" t="s">
        <v>2063</v>
      </c>
      <c r="E934" s="761" t="s">
        <v>3767</v>
      </c>
      <c r="F934" s="1187">
        <v>0</v>
      </c>
      <c r="G934" s="766"/>
      <c r="H934" s="767"/>
      <c r="I934" s="767"/>
      <c r="J934" s="1187">
        <v>0</v>
      </c>
      <c r="K934" s="1188">
        <v>0</v>
      </c>
    </row>
    <row r="935" spans="1:11" ht="20.399999999999999" x14ac:dyDescent="0.3">
      <c r="A935" s="761" t="s">
        <v>621</v>
      </c>
      <c r="B935" s="765">
        <v>2020</v>
      </c>
      <c r="C935" s="761" t="s">
        <v>2345</v>
      </c>
      <c r="D935" s="761" t="s">
        <v>2064</v>
      </c>
      <c r="E935" s="761" t="s">
        <v>3767</v>
      </c>
      <c r="F935" s="1187">
        <v>0</v>
      </c>
      <c r="G935" s="766"/>
      <c r="H935" s="767"/>
      <c r="I935" s="767"/>
      <c r="J935" s="1187">
        <v>0</v>
      </c>
      <c r="K935" s="1188">
        <v>0</v>
      </c>
    </row>
    <row r="936" spans="1:11" ht="20.399999999999999" x14ac:dyDescent="0.3">
      <c r="A936" s="761" t="s">
        <v>621</v>
      </c>
      <c r="B936" s="765">
        <v>2020</v>
      </c>
      <c r="C936" s="761" t="s">
        <v>2345</v>
      </c>
      <c r="D936" s="761" t="s">
        <v>2065</v>
      </c>
      <c r="E936" s="761" t="s">
        <v>3767</v>
      </c>
      <c r="F936" s="1187">
        <v>-230.97</v>
      </c>
      <c r="G936" s="766"/>
      <c r="H936" s="767"/>
      <c r="I936" s="767"/>
      <c r="J936" s="1187">
        <v>0</v>
      </c>
      <c r="K936" s="1188">
        <v>-230.97</v>
      </c>
    </row>
    <row r="937" spans="1:11" ht="20.399999999999999" x14ac:dyDescent="0.3">
      <c r="A937" s="761" t="s">
        <v>621</v>
      </c>
      <c r="B937" s="765">
        <v>2020</v>
      </c>
      <c r="C937" s="761" t="s">
        <v>2345</v>
      </c>
      <c r="D937" s="761" t="s">
        <v>2066</v>
      </c>
      <c r="E937" s="761" t="s">
        <v>3767</v>
      </c>
      <c r="F937" s="1187">
        <v>-13232.57</v>
      </c>
      <c r="G937" s="766"/>
      <c r="H937" s="767"/>
      <c r="I937" s="767"/>
      <c r="J937" s="1187">
        <v>0</v>
      </c>
      <c r="K937" s="1188">
        <v>-13232.57</v>
      </c>
    </row>
    <row r="938" spans="1:11" ht="30.6" x14ac:dyDescent="0.3">
      <c r="A938" s="761" t="s">
        <v>621</v>
      </c>
      <c r="B938" s="765">
        <v>2020</v>
      </c>
      <c r="C938" s="761" t="s">
        <v>2346</v>
      </c>
      <c r="D938" s="761" t="s">
        <v>43</v>
      </c>
      <c r="E938" s="761" t="s">
        <v>3768</v>
      </c>
      <c r="F938" s="1187">
        <v>-221836.91</v>
      </c>
      <c r="G938" s="761" t="s">
        <v>631</v>
      </c>
      <c r="H938" s="1187">
        <v>-231251.375</v>
      </c>
      <c r="I938" s="1187">
        <v>9414.4697265625</v>
      </c>
      <c r="J938" s="1187">
        <v>-221836.90625</v>
      </c>
      <c r="K938" s="1188">
        <v>-221836.91</v>
      </c>
    </row>
    <row r="939" spans="1:11" ht="30.6" x14ac:dyDescent="0.3">
      <c r="A939" s="761" t="s">
        <v>621</v>
      </c>
      <c r="B939" s="765">
        <v>2020</v>
      </c>
      <c r="C939" s="761" t="s">
        <v>2347</v>
      </c>
      <c r="D939" s="761" t="s">
        <v>44</v>
      </c>
      <c r="E939" s="761" t="s">
        <v>3769</v>
      </c>
      <c r="F939" s="1187">
        <v>253311.79</v>
      </c>
      <c r="G939" s="761" t="s">
        <v>631</v>
      </c>
      <c r="H939" s="1187">
        <v>245303.734375</v>
      </c>
      <c r="I939" s="1187">
        <v>8008.0498046875</v>
      </c>
      <c r="J939" s="1187">
        <v>253311.796875</v>
      </c>
      <c r="K939" s="1188">
        <v>253311.79</v>
      </c>
    </row>
    <row r="940" spans="1:11" ht="30.6" x14ac:dyDescent="0.3">
      <c r="A940" s="761" t="s">
        <v>621</v>
      </c>
      <c r="B940" s="765">
        <v>2020</v>
      </c>
      <c r="C940" s="761" t="s">
        <v>2348</v>
      </c>
      <c r="D940" s="761" t="s">
        <v>46</v>
      </c>
      <c r="E940" s="761" t="s">
        <v>3770</v>
      </c>
      <c r="F940" s="1187">
        <v>1242470.26</v>
      </c>
      <c r="G940" s="761" t="s">
        <v>631</v>
      </c>
      <c r="H940" s="1187">
        <v>1123856.5</v>
      </c>
      <c r="I940" s="1187">
        <v>118613.71875</v>
      </c>
      <c r="J940" s="1187">
        <v>1242470.25</v>
      </c>
      <c r="K940" s="1188">
        <v>1242470.26</v>
      </c>
    </row>
    <row r="941" spans="1:11" ht="20.399999999999999" x14ac:dyDescent="0.3">
      <c r="A941" s="761" t="s">
        <v>621</v>
      </c>
      <c r="B941" s="765">
        <v>2020</v>
      </c>
      <c r="C941" s="761" t="s">
        <v>2349</v>
      </c>
      <c r="D941" s="761" t="s">
        <v>339</v>
      </c>
      <c r="E941" s="761" t="s">
        <v>3771</v>
      </c>
      <c r="F941" s="1187">
        <v>-993406.01</v>
      </c>
      <c r="G941" s="761" t="s">
        <v>631</v>
      </c>
      <c r="H941" s="1187">
        <v>-1011114.625</v>
      </c>
      <c r="I941" s="1187">
        <v>17708.619140625</v>
      </c>
      <c r="J941" s="1187">
        <v>-993406</v>
      </c>
      <c r="K941" s="1188">
        <v>-993406.01</v>
      </c>
    </row>
    <row r="942" spans="1:11" ht="40.799999999999997" x14ac:dyDescent="0.3">
      <c r="A942" s="761" t="s">
        <v>621</v>
      </c>
      <c r="B942" s="765">
        <v>2020</v>
      </c>
      <c r="C942" s="761" t="s">
        <v>2350</v>
      </c>
      <c r="D942" s="761" t="s">
        <v>633</v>
      </c>
      <c r="E942" s="761" t="s">
        <v>3772</v>
      </c>
      <c r="F942" s="1187">
        <v>0</v>
      </c>
      <c r="G942" s="761" t="s">
        <v>631</v>
      </c>
      <c r="H942" s="767"/>
      <c r="I942" s="767"/>
      <c r="J942" s="1187">
        <v>0</v>
      </c>
      <c r="K942" s="1188">
        <v>0</v>
      </c>
    </row>
    <row r="943" spans="1:11" ht="40.799999999999997" x14ac:dyDescent="0.3">
      <c r="A943" s="761" t="s">
        <v>621</v>
      </c>
      <c r="B943" s="765">
        <v>2020</v>
      </c>
      <c r="C943" s="761" t="s">
        <v>2350</v>
      </c>
      <c r="D943" s="761" t="s">
        <v>634</v>
      </c>
      <c r="E943" s="761" t="s">
        <v>3773</v>
      </c>
      <c r="F943" s="1187">
        <v>0</v>
      </c>
      <c r="G943" s="761" t="s">
        <v>631</v>
      </c>
      <c r="H943" s="767"/>
      <c r="I943" s="767"/>
      <c r="J943" s="1187">
        <v>0</v>
      </c>
      <c r="K943" s="1188">
        <v>0</v>
      </c>
    </row>
    <row r="944" spans="1:11" ht="40.799999999999997" x14ac:dyDescent="0.3">
      <c r="A944" s="761" t="s">
        <v>621</v>
      </c>
      <c r="B944" s="765">
        <v>2020</v>
      </c>
      <c r="C944" s="761" t="s">
        <v>2350</v>
      </c>
      <c r="D944" s="761" t="s">
        <v>635</v>
      </c>
      <c r="E944" s="761" t="s">
        <v>3774</v>
      </c>
      <c r="F944" s="1187">
        <v>0</v>
      </c>
      <c r="G944" s="761" t="s">
        <v>631</v>
      </c>
      <c r="H944" s="767"/>
      <c r="I944" s="767"/>
      <c r="J944" s="1187">
        <v>0</v>
      </c>
      <c r="K944" s="1188">
        <v>0</v>
      </c>
    </row>
    <row r="945" spans="1:11" ht="40.799999999999997" x14ac:dyDescent="0.3">
      <c r="A945" s="761" t="s">
        <v>621</v>
      </c>
      <c r="B945" s="765">
        <v>2020</v>
      </c>
      <c r="C945" s="761" t="s">
        <v>2350</v>
      </c>
      <c r="D945" s="761" t="s">
        <v>636</v>
      </c>
      <c r="E945" s="761" t="s">
        <v>3775</v>
      </c>
      <c r="F945" s="1187">
        <v>0</v>
      </c>
      <c r="G945" s="761" t="s">
        <v>631</v>
      </c>
      <c r="H945" s="1187">
        <v>-330820</v>
      </c>
      <c r="I945" s="1187">
        <v>-36348.21875</v>
      </c>
      <c r="J945" s="1187">
        <v>-367168.21875</v>
      </c>
      <c r="K945" s="1188">
        <v>-367168.22</v>
      </c>
    </row>
    <row r="946" spans="1:11" ht="40.799999999999997" x14ac:dyDescent="0.3">
      <c r="A946" s="761" t="s">
        <v>621</v>
      </c>
      <c r="B946" s="765">
        <v>2020</v>
      </c>
      <c r="C946" s="761" t="s">
        <v>2350</v>
      </c>
      <c r="D946" s="761" t="s">
        <v>637</v>
      </c>
      <c r="E946" s="761" t="s">
        <v>3776</v>
      </c>
      <c r="F946" s="1187">
        <v>0</v>
      </c>
      <c r="G946" s="761" t="s">
        <v>631</v>
      </c>
      <c r="H946" s="767"/>
      <c r="I946" s="767"/>
      <c r="J946" s="1187">
        <v>0</v>
      </c>
      <c r="K946" s="1188">
        <v>0</v>
      </c>
    </row>
    <row r="947" spans="1:11" ht="40.799999999999997" x14ac:dyDescent="0.3">
      <c r="A947" s="761" t="s">
        <v>621</v>
      </c>
      <c r="B947" s="765">
        <v>2020</v>
      </c>
      <c r="C947" s="761" t="s">
        <v>2350</v>
      </c>
      <c r="D947" s="761" t="s">
        <v>638</v>
      </c>
      <c r="E947" s="761" t="s">
        <v>3777</v>
      </c>
      <c r="F947" s="1187">
        <v>0</v>
      </c>
      <c r="G947" s="761" t="s">
        <v>631</v>
      </c>
      <c r="H947" s="1187">
        <v>183519.6875</v>
      </c>
      <c r="I947" s="1187">
        <v>-247838.703125</v>
      </c>
      <c r="J947" s="1187">
        <v>-64319.01171875</v>
      </c>
      <c r="K947" s="1188">
        <v>-64319.01</v>
      </c>
    </row>
    <row r="948" spans="1:11" ht="40.799999999999997" x14ac:dyDescent="0.3">
      <c r="A948" s="761" t="s">
        <v>621</v>
      </c>
      <c r="B948" s="765">
        <v>2020</v>
      </c>
      <c r="C948" s="761" t="s">
        <v>2350</v>
      </c>
      <c r="D948" s="761" t="s">
        <v>639</v>
      </c>
      <c r="E948" s="761" t="s">
        <v>3778</v>
      </c>
      <c r="F948" s="1187">
        <v>0</v>
      </c>
      <c r="G948" s="761" t="s">
        <v>631</v>
      </c>
      <c r="H948" s="1187">
        <v>-101432.578125</v>
      </c>
      <c r="I948" s="1187">
        <v>39539.421875</v>
      </c>
      <c r="J948" s="1187">
        <v>-61893.16015625</v>
      </c>
      <c r="K948" s="1188">
        <v>-61893.16</v>
      </c>
    </row>
    <row r="949" spans="1:11" ht="40.799999999999997" x14ac:dyDescent="0.3">
      <c r="A949" s="761" t="s">
        <v>621</v>
      </c>
      <c r="B949" s="765">
        <v>2020</v>
      </c>
      <c r="C949" s="761" t="s">
        <v>2350</v>
      </c>
      <c r="D949" s="761" t="s">
        <v>1613</v>
      </c>
      <c r="E949" s="761" t="s">
        <v>3779</v>
      </c>
      <c r="F949" s="1187">
        <v>0</v>
      </c>
      <c r="G949" s="761" t="s">
        <v>631</v>
      </c>
      <c r="H949" s="1187">
        <v>36100.55078125</v>
      </c>
      <c r="I949" s="1187">
        <v>1765.5</v>
      </c>
      <c r="J949" s="1187">
        <v>37866.05078125</v>
      </c>
      <c r="K949" s="1188">
        <v>37866.050000000003</v>
      </c>
    </row>
    <row r="950" spans="1:11" ht="40.799999999999997" x14ac:dyDescent="0.3">
      <c r="A950" s="761" t="s">
        <v>621</v>
      </c>
      <c r="B950" s="765">
        <v>2020</v>
      </c>
      <c r="C950" s="761" t="s">
        <v>2350</v>
      </c>
      <c r="D950" s="761" t="s">
        <v>2067</v>
      </c>
      <c r="E950" s="761" t="s">
        <v>3780</v>
      </c>
      <c r="F950" s="1187">
        <v>0</v>
      </c>
      <c r="G950" s="761" t="s">
        <v>631</v>
      </c>
      <c r="H950" s="767"/>
      <c r="I950" s="767"/>
      <c r="J950" s="1187">
        <v>0</v>
      </c>
      <c r="K950" s="1188">
        <v>0</v>
      </c>
    </row>
    <row r="951" spans="1:11" ht="40.799999999999997" x14ac:dyDescent="0.3">
      <c r="A951" s="761" t="s">
        <v>621</v>
      </c>
      <c r="B951" s="765">
        <v>2020</v>
      </c>
      <c r="C951" s="761" t="s">
        <v>2350</v>
      </c>
      <c r="D951" s="761" t="s">
        <v>3762</v>
      </c>
      <c r="E951" s="761" t="s">
        <v>4354</v>
      </c>
      <c r="F951" s="1187">
        <v>0</v>
      </c>
      <c r="G951" s="761" t="s">
        <v>631</v>
      </c>
      <c r="H951" s="1187">
        <v>4892.759765625</v>
      </c>
      <c r="I951" s="1187">
        <v>5094.81982421875</v>
      </c>
      <c r="J951" s="1187">
        <v>9987.580078125</v>
      </c>
      <c r="K951" s="1188">
        <v>9987.58</v>
      </c>
    </row>
    <row r="952" spans="1:11" ht="40.799999999999997" x14ac:dyDescent="0.3">
      <c r="A952" s="761" t="s">
        <v>621</v>
      </c>
      <c r="B952" s="765">
        <v>2020</v>
      </c>
      <c r="C952" s="761" t="s">
        <v>2350</v>
      </c>
      <c r="D952" s="761" t="s">
        <v>4844</v>
      </c>
      <c r="E952" s="761" t="s">
        <v>5809</v>
      </c>
      <c r="F952" s="1187">
        <v>0</v>
      </c>
      <c r="G952" s="761" t="s">
        <v>631</v>
      </c>
      <c r="H952" s="1187">
        <v>-441925.3125</v>
      </c>
      <c r="I952" s="1187">
        <v>410094.8125</v>
      </c>
      <c r="J952" s="1187">
        <v>-31830.51953125</v>
      </c>
      <c r="K952" s="1188">
        <v>-31830.52</v>
      </c>
    </row>
    <row r="953" spans="1:11" ht="40.799999999999997" x14ac:dyDescent="0.3">
      <c r="A953" s="761" t="s">
        <v>621</v>
      </c>
      <c r="B953" s="765">
        <v>2020</v>
      </c>
      <c r="C953" s="761" t="s">
        <v>2350</v>
      </c>
      <c r="D953" s="761" t="s">
        <v>7101</v>
      </c>
      <c r="E953" s="761" t="s">
        <v>7176</v>
      </c>
      <c r="F953" s="1187">
        <v>0</v>
      </c>
      <c r="G953" s="761" t="s">
        <v>631</v>
      </c>
      <c r="H953" s="1187">
        <v>583883.875</v>
      </c>
      <c r="I953" s="1187">
        <v>59449.55859375</v>
      </c>
      <c r="J953" s="1187">
        <v>643333.4375</v>
      </c>
      <c r="K953" s="1188">
        <v>643333.43999999994</v>
      </c>
    </row>
    <row r="954" spans="1:11" ht="40.799999999999997" x14ac:dyDescent="0.3">
      <c r="A954" s="761" t="s">
        <v>621</v>
      </c>
      <c r="B954" s="765">
        <v>2020</v>
      </c>
      <c r="C954" s="761" t="s">
        <v>2350</v>
      </c>
      <c r="D954" s="761" t="s">
        <v>640</v>
      </c>
      <c r="E954" s="761" t="s">
        <v>3781</v>
      </c>
      <c r="F954" s="1187">
        <v>165976.16</v>
      </c>
      <c r="G954" s="766"/>
      <c r="H954" s="767"/>
      <c r="I954" s="767"/>
      <c r="J954" s="1187">
        <v>0</v>
      </c>
      <c r="K954" s="1188">
        <v>165976.16</v>
      </c>
    </row>
    <row r="955" spans="1:11" x14ac:dyDescent="0.3">
      <c r="A955" s="761" t="s">
        <v>418</v>
      </c>
      <c r="B955" s="765">
        <v>2020</v>
      </c>
      <c r="C955" s="761" t="s">
        <v>2342</v>
      </c>
      <c r="D955" s="761" t="s">
        <v>45</v>
      </c>
      <c r="E955" s="761" t="s">
        <v>857</v>
      </c>
      <c r="F955" s="1187">
        <v>1961260.13</v>
      </c>
      <c r="G955" s="761" t="s">
        <v>631</v>
      </c>
      <c r="H955" s="1187">
        <v>1915647.5</v>
      </c>
      <c r="I955" s="1187">
        <v>45612.609375</v>
      </c>
      <c r="J955" s="1187">
        <v>1961260.125</v>
      </c>
      <c r="K955" s="1188">
        <v>1961260.13</v>
      </c>
    </row>
    <row r="956" spans="1:11" ht="30.6" x14ac:dyDescent="0.3">
      <c r="A956" s="761" t="s">
        <v>418</v>
      </c>
      <c r="B956" s="765">
        <v>2020</v>
      </c>
      <c r="C956" s="761" t="s">
        <v>2343</v>
      </c>
      <c r="D956" s="761" t="s">
        <v>632</v>
      </c>
      <c r="E956" s="761" t="s">
        <v>858</v>
      </c>
      <c r="F956" s="1187">
        <v>-32269.16</v>
      </c>
      <c r="G956" s="761" t="s">
        <v>631</v>
      </c>
      <c r="H956" s="1187">
        <v>-30873.33984375</v>
      </c>
      <c r="I956" s="1187">
        <v>-1395.81994628906</v>
      </c>
      <c r="J956" s="1187">
        <v>-32269.16015625</v>
      </c>
      <c r="K956" s="1188">
        <v>-32269.16</v>
      </c>
    </row>
    <row r="957" spans="1:11" ht="20.399999999999999" x14ac:dyDescent="0.3">
      <c r="A957" s="761" t="s">
        <v>418</v>
      </c>
      <c r="B957" s="765">
        <v>2020</v>
      </c>
      <c r="C957" s="761" t="s">
        <v>2344</v>
      </c>
      <c r="D957" s="761" t="s">
        <v>452</v>
      </c>
      <c r="E957" s="761" t="s">
        <v>859</v>
      </c>
      <c r="F957" s="1187">
        <v>0</v>
      </c>
      <c r="G957" s="766"/>
      <c r="H957" s="767"/>
      <c r="I957" s="767"/>
      <c r="J957" s="1187">
        <v>0</v>
      </c>
      <c r="K957" s="1188">
        <v>0</v>
      </c>
    </row>
    <row r="958" spans="1:11" ht="20.399999999999999" x14ac:dyDescent="0.3">
      <c r="A958" s="761" t="s">
        <v>418</v>
      </c>
      <c r="B958" s="765">
        <v>2020</v>
      </c>
      <c r="C958" s="761" t="s">
        <v>2345</v>
      </c>
      <c r="D958" s="761" t="s">
        <v>42</v>
      </c>
      <c r="E958" s="761" t="s">
        <v>860</v>
      </c>
      <c r="F958" s="1187">
        <v>-776720.92</v>
      </c>
      <c r="G958" s="761" t="s">
        <v>631</v>
      </c>
      <c r="H958" s="1187">
        <v>-740077.8125</v>
      </c>
      <c r="I958" s="1187">
        <v>-36643.12109375</v>
      </c>
      <c r="J958" s="1187">
        <v>-776720.9375</v>
      </c>
      <c r="K958" s="1188">
        <v>-776720.92</v>
      </c>
    </row>
    <row r="959" spans="1:11" ht="20.399999999999999" x14ac:dyDescent="0.3">
      <c r="A959" s="761" t="s">
        <v>418</v>
      </c>
      <c r="B959" s="765">
        <v>2020</v>
      </c>
      <c r="C959" s="761" t="s">
        <v>2345</v>
      </c>
      <c r="D959" s="761" t="s">
        <v>2063</v>
      </c>
      <c r="E959" s="761" t="s">
        <v>860</v>
      </c>
      <c r="F959" s="1187">
        <v>0</v>
      </c>
      <c r="G959" s="766"/>
      <c r="H959" s="767"/>
      <c r="I959" s="767"/>
      <c r="J959" s="1187">
        <v>0</v>
      </c>
      <c r="K959" s="1188">
        <v>0</v>
      </c>
    </row>
    <row r="960" spans="1:11" ht="20.399999999999999" x14ac:dyDescent="0.3">
      <c r="A960" s="761" t="s">
        <v>418</v>
      </c>
      <c r="B960" s="765">
        <v>2020</v>
      </c>
      <c r="C960" s="761" t="s">
        <v>2345</v>
      </c>
      <c r="D960" s="761" t="s">
        <v>2064</v>
      </c>
      <c r="E960" s="761" t="s">
        <v>860</v>
      </c>
      <c r="F960" s="1187">
        <v>0</v>
      </c>
      <c r="G960" s="766"/>
      <c r="H960" s="767"/>
      <c r="I960" s="767"/>
      <c r="J960" s="1187">
        <v>0</v>
      </c>
      <c r="K960" s="1188">
        <v>0</v>
      </c>
    </row>
    <row r="961" spans="1:11" ht="20.399999999999999" x14ac:dyDescent="0.3">
      <c r="A961" s="761" t="s">
        <v>418</v>
      </c>
      <c r="B961" s="765">
        <v>2020</v>
      </c>
      <c r="C961" s="761" t="s">
        <v>2345</v>
      </c>
      <c r="D961" s="761" t="s">
        <v>2065</v>
      </c>
      <c r="E961" s="761" t="s">
        <v>860</v>
      </c>
      <c r="F961" s="1187">
        <v>33.47</v>
      </c>
      <c r="G961" s="766"/>
      <c r="H961" s="767"/>
      <c r="I961" s="767"/>
      <c r="J961" s="1187">
        <v>0</v>
      </c>
      <c r="K961" s="1188">
        <v>33.47</v>
      </c>
    </row>
    <row r="962" spans="1:11" ht="20.399999999999999" x14ac:dyDescent="0.3">
      <c r="A962" s="761" t="s">
        <v>418</v>
      </c>
      <c r="B962" s="765">
        <v>2020</v>
      </c>
      <c r="C962" s="761" t="s">
        <v>2345</v>
      </c>
      <c r="D962" s="761" t="s">
        <v>2066</v>
      </c>
      <c r="E962" s="761" t="s">
        <v>860</v>
      </c>
      <c r="F962" s="1187">
        <v>-127219.38</v>
      </c>
      <c r="G962" s="766"/>
      <c r="H962" s="767"/>
      <c r="I962" s="767"/>
      <c r="J962" s="1187">
        <v>0</v>
      </c>
      <c r="K962" s="1188">
        <v>-127219.38</v>
      </c>
    </row>
    <row r="963" spans="1:11" ht="30.6" x14ac:dyDescent="0.3">
      <c r="A963" s="761" t="s">
        <v>418</v>
      </c>
      <c r="B963" s="765">
        <v>2020</v>
      </c>
      <c r="C963" s="761" t="s">
        <v>2346</v>
      </c>
      <c r="D963" s="761" t="s">
        <v>43</v>
      </c>
      <c r="E963" s="761" t="s">
        <v>861</v>
      </c>
      <c r="F963" s="1187">
        <v>359953.97</v>
      </c>
      <c r="G963" s="761" t="s">
        <v>631</v>
      </c>
      <c r="H963" s="1187">
        <v>349720.53125</v>
      </c>
      <c r="I963" s="1187">
        <v>10233.4404296875</v>
      </c>
      <c r="J963" s="1187">
        <v>359953.96875</v>
      </c>
      <c r="K963" s="1188">
        <v>359953.97</v>
      </c>
    </row>
    <row r="964" spans="1:11" ht="30.6" x14ac:dyDescent="0.3">
      <c r="A964" s="761" t="s">
        <v>418</v>
      </c>
      <c r="B964" s="765">
        <v>2020</v>
      </c>
      <c r="C964" s="761" t="s">
        <v>2347</v>
      </c>
      <c r="D964" s="761" t="s">
        <v>44</v>
      </c>
      <c r="E964" s="761" t="s">
        <v>862</v>
      </c>
      <c r="F964" s="1187">
        <v>87195.9</v>
      </c>
      <c r="G964" s="761" t="s">
        <v>631</v>
      </c>
      <c r="H964" s="1187">
        <v>85331.6796875</v>
      </c>
      <c r="I964" s="1187">
        <v>1864.21997070313</v>
      </c>
      <c r="J964" s="1187">
        <v>87195.8984375</v>
      </c>
      <c r="K964" s="1188">
        <v>87195.9</v>
      </c>
    </row>
    <row r="965" spans="1:11" ht="30.6" x14ac:dyDescent="0.3">
      <c r="A965" s="761" t="s">
        <v>418</v>
      </c>
      <c r="B965" s="765">
        <v>2020</v>
      </c>
      <c r="C965" s="761" t="s">
        <v>2348</v>
      </c>
      <c r="D965" s="761" t="s">
        <v>46</v>
      </c>
      <c r="E965" s="761" t="s">
        <v>863</v>
      </c>
      <c r="F965" s="1187">
        <v>-1309174.1100000001</v>
      </c>
      <c r="G965" s="761" t="s">
        <v>631</v>
      </c>
      <c r="H965" s="1187">
        <v>-1355510.875</v>
      </c>
      <c r="I965" s="1187">
        <v>46336.7890625</v>
      </c>
      <c r="J965" s="1187">
        <v>-1309174.125</v>
      </c>
      <c r="K965" s="1188">
        <v>-1309174.1100000001</v>
      </c>
    </row>
    <row r="966" spans="1:11" ht="20.399999999999999" x14ac:dyDescent="0.3">
      <c r="A966" s="761" t="s">
        <v>418</v>
      </c>
      <c r="B966" s="765">
        <v>2020</v>
      </c>
      <c r="C966" s="761" t="s">
        <v>2349</v>
      </c>
      <c r="D966" s="761" t="s">
        <v>339</v>
      </c>
      <c r="E966" s="761" t="s">
        <v>864</v>
      </c>
      <c r="F966" s="1187">
        <v>7714.38</v>
      </c>
      <c r="G966" s="761" t="s">
        <v>631</v>
      </c>
      <c r="H966" s="1187">
        <v>-177.44999694824199</v>
      </c>
      <c r="I966" s="1187">
        <v>7891.830078125</v>
      </c>
      <c r="J966" s="1187">
        <v>7714.3798828125</v>
      </c>
      <c r="K966" s="1188">
        <v>7714.38</v>
      </c>
    </row>
    <row r="967" spans="1:11" ht="40.799999999999997" x14ac:dyDescent="0.3">
      <c r="A967" s="761" t="s">
        <v>418</v>
      </c>
      <c r="B967" s="765">
        <v>2020</v>
      </c>
      <c r="C967" s="761" t="s">
        <v>2350</v>
      </c>
      <c r="D967" s="761" t="s">
        <v>633</v>
      </c>
      <c r="E967" s="761" t="s">
        <v>1206</v>
      </c>
      <c r="F967" s="1187">
        <v>0</v>
      </c>
      <c r="G967" s="761" t="s">
        <v>631</v>
      </c>
      <c r="H967" s="767"/>
      <c r="I967" s="767"/>
      <c r="J967" s="1187">
        <v>0</v>
      </c>
      <c r="K967" s="1188">
        <v>0</v>
      </c>
    </row>
    <row r="968" spans="1:11" ht="40.799999999999997" x14ac:dyDescent="0.3">
      <c r="A968" s="761" t="s">
        <v>418</v>
      </c>
      <c r="B968" s="765">
        <v>2020</v>
      </c>
      <c r="C968" s="761" t="s">
        <v>2350</v>
      </c>
      <c r="D968" s="761" t="s">
        <v>634</v>
      </c>
      <c r="E968" s="761" t="s">
        <v>1207</v>
      </c>
      <c r="F968" s="1187">
        <v>0</v>
      </c>
      <c r="G968" s="761" t="s">
        <v>631</v>
      </c>
      <c r="H968" s="767"/>
      <c r="I968" s="767"/>
      <c r="J968" s="1187">
        <v>0</v>
      </c>
      <c r="K968" s="1188">
        <v>0</v>
      </c>
    </row>
    <row r="969" spans="1:11" ht="40.799999999999997" x14ac:dyDescent="0.3">
      <c r="A969" s="761" t="s">
        <v>418</v>
      </c>
      <c r="B969" s="765">
        <v>2020</v>
      </c>
      <c r="C969" s="761" t="s">
        <v>2350</v>
      </c>
      <c r="D969" s="761" t="s">
        <v>635</v>
      </c>
      <c r="E969" s="761" t="s">
        <v>1208</v>
      </c>
      <c r="F969" s="1187">
        <v>0</v>
      </c>
      <c r="G969" s="761" t="s">
        <v>631</v>
      </c>
      <c r="H969" s="767"/>
      <c r="I969" s="767"/>
      <c r="J969" s="1187">
        <v>0</v>
      </c>
      <c r="K969" s="1188">
        <v>0</v>
      </c>
    </row>
    <row r="970" spans="1:11" ht="40.799999999999997" x14ac:dyDescent="0.3">
      <c r="A970" s="761" t="s">
        <v>418</v>
      </c>
      <c r="B970" s="765">
        <v>2020</v>
      </c>
      <c r="C970" s="761" t="s">
        <v>2350</v>
      </c>
      <c r="D970" s="761" t="s">
        <v>636</v>
      </c>
      <c r="E970" s="761" t="s">
        <v>1209</v>
      </c>
      <c r="F970" s="1187">
        <v>0</v>
      </c>
      <c r="G970" s="761" t="s">
        <v>631</v>
      </c>
      <c r="H970" s="767"/>
      <c r="I970" s="767"/>
      <c r="J970" s="1187">
        <v>0</v>
      </c>
      <c r="K970" s="1188">
        <v>0</v>
      </c>
    </row>
    <row r="971" spans="1:11" ht="40.799999999999997" x14ac:dyDescent="0.3">
      <c r="A971" s="761" t="s">
        <v>418</v>
      </c>
      <c r="B971" s="765">
        <v>2020</v>
      </c>
      <c r="C971" s="761" t="s">
        <v>2350</v>
      </c>
      <c r="D971" s="761" t="s">
        <v>637</v>
      </c>
      <c r="E971" s="761" t="s">
        <v>1210</v>
      </c>
      <c r="F971" s="1187">
        <v>0</v>
      </c>
      <c r="G971" s="761" t="s">
        <v>631</v>
      </c>
      <c r="H971" s="767"/>
      <c r="I971" s="767"/>
      <c r="J971" s="1187">
        <v>0</v>
      </c>
      <c r="K971" s="1188">
        <v>0</v>
      </c>
    </row>
    <row r="972" spans="1:11" ht="40.799999999999997" x14ac:dyDescent="0.3">
      <c r="A972" s="761" t="s">
        <v>418</v>
      </c>
      <c r="B972" s="765">
        <v>2020</v>
      </c>
      <c r="C972" s="761" t="s">
        <v>2350</v>
      </c>
      <c r="D972" s="761" t="s">
        <v>638</v>
      </c>
      <c r="E972" s="761" t="s">
        <v>1211</v>
      </c>
      <c r="F972" s="1187">
        <v>0</v>
      </c>
      <c r="G972" s="761" t="s">
        <v>631</v>
      </c>
      <c r="H972" s="767"/>
      <c r="I972" s="767"/>
      <c r="J972" s="1187">
        <v>0</v>
      </c>
      <c r="K972" s="1188">
        <v>0</v>
      </c>
    </row>
    <row r="973" spans="1:11" ht="40.799999999999997" x14ac:dyDescent="0.3">
      <c r="A973" s="761" t="s">
        <v>418</v>
      </c>
      <c r="B973" s="765">
        <v>2020</v>
      </c>
      <c r="C973" s="761" t="s">
        <v>2350</v>
      </c>
      <c r="D973" s="761" t="s">
        <v>639</v>
      </c>
      <c r="E973" s="761" t="s">
        <v>1212</v>
      </c>
      <c r="F973" s="1187">
        <v>0</v>
      </c>
      <c r="G973" s="761" t="s">
        <v>631</v>
      </c>
      <c r="H973" s="767"/>
      <c r="I973" s="767"/>
      <c r="J973" s="1187">
        <v>0</v>
      </c>
      <c r="K973" s="1188">
        <v>0</v>
      </c>
    </row>
    <row r="974" spans="1:11" ht="40.799999999999997" x14ac:dyDescent="0.3">
      <c r="A974" s="761" t="s">
        <v>418</v>
      </c>
      <c r="B974" s="765">
        <v>2020</v>
      </c>
      <c r="C974" s="761" t="s">
        <v>2350</v>
      </c>
      <c r="D974" s="761" t="s">
        <v>1613</v>
      </c>
      <c r="E974" s="761" t="s">
        <v>1984</v>
      </c>
      <c r="F974" s="1187">
        <v>0</v>
      </c>
      <c r="G974" s="761" t="s">
        <v>631</v>
      </c>
      <c r="H974" s="767"/>
      <c r="I974" s="767"/>
      <c r="J974" s="1187">
        <v>0</v>
      </c>
      <c r="K974" s="1188">
        <v>0</v>
      </c>
    </row>
    <row r="975" spans="1:11" ht="40.799999999999997" x14ac:dyDescent="0.3">
      <c r="A975" s="761" t="s">
        <v>418</v>
      </c>
      <c r="B975" s="765">
        <v>2020</v>
      </c>
      <c r="C975" s="761" t="s">
        <v>2350</v>
      </c>
      <c r="D975" s="761" t="s">
        <v>2067</v>
      </c>
      <c r="E975" s="761" t="s">
        <v>2097</v>
      </c>
      <c r="F975" s="1187">
        <v>0</v>
      </c>
      <c r="G975" s="761" t="s">
        <v>631</v>
      </c>
      <c r="H975" s="767"/>
      <c r="I975" s="767"/>
      <c r="J975" s="1187">
        <v>0</v>
      </c>
      <c r="K975" s="1188">
        <v>0</v>
      </c>
    </row>
    <row r="976" spans="1:11" ht="40.799999999999997" x14ac:dyDescent="0.3">
      <c r="A976" s="761" t="s">
        <v>418</v>
      </c>
      <c r="B976" s="765">
        <v>2020</v>
      </c>
      <c r="C976" s="761" t="s">
        <v>2350</v>
      </c>
      <c r="D976" s="761" t="s">
        <v>3762</v>
      </c>
      <c r="E976" s="761" t="s">
        <v>4355</v>
      </c>
      <c r="F976" s="1187">
        <v>0</v>
      </c>
      <c r="G976" s="761" t="s">
        <v>631</v>
      </c>
      <c r="H976" s="1187">
        <v>-18287.19921875</v>
      </c>
      <c r="I976" s="1187">
        <v>22910.609375</v>
      </c>
      <c r="J976" s="1187">
        <v>4623.41015625</v>
      </c>
      <c r="K976" s="1188">
        <v>4623.41</v>
      </c>
    </row>
    <row r="977" spans="1:11" ht="40.799999999999997" x14ac:dyDescent="0.3">
      <c r="A977" s="761" t="s">
        <v>418</v>
      </c>
      <c r="B977" s="765">
        <v>2020</v>
      </c>
      <c r="C977" s="761" t="s">
        <v>2350</v>
      </c>
      <c r="D977" s="761" t="s">
        <v>4844</v>
      </c>
      <c r="E977" s="761" t="s">
        <v>5810</v>
      </c>
      <c r="F977" s="1187">
        <v>0</v>
      </c>
      <c r="G977" s="761" t="s">
        <v>631</v>
      </c>
      <c r="H977" s="1187">
        <v>-1166948.5</v>
      </c>
      <c r="I977" s="1187">
        <v>1046617.875</v>
      </c>
      <c r="J977" s="1187">
        <v>-120330.6484375</v>
      </c>
      <c r="K977" s="1188">
        <v>-120330.65</v>
      </c>
    </row>
    <row r="978" spans="1:11" ht="40.799999999999997" x14ac:dyDescent="0.3">
      <c r="A978" s="761" t="s">
        <v>418</v>
      </c>
      <c r="B978" s="765">
        <v>2020</v>
      </c>
      <c r="C978" s="761" t="s">
        <v>2350</v>
      </c>
      <c r="D978" s="761" t="s">
        <v>7101</v>
      </c>
      <c r="E978" s="761" t="s">
        <v>7177</v>
      </c>
      <c r="F978" s="1187">
        <v>0</v>
      </c>
      <c r="G978" s="761" t="s">
        <v>631</v>
      </c>
      <c r="H978" s="1187">
        <v>-280629.65625</v>
      </c>
      <c r="I978" s="1187">
        <v>1078.42004394531</v>
      </c>
      <c r="J978" s="1187">
        <v>-279551.25</v>
      </c>
      <c r="K978" s="1188">
        <v>-279551.25</v>
      </c>
    </row>
    <row r="979" spans="1:11" ht="40.799999999999997" x14ac:dyDescent="0.3">
      <c r="A979" s="761" t="s">
        <v>418</v>
      </c>
      <c r="B979" s="765">
        <v>2020</v>
      </c>
      <c r="C979" s="761" t="s">
        <v>2350</v>
      </c>
      <c r="D979" s="761" t="s">
        <v>640</v>
      </c>
      <c r="E979" s="761" t="s">
        <v>1373</v>
      </c>
      <c r="F979" s="1187">
        <v>-395258.49</v>
      </c>
      <c r="G979" s="766"/>
      <c r="H979" s="767"/>
      <c r="I979" s="767"/>
      <c r="J979" s="1187">
        <v>0</v>
      </c>
      <c r="K979" s="1188">
        <v>-395258.49</v>
      </c>
    </row>
    <row r="980" spans="1:11" x14ac:dyDescent="0.3">
      <c r="A980" s="761" t="s">
        <v>184</v>
      </c>
      <c r="B980" s="765">
        <v>2020</v>
      </c>
      <c r="C980" s="761" t="s">
        <v>2342</v>
      </c>
      <c r="D980" s="761" t="s">
        <v>45</v>
      </c>
      <c r="E980" s="761" t="s">
        <v>865</v>
      </c>
      <c r="F980" s="1187">
        <v>0</v>
      </c>
      <c r="G980" s="761" t="s">
        <v>631</v>
      </c>
      <c r="H980" s="1187">
        <v>0</v>
      </c>
      <c r="I980" s="1187">
        <v>0</v>
      </c>
      <c r="J980" s="1187">
        <v>0</v>
      </c>
      <c r="K980" s="1188">
        <v>0</v>
      </c>
    </row>
    <row r="981" spans="1:11" ht="30.6" x14ac:dyDescent="0.3">
      <c r="A981" s="761" t="s">
        <v>184</v>
      </c>
      <c r="B981" s="765">
        <v>2020</v>
      </c>
      <c r="C981" s="761" t="s">
        <v>2343</v>
      </c>
      <c r="D981" s="761" t="s">
        <v>632</v>
      </c>
      <c r="E981" s="761" t="s">
        <v>866</v>
      </c>
      <c r="F981" s="1187">
        <v>-12427.5</v>
      </c>
      <c r="G981" s="761" t="s">
        <v>631</v>
      </c>
      <c r="H981" s="1187">
        <v>-12045.0400390625</v>
      </c>
      <c r="I981" s="1187">
        <v>-382.45999145507801</v>
      </c>
      <c r="J981" s="1187">
        <v>-12427.5</v>
      </c>
      <c r="K981" s="1188">
        <v>-12427.5</v>
      </c>
    </row>
    <row r="982" spans="1:11" ht="20.399999999999999" x14ac:dyDescent="0.3">
      <c r="A982" s="761" t="s">
        <v>184</v>
      </c>
      <c r="B982" s="765">
        <v>2020</v>
      </c>
      <c r="C982" s="761" t="s">
        <v>2344</v>
      </c>
      <c r="D982" s="761" t="s">
        <v>452</v>
      </c>
      <c r="E982" s="761" t="s">
        <v>867</v>
      </c>
      <c r="F982" s="1187">
        <v>0</v>
      </c>
      <c r="G982" s="766"/>
      <c r="H982" s="767"/>
      <c r="I982" s="767"/>
      <c r="J982" s="1187">
        <v>0</v>
      </c>
      <c r="K982" s="1188">
        <v>0</v>
      </c>
    </row>
    <row r="983" spans="1:11" ht="20.399999999999999" x14ac:dyDescent="0.3">
      <c r="A983" s="761" t="s">
        <v>184</v>
      </c>
      <c r="B983" s="765">
        <v>2020</v>
      </c>
      <c r="C983" s="761" t="s">
        <v>2345</v>
      </c>
      <c r="D983" s="761" t="s">
        <v>42</v>
      </c>
      <c r="E983" s="761" t="s">
        <v>868</v>
      </c>
      <c r="F983" s="1187">
        <v>-131286.67000000001</v>
      </c>
      <c r="G983" s="761" t="s">
        <v>631</v>
      </c>
      <c r="H983" s="1187">
        <v>-128914.359375</v>
      </c>
      <c r="I983" s="1187">
        <v>-2372.31005859375</v>
      </c>
      <c r="J983" s="1187">
        <v>-131286.671875</v>
      </c>
      <c r="K983" s="1188">
        <v>-131286.67000000001</v>
      </c>
    </row>
    <row r="984" spans="1:11" ht="20.399999999999999" x14ac:dyDescent="0.3">
      <c r="A984" s="761" t="s">
        <v>184</v>
      </c>
      <c r="B984" s="765">
        <v>2020</v>
      </c>
      <c r="C984" s="761" t="s">
        <v>2345</v>
      </c>
      <c r="D984" s="761" t="s">
        <v>2063</v>
      </c>
      <c r="E984" s="761" t="s">
        <v>868</v>
      </c>
      <c r="F984" s="1187">
        <v>0</v>
      </c>
      <c r="G984" s="766"/>
      <c r="H984" s="767"/>
      <c r="I984" s="767"/>
      <c r="J984" s="1187">
        <v>0</v>
      </c>
      <c r="K984" s="1188">
        <v>0</v>
      </c>
    </row>
    <row r="985" spans="1:11" ht="20.399999999999999" x14ac:dyDescent="0.3">
      <c r="A985" s="761" t="s">
        <v>184</v>
      </c>
      <c r="B985" s="765">
        <v>2020</v>
      </c>
      <c r="C985" s="761" t="s">
        <v>2345</v>
      </c>
      <c r="D985" s="761" t="s">
        <v>2064</v>
      </c>
      <c r="E985" s="761" t="s">
        <v>868</v>
      </c>
      <c r="F985" s="1187">
        <v>0</v>
      </c>
      <c r="G985" s="766"/>
      <c r="H985" s="767"/>
      <c r="I985" s="767"/>
      <c r="J985" s="1187">
        <v>0</v>
      </c>
      <c r="K985" s="1188">
        <v>0</v>
      </c>
    </row>
    <row r="986" spans="1:11" ht="20.399999999999999" x14ac:dyDescent="0.3">
      <c r="A986" s="761" t="s">
        <v>184</v>
      </c>
      <c r="B986" s="765">
        <v>2020</v>
      </c>
      <c r="C986" s="761" t="s">
        <v>2345</v>
      </c>
      <c r="D986" s="761" t="s">
        <v>2065</v>
      </c>
      <c r="E986" s="761" t="s">
        <v>868</v>
      </c>
      <c r="F986" s="1187">
        <v>-452.19</v>
      </c>
      <c r="G986" s="766"/>
      <c r="H986" s="767"/>
      <c r="I986" s="767"/>
      <c r="J986" s="1187">
        <v>0</v>
      </c>
      <c r="K986" s="1188">
        <v>-452.19</v>
      </c>
    </row>
    <row r="987" spans="1:11" ht="20.399999999999999" x14ac:dyDescent="0.3">
      <c r="A987" s="761" t="s">
        <v>184</v>
      </c>
      <c r="B987" s="765">
        <v>2020</v>
      </c>
      <c r="C987" s="761" t="s">
        <v>2345</v>
      </c>
      <c r="D987" s="761" t="s">
        <v>2066</v>
      </c>
      <c r="E987" s="761" t="s">
        <v>868</v>
      </c>
      <c r="F987" s="1187">
        <v>-30044.36</v>
      </c>
      <c r="G987" s="766"/>
      <c r="H987" s="767"/>
      <c r="I987" s="767"/>
      <c r="J987" s="1187">
        <v>0</v>
      </c>
      <c r="K987" s="1188">
        <v>-30044.36</v>
      </c>
    </row>
    <row r="988" spans="1:11" ht="30.6" x14ac:dyDescent="0.3">
      <c r="A988" s="761" t="s">
        <v>184</v>
      </c>
      <c r="B988" s="765">
        <v>2020</v>
      </c>
      <c r="C988" s="761" t="s">
        <v>2346</v>
      </c>
      <c r="D988" s="761" t="s">
        <v>43</v>
      </c>
      <c r="E988" s="761" t="s">
        <v>869</v>
      </c>
      <c r="F988" s="1187">
        <v>54139.39</v>
      </c>
      <c r="G988" s="761" t="s">
        <v>631</v>
      </c>
      <c r="H988" s="1187">
        <v>51952.26171875</v>
      </c>
      <c r="I988" s="1187">
        <v>2187.1298828125</v>
      </c>
      <c r="J988" s="1187">
        <v>54139.390625</v>
      </c>
      <c r="K988" s="1188">
        <v>54139.39</v>
      </c>
    </row>
    <row r="989" spans="1:11" ht="30.6" x14ac:dyDescent="0.3">
      <c r="A989" s="761" t="s">
        <v>184</v>
      </c>
      <c r="B989" s="765">
        <v>2020</v>
      </c>
      <c r="C989" s="761" t="s">
        <v>2347</v>
      </c>
      <c r="D989" s="761" t="s">
        <v>44</v>
      </c>
      <c r="E989" s="761" t="s">
        <v>870</v>
      </c>
      <c r="F989" s="1187">
        <v>-48704.57</v>
      </c>
      <c r="G989" s="761" t="s">
        <v>631</v>
      </c>
      <c r="H989" s="1187">
        <v>-49158.78125</v>
      </c>
      <c r="I989" s="1187">
        <v>454.20999145507801</v>
      </c>
      <c r="J989" s="1187">
        <v>-48704.5703125</v>
      </c>
      <c r="K989" s="1188">
        <v>-48704.57</v>
      </c>
    </row>
    <row r="990" spans="1:11" ht="30.6" x14ac:dyDescent="0.3">
      <c r="A990" s="761" t="s">
        <v>184</v>
      </c>
      <c r="B990" s="765">
        <v>2020</v>
      </c>
      <c r="C990" s="761" t="s">
        <v>2348</v>
      </c>
      <c r="D990" s="761" t="s">
        <v>46</v>
      </c>
      <c r="E990" s="761" t="s">
        <v>871</v>
      </c>
      <c r="F990" s="1187">
        <v>15043.39</v>
      </c>
      <c r="G990" s="761" t="s">
        <v>631</v>
      </c>
      <c r="H990" s="1187">
        <v>5278.89013671875</v>
      </c>
      <c r="I990" s="1187">
        <v>9764.5</v>
      </c>
      <c r="J990" s="1187">
        <v>15043.3896484375</v>
      </c>
      <c r="K990" s="1188">
        <v>15043.39</v>
      </c>
    </row>
    <row r="991" spans="1:11" ht="20.399999999999999" x14ac:dyDescent="0.3">
      <c r="A991" s="761" t="s">
        <v>184</v>
      </c>
      <c r="B991" s="765">
        <v>2020</v>
      </c>
      <c r="C991" s="761" t="s">
        <v>2349</v>
      </c>
      <c r="D991" s="761" t="s">
        <v>339</v>
      </c>
      <c r="E991" s="761" t="s">
        <v>872</v>
      </c>
      <c r="F991" s="1187">
        <v>181393.58</v>
      </c>
      <c r="G991" s="761" t="s">
        <v>631</v>
      </c>
      <c r="H991" s="1187">
        <v>179438.453125</v>
      </c>
      <c r="I991" s="1187">
        <v>1955.13000488281</v>
      </c>
      <c r="J991" s="1187">
        <v>181393.578125</v>
      </c>
      <c r="K991" s="1188">
        <v>181393.58</v>
      </c>
    </row>
    <row r="992" spans="1:11" ht="40.799999999999997" x14ac:dyDescent="0.3">
      <c r="A992" s="761" t="s">
        <v>184</v>
      </c>
      <c r="B992" s="765">
        <v>2020</v>
      </c>
      <c r="C992" s="761" t="s">
        <v>2350</v>
      </c>
      <c r="D992" s="761" t="s">
        <v>633</v>
      </c>
      <c r="E992" s="761" t="s">
        <v>1213</v>
      </c>
      <c r="F992" s="1187">
        <v>0</v>
      </c>
      <c r="G992" s="761" t="s">
        <v>631</v>
      </c>
      <c r="H992" s="767"/>
      <c r="I992" s="767"/>
      <c r="J992" s="1187">
        <v>0</v>
      </c>
      <c r="K992" s="1188">
        <v>0</v>
      </c>
    </row>
    <row r="993" spans="1:11" ht="40.799999999999997" x14ac:dyDescent="0.3">
      <c r="A993" s="761" t="s">
        <v>184</v>
      </c>
      <c r="B993" s="765">
        <v>2020</v>
      </c>
      <c r="C993" s="761" t="s">
        <v>2350</v>
      </c>
      <c r="D993" s="761" t="s">
        <v>634</v>
      </c>
      <c r="E993" s="761" t="s">
        <v>1214</v>
      </c>
      <c r="F993" s="1187">
        <v>0</v>
      </c>
      <c r="G993" s="761" t="s">
        <v>631</v>
      </c>
      <c r="H993" s="767"/>
      <c r="I993" s="767"/>
      <c r="J993" s="1187">
        <v>0</v>
      </c>
      <c r="K993" s="1188">
        <v>0</v>
      </c>
    </row>
    <row r="994" spans="1:11" ht="40.799999999999997" x14ac:dyDescent="0.3">
      <c r="A994" s="761" t="s">
        <v>184</v>
      </c>
      <c r="B994" s="765">
        <v>2020</v>
      </c>
      <c r="C994" s="761" t="s">
        <v>2350</v>
      </c>
      <c r="D994" s="761" t="s">
        <v>635</v>
      </c>
      <c r="E994" s="761" t="s">
        <v>1215</v>
      </c>
      <c r="F994" s="1187">
        <v>0</v>
      </c>
      <c r="G994" s="761" t="s">
        <v>631</v>
      </c>
      <c r="H994" s="767"/>
      <c r="I994" s="767"/>
      <c r="J994" s="1187">
        <v>0</v>
      </c>
      <c r="K994" s="1188">
        <v>0</v>
      </c>
    </row>
    <row r="995" spans="1:11" ht="40.799999999999997" x14ac:dyDescent="0.3">
      <c r="A995" s="761" t="s">
        <v>184</v>
      </c>
      <c r="B995" s="765">
        <v>2020</v>
      </c>
      <c r="C995" s="761" t="s">
        <v>2350</v>
      </c>
      <c r="D995" s="761" t="s">
        <v>636</v>
      </c>
      <c r="E995" s="761" t="s">
        <v>1216</v>
      </c>
      <c r="F995" s="1187">
        <v>0</v>
      </c>
      <c r="G995" s="761" t="s">
        <v>631</v>
      </c>
      <c r="H995" s="767"/>
      <c r="I995" s="767"/>
      <c r="J995" s="1187">
        <v>0</v>
      </c>
      <c r="K995" s="1188">
        <v>0</v>
      </c>
    </row>
    <row r="996" spans="1:11" ht="40.799999999999997" x14ac:dyDescent="0.3">
      <c r="A996" s="761" t="s">
        <v>184</v>
      </c>
      <c r="B996" s="765">
        <v>2020</v>
      </c>
      <c r="C996" s="761" t="s">
        <v>2350</v>
      </c>
      <c r="D996" s="761" t="s">
        <v>637</v>
      </c>
      <c r="E996" s="761" t="s">
        <v>1217</v>
      </c>
      <c r="F996" s="1187">
        <v>0</v>
      </c>
      <c r="G996" s="761" t="s">
        <v>631</v>
      </c>
      <c r="H996" s="767"/>
      <c r="I996" s="767"/>
      <c r="J996" s="1187">
        <v>0</v>
      </c>
      <c r="K996" s="1188">
        <v>0</v>
      </c>
    </row>
    <row r="997" spans="1:11" ht="40.799999999999997" x14ac:dyDescent="0.3">
      <c r="A997" s="761" t="s">
        <v>184</v>
      </c>
      <c r="B997" s="765">
        <v>2020</v>
      </c>
      <c r="C997" s="761" t="s">
        <v>2350</v>
      </c>
      <c r="D997" s="761" t="s">
        <v>638</v>
      </c>
      <c r="E997" s="761" t="s">
        <v>1218</v>
      </c>
      <c r="F997" s="1187">
        <v>0</v>
      </c>
      <c r="G997" s="761" t="s">
        <v>631</v>
      </c>
      <c r="H997" s="767"/>
      <c r="I997" s="767"/>
      <c r="J997" s="1187">
        <v>0</v>
      </c>
      <c r="K997" s="1188">
        <v>0</v>
      </c>
    </row>
    <row r="998" spans="1:11" ht="40.799999999999997" x14ac:dyDescent="0.3">
      <c r="A998" s="761" t="s">
        <v>184</v>
      </c>
      <c r="B998" s="765">
        <v>2020</v>
      </c>
      <c r="C998" s="761" t="s">
        <v>2350</v>
      </c>
      <c r="D998" s="761" t="s">
        <v>639</v>
      </c>
      <c r="E998" s="761" t="s">
        <v>1219</v>
      </c>
      <c r="F998" s="1187">
        <v>0</v>
      </c>
      <c r="G998" s="761" t="s">
        <v>631</v>
      </c>
      <c r="H998" s="767"/>
      <c r="I998" s="767"/>
      <c r="J998" s="1187">
        <v>0</v>
      </c>
      <c r="K998" s="1188">
        <v>0</v>
      </c>
    </row>
    <row r="999" spans="1:11" ht="40.799999999999997" x14ac:dyDescent="0.3">
      <c r="A999" s="761" t="s">
        <v>184</v>
      </c>
      <c r="B999" s="765">
        <v>2020</v>
      </c>
      <c r="C999" s="761" t="s">
        <v>2350</v>
      </c>
      <c r="D999" s="761" t="s">
        <v>1613</v>
      </c>
      <c r="E999" s="761" t="s">
        <v>1954</v>
      </c>
      <c r="F999" s="1187">
        <v>0</v>
      </c>
      <c r="G999" s="761" t="s">
        <v>631</v>
      </c>
      <c r="H999" s="767"/>
      <c r="I999" s="767"/>
      <c r="J999" s="1187">
        <v>0</v>
      </c>
      <c r="K999" s="1188">
        <v>0</v>
      </c>
    </row>
    <row r="1000" spans="1:11" ht="40.799999999999997" x14ac:dyDescent="0.3">
      <c r="A1000" s="761" t="s">
        <v>184</v>
      </c>
      <c r="B1000" s="765">
        <v>2020</v>
      </c>
      <c r="C1000" s="761" t="s">
        <v>2350</v>
      </c>
      <c r="D1000" s="761" t="s">
        <v>2067</v>
      </c>
      <c r="E1000" s="761" t="s">
        <v>2098</v>
      </c>
      <c r="F1000" s="1187">
        <v>0</v>
      </c>
      <c r="G1000" s="761" t="s">
        <v>631</v>
      </c>
      <c r="H1000" s="767"/>
      <c r="I1000" s="1187">
        <v>-6326.0498046875</v>
      </c>
      <c r="J1000" s="1187">
        <v>-6326.0498046875</v>
      </c>
      <c r="K1000" s="1188">
        <v>-6326.05</v>
      </c>
    </row>
    <row r="1001" spans="1:11" ht="40.799999999999997" x14ac:dyDescent="0.3">
      <c r="A1001" s="761" t="s">
        <v>184</v>
      </c>
      <c r="B1001" s="765">
        <v>2020</v>
      </c>
      <c r="C1001" s="761" t="s">
        <v>2350</v>
      </c>
      <c r="D1001" s="761" t="s">
        <v>3762</v>
      </c>
      <c r="E1001" s="761" t="s">
        <v>4356</v>
      </c>
      <c r="F1001" s="1187">
        <v>0</v>
      </c>
      <c r="G1001" s="761" t="s">
        <v>631</v>
      </c>
      <c r="H1001" s="1187">
        <v>1655.51000976563</v>
      </c>
      <c r="I1001" s="1187">
        <v>37.200000762939503</v>
      </c>
      <c r="J1001" s="1187">
        <v>1692.7099609375</v>
      </c>
      <c r="K1001" s="1188">
        <v>1692.71</v>
      </c>
    </row>
    <row r="1002" spans="1:11" ht="40.799999999999997" x14ac:dyDescent="0.3">
      <c r="A1002" s="761" t="s">
        <v>184</v>
      </c>
      <c r="B1002" s="765">
        <v>2020</v>
      </c>
      <c r="C1002" s="761" t="s">
        <v>2350</v>
      </c>
      <c r="D1002" s="761" t="s">
        <v>4844</v>
      </c>
      <c r="E1002" s="761" t="s">
        <v>5811</v>
      </c>
      <c r="F1002" s="1187">
        <v>0</v>
      </c>
      <c r="G1002" s="761" t="s">
        <v>631</v>
      </c>
      <c r="H1002" s="1187">
        <v>43753.9609375</v>
      </c>
      <c r="I1002" s="1187">
        <v>11854.5400390625</v>
      </c>
      <c r="J1002" s="1187">
        <v>55608.5</v>
      </c>
      <c r="K1002" s="1188">
        <v>55608.5</v>
      </c>
    </row>
    <row r="1003" spans="1:11" ht="40.799999999999997" x14ac:dyDescent="0.3">
      <c r="A1003" s="761" t="s">
        <v>184</v>
      </c>
      <c r="B1003" s="765">
        <v>2020</v>
      </c>
      <c r="C1003" s="761" t="s">
        <v>2350</v>
      </c>
      <c r="D1003" s="761" t="s">
        <v>7101</v>
      </c>
      <c r="E1003" s="761" t="s">
        <v>7178</v>
      </c>
      <c r="F1003" s="1187">
        <v>0</v>
      </c>
      <c r="G1003" s="761" t="s">
        <v>631</v>
      </c>
      <c r="H1003" s="1187">
        <v>147462.0625</v>
      </c>
      <c r="I1003" s="1187">
        <v>21298.669921875</v>
      </c>
      <c r="J1003" s="1187">
        <v>168760.734375</v>
      </c>
      <c r="K1003" s="1188">
        <v>168760.73</v>
      </c>
    </row>
    <row r="1004" spans="1:11" ht="40.799999999999997" x14ac:dyDescent="0.3">
      <c r="A1004" s="761" t="s">
        <v>184</v>
      </c>
      <c r="B1004" s="765">
        <v>2020</v>
      </c>
      <c r="C1004" s="761" t="s">
        <v>2350</v>
      </c>
      <c r="D1004" s="761" t="s">
        <v>640</v>
      </c>
      <c r="E1004" s="761" t="s">
        <v>1374</v>
      </c>
      <c r="F1004" s="1187">
        <v>219735.89</v>
      </c>
      <c r="G1004" s="766"/>
      <c r="H1004" s="767"/>
      <c r="I1004" s="767"/>
      <c r="J1004" s="1187">
        <v>0</v>
      </c>
      <c r="K1004" s="1188">
        <v>219735.89</v>
      </c>
    </row>
    <row r="1005" spans="1:11" ht="20.399999999999999" x14ac:dyDescent="0.3">
      <c r="A1005" s="761" t="s">
        <v>185</v>
      </c>
      <c r="B1005" s="765">
        <v>2020</v>
      </c>
      <c r="C1005" s="761" t="s">
        <v>2342</v>
      </c>
      <c r="D1005" s="761" t="s">
        <v>45</v>
      </c>
      <c r="E1005" s="761" t="s">
        <v>873</v>
      </c>
      <c r="F1005" s="1187">
        <v>79463.27</v>
      </c>
      <c r="G1005" s="761" t="s">
        <v>631</v>
      </c>
      <c r="H1005" s="1187">
        <v>77228.96875</v>
      </c>
      <c r="I1005" s="1187">
        <v>2234.30004882813</v>
      </c>
      <c r="J1005" s="1187">
        <v>79463.2734375</v>
      </c>
      <c r="K1005" s="1188">
        <v>79463.27</v>
      </c>
    </row>
    <row r="1006" spans="1:11" ht="30.6" x14ac:dyDescent="0.3">
      <c r="A1006" s="761" t="s">
        <v>185</v>
      </c>
      <c r="B1006" s="765">
        <v>2020</v>
      </c>
      <c r="C1006" s="761" t="s">
        <v>2343</v>
      </c>
      <c r="D1006" s="761" t="s">
        <v>632</v>
      </c>
      <c r="E1006" s="761" t="s">
        <v>874</v>
      </c>
      <c r="F1006" s="1187">
        <v>-24398.14</v>
      </c>
      <c r="G1006" s="761" t="s">
        <v>631</v>
      </c>
      <c r="H1006" s="1187">
        <v>-23601.30078125</v>
      </c>
      <c r="I1006" s="1187">
        <v>-796.84002685546898</v>
      </c>
      <c r="J1006" s="1187">
        <v>-24398.140625</v>
      </c>
      <c r="K1006" s="1188">
        <v>-24398.14</v>
      </c>
    </row>
    <row r="1007" spans="1:11" ht="20.399999999999999" x14ac:dyDescent="0.3">
      <c r="A1007" s="761" t="s">
        <v>185</v>
      </c>
      <c r="B1007" s="765">
        <v>2020</v>
      </c>
      <c r="C1007" s="761" t="s">
        <v>2344</v>
      </c>
      <c r="D1007" s="761" t="s">
        <v>452</v>
      </c>
      <c r="E1007" s="761" t="s">
        <v>875</v>
      </c>
      <c r="F1007" s="1187">
        <v>185986.39</v>
      </c>
      <c r="G1007" s="766"/>
      <c r="H1007" s="767"/>
      <c r="I1007" s="767"/>
      <c r="J1007" s="1187">
        <v>0</v>
      </c>
      <c r="K1007" s="1188">
        <v>185986.39</v>
      </c>
    </row>
    <row r="1008" spans="1:11" ht="20.399999999999999" x14ac:dyDescent="0.3">
      <c r="A1008" s="761" t="s">
        <v>185</v>
      </c>
      <c r="B1008" s="765">
        <v>2020</v>
      </c>
      <c r="C1008" s="761" t="s">
        <v>2345</v>
      </c>
      <c r="D1008" s="761" t="s">
        <v>42</v>
      </c>
      <c r="E1008" s="761" t="s">
        <v>876</v>
      </c>
      <c r="F1008" s="1187">
        <v>-789852.02</v>
      </c>
      <c r="G1008" s="761" t="s">
        <v>631</v>
      </c>
      <c r="H1008" s="1187">
        <v>-758835.3125</v>
      </c>
      <c r="I1008" s="1187">
        <v>-31016.689453125</v>
      </c>
      <c r="J1008" s="1187">
        <v>-789852</v>
      </c>
      <c r="K1008" s="1188">
        <v>-789852.02</v>
      </c>
    </row>
    <row r="1009" spans="1:11" ht="20.399999999999999" x14ac:dyDescent="0.3">
      <c r="A1009" s="761" t="s">
        <v>185</v>
      </c>
      <c r="B1009" s="765">
        <v>2020</v>
      </c>
      <c r="C1009" s="761" t="s">
        <v>2345</v>
      </c>
      <c r="D1009" s="761" t="s">
        <v>2063</v>
      </c>
      <c r="E1009" s="761" t="s">
        <v>876</v>
      </c>
      <c r="F1009" s="1187">
        <v>0</v>
      </c>
      <c r="G1009" s="766"/>
      <c r="H1009" s="767"/>
      <c r="I1009" s="767"/>
      <c r="J1009" s="1187">
        <v>0</v>
      </c>
      <c r="K1009" s="1188">
        <v>0</v>
      </c>
    </row>
    <row r="1010" spans="1:11" ht="20.399999999999999" x14ac:dyDescent="0.3">
      <c r="A1010" s="761" t="s">
        <v>185</v>
      </c>
      <c r="B1010" s="765">
        <v>2020</v>
      </c>
      <c r="C1010" s="761" t="s">
        <v>2345</v>
      </c>
      <c r="D1010" s="761" t="s">
        <v>2064</v>
      </c>
      <c r="E1010" s="761" t="s">
        <v>876</v>
      </c>
      <c r="F1010" s="1187">
        <v>0</v>
      </c>
      <c r="G1010" s="766"/>
      <c r="H1010" s="767"/>
      <c r="I1010" s="767"/>
      <c r="J1010" s="1187">
        <v>0</v>
      </c>
      <c r="K1010" s="1188">
        <v>0</v>
      </c>
    </row>
    <row r="1011" spans="1:11" ht="20.399999999999999" x14ac:dyDescent="0.3">
      <c r="A1011" s="761" t="s">
        <v>185</v>
      </c>
      <c r="B1011" s="765">
        <v>2020</v>
      </c>
      <c r="C1011" s="761" t="s">
        <v>2345</v>
      </c>
      <c r="D1011" s="761" t="s">
        <v>2065</v>
      </c>
      <c r="E1011" s="761" t="s">
        <v>876</v>
      </c>
      <c r="F1011" s="1187">
        <v>-636.98</v>
      </c>
      <c r="G1011" s="766"/>
      <c r="H1011" s="767"/>
      <c r="I1011" s="767"/>
      <c r="J1011" s="1187">
        <v>0</v>
      </c>
      <c r="K1011" s="1188">
        <v>-636.98</v>
      </c>
    </row>
    <row r="1012" spans="1:11" ht="20.399999999999999" x14ac:dyDescent="0.3">
      <c r="A1012" s="761" t="s">
        <v>185</v>
      </c>
      <c r="B1012" s="765">
        <v>2020</v>
      </c>
      <c r="C1012" s="761" t="s">
        <v>2345</v>
      </c>
      <c r="D1012" s="761" t="s">
        <v>2066</v>
      </c>
      <c r="E1012" s="761" t="s">
        <v>876</v>
      </c>
      <c r="F1012" s="1187">
        <v>-69180.02</v>
      </c>
      <c r="G1012" s="766"/>
      <c r="H1012" s="767"/>
      <c r="I1012" s="767"/>
      <c r="J1012" s="1187">
        <v>0</v>
      </c>
      <c r="K1012" s="1188">
        <v>-69180.02</v>
      </c>
    </row>
    <row r="1013" spans="1:11" ht="30.6" x14ac:dyDescent="0.3">
      <c r="A1013" s="761" t="s">
        <v>185</v>
      </c>
      <c r="B1013" s="765">
        <v>2020</v>
      </c>
      <c r="C1013" s="761" t="s">
        <v>2346</v>
      </c>
      <c r="D1013" s="761" t="s">
        <v>43</v>
      </c>
      <c r="E1013" s="761" t="s">
        <v>877</v>
      </c>
      <c r="F1013" s="1187">
        <v>219374.28</v>
      </c>
      <c r="G1013" s="761" t="s">
        <v>631</v>
      </c>
      <c r="H1013" s="1187">
        <v>218857.265625</v>
      </c>
      <c r="I1013" s="1187">
        <v>517.02001953125</v>
      </c>
      <c r="J1013" s="1187">
        <v>219374.28125</v>
      </c>
      <c r="K1013" s="1188">
        <v>219374.28</v>
      </c>
    </row>
    <row r="1014" spans="1:11" ht="30.6" x14ac:dyDescent="0.3">
      <c r="A1014" s="761" t="s">
        <v>185</v>
      </c>
      <c r="B1014" s="765">
        <v>2020</v>
      </c>
      <c r="C1014" s="761" t="s">
        <v>2347</v>
      </c>
      <c r="D1014" s="761" t="s">
        <v>44</v>
      </c>
      <c r="E1014" s="761" t="s">
        <v>878</v>
      </c>
      <c r="F1014" s="1187">
        <v>401979.86</v>
      </c>
      <c r="G1014" s="761" t="s">
        <v>631</v>
      </c>
      <c r="H1014" s="1187">
        <v>390550.65625</v>
      </c>
      <c r="I1014" s="1187">
        <v>11429.1904296875</v>
      </c>
      <c r="J1014" s="1187">
        <v>401979.875</v>
      </c>
      <c r="K1014" s="1188">
        <v>401979.86</v>
      </c>
    </row>
    <row r="1015" spans="1:11" ht="30.6" x14ac:dyDescent="0.3">
      <c r="A1015" s="761" t="s">
        <v>185</v>
      </c>
      <c r="B1015" s="765">
        <v>2020</v>
      </c>
      <c r="C1015" s="761" t="s">
        <v>2348</v>
      </c>
      <c r="D1015" s="761" t="s">
        <v>46</v>
      </c>
      <c r="E1015" s="761" t="s">
        <v>879</v>
      </c>
      <c r="F1015" s="1187">
        <v>-125138.16</v>
      </c>
      <c r="G1015" s="761" t="s">
        <v>631</v>
      </c>
      <c r="H1015" s="1187">
        <v>-128916.421875</v>
      </c>
      <c r="I1015" s="1187">
        <v>3778.26000976563</v>
      </c>
      <c r="J1015" s="1187">
        <v>-125138.15625</v>
      </c>
      <c r="K1015" s="1188">
        <v>-125138.16</v>
      </c>
    </row>
    <row r="1016" spans="1:11" ht="20.399999999999999" x14ac:dyDescent="0.3">
      <c r="A1016" s="761" t="s">
        <v>185</v>
      </c>
      <c r="B1016" s="765">
        <v>2020</v>
      </c>
      <c r="C1016" s="761" t="s">
        <v>2349</v>
      </c>
      <c r="D1016" s="761" t="s">
        <v>339</v>
      </c>
      <c r="E1016" s="761" t="s">
        <v>880</v>
      </c>
      <c r="F1016" s="1187">
        <v>191234.81</v>
      </c>
      <c r="G1016" s="761" t="s">
        <v>631</v>
      </c>
      <c r="H1016" s="1187">
        <v>170956.296875</v>
      </c>
      <c r="I1016" s="1187">
        <v>20278.509765625</v>
      </c>
      <c r="J1016" s="1187">
        <v>191234.8125</v>
      </c>
      <c r="K1016" s="1188">
        <v>191234.81</v>
      </c>
    </row>
    <row r="1017" spans="1:11" ht="40.799999999999997" x14ac:dyDescent="0.3">
      <c r="A1017" s="761" t="s">
        <v>185</v>
      </c>
      <c r="B1017" s="765">
        <v>2020</v>
      </c>
      <c r="C1017" s="761" t="s">
        <v>2350</v>
      </c>
      <c r="D1017" s="761" t="s">
        <v>633</v>
      </c>
      <c r="E1017" s="761" t="s">
        <v>1220</v>
      </c>
      <c r="F1017" s="1187">
        <v>0</v>
      </c>
      <c r="G1017" s="761" t="s">
        <v>631</v>
      </c>
      <c r="H1017" s="767"/>
      <c r="I1017" s="767"/>
      <c r="J1017" s="1187">
        <v>0</v>
      </c>
      <c r="K1017" s="1188">
        <v>0</v>
      </c>
    </row>
    <row r="1018" spans="1:11" ht="40.799999999999997" x14ac:dyDescent="0.3">
      <c r="A1018" s="761" t="s">
        <v>185</v>
      </c>
      <c r="B1018" s="765">
        <v>2020</v>
      </c>
      <c r="C1018" s="761" t="s">
        <v>2350</v>
      </c>
      <c r="D1018" s="761" t="s">
        <v>634</v>
      </c>
      <c r="E1018" s="761" t="s">
        <v>1221</v>
      </c>
      <c r="F1018" s="1187">
        <v>0</v>
      </c>
      <c r="G1018" s="761" t="s">
        <v>631</v>
      </c>
      <c r="H1018" s="767"/>
      <c r="I1018" s="767"/>
      <c r="J1018" s="1187">
        <v>0</v>
      </c>
      <c r="K1018" s="1188">
        <v>0</v>
      </c>
    </row>
    <row r="1019" spans="1:11" ht="40.799999999999997" x14ac:dyDescent="0.3">
      <c r="A1019" s="761" t="s">
        <v>185</v>
      </c>
      <c r="B1019" s="765">
        <v>2020</v>
      </c>
      <c r="C1019" s="761" t="s">
        <v>2350</v>
      </c>
      <c r="D1019" s="761" t="s">
        <v>635</v>
      </c>
      <c r="E1019" s="761" t="s">
        <v>1222</v>
      </c>
      <c r="F1019" s="1187">
        <v>0</v>
      </c>
      <c r="G1019" s="761" t="s">
        <v>631</v>
      </c>
      <c r="H1019" s="767"/>
      <c r="I1019" s="767"/>
      <c r="J1019" s="1187">
        <v>0</v>
      </c>
      <c r="K1019" s="1188">
        <v>0</v>
      </c>
    </row>
    <row r="1020" spans="1:11" ht="40.799999999999997" x14ac:dyDescent="0.3">
      <c r="A1020" s="761" t="s">
        <v>185</v>
      </c>
      <c r="B1020" s="765">
        <v>2020</v>
      </c>
      <c r="C1020" s="761" t="s">
        <v>2350</v>
      </c>
      <c r="D1020" s="761" t="s">
        <v>636</v>
      </c>
      <c r="E1020" s="761" t="s">
        <v>1223</v>
      </c>
      <c r="F1020" s="1187">
        <v>0</v>
      </c>
      <c r="G1020" s="761" t="s">
        <v>631</v>
      </c>
      <c r="H1020" s="767"/>
      <c r="I1020" s="767"/>
      <c r="J1020" s="1187">
        <v>0</v>
      </c>
      <c r="K1020" s="1188">
        <v>0</v>
      </c>
    </row>
    <row r="1021" spans="1:11" ht="40.799999999999997" x14ac:dyDescent="0.3">
      <c r="A1021" s="761" t="s">
        <v>185</v>
      </c>
      <c r="B1021" s="765">
        <v>2020</v>
      </c>
      <c r="C1021" s="761" t="s">
        <v>2350</v>
      </c>
      <c r="D1021" s="761" t="s">
        <v>637</v>
      </c>
      <c r="E1021" s="761" t="s">
        <v>1224</v>
      </c>
      <c r="F1021" s="1187">
        <v>0</v>
      </c>
      <c r="G1021" s="761" t="s">
        <v>631</v>
      </c>
      <c r="H1021" s="767"/>
      <c r="I1021" s="767"/>
      <c r="J1021" s="1187">
        <v>0</v>
      </c>
      <c r="K1021" s="1188">
        <v>0</v>
      </c>
    </row>
    <row r="1022" spans="1:11" ht="40.799999999999997" x14ac:dyDescent="0.3">
      <c r="A1022" s="761" t="s">
        <v>185</v>
      </c>
      <c r="B1022" s="765">
        <v>2020</v>
      </c>
      <c r="C1022" s="761" t="s">
        <v>2350</v>
      </c>
      <c r="D1022" s="761" t="s">
        <v>638</v>
      </c>
      <c r="E1022" s="761" t="s">
        <v>1225</v>
      </c>
      <c r="F1022" s="1187">
        <v>0</v>
      </c>
      <c r="G1022" s="761" t="s">
        <v>631</v>
      </c>
      <c r="H1022" s="767"/>
      <c r="I1022" s="767"/>
      <c r="J1022" s="1187">
        <v>0</v>
      </c>
      <c r="K1022" s="1188">
        <v>0</v>
      </c>
    </row>
    <row r="1023" spans="1:11" ht="40.799999999999997" x14ac:dyDescent="0.3">
      <c r="A1023" s="761" t="s">
        <v>185</v>
      </c>
      <c r="B1023" s="765">
        <v>2020</v>
      </c>
      <c r="C1023" s="761" t="s">
        <v>2350</v>
      </c>
      <c r="D1023" s="761" t="s">
        <v>639</v>
      </c>
      <c r="E1023" s="761" t="s">
        <v>1226</v>
      </c>
      <c r="F1023" s="1187">
        <v>0</v>
      </c>
      <c r="G1023" s="761" t="s">
        <v>631</v>
      </c>
      <c r="H1023" s="1187">
        <v>40077.859375</v>
      </c>
      <c r="I1023" s="1187">
        <v>-22476</v>
      </c>
      <c r="J1023" s="1187">
        <v>17601.859375</v>
      </c>
      <c r="K1023" s="1188">
        <v>17601.86</v>
      </c>
    </row>
    <row r="1024" spans="1:11" ht="40.799999999999997" x14ac:dyDescent="0.3">
      <c r="A1024" s="761" t="s">
        <v>185</v>
      </c>
      <c r="B1024" s="765">
        <v>2020</v>
      </c>
      <c r="C1024" s="761" t="s">
        <v>2350</v>
      </c>
      <c r="D1024" s="761" t="s">
        <v>1613</v>
      </c>
      <c r="E1024" s="761" t="s">
        <v>1985</v>
      </c>
      <c r="F1024" s="1187">
        <v>0</v>
      </c>
      <c r="G1024" s="761" t="s">
        <v>631</v>
      </c>
      <c r="H1024" s="1187">
        <v>-82886.8671875</v>
      </c>
      <c r="I1024" s="1187">
        <v>75913.890625</v>
      </c>
      <c r="J1024" s="1187">
        <v>-6972.97998046875</v>
      </c>
      <c r="K1024" s="1188">
        <v>-6972.98</v>
      </c>
    </row>
    <row r="1025" spans="1:11" ht="40.799999999999997" x14ac:dyDescent="0.3">
      <c r="A1025" s="761" t="s">
        <v>185</v>
      </c>
      <c r="B1025" s="765">
        <v>2020</v>
      </c>
      <c r="C1025" s="761" t="s">
        <v>2350</v>
      </c>
      <c r="D1025" s="761" t="s">
        <v>2067</v>
      </c>
      <c r="E1025" s="761" t="s">
        <v>2099</v>
      </c>
      <c r="F1025" s="1187">
        <v>0</v>
      </c>
      <c r="G1025" s="761" t="s">
        <v>631</v>
      </c>
      <c r="H1025" s="1187">
        <v>35760.2109375</v>
      </c>
      <c r="I1025" s="1187">
        <v>24709.419921875</v>
      </c>
      <c r="J1025" s="1187">
        <v>60469.62890625</v>
      </c>
      <c r="K1025" s="1188">
        <v>60469.63</v>
      </c>
    </row>
    <row r="1026" spans="1:11" ht="40.799999999999997" x14ac:dyDescent="0.3">
      <c r="A1026" s="761" t="s">
        <v>185</v>
      </c>
      <c r="B1026" s="765">
        <v>2020</v>
      </c>
      <c r="C1026" s="761" t="s">
        <v>2350</v>
      </c>
      <c r="D1026" s="761" t="s">
        <v>3762</v>
      </c>
      <c r="E1026" s="761" t="s">
        <v>4357</v>
      </c>
      <c r="F1026" s="1187">
        <v>0</v>
      </c>
      <c r="G1026" s="761" t="s">
        <v>631</v>
      </c>
      <c r="H1026" s="1187">
        <v>-6257.93017578125</v>
      </c>
      <c r="I1026" s="1187">
        <v>-18696.30078125</v>
      </c>
      <c r="J1026" s="1187">
        <v>-24954.23046875</v>
      </c>
      <c r="K1026" s="1188">
        <v>-24954.23</v>
      </c>
    </row>
    <row r="1027" spans="1:11" ht="40.799999999999997" x14ac:dyDescent="0.3">
      <c r="A1027" s="761" t="s">
        <v>185</v>
      </c>
      <c r="B1027" s="765">
        <v>2020</v>
      </c>
      <c r="C1027" s="761" t="s">
        <v>2350</v>
      </c>
      <c r="D1027" s="761" t="s">
        <v>4844</v>
      </c>
      <c r="E1027" s="761" t="s">
        <v>5812</v>
      </c>
      <c r="F1027" s="1187">
        <v>0</v>
      </c>
      <c r="G1027" s="761" t="s">
        <v>631</v>
      </c>
      <c r="H1027" s="1187">
        <v>29138.19921875</v>
      </c>
      <c r="I1027" s="1187">
        <v>-36652.73828125</v>
      </c>
      <c r="J1027" s="1187">
        <v>-7514.5400390625</v>
      </c>
      <c r="K1027" s="1188">
        <v>-7514.54</v>
      </c>
    </row>
    <row r="1028" spans="1:11" ht="40.799999999999997" x14ac:dyDescent="0.3">
      <c r="A1028" s="761" t="s">
        <v>185</v>
      </c>
      <c r="B1028" s="765">
        <v>2020</v>
      </c>
      <c r="C1028" s="761" t="s">
        <v>2350</v>
      </c>
      <c r="D1028" s="761" t="s">
        <v>7101</v>
      </c>
      <c r="E1028" s="761" t="s">
        <v>7179</v>
      </c>
      <c r="F1028" s="1187">
        <v>0</v>
      </c>
      <c r="G1028" s="761" t="s">
        <v>631</v>
      </c>
      <c r="H1028" s="767"/>
      <c r="I1028" s="767"/>
      <c r="J1028" s="1187">
        <v>0</v>
      </c>
      <c r="K1028" s="1188">
        <v>0</v>
      </c>
    </row>
    <row r="1029" spans="1:11" ht="40.799999999999997" x14ac:dyDescent="0.3">
      <c r="A1029" s="761" t="s">
        <v>185</v>
      </c>
      <c r="B1029" s="765">
        <v>2020</v>
      </c>
      <c r="C1029" s="761" t="s">
        <v>2350</v>
      </c>
      <c r="D1029" s="761" t="s">
        <v>640</v>
      </c>
      <c r="E1029" s="761" t="s">
        <v>1375</v>
      </c>
      <c r="F1029" s="1187">
        <v>38629.74</v>
      </c>
      <c r="G1029" s="766"/>
      <c r="H1029" s="767"/>
      <c r="I1029" s="767"/>
      <c r="J1029" s="1187">
        <v>0</v>
      </c>
      <c r="K1029" s="1188">
        <v>38629.74</v>
      </c>
    </row>
    <row r="1030" spans="1:11" x14ac:dyDescent="0.3">
      <c r="A1030" s="761" t="s">
        <v>186</v>
      </c>
      <c r="B1030" s="765">
        <v>2020</v>
      </c>
      <c r="C1030" s="761" t="s">
        <v>2342</v>
      </c>
      <c r="D1030" s="761" t="s">
        <v>45</v>
      </c>
      <c r="E1030" s="761" t="s">
        <v>881</v>
      </c>
      <c r="F1030" s="1187">
        <v>-37354.89</v>
      </c>
      <c r="G1030" s="761" t="s">
        <v>631</v>
      </c>
      <c r="H1030" s="1187">
        <v>-35907.328125</v>
      </c>
      <c r="I1030" s="1187">
        <v>-1447.56005859375</v>
      </c>
      <c r="J1030" s="1187">
        <v>-37354.890625</v>
      </c>
      <c r="K1030" s="1188">
        <v>-37354.89</v>
      </c>
    </row>
    <row r="1031" spans="1:11" ht="30.6" x14ac:dyDescent="0.3">
      <c r="A1031" s="761" t="s">
        <v>186</v>
      </c>
      <c r="B1031" s="765">
        <v>2020</v>
      </c>
      <c r="C1031" s="761" t="s">
        <v>2343</v>
      </c>
      <c r="D1031" s="761" t="s">
        <v>632</v>
      </c>
      <c r="E1031" s="761" t="s">
        <v>882</v>
      </c>
      <c r="F1031" s="1187">
        <v>-3314.13</v>
      </c>
      <c r="G1031" s="761" t="s">
        <v>631</v>
      </c>
      <c r="H1031" s="1187">
        <v>-3223.15991210938</v>
      </c>
      <c r="I1031" s="1187">
        <v>-90.970001220703097</v>
      </c>
      <c r="J1031" s="1187">
        <v>-3314.1298828125</v>
      </c>
      <c r="K1031" s="1188">
        <v>-3314.13</v>
      </c>
    </row>
    <row r="1032" spans="1:11" ht="20.399999999999999" x14ac:dyDescent="0.3">
      <c r="A1032" s="761" t="s">
        <v>186</v>
      </c>
      <c r="B1032" s="765">
        <v>2020</v>
      </c>
      <c r="C1032" s="761" t="s">
        <v>2344</v>
      </c>
      <c r="D1032" s="761" t="s">
        <v>452</v>
      </c>
      <c r="E1032" s="761" t="s">
        <v>883</v>
      </c>
      <c r="F1032" s="1187">
        <v>0</v>
      </c>
      <c r="G1032" s="766"/>
      <c r="H1032" s="767"/>
      <c r="I1032" s="767"/>
      <c r="J1032" s="1187">
        <v>0</v>
      </c>
      <c r="K1032" s="1188">
        <v>0</v>
      </c>
    </row>
    <row r="1033" spans="1:11" ht="20.399999999999999" x14ac:dyDescent="0.3">
      <c r="A1033" s="761" t="s">
        <v>186</v>
      </c>
      <c r="B1033" s="765">
        <v>2020</v>
      </c>
      <c r="C1033" s="761" t="s">
        <v>2345</v>
      </c>
      <c r="D1033" s="761" t="s">
        <v>42</v>
      </c>
      <c r="E1033" s="761" t="s">
        <v>884</v>
      </c>
      <c r="F1033" s="1187">
        <v>-70561.98</v>
      </c>
      <c r="G1033" s="761" t="s">
        <v>631</v>
      </c>
      <c r="H1033" s="1187">
        <v>-69382.0625</v>
      </c>
      <c r="I1033" s="1187">
        <v>-1179.92004394531</v>
      </c>
      <c r="J1033" s="1187">
        <v>-70561.9765625</v>
      </c>
      <c r="K1033" s="1188">
        <v>-70561.98</v>
      </c>
    </row>
    <row r="1034" spans="1:11" ht="20.399999999999999" x14ac:dyDescent="0.3">
      <c r="A1034" s="761" t="s">
        <v>186</v>
      </c>
      <c r="B1034" s="765">
        <v>2020</v>
      </c>
      <c r="C1034" s="761" t="s">
        <v>2345</v>
      </c>
      <c r="D1034" s="761" t="s">
        <v>2063</v>
      </c>
      <c r="E1034" s="761" t="s">
        <v>884</v>
      </c>
      <c r="F1034" s="1187">
        <v>0</v>
      </c>
      <c r="G1034" s="766"/>
      <c r="H1034" s="767"/>
      <c r="I1034" s="767"/>
      <c r="J1034" s="1187">
        <v>0</v>
      </c>
      <c r="K1034" s="1188">
        <v>0</v>
      </c>
    </row>
    <row r="1035" spans="1:11" ht="20.399999999999999" x14ac:dyDescent="0.3">
      <c r="A1035" s="761" t="s">
        <v>186</v>
      </c>
      <c r="B1035" s="765">
        <v>2020</v>
      </c>
      <c r="C1035" s="761" t="s">
        <v>2345</v>
      </c>
      <c r="D1035" s="761" t="s">
        <v>2064</v>
      </c>
      <c r="E1035" s="761" t="s">
        <v>884</v>
      </c>
      <c r="F1035" s="1187">
        <v>0</v>
      </c>
      <c r="G1035" s="766"/>
      <c r="H1035" s="767"/>
      <c r="I1035" s="767"/>
      <c r="J1035" s="1187">
        <v>0</v>
      </c>
      <c r="K1035" s="1188">
        <v>0</v>
      </c>
    </row>
    <row r="1036" spans="1:11" ht="20.399999999999999" x14ac:dyDescent="0.3">
      <c r="A1036" s="761" t="s">
        <v>186</v>
      </c>
      <c r="B1036" s="765">
        <v>2020</v>
      </c>
      <c r="C1036" s="761" t="s">
        <v>2345</v>
      </c>
      <c r="D1036" s="761" t="s">
        <v>2065</v>
      </c>
      <c r="E1036" s="761" t="s">
        <v>884</v>
      </c>
      <c r="F1036" s="1187">
        <v>-176.39</v>
      </c>
      <c r="G1036" s="766"/>
      <c r="H1036" s="767"/>
      <c r="I1036" s="767"/>
      <c r="J1036" s="1187">
        <v>0</v>
      </c>
      <c r="K1036" s="1188">
        <v>-176.39</v>
      </c>
    </row>
    <row r="1037" spans="1:11" ht="20.399999999999999" x14ac:dyDescent="0.3">
      <c r="A1037" s="761" t="s">
        <v>186</v>
      </c>
      <c r="B1037" s="765">
        <v>2020</v>
      </c>
      <c r="C1037" s="761" t="s">
        <v>2345</v>
      </c>
      <c r="D1037" s="761" t="s">
        <v>2066</v>
      </c>
      <c r="E1037" s="761" t="s">
        <v>884</v>
      </c>
      <c r="F1037" s="1187">
        <v>-10571.04</v>
      </c>
      <c r="G1037" s="766"/>
      <c r="H1037" s="767"/>
      <c r="I1037" s="767"/>
      <c r="J1037" s="1187">
        <v>0</v>
      </c>
      <c r="K1037" s="1188">
        <v>-10571.04</v>
      </c>
    </row>
    <row r="1038" spans="1:11" ht="30.6" x14ac:dyDescent="0.3">
      <c r="A1038" s="761" t="s">
        <v>186</v>
      </c>
      <c r="B1038" s="765">
        <v>2020</v>
      </c>
      <c r="C1038" s="761" t="s">
        <v>2346</v>
      </c>
      <c r="D1038" s="761" t="s">
        <v>43</v>
      </c>
      <c r="E1038" s="761" t="s">
        <v>885</v>
      </c>
      <c r="F1038" s="1187">
        <v>-8989.08</v>
      </c>
      <c r="G1038" s="761" t="s">
        <v>631</v>
      </c>
      <c r="H1038" s="1187">
        <v>-7769.52978515625</v>
      </c>
      <c r="I1038" s="1187">
        <v>-1219.55004882813</v>
      </c>
      <c r="J1038" s="1187">
        <v>-8989.080078125</v>
      </c>
      <c r="K1038" s="1188">
        <v>-8989.08</v>
      </c>
    </row>
    <row r="1039" spans="1:11" ht="30.6" x14ac:dyDescent="0.3">
      <c r="A1039" s="761" t="s">
        <v>186</v>
      </c>
      <c r="B1039" s="765">
        <v>2020</v>
      </c>
      <c r="C1039" s="761" t="s">
        <v>2347</v>
      </c>
      <c r="D1039" s="761" t="s">
        <v>44</v>
      </c>
      <c r="E1039" s="761" t="s">
        <v>886</v>
      </c>
      <c r="F1039" s="1187">
        <v>2077.86</v>
      </c>
      <c r="G1039" s="761" t="s">
        <v>631</v>
      </c>
      <c r="H1039" s="1187">
        <v>2113.55004882813</v>
      </c>
      <c r="I1039" s="1187">
        <v>-35.689998626708999</v>
      </c>
      <c r="J1039" s="1187">
        <v>2077.86010742188</v>
      </c>
      <c r="K1039" s="1188">
        <v>2077.86</v>
      </c>
    </row>
    <row r="1040" spans="1:11" ht="30.6" x14ac:dyDescent="0.3">
      <c r="A1040" s="761" t="s">
        <v>186</v>
      </c>
      <c r="B1040" s="765">
        <v>2020</v>
      </c>
      <c r="C1040" s="761" t="s">
        <v>2348</v>
      </c>
      <c r="D1040" s="761" t="s">
        <v>46</v>
      </c>
      <c r="E1040" s="761" t="s">
        <v>887</v>
      </c>
      <c r="F1040" s="1187">
        <v>10715.59</v>
      </c>
      <c r="G1040" s="761" t="s">
        <v>631</v>
      </c>
      <c r="H1040" s="1187">
        <v>12884.150390625</v>
      </c>
      <c r="I1040" s="1187">
        <v>-2168.56005859375</v>
      </c>
      <c r="J1040" s="1187">
        <v>10715.58984375</v>
      </c>
      <c r="K1040" s="1188">
        <v>10715.59</v>
      </c>
    </row>
    <row r="1041" spans="1:11" ht="20.399999999999999" x14ac:dyDescent="0.3">
      <c r="A1041" s="761" t="s">
        <v>186</v>
      </c>
      <c r="B1041" s="765">
        <v>2020</v>
      </c>
      <c r="C1041" s="761" t="s">
        <v>2349</v>
      </c>
      <c r="D1041" s="761" t="s">
        <v>339</v>
      </c>
      <c r="E1041" s="761" t="s">
        <v>888</v>
      </c>
      <c r="F1041" s="1187">
        <v>-22017.59</v>
      </c>
      <c r="G1041" s="761" t="s">
        <v>631</v>
      </c>
      <c r="H1041" s="1187">
        <v>-20897.400390625</v>
      </c>
      <c r="I1041" s="1187">
        <v>-1120.18994140625</v>
      </c>
      <c r="J1041" s="1187">
        <v>-22017.58984375</v>
      </c>
      <c r="K1041" s="1188">
        <v>-22017.59</v>
      </c>
    </row>
    <row r="1042" spans="1:11" ht="40.799999999999997" x14ac:dyDescent="0.3">
      <c r="A1042" s="761" t="s">
        <v>186</v>
      </c>
      <c r="B1042" s="765">
        <v>2020</v>
      </c>
      <c r="C1042" s="761" t="s">
        <v>2350</v>
      </c>
      <c r="D1042" s="761" t="s">
        <v>633</v>
      </c>
      <c r="E1042" s="761" t="s">
        <v>1227</v>
      </c>
      <c r="F1042" s="1187">
        <v>0</v>
      </c>
      <c r="G1042" s="761" t="s">
        <v>631</v>
      </c>
      <c r="H1042" s="767"/>
      <c r="I1042" s="767"/>
      <c r="J1042" s="1187">
        <v>0</v>
      </c>
      <c r="K1042" s="1188">
        <v>0</v>
      </c>
    </row>
    <row r="1043" spans="1:11" ht="40.799999999999997" x14ac:dyDescent="0.3">
      <c r="A1043" s="761" t="s">
        <v>186</v>
      </c>
      <c r="B1043" s="765">
        <v>2020</v>
      </c>
      <c r="C1043" s="761" t="s">
        <v>2350</v>
      </c>
      <c r="D1043" s="761" t="s">
        <v>634</v>
      </c>
      <c r="E1043" s="761" t="s">
        <v>1228</v>
      </c>
      <c r="F1043" s="1187">
        <v>0</v>
      </c>
      <c r="G1043" s="761" t="s">
        <v>631</v>
      </c>
      <c r="H1043" s="767"/>
      <c r="I1043" s="767"/>
      <c r="J1043" s="1187">
        <v>0</v>
      </c>
      <c r="K1043" s="1188">
        <v>0</v>
      </c>
    </row>
    <row r="1044" spans="1:11" ht="40.799999999999997" x14ac:dyDescent="0.3">
      <c r="A1044" s="761" t="s">
        <v>186</v>
      </c>
      <c r="B1044" s="765">
        <v>2020</v>
      </c>
      <c r="C1044" s="761" t="s">
        <v>2350</v>
      </c>
      <c r="D1044" s="761" t="s">
        <v>635</v>
      </c>
      <c r="E1044" s="761" t="s">
        <v>1229</v>
      </c>
      <c r="F1044" s="1187">
        <v>0</v>
      </c>
      <c r="G1044" s="761" t="s">
        <v>631</v>
      </c>
      <c r="H1044" s="767"/>
      <c r="I1044" s="767"/>
      <c r="J1044" s="1187">
        <v>0</v>
      </c>
      <c r="K1044" s="1188">
        <v>0</v>
      </c>
    </row>
    <row r="1045" spans="1:11" ht="40.799999999999997" x14ac:dyDescent="0.3">
      <c r="A1045" s="761" t="s">
        <v>186</v>
      </c>
      <c r="B1045" s="765">
        <v>2020</v>
      </c>
      <c r="C1045" s="761" t="s">
        <v>2350</v>
      </c>
      <c r="D1045" s="761" t="s">
        <v>636</v>
      </c>
      <c r="E1045" s="761" t="s">
        <v>1230</v>
      </c>
      <c r="F1045" s="1187">
        <v>0</v>
      </c>
      <c r="G1045" s="761" t="s">
        <v>631</v>
      </c>
      <c r="H1045" s="767"/>
      <c r="I1045" s="767"/>
      <c r="J1045" s="1187">
        <v>0</v>
      </c>
      <c r="K1045" s="1188">
        <v>0</v>
      </c>
    </row>
    <row r="1046" spans="1:11" ht="40.799999999999997" x14ac:dyDescent="0.3">
      <c r="A1046" s="761" t="s">
        <v>186</v>
      </c>
      <c r="B1046" s="765">
        <v>2020</v>
      </c>
      <c r="C1046" s="761" t="s">
        <v>2350</v>
      </c>
      <c r="D1046" s="761" t="s">
        <v>637</v>
      </c>
      <c r="E1046" s="761" t="s">
        <v>1231</v>
      </c>
      <c r="F1046" s="1187">
        <v>0</v>
      </c>
      <c r="G1046" s="761" t="s">
        <v>631</v>
      </c>
      <c r="H1046" s="767"/>
      <c r="I1046" s="767"/>
      <c r="J1046" s="1187">
        <v>0</v>
      </c>
      <c r="K1046" s="1188">
        <v>0</v>
      </c>
    </row>
    <row r="1047" spans="1:11" ht="40.799999999999997" x14ac:dyDescent="0.3">
      <c r="A1047" s="761" t="s">
        <v>186</v>
      </c>
      <c r="B1047" s="765">
        <v>2020</v>
      </c>
      <c r="C1047" s="761" t="s">
        <v>2350</v>
      </c>
      <c r="D1047" s="761" t="s">
        <v>638</v>
      </c>
      <c r="E1047" s="761" t="s">
        <v>1232</v>
      </c>
      <c r="F1047" s="1187">
        <v>0</v>
      </c>
      <c r="G1047" s="761" t="s">
        <v>631</v>
      </c>
      <c r="H1047" s="767"/>
      <c r="I1047" s="767"/>
      <c r="J1047" s="1187">
        <v>0</v>
      </c>
      <c r="K1047" s="1188">
        <v>0</v>
      </c>
    </row>
    <row r="1048" spans="1:11" ht="40.799999999999997" x14ac:dyDescent="0.3">
      <c r="A1048" s="761" t="s">
        <v>186</v>
      </c>
      <c r="B1048" s="765">
        <v>2020</v>
      </c>
      <c r="C1048" s="761" t="s">
        <v>2350</v>
      </c>
      <c r="D1048" s="761" t="s">
        <v>639</v>
      </c>
      <c r="E1048" s="761" t="s">
        <v>1233</v>
      </c>
      <c r="F1048" s="1187">
        <v>0</v>
      </c>
      <c r="G1048" s="761" t="s">
        <v>631</v>
      </c>
      <c r="H1048" s="767"/>
      <c r="I1048" s="767"/>
      <c r="J1048" s="1187">
        <v>0</v>
      </c>
      <c r="K1048" s="1188">
        <v>0</v>
      </c>
    </row>
    <row r="1049" spans="1:11" ht="40.799999999999997" x14ac:dyDescent="0.3">
      <c r="A1049" s="761" t="s">
        <v>186</v>
      </c>
      <c r="B1049" s="765">
        <v>2020</v>
      </c>
      <c r="C1049" s="761" t="s">
        <v>2350</v>
      </c>
      <c r="D1049" s="761" t="s">
        <v>1613</v>
      </c>
      <c r="E1049" s="761" t="s">
        <v>1986</v>
      </c>
      <c r="F1049" s="1187">
        <v>0</v>
      </c>
      <c r="G1049" s="761" t="s">
        <v>631</v>
      </c>
      <c r="H1049" s="767"/>
      <c r="I1049" s="767"/>
      <c r="J1049" s="1187">
        <v>0</v>
      </c>
      <c r="K1049" s="1188">
        <v>0</v>
      </c>
    </row>
    <row r="1050" spans="1:11" ht="40.799999999999997" x14ac:dyDescent="0.3">
      <c r="A1050" s="761" t="s">
        <v>186</v>
      </c>
      <c r="B1050" s="765">
        <v>2020</v>
      </c>
      <c r="C1050" s="761" t="s">
        <v>2350</v>
      </c>
      <c r="D1050" s="761" t="s">
        <v>2067</v>
      </c>
      <c r="E1050" s="761" t="s">
        <v>2100</v>
      </c>
      <c r="F1050" s="1187">
        <v>0</v>
      </c>
      <c r="G1050" s="761" t="s">
        <v>631</v>
      </c>
      <c r="H1050" s="767"/>
      <c r="I1050" s="767"/>
      <c r="J1050" s="1187">
        <v>0</v>
      </c>
      <c r="K1050" s="1188">
        <v>0</v>
      </c>
    </row>
    <row r="1051" spans="1:11" ht="40.799999999999997" x14ac:dyDescent="0.3">
      <c r="A1051" s="761" t="s">
        <v>186</v>
      </c>
      <c r="B1051" s="765">
        <v>2020</v>
      </c>
      <c r="C1051" s="761" t="s">
        <v>2350</v>
      </c>
      <c r="D1051" s="761" t="s">
        <v>3762</v>
      </c>
      <c r="E1051" s="761" t="s">
        <v>4358</v>
      </c>
      <c r="F1051" s="1187">
        <v>0</v>
      </c>
      <c r="G1051" s="761" t="s">
        <v>631</v>
      </c>
      <c r="H1051" s="1187">
        <v>25603.75</v>
      </c>
      <c r="I1051" s="1187">
        <v>-1125.07995605469</v>
      </c>
      <c r="J1051" s="1187">
        <v>24478.669921875</v>
      </c>
      <c r="K1051" s="1188">
        <v>24478.67</v>
      </c>
    </row>
    <row r="1052" spans="1:11" ht="40.799999999999997" x14ac:dyDescent="0.3">
      <c r="A1052" s="761" t="s">
        <v>186</v>
      </c>
      <c r="B1052" s="765">
        <v>2020</v>
      </c>
      <c r="C1052" s="761" t="s">
        <v>2350</v>
      </c>
      <c r="D1052" s="761" t="s">
        <v>4844</v>
      </c>
      <c r="E1052" s="761" t="s">
        <v>5813</v>
      </c>
      <c r="F1052" s="1187">
        <v>0</v>
      </c>
      <c r="G1052" s="761" t="s">
        <v>631</v>
      </c>
      <c r="H1052" s="1187">
        <v>-55809.62109375</v>
      </c>
      <c r="I1052" s="1187">
        <v>-4974.7001953125</v>
      </c>
      <c r="J1052" s="1187">
        <v>-60784.3203125</v>
      </c>
      <c r="K1052" s="1188">
        <v>-60784.32</v>
      </c>
    </row>
    <row r="1053" spans="1:11" ht="40.799999999999997" x14ac:dyDescent="0.3">
      <c r="A1053" s="761" t="s">
        <v>186</v>
      </c>
      <c r="B1053" s="765">
        <v>2020</v>
      </c>
      <c r="C1053" s="761" t="s">
        <v>2350</v>
      </c>
      <c r="D1053" s="761" t="s">
        <v>7101</v>
      </c>
      <c r="E1053" s="761" t="s">
        <v>7180</v>
      </c>
      <c r="F1053" s="1187">
        <v>0</v>
      </c>
      <c r="G1053" s="761" t="s">
        <v>631</v>
      </c>
      <c r="H1053" s="1187">
        <v>-55072.19921875</v>
      </c>
      <c r="I1053" s="1187">
        <v>-1105.91003417969</v>
      </c>
      <c r="J1053" s="1187">
        <v>-56178.109375</v>
      </c>
      <c r="K1053" s="1188">
        <v>-56178.11</v>
      </c>
    </row>
    <row r="1054" spans="1:11" ht="40.799999999999997" x14ac:dyDescent="0.3">
      <c r="A1054" s="761" t="s">
        <v>186</v>
      </c>
      <c r="B1054" s="765">
        <v>2020</v>
      </c>
      <c r="C1054" s="761" t="s">
        <v>2350</v>
      </c>
      <c r="D1054" s="761" t="s">
        <v>640</v>
      </c>
      <c r="E1054" s="761" t="s">
        <v>1376</v>
      </c>
      <c r="F1054" s="1187">
        <v>-92483.76</v>
      </c>
      <c r="G1054" s="766"/>
      <c r="H1054" s="767"/>
      <c r="I1054" s="767"/>
      <c r="J1054" s="1187">
        <v>0</v>
      </c>
      <c r="K1054" s="1188">
        <v>-92483.76</v>
      </c>
    </row>
    <row r="1055" spans="1:11" ht="20.399999999999999" x14ac:dyDescent="0.3">
      <c r="A1055" s="761" t="s">
        <v>234</v>
      </c>
      <c r="B1055" s="765">
        <v>2020</v>
      </c>
      <c r="C1055" s="761" t="s">
        <v>2342</v>
      </c>
      <c r="D1055" s="761" t="s">
        <v>45</v>
      </c>
      <c r="E1055" s="761" t="s">
        <v>889</v>
      </c>
      <c r="F1055" s="1187">
        <v>862581.76000000001</v>
      </c>
      <c r="G1055" s="761" t="s">
        <v>631</v>
      </c>
      <c r="H1055" s="1187">
        <v>845430.8125</v>
      </c>
      <c r="I1055" s="1187">
        <v>17150.970703125</v>
      </c>
      <c r="J1055" s="1187">
        <v>862581.75</v>
      </c>
      <c r="K1055" s="1188">
        <v>862581.76000000001</v>
      </c>
    </row>
    <row r="1056" spans="1:11" ht="30.6" x14ac:dyDescent="0.3">
      <c r="A1056" s="761" t="s">
        <v>234</v>
      </c>
      <c r="B1056" s="765">
        <v>2020</v>
      </c>
      <c r="C1056" s="761" t="s">
        <v>2343</v>
      </c>
      <c r="D1056" s="761" t="s">
        <v>632</v>
      </c>
      <c r="E1056" s="761" t="s">
        <v>890</v>
      </c>
      <c r="F1056" s="1187">
        <v>-33971.72</v>
      </c>
      <c r="G1056" s="761" t="s">
        <v>631</v>
      </c>
      <c r="H1056" s="1187">
        <v>-31233.83984375</v>
      </c>
      <c r="I1056" s="1187">
        <v>-2737.8798828125</v>
      </c>
      <c r="J1056" s="1187">
        <v>-33971.71875</v>
      </c>
      <c r="K1056" s="1188">
        <v>-33971.72</v>
      </c>
    </row>
    <row r="1057" spans="1:11" ht="20.399999999999999" x14ac:dyDescent="0.3">
      <c r="A1057" s="761" t="s">
        <v>234</v>
      </c>
      <c r="B1057" s="765">
        <v>2020</v>
      </c>
      <c r="C1057" s="761" t="s">
        <v>2344</v>
      </c>
      <c r="D1057" s="761" t="s">
        <v>452</v>
      </c>
      <c r="E1057" s="761" t="s">
        <v>891</v>
      </c>
      <c r="F1057" s="1187">
        <v>1120960.24</v>
      </c>
      <c r="G1057" s="766"/>
      <c r="H1057" s="767"/>
      <c r="I1057" s="767"/>
      <c r="J1057" s="1187">
        <v>0</v>
      </c>
      <c r="K1057" s="1188">
        <v>1120960.24</v>
      </c>
    </row>
    <row r="1058" spans="1:11" ht="20.399999999999999" x14ac:dyDescent="0.3">
      <c r="A1058" s="761" t="s">
        <v>234</v>
      </c>
      <c r="B1058" s="765">
        <v>2020</v>
      </c>
      <c r="C1058" s="761" t="s">
        <v>2345</v>
      </c>
      <c r="D1058" s="761" t="s">
        <v>42</v>
      </c>
      <c r="E1058" s="761" t="s">
        <v>892</v>
      </c>
      <c r="F1058" s="1187">
        <v>-626540.88</v>
      </c>
      <c r="G1058" s="761" t="s">
        <v>631</v>
      </c>
      <c r="H1058" s="1187">
        <v>-614615</v>
      </c>
      <c r="I1058" s="1187">
        <v>-11925.91015625</v>
      </c>
      <c r="J1058" s="1187">
        <v>-626540.875</v>
      </c>
      <c r="K1058" s="1188">
        <v>-626540.88</v>
      </c>
    </row>
    <row r="1059" spans="1:11" ht="20.399999999999999" x14ac:dyDescent="0.3">
      <c r="A1059" s="761" t="s">
        <v>234</v>
      </c>
      <c r="B1059" s="765">
        <v>2020</v>
      </c>
      <c r="C1059" s="761" t="s">
        <v>2345</v>
      </c>
      <c r="D1059" s="761" t="s">
        <v>2063</v>
      </c>
      <c r="E1059" s="761" t="s">
        <v>892</v>
      </c>
      <c r="F1059" s="1187">
        <v>-37.200000000000003</v>
      </c>
      <c r="G1059" s="766"/>
      <c r="H1059" s="767"/>
      <c r="I1059" s="767"/>
      <c r="J1059" s="1187">
        <v>0</v>
      </c>
      <c r="K1059" s="1188">
        <v>-37.200000000000003</v>
      </c>
    </row>
    <row r="1060" spans="1:11" ht="20.399999999999999" x14ac:dyDescent="0.3">
      <c r="A1060" s="761" t="s">
        <v>234</v>
      </c>
      <c r="B1060" s="765">
        <v>2020</v>
      </c>
      <c r="C1060" s="761" t="s">
        <v>2345</v>
      </c>
      <c r="D1060" s="761" t="s">
        <v>2064</v>
      </c>
      <c r="E1060" s="761" t="s">
        <v>892</v>
      </c>
      <c r="F1060" s="1187">
        <v>971.53</v>
      </c>
      <c r="G1060" s="766"/>
      <c r="H1060" s="767"/>
      <c r="I1060" s="767"/>
      <c r="J1060" s="1187">
        <v>0</v>
      </c>
      <c r="K1060" s="1188">
        <v>971.53</v>
      </c>
    </row>
    <row r="1061" spans="1:11" ht="20.399999999999999" x14ac:dyDescent="0.3">
      <c r="A1061" s="761" t="s">
        <v>234</v>
      </c>
      <c r="B1061" s="765">
        <v>2020</v>
      </c>
      <c r="C1061" s="761" t="s">
        <v>2345</v>
      </c>
      <c r="D1061" s="761" t="s">
        <v>2065</v>
      </c>
      <c r="E1061" s="761" t="s">
        <v>892</v>
      </c>
      <c r="F1061" s="1187">
        <v>-1720.35</v>
      </c>
      <c r="G1061" s="766"/>
      <c r="H1061" s="767"/>
      <c r="I1061" s="767"/>
      <c r="J1061" s="1187">
        <v>0</v>
      </c>
      <c r="K1061" s="1188">
        <v>-1720.35</v>
      </c>
    </row>
    <row r="1062" spans="1:11" ht="20.399999999999999" x14ac:dyDescent="0.3">
      <c r="A1062" s="761" t="s">
        <v>234</v>
      </c>
      <c r="B1062" s="765">
        <v>2020</v>
      </c>
      <c r="C1062" s="761" t="s">
        <v>2345</v>
      </c>
      <c r="D1062" s="761" t="s">
        <v>2066</v>
      </c>
      <c r="E1062" s="761" t="s">
        <v>892</v>
      </c>
      <c r="F1062" s="1187">
        <v>-159003.26</v>
      </c>
      <c r="G1062" s="766"/>
      <c r="H1062" s="767"/>
      <c r="I1062" s="767"/>
      <c r="J1062" s="1187">
        <v>0</v>
      </c>
      <c r="K1062" s="1188">
        <v>-159003.26</v>
      </c>
    </row>
    <row r="1063" spans="1:11" ht="30.6" x14ac:dyDescent="0.3">
      <c r="A1063" s="761" t="s">
        <v>234</v>
      </c>
      <c r="B1063" s="765">
        <v>2020</v>
      </c>
      <c r="C1063" s="761" t="s">
        <v>2346</v>
      </c>
      <c r="D1063" s="761" t="s">
        <v>43</v>
      </c>
      <c r="E1063" s="761" t="s">
        <v>893</v>
      </c>
      <c r="F1063" s="1187">
        <v>-359012.26</v>
      </c>
      <c r="G1063" s="761" t="s">
        <v>631</v>
      </c>
      <c r="H1063" s="1187">
        <v>-343546</v>
      </c>
      <c r="I1063" s="1187">
        <v>-15466.25</v>
      </c>
      <c r="J1063" s="1187">
        <v>-359012.25</v>
      </c>
      <c r="K1063" s="1188">
        <v>-359012.26</v>
      </c>
    </row>
    <row r="1064" spans="1:11" ht="30.6" x14ac:dyDescent="0.3">
      <c r="A1064" s="761" t="s">
        <v>234</v>
      </c>
      <c r="B1064" s="765">
        <v>2020</v>
      </c>
      <c r="C1064" s="761" t="s">
        <v>2347</v>
      </c>
      <c r="D1064" s="761" t="s">
        <v>44</v>
      </c>
      <c r="E1064" s="761" t="s">
        <v>894</v>
      </c>
      <c r="F1064" s="1187">
        <v>186694.48</v>
      </c>
      <c r="G1064" s="761" t="s">
        <v>631</v>
      </c>
      <c r="H1064" s="1187">
        <v>187330.078125</v>
      </c>
      <c r="I1064" s="1187">
        <v>-635.59997558593795</v>
      </c>
      <c r="J1064" s="1187">
        <v>186694.484375</v>
      </c>
      <c r="K1064" s="1188">
        <v>186694.48</v>
      </c>
    </row>
    <row r="1065" spans="1:11" ht="30.6" x14ac:dyDescent="0.3">
      <c r="A1065" s="761" t="s">
        <v>234</v>
      </c>
      <c r="B1065" s="765">
        <v>2020</v>
      </c>
      <c r="C1065" s="761" t="s">
        <v>2348</v>
      </c>
      <c r="D1065" s="761" t="s">
        <v>46</v>
      </c>
      <c r="E1065" s="761" t="s">
        <v>895</v>
      </c>
      <c r="F1065" s="1187">
        <v>734731.26</v>
      </c>
      <c r="G1065" s="761" t="s">
        <v>631</v>
      </c>
      <c r="H1065" s="1187">
        <v>652464.1875</v>
      </c>
      <c r="I1065" s="1187">
        <v>82267.09375</v>
      </c>
      <c r="J1065" s="1187">
        <v>734731.25</v>
      </c>
      <c r="K1065" s="1188">
        <v>734731.26</v>
      </c>
    </row>
    <row r="1066" spans="1:11" ht="20.399999999999999" x14ac:dyDescent="0.3">
      <c r="A1066" s="761" t="s">
        <v>234</v>
      </c>
      <c r="B1066" s="765">
        <v>2020</v>
      </c>
      <c r="C1066" s="761" t="s">
        <v>2349</v>
      </c>
      <c r="D1066" s="761" t="s">
        <v>339</v>
      </c>
      <c r="E1066" s="761" t="s">
        <v>896</v>
      </c>
      <c r="F1066" s="1187">
        <v>635056.63</v>
      </c>
      <c r="G1066" s="761" t="s">
        <v>631</v>
      </c>
      <c r="H1066" s="1187">
        <v>648504.625</v>
      </c>
      <c r="I1066" s="1187">
        <v>-13448.009765625</v>
      </c>
      <c r="J1066" s="1187">
        <v>635056.625</v>
      </c>
      <c r="K1066" s="1188">
        <v>635056.63</v>
      </c>
    </row>
    <row r="1067" spans="1:11" ht="40.799999999999997" x14ac:dyDescent="0.3">
      <c r="A1067" s="761" t="s">
        <v>234</v>
      </c>
      <c r="B1067" s="765">
        <v>2020</v>
      </c>
      <c r="C1067" s="761" t="s">
        <v>2350</v>
      </c>
      <c r="D1067" s="761" t="s">
        <v>633</v>
      </c>
      <c r="E1067" s="761" t="s">
        <v>1234</v>
      </c>
      <c r="F1067" s="1187">
        <v>0</v>
      </c>
      <c r="G1067" s="761" t="s">
        <v>631</v>
      </c>
      <c r="H1067" s="767"/>
      <c r="I1067" s="767"/>
      <c r="J1067" s="1187">
        <v>0</v>
      </c>
      <c r="K1067" s="1188">
        <v>0</v>
      </c>
    </row>
    <row r="1068" spans="1:11" ht="40.799999999999997" x14ac:dyDescent="0.3">
      <c r="A1068" s="761" t="s">
        <v>234</v>
      </c>
      <c r="B1068" s="765">
        <v>2020</v>
      </c>
      <c r="C1068" s="761" t="s">
        <v>2350</v>
      </c>
      <c r="D1068" s="761" t="s">
        <v>634</v>
      </c>
      <c r="E1068" s="761" t="s">
        <v>1235</v>
      </c>
      <c r="F1068" s="1187">
        <v>0</v>
      </c>
      <c r="G1068" s="761" t="s">
        <v>631</v>
      </c>
      <c r="H1068" s="767"/>
      <c r="I1068" s="767"/>
      <c r="J1068" s="1187">
        <v>0</v>
      </c>
      <c r="K1068" s="1188">
        <v>0</v>
      </c>
    </row>
    <row r="1069" spans="1:11" ht="40.799999999999997" x14ac:dyDescent="0.3">
      <c r="A1069" s="761" t="s">
        <v>234</v>
      </c>
      <c r="B1069" s="765">
        <v>2020</v>
      </c>
      <c r="C1069" s="761" t="s">
        <v>2350</v>
      </c>
      <c r="D1069" s="761" t="s">
        <v>635</v>
      </c>
      <c r="E1069" s="761" t="s">
        <v>1236</v>
      </c>
      <c r="F1069" s="1187">
        <v>0</v>
      </c>
      <c r="G1069" s="761" t="s">
        <v>631</v>
      </c>
      <c r="H1069" s="767"/>
      <c r="I1069" s="767"/>
      <c r="J1069" s="1187">
        <v>0</v>
      </c>
      <c r="K1069" s="1188">
        <v>0</v>
      </c>
    </row>
    <row r="1070" spans="1:11" ht="40.799999999999997" x14ac:dyDescent="0.3">
      <c r="A1070" s="761" t="s">
        <v>234</v>
      </c>
      <c r="B1070" s="765">
        <v>2020</v>
      </c>
      <c r="C1070" s="761" t="s">
        <v>2350</v>
      </c>
      <c r="D1070" s="761" t="s">
        <v>636</v>
      </c>
      <c r="E1070" s="761" t="s">
        <v>1237</v>
      </c>
      <c r="F1070" s="1187">
        <v>0</v>
      </c>
      <c r="G1070" s="761" t="s">
        <v>631</v>
      </c>
      <c r="H1070" s="767"/>
      <c r="I1070" s="767"/>
      <c r="J1070" s="1187">
        <v>0</v>
      </c>
      <c r="K1070" s="1188">
        <v>0</v>
      </c>
    </row>
    <row r="1071" spans="1:11" ht="40.799999999999997" x14ac:dyDescent="0.3">
      <c r="A1071" s="761" t="s">
        <v>234</v>
      </c>
      <c r="B1071" s="765">
        <v>2020</v>
      </c>
      <c r="C1071" s="761" t="s">
        <v>2350</v>
      </c>
      <c r="D1071" s="761" t="s">
        <v>637</v>
      </c>
      <c r="E1071" s="761" t="s">
        <v>1238</v>
      </c>
      <c r="F1071" s="1187">
        <v>0</v>
      </c>
      <c r="G1071" s="761" t="s">
        <v>631</v>
      </c>
      <c r="H1071" s="767"/>
      <c r="I1071" s="767"/>
      <c r="J1071" s="1187">
        <v>0</v>
      </c>
      <c r="K1071" s="1188">
        <v>0</v>
      </c>
    </row>
    <row r="1072" spans="1:11" ht="40.799999999999997" x14ac:dyDescent="0.3">
      <c r="A1072" s="761" t="s">
        <v>234</v>
      </c>
      <c r="B1072" s="765">
        <v>2020</v>
      </c>
      <c r="C1072" s="761" t="s">
        <v>2350</v>
      </c>
      <c r="D1072" s="761" t="s">
        <v>638</v>
      </c>
      <c r="E1072" s="761" t="s">
        <v>1239</v>
      </c>
      <c r="F1072" s="1187">
        <v>0</v>
      </c>
      <c r="G1072" s="761" t="s">
        <v>631</v>
      </c>
      <c r="H1072" s="767"/>
      <c r="I1072" s="767"/>
      <c r="J1072" s="1187">
        <v>0</v>
      </c>
      <c r="K1072" s="1188">
        <v>0</v>
      </c>
    </row>
    <row r="1073" spans="1:11" ht="40.799999999999997" x14ac:dyDescent="0.3">
      <c r="A1073" s="761" t="s">
        <v>234</v>
      </c>
      <c r="B1073" s="765">
        <v>2020</v>
      </c>
      <c r="C1073" s="761" t="s">
        <v>2350</v>
      </c>
      <c r="D1073" s="761" t="s">
        <v>639</v>
      </c>
      <c r="E1073" s="761" t="s">
        <v>1240</v>
      </c>
      <c r="F1073" s="1187">
        <v>0</v>
      </c>
      <c r="G1073" s="761" t="s">
        <v>631</v>
      </c>
      <c r="H1073" s="767"/>
      <c r="I1073" s="767"/>
      <c r="J1073" s="1187">
        <v>0</v>
      </c>
      <c r="K1073" s="1188">
        <v>0</v>
      </c>
    </row>
    <row r="1074" spans="1:11" ht="40.799999999999997" x14ac:dyDescent="0.3">
      <c r="A1074" s="761" t="s">
        <v>234</v>
      </c>
      <c r="B1074" s="765">
        <v>2020</v>
      </c>
      <c r="C1074" s="761" t="s">
        <v>2350</v>
      </c>
      <c r="D1074" s="761" t="s">
        <v>1613</v>
      </c>
      <c r="E1074" s="761" t="s">
        <v>1987</v>
      </c>
      <c r="F1074" s="1187">
        <v>0</v>
      </c>
      <c r="G1074" s="761" t="s">
        <v>631</v>
      </c>
      <c r="H1074" s="767"/>
      <c r="I1074" s="767"/>
      <c r="J1074" s="1187">
        <v>0</v>
      </c>
      <c r="K1074" s="1188">
        <v>0</v>
      </c>
    </row>
    <row r="1075" spans="1:11" ht="40.799999999999997" x14ac:dyDescent="0.3">
      <c r="A1075" s="761" t="s">
        <v>234</v>
      </c>
      <c r="B1075" s="765">
        <v>2020</v>
      </c>
      <c r="C1075" s="761" t="s">
        <v>2350</v>
      </c>
      <c r="D1075" s="761" t="s">
        <v>2067</v>
      </c>
      <c r="E1075" s="761" t="s">
        <v>2101</v>
      </c>
      <c r="F1075" s="1187">
        <v>0</v>
      </c>
      <c r="G1075" s="761" t="s">
        <v>631</v>
      </c>
      <c r="H1075" s="767"/>
      <c r="I1075" s="767"/>
      <c r="J1075" s="1187">
        <v>0</v>
      </c>
      <c r="K1075" s="1188">
        <v>0</v>
      </c>
    </row>
    <row r="1076" spans="1:11" ht="40.799999999999997" x14ac:dyDescent="0.3">
      <c r="A1076" s="761" t="s">
        <v>234</v>
      </c>
      <c r="B1076" s="765">
        <v>2020</v>
      </c>
      <c r="C1076" s="761" t="s">
        <v>2350</v>
      </c>
      <c r="D1076" s="761" t="s">
        <v>3762</v>
      </c>
      <c r="E1076" s="761" t="s">
        <v>4359</v>
      </c>
      <c r="F1076" s="1187">
        <v>0</v>
      </c>
      <c r="G1076" s="761" t="s">
        <v>631</v>
      </c>
      <c r="H1076" s="1187">
        <v>-106643.2421875</v>
      </c>
      <c r="I1076" s="1187">
        <v>-14112.58984375</v>
      </c>
      <c r="J1076" s="1187">
        <v>-120755.828125</v>
      </c>
      <c r="K1076" s="1188">
        <v>-120755.83</v>
      </c>
    </row>
    <row r="1077" spans="1:11" ht="40.799999999999997" x14ac:dyDescent="0.3">
      <c r="A1077" s="761" t="s">
        <v>234</v>
      </c>
      <c r="B1077" s="765">
        <v>2020</v>
      </c>
      <c r="C1077" s="761" t="s">
        <v>2350</v>
      </c>
      <c r="D1077" s="761" t="s">
        <v>4844</v>
      </c>
      <c r="E1077" s="761" t="s">
        <v>5814</v>
      </c>
      <c r="F1077" s="1187">
        <v>0</v>
      </c>
      <c r="G1077" s="761" t="s">
        <v>631</v>
      </c>
      <c r="H1077" s="1187">
        <v>14603</v>
      </c>
      <c r="I1077" s="1187">
        <v>271.98001098632801</v>
      </c>
      <c r="J1077" s="1187">
        <v>14874.98046875</v>
      </c>
      <c r="K1077" s="1188">
        <v>14874.98</v>
      </c>
    </row>
    <row r="1078" spans="1:11" ht="40.799999999999997" x14ac:dyDescent="0.3">
      <c r="A1078" s="761" t="s">
        <v>234</v>
      </c>
      <c r="B1078" s="765">
        <v>2020</v>
      </c>
      <c r="C1078" s="761" t="s">
        <v>2350</v>
      </c>
      <c r="D1078" s="761" t="s">
        <v>7101</v>
      </c>
      <c r="E1078" s="761" t="s">
        <v>7181</v>
      </c>
      <c r="F1078" s="1187">
        <v>0</v>
      </c>
      <c r="G1078" s="761" t="s">
        <v>631</v>
      </c>
      <c r="H1078" s="1187">
        <v>-35920.37109375</v>
      </c>
      <c r="I1078" s="1187">
        <v>8417.0703125</v>
      </c>
      <c r="J1078" s="1187">
        <v>-27503.30078125</v>
      </c>
      <c r="K1078" s="1188">
        <v>-27503.3</v>
      </c>
    </row>
    <row r="1079" spans="1:11" ht="40.799999999999997" x14ac:dyDescent="0.3">
      <c r="A1079" s="761" t="s">
        <v>234</v>
      </c>
      <c r="B1079" s="765">
        <v>2020</v>
      </c>
      <c r="C1079" s="761" t="s">
        <v>2350</v>
      </c>
      <c r="D1079" s="761" t="s">
        <v>640</v>
      </c>
      <c r="E1079" s="761" t="s">
        <v>1377</v>
      </c>
      <c r="F1079" s="1187">
        <v>-133384.15</v>
      </c>
      <c r="G1079" s="766"/>
      <c r="H1079" s="767"/>
      <c r="I1079" s="767"/>
      <c r="J1079" s="1187">
        <v>0</v>
      </c>
      <c r="K1079" s="1188">
        <v>-133384.15</v>
      </c>
    </row>
    <row r="1080" spans="1:11" x14ac:dyDescent="0.3">
      <c r="A1080" s="761" t="s">
        <v>142</v>
      </c>
      <c r="B1080" s="765">
        <v>2020</v>
      </c>
      <c r="C1080" s="761" t="s">
        <v>2342</v>
      </c>
      <c r="D1080" s="761" t="s">
        <v>45</v>
      </c>
      <c r="E1080" s="761" t="s">
        <v>897</v>
      </c>
      <c r="F1080" s="1187">
        <v>1229389.1000000001</v>
      </c>
      <c r="G1080" s="761" t="s">
        <v>631</v>
      </c>
      <c r="H1080" s="1187">
        <v>1194818.75</v>
      </c>
      <c r="I1080" s="1187">
        <v>34570.3203125</v>
      </c>
      <c r="J1080" s="1187">
        <v>1229389.125</v>
      </c>
      <c r="K1080" s="1188">
        <v>1229389.1000000001</v>
      </c>
    </row>
    <row r="1081" spans="1:11" ht="30.6" x14ac:dyDescent="0.3">
      <c r="A1081" s="761" t="s">
        <v>142</v>
      </c>
      <c r="B1081" s="765">
        <v>2020</v>
      </c>
      <c r="C1081" s="761" t="s">
        <v>2343</v>
      </c>
      <c r="D1081" s="761" t="s">
        <v>632</v>
      </c>
      <c r="E1081" s="761" t="s">
        <v>898</v>
      </c>
      <c r="F1081" s="1187">
        <v>-24789.51</v>
      </c>
      <c r="G1081" s="761" t="s">
        <v>631</v>
      </c>
      <c r="H1081" s="1187">
        <v>-24327.669921875</v>
      </c>
      <c r="I1081" s="1187">
        <v>-461.83999633789102</v>
      </c>
      <c r="J1081" s="1187">
        <v>-24789.509765625</v>
      </c>
      <c r="K1081" s="1188">
        <v>-24789.51</v>
      </c>
    </row>
    <row r="1082" spans="1:11" ht="20.399999999999999" x14ac:dyDescent="0.3">
      <c r="A1082" s="761" t="s">
        <v>142</v>
      </c>
      <c r="B1082" s="765">
        <v>2020</v>
      </c>
      <c r="C1082" s="761" t="s">
        <v>2344</v>
      </c>
      <c r="D1082" s="761" t="s">
        <v>452</v>
      </c>
      <c r="E1082" s="761" t="s">
        <v>899</v>
      </c>
      <c r="F1082" s="1187">
        <v>0</v>
      </c>
      <c r="G1082" s="766"/>
      <c r="H1082" s="767"/>
      <c r="I1082" s="767"/>
      <c r="J1082" s="1187">
        <v>0</v>
      </c>
      <c r="K1082" s="1188">
        <v>0</v>
      </c>
    </row>
    <row r="1083" spans="1:11" ht="20.399999999999999" x14ac:dyDescent="0.3">
      <c r="A1083" s="761" t="s">
        <v>142</v>
      </c>
      <c r="B1083" s="765">
        <v>2020</v>
      </c>
      <c r="C1083" s="761" t="s">
        <v>2345</v>
      </c>
      <c r="D1083" s="761" t="s">
        <v>42</v>
      </c>
      <c r="E1083" s="761" t="s">
        <v>900</v>
      </c>
      <c r="F1083" s="1187">
        <v>-369892.11</v>
      </c>
      <c r="G1083" s="761" t="s">
        <v>631</v>
      </c>
      <c r="H1083" s="1187">
        <v>-355750.4375</v>
      </c>
      <c r="I1083" s="1187">
        <v>-14141.6796875</v>
      </c>
      <c r="J1083" s="1187">
        <v>-369892.125</v>
      </c>
      <c r="K1083" s="1188">
        <v>-369892.11</v>
      </c>
    </row>
    <row r="1084" spans="1:11" ht="20.399999999999999" x14ac:dyDescent="0.3">
      <c r="A1084" s="761" t="s">
        <v>142</v>
      </c>
      <c r="B1084" s="765">
        <v>2020</v>
      </c>
      <c r="C1084" s="761" t="s">
        <v>2345</v>
      </c>
      <c r="D1084" s="761" t="s">
        <v>2063</v>
      </c>
      <c r="E1084" s="761" t="s">
        <v>900</v>
      </c>
      <c r="F1084" s="1187">
        <v>75.66</v>
      </c>
      <c r="G1084" s="766"/>
      <c r="H1084" s="767"/>
      <c r="I1084" s="767"/>
      <c r="J1084" s="1187">
        <v>0</v>
      </c>
      <c r="K1084" s="1188">
        <v>75.66</v>
      </c>
    </row>
    <row r="1085" spans="1:11" ht="20.399999999999999" x14ac:dyDescent="0.3">
      <c r="A1085" s="761" t="s">
        <v>142</v>
      </c>
      <c r="B1085" s="765">
        <v>2020</v>
      </c>
      <c r="C1085" s="761" t="s">
        <v>2345</v>
      </c>
      <c r="D1085" s="761" t="s">
        <v>2064</v>
      </c>
      <c r="E1085" s="761" t="s">
        <v>900</v>
      </c>
      <c r="F1085" s="1187">
        <v>1242.03</v>
      </c>
      <c r="G1085" s="766"/>
      <c r="H1085" s="767"/>
      <c r="I1085" s="767"/>
      <c r="J1085" s="1187">
        <v>0</v>
      </c>
      <c r="K1085" s="1188">
        <v>1242.03</v>
      </c>
    </row>
    <row r="1086" spans="1:11" ht="20.399999999999999" x14ac:dyDescent="0.3">
      <c r="A1086" s="761" t="s">
        <v>142</v>
      </c>
      <c r="B1086" s="765">
        <v>2020</v>
      </c>
      <c r="C1086" s="761" t="s">
        <v>2345</v>
      </c>
      <c r="D1086" s="761" t="s">
        <v>2065</v>
      </c>
      <c r="E1086" s="761" t="s">
        <v>900</v>
      </c>
      <c r="F1086" s="1187">
        <v>-192.43</v>
      </c>
      <c r="G1086" s="766"/>
      <c r="H1086" s="767"/>
      <c r="I1086" s="767"/>
      <c r="J1086" s="1187">
        <v>0</v>
      </c>
      <c r="K1086" s="1188">
        <v>-192.43</v>
      </c>
    </row>
    <row r="1087" spans="1:11" ht="20.399999999999999" x14ac:dyDescent="0.3">
      <c r="A1087" s="761" t="s">
        <v>142</v>
      </c>
      <c r="B1087" s="765">
        <v>2020</v>
      </c>
      <c r="C1087" s="761" t="s">
        <v>2345</v>
      </c>
      <c r="D1087" s="761" t="s">
        <v>2066</v>
      </c>
      <c r="E1087" s="761" t="s">
        <v>900</v>
      </c>
      <c r="F1087" s="1187">
        <v>-23553.41</v>
      </c>
      <c r="G1087" s="766"/>
      <c r="H1087" s="767"/>
      <c r="I1087" s="767"/>
      <c r="J1087" s="1187">
        <v>0</v>
      </c>
      <c r="K1087" s="1188">
        <v>-23553.41</v>
      </c>
    </row>
    <row r="1088" spans="1:11" ht="30.6" x14ac:dyDescent="0.3">
      <c r="A1088" s="761" t="s">
        <v>142</v>
      </c>
      <c r="B1088" s="765">
        <v>2020</v>
      </c>
      <c r="C1088" s="761" t="s">
        <v>2346</v>
      </c>
      <c r="D1088" s="761" t="s">
        <v>43</v>
      </c>
      <c r="E1088" s="761" t="s">
        <v>901</v>
      </c>
      <c r="F1088" s="1187">
        <v>-111345.76</v>
      </c>
      <c r="G1088" s="761" t="s">
        <v>631</v>
      </c>
      <c r="H1088" s="1187">
        <v>-106932.8203125</v>
      </c>
      <c r="I1088" s="1187">
        <v>-4412.93994140625</v>
      </c>
      <c r="J1088" s="1187">
        <v>-111345.7578125</v>
      </c>
      <c r="K1088" s="1188">
        <v>-111345.76</v>
      </c>
    </row>
    <row r="1089" spans="1:11" ht="30.6" x14ac:dyDescent="0.3">
      <c r="A1089" s="761" t="s">
        <v>142</v>
      </c>
      <c r="B1089" s="765">
        <v>2020</v>
      </c>
      <c r="C1089" s="761" t="s">
        <v>2347</v>
      </c>
      <c r="D1089" s="761" t="s">
        <v>44</v>
      </c>
      <c r="E1089" s="761" t="s">
        <v>902</v>
      </c>
      <c r="F1089" s="1187">
        <v>-8508.69</v>
      </c>
      <c r="G1089" s="761" t="s">
        <v>631</v>
      </c>
      <c r="H1089" s="1187">
        <v>-7013.06982421875</v>
      </c>
      <c r="I1089" s="1187">
        <v>-1495.61999511719</v>
      </c>
      <c r="J1089" s="1187">
        <v>-8508.6904296875</v>
      </c>
      <c r="K1089" s="1188">
        <v>-8508.69</v>
      </c>
    </row>
    <row r="1090" spans="1:11" ht="30.6" x14ac:dyDescent="0.3">
      <c r="A1090" s="761" t="s">
        <v>142</v>
      </c>
      <c r="B1090" s="765">
        <v>2020</v>
      </c>
      <c r="C1090" s="761" t="s">
        <v>2348</v>
      </c>
      <c r="D1090" s="761" t="s">
        <v>46</v>
      </c>
      <c r="E1090" s="761" t="s">
        <v>903</v>
      </c>
      <c r="F1090" s="1187">
        <v>626263.12</v>
      </c>
      <c r="G1090" s="761" t="s">
        <v>631</v>
      </c>
      <c r="H1090" s="1187">
        <v>621486.1875</v>
      </c>
      <c r="I1090" s="1187">
        <v>4776.919921875</v>
      </c>
      <c r="J1090" s="1187">
        <v>626263.125</v>
      </c>
      <c r="K1090" s="1188">
        <v>626263.12</v>
      </c>
    </row>
    <row r="1091" spans="1:11" ht="20.399999999999999" x14ac:dyDescent="0.3">
      <c r="A1091" s="761" t="s">
        <v>142</v>
      </c>
      <c r="B1091" s="765">
        <v>2020</v>
      </c>
      <c r="C1091" s="761" t="s">
        <v>2349</v>
      </c>
      <c r="D1091" s="761" t="s">
        <v>339</v>
      </c>
      <c r="E1091" s="761" t="s">
        <v>904</v>
      </c>
      <c r="F1091" s="1187">
        <v>614976.34</v>
      </c>
      <c r="G1091" s="761" t="s">
        <v>631</v>
      </c>
      <c r="H1091" s="1187">
        <v>583020.1875</v>
      </c>
      <c r="I1091" s="1187">
        <v>31956.150390625</v>
      </c>
      <c r="J1091" s="1187">
        <v>614976.3125</v>
      </c>
      <c r="K1091" s="1188">
        <v>614976.34</v>
      </c>
    </row>
    <row r="1092" spans="1:11" ht="40.799999999999997" x14ac:dyDescent="0.3">
      <c r="A1092" s="761" t="s">
        <v>142</v>
      </c>
      <c r="B1092" s="765">
        <v>2020</v>
      </c>
      <c r="C1092" s="761" t="s">
        <v>2350</v>
      </c>
      <c r="D1092" s="761" t="s">
        <v>633</v>
      </c>
      <c r="E1092" s="761" t="s">
        <v>1241</v>
      </c>
      <c r="F1092" s="1187">
        <v>0</v>
      </c>
      <c r="G1092" s="761" t="s">
        <v>631</v>
      </c>
      <c r="H1092" s="767"/>
      <c r="I1092" s="767"/>
      <c r="J1092" s="1187">
        <v>0</v>
      </c>
      <c r="K1092" s="1188">
        <v>0</v>
      </c>
    </row>
    <row r="1093" spans="1:11" ht="40.799999999999997" x14ac:dyDescent="0.3">
      <c r="A1093" s="761" t="s">
        <v>142</v>
      </c>
      <c r="B1093" s="765">
        <v>2020</v>
      </c>
      <c r="C1093" s="761" t="s">
        <v>2350</v>
      </c>
      <c r="D1093" s="761" t="s">
        <v>634</v>
      </c>
      <c r="E1093" s="761" t="s">
        <v>1242</v>
      </c>
      <c r="F1093" s="1187">
        <v>0</v>
      </c>
      <c r="G1093" s="761" t="s">
        <v>631</v>
      </c>
      <c r="H1093" s="767"/>
      <c r="I1093" s="767"/>
      <c r="J1093" s="1187">
        <v>0</v>
      </c>
      <c r="K1093" s="1188">
        <v>0</v>
      </c>
    </row>
    <row r="1094" spans="1:11" ht="40.799999999999997" x14ac:dyDescent="0.3">
      <c r="A1094" s="761" t="s">
        <v>142</v>
      </c>
      <c r="B1094" s="765">
        <v>2020</v>
      </c>
      <c r="C1094" s="761" t="s">
        <v>2350</v>
      </c>
      <c r="D1094" s="761" t="s">
        <v>635</v>
      </c>
      <c r="E1094" s="761" t="s">
        <v>1243</v>
      </c>
      <c r="F1094" s="1187">
        <v>0</v>
      </c>
      <c r="G1094" s="761" t="s">
        <v>631</v>
      </c>
      <c r="H1094" s="767"/>
      <c r="I1094" s="767"/>
      <c r="J1094" s="1187">
        <v>0</v>
      </c>
      <c r="K1094" s="1188">
        <v>0</v>
      </c>
    </row>
    <row r="1095" spans="1:11" ht="40.799999999999997" x14ac:dyDescent="0.3">
      <c r="A1095" s="761" t="s">
        <v>142</v>
      </c>
      <c r="B1095" s="765">
        <v>2020</v>
      </c>
      <c r="C1095" s="761" t="s">
        <v>2350</v>
      </c>
      <c r="D1095" s="761" t="s">
        <v>636</v>
      </c>
      <c r="E1095" s="761" t="s">
        <v>1244</v>
      </c>
      <c r="F1095" s="1187">
        <v>0</v>
      </c>
      <c r="G1095" s="761" t="s">
        <v>631</v>
      </c>
      <c r="H1095" s="767"/>
      <c r="I1095" s="767"/>
      <c r="J1095" s="1187">
        <v>0</v>
      </c>
      <c r="K1095" s="1188">
        <v>0</v>
      </c>
    </row>
    <row r="1096" spans="1:11" ht="40.799999999999997" x14ac:dyDescent="0.3">
      <c r="A1096" s="761" t="s">
        <v>142</v>
      </c>
      <c r="B1096" s="765">
        <v>2020</v>
      </c>
      <c r="C1096" s="761" t="s">
        <v>2350</v>
      </c>
      <c r="D1096" s="761" t="s">
        <v>637</v>
      </c>
      <c r="E1096" s="761" t="s">
        <v>1245</v>
      </c>
      <c r="F1096" s="1187">
        <v>0</v>
      </c>
      <c r="G1096" s="761" t="s">
        <v>631</v>
      </c>
      <c r="H1096" s="767"/>
      <c r="I1096" s="767"/>
      <c r="J1096" s="1187">
        <v>0</v>
      </c>
      <c r="K1096" s="1188">
        <v>0</v>
      </c>
    </row>
    <row r="1097" spans="1:11" ht="40.799999999999997" x14ac:dyDescent="0.3">
      <c r="A1097" s="761" t="s">
        <v>142</v>
      </c>
      <c r="B1097" s="765">
        <v>2020</v>
      </c>
      <c r="C1097" s="761" t="s">
        <v>2350</v>
      </c>
      <c r="D1097" s="761" t="s">
        <v>638</v>
      </c>
      <c r="E1097" s="761" t="s">
        <v>1246</v>
      </c>
      <c r="F1097" s="1187">
        <v>0</v>
      </c>
      <c r="G1097" s="761" t="s">
        <v>631</v>
      </c>
      <c r="H1097" s="767"/>
      <c r="I1097" s="767"/>
      <c r="J1097" s="1187">
        <v>0</v>
      </c>
      <c r="K1097" s="1188">
        <v>0</v>
      </c>
    </row>
    <row r="1098" spans="1:11" ht="40.799999999999997" x14ac:dyDescent="0.3">
      <c r="A1098" s="761" t="s">
        <v>142</v>
      </c>
      <c r="B1098" s="765">
        <v>2020</v>
      </c>
      <c r="C1098" s="761" t="s">
        <v>2350</v>
      </c>
      <c r="D1098" s="761" t="s">
        <v>639</v>
      </c>
      <c r="E1098" s="761" t="s">
        <v>1247</v>
      </c>
      <c r="F1098" s="1187">
        <v>0</v>
      </c>
      <c r="G1098" s="761" t="s">
        <v>631</v>
      </c>
      <c r="H1098" s="767"/>
      <c r="I1098" s="767"/>
      <c r="J1098" s="1187">
        <v>0</v>
      </c>
      <c r="K1098" s="1188">
        <v>0</v>
      </c>
    </row>
    <row r="1099" spans="1:11" ht="40.799999999999997" x14ac:dyDescent="0.3">
      <c r="A1099" s="761" t="s">
        <v>142</v>
      </c>
      <c r="B1099" s="765">
        <v>2020</v>
      </c>
      <c r="C1099" s="761" t="s">
        <v>2350</v>
      </c>
      <c r="D1099" s="761" t="s">
        <v>1613</v>
      </c>
      <c r="E1099" s="761" t="s">
        <v>1988</v>
      </c>
      <c r="F1099" s="1187">
        <v>0</v>
      </c>
      <c r="G1099" s="761" t="s">
        <v>631</v>
      </c>
      <c r="H1099" s="767"/>
      <c r="I1099" s="767"/>
      <c r="J1099" s="1187">
        <v>0</v>
      </c>
      <c r="K1099" s="1188">
        <v>0</v>
      </c>
    </row>
    <row r="1100" spans="1:11" ht="40.799999999999997" x14ac:dyDescent="0.3">
      <c r="A1100" s="761" t="s">
        <v>142</v>
      </c>
      <c r="B1100" s="765">
        <v>2020</v>
      </c>
      <c r="C1100" s="761" t="s">
        <v>2350</v>
      </c>
      <c r="D1100" s="761" t="s">
        <v>2067</v>
      </c>
      <c r="E1100" s="761" t="s">
        <v>2102</v>
      </c>
      <c r="F1100" s="1187">
        <v>0</v>
      </c>
      <c r="G1100" s="761" t="s">
        <v>631</v>
      </c>
      <c r="H1100" s="1187">
        <v>-13128</v>
      </c>
      <c r="I1100" s="1187">
        <v>2853.17993164063</v>
      </c>
      <c r="J1100" s="1187">
        <v>-10274.8203125</v>
      </c>
      <c r="K1100" s="1188">
        <v>-10274.82</v>
      </c>
    </row>
    <row r="1101" spans="1:11" ht="40.799999999999997" x14ac:dyDescent="0.3">
      <c r="A1101" s="761" t="s">
        <v>142</v>
      </c>
      <c r="B1101" s="765">
        <v>2020</v>
      </c>
      <c r="C1101" s="761" t="s">
        <v>2350</v>
      </c>
      <c r="D1101" s="761" t="s">
        <v>3762</v>
      </c>
      <c r="E1101" s="761" t="s">
        <v>4360</v>
      </c>
      <c r="F1101" s="1187">
        <v>0</v>
      </c>
      <c r="G1101" s="761" t="s">
        <v>631</v>
      </c>
      <c r="H1101" s="1187">
        <v>-8617.4599609375</v>
      </c>
      <c r="I1101" s="1187">
        <v>1048.10998535156</v>
      </c>
      <c r="J1101" s="1187">
        <v>-7569.35009765625</v>
      </c>
      <c r="K1101" s="1188">
        <v>-7569.35</v>
      </c>
    </row>
    <row r="1102" spans="1:11" ht="40.799999999999997" x14ac:dyDescent="0.3">
      <c r="A1102" s="761" t="s">
        <v>142</v>
      </c>
      <c r="B1102" s="765">
        <v>2020</v>
      </c>
      <c r="C1102" s="761" t="s">
        <v>2350</v>
      </c>
      <c r="D1102" s="761" t="s">
        <v>4844</v>
      </c>
      <c r="E1102" s="761" t="s">
        <v>5815</v>
      </c>
      <c r="F1102" s="1187">
        <v>0</v>
      </c>
      <c r="G1102" s="761" t="s">
        <v>631</v>
      </c>
      <c r="H1102" s="1187">
        <v>-5048.240234375</v>
      </c>
      <c r="I1102" s="1187">
        <v>2529.40991210938</v>
      </c>
      <c r="J1102" s="1187">
        <v>-2518.830078125</v>
      </c>
      <c r="K1102" s="1188">
        <v>-2518.83</v>
      </c>
    </row>
    <row r="1103" spans="1:11" ht="40.799999999999997" x14ac:dyDescent="0.3">
      <c r="A1103" s="761" t="s">
        <v>142</v>
      </c>
      <c r="B1103" s="765">
        <v>2020</v>
      </c>
      <c r="C1103" s="761" t="s">
        <v>2350</v>
      </c>
      <c r="D1103" s="761" t="s">
        <v>7101</v>
      </c>
      <c r="E1103" s="761" t="s">
        <v>7182</v>
      </c>
      <c r="F1103" s="1187">
        <v>0</v>
      </c>
      <c r="G1103" s="761" t="s">
        <v>631</v>
      </c>
      <c r="H1103" s="1187">
        <v>58170.640625</v>
      </c>
      <c r="I1103" s="1187">
        <v>1782.31005859375</v>
      </c>
      <c r="J1103" s="1187">
        <v>59952.94921875</v>
      </c>
      <c r="K1103" s="1188">
        <v>59952.95</v>
      </c>
    </row>
    <row r="1104" spans="1:11" ht="40.799999999999997" x14ac:dyDescent="0.3">
      <c r="A1104" s="761" t="s">
        <v>142</v>
      </c>
      <c r="B1104" s="765">
        <v>2020</v>
      </c>
      <c r="C1104" s="761" t="s">
        <v>2350</v>
      </c>
      <c r="D1104" s="761" t="s">
        <v>640</v>
      </c>
      <c r="E1104" s="761" t="s">
        <v>1378</v>
      </c>
      <c r="F1104" s="1187">
        <v>39589.949999999997</v>
      </c>
      <c r="G1104" s="766"/>
      <c r="H1104" s="767"/>
      <c r="I1104" s="767"/>
      <c r="J1104" s="1187">
        <v>0</v>
      </c>
      <c r="K1104" s="1188">
        <v>39589.949999999997</v>
      </c>
    </row>
    <row r="1105" spans="1:11" ht="20.399999999999999" x14ac:dyDescent="0.3">
      <c r="A1105" s="761" t="s">
        <v>235</v>
      </c>
      <c r="B1105" s="765">
        <v>2020</v>
      </c>
      <c r="C1105" s="761" t="s">
        <v>2342</v>
      </c>
      <c r="D1105" s="761" t="s">
        <v>45</v>
      </c>
      <c r="E1105" s="761" t="s">
        <v>905</v>
      </c>
      <c r="F1105" s="1187">
        <v>2216128</v>
      </c>
      <c r="G1105" s="761" t="s">
        <v>631</v>
      </c>
      <c r="H1105" s="1187">
        <v>2154076</v>
      </c>
      <c r="I1105" s="1187">
        <v>62052</v>
      </c>
      <c r="J1105" s="1187">
        <v>2216128</v>
      </c>
      <c r="K1105" s="1188">
        <v>2216128</v>
      </c>
    </row>
    <row r="1106" spans="1:11" ht="30.6" x14ac:dyDescent="0.3">
      <c r="A1106" s="761" t="s">
        <v>235</v>
      </c>
      <c r="B1106" s="765">
        <v>2020</v>
      </c>
      <c r="C1106" s="761" t="s">
        <v>2343</v>
      </c>
      <c r="D1106" s="761" t="s">
        <v>632</v>
      </c>
      <c r="E1106" s="761" t="s">
        <v>906</v>
      </c>
      <c r="F1106" s="1187">
        <v>-20149</v>
      </c>
      <c r="G1106" s="761" t="s">
        <v>631</v>
      </c>
      <c r="H1106" s="1187">
        <v>-19574</v>
      </c>
      <c r="I1106" s="1187">
        <v>-575</v>
      </c>
      <c r="J1106" s="1187">
        <v>-20149</v>
      </c>
      <c r="K1106" s="1188">
        <v>-20149</v>
      </c>
    </row>
    <row r="1107" spans="1:11" ht="20.399999999999999" x14ac:dyDescent="0.3">
      <c r="A1107" s="761" t="s">
        <v>235</v>
      </c>
      <c r="B1107" s="765">
        <v>2020</v>
      </c>
      <c r="C1107" s="761" t="s">
        <v>2344</v>
      </c>
      <c r="D1107" s="761" t="s">
        <v>452</v>
      </c>
      <c r="E1107" s="761" t="s">
        <v>907</v>
      </c>
      <c r="F1107" s="1187">
        <v>497128</v>
      </c>
      <c r="G1107" s="766"/>
      <c r="H1107" s="767"/>
      <c r="I1107" s="767"/>
      <c r="J1107" s="1187">
        <v>0</v>
      </c>
      <c r="K1107" s="1188">
        <v>497128</v>
      </c>
    </row>
    <row r="1108" spans="1:11" ht="20.399999999999999" x14ac:dyDescent="0.3">
      <c r="A1108" s="761" t="s">
        <v>235</v>
      </c>
      <c r="B1108" s="765">
        <v>2020</v>
      </c>
      <c r="C1108" s="761" t="s">
        <v>2345</v>
      </c>
      <c r="D1108" s="761" t="s">
        <v>42</v>
      </c>
      <c r="E1108" s="761" t="s">
        <v>908</v>
      </c>
      <c r="F1108" s="1187">
        <v>-1162056</v>
      </c>
      <c r="G1108" s="761" t="s">
        <v>631</v>
      </c>
      <c r="H1108" s="1187">
        <v>-1119903</v>
      </c>
      <c r="I1108" s="1187">
        <v>-42153</v>
      </c>
      <c r="J1108" s="1187">
        <v>-1162056</v>
      </c>
      <c r="K1108" s="1188">
        <v>-1162056</v>
      </c>
    </row>
    <row r="1109" spans="1:11" ht="20.399999999999999" x14ac:dyDescent="0.3">
      <c r="A1109" s="761" t="s">
        <v>235</v>
      </c>
      <c r="B1109" s="765">
        <v>2020</v>
      </c>
      <c r="C1109" s="761" t="s">
        <v>2345</v>
      </c>
      <c r="D1109" s="761" t="s">
        <v>2063</v>
      </c>
      <c r="E1109" s="761" t="s">
        <v>908</v>
      </c>
      <c r="F1109" s="1187">
        <v>0</v>
      </c>
      <c r="G1109" s="766"/>
      <c r="H1109" s="767"/>
      <c r="I1109" s="767"/>
      <c r="J1109" s="1187">
        <v>0</v>
      </c>
      <c r="K1109" s="1188">
        <v>0</v>
      </c>
    </row>
    <row r="1110" spans="1:11" ht="20.399999999999999" x14ac:dyDescent="0.3">
      <c r="A1110" s="761" t="s">
        <v>235</v>
      </c>
      <c r="B1110" s="765">
        <v>2020</v>
      </c>
      <c r="C1110" s="761" t="s">
        <v>2345</v>
      </c>
      <c r="D1110" s="761" t="s">
        <v>2064</v>
      </c>
      <c r="E1110" s="761" t="s">
        <v>908</v>
      </c>
      <c r="F1110" s="1187">
        <v>0</v>
      </c>
      <c r="G1110" s="766"/>
      <c r="H1110" s="767"/>
      <c r="I1110" s="767"/>
      <c r="J1110" s="1187">
        <v>0</v>
      </c>
      <c r="K1110" s="1188">
        <v>0</v>
      </c>
    </row>
    <row r="1111" spans="1:11" ht="20.399999999999999" x14ac:dyDescent="0.3">
      <c r="A1111" s="761" t="s">
        <v>235</v>
      </c>
      <c r="B1111" s="765">
        <v>2020</v>
      </c>
      <c r="C1111" s="761" t="s">
        <v>2345</v>
      </c>
      <c r="D1111" s="761" t="s">
        <v>2065</v>
      </c>
      <c r="E1111" s="761" t="s">
        <v>908</v>
      </c>
      <c r="F1111" s="1187">
        <v>-772</v>
      </c>
      <c r="G1111" s="766"/>
      <c r="H1111" s="767"/>
      <c r="I1111" s="767"/>
      <c r="J1111" s="1187">
        <v>0</v>
      </c>
      <c r="K1111" s="1188">
        <v>-772</v>
      </c>
    </row>
    <row r="1112" spans="1:11" ht="20.399999999999999" x14ac:dyDescent="0.3">
      <c r="A1112" s="761" t="s">
        <v>235</v>
      </c>
      <c r="B1112" s="765">
        <v>2020</v>
      </c>
      <c r="C1112" s="761" t="s">
        <v>2345</v>
      </c>
      <c r="D1112" s="761" t="s">
        <v>2066</v>
      </c>
      <c r="E1112" s="761" t="s">
        <v>908</v>
      </c>
      <c r="F1112" s="1187">
        <v>-34593</v>
      </c>
      <c r="G1112" s="766"/>
      <c r="H1112" s="767"/>
      <c r="I1112" s="767"/>
      <c r="J1112" s="1187">
        <v>0</v>
      </c>
      <c r="K1112" s="1188">
        <v>-34593</v>
      </c>
    </row>
    <row r="1113" spans="1:11" ht="30.6" x14ac:dyDescent="0.3">
      <c r="A1113" s="761" t="s">
        <v>235</v>
      </c>
      <c r="B1113" s="765">
        <v>2020</v>
      </c>
      <c r="C1113" s="761" t="s">
        <v>2346</v>
      </c>
      <c r="D1113" s="761" t="s">
        <v>43</v>
      </c>
      <c r="E1113" s="761" t="s">
        <v>909</v>
      </c>
      <c r="F1113" s="1187">
        <v>-6710</v>
      </c>
      <c r="G1113" s="761" t="s">
        <v>631</v>
      </c>
      <c r="H1113" s="1187">
        <v>-3717</v>
      </c>
      <c r="I1113" s="1187">
        <v>-2993</v>
      </c>
      <c r="J1113" s="1187">
        <v>-6710</v>
      </c>
      <c r="K1113" s="1188">
        <v>-6710</v>
      </c>
    </row>
    <row r="1114" spans="1:11" ht="30.6" x14ac:dyDescent="0.3">
      <c r="A1114" s="761" t="s">
        <v>235</v>
      </c>
      <c r="B1114" s="765">
        <v>2020</v>
      </c>
      <c r="C1114" s="761" t="s">
        <v>2347</v>
      </c>
      <c r="D1114" s="761" t="s">
        <v>44</v>
      </c>
      <c r="E1114" s="761" t="s">
        <v>910</v>
      </c>
      <c r="F1114" s="1187">
        <v>-23218</v>
      </c>
      <c r="G1114" s="761" t="s">
        <v>631</v>
      </c>
      <c r="H1114" s="1187">
        <v>-19486</v>
      </c>
      <c r="I1114" s="1187">
        <v>-3732</v>
      </c>
      <c r="J1114" s="1187">
        <v>-23218</v>
      </c>
      <c r="K1114" s="1188">
        <v>-23218</v>
      </c>
    </row>
    <row r="1115" spans="1:11" ht="30.6" x14ac:dyDescent="0.3">
      <c r="A1115" s="761" t="s">
        <v>235</v>
      </c>
      <c r="B1115" s="765">
        <v>2020</v>
      </c>
      <c r="C1115" s="761" t="s">
        <v>2348</v>
      </c>
      <c r="D1115" s="761" t="s">
        <v>46</v>
      </c>
      <c r="E1115" s="761" t="s">
        <v>911</v>
      </c>
      <c r="F1115" s="1187">
        <v>-478116</v>
      </c>
      <c r="G1115" s="761" t="s">
        <v>631</v>
      </c>
      <c r="H1115" s="1187">
        <v>-464479</v>
      </c>
      <c r="I1115" s="1187">
        <v>-13637</v>
      </c>
      <c r="J1115" s="1187">
        <v>-478116</v>
      </c>
      <c r="K1115" s="1188">
        <v>-478116</v>
      </c>
    </row>
    <row r="1116" spans="1:11" ht="20.399999999999999" x14ac:dyDescent="0.3">
      <c r="A1116" s="761" t="s">
        <v>235</v>
      </c>
      <c r="B1116" s="765">
        <v>2020</v>
      </c>
      <c r="C1116" s="761" t="s">
        <v>2349</v>
      </c>
      <c r="D1116" s="761" t="s">
        <v>339</v>
      </c>
      <c r="E1116" s="761" t="s">
        <v>912</v>
      </c>
      <c r="F1116" s="1187">
        <v>115958</v>
      </c>
      <c r="G1116" s="761" t="s">
        <v>631</v>
      </c>
      <c r="H1116" s="1187">
        <v>108269</v>
      </c>
      <c r="I1116" s="1187">
        <v>7689</v>
      </c>
      <c r="J1116" s="1187">
        <v>115958</v>
      </c>
      <c r="K1116" s="1188">
        <v>115958</v>
      </c>
    </row>
    <row r="1117" spans="1:11" ht="40.799999999999997" x14ac:dyDescent="0.3">
      <c r="A1117" s="761" t="s">
        <v>235</v>
      </c>
      <c r="B1117" s="765">
        <v>2020</v>
      </c>
      <c r="C1117" s="761" t="s">
        <v>2350</v>
      </c>
      <c r="D1117" s="761" t="s">
        <v>633</v>
      </c>
      <c r="E1117" s="761" t="s">
        <v>1248</v>
      </c>
      <c r="F1117" s="1187">
        <v>0</v>
      </c>
      <c r="G1117" s="761" t="s">
        <v>631</v>
      </c>
      <c r="H1117" s="767"/>
      <c r="I1117" s="767"/>
      <c r="J1117" s="1187">
        <v>0</v>
      </c>
      <c r="K1117" s="1188">
        <v>0</v>
      </c>
    </row>
    <row r="1118" spans="1:11" ht="40.799999999999997" x14ac:dyDescent="0.3">
      <c r="A1118" s="761" t="s">
        <v>235</v>
      </c>
      <c r="B1118" s="765">
        <v>2020</v>
      </c>
      <c r="C1118" s="761" t="s">
        <v>2350</v>
      </c>
      <c r="D1118" s="761" t="s">
        <v>634</v>
      </c>
      <c r="E1118" s="761" t="s">
        <v>1249</v>
      </c>
      <c r="F1118" s="1187">
        <v>0</v>
      </c>
      <c r="G1118" s="761" t="s">
        <v>631</v>
      </c>
      <c r="H1118" s="767"/>
      <c r="I1118" s="767"/>
      <c r="J1118" s="1187">
        <v>0</v>
      </c>
      <c r="K1118" s="1188">
        <v>0</v>
      </c>
    </row>
    <row r="1119" spans="1:11" ht="40.799999999999997" x14ac:dyDescent="0.3">
      <c r="A1119" s="761" t="s">
        <v>235</v>
      </c>
      <c r="B1119" s="765">
        <v>2020</v>
      </c>
      <c r="C1119" s="761" t="s">
        <v>2350</v>
      </c>
      <c r="D1119" s="761" t="s">
        <v>635</v>
      </c>
      <c r="E1119" s="761" t="s">
        <v>1250</v>
      </c>
      <c r="F1119" s="1187">
        <v>0</v>
      </c>
      <c r="G1119" s="761" t="s">
        <v>631</v>
      </c>
      <c r="H1119" s="767"/>
      <c r="I1119" s="767"/>
      <c r="J1119" s="1187">
        <v>0</v>
      </c>
      <c r="K1119" s="1188">
        <v>0</v>
      </c>
    </row>
    <row r="1120" spans="1:11" ht="40.799999999999997" x14ac:dyDescent="0.3">
      <c r="A1120" s="761" t="s">
        <v>235</v>
      </c>
      <c r="B1120" s="765">
        <v>2020</v>
      </c>
      <c r="C1120" s="761" t="s">
        <v>2350</v>
      </c>
      <c r="D1120" s="761" t="s">
        <v>636</v>
      </c>
      <c r="E1120" s="761" t="s">
        <v>1251</v>
      </c>
      <c r="F1120" s="1187">
        <v>0</v>
      </c>
      <c r="G1120" s="761" t="s">
        <v>631</v>
      </c>
      <c r="H1120" s="767"/>
      <c r="I1120" s="767"/>
      <c r="J1120" s="1187">
        <v>0</v>
      </c>
      <c r="K1120" s="1188">
        <v>0</v>
      </c>
    </row>
    <row r="1121" spans="1:11" ht="40.799999999999997" x14ac:dyDescent="0.3">
      <c r="A1121" s="761" t="s">
        <v>235</v>
      </c>
      <c r="B1121" s="765">
        <v>2020</v>
      </c>
      <c r="C1121" s="761" t="s">
        <v>2350</v>
      </c>
      <c r="D1121" s="761" t="s">
        <v>637</v>
      </c>
      <c r="E1121" s="761" t="s">
        <v>1252</v>
      </c>
      <c r="F1121" s="1187">
        <v>0</v>
      </c>
      <c r="G1121" s="761" t="s">
        <v>631</v>
      </c>
      <c r="H1121" s="767"/>
      <c r="I1121" s="767"/>
      <c r="J1121" s="1187">
        <v>0</v>
      </c>
      <c r="K1121" s="1188">
        <v>0</v>
      </c>
    </row>
    <row r="1122" spans="1:11" ht="40.799999999999997" x14ac:dyDescent="0.3">
      <c r="A1122" s="761" t="s">
        <v>235</v>
      </c>
      <c r="B1122" s="765">
        <v>2020</v>
      </c>
      <c r="C1122" s="761" t="s">
        <v>2350</v>
      </c>
      <c r="D1122" s="761" t="s">
        <v>638</v>
      </c>
      <c r="E1122" s="761" t="s">
        <v>1253</v>
      </c>
      <c r="F1122" s="1187">
        <v>0</v>
      </c>
      <c r="G1122" s="761" t="s">
        <v>631</v>
      </c>
      <c r="H1122" s="767"/>
      <c r="I1122" s="767"/>
      <c r="J1122" s="1187">
        <v>0</v>
      </c>
      <c r="K1122" s="1188">
        <v>0</v>
      </c>
    </row>
    <row r="1123" spans="1:11" ht="40.799999999999997" x14ac:dyDescent="0.3">
      <c r="A1123" s="761" t="s">
        <v>235</v>
      </c>
      <c r="B1123" s="765">
        <v>2020</v>
      </c>
      <c r="C1123" s="761" t="s">
        <v>2350</v>
      </c>
      <c r="D1123" s="761" t="s">
        <v>639</v>
      </c>
      <c r="E1123" s="761" t="s">
        <v>1254</v>
      </c>
      <c r="F1123" s="1187">
        <v>0</v>
      </c>
      <c r="G1123" s="761" t="s">
        <v>631</v>
      </c>
      <c r="H1123" s="767"/>
      <c r="I1123" s="767"/>
      <c r="J1123" s="1187">
        <v>0</v>
      </c>
      <c r="K1123" s="1188">
        <v>0</v>
      </c>
    </row>
    <row r="1124" spans="1:11" ht="40.799999999999997" x14ac:dyDescent="0.3">
      <c r="A1124" s="761" t="s">
        <v>235</v>
      </c>
      <c r="B1124" s="765">
        <v>2020</v>
      </c>
      <c r="C1124" s="761" t="s">
        <v>2350</v>
      </c>
      <c r="D1124" s="761" t="s">
        <v>1613</v>
      </c>
      <c r="E1124" s="761" t="s">
        <v>1989</v>
      </c>
      <c r="F1124" s="1187">
        <v>0</v>
      </c>
      <c r="G1124" s="761" t="s">
        <v>631</v>
      </c>
      <c r="H1124" s="767"/>
      <c r="I1124" s="767"/>
      <c r="J1124" s="1187">
        <v>0</v>
      </c>
      <c r="K1124" s="1188">
        <v>0</v>
      </c>
    </row>
    <row r="1125" spans="1:11" ht="40.799999999999997" x14ac:dyDescent="0.3">
      <c r="A1125" s="761" t="s">
        <v>235</v>
      </c>
      <c r="B1125" s="765">
        <v>2020</v>
      </c>
      <c r="C1125" s="761" t="s">
        <v>2350</v>
      </c>
      <c r="D1125" s="761" t="s">
        <v>2067</v>
      </c>
      <c r="E1125" s="761" t="s">
        <v>2103</v>
      </c>
      <c r="F1125" s="1187">
        <v>0</v>
      </c>
      <c r="G1125" s="761" t="s">
        <v>631</v>
      </c>
      <c r="H1125" s="767"/>
      <c r="I1125" s="1187">
        <v>-6176</v>
      </c>
      <c r="J1125" s="1187">
        <v>-6176</v>
      </c>
      <c r="K1125" s="1188">
        <v>-6176</v>
      </c>
    </row>
    <row r="1126" spans="1:11" ht="40.799999999999997" x14ac:dyDescent="0.3">
      <c r="A1126" s="761" t="s">
        <v>235</v>
      </c>
      <c r="B1126" s="765">
        <v>2020</v>
      </c>
      <c r="C1126" s="761" t="s">
        <v>2350</v>
      </c>
      <c r="D1126" s="761" t="s">
        <v>3762</v>
      </c>
      <c r="E1126" s="761" t="s">
        <v>4361</v>
      </c>
      <c r="F1126" s="1187">
        <v>0</v>
      </c>
      <c r="G1126" s="761" t="s">
        <v>631</v>
      </c>
      <c r="H1126" s="1187">
        <v>-10399</v>
      </c>
      <c r="I1126" s="1187">
        <v>29819</v>
      </c>
      <c r="J1126" s="1187">
        <v>19420</v>
      </c>
      <c r="K1126" s="1188">
        <v>19420</v>
      </c>
    </row>
    <row r="1127" spans="1:11" ht="40.799999999999997" x14ac:dyDescent="0.3">
      <c r="A1127" s="761" t="s">
        <v>235</v>
      </c>
      <c r="B1127" s="765">
        <v>2020</v>
      </c>
      <c r="C1127" s="761" t="s">
        <v>2350</v>
      </c>
      <c r="D1127" s="761" t="s">
        <v>4844</v>
      </c>
      <c r="E1127" s="761" t="s">
        <v>5816</v>
      </c>
      <c r="F1127" s="1187">
        <v>0</v>
      </c>
      <c r="G1127" s="761" t="s">
        <v>631</v>
      </c>
      <c r="H1127" s="1187">
        <v>-53766</v>
      </c>
      <c r="I1127" s="1187">
        <v>8040</v>
      </c>
      <c r="J1127" s="1187">
        <v>-45726</v>
      </c>
      <c r="K1127" s="1188">
        <v>-45726</v>
      </c>
    </row>
    <row r="1128" spans="1:11" ht="40.799999999999997" x14ac:dyDescent="0.3">
      <c r="A1128" s="761" t="s">
        <v>235</v>
      </c>
      <c r="B1128" s="765">
        <v>2020</v>
      </c>
      <c r="C1128" s="761" t="s">
        <v>2350</v>
      </c>
      <c r="D1128" s="761" t="s">
        <v>7101</v>
      </c>
      <c r="E1128" s="761" t="s">
        <v>7183</v>
      </c>
      <c r="F1128" s="1187">
        <v>0</v>
      </c>
      <c r="G1128" s="761" t="s">
        <v>631</v>
      </c>
      <c r="H1128" s="767"/>
      <c r="I1128" s="767"/>
      <c r="J1128" s="1187">
        <v>0</v>
      </c>
      <c r="K1128" s="1188">
        <v>0</v>
      </c>
    </row>
    <row r="1129" spans="1:11" ht="40.799999999999997" x14ac:dyDescent="0.3">
      <c r="A1129" s="761" t="s">
        <v>235</v>
      </c>
      <c r="B1129" s="765">
        <v>2020</v>
      </c>
      <c r="C1129" s="761" t="s">
        <v>2350</v>
      </c>
      <c r="D1129" s="761" t="s">
        <v>640</v>
      </c>
      <c r="E1129" s="761" t="s">
        <v>1379</v>
      </c>
      <c r="F1129" s="1187">
        <v>-32482</v>
      </c>
      <c r="G1129" s="766"/>
      <c r="H1129" s="767"/>
      <c r="I1129" s="767"/>
      <c r="J1129" s="1187">
        <v>0</v>
      </c>
      <c r="K1129" s="1188">
        <v>-32482</v>
      </c>
    </row>
    <row r="1130" spans="1:11" x14ac:dyDescent="0.3">
      <c r="A1130" s="761" t="s">
        <v>203</v>
      </c>
      <c r="B1130" s="765">
        <v>2020</v>
      </c>
      <c r="C1130" s="761" t="s">
        <v>2342</v>
      </c>
      <c r="D1130" s="761" t="s">
        <v>45</v>
      </c>
      <c r="E1130" s="761" t="s">
        <v>913</v>
      </c>
      <c r="F1130" s="1187">
        <v>0</v>
      </c>
      <c r="G1130" s="761" t="s">
        <v>631</v>
      </c>
      <c r="H1130" s="767"/>
      <c r="I1130" s="767"/>
      <c r="J1130" s="1187">
        <v>0</v>
      </c>
      <c r="K1130" s="1188">
        <v>0</v>
      </c>
    </row>
    <row r="1131" spans="1:11" ht="30.6" x14ac:dyDescent="0.3">
      <c r="A1131" s="761" t="s">
        <v>203</v>
      </c>
      <c r="B1131" s="765">
        <v>2020</v>
      </c>
      <c r="C1131" s="761" t="s">
        <v>2343</v>
      </c>
      <c r="D1131" s="761" t="s">
        <v>632</v>
      </c>
      <c r="E1131" s="761" t="s">
        <v>914</v>
      </c>
      <c r="F1131" s="1187">
        <v>-81278.33</v>
      </c>
      <c r="G1131" s="761" t="s">
        <v>631</v>
      </c>
      <c r="H1131" s="1187">
        <v>-77330.6171875</v>
      </c>
      <c r="I1131" s="1187">
        <v>-3947.71166992188</v>
      </c>
      <c r="J1131" s="1187">
        <v>-81278.328125</v>
      </c>
      <c r="K1131" s="1188">
        <v>-81278.33</v>
      </c>
    </row>
    <row r="1132" spans="1:11" ht="20.399999999999999" x14ac:dyDescent="0.3">
      <c r="A1132" s="761" t="s">
        <v>203</v>
      </c>
      <c r="B1132" s="765">
        <v>2020</v>
      </c>
      <c r="C1132" s="761" t="s">
        <v>2344</v>
      </c>
      <c r="D1132" s="761" t="s">
        <v>452</v>
      </c>
      <c r="E1132" s="761" t="s">
        <v>915</v>
      </c>
      <c r="F1132" s="1187">
        <v>0</v>
      </c>
      <c r="G1132" s="766"/>
      <c r="H1132" s="767"/>
      <c r="I1132" s="767"/>
      <c r="J1132" s="1187">
        <v>0</v>
      </c>
      <c r="K1132" s="1188">
        <v>0</v>
      </c>
    </row>
    <row r="1133" spans="1:11" ht="20.399999999999999" x14ac:dyDescent="0.3">
      <c r="A1133" s="761" t="s">
        <v>203</v>
      </c>
      <c r="B1133" s="765">
        <v>2020</v>
      </c>
      <c r="C1133" s="761" t="s">
        <v>2345</v>
      </c>
      <c r="D1133" s="761" t="s">
        <v>42</v>
      </c>
      <c r="E1133" s="761" t="s">
        <v>916</v>
      </c>
      <c r="F1133" s="1187">
        <v>-1760132</v>
      </c>
      <c r="G1133" s="761" t="s">
        <v>631</v>
      </c>
      <c r="H1133" s="1187">
        <v>-1705157</v>
      </c>
      <c r="I1133" s="1187">
        <v>-54974.94921875</v>
      </c>
      <c r="J1133" s="1187">
        <v>-1760132</v>
      </c>
      <c r="K1133" s="1188">
        <v>-1760132</v>
      </c>
    </row>
    <row r="1134" spans="1:11" ht="20.399999999999999" x14ac:dyDescent="0.3">
      <c r="A1134" s="761" t="s">
        <v>203</v>
      </c>
      <c r="B1134" s="765">
        <v>2020</v>
      </c>
      <c r="C1134" s="761" t="s">
        <v>2345</v>
      </c>
      <c r="D1134" s="761" t="s">
        <v>2063</v>
      </c>
      <c r="E1134" s="761" t="s">
        <v>916</v>
      </c>
      <c r="F1134" s="1187">
        <v>0</v>
      </c>
      <c r="G1134" s="766"/>
      <c r="H1134" s="767"/>
      <c r="I1134" s="767"/>
      <c r="J1134" s="1187">
        <v>0</v>
      </c>
      <c r="K1134" s="1188">
        <v>0</v>
      </c>
    </row>
    <row r="1135" spans="1:11" ht="20.399999999999999" x14ac:dyDescent="0.3">
      <c r="A1135" s="761" t="s">
        <v>203</v>
      </c>
      <c r="B1135" s="765">
        <v>2020</v>
      </c>
      <c r="C1135" s="761" t="s">
        <v>2345</v>
      </c>
      <c r="D1135" s="761" t="s">
        <v>2064</v>
      </c>
      <c r="E1135" s="761" t="s">
        <v>916</v>
      </c>
      <c r="F1135" s="1187">
        <v>0</v>
      </c>
      <c r="G1135" s="766"/>
      <c r="H1135" s="767"/>
      <c r="I1135" s="767"/>
      <c r="J1135" s="1187">
        <v>0</v>
      </c>
      <c r="K1135" s="1188">
        <v>0</v>
      </c>
    </row>
    <row r="1136" spans="1:11" ht="20.399999999999999" x14ac:dyDescent="0.3">
      <c r="A1136" s="761" t="s">
        <v>203</v>
      </c>
      <c r="B1136" s="765">
        <v>2020</v>
      </c>
      <c r="C1136" s="761" t="s">
        <v>2345</v>
      </c>
      <c r="D1136" s="761" t="s">
        <v>2065</v>
      </c>
      <c r="E1136" s="761" t="s">
        <v>916</v>
      </c>
      <c r="F1136" s="1187">
        <v>-2333.4910089999998</v>
      </c>
      <c r="G1136" s="766"/>
      <c r="H1136" s="767"/>
      <c r="I1136" s="767"/>
      <c r="J1136" s="1187">
        <v>0</v>
      </c>
      <c r="K1136" s="1188">
        <v>-2333.4910089999998</v>
      </c>
    </row>
    <row r="1137" spans="1:11" ht="20.399999999999999" x14ac:dyDescent="0.3">
      <c r="A1137" s="761" t="s">
        <v>203</v>
      </c>
      <c r="B1137" s="765">
        <v>2020</v>
      </c>
      <c r="C1137" s="761" t="s">
        <v>2345</v>
      </c>
      <c r="D1137" s="761" t="s">
        <v>2066</v>
      </c>
      <c r="E1137" s="761" t="s">
        <v>916</v>
      </c>
      <c r="F1137" s="1187">
        <v>-76916.438529999999</v>
      </c>
      <c r="G1137" s="766"/>
      <c r="H1137" s="767"/>
      <c r="I1137" s="767"/>
      <c r="J1137" s="1187">
        <v>0</v>
      </c>
      <c r="K1137" s="1188">
        <v>-76916.438529999999</v>
      </c>
    </row>
    <row r="1138" spans="1:11" ht="30.6" x14ac:dyDescent="0.3">
      <c r="A1138" s="761" t="s">
        <v>203</v>
      </c>
      <c r="B1138" s="765">
        <v>2020</v>
      </c>
      <c r="C1138" s="761" t="s">
        <v>2346</v>
      </c>
      <c r="D1138" s="761" t="s">
        <v>43</v>
      </c>
      <c r="E1138" s="761" t="s">
        <v>917</v>
      </c>
      <c r="F1138" s="1187">
        <v>3610519</v>
      </c>
      <c r="G1138" s="761" t="s">
        <v>631</v>
      </c>
      <c r="H1138" s="1187">
        <v>3515873</v>
      </c>
      <c r="I1138" s="1187">
        <v>94646.0390625</v>
      </c>
      <c r="J1138" s="1187">
        <v>3610519</v>
      </c>
      <c r="K1138" s="1188">
        <v>3610519</v>
      </c>
    </row>
    <row r="1139" spans="1:11" ht="30.6" x14ac:dyDescent="0.3">
      <c r="A1139" s="761" t="s">
        <v>203</v>
      </c>
      <c r="B1139" s="765">
        <v>2020</v>
      </c>
      <c r="C1139" s="761" t="s">
        <v>2347</v>
      </c>
      <c r="D1139" s="761" t="s">
        <v>44</v>
      </c>
      <c r="E1139" s="761" t="s">
        <v>918</v>
      </c>
      <c r="F1139" s="1187">
        <v>-3760332</v>
      </c>
      <c r="G1139" s="761" t="s">
        <v>631</v>
      </c>
      <c r="H1139" s="1187">
        <v>-3652579.25</v>
      </c>
      <c r="I1139" s="1187">
        <v>-107752.671875</v>
      </c>
      <c r="J1139" s="1187">
        <v>-3760332</v>
      </c>
      <c r="K1139" s="1188">
        <v>-3760332</v>
      </c>
    </row>
    <row r="1140" spans="1:11" ht="30.6" x14ac:dyDescent="0.3">
      <c r="A1140" s="761" t="s">
        <v>203</v>
      </c>
      <c r="B1140" s="765">
        <v>2020</v>
      </c>
      <c r="C1140" s="761" t="s">
        <v>2348</v>
      </c>
      <c r="D1140" s="761" t="s">
        <v>46</v>
      </c>
      <c r="E1140" s="761" t="s">
        <v>919</v>
      </c>
      <c r="F1140" s="1187">
        <v>-2123389</v>
      </c>
      <c r="G1140" s="761" t="s">
        <v>631</v>
      </c>
      <c r="H1140" s="1187">
        <v>-2093868.375</v>
      </c>
      <c r="I1140" s="1187">
        <v>-29520.66015625</v>
      </c>
      <c r="J1140" s="1187">
        <v>-2123389</v>
      </c>
      <c r="K1140" s="1188">
        <v>-2123389</v>
      </c>
    </row>
    <row r="1141" spans="1:11" ht="20.399999999999999" x14ac:dyDescent="0.3">
      <c r="A1141" s="761" t="s">
        <v>203</v>
      </c>
      <c r="B1141" s="765">
        <v>2020</v>
      </c>
      <c r="C1141" s="761" t="s">
        <v>2349</v>
      </c>
      <c r="D1141" s="761" t="s">
        <v>339</v>
      </c>
      <c r="E1141" s="761" t="s">
        <v>920</v>
      </c>
      <c r="F1141" s="1187">
        <v>-2272842.06</v>
      </c>
      <c r="G1141" s="761" t="s">
        <v>631</v>
      </c>
      <c r="H1141" s="1187">
        <v>-2191106.75</v>
      </c>
      <c r="I1141" s="1187">
        <v>-81735.203125</v>
      </c>
      <c r="J1141" s="1187">
        <v>-2272842</v>
      </c>
      <c r="K1141" s="1188">
        <v>-2272842.06</v>
      </c>
    </row>
    <row r="1142" spans="1:11" ht="40.799999999999997" x14ac:dyDescent="0.3">
      <c r="A1142" s="761" t="s">
        <v>203</v>
      </c>
      <c r="B1142" s="765">
        <v>2020</v>
      </c>
      <c r="C1142" s="761" t="s">
        <v>2350</v>
      </c>
      <c r="D1142" s="761" t="s">
        <v>633</v>
      </c>
      <c r="E1142" s="761" t="s">
        <v>1255</v>
      </c>
      <c r="F1142" s="1187">
        <v>0</v>
      </c>
      <c r="G1142" s="761" t="s">
        <v>631</v>
      </c>
      <c r="H1142" s="767"/>
      <c r="I1142" s="767"/>
      <c r="J1142" s="1187">
        <v>0</v>
      </c>
      <c r="K1142" s="1188">
        <v>0</v>
      </c>
    </row>
    <row r="1143" spans="1:11" ht="40.799999999999997" x14ac:dyDescent="0.3">
      <c r="A1143" s="761" t="s">
        <v>203</v>
      </c>
      <c r="B1143" s="765">
        <v>2020</v>
      </c>
      <c r="C1143" s="761" t="s">
        <v>2350</v>
      </c>
      <c r="D1143" s="761" t="s">
        <v>634</v>
      </c>
      <c r="E1143" s="761" t="s">
        <v>1256</v>
      </c>
      <c r="F1143" s="1187">
        <v>0</v>
      </c>
      <c r="G1143" s="761" t="s">
        <v>631</v>
      </c>
      <c r="H1143" s="767"/>
      <c r="I1143" s="767"/>
      <c r="J1143" s="1187">
        <v>0</v>
      </c>
      <c r="K1143" s="1188">
        <v>0</v>
      </c>
    </row>
    <row r="1144" spans="1:11" ht="40.799999999999997" x14ac:dyDescent="0.3">
      <c r="A1144" s="761" t="s">
        <v>203</v>
      </c>
      <c r="B1144" s="765">
        <v>2020</v>
      </c>
      <c r="C1144" s="761" t="s">
        <v>2350</v>
      </c>
      <c r="D1144" s="761" t="s">
        <v>635</v>
      </c>
      <c r="E1144" s="761" t="s">
        <v>1257</v>
      </c>
      <c r="F1144" s="1187">
        <v>0</v>
      </c>
      <c r="G1144" s="761" t="s">
        <v>631</v>
      </c>
      <c r="H1144" s="767"/>
      <c r="I1144" s="767"/>
      <c r="J1144" s="1187">
        <v>0</v>
      </c>
      <c r="K1144" s="1188">
        <v>0</v>
      </c>
    </row>
    <row r="1145" spans="1:11" ht="40.799999999999997" x14ac:dyDescent="0.3">
      <c r="A1145" s="761" t="s">
        <v>203</v>
      </c>
      <c r="B1145" s="765">
        <v>2020</v>
      </c>
      <c r="C1145" s="761" t="s">
        <v>2350</v>
      </c>
      <c r="D1145" s="761" t="s">
        <v>636</v>
      </c>
      <c r="E1145" s="761" t="s">
        <v>1258</v>
      </c>
      <c r="F1145" s="1187">
        <v>0</v>
      </c>
      <c r="G1145" s="761" t="s">
        <v>631</v>
      </c>
      <c r="H1145" s="767"/>
      <c r="I1145" s="767"/>
      <c r="J1145" s="1187">
        <v>0</v>
      </c>
      <c r="K1145" s="1188">
        <v>0</v>
      </c>
    </row>
    <row r="1146" spans="1:11" ht="40.799999999999997" x14ac:dyDescent="0.3">
      <c r="A1146" s="761" t="s">
        <v>203</v>
      </c>
      <c r="B1146" s="765">
        <v>2020</v>
      </c>
      <c r="C1146" s="761" t="s">
        <v>2350</v>
      </c>
      <c r="D1146" s="761" t="s">
        <v>637</v>
      </c>
      <c r="E1146" s="761" t="s">
        <v>1259</v>
      </c>
      <c r="F1146" s="1187">
        <v>0</v>
      </c>
      <c r="G1146" s="761" t="s">
        <v>631</v>
      </c>
      <c r="H1146" s="767"/>
      <c r="I1146" s="767"/>
      <c r="J1146" s="1187">
        <v>0</v>
      </c>
      <c r="K1146" s="1188">
        <v>0</v>
      </c>
    </row>
    <row r="1147" spans="1:11" ht="40.799999999999997" x14ac:dyDescent="0.3">
      <c r="A1147" s="761" t="s">
        <v>203</v>
      </c>
      <c r="B1147" s="765">
        <v>2020</v>
      </c>
      <c r="C1147" s="761" t="s">
        <v>2350</v>
      </c>
      <c r="D1147" s="761" t="s">
        <v>638</v>
      </c>
      <c r="E1147" s="761" t="s">
        <v>1260</v>
      </c>
      <c r="F1147" s="1187">
        <v>0</v>
      </c>
      <c r="G1147" s="761" t="s">
        <v>631</v>
      </c>
      <c r="H1147" s="767"/>
      <c r="I1147" s="767"/>
      <c r="J1147" s="1187">
        <v>0</v>
      </c>
      <c r="K1147" s="1188">
        <v>0</v>
      </c>
    </row>
    <row r="1148" spans="1:11" ht="40.799999999999997" x14ac:dyDescent="0.3">
      <c r="A1148" s="761" t="s">
        <v>203</v>
      </c>
      <c r="B1148" s="765">
        <v>2020</v>
      </c>
      <c r="C1148" s="761" t="s">
        <v>2350</v>
      </c>
      <c r="D1148" s="761" t="s">
        <v>639</v>
      </c>
      <c r="E1148" s="761" t="s">
        <v>1261</v>
      </c>
      <c r="F1148" s="1187">
        <v>0</v>
      </c>
      <c r="G1148" s="761" t="s">
        <v>631</v>
      </c>
      <c r="H1148" s="767"/>
      <c r="I1148" s="767"/>
      <c r="J1148" s="1187">
        <v>0</v>
      </c>
      <c r="K1148" s="1188">
        <v>0</v>
      </c>
    </row>
    <row r="1149" spans="1:11" ht="40.799999999999997" x14ac:dyDescent="0.3">
      <c r="A1149" s="761" t="s">
        <v>203</v>
      </c>
      <c r="B1149" s="765">
        <v>2020</v>
      </c>
      <c r="C1149" s="761" t="s">
        <v>2350</v>
      </c>
      <c r="D1149" s="761" t="s">
        <v>1613</v>
      </c>
      <c r="E1149" s="761" t="s">
        <v>1990</v>
      </c>
      <c r="F1149" s="1187">
        <v>0</v>
      </c>
      <c r="G1149" s="761" t="s">
        <v>631</v>
      </c>
      <c r="H1149" s="1187">
        <v>2403630</v>
      </c>
      <c r="I1149" s="1187">
        <v>131343</v>
      </c>
      <c r="J1149" s="1187">
        <v>2534973</v>
      </c>
      <c r="K1149" s="1188">
        <v>2534973</v>
      </c>
    </row>
    <row r="1150" spans="1:11" ht="40.799999999999997" x14ac:dyDescent="0.3">
      <c r="A1150" s="761" t="s">
        <v>203</v>
      </c>
      <c r="B1150" s="765">
        <v>2020</v>
      </c>
      <c r="C1150" s="761" t="s">
        <v>2350</v>
      </c>
      <c r="D1150" s="761" t="s">
        <v>2067</v>
      </c>
      <c r="E1150" s="761" t="s">
        <v>2104</v>
      </c>
      <c r="F1150" s="1187">
        <v>0</v>
      </c>
      <c r="G1150" s="761" t="s">
        <v>631</v>
      </c>
      <c r="H1150" s="767"/>
      <c r="I1150" s="767"/>
      <c r="J1150" s="1187">
        <v>0</v>
      </c>
      <c r="K1150" s="1188">
        <v>0</v>
      </c>
    </row>
    <row r="1151" spans="1:11" ht="40.799999999999997" x14ac:dyDescent="0.3">
      <c r="A1151" s="761" t="s">
        <v>203</v>
      </c>
      <c r="B1151" s="765">
        <v>2020</v>
      </c>
      <c r="C1151" s="761" t="s">
        <v>2350</v>
      </c>
      <c r="D1151" s="761" t="s">
        <v>3762</v>
      </c>
      <c r="E1151" s="761" t="s">
        <v>4362</v>
      </c>
      <c r="F1151" s="1187">
        <v>0</v>
      </c>
      <c r="G1151" s="761" t="s">
        <v>631</v>
      </c>
      <c r="H1151" s="1187">
        <v>-2928970</v>
      </c>
      <c r="I1151" s="1187">
        <v>5055</v>
      </c>
      <c r="J1151" s="1187">
        <v>-2923915</v>
      </c>
      <c r="K1151" s="1188">
        <v>-2923915</v>
      </c>
    </row>
    <row r="1152" spans="1:11" ht="40.799999999999997" x14ac:dyDescent="0.3">
      <c r="A1152" s="761" t="s">
        <v>203</v>
      </c>
      <c r="B1152" s="765">
        <v>2020</v>
      </c>
      <c r="C1152" s="761" t="s">
        <v>2350</v>
      </c>
      <c r="D1152" s="761" t="s">
        <v>4844</v>
      </c>
      <c r="E1152" s="761" t="s">
        <v>5817</v>
      </c>
      <c r="F1152" s="1187">
        <v>0</v>
      </c>
      <c r="G1152" s="761" t="s">
        <v>631</v>
      </c>
      <c r="H1152" s="767"/>
      <c r="I1152" s="767"/>
      <c r="J1152" s="1187">
        <v>0</v>
      </c>
      <c r="K1152" s="1188">
        <v>0</v>
      </c>
    </row>
    <row r="1153" spans="1:11" ht="40.799999999999997" x14ac:dyDescent="0.3">
      <c r="A1153" s="761" t="s">
        <v>203</v>
      </c>
      <c r="B1153" s="765">
        <v>2020</v>
      </c>
      <c r="C1153" s="761" t="s">
        <v>2350</v>
      </c>
      <c r="D1153" s="761" t="s">
        <v>7101</v>
      </c>
      <c r="E1153" s="761" t="s">
        <v>7184</v>
      </c>
      <c r="F1153" s="1187">
        <v>0</v>
      </c>
      <c r="G1153" s="761" t="s">
        <v>631</v>
      </c>
      <c r="H1153" s="1187">
        <v>190512</v>
      </c>
      <c r="I1153" s="1187">
        <v>0</v>
      </c>
      <c r="J1153" s="1187">
        <v>190512</v>
      </c>
      <c r="K1153" s="1188">
        <v>190512</v>
      </c>
    </row>
    <row r="1154" spans="1:11" ht="40.799999999999997" x14ac:dyDescent="0.3">
      <c r="A1154" s="761" t="s">
        <v>203</v>
      </c>
      <c r="B1154" s="765">
        <v>2020</v>
      </c>
      <c r="C1154" s="761" t="s">
        <v>2350</v>
      </c>
      <c r="D1154" s="761" t="s">
        <v>640</v>
      </c>
      <c r="E1154" s="761" t="s">
        <v>1380</v>
      </c>
      <c r="F1154" s="1187">
        <v>-198430</v>
      </c>
      <c r="G1154" s="766"/>
      <c r="H1154" s="767"/>
      <c r="I1154" s="767"/>
      <c r="J1154" s="1187">
        <v>0</v>
      </c>
      <c r="K1154" s="1188">
        <v>-198430</v>
      </c>
    </row>
    <row r="1155" spans="1:11" x14ac:dyDescent="0.3">
      <c r="A1155" s="761" t="s">
        <v>187</v>
      </c>
      <c r="B1155" s="765">
        <v>2020</v>
      </c>
      <c r="C1155" s="761" t="s">
        <v>2342</v>
      </c>
      <c r="D1155" s="761" t="s">
        <v>45</v>
      </c>
      <c r="E1155" s="761" t="s">
        <v>921</v>
      </c>
      <c r="F1155" s="1187">
        <v>769606.02</v>
      </c>
      <c r="G1155" s="761" t="s">
        <v>631</v>
      </c>
      <c r="H1155" s="1187">
        <v>744012.3125</v>
      </c>
      <c r="I1155" s="1187">
        <v>25593.7109375</v>
      </c>
      <c r="J1155" s="1187">
        <v>769606</v>
      </c>
      <c r="K1155" s="1188">
        <v>769606.02</v>
      </c>
    </row>
    <row r="1156" spans="1:11" ht="30.6" x14ac:dyDescent="0.3">
      <c r="A1156" s="761" t="s">
        <v>187</v>
      </c>
      <c r="B1156" s="765">
        <v>2020</v>
      </c>
      <c r="C1156" s="761" t="s">
        <v>2343</v>
      </c>
      <c r="D1156" s="761" t="s">
        <v>632</v>
      </c>
      <c r="E1156" s="761" t="s">
        <v>922</v>
      </c>
      <c r="F1156" s="1187">
        <v>-11986.18</v>
      </c>
      <c r="G1156" s="761" t="s">
        <v>631</v>
      </c>
      <c r="H1156" s="1187">
        <v>-11536.419921875</v>
      </c>
      <c r="I1156" s="1187">
        <v>-449.760009765625</v>
      </c>
      <c r="J1156" s="1187">
        <v>-11986.1796875</v>
      </c>
      <c r="K1156" s="1188">
        <v>-11986.18</v>
      </c>
    </row>
    <row r="1157" spans="1:11" ht="20.399999999999999" x14ac:dyDescent="0.3">
      <c r="A1157" s="761" t="s">
        <v>187</v>
      </c>
      <c r="B1157" s="765">
        <v>2020</v>
      </c>
      <c r="C1157" s="761" t="s">
        <v>2344</v>
      </c>
      <c r="D1157" s="761" t="s">
        <v>452</v>
      </c>
      <c r="E1157" s="761" t="s">
        <v>923</v>
      </c>
      <c r="F1157" s="1187">
        <v>0</v>
      </c>
      <c r="G1157" s="766"/>
      <c r="H1157" s="767"/>
      <c r="I1157" s="767"/>
      <c r="J1157" s="1187">
        <v>0</v>
      </c>
      <c r="K1157" s="1188">
        <v>0</v>
      </c>
    </row>
    <row r="1158" spans="1:11" ht="20.399999999999999" x14ac:dyDescent="0.3">
      <c r="A1158" s="761" t="s">
        <v>187</v>
      </c>
      <c r="B1158" s="765">
        <v>2020</v>
      </c>
      <c r="C1158" s="761" t="s">
        <v>2345</v>
      </c>
      <c r="D1158" s="761" t="s">
        <v>42</v>
      </c>
      <c r="E1158" s="761" t="s">
        <v>924</v>
      </c>
      <c r="F1158" s="1187">
        <v>-205851.08</v>
      </c>
      <c r="G1158" s="761" t="s">
        <v>631</v>
      </c>
      <c r="H1158" s="1187">
        <v>-198537.84375</v>
      </c>
      <c r="I1158" s="1187">
        <v>-7313.240234375</v>
      </c>
      <c r="J1158" s="1187">
        <v>-205851.078125</v>
      </c>
      <c r="K1158" s="1188">
        <v>-205851.08</v>
      </c>
    </row>
    <row r="1159" spans="1:11" ht="20.399999999999999" x14ac:dyDescent="0.3">
      <c r="A1159" s="761" t="s">
        <v>187</v>
      </c>
      <c r="B1159" s="765">
        <v>2020</v>
      </c>
      <c r="C1159" s="761" t="s">
        <v>2345</v>
      </c>
      <c r="D1159" s="761" t="s">
        <v>2063</v>
      </c>
      <c r="E1159" s="761" t="s">
        <v>924</v>
      </c>
      <c r="F1159" s="1187">
        <v>0</v>
      </c>
      <c r="G1159" s="766"/>
      <c r="H1159" s="767"/>
      <c r="I1159" s="767"/>
      <c r="J1159" s="1187">
        <v>0</v>
      </c>
      <c r="K1159" s="1188">
        <v>0</v>
      </c>
    </row>
    <row r="1160" spans="1:11" ht="20.399999999999999" x14ac:dyDescent="0.3">
      <c r="A1160" s="761" t="s">
        <v>187</v>
      </c>
      <c r="B1160" s="765">
        <v>2020</v>
      </c>
      <c r="C1160" s="761" t="s">
        <v>2345</v>
      </c>
      <c r="D1160" s="761" t="s">
        <v>2064</v>
      </c>
      <c r="E1160" s="761" t="s">
        <v>924</v>
      </c>
      <c r="F1160" s="1187">
        <v>0</v>
      </c>
      <c r="G1160" s="766"/>
      <c r="H1160" s="767"/>
      <c r="I1160" s="767"/>
      <c r="J1160" s="1187">
        <v>0</v>
      </c>
      <c r="K1160" s="1188">
        <v>0</v>
      </c>
    </row>
    <row r="1161" spans="1:11" ht="20.399999999999999" x14ac:dyDescent="0.3">
      <c r="A1161" s="761" t="s">
        <v>187</v>
      </c>
      <c r="B1161" s="765">
        <v>2020</v>
      </c>
      <c r="C1161" s="761" t="s">
        <v>2345</v>
      </c>
      <c r="D1161" s="761" t="s">
        <v>2065</v>
      </c>
      <c r="E1161" s="761" t="s">
        <v>924</v>
      </c>
      <c r="F1161" s="1187">
        <v>0</v>
      </c>
      <c r="G1161" s="766"/>
      <c r="H1161" s="767"/>
      <c r="I1161" s="767"/>
      <c r="J1161" s="1187">
        <v>0</v>
      </c>
      <c r="K1161" s="1188">
        <v>0</v>
      </c>
    </row>
    <row r="1162" spans="1:11" ht="20.399999999999999" x14ac:dyDescent="0.3">
      <c r="A1162" s="761" t="s">
        <v>187</v>
      </c>
      <c r="B1162" s="765">
        <v>2020</v>
      </c>
      <c r="C1162" s="761" t="s">
        <v>2345</v>
      </c>
      <c r="D1162" s="761" t="s">
        <v>2066</v>
      </c>
      <c r="E1162" s="761" t="s">
        <v>924</v>
      </c>
      <c r="F1162" s="1187">
        <v>0</v>
      </c>
      <c r="G1162" s="766"/>
      <c r="H1162" s="767"/>
      <c r="I1162" s="767"/>
      <c r="J1162" s="1187">
        <v>0</v>
      </c>
      <c r="K1162" s="1188">
        <v>0</v>
      </c>
    </row>
    <row r="1163" spans="1:11" ht="30.6" x14ac:dyDescent="0.3">
      <c r="A1163" s="761" t="s">
        <v>187</v>
      </c>
      <c r="B1163" s="765">
        <v>2020</v>
      </c>
      <c r="C1163" s="761" t="s">
        <v>2346</v>
      </c>
      <c r="D1163" s="761" t="s">
        <v>43</v>
      </c>
      <c r="E1163" s="761" t="s">
        <v>925</v>
      </c>
      <c r="F1163" s="1187">
        <v>-189580.06</v>
      </c>
      <c r="G1163" s="761" t="s">
        <v>631</v>
      </c>
      <c r="H1163" s="1187">
        <v>-189087.09375</v>
      </c>
      <c r="I1163" s="1187">
        <v>-492.97000122070301</v>
      </c>
      <c r="J1163" s="1187">
        <v>-189580.0625</v>
      </c>
      <c r="K1163" s="1188">
        <v>-189580.06</v>
      </c>
    </row>
    <row r="1164" spans="1:11" ht="30.6" x14ac:dyDescent="0.3">
      <c r="A1164" s="761" t="s">
        <v>187</v>
      </c>
      <c r="B1164" s="765">
        <v>2020</v>
      </c>
      <c r="C1164" s="761" t="s">
        <v>2347</v>
      </c>
      <c r="D1164" s="761" t="s">
        <v>44</v>
      </c>
      <c r="E1164" s="761" t="s">
        <v>926</v>
      </c>
      <c r="F1164" s="1187">
        <v>-67054.73</v>
      </c>
      <c r="G1164" s="761" t="s">
        <v>631</v>
      </c>
      <c r="H1164" s="1187">
        <v>-69089.796875</v>
      </c>
      <c r="I1164" s="1187">
        <v>2035.06994628906</v>
      </c>
      <c r="J1164" s="1187">
        <v>-67054.7265625</v>
      </c>
      <c r="K1164" s="1188">
        <v>-67054.73</v>
      </c>
    </row>
    <row r="1165" spans="1:11" ht="30.6" x14ac:dyDescent="0.3">
      <c r="A1165" s="761" t="s">
        <v>187</v>
      </c>
      <c r="B1165" s="765">
        <v>2020</v>
      </c>
      <c r="C1165" s="761" t="s">
        <v>2348</v>
      </c>
      <c r="D1165" s="761" t="s">
        <v>46</v>
      </c>
      <c r="E1165" s="761" t="s">
        <v>927</v>
      </c>
      <c r="F1165" s="1187">
        <v>-1111502.67</v>
      </c>
      <c r="G1165" s="761" t="s">
        <v>631</v>
      </c>
      <c r="H1165" s="1187">
        <v>-1126060</v>
      </c>
      <c r="I1165" s="1187">
        <v>14557.3095703125</v>
      </c>
      <c r="J1165" s="1187">
        <v>-1111502.625</v>
      </c>
      <c r="K1165" s="1188">
        <v>-1111502.67</v>
      </c>
    </row>
    <row r="1166" spans="1:11" ht="20.399999999999999" x14ac:dyDescent="0.3">
      <c r="A1166" s="761" t="s">
        <v>187</v>
      </c>
      <c r="B1166" s="765">
        <v>2020</v>
      </c>
      <c r="C1166" s="761" t="s">
        <v>2349</v>
      </c>
      <c r="D1166" s="761" t="s">
        <v>339</v>
      </c>
      <c r="E1166" s="761" t="s">
        <v>928</v>
      </c>
      <c r="F1166" s="1187">
        <v>109623.38</v>
      </c>
      <c r="G1166" s="761" t="s">
        <v>631</v>
      </c>
      <c r="H1166" s="1187">
        <v>122105.7734375</v>
      </c>
      <c r="I1166" s="1187">
        <v>-12482.3896484375</v>
      </c>
      <c r="J1166" s="1187">
        <v>109623.3828125</v>
      </c>
      <c r="K1166" s="1188">
        <v>109623.38</v>
      </c>
    </row>
    <row r="1167" spans="1:11" ht="40.799999999999997" x14ac:dyDescent="0.3">
      <c r="A1167" s="761" t="s">
        <v>187</v>
      </c>
      <c r="B1167" s="765">
        <v>2020</v>
      </c>
      <c r="C1167" s="761" t="s">
        <v>2350</v>
      </c>
      <c r="D1167" s="761" t="s">
        <v>633</v>
      </c>
      <c r="E1167" s="761" t="s">
        <v>1262</v>
      </c>
      <c r="F1167" s="1187">
        <v>0</v>
      </c>
      <c r="G1167" s="761" t="s">
        <v>631</v>
      </c>
      <c r="H1167" s="767"/>
      <c r="I1167" s="767"/>
      <c r="J1167" s="1187">
        <v>0</v>
      </c>
      <c r="K1167" s="1188">
        <v>0</v>
      </c>
    </row>
    <row r="1168" spans="1:11" ht="40.799999999999997" x14ac:dyDescent="0.3">
      <c r="A1168" s="761" t="s">
        <v>187</v>
      </c>
      <c r="B1168" s="765">
        <v>2020</v>
      </c>
      <c r="C1168" s="761" t="s">
        <v>2350</v>
      </c>
      <c r="D1168" s="761" t="s">
        <v>634</v>
      </c>
      <c r="E1168" s="761" t="s">
        <v>1263</v>
      </c>
      <c r="F1168" s="1187">
        <v>0</v>
      </c>
      <c r="G1168" s="761" t="s">
        <v>631</v>
      </c>
      <c r="H1168" s="767"/>
      <c r="I1168" s="767"/>
      <c r="J1168" s="1187">
        <v>0</v>
      </c>
      <c r="K1168" s="1188">
        <v>0</v>
      </c>
    </row>
    <row r="1169" spans="1:11" ht="40.799999999999997" x14ac:dyDescent="0.3">
      <c r="A1169" s="761" t="s">
        <v>187</v>
      </c>
      <c r="B1169" s="765">
        <v>2020</v>
      </c>
      <c r="C1169" s="761" t="s">
        <v>2350</v>
      </c>
      <c r="D1169" s="761" t="s">
        <v>635</v>
      </c>
      <c r="E1169" s="761" t="s">
        <v>1264</v>
      </c>
      <c r="F1169" s="1187">
        <v>0</v>
      </c>
      <c r="G1169" s="761" t="s">
        <v>631</v>
      </c>
      <c r="H1169" s="767"/>
      <c r="I1169" s="767"/>
      <c r="J1169" s="1187">
        <v>0</v>
      </c>
      <c r="K1169" s="1188">
        <v>0</v>
      </c>
    </row>
    <row r="1170" spans="1:11" ht="40.799999999999997" x14ac:dyDescent="0.3">
      <c r="A1170" s="761" t="s">
        <v>187</v>
      </c>
      <c r="B1170" s="765">
        <v>2020</v>
      </c>
      <c r="C1170" s="761" t="s">
        <v>2350</v>
      </c>
      <c r="D1170" s="761" t="s">
        <v>636</v>
      </c>
      <c r="E1170" s="761" t="s">
        <v>1265</v>
      </c>
      <c r="F1170" s="1187">
        <v>0</v>
      </c>
      <c r="G1170" s="761" t="s">
        <v>631</v>
      </c>
      <c r="H1170" s="767"/>
      <c r="I1170" s="767"/>
      <c r="J1170" s="1187">
        <v>0</v>
      </c>
      <c r="K1170" s="1188">
        <v>0</v>
      </c>
    </row>
    <row r="1171" spans="1:11" ht="40.799999999999997" x14ac:dyDescent="0.3">
      <c r="A1171" s="761" t="s">
        <v>187</v>
      </c>
      <c r="B1171" s="765">
        <v>2020</v>
      </c>
      <c r="C1171" s="761" t="s">
        <v>2350</v>
      </c>
      <c r="D1171" s="761" t="s">
        <v>637</v>
      </c>
      <c r="E1171" s="761" t="s">
        <v>1266</v>
      </c>
      <c r="F1171" s="1187">
        <v>0</v>
      </c>
      <c r="G1171" s="761" t="s">
        <v>631</v>
      </c>
      <c r="H1171" s="767"/>
      <c r="I1171" s="767"/>
      <c r="J1171" s="1187">
        <v>0</v>
      </c>
      <c r="K1171" s="1188">
        <v>0</v>
      </c>
    </row>
    <row r="1172" spans="1:11" ht="40.799999999999997" x14ac:dyDescent="0.3">
      <c r="A1172" s="761" t="s">
        <v>187</v>
      </c>
      <c r="B1172" s="765">
        <v>2020</v>
      </c>
      <c r="C1172" s="761" t="s">
        <v>2350</v>
      </c>
      <c r="D1172" s="761" t="s">
        <v>638</v>
      </c>
      <c r="E1172" s="761" t="s">
        <v>1267</v>
      </c>
      <c r="F1172" s="1187">
        <v>0</v>
      </c>
      <c r="G1172" s="761" t="s">
        <v>631</v>
      </c>
      <c r="H1172" s="767"/>
      <c r="I1172" s="767"/>
      <c r="J1172" s="1187">
        <v>0</v>
      </c>
      <c r="K1172" s="1188">
        <v>0</v>
      </c>
    </row>
    <row r="1173" spans="1:11" ht="40.799999999999997" x14ac:dyDescent="0.3">
      <c r="A1173" s="761" t="s">
        <v>187</v>
      </c>
      <c r="B1173" s="765">
        <v>2020</v>
      </c>
      <c r="C1173" s="761" t="s">
        <v>2350</v>
      </c>
      <c r="D1173" s="761" t="s">
        <v>639</v>
      </c>
      <c r="E1173" s="761" t="s">
        <v>1268</v>
      </c>
      <c r="F1173" s="1187">
        <v>0</v>
      </c>
      <c r="G1173" s="761" t="s">
        <v>631</v>
      </c>
      <c r="H1173" s="767"/>
      <c r="I1173" s="767"/>
      <c r="J1173" s="1187">
        <v>0</v>
      </c>
      <c r="K1173" s="1188">
        <v>0</v>
      </c>
    </row>
    <row r="1174" spans="1:11" ht="40.799999999999997" x14ac:dyDescent="0.3">
      <c r="A1174" s="761" t="s">
        <v>187</v>
      </c>
      <c r="B1174" s="765">
        <v>2020</v>
      </c>
      <c r="C1174" s="761" t="s">
        <v>2350</v>
      </c>
      <c r="D1174" s="761" t="s">
        <v>1613</v>
      </c>
      <c r="E1174" s="761" t="s">
        <v>1991</v>
      </c>
      <c r="F1174" s="1187">
        <v>0</v>
      </c>
      <c r="G1174" s="761" t="s">
        <v>631</v>
      </c>
      <c r="H1174" s="767"/>
      <c r="I1174" s="767"/>
      <c r="J1174" s="1187">
        <v>0</v>
      </c>
      <c r="K1174" s="1188">
        <v>0</v>
      </c>
    </row>
    <row r="1175" spans="1:11" ht="40.799999999999997" x14ac:dyDescent="0.3">
      <c r="A1175" s="761" t="s">
        <v>187</v>
      </c>
      <c r="B1175" s="765">
        <v>2020</v>
      </c>
      <c r="C1175" s="761" t="s">
        <v>2350</v>
      </c>
      <c r="D1175" s="761" t="s">
        <v>2067</v>
      </c>
      <c r="E1175" s="761" t="s">
        <v>2105</v>
      </c>
      <c r="F1175" s="1187">
        <v>0</v>
      </c>
      <c r="G1175" s="761" t="s">
        <v>631</v>
      </c>
      <c r="H1175" s="1187">
        <v>-25099.44921875</v>
      </c>
      <c r="I1175" s="1187">
        <v>-15424.91015625</v>
      </c>
      <c r="J1175" s="1187">
        <v>-40524.359375</v>
      </c>
      <c r="K1175" s="1188">
        <v>-40524.36</v>
      </c>
    </row>
    <row r="1176" spans="1:11" ht="40.799999999999997" x14ac:dyDescent="0.3">
      <c r="A1176" s="761" t="s">
        <v>187</v>
      </c>
      <c r="B1176" s="765">
        <v>2020</v>
      </c>
      <c r="C1176" s="761" t="s">
        <v>2350</v>
      </c>
      <c r="D1176" s="761" t="s">
        <v>3762</v>
      </c>
      <c r="E1176" s="761" t="s">
        <v>4363</v>
      </c>
      <c r="F1176" s="1187">
        <v>0</v>
      </c>
      <c r="G1176" s="761" t="s">
        <v>631</v>
      </c>
      <c r="H1176" s="767"/>
      <c r="I1176" s="767"/>
      <c r="J1176" s="1187">
        <v>0</v>
      </c>
      <c r="K1176" s="1188">
        <v>0</v>
      </c>
    </row>
    <row r="1177" spans="1:11" ht="40.799999999999997" x14ac:dyDescent="0.3">
      <c r="A1177" s="761" t="s">
        <v>187</v>
      </c>
      <c r="B1177" s="765">
        <v>2020</v>
      </c>
      <c r="C1177" s="761" t="s">
        <v>2350</v>
      </c>
      <c r="D1177" s="761" t="s">
        <v>4844</v>
      </c>
      <c r="E1177" s="761" t="s">
        <v>5818</v>
      </c>
      <c r="F1177" s="1187">
        <v>0</v>
      </c>
      <c r="G1177" s="761" t="s">
        <v>631</v>
      </c>
      <c r="H1177" s="767"/>
      <c r="I1177" s="767"/>
      <c r="J1177" s="1187">
        <v>0</v>
      </c>
      <c r="K1177" s="1188">
        <v>0</v>
      </c>
    </row>
    <row r="1178" spans="1:11" ht="40.799999999999997" x14ac:dyDescent="0.3">
      <c r="A1178" s="761" t="s">
        <v>187</v>
      </c>
      <c r="B1178" s="765">
        <v>2020</v>
      </c>
      <c r="C1178" s="761" t="s">
        <v>2350</v>
      </c>
      <c r="D1178" s="761" t="s">
        <v>7101</v>
      </c>
      <c r="E1178" s="761" t="s">
        <v>7185</v>
      </c>
      <c r="F1178" s="1187">
        <v>0</v>
      </c>
      <c r="G1178" s="761" t="s">
        <v>631</v>
      </c>
      <c r="H1178" s="1187">
        <v>281033.03125</v>
      </c>
      <c r="I1178" s="1187">
        <v>6316.2099609375</v>
      </c>
      <c r="J1178" s="1187">
        <v>287349.25</v>
      </c>
      <c r="K1178" s="1188">
        <v>287349.24</v>
      </c>
    </row>
    <row r="1179" spans="1:11" ht="40.799999999999997" x14ac:dyDescent="0.3">
      <c r="A1179" s="761" t="s">
        <v>187</v>
      </c>
      <c r="B1179" s="765">
        <v>2020</v>
      </c>
      <c r="C1179" s="761" t="s">
        <v>2350</v>
      </c>
      <c r="D1179" s="761" t="s">
        <v>640</v>
      </c>
      <c r="E1179" s="761" t="s">
        <v>1381</v>
      </c>
      <c r="F1179" s="1187">
        <v>246824.88</v>
      </c>
      <c r="G1179" s="766"/>
      <c r="H1179" s="767"/>
      <c r="I1179" s="767"/>
      <c r="J1179" s="1187">
        <v>0</v>
      </c>
      <c r="K1179" s="1188">
        <v>246824.88</v>
      </c>
    </row>
    <row r="1180" spans="1:11" ht="20.399999999999999" x14ac:dyDescent="0.3">
      <c r="A1180" s="761" t="s">
        <v>236</v>
      </c>
      <c r="B1180" s="765">
        <v>2020</v>
      </c>
      <c r="C1180" s="761" t="s">
        <v>2342</v>
      </c>
      <c r="D1180" s="761" t="s">
        <v>45</v>
      </c>
      <c r="E1180" s="761" t="s">
        <v>929</v>
      </c>
      <c r="F1180" s="1187">
        <v>1068586.25</v>
      </c>
      <c r="G1180" s="761" t="s">
        <v>631</v>
      </c>
      <c r="H1180" s="1187">
        <v>1037895.6875</v>
      </c>
      <c r="I1180" s="1187">
        <v>30690.58984375</v>
      </c>
      <c r="J1180" s="1187">
        <v>1068586.25</v>
      </c>
      <c r="K1180" s="1188">
        <v>1068586.25</v>
      </c>
    </row>
    <row r="1181" spans="1:11" ht="30.6" x14ac:dyDescent="0.3">
      <c r="A1181" s="761" t="s">
        <v>236</v>
      </c>
      <c r="B1181" s="765">
        <v>2020</v>
      </c>
      <c r="C1181" s="761" t="s">
        <v>2343</v>
      </c>
      <c r="D1181" s="761" t="s">
        <v>632</v>
      </c>
      <c r="E1181" s="761" t="s">
        <v>930</v>
      </c>
      <c r="F1181" s="1187">
        <v>-26966.06</v>
      </c>
      <c r="G1181" s="761" t="s">
        <v>631</v>
      </c>
      <c r="H1181" s="1187">
        <v>-26065.310546875</v>
      </c>
      <c r="I1181" s="1187">
        <v>-900.75</v>
      </c>
      <c r="J1181" s="1187">
        <v>-26966.060546875</v>
      </c>
      <c r="K1181" s="1188">
        <v>-26966.06</v>
      </c>
    </row>
    <row r="1182" spans="1:11" ht="20.399999999999999" x14ac:dyDescent="0.3">
      <c r="A1182" s="761" t="s">
        <v>236</v>
      </c>
      <c r="B1182" s="765">
        <v>2020</v>
      </c>
      <c r="C1182" s="761" t="s">
        <v>2344</v>
      </c>
      <c r="D1182" s="761" t="s">
        <v>452</v>
      </c>
      <c r="E1182" s="761" t="s">
        <v>931</v>
      </c>
      <c r="F1182" s="1187">
        <v>78880.740000000005</v>
      </c>
      <c r="G1182" s="766"/>
      <c r="H1182" s="767"/>
      <c r="I1182" s="767"/>
      <c r="J1182" s="1187">
        <v>0</v>
      </c>
      <c r="K1182" s="1188">
        <v>78880.740000000005</v>
      </c>
    </row>
    <row r="1183" spans="1:11" ht="20.399999999999999" x14ac:dyDescent="0.3">
      <c r="A1183" s="761" t="s">
        <v>236</v>
      </c>
      <c r="B1183" s="765">
        <v>2020</v>
      </c>
      <c r="C1183" s="761" t="s">
        <v>2345</v>
      </c>
      <c r="D1183" s="761" t="s">
        <v>42</v>
      </c>
      <c r="E1183" s="761" t="s">
        <v>932</v>
      </c>
      <c r="F1183" s="1187">
        <v>-1977764.35</v>
      </c>
      <c r="G1183" s="761" t="s">
        <v>631</v>
      </c>
      <c r="H1183" s="1187">
        <v>-1907343</v>
      </c>
      <c r="I1183" s="1187">
        <v>-70421.296875</v>
      </c>
      <c r="J1183" s="1187">
        <v>-1977764.375</v>
      </c>
      <c r="K1183" s="1188">
        <v>-1977764.35</v>
      </c>
    </row>
    <row r="1184" spans="1:11" ht="20.399999999999999" x14ac:dyDescent="0.3">
      <c r="A1184" s="761" t="s">
        <v>236</v>
      </c>
      <c r="B1184" s="765">
        <v>2020</v>
      </c>
      <c r="C1184" s="761" t="s">
        <v>2345</v>
      </c>
      <c r="D1184" s="761" t="s">
        <v>2063</v>
      </c>
      <c r="E1184" s="761" t="s">
        <v>932</v>
      </c>
      <c r="F1184" s="1187">
        <v>0</v>
      </c>
      <c r="G1184" s="766"/>
      <c r="H1184" s="767"/>
      <c r="I1184" s="767"/>
      <c r="J1184" s="1187">
        <v>0</v>
      </c>
      <c r="K1184" s="1188">
        <v>0</v>
      </c>
    </row>
    <row r="1185" spans="1:11" ht="20.399999999999999" x14ac:dyDescent="0.3">
      <c r="A1185" s="761" t="s">
        <v>236</v>
      </c>
      <c r="B1185" s="765">
        <v>2020</v>
      </c>
      <c r="C1185" s="761" t="s">
        <v>2345</v>
      </c>
      <c r="D1185" s="761" t="s">
        <v>2064</v>
      </c>
      <c r="E1185" s="761" t="s">
        <v>932</v>
      </c>
      <c r="F1185" s="1187">
        <v>0</v>
      </c>
      <c r="G1185" s="766"/>
      <c r="H1185" s="767"/>
      <c r="I1185" s="767"/>
      <c r="J1185" s="1187">
        <v>0</v>
      </c>
      <c r="K1185" s="1188">
        <v>0</v>
      </c>
    </row>
    <row r="1186" spans="1:11" ht="20.399999999999999" x14ac:dyDescent="0.3">
      <c r="A1186" s="761" t="s">
        <v>236</v>
      </c>
      <c r="B1186" s="765">
        <v>2020</v>
      </c>
      <c r="C1186" s="761" t="s">
        <v>2345</v>
      </c>
      <c r="D1186" s="761" t="s">
        <v>2065</v>
      </c>
      <c r="E1186" s="761" t="s">
        <v>932</v>
      </c>
      <c r="F1186" s="1187">
        <v>0</v>
      </c>
      <c r="G1186" s="766"/>
      <c r="H1186" s="767"/>
      <c r="I1186" s="767"/>
      <c r="J1186" s="1187">
        <v>0</v>
      </c>
      <c r="K1186" s="1188">
        <v>0</v>
      </c>
    </row>
    <row r="1187" spans="1:11" ht="20.399999999999999" x14ac:dyDescent="0.3">
      <c r="A1187" s="761" t="s">
        <v>236</v>
      </c>
      <c r="B1187" s="765">
        <v>2020</v>
      </c>
      <c r="C1187" s="761" t="s">
        <v>2345</v>
      </c>
      <c r="D1187" s="761" t="s">
        <v>2066</v>
      </c>
      <c r="E1187" s="761" t="s">
        <v>932</v>
      </c>
      <c r="F1187" s="1187">
        <v>0</v>
      </c>
      <c r="G1187" s="766"/>
      <c r="H1187" s="767"/>
      <c r="I1187" s="767"/>
      <c r="J1187" s="1187">
        <v>0</v>
      </c>
      <c r="K1187" s="1188">
        <v>0</v>
      </c>
    </row>
    <row r="1188" spans="1:11" ht="30.6" x14ac:dyDescent="0.3">
      <c r="A1188" s="761" t="s">
        <v>236</v>
      </c>
      <c r="B1188" s="765">
        <v>2020</v>
      </c>
      <c r="C1188" s="761" t="s">
        <v>2346</v>
      </c>
      <c r="D1188" s="761" t="s">
        <v>43</v>
      </c>
      <c r="E1188" s="761" t="s">
        <v>933</v>
      </c>
      <c r="F1188" s="1187">
        <v>-295774.08000000002</v>
      </c>
      <c r="G1188" s="761" t="s">
        <v>631</v>
      </c>
      <c r="H1188" s="1187">
        <v>-276068.96875</v>
      </c>
      <c r="I1188" s="1187">
        <v>-19705.119140625</v>
      </c>
      <c r="J1188" s="1187">
        <v>-295774.09375</v>
      </c>
      <c r="K1188" s="1188">
        <v>-295774.08000000002</v>
      </c>
    </row>
    <row r="1189" spans="1:11" ht="30.6" x14ac:dyDescent="0.3">
      <c r="A1189" s="761" t="s">
        <v>236</v>
      </c>
      <c r="B1189" s="765">
        <v>2020</v>
      </c>
      <c r="C1189" s="761" t="s">
        <v>2347</v>
      </c>
      <c r="D1189" s="761" t="s">
        <v>44</v>
      </c>
      <c r="E1189" s="761" t="s">
        <v>934</v>
      </c>
      <c r="F1189" s="1187">
        <v>48174.32</v>
      </c>
      <c r="G1189" s="761" t="s">
        <v>631</v>
      </c>
      <c r="H1189" s="1187">
        <v>54037.58984375</v>
      </c>
      <c r="I1189" s="1187">
        <v>-5863.27001953125</v>
      </c>
      <c r="J1189" s="1187">
        <v>48174.3203125</v>
      </c>
      <c r="K1189" s="1188">
        <v>48174.32</v>
      </c>
    </row>
    <row r="1190" spans="1:11" ht="30.6" x14ac:dyDescent="0.3">
      <c r="A1190" s="761" t="s">
        <v>236</v>
      </c>
      <c r="B1190" s="765">
        <v>2020</v>
      </c>
      <c r="C1190" s="761" t="s">
        <v>2348</v>
      </c>
      <c r="D1190" s="761" t="s">
        <v>46</v>
      </c>
      <c r="E1190" s="761" t="s">
        <v>935</v>
      </c>
      <c r="F1190" s="1187">
        <v>-1256933.48</v>
      </c>
      <c r="G1190" s="761" t="s">
        <v>631</v>
      </c>
      <c r="H1190" s="1187">
        <v>-1270325.75</v>
      </c>
      <c r="I1190" s="1187">
        <v>13392.2099609375</v>
      </c>
      <c r="J1190" s="1187">
        <v>-1256933.5</v>
      </c>
      <c r="K1190" s="1188">
        <v>-1256933.48</v>
      </c>
    </row>
    <row r="1191" spans="1:11" ht="20.399999999999999" x14ac:dyDescent="0.3">
      <c r="A1191" s="761" t="s">
        <v>236</v>
      </c>
      <c r="B1191" s="765">
        <v>2020</v>
      </c>
      <c r="C1191" s="761" t="s">
        <v>2349</v>
      </c>
      <c r="D1191" s="761" t="s">
        <v>339</v>
      </c>
      <c r="E1191" s="761" t="s">
        <v>936</v>
      </c>
      <c r="F1191" s="1187">
        <v>1367270.59</v>
      </c>
      <c r="G1191" s="761" t="s">
        <v>631</v>
      </c>
      <c r="H1191" s="1187">
        <v>1360281.5</v>
      </c>
      <c r="I1191" s="1187">
        <v>6989.0400390625</v>
      </c>
      <c r="J1191" s="1187">
        <v>1367270.625</v>
      </c>
      <c r="K1191" s="1188">
        <v>1367270.59</v>
      </c>
    </row>
    <row r="1192" spans="1:11" ht="40.799999999999997" x14ac:dyDescent="0.3">
      <c r="A1192" s="761" t="s">
        <v>236</v>
      </c>
      <c r="B1192" s="765">
        <v>2020</v>
      </c>
      <c r="C1192" s="761" t="s">
        <v>2350</v>
      </c>
      <c r="D1192" s="761" t="s">
        <v>633</v>
      </c>
      <c r="E1192" s="761" t="s">
        <v>1269</v>
      </c>
      <c r="F1192" s="1187">
        <v>0</v>
      </c>
      <c r="G1192" s="761" t="s">
        <v>631</v>
      </c>
      <c r="H1192" s="767"/>
      <c r="I1192" s="767"/>
      <c r="J1192" s="1187">
        <v>0</v>
      </c>
      <c r="K1192" s="1188">
        <v>0</v>
      </c>
    </row>
    <row r="1193" spans="1:11" ht="40.799999999999997" x14ac:dyDescent="0.3">
      <c r="A1193" s="761" t="s">
        <v>236</v>
      </c>
      <c r="B1193" s="765">
        <v>2020</v>
      </c>
      <c r="C1193" s="761" t="s">
        <v>2350</v>
      </c>
      <c r="D1193" s="761" t="s">
        <v>634</v>
      </c>
      <c r="E1193" s="761" t="s">
        <v>1270</v>
      </c>
      <c r="F1193" s="1187">
        <v>0</v>
      </c>
      <c r="G1193" s="761" t="s">
        <v>631</v>
      </c>
      <c r="H1193" s="767"/>
      <c r="I1193" s="767"/>
      <c r="J1193" s="1187">
        <v>0</v>
      </c>
      <c r="K1193" s="1188">
        <v>0</v>
      </c>
    </row>
    <row r="1194" spans="1:11" ht="40.799999999999997" x14ac:dyDescent="0.3">
      <c r="A1194" s="761" t="s">
        <v>236</v>
      </c>
      <c r="B1194" s="765">
        <v>2020</v>
      </c>
      <c r="C1194" s="761" t="s">
        <v>2350</v>
      </c>
      <c r="D1194" s="761" t="s">
        <v>635</v>
      </c>
      <c r="E1194" s="761" t="s">
        <v>1271</v>
      </c>
      <c r="F1194" s="1187">
        <v>0</v>
      </c>
      <c r="G1194" s="761" t="s">
        <v>631</v>
      </c>
      <c r="H1194" s="767"/>
      <c r="I1194" s="767"/>
      <c r="J1194" s="1187">
        <v>0</v>
      </c>
      <c r="K1194" s="1188">
        <v>0</v>
      </c>
    </row>
    <row r="1195" spans="1:11" ht="40.799999999999997" x14ac:dyDescent="0.3">
      <c r="A1195" s="761" t="s">
        <v>236</v>
      </c>
      <c r="B1195" s="765">
        <v>2020</v>
      </c>
      <c r="C1195" s="761" t="s">
        <v>2350</v>
      </c>
      <c r="D1195" s="761" t="s">
        <v>636</v>
      </c>
      <c r="E1195" s="761" t="s">
        <v>1272</v>
      </c>
      <c r="F1195" s="1187">
        <v>0</v>
      </c>
      <c r="G1195" s="761" t="s">
        <v>631</v>
      </c>
      <c r="H1195" s="767"/>
      <c r="I1195" s="767"/>
      <c r="J1195" s="1187">
        <v>0</v>
      </c>
      <c r="K1195" s="1188">
        <v>0</v>
      </c>
    </row>
    <row r="1196" spans="1:11" ht="40.799999999999997" x14ac:dyDescent="0.3">
      <c r="A1196" s="761" t="s">
        <v>236</v>
      </c>
      <c r="B1196" s="765">
        <v>2020</v>
      </c>
      <c r="C1196" s="761" t="s">
        <v>2350</v>
      </c>
      <c r="D1196" s="761" t="s">
        <v>637</v>
      </c>
      <c r="E1196" s="761" t="s">
        <v>1273</v>
      </c>
      <c r="F1196" s="1187">
        <v>0</v>
      </c>
      <c r="G1196" s="761" t="s">
        <v>631</v>
      </c>
      <c r="H1196" s="767"/>
      <c r="I1196" s="1187">
        <v>-21.469999313354499</v>
      </c>
      <c r="J1196" s="1187">
        <v>-21.469999313354499</v>
      </c>
      <c r="K1196" s="1188">
        <v>-21.47</v>
      </c>
    </row>
    <row r="1197" spans="1:11" ht="40.799999999999997" x14ac:dyDescent="0.3">
      <c r="A1197" s="761" t="s">
        <v>236</v>
      </c>
      <c r="B1197" s="765">
        <v>2020</v>
      </c>
      <c r="C1197" s="761" t="s">
        <v>2350</v>
      </c>
      <c r="D1197" s="761" t="s">
        <v>638</v>
      </c>
      <c r="E1197" s="761" t="s">
        <v>1274</v>
      </c>
      <c r="F1197" s="1187">
        <v>0</v>
      </c>
      <c r="G1197" s="761" t="s">
        <v>631</v>
      </c>
      <c r="H1197" s="767"/>
      <c r="I1197" s="1187">
        <v>0.46000000834464999</v>
      </c>
      <c r="J1197" s="1187">
        <v>0.46000000834464999</v>
      </c>
      <c r="K1197" s="1188">
        <v>0.46</v>
      </c>
    </row>
    <row r="1198" spans="1:11" ht="40.799999999999997" x14ac:dyDescent="0.3">
      <c r="A1198" s="761" t="s">
        <v>236</v>
      </c>
      <c r="B1198" s="765">
        <v>2020</v>
      </c>
      <c r="C1198" s="761" t="s">
        <v>2350</v>
      </c>
      <c r="D1198" s="761" t="s">
        <v>639</v>
      </c>
      <c r="E1198" s="761" t="s">
        <v>1275</v>
      </c>
      <c r="F1198" s="1187">
        <v>0</v>
      </c>
      <c r="G1198" s="761" t="s">
        <v>631</v>
      </c>
      <c r="H1198" s="767"/>
      <c r="I1198" s="767"/>
      <c r="J1198" s="1187">
        <v>0</v>
      </c>
      <c r="K1198" s="1188">
        <v>0</v>
      </c>
    </row>
    <row r="1199" spans="1:11" ht="40.799999999999997" x14ac:dyDescent="0.3">
      <c r="A1199" s="761" t="s">
        <v>236</v>
      </c>
      <c r="B1199" s="765">
        <v>2020</v>
      </c>
      <c r="C1199" s="761" t="s">
        <v>2350</v>
      </c>
      <c r="D1199" s="761" t="s">
        <v>1613</v>
      </c>
      <c r="E1199" s="761" t="s">
        <v>3782</v>
      </c>
      <c r="F1199" s="1187">
        <v>0</v>
      </c>
      <c r="G1199" s="761" t="s">
        <v>631</v>
      </c>
      <c r="H1199" s="1187">
        <v>260634.375</v>
      </c>
      <c r="I1199" s="1187">
        <v>80165.25</v>
      </c>
      <c r="J1199" s="1187">
        <v>340799.625</v>
      </c>
      <c r="K1199" s="1188">
        <v>340799.62</v>
      </c>
    </row>
    <row r="1200" spans="1:11" ht="40.799999999999997" x14ac:dyDescent="0.3">
      <c r="A1200" s="761" t="s">
        <v>236</v>
      </c>
      <c r="B1200" s="765">
        <v>2020</v>
      </c>
      <c r="C1200" s="761" t="s">
        <v>2350</v>
      </c>
      <c r="D1200" s="761" t="s">
        <v>2067</v>
      </c>
      <c r="E1200" s="761" t="s">
        <v>3783</v>
      </c>
      <c r="F1200" s="1187">
        <v>0</v>
      </c>
      <c r="G1200" s="761" t="s">
        <v>631</v>
      </c>
      <c r="H1200" s="1187">
        <v>64938.94921875</v>
      </c>
      <c r="I1200" s="1187">
        <v>81628.71875</v>
      </c>
      <c r="J1200" s="1187">
        <v>146567.671875</v>
      </c>
      <c r="K1200" s="1188">
        <v>146567.67000000001</v>
      </c>
    </row>
    <row r="1201" spans="1:11" ht="40.799999999999997" x14ac:dyDescent="0.3">
      <c r="A1201" s="761" t="s">
        <v>236</v>
      </c>
      <c r="B1201" s="765">
        <v>2020</v>
      </c>
      <c r="C1201" s="761" t="s">
        <v>2350</v>
      </c>
      <c r="D1201" s="761" t="s">
        <v>3762</v>
      </c>
      <c r="E1201" s="761" t="s">
        <v>4365</v>
      </c>
      <c r="F1201" s="1187">
        <v>0</v>
      </c>
      <c r="G1201" s="761" t="s">
        <v>631</v>
      </c>
      <c r="H1201" s="767"/>
      <c r="I1201" s="767"/>
      <c r="J1201" s="1187">
        <v>0</v>
      </c>
      <c r="K1201" s="1188">
        <v>0</v>
      </c>
    </row>
    <row r="1202" spans="1:11" ht="40.799999999999997" x14ac:dyDescent="0.3">
      <c r="A1202" s="761" t="s">
        <v>236</v>
      </c>
      <c r="B1202" s="765">
        <v>2020</v>
      </c>
      <c r="C1202" s="761" t="s">
        <v>2350</v>
      </c>
      <c r="D1202" s="761" t="s">
        <v>4844</v>
      </c>
      <c r="E1202" s="761" t="s">
        <v>5819</v>
      </c>
      <c r="F1202" s="1187">
        <v>0</v>
      </c>
      <c r="G1202" s="761" t="s">
        <v>631</v>
      </c>
      <c r="H1202" s="1187">
        <v>-13907.2099609375</v>
      </c>
      <c r="I1202" s="1187">
        <v>-7241.60009765625</v>
      </c>
      <c r="J1202" s="1187">
        <v>-21148.810546875</v>
      </c>
      <c r="K1202" s="1188">
        <v>-21148.81</v>
      </c>
    </row>
    <row r="1203" spans="1:11" ht="40.799999999999997" x14ac:dyDescent="0.3">
      <c r="A1203" s="761" t="s">
        <v>236</v>
      </c>
      <c r="B1203" s="765">
        <v>2020</v>
      </c>
      <c r="C1203" s="761" t="s">
        <v>2350</v>
      </c>
      <c r="D1203" s="761" t="s">
        <v>7101</v>
      </c>
      <c r="E1203" s="761" t="s">
        <v>7186</v>
      </c>
      <c r="F1203" s="1187">
        <v>0</v>
      </c>
      <c r="G1203" s="761" t="s">
        <v>631</v>
      </c>
      <c r="H1203" s="1187">
        <v>30802</v>
      </c>
      <c r="I1203" s="767"/>
      <c r="J1203" s="1187">
        <v>30802</v>
      </c>
      <c r="K1203" s="1188">
        <v>30802</v>
      </c>
    </row>
    <row r="1204" spans="1:11" ht="40.799999999999997" x14ac:dyDescent="0.3">
      <c r="A1204" s="761" t="s">
        <v>236</v>
      </c>
      <c r="B1204" s="765">
        <v>2020</v>
      </c>
      <c r="C1204" s="761" t="s">
        <v>2350</v>
      </c>
      <c r="D1204" s="761" t="s">
        <v>640</v>
      </c>
      <c r="E1204" s="761" t="s">
        <v>1382</v>
      </c>
      <c r="F1204" s="1187">
        <v>496999.47</v>
      </c>
      <c r="G1204" s="766"/>
      <c r="H1204" s="767"/>
      <c r="I1204" s="767"/>
      <c r="J1204" s="1187">
        <v>0</v>
      </c>
      <c r="K1204" s="1188">
        <v>496999.47</v>
      </c>
    </row>
    <row r="1205" spans="1:11" x14ac:dyDescent="0.3">
      <c r="A1205" s="761" t="s">
        <v>188</v>
      </c>
      <c r="B1205" s="765">
        <v>2020</v>
      </c>
      <c r="C1205" s="761" t="s">
        <v>2342</v>
      </c>
      <c r="D1205" s="761" t="s">
        <v>45</v>
      </c>
      <c r="E1205" s="761" t="s">
        <v>937</v>
      </c>
      <c r="F1205" s="1187">
        <v>0</v>
      </c>
      <c r="G1205" s="761" t="s">
        <v>631</v>
      </c>
      <c r="H1205" s="1187">
        <v>0</v>
      </c>
      <c r="I1205" s="1187">
        <v>0</v>
      </c>
      <c r="J1205" s="1187">
        <v>0</v>
      </c>
      <c r="K1205" s="1188">
        <v>0</v>
      </c>
    </row>
    <row r="1206" spans="1:11" ht="30.6" x14ac:dyDescent="0.3">
      <c r="A1206" s="761" t="s">
        <v>188</v>
      </c>
      <c r="B1206" s="765">
        <v>2020</v>
      </c>
      <c r="C1206" s="761" t="s">
        <v>2343</v>
      </c>
      <c r="D1206" s="761" t="s">
        <v>632</v>
      </c>
      <c r="E1206" s="761" t="s">
        <v>938</v>
      </c>
      <c r="F1206" s="1187">
        <v>-23822.21</v>
      </c>
      <c r="G1206" s="761" t="s">
        <v>631</v>
      </c>
      <c r="H1206" s="1187">
        <v>-24621.029296875</v>
      </c>
      <c r="I1206" s="1187">
        <v>798.82000732421898</v>
      </c>
      <c r="J1206" s="1187">
        <v>-23822.2109375</v>
      </c>
      <c r="K1206" s="1188">
        <v>-23822.21</v>
      </c>
    </row>
    <row r="1207" spans="1:11" ht="20.399999999999999" x14ac:dyDescent="0.3">
      <c r="A1207" s="761" t="s">
        <v>188</v>
      </c>
      <c r="B1207" s="765">
        <v>2020</v>
      </c>
      <c r="C1207" s="761" t="s">
        <v>2344</v>
      </c>
      <c r="D1207" s="761" t="s">
        <v>452</v>
      </c>
      <c r="E1207" s="761" t="s">
        <v>939</v>
      </c>
      <c r="F1207" s="1187">
        <v>307608.98</v>
      </c>
      <c r="G1207" s="766"/>
      <c r="H1207" s="767"/>
      <c r="I1207" s="767"/>
      <c r="J1207" s="1187">
        <v>0</v>
      </c>
      <c r="K1207" s="1188">
        <v>307608.98</v>
      </c>
    </row>
    <row r="1208" spans="1:11" ht="20.399999999999999" x14ac:dyDescent="0.3">
      <c r="A1208" s="761" t="s">
        <v>188</v>
      </c>
      <c r="B1208" s="765">
        <v>2020</v>
      </c>
      <c r="C1208" s="761" t="s">
        <v>2345</v>
      </c>
      <c r="D1208" s="761" t="s">
        <v>42</v>
      </c>
      <c r="E1208" s="761" t="s">
        <v>940</v>
      </c>
      <c r="F1208" s="1187">
        <v>-405734.84</v>
      </c>
      <c r="G1208" s="761" t="s">
        <v>631</v>
      </c>
      <c r="H1208" s="1187">
        <v>-359212.0625</v>
      </c>
      <c r="I1208" s="1187">
        <v>-46522.78125</v>
      </c>
      <c r="J1208" s="1187">
        <v>-405734.84375</v>
      </c>
      <c r="K1208" s="1188">
        <v>-405734.84</v>
      </c>
    </row>
    <row r="1209" spans="1:11" ht="20.399999999999999" x14ac:dyDescent="0.3">
      <c r="A1209" s="761" t="s">
        <v>188</v>
      </c>
      <c r="B1209" s="765">
        <v>2020</v>
      </c>
      <c r="C1209" s="761" t="s">
        <v>2345</v>
      </c>
      <c r="D1209" s="761" t="s">
        <v>2063</v>
      </c>
      <c r="E1209" s="761" t="s">
        <v>940</v>
      </c>
      <c r="F1209" s="1187">
        <v>0</v>
      </c>
      <c r="G1209" s="766"/>
      <c r="H1209" s="767"/>
      <c r="I1209" s="767"/>
      <c r="J1209" s="1187">
        <v>0</v>
      </c>
      <c r="K1209" s="1188">
        <v>0</v>
      </c>
    </row>
    <row r="1210" spans="1:11" ht="20.399999999999999" x14ac:dyDescent="0.3">
      <c r="A1210" s="761" t="s">
        <v>188</v>
      </c>
      <c r="B1210" s="765">
        <v>2020</v>
      </c>
      <c r="C1210" s="761" t="s">
        <v>2345</v>
      </c>
      <c r="D1210" s="761" t="s">
        <v>2064</v>
      </c>
      <c r="E1210" s="761" t="s">
        <v>940</v>
      </c>
      <c r="F1210" s="1187">
        <v>0</v>
      </c>
      <c r="G1210" s="766"/>
      <c r="H1210" s="767"/>
      <c r="I1210" s="767"/>
      <c r="J1210" s="1187">
        <v>0</v>
      </c>
      <c r="K1210" s="1188">
        <v>0</v>
      </c>
    </row>
    <row r="1211" spans="1:11" ht="20.399999999999999" x14ac:dyDescent="0.3">
      <c r="A1211" s="761" t="s">
        <v>188</v>
      </c>
      <c r="B1211" s="765">
        <v>2020</v>
      </c>
      <c r="C1211" s="761" t="s">
        <v>2345</v>
      </c>
      <c r="D1211" s="761" t="s">
        <v>2065</v>
      </c>
      <c r="E1211" s="761" t="s">
        <v>940</v>
      </c>
      <c r="F1211" s="1187">
        <v>-549.35</v>
      </c>
      <c r="G1211" s="766"/>
      <c r="H1211" s="767"/>
      <c r="I1211" s="767"/>
      <c r="J1211" s="1187">
        <v>0</v>
      </c>
      <c r="K1211" s="1188">
        <v>-549.35</v>
      </c>
    </row>
    <row r="1212" spans="1:11" ht="20.399999999999999" x14ac:dyDescent="0.3">
      <c r="A1212" s="761" t="s">
        <v>188</v>
      </c>
      <c r="B1212" s="765">
        <v>2020</v>
      </c>
      <c r="C1212" s="761" t="s">
        <v>2345</v>
      </c>
      <c r="D1212" s="761" t="s">
        <v>2066</v>
      </c>
      <c r="E1212" s="761" t="s">
        <v>940</v>
      </c>
      <c r="F1212" s="1187">
        <v>-56253.66</v>
      </c>
      <c r="G1212" s="766"/>
      <c r="H1212" s="767"/>
      <c r="I1212" s="767"/>
      <c r="J1212" s="1187">
        <v>0</v>
      </c>
      <c r="K1212" s="1188">
        <v>-56253.66</v>
      </c>
    </row>
    <row r="1213" spans="1:11" ht="30.6" x14ac:dyDescent="0.3">
      <c r="A1213" s="761" t="s">
        <v>188</v>
      </c>
      <c r="B1213" s="765">
        <v>2020</v>
      </c>
      <c r="C1213" s="761" t="s">
        <v>2346</v>
      </c>
      <c r="D1213" s="761" t="s">
        <v>43</v>
      </c>
      <c r="E1213" s="761" t="s">
        <v>941</v>
      </c>
      <c r="F1213" s="1187">
        <v>150908.91</v>
      </c>
      <c r="G1213" s="761" t="s">
        <v>631</v>
      </c>
      <c r="H1213" s="1187">
        <v>157068.0625</v>
      </c>
      <c r="I1213" s="1187">
        <v>-6159.16015625</v>
      </c>
      <c r="J1213" s="1187">
        <v>150908.90625</v>
      </c>
      <c r="K1213" s="1188">
        <v>150908.91</v>
      </c>
    </row>
    <row r="1214" spans="1:11" ht="30.6" x14ac:dyDescent="0.3">
      <c r="A1214" s="761" t="s">
        <v>188</v>
      </c>
      <c r="B1214" s="765">
        <v>2020</v>
      </c>
      <c r="C1214" s="761" t="s">
        <v>2347</v>
      </c>
      <c r="D1214" s="761" t="s">
        <v>44</v>
      </c>
      <c r="E1214" s="761" t="s">
        <v>942</v>
      </c>
      <c r="F1214" s="1187">
        <v>0</v>
      </c>
      <c r="G1214" s="761" t="s">
        <v>631</v>
      </c>
      <c r="H1214" s="1187">
        <v>0</v>
      </c>
      <c r="I1214" s="1187">
        <v>0</v>
      </c>
      <c r="J1214" s="1187">
        <v>0</v>
      </c>
      <c r="K1214" s="1188">
        <v>0</v>
      </c>
    </row>
    <row r="1215" spans="1:11" ht="30.6" x14ac:dyDescent="0.3">
      <c r="A1215" s="761" t="s">
        <v>188</v>
      </c>
      <c r="B1215" s="765">
        <v>2020</v>
      </c>
      <c r="C1215" s="761" t="s">
        <v>2348</v>
      </c>
      <c r="D1215" s="761" t="s">
        <v>46</v>
      </c>
      <c r="E1215" s="761" t="s">
        <v>943</v>
      </c>
      <c r="F1215" s="1187">
        <v>-533852.78</v>
      </c>
      <c r="G1215" s="761" t="s">
        <v>631</v>
      </c>
      <c r="H1215" s="1187">
        <v>-566264.5</v>
      </c>
      <c r="I1215" s="1187">
        <v>32411.740234375</v>
      </c>
      <c r="J1215" s="1187">
        <v>-533852.75</v>
      </c>
      <c r="K1215" s="1188">
        <v>-533852.78</v>
      </c>
    </row>
    <row r="1216" spans="1:11" ht="20.399999999999999" x14ac:dyDescent="0.3">
      <c r="A1216" s="761" t="s">
        <v>188</v>
      </c>
      <c r="B1216" s="765">
        <v>2020</v>
      </c>
      <c r="C1216" s="761" t="s">
        <v>2349</v>
      </c>
      <c r="D1216" s="761" t="s">
        <v>339</v>
      </c>
      <c r="E1216" s="761" t="s">
        <v>944</v>
      </c>
      <c r="F1216" s="1187">
        <v>3287719.72</v>
      </c>
      <c r="G1216" s="761" t="s">
        <v>631</v>
      </c>
      <c r="H1216" s="1187">
        <v>3147684.5</v>
      </c>
      <c r="I1216" s="1187">
        <v>140035.296875</v>
      </c>
      <c r="J1216" s="1187">
        <v>3287719.75</v>
      </c>
      <c r="K1216" s="1188">
        <v>3287719.72</v>
      </c>
    </row>
    <row r="1217" spans="1:11" ht="40.799999999999997" x14ac:dyDescent="0.3">
      <c r="A1217" s="761" t="s">
        <v>188</v>
      </c>
      <c r="B1217" s="765">
        <v>2020</v>
      </c>
      <c r="C1217" s="761" t="s">
        <v>2350</v>
      </c>
      <c r="D1217" s="761" t="s">
        <v>633</v>
      </c>
      <c r="E1217" s="761" t="s">
        <v>1276</v>
      </c>
      <c r="F1217" s="1187">
        <v>0</v>
      </c>
      <c r="G1217" s="761" t="s">
        <v>631</v>
      </c>
      <c r="H1217" s="1187">
        <v>0</v>
      </c>
      <c r="I1217" s="767"/>
      <c r="J1217" s="1187">
        <v>0</v>
      </c>
      <c r="K1217" s="1188">
        <v>0</v>
      </c>
    </row>
    <row r="1218" spans="1:11" ht="40.799999999999997" x14ac:dyDescent="0.3">
      <c r="A1218" s="761" t="s">
        <v>188</v>
      </c>
      <c r="B1218" s="765">
        <v>2020</v>
      </c>
      <c r="C1218" s="761" t="s">
        <v>2350</v>
      </c>
      <c r="D1218" s="761" t="s">
        <v>634</v>
      </c>
      <c r="E1218" s="761" t="s">
        <v>1277</v>
      </c>
      <c r="F1218" s="1187">
        <v>0</v>
      </c>
      <c r="G1218" s="761" t="s">
        <v>631</v>
      </c>
      <c r="H1218" s="767"/>
      <c r="I1218" s="767"/>
      <c r="J1218" s="1187">
        <v>0</v>
      </c>
      <c r="K1218" s="1188">
        <v>0</v>
      </c>
    </row>
    <row r="1219" spans="1:11" ht="40.799999999999997" x14ac:dyDescent="0.3">
      <c r="A1219" s="761" t="s">
        <v>188</v>
      </c>
      <c r="B1219" s="765">
        <v>2020</v>
      </c>
      <c r="C1219" s="761" t="s">
        <v>2350</v>
      </c>
      <c r="D1219" s="761" t="s">
        <v>635</v>
      </c>
      <c r="E1219" s="761" t="s">
        <v>1278</v>
      </c>
      <c r="F1219" s="1187">
        <v>0</v>
      </c>
      <c r="G1219" s="761" t="s">
        <v>631</v>
      </c>
      <c r="H1219" s="767"/>
      <c r="I1219" s="1187">
        <v>0</v>
      </c>
      <c r="J1219" s="1187">
        <v>0</v>
      </c>
      <c r="K1219" s="1188">
        <v>0</v>
      </c>
    </row>
    <row r="1220" spans="1:11" ht="40.799999999999997" x14ac:dyDescent="0.3">
      <c r="A1220" s="761" t="s">
        <v>188</v>
      </c>
      <c r="B1220" s="765">
        <v>2020</v>
      </c>
      <c r="C1220" s="761" t="s">
        <v>2350</v>
      </c>
      <c r="D1220" s="761" t="s">
        <v>636</v>
      </c>
      <c r="E1220" s="761" t="s">
        <v>1279</v>
      </c>
      <c r="F1220" s="1187">
        <v>0</v>
      </c>
      <c r="G1220" s="761" t="s">
        <v>631</v>
      </c>
      <c r="H1220" s="767"/>
      <c r="I1220" s="767"/>
      <c r="J1220" s="1187">
        <v>0</v>
      </c>
      <c r="K1220" s="1188">
        <v>0</v>
      </c>
    </row>
    <row r="1221" spans="1:11" ht="40.799999999999997" x14ac:dyDescent="0.3">
      <c r="A1221" s="761" t="s">
        <v>188</v>
      </c>
      <c r="B1221" s="765">
        <v>2020</v>
      </c>
      <c r="C1221" s="761" t="s">
        <v>2350</v>
      </c>
      <c r="D1221" s="761" t="s">
        <v>637</v>
      </c>
      <c r="E1221" s="761" t="s">
        <v>1280</v>
      </c>
      <c r="F1221" s="1187">
        <v>0</v>
      </c>
      <c r="G1221" s="761" t="s">
        <v>631</v>
      </c>
      <c r="H1221" s="1187">
        <v>0</v>
      </c>
      <c r="I1221" s="1187">
        <v>0</v>
      </c>
      <c r="J1221" s="1187">
        <v>0</v>
      </c>
      <c r="K1221" s="1188">
        <v>0</v>
      </c>
    </row>
    <row r="1222" spans="1:11" ht="40.799999999999997" x14ac:dyDescent="0.3">
      <c r="A1222" s="761" t="s">
        <v>188</v>
      </c>
      <c r="B1222" s="765">
        <v>2020</v>
      </c>
      <c r="C1222" s="761" t="s">
        <v>2350</v>
      </c>
      <c r="D1222" s="761" t="s">
        <v>638</v>
      </c>
      <c r="E1222" s="761" t="s">
        <v>1281</v>
      </c>
      <c r="F1222" s="1187">
        <v>0</v>
      </c>
      <c r="G1222" s="761" t="s">
        <v>631</v>
      </c>
      <c r="H1222" s="1187">
        <v>131074.65625</v>
      </c>
      <c r="I1222" s="1187">
        <v>-113086.2734375</v>
      </c>
      <c r="J1222" s="1187">
        <v>17988.380859375</v>
      </c>
      <c r="K1222" s="1188">
        <v>17988.38</v>
      </c>
    </row>
    <row r="1223" spans="1:11" ht="40.799999999999997" x14ac:dyDescent="0.3">
      <c r="A1223" s="761" t="s">
        <v>188</v>
      </c>
      <c r="B1223" s="765">
        <v>2020</v>
      </c>
      <c r="C1223" s="761" t="s">
        <v>2350</v>
      </c>
      <c r="D1223" s="761" t="s">
        <v>639</v>
      </c>
      <c r="E1223" s="761" t="s">
        <v>1282</v>
      </c>
      <c r="F1223" s="1187">
        <v>0</v>
      </c>
      <c r="G1223" s="761" t="s">
        <v>631</v>
      </c>
      <c r="H1223" s="1187">
        <v>0</v>
      </c>
      <c r="I1223" s="1187">
        <v>0</v>
      </c>
      <c r="J1223" s="1187">
        <v>0</v>
      </c>
      <c r="K1223" s="1188">
        <v>0</v>
      </c>
    </row>
    <row r="1224" spans="1:11" ht="40.799999999999997" x14ac:dyDescent="0.3">
      <c r="A1224" s="761" t="s">
        <v>188</v>
      </c>
      <c r="B1224" s="765">
        <v>2020</v>
      </c>
      <c r="C1224" s="761" t="s">
        <v>2350</v>
      </c>
      <c r="D1224" s="761" t="s">
        <v>1613</v>
      </c>
      <c r="E1224" s="761" t="s">
        <v>1992</v>
      </c>
      <c r="F1224" s="1187">
        <v>0</v>
      </c>
      <c r="G1224" s="761" t="s">
        <v>631</v>
      </c>
      <c r="H1224" s="767"/>
      <c r="I1224" s="767"/>
      <c r="J1224" s="1187">
        <v>0</v>
      </c>
      <c r="K1224" s="1188">
        <v>0</v>
      </c>
    </row>
    <row r="1225" spans="1:11" ht="40.799999999999997" x14ac:dyDescent="0.3">
      <c r="A1225" s="761" t="s">
        <v>188</v>
      </c>
      <c r="B1225" s="765">
        <v>2020</v>
      </c>
      <c r="C1225" s="761" t="s">
        <v>2350</v>
      </c>
      <c r="D1225" s="761" t="s">
        <v>2067</v>
      </c>
      <c r="E1225" s="761" t="s">
        <v>2106</v>
      </c>
      <c r="F1225" s="1187">
        <v>0</v>
      </c>
      <c r="G1225" s="761" t="s">
        <v>631</v>
      </c>
      <c r="H1225" s="1187">
        <v>164327.0625</v>
      </c>
      <c r="I1225" s="1187">
        <v>-116319</v>
      </c>
      <c r="J1225" s="1187">
        <v>48008.0703125</v>
      </c>
      <c r="K1225" s="1188">
        <v>48008.07</v>
      </c>
    </row>
    <row r="1226" spans="1:11" ht="40.799999999999997" x14ac:dyDescent="0.3">
      <c r="A1226" s="761" t="s">
        <v>188</v>
      </c>
      <c r="B1226" s="765">
        <v>2020</v>
      </c>
      <c r="C1226" s="761" t="s">
        <v>2350</v>
      </c>
      <c r="D1226" s="761" t="s">
        <v>3762</v>
      </c>
      <c r="E1226" s="761" t="s">
        <v>4364</v>
      </c>
      <c r="F1226" s="1187">
        <v>0</v>
      </c>
      <c r="G1226" s="761" t="s">
        <v>631</v>
      </c>
      <c r="H1226" s="767"/>
      <c r="I1226" s="767"/>
      <c r="J1226" s="1187">
        <v>0</v>
      </c>
      <c r="K1226" s="1188">
        <v>0</v>
      </c>
    </row>
    <row r="1227" spans="1:11" ht="40.799999999999997" x14ac:dyDescent="0.3">
      <c r="A1227" s="761" t="s">
        <v>188</v>
      </c>
      <c r="B1227" s="765">
        <v>2020</v>
      </c>
      <c r="C1227" s="761" t="s">
        <v>2350</v>
      </c>
      <c r="D1227" s="761" t="s">
        <v>4844</v>
      </c>
      <c r="E1227" s="761" t="s">
        <v>5820</v>
      </c>
      <c r="F1227" s="1187">
        <v>0</v>
      </c>
      <c r="G1227" s="761" t="s">
        <v>631</v>
      </c>
      <c r="H1227" s="1187">
        <v>-583000.125</v>
      </c>
      <c r="I1227" s="1187">
        <v>-32584</v>
      </c>
      <c r="J1227" s="1187">
        <v>-615584.125</v>
      </c>
      <c r="K1227" s="1188">
        <v>-615584.14</v>
      </c>
    </row>
    <row r="1228" spans="1:11" ht="40.799999999999997" x14ac:dyDescent="0.3">
      <c r="A1228" s="761" t="s">
        <v>188</v>
      </c>
      <c r="B1228" s="765">
        <v>2020</v>
      </c>
      <c r="C1228" s="761" t="s">
        <v>2350</v>
      </c>
      <c r="D1228" s="761" t="s">
        <v>7101</v>
      </c>
      <c r="E1228" s="761" t="s">
        <v>7187</v>
      </c>
      <c r="F1228" s="1187">
        <v>0</v>
      </c>
      <c r="G1228" s="761" t="s">
        <v>631</v>
      </c>
      <c r="H1228" s="1187">
        <v>-728409</v>
      </c>
      <c r="I1228" s="1187">
        <v>118793.7734375</v>
      </c>
      <c r="J1228" s="1187">
        <v>-609615.1875</v>
      </c>
      <c r="K1228" s="1188">
        <v>-609615.21</v>
      </c>
    </row>
    <row r="1229" spans="1:11" ht="40.799999999999997" x14ac:dyDescent="0.3">
      <c r="A1229" s="761" t="s">
        <v>188</v>
      </c>
      <c r="B1229" s="765">
        <v>2020</v>
      </c>
      <c r="C1229" s="761" t="s">
        <v>2350</v>
      </c>
      <c r="D1229" s="761" t="s">
        <v>640</v>
      </c>
      <c r="E1229" s="761" t="s">
        <v>1383</v>
      </c>
      <c r="F1229" s="1187">
        <v>-1159202.8999999999</v>
      </c>
      <c r="G1229" s="766"/>
      <c r="H1229" s="767"/>
      <c r="I1229" s="767"/>
      <c r="J1229" s="1187">
        <v>0</v>
      </c>
      <c r="K1229" s="1188">
        <v>-1159202.8999999999</v>
      </c>
    </row>
    <row r="1230" spans="1:11" x14ac:dyDescent="0.3">
      <c r="A1230" s="761" t="s">
        <v>189</v>
      </c>
      <c r="B1230" s="765">
        <v>2020</v>
      </c>
      <c r="C1230" s="761" t="s">
        <v>2342</v>
      </c>
      <c r="D1230" s="761" t="s">
        <v>45</v>
      </c>
      <c r="E1230" s="761" t="s">
        <v>945</v>
      </c>
      <c r="F1230" s="1187">
        <v>379237.58</v>
      </c>
      <c r="G1230" s="761" t="s">
        <v>631</v>
      </c>
      <c r="H1230" s="1187">
        <v>364358.1875</v>
      </c>
      <c r="I1230" s="1187">
        <v>14879.400390625</v>
      </c>
      <c r="J1230" s="1187">
        <v>379237.59375</v>
      </c>
      <c r="K1230" s="1188">
        <v>379237.58</v>
      </c>
    </row>
    <row r="1231" spans="1:11" ht="30.6" x14ac:dyDescent="0.3">
      <c r="A1231" s="761" t="s">
        <v>189</v>
      </c>
      <c r="B1231" s="765">
        <v>2020</v>
      </c>
      <c r="C1231" s="761" t="s">
        <v>2343</v>
      </c>
      <c r="D1231" s="761" t="s">
        <v>632</v>
      </c>
      <c r="E1231" s="761" t="s">
        <v>946</v>
      </c>
      <c r="F1231" s="1187">
        <v>-2464.34</v>
      </c>
      <c r="G1231" s="761" t="s">
        <v>631</v>
      </c>
      <c r="H1231" s="1187">
        <v>-2413.64990234375</v>
      </c>
      <c r="I1231" s="1187">
        <v>-50.689998626708999</v>
      </c>
      <c r="J1231" s="1187">
        <v>-2464.34008789063</v>
      </c>
      <c r="K1231" s="1188">
        <v>-2464.34</v>
      </c>
    </row>
    <row r="1232" spans="1:11" ht="20.399999999999999" x14ac:dyDescent="0.3">
      <c r="A1232" s="761" t="s">
        <v>189</v>
      </c>
      <c r="B1232" s="765">
        <v>2020</v>
      </c>
      <c r="C1232" s="761" t="s">
        <v>2344</v>
      </c>
      <c r="D1232" s="761" t="s">
        <v>452</v>
      </c>
      <c r="E1232" s="761" t="s">
        <v>947</v>
      </c>
      <c r="F1232" s="1187">
        <v>17981</v>
      </c>
      <c r="G1232" s="766"/>
      <c r="H1232" s="767"/>
      <c r="I1232" s="767"/>
      <c r="J1232" s="1187">
        <v>0</v>
      </c>
      <c r="K1232" s="1188">
        <v>17981</v>
      </c>
    </row>
    <row r="1233" spans="1:11" ht="20.399999999999999" x14ac:dyDescent="0.3">
      <c r="A1233" s="761" t="s">
        <v>189</v>
      </c>
      <c r="B1233" s="765">
        <v>2020</v>
      </c>
      <c r="C1233" s="761" t="s">
        <v>2345</v>
      </c>
      <c r="D1233" s="761" t="s">
        <v>42</v>
      </c>
      <c r="E1233" s="761" t="s">
        <v>948</v>
      </c>
      <c r="F1233" s="1187">
        <v>-320107.03999999998</v>
      </c>
      <c r="G1233" s="761" t="s">
        <v>631</v>
      </c>
      <c r="H1233" s="1187">
        <v>-307084.1875</v>
      </c>
      <c r="I1233" s="1187">
        <v>-13022.849609375</v>
      </c>
      <c r="J1233" s="1187">
        <v>-320107.03125</v>
      </c>
      <c r="K1233" s="1188">
        <v>-320107.03999999998</v>
      </c>
    </row>
    <row r="1234" spans="1:11" ht="20.399999999999999" x14ac:dyDescent="0.3">
      <c r="A1234" s="761" t="s">
        <v>189</v>
      </c>
      <c r="B1234" s="765">
        <v>2020</v>
      </c>
      <c r="C1234" s="761" t="s">
        <v>2345</v>
      </c>
      <c r="D1234" s="761" t="s">
        <v>2063</v>
      </c>
      <c r="E1234" s="761" t="s">
        <v>948</v>
      </c>
      <c r="F1234" s="1187">
        <v>0</v>
      </c>
      <c r="G1234" s="766"/>
      <c r="H1234" s="767"/>
      <c r="I1234" s="767"/>
      <c r="J1234" s="1187">
        <v>0</v>
      </c>
      <c r="K1234" s="1188">
        <v>0</v>
      </c>
    </row>
    <row r="1235" spans="1:11" ht="20.399999999999999" x14ac:dyDescent="0.3">
      <c r="A1235" s="761" t="s">
        <v>189</v>
      </c>
      <c r="B1235" s="765">
        <v>2020</v>
      </c>
      <c r="C1235" s="761" t="s">
        <v>2345</v>
      </c>
      <c r="D1235" s="761" t="s">
        <v>2064</v>
      </c>
      <c r="E1235" s="761" t="s">
        <v>948</v>
      </c>
      <c r="F1235" s="1187">
        <v>0</v>
      </c>
      <c r="G1235" s="766"/>
      <c r="H1235" s="767"/>
      <c r="I1235" s="767"/>
      <c r="J1235" s="1187">
        <v>0</v>
      </c>
      <c r="K1235" s="1188">
        <v>0</v>
      </c>
    </row>
    <row r="1236" spans="1:11" ht="20.399999999999999" x14ac:dyDescent="0.3">
      <c r="A1236" s="761" t="s">
        <v>189</v>
      </c>
      <c r="B1236" s="765">
        <v>2020</v>
      </c>
      <c r="C1236" s="761" t="s">
        <v>2345</v>
      </c>
      <c r="D1236" s="761" t="s">
        <v>2065</v>
      </c>
      <c r="E1236" s="761" t="s">
        <v>948</v>
      </c>
      <c r="F1236" s="1187">
        <v>-1423.18</v>
      </c>
      <c r="G1236" s="766"/>
      <c r="H1236" s="767"/>
      <c r="I1236" s="767"/>
      <c r="J1236" s="1187">
        <v>0</v>
      </c>
      <c r="K1236" s="1188">
        <v>-1423.18</v>
      </c>
    </row>
    <row r="1237" spans="1:11" ht="20.399999999999999" x14ac:dyDescent="0.3">
      <c r="A1237" s="761" t="s">
        <v>189</v>
      </c>
      <c r="B1237" s="765">
        <v>2020</v>
      </c>
      <c r="C1237" s="761" t="s">
        <v>2345</v>
      </c>
      <c r="D1237" s="761" t="s">
        <v>2066</v>
      </c>
      <c r="E1237" s="761" t="s">
        <v>948</v>
      </c>
      <c r="F1237" s="1187">
        <v>-36209.81</v>
      </c>
      <c r="G1237" s="766"/>
      <c r="H1237" s="767"/>
      <c r="I1237" s="767"/>
      <c r="J1237" s="1187">
        <v>0</v>
      </c>
      <c r="K1237" s="1188">
        <v>-36209.81</v>
      </c>
    </row>
    <row r="1238" spans="1:11" ht="30.6" x14ac:dyDescent="0.3">
      <c r="A1238" s="761" t="s">
        <v>189</v>
      </c>
      <c r="B1238" s="765">
        <v>2020</v>
      </c>
      <c r="C1238" s="761" t="s">
        <v>2346</v>
      </c>
      <c r="D1238" s="761" t="s">
        <v>43</v>
      </c>
      <c r="E1238" s="761" t="s">
        <v>949</v>
      </c>
      <c r="F1238" s="1187">
        <v>4357.6400000000003</v>
      </c>
      <c r="G1238" s="761" t="s">
        <v>631</v>
      </c>
      <c r="H1238" s="1187">
        <v>7907.10986328125</v>
      </c>
      <c r="I1238" s="1187">
        <v>-3549.46997070313</v>
      </c>
      <c r="J1238" s="1187">
        <v>4357.64013671875</v>
      </c>
      <c r="K1238" s="1188">
        <v>4357.6400000000003</v>
      </c>
    </row>
    <row r="1239" spans="1:11" ht="30.6" x14ac:dyDescent="0.3">
      <c r="A1239" s="761" t="s">
        <v>189</v>
      </c>
      <c r="B1239" s="765">
        <v>2020</v>
      </c>
      <c r="C1239" s="761" t="s">
        <v>2347</v>
      </c>
      <c r="D1239" s="761" t="s">
        <v>44</v>
      </c>
      <c r="E1239" s="761" t="s">
        <v>950</v>
      </c>
      <c r="F1239" s="1187">
        <v>107828.72</v>
      </c>
      <c r="G1239" s="761" t="s">
        <v>631</v>
      </c>
      <c r="H1239" s="1187">
        <v>104178.9375</v>
      </c>
      <c r="I1239" s="1187">
        <v>3649.78002929688</v>
      </c>
      <c r="J1239" s="1187">
        <v>107828.71875</v>
      </c>
      <c r="K1239" s="1188">
        <v>107828.72</v>
      </c>
    </row>
    <row r="1240" spans="1:11" ht="30.6" x14ac:dyDescent="0.3">
      <c r="A1240" s="761" t="s">
        <v>189</v>
      </c>
      <c r="B1240" s="765">
        <v>2020</v>
      </c>
      <c r="C1240" s="761" t="s">
        <v>2348</v>
      </c>
      <c r="D1240" s="761" t="s">
        <v>46</v>
      </c>
      <c r="E1240" s="761" t="s">
        <v>951</v>
      </c>
      <c r="F1240" s="1187">
        <v>-65210.71</v>
      </c>
      <c r="G1240" s="761" t="s">
        <v>631</v>
      </c>
      <c r="H1240" s="1187">
        <v>-62414.98828125</v>
      </c>
      <c r="I1240" s="1187">
        <v>-2795.71997070313</v>
      </c>
      <c r="J1240" s="1187">
        <v>-65210.7109375</v>
      </c>
      <c r="K1240" s="1188">
        <v>-65210.71</v>
      </c>
    </row>
    <row r="1241" spans="1:11" ht="20.399999999999999" x14ac:dyDescent="0.3">
      <c r="A1241" s="761" t="s">
        <v>189</v>
      </c>
      <c r="B1241" s="765">
        <v>2020</v>
      </c>
      <c r="C1241" s="761" t="s">
        <v>2349</v>
      </c>
      <c r="D1241" s="761" t="s">
        <v>339</v>
      </c>
      <c r="E1241" s="761" t="s">
        <v>952</v>
      </c>
      <c r="F1241" s="1187">
        <v>-36414.54</v>
      </c>
      <c r="G1241" s="761" t="s">
        <v>631</v>
      </c>
      <c r="H1241" s="1187">
        <v>-36556.71875</v>
      </c>
      <c r="I1241" s="1187">
        <v>142.17999267578099</v>
      </c>
      <c r="J1241" s="1187">
        <v>-36414.5390625</v>
      </c>
      <c r="K1241" s="1188">
        <v>-36414.54</v>
      </c>
    </row>
    <row r="1242" spans="1:11" ht="40.799999999999997" x14ac:dyDescent="0.3">
      <c r="A1242" s="761" t="s">
        <v>189</v>
      </c>
      <c r="B1242" s="765">
        <v>2020</v>
      </c>
      <c r="C1242" s="761" t="s">
        <v>2350</v>
      </c>
      <c r="D1242" s="761" t="s">
        <v>633</v>
      </c>
      <c r="E1242" s="761" t="s">
        <v>1283</v>
      </c>
      <c r="F1242" s="1187">
        <v>0</v>
      </c>
      <c r="G1242" s="761" t="s">
        <v>631</v>
      </c>
      <c r="H1242" s="767"/>
      <c r="I1242" s="767"/>
      <c r="J1242" s="1187">
        <v>0</v>
      </c>
      <c r="K1242" s="1188">
        <v>0</v>
      </c>
    </row>
    <row r="1243" spans="1:11" ht="40.799999999999997" x14ac:dyDescent="0.3">
      <c r="A1243" s="761" t="s">
        <v>189</v>
      </c>
      <c r="B1243" s="765">
        <v>2020</v>
      </c>
      <c r="C1243" s="761" t="s">
        <v>2350</v>
      </c>
      <c r="D1243" s="761" t="s">
        <v>634</v>
      </c>
      <c r="E1243" s="761" t="s">
        <v>1284</v>
      </c>
      <c r="F1243" s="1187">
        <v>0</v>
      </c>
      <c r="G1243" s="761" t="s">
        <v>631</v>
      </c>
      <c r="H1243" s="767"/>
      <c r="I1243" s="767"/>
      <c r="J1243" s="1187">
        <v>0</v>
      </c>
      <c r="K1243" s="1188">
        <v>0</v>
      </c>
    </row>
    <row r="1244" spans="1:11" ht="40.799999999999997" x14ac:dyDescent="0.3">
      <c r="A1244" s="761" t="s">
        <v>189</v>
      </c>
      <c r="B1244" s="765">
        <v>2020</v>
      </c>
      <c r="C1244" s="761" t="s">
        <v>2350</v>
      </c>
      <c r="D1244" s="761" t="s">
        <v>635</v>
      </c>
      <c r="E1244" s="761" t="s">
        <v>1285</v>
      </c>
      <c r="F1244" s="1187">
        <v>0</v>
      </c>
      <c r="G1244" s="761" t="s">
        <v>631</v>
      </c>
      <c r="H1244" s="767"/>
      <c r="I1244" s="767"/>
      <c r="J1244" s="1187">
        <v>0</v>
      </c>
      <c r="K1244" s="1188">
        <v>0</v>
      </c>
    </row>
    <row r="1245" spans="1:11" ht="40.799999999999997" x14ac:dyDescent="0.3">
      <c r="A1245" s="761" t="s">
        <v>189</v>
      </c>
      <c r="B1245" s="765">
        <v>2020</v>
      </c>
      <c r="C1245" s="761" t="s">
        <v>2350</v>
      </c>
      <c r="D1245" s="761" t="s">
        <v>636</v>
      </c>
      <c r="E1245" s="761" t="s">
        <v>1286</v>
      </c>
      <c r="F1245" s="1187">
        <v>0</v>
      </c>
      <c r="G1245" s="761" t="s">
        <v>631</v>
      </c>
      <c r="H1245" s="767"/>
      <c r="I1245" s="767"/>
      <c r="J1245" s="1187">
        <v>0</v>
      </c>
      <c r="K1245" s="1188">
        <v>0</v>
      </c>
    </row>
    <row r="1246" spans="1:11" ht="40.799999999999997" x14ac:dyDescent="0.3">
      <c r="A1246" s="761" t="s">
        <v>189</v>
      </c>
      <c r="B1246" s="765">
        <v>2020</v>
      </c>
      <c r="C1246" s="761" t="s">
        <v>2350</v>
      </c>
      <c r="D1246" s="761" t="s">
        <v>637</v>
      </c>
      <c r="E1246" s="761" t="s">
        <v>1287</v>
      </c>
      <c r="F1246" s="1187">
        <v>0</v>
      </c>
      <c r="G1246" s="761" t="s">
        <v>631</v>
      </c>
      <c r="H1246" s="767"/>
      <c r="I1246" s="767"/>
      <c r="J1246" s="1187">
        <v>0</v>
      </c>
      <c r="K1246" s="1188">
        <v>0</v>
      </c>
    </row>
    <row r="1247" spans="1:11" ht="40.799999999999997" x14ac:dyDescent="0.3">
      <c r="A1247" s="761" t="s">
        <v>189</v>
      </c>
      <c r="B1247" s="765">
        <v>2020</v>
      </c>
      <c r="C1247" s="761" t="s">
        <v>2350</v>
      </c>
      <c r="D1247" s="761" t="s">
        <v>638</v>
      </c>
      <c r="E1247" s="761" t="s">
        <v>1288</v>
      </c>
      <c r="F1247" s="1187">
        <v>0</v>
      </c>
      <c r="G1247" s="761" t="s">
        <v>631</v>
      </c>
      <c r="H1247" s="767"/>
      <c r="I1247" s="767"/>
      <c r="J1247" s="1187">
        <v>0</v>
      </c>
      <c r="K1247" s="1188">
        <v>0</v>
      </c>
    </row>
    <row r="1248" spans="1:11" ht="40.799999999999997" x14ac:dyDescent="0.3">
      <c r="A1248" s="761" t="s">
        <v>189</v>
      </c>
      <c r="B1248" s="765">
        <v>2020</v>
      </c>
      <c r="C1248" s="761" t="s">
        <v>2350</v>
      </c>
      <c r="D1248" s="761" t="s">
        <v>639</v>
      </c>
      <c r="E1248" s="761" t="s">
        <v>1289</v>
      </c>
      <c r="F1248" s="1187">
        <v>0</v>
      </c>
      <c r="G1248" s="761" t="s">
        <v>631</v>
      </c>
      <c r="H1248" s="767"/>
      <c r="I1248" s="767"/>
      <c r="J1248" s="1187">
        <v>0</v>
      </c>
      <c r="K1248" s="1188">
        <v>0</v>
      </c>
    </row>
    <row r="1249" spans="1:11" ht="40.799999999999997" x14ac:dyDescent="0.3">
      <c r="A1249" s="761" t="s">
        <v>189</v>
      </c>
      <c r="B1249" s="765">
        <v>2020</v>
      </c>
      <c r="C1249" s="761" t="s">
        <v>2350</v>
      </c>
      <c r="D1249" s="761" t="s">
        <v>1613</v>
      </c>
      <c r="E1249" s="761" t="s">
        <v>1993</v>
      </c>
      <c r="F1249" s="1187">
        <v>0</v>
      </c>
      <c r="G1249" s="761" t="s">
        <v>631</v>
      </c>
      <c r="H1249" s="1187">
        <v>-9844.98046875</v>
      </c>
      <c r="I1249" s="1187">
        <v>8409.58984375</v>
      </c>
      <c r="J1249" s="1187">
        <v>-1435.39001464844</v>
      </c>
      <c r="K1249" s="1188">
        <v>-1435.39</v>
      </c>
    </row>
    <row r="1250" spans="1:11" ht="40.799999999999997" x14ac:dyDescent="0.3">
      <c r="A1250" s="761" t="s">
        <v>189</v>
      </c>
      <c r="B1250" s="765">
        <v>2020</v>
      </c>
      <c r="C1250" s="761" t="s">
        <v>2350</v>
      </c>
      <c r="D1250" s="761" t="s">
        <v>2067</v>
      </c>
      <c r="E1250" s="761" t="s">
        <v>2107</v>
      </c>
      <c r="F1250" s="1187">
        <v>0</v>
      </c>
      <c r="G1250" s="761" t="s">
        <v>631</v>
      </c>
      <c r="H1250" s="767"/>
      <c r="I1250" s="767"/>
      <c r="J1250" s="1187">
        <v>0</v>
      </c>
      <c r="K1250" s="1188">
        <v>0</v>
      </c>
    </row>
    <row r="1251" spans="1:11" ht="40.799999999999997" x14ac:dyDescent="0.3">
      <c r="A1251" s="761" t="s">
        <v>189</v>
      </c>
      <c r="B1251" s="765">
        <v>2020</v>
      </c>
      <c r="C1251" s="761" t="s">
        <v>2350</v>
      </c>
      <c r="D1251" s="761" t="s">
        <v>3762</v>
      </c>
      <c r="E1251" s="761" t="s">
        <v>4366</v>
      </c>
      <c r="F1251" s="1187">
        <v>0</v>
      </c>
      <c r="G1251" s="761" t="s">
        <v>631</v>
      </c>
      <c r="H1251" s="1187">
        <v>41911.12109375</v>
      </c>
      <c r="I1251" s="1187">
        <v>-12438.2998046875</v>
      </c>
      <c r="J1251" s="1187">
        <v>29472.8203125</v>
      </c>
      <c r="K1251" s="1188">
        <v>29472.82</v>
      </c>
    </row>
    <row r="1252" spans="1:11" ht="40.799999999999997" x14ac:dyDescent="0.3">
      <c r="A1252" s="761" t="s">
        <v>189</v>
      </c>
      <c r="B1252" s="765">
        <v>2020</v>
      </c>
      <c r="C1252" s="761" t="s">
        <v>2350</v>
      </c>
      <c r="D1252" s="761" t="s">
        <v>4844</v>
      </c>
      <c r="E1252" s="761" t="s">
        <v>5821</v>
      </c>
      <c r="F1252" s="1187">
        <v>0</v>
      </c>
      <c r="G1252" s="761" t="s">
        <v>631</v>
      </c>
      <c r="H1252" s="767"/>
      <c r="I1252" s="767"/>
      <c r="J1252" s="1187">
        <v>0</v>
      </c>
      <c r="K1252" s="1188">
        <v>0</v>
      </c>
    </row>
    <row r="1253" spans="1:11" ht="40.799999999999997" x14ac:dyDescent="0.3">
      <c r="A1253" s="761" t="s">
        <v>189</v>
      </c>
      <c r="B1253" s="765">
        <v>2020</v>
      </c>
      <c r="C1253" s="761" t="s">
        <v>2350</v>
      </c>
      <c r="D1253" s="761" t="s">
        <v>7101</v>
      </c>
      <c r="E1253" s="761" t="s">
        <v>7188</v>
      </c>
      <c r="F1253" s="1187">
        <v>0</v>
      </c>
      <c r="G1253" s="761" t="s">
        <v>631</v>
      </c>
      <c r="H1253" s="1187">
        <v>-2026</v>
      </c>
      <c r="I1253" s="1187">
        <v>-33.2700004577637</v>
      </c>
      <c r="J1253" s="1187">
        <v>-2059.27001953125</v>
      </c>
      <c r="K1253" s="1188">
        <v>-2059.27</v>
      </c>
    </row>
    <row r="1254" spans="1:11" ht="40.799999999999997" x14ac:dyDescent="0.3">
      <c r="A1254" s="761" t="s">
        <v>189</v>
      </c>
      <c r="B1254" s="765">
        <v>2020</v>
      </c>
      <c r="C1254" s="761" t="s">
        <v>2350</v>
      </c>
      <c r="D1254" s="761" t="s">
        <v>640</v>
      </c>
      <c r="E1254" s="761" t="s">
        <v>1384</v>
      </c>
      <c r="F1254" s="1187">
        <v>25978.16</v>
      </c>
      <c r="G1254" s="766"/>
      <c r="H1254" s="767"/>
      <c r="I1254" s="767"/>
      <c r="J1254" s="1187">
        <v>0</v>
      </c>
      <c r="K1254" s="1188">
        <v>25978.16</v>
      </c>
    </row>
    <row r="1255" spans="1:11" ht="20.399999999999999" x14ac:dyDescent="0.3">
      <c r="A1255" s="761" t="s">
        <v>204</v>
      </c>
      <c r="B1255" s="765">
        <v>2020</v>
      </c>
      <c r="C1255" s="761" t="s">
        <v>2342</v>
      </c>
      <c r="D1255" s="761" t="s">
        <v>45</v>
      </c>
      <c r="E1255" s="761" t="s">
        <v>953</v>
      </c>
      <c r="F1255" s="1187">
        <v>-161761.32</v>
      </c>
      <c r="G1255" s="761" t="s">
        <v>631</v>
      </c>
      <c r="H1255" s="1187">
        <v>-157349.5625</v>
      </c>
      <c r="I1255" s="1187">
        <v>-4411.75</v>
      </c>
      <c r="J1255" s="1187">
        <v>-161761.3125</v>
      </c>
      <c r="K1255" s="1188">
        <v>-161761.32</v>
      </c>
    </row>
    <row r="1256" spans="1:11" ht="30.6" x14ac:dyDescent="0.3">
      <c r="A1256" s="761" t="s">
        <v>204</v>
      </c>
      <c r="B1256" s="765">
        <v>2020</v>
      </c>
      <c r="C1256" s="761" t="s">
        <v>2343</v>
      </c>
      <c r="D1256" s="761" t="s">
        <v>632</v>
      </c>
      <c r="E1256" s="761" t="s">
        <v>954</v>
      </c>
      <c r="F1256" s="1187">
        <v>-6255.69</v>
      </c>
      <c r="G1256" s="761" t="s">
        <v>631</v>
      </c>
      <c r="H1256" s="1187">
        <v>-6037.64013671875</v>
      </c>
      <c r="I1256" s="1187">
        <v>-218.05000305175801</v>
      </c>
      <c r="J1256" s="1187">
        <v>-6255.68994140625</v>
      </c>
      <c r="K1256" s="1188">
        <v>-6255.69</v>
      </c>
    </row>
    <row r="1257" spans="1:11" ht="20.399999999999999" x14ac:dyDescent="0.3">
      <c r="A1257" s="761" t="s">
        <v>204</v>
      </c>
      <c r="B1257" s="765">
        <v>2020</v>
      </c>
      <c r="C1257" s="761" t="s">
        <v>2344</v>
      </c>
      <c r="D1257" s="761" t="s">
        <v>452</v>
      </c>
      <c r="E1257" s="761" t="s">
        <v>955</v>
      </c>
      <c r="F1257" s="1187">
        <v>88367.03</v>
      </c>
      <c r="G1257" s="766"/>
      <c r="H1257" s="767"/>
      <c r="I1257" s="767"/>
      <c r="J1257" s="1187">
        <v>0</v>
      </c>
      <c r="K1257" s="1188">
        <v>88367.03</v>
      </c>
    </row>
    <row r="1258" spans="1:11" ht="20.399999999999999" x14ac:dyDescent="0.3">
      <c r="A1258" s="761" t="s">
        <v>204</v>
      </c>
      <c r="B1258" s="765">
        <v>2020</v>
      </c>
      <c r="C1258" s="761" t="s">
        <v>2345</v>
      </c>
      <c r="D1258" s="761" t="s">
        <v>42</v>
      </c>
      <c r="E1258" s="761" t="s">
        <v>956</v>
      </c>
      <c r="F1258" s="1187">
        <v>-47107.11</v>
      </c>
      <c r="G1258" s="761" t="s">
        <v>631</v>
      </c>
      <c r="H1258" s="1187">
        <v>-45857.08984375</v>
      </c>
      <c r="I1258" s="1187">
        <v>-1250.02001953125</v>
      </c>
      <c r="J1258" s="1187">
        <v>-47107.109375</v>
      </c>
      <c r="K1258" s="1188">
        <v>-47107.11</v>
      </c>
    </row>
    <row r="1259" spans="1:11" ht="20.399999999999999" x14ac:dyDescent="0.3">
      <c r="A1259" s="761" t="s">
        <v>204</v>
      </c>
      <c r="B1259" s="765">
        <v>2020</v>
      </c>
      <c r="C1259" s="761" t="s">
        <v>2345</v>
      </c>
      <c r="D1259" s="761" t="s">
        <v>2063</v>
      </c>
      <c r="E1259" s="761" t="s">
        <v>956</v>
      </c>
      <c r="F1259" s="1187">
        <v>0</v>
      </c>
      <c r="G1259" s="766"/>
      <c r="H1259" s="767"/>
      <c r="I1259" s="767"/>
      <c r="J1259" s="1187">
        <v>0</v>
      </c>
      <c r="K1259" s="1188">
        <v>0</v>
      </c>
    </row>
    <row r="1260" spans="1:11" ht="20.399999999999999" x14ac:dyDescent="0.3">
      <c r="A1260" s="761" t="s">
        <v>204</v>
      </c>
      <c r="B1260" s="765">
        <v>2020</v>
      </c>
      <c r="C1260" s="761" t="s">
        <v>2345</v>
      </c>
      <c r="D1260" s="761" t="s">
        <v>2064</v>
      </c>
      <c r="E1260" s="761" t="s">
        <v>956</v>
      </c>
      <c r="F1260" s="1187">
        <v>0</v>
      </c>
      <c r="G1260" s="766"/>
      <c r="H1260" s="767"/>
      <c r="I1260" s="767"/>
      <c r="J1260" s="1187">
        <v>0</v>
      </c>
      <c r="K1260" s="1188">
        <v>0</v>
      </c>
    </row>
    <row r="1261" spans="1:11" ht="20.399999999999999" x14ac:dyDescent="0.3">
      <c r="A1261" s="761" t="s">
        <v>204</v>
      </c>
      <c r="B1261" s="765">
        <v>2020</v>
      </c>
      <c r="C1261" s="761" t="s">
        <v>2345</v>
      </c>
      <c r="D1261" s="761" t="s">
        <v>2065</v>
      </c>
      <c r="E1261" s="761" t="s">
        <v>956</v>
      </c>
      <c r="F1261" s="1187">
        <v>-255.02</v>
      </c>
      <c r="G1261" s="766"/>
      <c r="H1261" s="767"/>
      <c r="I1261" s="767"/>
      <c r="J1261" s="1187">
        <v>0</v>
      </c>
      <c r="K1261" s="1188">
        <v>-255.02</v>
      </c>
    </row>
    <row r="1262" spans="1:11" ht="20.399999999999999" x14ac:dyDescent="0.3">
      <c r="A1262" s="761" t="s">
        <v>204</v>
      </c>
      <c r="B1262" s="765">
        <v>2020</v>
      </c>
      <c r="C1262" s="761" t="s">
        <v>2345</v>
      </c>
      <c r="D1262" s="761" t="s">
        <v>2066</v>
      </c>
      <c r="E1262" s="761" t="s">
        <v>956</v>
      </c>
      <c r="F1262" s="1187">
        <v>-10708.86</v>
      </c>
      <c r="G1262" s="766"/>
      <c r="H1262" s="767"/>
      <c r="I1262" s="767"/>
      <c r="J1262" s="1187">
        <v>0</v>
      </c>
      <c r="K1262" s="1188">
        <v>-10708.86</v>
      </c>
    </row>
    <row r="1263" spans="1:11" ht="30.6" x14ac:dyDescent="0.3">
      <c r="A1263" s="761" t="s">
        <v>204</v>
      </c>
      <c r="B1263" s="765">
        <v>2020</v>
      </c>
      <c r="C1263" s="761" t="s">
        <v>2346</v>
      </c>
      <c r="D1263" s="761" t="s">
        <v>43</v>
      </c>
      <c r="E1263" s="761" t="s">
        <v>957</v>
      </c>
      <c r="F1263" s="1187">
        <v>-102811.52</v>
      </c>
      <c r="G1263" s="761" t="s">
        <v>631</v>
      </c>
      <c r="H1263" s="1187">
        <v>-98709.7890625</v>
      </c>
      <c r="I1263" s="1187">
        <v>-4101.72998046875</v>
      </c>
      <c r="J1263" s="1187">
        <v>-102811.5234375</v>
      </c>
      <c r="K1263" s="1188">
        <v>-102811.52</v>
      </c>
    </row>
    <row r="1264" spans="1:11" ht="30.6" x14ac:dyDescent="0.3">
      <c r="A1264" s="761" t="s">
        <v>204</v>
      </c>
      <c r="B1264" s="765">
        <v>2020</v>
      </c>
      <c r="C1264" s="761" t="s">
        <v>2347</v>
      </c>
      <c r="D1264" s="761" t="s">
        <v>44</v>
      </c>
      <c r="E1264" s="761" t="s">
        <v>958</v>
      </c>
      <c r="F1264" s="1187">
        <v>-36578.9</v>
      </c>
      <c r="G1264" s="761" t="s">
        <v>631</v>
      </c>
      <c r="H1264" s="1187">
        <v>-33456.609375</v>
      </c>
      <c r="I1264" s="1187">
        <v>-3122.2900390625</v>
      </c>
      <c r="J1264" s="1187">
        <v>-36578.8984375</v>
      </c>
      <c r="K1264" s="1188">
        <v>-36578.9</v>
      </c>
    </row>
    <row r="1265" spans="1:11" ht="30.6" x14ac:dyDescent="0.3">
      <c r="A1265" s="761" t="s">
        <v>204</v>
      </c>
      <c r="B1265" s="765">
        <v>2020</v>
      </c>
      <c r="C1265" s="761" t="s">
        <v>2348</v>
      </c>
      <c r="D1265" s="761" t="s">
        <v>46</v>
      </c>
      <c r="E1265" s="761" t="s">
        <v>959</v>
      </c>
      <c r="F1265" s="1187">
        <v>63440.32</v>
      </c>
      <c r="G1265" s="761" t="s">
        <v>631</v>
      </c>
      <c r="H1265" s="1187">
        <v>61239.55078125</v>
      </c>
      <c r="I1265" s="1187">
        <v>2200.77001953125</v>
      </c>
      <c r="J1265" s="1187">
        <v>63440.3203125</v>
      </c>
      <c r="K1265" s="1188">
        <v>63440.32</v>
      </c>
    </row>
    <row r="1266" spans="1:11" ht="20.399999999999999" x14ac:dyDescent="0.3">
      <c r="A1266" s="761" t="s">
        <v>204</v>
      </c>
      <c r="B1266" s="765">
        <v>2020</v>
      </c>
      <c r="C1266" s="761" t="s">
        <v>2349</v>
      </c>
      <c r="D1266" s="761" t="s">
        <v>339</v>
      </c>
      <c r="E1266" s="761" t="s">
        <v>960</v>
      </c>
      <c r="F1266" s="1187">
        <v>-17971.830000000002</v>
      </c>
      <c r="G1266" s="761" t="s">
        <v>631</v>
      </c>
      <c r="H1266" s="1187">
        <v>-17234.580078125</v>
      </c>
      <c r="I1266" s="1187">
        <v>-737.25</v>
      </c>
      <c r="J1266" s="1187">
        <v>-17971.830078125</v>
      </c>
      <c r="K1266" s="1188">
        <v>-17971.830000000002</v>
      </c>
    </row>
    <row r="1267" spans="1:11" ht="40.799999999999997" x14ac:dyDescent="0.3">
      <c r="A1267" s="761" t="s">
        <v>204</v>
      </c>
      <c r="B1267" s="765">
        <v>2020</v>
      </c>
      <c r="C1267" s="761" t="s">
        <v>2350</v>
      </c>
      <c r="D1267" s="761" t="s">
        <v>633</v>
      </c>
      <c r="E1267" s="761" t="s">
        <v>1290</v>
      </c>
      <c r="F1267" s="1187">
        <v>0</v>
      </c>
      <c r="G1267" s="761" t="s">
        <v>631</v>
      </c>
      <c r="H1267" s="767"/>
      <c r="I1267" s="767"/>
      <c r="J1267" s="1187">
        <v>0</v>
      </c>
      <c r="K1267" s="1188">
        <v>0</v>
      </c>
    </row>
    <row r="1268" spans="1:11" ht="40.799999999999997" x14ac:dyDescent="0.3">
      <c r="A1268" s="761" t="s">
        <v>204</v>
      </c>
      <c r="B1268" s="765">
        <v>2020</v>
      </c>
      <c r="C1268" s="761" t="s">
        <v>2350</v>
      </c>
      <c r="D1268" s="761" t="s">
        <v>634</v>
      </c>
      <c r="E1268" s="761" t="s">
        <v>1291</v>
      </c>
      <c r="F1268" s="1187">
        <v>0</v>
      </c>
      <c r="G1268" s="761" t="s">
        <v>631</v>
      </c>
      <c r="H1268" s="767"/>
      <c r="I1268" s="767"/>
      <c r="J1268" s="1187">
        <v>0</v>
      </c>
      <c r="K1268" s="1188">
        <v>0</v>
      </c>
    </row>
    <row r="1269" spans="1:11" ht="40.799999999999997" x14ac:dyDescent="0.3">
      <c r="A1269" s="761" t="s">
        <v>204</v>
      </c>
      <c r="B1269" s="765">
        <v>2020</v>
      </c>
      <c r="C1269" s="761" t="s">
        <v>2350</v>
      </c>
      <c r="D1269" s="761" t="s">
        <v>635</v>
      </c>
      <c r="E1269" s="761" t="s">
        <v>1292</v>
      </c>
      <c r="F1269" s="1187">
        <v>0</v>
      </c>
      <c r="G1269" s="761" t="s">
        <v>631</v>
      </c>
      <c r="H1269" s="767"/>
      <c r="I1269" s="767"/>
      <c r="J1269" s="1187">
        <v>0</v>
      </c>
      <c r="K1269" s="1188">
        <v>0</v>
      </c>
    </row>
    <row r="1270" spans="1:11" ht="40.799999999999997" x14ac:dyDescent="0.3">
      <c r="A1270" s="761" t="s">
        <v>204</v>
      </c>
      <c r="B1270" s="765">
        <v>2020</v>
      </c>
      <c r="C1270" s="761" t="s">
        <v>2350</v>
      </c>
      <c r="D1270" s="761" t="s">
        <v>636</v>
      </c>
      <c r="E1270" s="761" t="s">
        <v>1293</v>
      </c>
      <c r="F1270" s="1187">
        <v>0</v>
      </c>
      <c r="G1270" s="761" t="s">
        <v>631</v>
      </c>
      <c r="H1270" s="767"/>
      <c r="I1270" s="767"/>
      <c r="J1270" s="1187">
        <v>0</v>
      </c>
      <c r="K1270" s="1188">
        <v>0</v>
      </c>
    </row>
    <row r="1271" spans="1:11" ht="40.799999999999997" x14ac:dyDescent="0.3">
      <c r="A1271" s="761" t="s">
        <v>204</v>
      </c>
      <c r="B1271" s="765">
        <v>2020</v>
      </c>
      <c r="C1271" s="761" t="s">
        <v>2350</v>
      </c>
      <c r="D1271" s="761" t="s">
        <v>637</v>
      </c>
      <c r="E1271" s="761" t="s">
        <v>1294</v>
      </c>
      <c r="F1271" s="1187">
        <v>0</v>
      </c>
      <c r="G1271" s="761" t="s">
        <v>631</v>
      </c>
      <c r="H1271" s="767"/>
      <c r="I1271" s="767"/>
      <c r="J1271" s="1187">
        <v>0</v>
      </c>
      <c r="K1271" s="1188">
        <v>0</v>
      </c>
    </row>
    <row r="1272" spans="1:11" ht="40.799999999999997" x14ac:dyDescent="0.3">
      <c r="A1272" s="761" t="s">
        <v>204</v>
      </c>
      <c r="B1272" s="765">
        <v>2020</v>
      </c>
      <c r="C1272" s="761" t="s">
        <v>2350</v>
      </c>
      <c r="D1272" s="761" t="s">
        <v>638</v>
      </c>
      <c r="E1272" s="761" t="s">
        <v>1295</v>
      </c>
      <c r="F1272" s="1187">
        <v>0</v>
      </c>
      <c r="G1272" s="761" t="s">
        <v>631</v>
      </c>
      <c r="H1272" s="767"/>
      <c r="I1272" s="767"/>
      <c r="J1272" s="1187">
        <v>0</v>
      </c>
      <c r="K1272" s="1188">
        <v>0</v>
      </c>
    </row>
    <row r="1273" spans="1:11" ht="40.799999999999997" x14ac:dyDescent="0.3">
      <c r="A1273" s="761" t="s">
        <v>204</v>
      </c>
      <c r="B1273" s="765">
        <v>2020</v>
      </c>
      <c r="C1273" s="761" t="s">
        <v>2350</v>
      </c>
      <c r="D1273" s="761" t="s">
        <v>639</v>
      </c>
      <c r="E1273" s="761" t="s">
        <v>1296</v>
      </c>
      <c r="F1273" s="1187">
        <v>0</v>
      </c>
      <c r="G1273" s="761" t="s">
        <v>631</v>
      </c>
      <c r="H1273" s="767"/>
      <c r="I1273" s="767"/>
      <c r="J1273" s="1187">
        <v>0</v>
      </c>
      <c r="K1273" s="1188">
        <v>0</v>
      </c>
    </row>
    <row r="1274" spans="1:11" ht="40.799999999999997" x14ac:dyDescent="0.3">
      <c r="A1274" s="761" t="s">
        <v>204</v>
      </c>
      <c r="B1274" s="765">
        <v>2020</v>
      </c>
      <c r="C1274" s="761" t="s">
        <v>2350</v>
      </c>
      <c r="D1274" s="761" t="s">
        <v>1613</v>
      </c>
      <c r="E1274" s="761" t="s">
        <v>1994</v>
      </c>
      <c r="F1274" s="1187">
        <v>0</v>
      </c>
      <c r="G1274" s="761" t="s">
        <v>631</v>
      </c>
      <c r="H1274" s="767"/>
      <c r="I1274" s="767"/>
      <c r="J1274" s="1187">
        <v>0</v>
      </c>
      <c r="K1274" s="1188">
        <v>0</v>
      </c>
    </row>
    <row r="1275" spans="1:11" ht="40.799999999999997" x14ac:dyDescent="0.3">
      <c r="A1275" s="761" t="s">
        <v>204</v>
      </c>
      <c r="B1275" s="765">
        <v>2020</v>
      </c>
      <c r="C1275" s="761" t="s">
        <v>2350</v>
      </c>
      <c r="D1275" s="761" t="s">
        <v>2067</v>
      </c>
      <c r="E1275" s="761" t="s">
        <v>2108</v>
      </c>
      <c r="F1275" s="1187">
        <v>0</v>
      </c>
      <c r="G1275" s="761" t="s">
        <v>631</v>
      </c>
      <c r="H1275" s="767"/>
      <c r="I1275" s="767"/>
      <c r="J1275" s="1187">
        <v>0</v>
      </c>
      <c r="K1275" s="1188">
        <v>0</v>
      </c>
    </row>
    <row r="1276" spans="1:11" ht="40.799999999999997" x14ac:dyDescent="0.3">
      <c r="A1276" s="761" t="s">
        <v>204</v>
      </c>
      <c r="B1276" s="765">
        <v>2020</v>
      </c>
      <c r="C1276" s="761" t="s">
        <v>2350</v>
      </c>
      <c r="D1276" s="761" t="s">
        <v>3762</v>
      </c>
      <c r="E1276" s="761" t="s">
        <v>4367</v>
      </c>
      <c r="F1276" s="1187">
        <v>0</v>
      </c>
      <c r="G1276" s="761" t="s">
        <v>631</v>
      </c>
      <c r="H1276" s="1187">
        <v>9096.9501953125</v>
      </c>
      <c r="I1276" s="1187">
        <v>-5112.39990234375</v>
      </c>
      <c r="J1276" s="1187">
        <v>3984.55004882813</v>
      </c>
      <c r="K1276" s="1188">
        <v>3984.55</v>
      </c>
    </row>
    <row r="1277" spans="1:11" ht="40.799999999999997" x14ac:dyDescent="0.3">
      <c r="A1277" s="761" t="s">
        <v>204</v>
      </c>
      <c r="B1277" s="765">
        <v>2020</v>
      </c>
      <c r="C1277" s="761" t="s">
        <v>2350</v>
      </c>
      <c r="D1277" s="761" t="s">
        <v>4844</v>
      </c>
      <c r="E1277" s="761" t="s">
        <v>5822</v>
      </c>
      <c r="F1277" s="1187">
        <v>0</v>
      </c>
      <c r="G1277" s="761" t="s">
        <v>631</v>
      </c>
      <c r="H1277" s="1187">
        <v>2111.6201171875</v>
      </c>
      <c r="I1277" s="1187">
        <v>2309.98999023438</v>
      </c>
      <c r="J1277" s="1187">
        <v>4421.60986328125</v>
      </c>
      <c r="K1277" s="1188">
        <v>4421.6099999999997</v>
      </c>
    </row>
    <row r="1278" spans="1:11" ht="40.799999999999997" x14ac:dyDescent="0.3">
      <c r="A1278" s="761" t="s">
        <v>204</v>
      </c>
      <c r="B1278" s="765">
        <v>2020</v>
      </c>
      <c r="C1278" s="761" t="s">
        <v>2350</v>
      </c>
      <c r="D1278" s="761" t="s">
        <v>7101</v>
      </c>
      <c r="E1278" s="761" t="s">
        <v>7189</v>
      </c>
      <c r="F1278" s="1187">
        <v>0</v>
      </c>
      <c r="G1278" s="761" t="s">
        <v>631</v>
      </c>
      <c r="H1278" s="1187">
        <v>-31446.439453125</v>
      </c>
      <c r="I1278" s="1187">
        <v>13114.919921875</v>
      </c>
      <c r="J1278" s="1187">
        <v>-18331.51953125</v>
      </c>
      <c r="K1278" s="1188">
        <v>-18331.52</v>
      </c>
    </row>
    <row r="1279" spans="1:11" ht="40.799999999999997" x14ac:dyDescent="0.3">
      <c r="A1279" s="761" t="s">
        <v>204</v>
      </c>
      <c r="B1279" s="765">
        <v>2020</v>
      </c>
      <c r="C1279" s="761" t="s">
        <v>2350</v>
      </c>
      <c r="D1279" s="761" t="s">
        <v>640</v>
      </c>
      <c r="E1279" s="761" t="s">
        <v>1385</v>
      </c>
      <c r="F1279" s="1187">
        <v>-9925.36</v>
      </c>
      <c r="G1279" s="766"/>
      <c r="H1279" s="767"/>
      <c r="I1279" s="767"/>
      <c r="J1279" s="1187">
        <v>0</v>
      </c>
      <c r="K1279" s="1188">
        <v>-9925.36</v>
      </c>
    </row>
    <row r="1280" spans="1:11" x14ac:dyDescent="0.3">
      <c r="A1280" s="761" t="s">
        <v>190</v>
      </c>
      <c r="B1280" s="765">
        <v>2020</v>
      </c>
      <c r="C1280" s="761" t="s">
        <v>2342</v>
      </c>
      <c r="D1280" s="761" t="s">
        <v>45</v>
      </c>
      <c r="E1280" s="761" t="s">
        <v>1925</v>
      </c>
      <c r="F1280" s="1187">
        <v>22539.48</v>
      </c>
      <c r="G1280" s="761" t="s">
        <v>631</v>
      </c>
      <c r="H1280" s="1187">
        <v>20779.259765625</v>
      </c>
      <c r="I1280" s="1187">
        <v>1760.21997070313</v>
      </c>
      <c r="J1280" s="1187">
        <v>22539.48046875</v>
      </c>
      <c r="K1280" s="1188">
        <v>22539.48</v>
      </c>
    </row>
    <row r="1281" spans="1:11" ht="30.6" x14ac:dyDescent="0.3">
      <c r="A1281" s="761" t="s">
        <v>190</v>
      </c>
      <c r="B1281" s="765">
        <v>2020</v>
      </c>
      <c r="C1281" s="761" t="s">
        <v>2343</v>
      </c>
      <c r="D1281" s="761" t="s">
        <v>632</v>
      </c>
      <c r="E1281" s="761" t="s">
        <v>1926</v>
      </c>
      <c r="F1281" s="1187">
        <v>-2183.48</v>
      </c>
      <c r="G1281" s="761" t="s">
        <v>631</v>
      </c>
      <c r="H1281" s="1187">
        <v>-2114.23999023438</v>
      </c>
      <c r="I1281" s="1187">
        <v>-69.239997863769503</v>
      </c>
      <c r="J1281" s="1187">
        <v>-2183.47998046875</v>
      </c>
      <c r="K1281" s="1188">
        <v>-2183.48</v>
      </c>
    </row>
    <row r="1282" spans="1:11" ht="20.399999999999999" x14ac:dyDescent="0.3">
      <c r="A1282" s="761" t="s">
        <v>190</v>
      </c>
      <c r="B1282" s="765">
        <v>2020</v>
      </c>
      <c r="C1282" s="761" t="s">
        <v>2344</v>
      </c>
      <c r="D1282" s="761" t="s">
        <v>452</v>
      </c>
      <c r="E1282" s="761" t="s">
        <v>1927</v>
      </c>
      <c r="F1282" s="1187">
        <v>0</v>
      </c>
      <c r="G1282" s="766"/>
      <c r="H1282" s="767"/>
      <c r="I1282" s="767"/>
      <c r="J1282" s="1187">
        <v>0</v>
      </c>
      <c r="K1282" s="1188">
        <v>0</v>
      </c>
    </row>
    <row r="1283" spans="1:11" ht="20.399999999999999" x14ac:dyDescent="0.3">
      <c r="A1283" s="761" t="s">
        <v>190</v>
      </c>
      <c r="B1283" s="765">
        <v>2020</v>
      </c>
      <c r="C1283" s="761" t="s">
        <v>2345</v>
      </c>
      <c r="D1283" s="761" t="s">
        <v>42</v>
      </c>
      <c r="E1283" s="761" t="s">
        <v>1928</v>
      </c>
      <c r="F1283" s="1187">
        <v>-17747.810000000001</v>
      </c>
      <c r="G1283" s="761" t="s">
        <v>631</v>
      </c>
      <c r="H1283" s="1187">
        <v>-17066.0390625</v>
      </c>
      <c r="I1283" s="1187">
        <v>-681.77001953125</v>
      </c>
      <c r="J1283" s="1187">
        <v>-17747.810546875</v>
      </c>
      <c r="K1283" s="1188">
        <v>-17747.810000000001</v>
      </c>
    </row>
    <row r="1284" spans="1:11" ht="20.399999999999999" x14ac:dyDescent="0.3">
      <c r="A1284" s="761" t="s">
        <v>190</v>
      </c>
      <c r="B1284" s="765">
        <v>2020</v>
      </c>
      <c r="C1284" s="761" t="s">
        <v>2345</v>
      </c>
      <c r="D1284" s="761" t="s">
        <v>2063</v>
      </c>
      <c r="E1284" s="761" t="s">
        <v>1928</v>
      </c>
      <c r="F1284" s="1187">
        <v>0</v>
      </c>
      <c r="G1284" s="766"/>
      <c r="H1284" s="767"/>
      <c r="I1284" s="767"/>
      <c r="J1284" s="1187">
        <v>0</v>
      </c>
      <c r="K1284" s="1188">
        <v>0</v>
      </c>
    </row>
    <row r="1285" spans="1:11" ht="20.399999999999999" x14ac:dyDescent="0.3">
      <c r="A1285" s="761" t="s">
        <v>190</v>
      </c>
      <c r="B1285" s="765">
        <v>2020</v>
      </c>
      <c r="C1285" s="761" t="s">
        <v>2345</v>
      </c>
      <c r="D1285" s="761" t="s">
        <v>2064</v>
      </c>
      <c r="E1285" s="761" t="s">
        <v>1928</v>
      </c>
      <c r="F1285" s="1187">
        <v>0</v>
      </c>
      <c r="G1285" s="766"/>
      <c r="H1285" s="767"/>
      <c r="I1285" s="767"/>
      <c r="J1285" s="1187">
        <v>0</v>
      </c>
      <c r="K1285" s="1188">
        <v>0</v>
      </c>
    </row>
    <row r="1286" spans="1:11" ht="20.399999999999999" x14ac:dyDescent="0.3">
      <c r="A1286" s="761" t="s">
        <v>190</v>
      </c>
      <c r="B1286" s="765">
        <v>2020</v>
      </c>
      <c r="C1286" s="761" t="s">
        <v>2345</v>
      </c>
      <c r="D1286" s="761" t="s">
        <v>2065</v>
      </c>
      <c r="E1286" s="761" t="s">
        <v>1928</v>
      </c>
      <c r="F1286" s="1187">
        <v>0</v>
      </c>
      <c r="G1286" s="766"/>
      <c r="H1286" s="767"/>
      <c r="I1286" s="767"/>
      <c r="J1286" s="1187">
        <v>0</v>
      </c>
      <c r="K1286" s="1188">
        <v>0</v>
      </c>
    </row>
    <row r="1287" spans="1:11" ht="20.399999999999999" x14ac:dyDescent="0.3">
      <c r="A1287" s="761" t="s">
        <v>190</v>
      </c>
      <c r="B1287" s="765">
        <v>2020</v>
      </c>
      <c r="C1287" s="761" t="s">
        <v>2345</v>
      </c>
      <c r="D1287" s="761" t="s">
        <v>2066</v>
      </c>
      <c r="E1287" s="761" t="s">
        <v>1928</v>
      </c>
      <c r="F1287" s="1187">
        <v>0</v>
      </c>
      <c r="G1287" s="766"/>
      <c r="H1287" s="767"/>
      <c r="I1287" s="767"/>
      <c r="J1287" s="1187">
        <v>0</v>
      </c>
      <c r="K1287" s="1188">
        <v>0</v>
      </c>
    </row>
    <row r="1288" spans="1:11" ht="30.6" x14ac:dyDescent="0.3">
      <c r="A1288" s="761" t="s">
        <v>190</v>
      </c>
      <c r="B1288" s="765">
        <v>2020</v>
      </c>
      <c r="C1288" s="761" t="s">
        <v>2346</v>
      </c>
      <c r="D1288" s="761" t="s">
        <v>43</v>
      </c>
      <c r="E1288" s="761" t="s">
        <v>1929</v>
      </c>
      <c r="F1288" s="1187">
        <v>35183.730000000003</v>
      </c>
      <c r="G1288" s="761" t="s">
        <v>631</v>
      </c>
      <c r="H1288" s="1187">
        <v>34210.16015625</v>
      </c>
      <c r="I1288" s="1187">
        <v>973.57000732421898</v>
      </c>
      <c r="J1288" s="1187">
        <v>35183.73046875</v>
      </c>
      <c r="K1288" s="1188">
        <v>35183.730000000003</v>
      </c>
    </row>
    <row r="1289" spans="1:11" ht="30.6" x14ac:dyDescent="0.3">
      <c r="A1289" s="761" t="s">
        <v>190</v>
      </c>
      <c r="B1289" s="765">
        <v>2020</v>
      </c>
      <c r="C1289" s="761" t="s">
        <v>2347</v>
      </c>
      <c r="D1289" s="761" t="s">
        <v>44</v>
      </c>
      <c r="E1289" s="761" t="s">
        <v>1930</v>
      </c>
      <c r="F1289" s="1187">
        <v>3472.69</v>
      </c>
      <c r="G1289" s="761" t="s">
        <v>631</v>
      </c>
      <c r="H1289" s="1187">
        <v>3249.36010742188</v>
      </c>
      <c r="I1289" s="1187">
        <v>223.330001831055</v>
      </c>
      <c r="J1289" s="1187">
        <v>3472.68994140625</v>
      </c>
      <c r="K1289" s="1188">
        <v>3472.69</v>
      </c>
    </row>
    <row r="1290" spans="1:11" ht="30.6" x14ac:dyDescent="0.3">
      <c r="A1290" s="761" t="s">
        <v>190</v>
      </c>
      <c r="B1290" s="765">
        <v>2020</v>
      </c>
      <c r="C1290" s="761" t="s">
        <v>2348</v>
      </c>
      <c r="D1290" s="761" t="s">
        <v>46</v>
      </c>
      <c r="E1290" s="761" t="s">
        <v>1931</v>
      </c>
      <c r="F1290" s="1187">
        <v>-55853.2</v>
      </c>
      <c r="G1290" s="761" t="s">
        <v>631</v>
      </c>
      <c r="H1290" s="1187">
        <v>-60078.8515625</v>
      </c>
      <c r="I1290" s="1187">
        <v>4225.64990234375</v>
      </c>
      <c r="J1290" s="1187">
        <v>-55853.19921875</v>
      </c>
      <c r="K1290" s="1188">
        <v>-55853.2</v>
      </c>
    </row>
    <row r="1291" spans="1:11" ht="20.399999999999999" x14ac:dyDescent="0.3">
      <c r="A1291" s="761" t="s">
        <v>190</v>
      </c>
      <c r="B1291" s="765">
        <v>2020</v>
      </c>
      <c r="C1291" s="761" t="s">
        <v>2349</v>
      </c>
      <c r="D1291" s="761" t="s">
        <v>339</v>
      </c>
      <c r="E1291" s="761" t="s">
        <v>1932</v>
      </c>
      <c r="F1291" s="1187">
        <v>-405253.09</v>
      </c>
      <c r="G1291" s="761" t="s">
        <v>631</v>
      </c>
      <c r="H1291" s="1187">
        <v>-390616.5</v>
      </c>
      <c r="I1291" s="1187">
        <v>-14636.58984375</v>
      </c>
      <c r="J1291" s="1187">
        <v>-405253.09375</v>
      </c>
      <c r="K1291" s="1188">
        <v>-405253.09</v>
      </c>
    </row>
    <row r="1292" spans="1:11" ht="40.799999999999997" x14ac:dyDescent="0.3">
      <c r="A1292" s="761" t="s">
        <v>190</v>
      </c>
      <c r="B1292" s="765">
        <v>2020</v>
      </c>
      <c r="C1292" s="761" t="s">
        <v>2350</v>
      </c>
      <c r="D1292" s="761" t="s">
        <v>633</v>
      </c>
      <c r="E1292" s="761" t="s">
        <v>1933</v>
      </c>
      <c r="F1292" s="1187">
        <v>0</v>
      </c>
      <c r="G1292" s="761" t="s">
        <v>631</v>
      </c>
      <c r="H1292" s="767"/>
      <c r="I1292" s="767"/>
      <c r="J1292" s="1187">
        <v>0</v>
      </c>
      <c r="K1292" s="1188">
        <v>0</v>
      </c>
    </row>
    <row r="1293" spans="1:11" ht="40.799999999999997" x14ac:dyDescent="0.3">
      <c r="A1293" s="761" t="s">
        <v>190</v>
      </c>
      <c r="B1293" s="765">
        <v>2020</v>
      </c>
      <c r="C1293" s="761" t="s">
        <v>2350</v>
      </c>
      <c r="D1293" s="761" t="s">
        <v>634</v>
      </c>
      <c r="E1293" s="761" t="s">
        <v>1934</v>
      </c>
      <c r="F1293" s="1187">
        <v>0</v>
      </c>
      <c r="G1293" s="761" t="s">
        <v>631</v>
      </c>
      <c r="H1293" s="767"/>
      <c r="I1293" s="767"/>
      <c r="J1293" s="1187">
        <v>0</v>
      </c>
      <c r="K1293" s="1188">
        <v>0</v>
      </c>
    </row>
    <row r="1294" spans="1:11" ht="40.799999999999997" x14ac:dyDescent="0.3">
      <c r="A1294" s="761" t="s">
        <v>190</v>
      </c>
      <c r="B1294" s="765">
        <v>2020</v>
      </c>
      <c r="C1294" s="761" t="s">
        <v>2350</v>
      </c>
      <c r="D1294" s="761" t="s">
        <v>635</v>
      </c>
      <c r="E1294" s="761" t="s">
        <v>1935</v>
      </c>
      <c r="F1294" s="1187">
        <v>0</v>
      </c>
      <c r="G1294" s="761" t="s">
        <v>631</v>
      </c>
      <c r="H1294" s="767"/>
      <c r="I1294" s="767"/>
      <c r="J1294" s="1187">
        <v>0</v>
      </c>
      <c r="K1294" s="1188">
        <v>0</v>
      </c>
    </row>
    <row r="1295" spans="1:11" ht="40.799999999999997" x14ac:dyDescent="0.3">
      <c r="A1295" s="761" t="s">
        <v>190</v>
      </c>
      <c r="B1295" s="765">
        <v>2020</v>
      </c>
      <c r="C1295" s="761" t="s">
        <v>2350</v>
      </c>
      <c r="D1295" s="761" t="s">
        <v>636</v>
      </c>
      <c r="E1295" s="761" t="s">
        <v>1936</v>
      </c>
      <c r="F1295" s="1187">
        <v>0</v>
      </c>
      <c r="G1295" s="761" t="s">
        <v>631</v>
      </c>
      <c r="H1295" s="767"/>
      <c r="I1295" s="767"/>
      <c r="J1295" s="1187">
        <v>0</v>
      </c>
      <c r="K1295" s="1188">
        <v>0</v>
      </c>
    </row>
    <row r="1296" spans="1:11" ht="40.799999999999997" x14ac:dyDescent="0.3">
      <c r="A1296" s="761" t="s">
        <v>190</v>
      </c>
      <c r="B1296" s="765">
        <v>2020</v>
      </c>
      <c r="C1296" s="761" t="s">
        <v>2350</v>
      </c>
      <c r="D1296" s="761" t="s">
        <v>637</v>
      </c>
      <c r="E1296" s="761" t="s">
        <v>1937</v>
      </c>
      <c r="F1296" s="1187">
        <v>0</v>
      </c>
      <c r="G1296" s="761" t="s">
        <v>631</v>
      </c>
      <c r="H1296" s="767"/>
      <c r="I1296" s="767"/>
      <c r="J1296" s="1187">
        <v>0</v>
      </c>
      <c r="K1296" s="1188">
        <v>0</v>
      </c>
    </row>
    <row r="1297" spans="1:11" ht="40.799999999999997" x14ac:dyDescent="0.3">
      <c r="A1297" s="761" t="s">
        <v>190</v>
      </c>
      <c r="B1297" s="765">
        <v>2020</v>
      </c>
      <c r="C1297" s="761" t="s">
        <v>2350</v>
      </c>
      <c r="D1297" s="761" t="s">
        <v>638</v>
      </c>
      <c r="E1297" s="761" t="s">
        <v>1938</v>
      </c>
      <c r="F1297" s="1187">
        <v>0</v>
      </c>
      <c r="G1297" s="761" t="s">
        <v>631</v>
      </c>
      <c r="H1297" s="767"/>
      <c r="I1297" s="767"/>
      <c r="J1297" s="1187">
        <v>0</v>
      </c>
      <c r="K1297" s="1188">
        <v>0</v>
      </c>
    </row>
    <row r="1298" spans="1:11" ht="40.799999999999997" x14ac:dyDescent="0.3">
      <c r="A1298" s="761" t="s">
        <v>190</v>
      </c>
      <c r="B1298" s="765">
        <v>2020</v>
      </c>
      <c r="C1298" s="761" t="s">
        <v>2350</v>
      </c>
      <c r="D1298" s="761" t="s">
        <v>639</v>
      </c>
      <c r="E1298" s="761" t="s">
        <v>1939</v>
      </c>
      <c r="F1298" s="1187">
        <v>0</v>
      </c>
      <c r="G1298" s="761" t="s">
        <v>631</v>
      </c>
      <c r="H1298" s="767"/>
      <c r="I1298" s="767"/>
      <c r="J1298" s="1187">
        <v>0</v>
      </c>
      <c r="K1298" s="1188">
        <v>0</v>
      </c>
    </row>
    <row r="1299" spans="1:11" ht="40.799999999999997" x14ac:dyDescent="0.3">
      <c r="A1299" s="761" t="s">
        <v>190</v>
      </c>
      <c r="B1299" s="765">
        <v>2020</v>
      </c>
      <c r="C1299" s="761" t="s">
        <v>2350</v>
      </c>
      <c r="D1299" s="761" t="s">
        <v>1613</v>
      </c>
      <c r="E1299" s="761" t="s">
        <v>1995</v>
      </c>
      <c r="F1299" s="1187">
        <v>0</v>
      </c>
      <c r="G1299" s="761" t="s">
        <v>631</v>
      </c>
      <c r="H1299" s="767"/>
      <c r="I1299" s="767"/>
      <c r="J1299" s="1187">
        <v>0</v>
      </c>
      <c r="K1299" s="1188">
        <v>0</v>
      </c>
    </row>
    <row r="1300" spans="1:11" ht="40.799999999999997" x14ac:dyDescent="0.3">
      <c r="A1300" s="761" t="s">
        <v>190</v>
      </c>
      <c r="B1300" s="765">
        <v>2020</v>
      </c>
      <c r="C1300" s="761" t="s">
        <v>2350</v>
      </c>
      <c r="D1300" s="761" t="s">
        <v>2067</v>
      </c>
      <c r="E1300" s="761" t="s">
        <v>2109</v>
      </c>
      <c r="F1300" s="1187">
        <v>0</v>
      </c>
      <c r="G1300" s="761" t="s">
        <v>631</v>
      </c>
      <c r="H1300" s="767"/>
      <c r="I1300" s="767"/>
      <c r="J1300" s="1187">
        <v>0</v>
      </c>
      <c r="K1300" s="1188">
        <v>0</v>
      </c>
    </row>
    <row r="1301" spans="1:11" ht="40.799999999999997" x14ac:dyDescent="0.3">
      <c r="A1301" s="761" t="s">
        <v>190</v>
      </c>
      <c r="B1301" s="765">
        <v>2020</v>
      </c>
      <c r="C1301" s="761" t="s">
        <v>2350</v>
      </c>
      <c r="D1301" s="761" t="s">
        <v>3762</v>
      </c>
      <c r="E1301" s="761" t="s">
        <v>4368</v>
      </c>
      <c r="F1301" s="1187">
        <v>0</v>
      </c>
      <c r="G1301" s="761" t="s">
        <v>631</v>
      </c>
      <c r="H1301" s="1187">
        <v>-3705.40991210938</v>
      </c>
      <c r="I1301" s="1187">
        <v>616.19000244140602</v>
      </c>
      <c r="J1301" s="1187">
        <v>-3089.21997070313</v>
      </c>
      <c r="K1301" s="1188">
        <v>-3089.22</v>
      </c>
    </row>
    <row r="1302" spans="1:11" ht="40.799999999999997" x14ac:dyDescent="0.3">
      <c r="A1302" s="761" t="s">
        <v>190</v>
      </c>
      <c r="B1302" s="765">
        <v>2020</v>
      </c>
      <c r="C1302" s="761" t="s">
        <v>2350</v>
      </c>
      <c r="D1302" s="761" t="s">
        <v>4844</v>
      </c>
      <c r="E1302" s="761" t="s">
        <v>5823</v>
      </c>
      <c r="F1302" s="1187">
        <v>0</v>
      </c>
      <c r="G1302" s="761" t="s">
        <v>631</v>
      </c>
      <c r="H1302" s="1187">
        <v>-73021.796875</v>
      </c>
      <c r="I1302" s="1187">
        <v>70513.1484375</v>
      </c>
      <c r="J1302" s="1187">
        <v>-2508.64990234375</v>
      </c>
      <c r="K1302" s="1188">
        <v>-2508.6500000000101</v>
      </c>
    </row>
    <row r="1303" spans="1:11" ht="40.799999999999997" x14ac:dyDescent="0.3">
      <c r="A1303" s="761" t="s">
        <v>190</v>
      </c>
      <c r="B1303" s="765">
        <v>2020</v>
      </c>
      <c r="C1303" s="761" t="s">
        <v>2350</v>
      </c>
      <c r="D1303" s="761" t="s">
        <v>7101</v>
      </c>
      <c r="E1303" s="761" t="s">
        <v>7190</v>
      </c>
      <c r="F1303" s="1187">
        <v>0</v>
      </c>
      <c r="G1303" s="761" t="s">
        <v>631</v>
      </c>
      <c r="H1303" s="1187">
        <v>-322040.90625</v>
      </c>
      <c r="I1303" s="1187">
        <v>12435.349609375</v>
      </c>
      <c r="J1303" s="1187">
        <v>-309605.5625</v>
      </c>
      <c r="K1303" s="1188">
        <v>-309605.57</v>
      </c>
    </row>
    <row r="1304" spans="1:11" ht="40.799999999999997" x14ac:dyDescent="0.3">
      <c r="A1304" s="761" t="s">
        <v>190</v>
      </c>
      <c r="B1304" s="765">
        <v>2020</v>
      </c>
      <c r="C1304" s="761" t="s">
        <v>2350</v>
      </c>
      <c r="D1304" s="761" t="s">
        <v>640</v>
      </c>
      <c r="E1304" s="761" t="s">
        <v>1940</v>
      </c>
      <c r="F1304" s="1187">
        <v>-315203.44</v>
      </c>
      <c r="G1304" s="766"/>
      <c r="H1304" s="767"/>
      <c r="I1304" s="767"/>
      <c r="J1304" s="1187">
        <v>0</v>
      </c>
      <c r="K1304" s="1188">
        <v>-315203.44</v>
      </c>
    </row>
    <row r="1305" spans="1:11" x14ac:dyDescent="0.3">
      <c r="A1305" s="761" t="s">
        <v>4692</v>
      </c>
      <c r="B1305" s="765">
        <v>2020</v>
      </c>
      <c r="C1305" s="761" t="s">
        <v>2342</v>
      </c>
      <c r="D1305" s="761" t="s">
        <v>45</v>
      </c>
      <c r="E1305" s="761" t="s">
        <v>7191</v>
      </c>
      <c r="F1305" s="1187">
        <v>0</v>
      </c>
      <c r="G1305" s="761" t="s">
        <v>631</v>
      </c>
      <c r="H1305" s="767"/>
      <c r="I1305" s="767"/>
      <c r="J1305" s="1187">
        <v>0</v>
      </c>
      <c r="K1305" s="1188">
        <v>0</v>
      </c>
    </row>
    <row r="1306" spans="1:11" ht="30.6" x14ac:dyDescent="0.3">
      <c r="A1306" s="761" t="s">
        <v>4692</v>
      </c>
      <c r="B1306" s="765">
        <v>2020</v>
      </c>
      <c r="C1306" s="761" t="s">
        <v>2343</v>
      </c>
      <c r="D1306" s="761" t="s">
        <v>632</v>
      </c>
      <c r="E1306" s="761" t="s">
        <v>7192</v>
      </c>
      <c r="F1306" s="1187">
        <v>-37109.79</v>
      </c>
      <c r="G1306" s="761" t="s">
        <v>631</v>
      </c>
      <c r="H1306" s="1187">
        <v>-35951.16015625</v>
      </c>
      <c r="I1306" s="1187">
        <v>-1158.63000488281</v>
      </c>
      <c r="J1306" s="1187">
        <v>-37109.7890625</v>
      </c>
      <c r="K1306" s="1188">
        <v>-37109.79</v>
      </c>
    </row>
    <row r="1307" spans="1:11" ht="20.399999999999999" x14ac:dyDescent="0.3">
      <c r="A1307" s="761" t="s">
        <v>4692</v>
      </c>
      <c r="B1307" s="765">
        <v>2020</v>
      </c>
      <c r="C1307" s="761" t="s">
        <v>2344</v>
      </c>
      <c r="D1307" s="761" t="s">
        <v>452</v>
      </c>
      <c r="E1307" s="761" t="s">
        <v>7193</v>
      </c>
      <c r="F1307" s="1187">
        <v>218752.53</v>
      </c>
      <c r="G1307" s="766"/>
      <c r="H1307" s="767"/>
      <c r="I1307" s="767"/>
      <c r="J1307" s="1187">
        <v>0</v>
      </c>
      <c r="K1307" s="1188">
        <v>218752.53</v>
      </c>
    </row>
    <row r="1308" spans="1:11" ht="20.399999999999999" x14ac:dyDescent="0.3">
      <c r="A1308" s="761" t="s">
        <v>4692</v>
      </c>
      <c r="B1308" s="765">
        <v>2020</v>
      </c>
      <c r="C1308" s="761" t="s">
        <v>2345</v>
      </c>
      <c r="D1308" s="761" t="s">
        <v>42</v>
      </c>
      <c r="E1308" s="761" t="s">
        <v>7194</v>
      </c>
      <c r="F1308" s="1187">
        <v>-792028.45</v>
      </c>
      <c r="G1308" s="761" t="s">
        <v>631</v>
      </c>
      <c r="H1308" s="1187">
        <v>-768892.25</v>
      </c>
      <c r="I1308" s="1187">
        <v>-23136.220703125</v>
      </c>
      <c r="J1308" s="1187">
        <v>-792028.4375</v>
      </c>
      <c r="K1308" s="1188">
        <v>-792028.45</v>
      </c>
    </row>
    <row r="1309" spans="1:11" ht="20.399999999999999" x14ac:dyDescent="0.3">
      <c r="A1309" s="761" t="s">
        <v>4692</v>
      </c>
      <c r="B1309" s="765">
        <v>2020</v>
      </c>
      <c r="C1309" s="761" t="s">
        <v>2345</v>
      </c>
      <c r="D1309" s="761" t="s">
        <v>2063</v>
      </c>
      <c r="E1309" s="761" t="s">
        <v>7194</v>
      </c>
      <c r="F1309" s="1187">
        <v>0</v>
      </c>
      <c r="G1309" s="766"/>
      <c r="H1309" s="767"/>
      <c r="I1309" s="767"/>
      <c r="J1309" s="1187">
        <v>0</v>
      </c>
      <c r="K1309" s="1188">
        <v>0</v>
      </c>
    </row>
    <row r="1310" spans="1:11" ht="20.399999999999999" x14ac:dyDescent="0.3">
      <c r="A1310" s="761" t="s">
        <v>4692</v>
      </c>
      <c r="B1310" s="765">
        <v>2020</v>
      </c>
      <c r="C1310" s="761" t="s">
        <v>2345</v>
      </c>
      <c r="D1310" s="761" t="s">
        <v>2064</v>
      </c>
      <c r="E1310" s="761" t="s">
        <v>7194</v>
      </c>
      <c r="F1310" s="1187">
        <v>0</v>
      </c>
      <c r="G1310" s="766"/>
      <c r="H1310" s="767"/>
      <c r="I1310" s="767"/>
      <c r="J1310" s="1187">
        <v>0</v>
      </c>
      <c r="K1310" s="1188">
        <v>0</v>
      </c>
    </row>
    <row r="1311" spans="1:11" ht="20.399999999999999" x14ac:dyDescent="0.3">
      <c r="A1311" s="761" t="s">
        <v>4692</v>
      </c>
      <c r="B1311" s="765">
        <v>2020</v>
      </c>
      <c r="C1311" s="761" t="s">
        <v>2345</v>
      </c>
      <c r="D1311" s="761" t="s">
        <v>2065</v>
      </c>
      <c r="E1311" s="761" t="s">
        <v>7194</v>
      </c>
      <c r="F1311" s="1187">
        <v>-2410.41</v>
      </c>
      <c r="G1311" s="766"/>
      <c r="H1311" s="767"/>
      <c r="I1311" s="767"/>
      <c r="J1311" s="1187">
        <v>0</v>
      </c>
      <c r="K1311" s="1188">
        <v>-2410.41</v>
      </c>
    </row>
    <row r="1312" spans="1:11" ht="20.399999999999999" x14ac:dyDescent="0.3">
      <c r="A1312" s="761" t="s">
        <v>4692</v>
      </c>
      <c r="B1312" s="765">
        <v>2020</v>
      </c>
      <c r="C1312" s="761" t="s">
        <v>2345</v>
      </c>
      <c r="D1312" s="761" t="s">
        <v>2066</v>
      </c>
      <c r="E1312" s="761" t="s">
        <v>7194</v>
      </c>
      <c r="F1312" s="1187">
        <v>-100708.41</v>
      </c>
      <c r="G1312" s="766"/>
      <c r="H1312" s="767"/>
      <c r="I1312" s="767"/>
      <c r="J1312" s="1187">
        <v>0</v>
      </c>
      <c r="K1312" s="1188">
        <v>-100708.41</v>
      </c>
    </row>
    <row r="1313" spans="1:11" ht="30.6" x14ac:dyDescent="0.3">
      <c r="A1313" s="761" t="s">
        <v>4692</v>
      </c>
      <c r="B1313" s="765">
        <v>2020</v>
      </c>
      <c r="C1313" s="761" t="s">
        <v>2346</v>
      </c>
      <c r="D1313" s="761" t="s">
        <v>43</v>
      </c>
      <c r="E1313" s="761" t="s">
        <v>7195</v>
      </c>
      <c r="F1313" s="1187">
        <v>546983.87</v>
      </c>
      <c r="G1313" s="761" t="s">
        <v>631</v>
      </c>
      <c r="H1313" s="1187">
        <v>532340.75</v>
      </c>
      <c r="I1313" s="1187">
        <v>14643.08984375</v>
      </c>
      <c r="J1313" s="1187">
        <v>546983.875</v>
      </c>
      <c r="K1313" s="1188">
        <v>546983.87</v>
      </c>
    </row>
    <row r="1314" spans="1:11" ht="30.6" x14ac:dyDescent="0.3">
      <c r="A1314" s="761" t="s">
        <v>4692</v>
      </c>
      <c r="B1314" s="765">
        <v>2020</v>
      </c>
      <c r="C1314" s="761" t="s">
        <v>2347</v>
      </c>
      <c r="D1314" s="761" t="s">
        <v>44</v>
      </c>
      <c r="E1314" s="761" t="s">
        <v>7196</v>
      </c>
      <c r="F1314" s="1187">
        <v>486433.66</v>
      </c>
      <c r="G1314" s="761" t="s">
        <v>631</v>
      </c>
      <c r="H1314" s="1187">
        <v>468380.34375</v>
      </c>
      <c r="I1314" s="1187">
        <v>18053.3203125</v>
      </c>
      <c r="J1314" s="1187">
        <v>486433.65625</v>
      </c>
      <c r="K1314" s="1188">
        <v>486433.66</v>
      </c>
    </row>
    <row r="1315" spans="1:11" ht="30.6" x14ac:dyDescent="0.3">
      <c r="A1315" s="761" t="s">
        <v>4692</v>
      </c>
      <c r="B1315" s="765">
        <v>2020</v>
      </c>
      <c r="C1315" s="761" t="s">
        <v>2348</v>
      </c>
      <c r="D1315" s="761" t="s">
        <v>46</v>
      </c>
      <c r="E1315" s="761" t="s">
        <v>7197</v>
      </c>
      <c r="F1315" s="1187">
        <v>-79555.199999999997</v>
      </c>
      <c r="G1315" s="761" t="s">
        <v>631</v>
      </c>
      <c r="H1315" s="1187">
        <v>-71026.2578125</v>
      </c>
      <c r="I1315" s="1187">
        <v>-8528.9404296875</v>
      </c>
      <c r="J1315" s="1187">
        <v>-79555.203125</v>
      </c>
      <c r="K1315" s="1188">
        <v>-79555.199999999997</v>
      </c>
    </row>
    <row r="1316" spans="1:11" ht="20.399999999999999" x14ac:dyDescent="0.3">
      <c r="A1316" s="761" t="s">
        <v>4692</v>
      </c>
      <c r="B1316" s="765">
        <v>2020</v>
      </c>
      <c r="C1316" s="761" t="s">
        <v>2349</v>
      </c>
      <c r="D1316" s="761" t="s">
        <v>339</v>
      </c>
      <c r="E1316" s="761" t="s">
        <v>7198</v>
      </c>
      <c r="F1316" s="1187">
        <v>435741.91</v>
      </c>
      <c r="G1316" s="761" t="s">
        <v>631</v>
      </c>
      <c r="H1316" s="1187">
        <v>426510.59375</v>
      </c>
      <c r="I1316" s="1187">
        <v>9231.3203125</v>
      </c>
      <c r="J1316" s="1187">
        <v>435741.90625</v>
      </c>
      <c r="K1316" s="1188">
        <v>435741.91</v>
      </c>
    </row>
    <row r="1317" spans="1:11" ht="40.799999999999997" x14ac:dyDescent="0.3">
      <c r="A1317" s="761" t="s">
        <v>4692</v>
      </c>
      <c r="B1317" s="765">
        <v>2020</v>
      </c>
      <c r="C1317" s="761" t="s">
        <v>2350</v>
      </c>
      <c r="D1317" s="761" t="s">
        <v>633</v>
      </c>
      <c r="E1317" s="761" t="s">
        <v>7199</v>
      </c>
      <c r="F1317" s="1187">
        <v>0</v>
      </c>
      <c r="G1317" s="761" t="s">
        <v>631</v>
      </c>
      <c r="H1317" s="1187">
        <v>0</v>
      </c>
      <c r="I1317" s="767"/>
      <c r="J1317" s="1187">
        <v>0</v>
      </c>
      <c r="K1317" s="1188">
        <v>0</v>
      </c>
    </row>
    <row r="1318" spans="1:11" ht="40.799999999999997" x14ac:dyDescent="0.3">
      <c r="A1318" s="761" t="s">
        <v>4692</v>
      </c>
      <c r="B1318" s="765">
        <v>2020</v>
      </c>
      <c r="C1318" s="761" t="s">
        <v>2350</v>
      </c>
      <c r="D1318" s="761" t="s">
        <v>634</v>
      </c>
      <c r="E1318" s="761" t="s">
        <v>7200</v>
      </c>
      <c r="F1318" s="1187">
        <v>0</v>
      </c>
      <c r="G1318" s="761" t="s">
        <v>631</v>
      </c>
      <c r="H1318" s="1187">
        <v>0</v>
      </c>
      <c r="I1318" s="767"/>
      <c r="J1318" s="1187">
        <v>0</v>
      </c>
      <c r="K1318" s="1188">
        <v>0</v>
      </c>
    </row>
    <row r="1319" spans="1:11" ht="40.799999999999997" x14ac:dyDescent="0.3">
      <c r="A1319" s="761" t="s">
        <v>4692</v>
      </c>
      <c r="B1319" s="765">
        <v>2020</v>
      </c>
      <c r="C1319" s="761" t="s">
        <v>2350</v>
      </c>
      <c r="D1319" s="761" t="s">
        <v>635</v>
      </c>
      <c r="E1319" s="761" t="s">
        <v>7201</v>
      </c>
      <c r="F1319" s="1187">
        <v>0</v>
      </c>
      <c r="G1319" s="761" t="s">
        <v>631</v>
      </c>
      <c r="H1319" s="767"/>
      <c r="I1319" s="767"/>
      <c r="J1319" s="1187">
        <v>0</v>
      </c>
      <c r="K1319" s="1188">
        <v>0</v>
      </c>
    </row>
    <row r="1320" spans="1:11" ht="40.799999999999997" x14ac:dyDescent="0.3">
      <c r="A1320" s="761" t="s">
        <v>4692</v>
      </c>
      <c r="B1320" s="765">
        <v>2020</v>
      </c>
      <c r="C1320" s="761" t="s">
        <v>2350</v>
      </c>
      <c r="D1320" s="761" t="s">
        <v>636</v>
      </c>
      <c r="E1320" s="761" t="s">
        <v>7202</v>
      </c>
      <c r="F1320" s="1187">
        <v>0</v>
      </c>
      <c r="G1320" s="761" t="s">
        <v>631</v>
      </c>
      <c r="H1320" s="767"/>
      <c r="I1320" s="767"/>
      <c r="J1320" s="1187">
        <v>0</v>
      </c>
      <c r="K1320" s="1188">
        <v>0</v>
      </c>
    </row>
    <row r="1321" spans="1:11" ht="40.799999999999997" x14ac:dyDescent="0.3">
      <c r="A1321" s="761" t="s">
        <v>4692</v>
      </c>
      <c r="B1321" s="765">
        <v>2020</v>
      </c>
      <c r="C1321" s="761" t="s">
        <v>2350</v>
      </c>
      <c r="D1321" s="761" t="s">
        <v>637</v>
      </c>
      <c r="E1321" s="761" t="s">
        <v>7203</v>
      </c>
      <c r="F1321" s="1187">
        <v>0</v>
      </c>
      <c r="G1321" s="761" t="s">
        <v>631</v>
      </c>
      <c r="H1321" s="767"/>
      <c r="I1321" s="767"/>
      <c r="J1321" s="1187">
        <v>0</v>
      </c>
      <c r="K1321" s="1188">
        <v>0</v>
      </c>
    </row>
    <row r="1322" spans="1:11" ht="40.799999999999997" x14ac:dyDescent="0.3">
      <c r="A1322" s="761" t="s">
        <v>4692</v>
      </c>
      <c r="B1322" s="765">
        <v>2020</v>
      </c>
      <c r="C1322" s="761" t="s">
        <v>2350</v>
      </c>
      <c r="D1322" s="761" t="s">
        <v>638</v>
      </c>
      <c r="E1322" s="761" t="s">
        <v>7204</v>
      </c>
      <c r="F1322" s="1187">
        <v>0</v>
      </c>
      <c r="G1322" s="761" t="s">
        <v>631</v>
      </c>
      <c r="H1322" s="767"/>
      <c r="I1322" s="767"/>
      <c r="J1322" s="1187">
        <v>0</v>
      </c>
      <c r="K1322" s="1188">
        <v>0</v>
      </c>
    </row>
    <row r="1323" spans="1:11" ht="40.799999999999997" x14ac:dyDescent="0.3">
      <c r="A1323" s="761" t="s">
        <v>4692</v>
      </c>
      <c r="B1323" s="765">
        <v>2020</v>
      </c>
      <c r="C1323" s="761" t="s">
        <v>2350</v>
      </c>
      <c r="D1323" s="761" t="s">
        <v>639</v>
      </c>
      <c r="E1323" s="761" t="s">
        <v>7205</v>
      </c>
      <c r="F1323" s="1187">
        <v>0</v>
      </c>
      <c r="G1323" s="761" t="s">
        <v>631</v>
      </c>
      <c r="H1323" s="767"/>
      <c r="I1323" s="767"/>
      <c r="J1323" s="1187">
        <v>0</v>
      </c>
      <c r="K1323" s="1188">
        <v>0</v>
      </c>
    </row>
    <row r="1324" spans="1:11" ht="40.799999999999997" x14ac:dyDescent="0.3">
      <c r="A1324" s="761" t="s">
        <v>4692</v>
      </c>
      <c r="B1324" s="765">
        <v>2020</v>
      </c>
      <c r="C1324" s="761" t="s">
        <v>2350</v>
      </c>
      <c r="D1324" s="761" t="s">
        <v>1613</v>
      </c>
      <c r="E1324" s="761" t="s">
        <v>7206</v>
      </c>
      <c r="F1324" s="1187">
        <v>0</v>
      </c>
      <c r="G1324" s="761" t="s">
        <v>631</v>
      </c>
      <c r="H1324" s="767"/>
      <c r="I1324" s="767"/>
      <c r="J1324" s="1187">
        <v>0</v>
      </c>
      <c r="K1324" s="1188">
        <v>0</v>
      </c>
    </row>
    <row r="1325" spans="1:11" ht="40.799999999999997" x14ac:dyDescent="0.3">
      <c r="A1325" s="761" t="s">
        <v>4692</v>
      </c>
      <c r="B1325" s="765">
        <v>2020</v>
      </c>
      <c r="C1325" s="761" t="s">
        <v>2350</v>
      </c>
      <c r="D1325" s="761" t="s">
        <v>2067</v>
      </c>
      <c r="E1325" s="761" t="s">
        <v>7207</v>
      </c>
      <c r="F1325" s="1187">
        <v>0</v>
      </c>
      <c r="G1325" s="761" t="s">
        <v>631</v>
      </c>
      <c r="H1325" s="1187">
        <v>0</v>
      </c>
      <c r="I1325" s="1187">
        <v>0</v>
      </c>
      <c r="J1325" s="1187">
        <v>0</v>
      </c>
      <c r="K1325" s="1188">
        <v>0</v>
      </c>
    </row>
    <row r="1326" spans="1:11" ht="40.799999999999997" x14ac:dyDescent="0.3">
      <c r="A1326" s="761" t="s">
        <v>4692</v>
      </c>
      <c r="B1326" s="765">
        <v>2020</v>
      </c>
      <c r="C1326" s="761" t="s">
        <v>2350</v>
      </c>
      <c r="D1326" s="761" t="s">
        <v>3762</v>
      </c>
      <c r="E1326" s="761" t="s">
        <v>7208</v>
      </c>
      <c r="F1326" s="1187">
        <v>0</v>
      </c>
      <c r="G1326" s="761" t="s">
        <v>631</v>
      </c>
      <c r="H1326" s="1187">
        <v>175581.5625</v>
      </c>
      <c r="I1326" s="1187">
        <v>-40101.109375</v>
      </c>
      <c r="J1326" s="1187">
        <v>135480.453125</v>
      </c>
      <c r="K1326" s="1188">
        <v>135480.45000000001</v>
      </c>
    </row>
    <row r="1327" spans="1:11" ht="40.799999999999997" x14ac:dyDescent="0.3">
      <c r="A1327" s="761" t="s">
        <v>4692</v>
      </c>
      <c r="B1327" s="765">
        <v>2020</v>
      </c>
      <c r="C1327" s="761" t="s">
        <v>2350</v>
      </c>
      <c r="D1327" s="761" t="s">
        <v>4844</v>
      </c>
      <c r="E1327" s="761" t="s">
        <v>7209</v>
      </c>
      <c r="F1327" s="1187">
        <v>0</v>
      </c>
      <c r="G1327" s="761" t="s">
        <v>631</v>
      </c>
      <c r="H1327" s="1187">
        <v>150287.03125</v>
      </c>
      <c r="I1327" s="1187">
        <v>-150059.703125</v>
      </c>
      <c r="J1327" s="1187">
        <v>227.32000732421901</v>
      </c>
      <c r="K1327" s="1188">
        <v>227.32000000000701</v>
      </c>
    </row>
    <row r="1328" spans="1:11" ht="40.799999999999997" x14ac:dyDescent="0.3">
      <c r="A1328" s="761" t="s">
        <v>4692</v>
      </c>
      <c r="B1328" s="765">
        <v>2020</v>
      </c>
      <c r="C1328" s="761" t="s">
        <v>2350</v>
      </c>
      <c r="D1328" s="761" t="s">
        <v>7101</v>
      </c>
      <c r="E1328" s="761" t="s">
        <v>7210</v>
      </c>
      <c r="F1328" s="1187">
        <v>0</v>
      </c>
      <c r="G1328" s="761" t="s">
        <v>631</v>
      </c>
      <c r="H1328" s="1187">
        <v>33539.640625</v>
      </c>
      <c r="I1328" s="1187">
        <v>-450047.59375</v>
      </c>
      <c r="J1328" s="1187">
        <v>-416507.9375</v>
      </c>
      <c r="K1328" s="1188">
        <v>-416507.94</v>
      </c>
    </row>
    <row r="1329" spans="1:11" ht="40.799999999999997" x14ac:dyDescent="0.3">
      <c r="A1329" s="761" t="s">
        <v>4692</v>
      </c>
      <c r="B1329" s="765">
        <v>2020</v>
      </c>
      <c r="C1329" s="761" t="s">
        <v>2350</v>
      </c>
      <c r="D1329" s="761" t="s">
        <v>640</v>
      </c>
      <c r="E1329" s="761" t="s">
        <v>7211</v>
      </c>
      <c r="F1329" s="1187">
        <v>-280800.17</v>
      </c>
      <c r="G1329" s="766"/>
      <c r="H1329" s="767"/>
      <c r="I1329" s="767"/>
      <c r="J1329" s="1187">
        <v>0</v>
      </c>
      <c r="K1329" s="1188">
        <v>-280800.17</v>
      </c>
    </row>
    <row r="1330" spans="1:11" x14ac:dyDescent="0.3">
      <c r="A1330" s="761" t="s">
        <v>191</v>
      </c>
      <c r="B1330" s="765">
        <v>2020</v>
      </c>
      <c r="C1330" s="761" t="s">
        <v>2342</v>
      </c>
      <c r="D1330" s="761" t="s">
        <v>45</v>
      </c>
      <c r="E1330" s="761" t="s">
        <v>961</v>
      </c>
      <c r="F1330" s="1187">
        <v>0</v>
      </c>
      <c r="G1330" s="761" t="s">
        <v>631</v>
      </c>
      <c r="H1330" s="767"/>
      <c r="I1330" s="767"/>
      <c r="J1330" s="1187">
        <v>0</v>
      </c>
      <c r="K1330" s="1188">
        <v>0</v>
      </c>
    </row>
    <row r="1331" spans="1:11" ht="30.6" x14ac:dyDescent="0.3">
      <c r="A1331" s="761" t="s">
        <v>191</v>
      </c>
      <c r="B1331" s="765">
        <v>2020</v>
      </c>
      <c r="C1331" s="761" t="s">
        <v>2343</v>
      </c>
      <c r="D1331" s="761" t="s">
        <v>632</v>
      </c>
      <c r="E1331" s="761" t="s">
        <v>962</v>
      </c>
      <c r="F1331" s="1187">
        <v>-15943.61</v>
      </c>
      <c r="G1331" s="761" t="s">
        <v>631</v>
      </c>
      <c r="H1331" s="1187">
        <v>-15360.740234375</v>
      </c>
      <c r="I1331" s="1187">
        <v>-582.86999511718795</v>
      </c>
      <c r="J1331" s="1187">
        <v>-15943.6103515625</v>
      </c>
      <c r="K1331" s="1188">
        <v>-15943.61</v>
      </c>
    </row>
    <row r="1332" spans="1:11" ht="20.399999999999999" x14ac:dyDescent="0.3">
      <c r="A1332" s="761" t="s">
        <v>191</v>
      </c>
      <c r="B1332" s="765">
        <v>2020</v>
      </c>
      <c r="C1332" s="761" t="s">
        <v>2344</v>
      </c>
      <c r="D1332" s="761" t="s">
        <v>452</v>
      </c>
      <c r="E1332" s="761" t="s">
        <v>963</v>
      </c>
      <c r="F1332" s="1187">
        <v>21492.01</v>
      </c>
      <c r="G1332" s="766"/>
      <c r="H1332" s="767"/>
      <c r="I1332" s="767"/>
      <c r="J1332" s="1187">
        <v>0</v>
      </c>
      <c r="K1332" s="1188">
        <v>21492.01</v>
      </c>
    </row>
    <row r="1333" spans="1:11" ht="20.399999999999999" x14ac:dyDescent="0.3">
      <c r="A1333" s="761" t="s">
        <v>191</v>
      </c>
      <c r="B1333" s="765">
        <v>2020</v>
      </c>
      <c r="C1333" s="761" t="s">
        <v>2345</v>
      </c>
      <c r="D1333" s="761" t="s">
        <v>42</v>
      </c>
      <c r="E1333" s="761" t="s">
        <v>964</v>
      </c>
      <c r="F1333" s="1187">
        <v>-471254.34</v>
      </c>
      <c r="G1333" s="761" t="s">
        <v>631</v>
      </c>
      <c r="H1333" s="1187">
        <v>-446340.6875</v>
      </c>
      <c r="I1333" s="1187">
        <v>-24913.66015625</v>
      </c>
      <c r="J1333" s="1187">
        <v>-471254.34375</v>
      </c>
      <c r="K1333" s="1188">
        <v>-471254.34</v>
      </c>
    </row>
    <row r="1334" spans="1:11" ht="20.399999999999999" x14ac:dyDescent="0.3">
      <c r="A1334" s="761" t="s">
        <v>191</v>
      </c>
      <c r="B1334" s="765">
        <v>2020</v>
      </c>
      <c r="C1334" s="761" t="s">
        <v>2345</v>
      </c>
      <c r="D1334" s="761" t="s">
        <v>2063</v>
      </c>
      <c r="E1334" s="761" t="s">
        <v>964</v>
      </c>
      <c r="F1334" s="1187">
        <v>0</v>
      </c>
      <c r="G1334" s="766"/>
      <c r="H1334" s="767"/>
      <c r="I1334" s="767"/>
      <c r="J1334" s="1187">
        <v>0</v>
      </c>
      <c r="K1334" s="1188">
        <v>0</v>
      </c>
    </row>
    <row r="1335" spans="1:11" ht="20.399999999999999" x14ac:dyDescent="0.3">
      <c r="A1335" s="761" t="s">
        <v>191</v>
      </c>
      <c r="B1335" s="765">
        <v>2020</v>
      </c>
      <c r="C1335" s="761" t="s">
        <v>2345</v>
      </c>
      <c r="D1335" s="761" t="s">
        <v>2064</v>
      </c>
      <c r="E1335" s="761" t="s">
        <v>964</v>
      </c>
      <c r="F1335" s="1187">
        <v>0</v>
      </c>
      <c r="G1335" s="766"/>
      <c r="H1335" s="767"/>
      <c r="I1335" s="767"/>
      <c r="J1335" s="1187">
        <v>0</v>
      </c>
      <c r="K1335" s="1188">
        <v>0</v>
      </c>
    </row>
    <row r="1336" spans="1:11" ht="20.399999999999999" x14ac:dyDescent="0.3">
      <c r="A1336" s="761" t="s">
        <v>191</v>
      </c>
      <c r="B1336" s="765">
        <v>2020</v>
      </c>
      <c r="C1336" s="761" t="s">
        <v>2345</v>
      </c>
      <c r="D1336" s="761" t="s">
        <v>2065</v>
      </c>
      <c r="E1336" s="761" t="s">
        <v>964</v>
      </c>
      <c r="F1336" s="1187">
        <v>0</v>
      </c>
      <c r="G1336" s="766"/>
      <c r="H1336" s="767"/>
      <c r="I1336" s="767"/>
      <c r="J1336" s="1187">
        <v>0</v>
      </c>
      <c r="K1336" s="1188">
        <v>0</v>
      </c>
    </row>
    <row r="1337" spans="1:11" ht="20.399999999999999" x14ac:dyDescent="0.3">
      <c r="A1337" s="761" t="s">
        <v>191</v>
      </c>
      <c r="B1337" s="765">
        <v>2020</v>
      </c>
      <c r="C1337" s="761" t="s">
        <v>2345</v>
      </c>
      <c r="D1337" s="761" t="s">
        <v>2066</v>
      </c>
      <c r="E1337" s="761" t="s">
        <v>964</v>
      </c>
      <c r="F1337" s="1187">
        <v>0</v>
      </c>
      <c r="G1337" s="766"/>
      <c r="H1337" s="767"/>
      <c r="I1337" s="767"/>
      <c r="J1337" s="1187">
        <v>0</v>
      </c>
      <c r="K1337" s="1188">
        <v>0</v>
      </c>
    </row>
    <row r="1338" spans="1:11" ht="30.6" x14ac:dyDescent="0.3">
      <c r="A1338" s="761" t="s">
        <v>191</v>
      </c>
      <c r="B1338" s="765">
        <v>2020</v>
      </c>
      <c r="C1338" s="761" t="s">
        <v>2346</v>
      </c>
      <c r="D1338" s="761" t="s">
        <v>43</v>
      </c>
      <c r="E1338" s="761" t="s">
        <v>965</v>
      </c>
      <c r="F1338" s="1187">
        <v>-167076.79999999999</v>
      </c>
      <c r="G1338" s="761" t="s">
        <v>631</v>
      </c>
      <c r="H1338" s="1187">
        <v>-157504.015625</v>
      </c>
      <c r="I1338" s="1187">
        <v>-9572.7802734375</v>
      </c>
      <c r="J1338" s="1187">
        <v>-167076.796875</v>
      </c>
      <c r="K1338" s="1188">
        <v>-167076.79999999999</v>
      </c>
    </row>
    <row r="1339" spans="1:11" ht="30.6" x14ac:dyDescent="0.3">
      <c r="A1339" s="761" t="s">
        <v>191</v>
      </c>
      <c r="B1339" s="765">
        <v>2020</v>
      </c>
      <c r="C1339" s="761" t="s">
        <v>2347</v>
      </c>
      <c r="D1339" s="761" t="s">
        <v>44</v>
      </c>
      <c r="E1339" s="761" t="s">
        <v>966</v>
      </c>
      <c r="F1339" s="1187">
        <v>35778.83</v>
      </c>
      <c r="G1339" s="761" t="s">
        <v>631</v>
      </c>
      <c r="H1339" s="1187">
        <v>36545.91015625</v>
      </c>
      <c r="I1339" s="1187">
        <v>-767.08001708984398</v>
      </c>
      <c r="J1339" s="1187">
        <v>35778.828125</v>
      </c>
      <c r="K1339" s="1188">
        <v>35778.83</v>
      </c>
    </row>
    <row r="1340" spans="1:11" ht="30.6" x14ac:dyDescent="0.3">
      <c r="A1340" s="761" t="s">
        <v>191</v>
      </c>
      <c r="B1340" s="765">
        <v>2020</v>
      </c>
      <c r="C1340" s="761" t="s">
        <v>2348</v>
      </c>
      <c r="D1340" s="761" t="s">
        <v>46</v>
      </c>
      <c r="E1340" s="761" t="s">
        <v>967</v>
      </c>
      <c r="F1340" s="1187">
        <v>685597.29</v>
      </c>
      <c r="G1340" s="761" t="s">
        <v>631</v>
      </c>
      <c r="H1340" s="1187">
        <v>669903.25</v>
      </c>
      <c r="I1340" s="1187">
        <v>15694.0302734375</v>
      </c>
      <c r="J1340" s="1187">
        <v>685597.3125</v>
      </c>
      <c r="K1340" s="1188">
        <v>685597.29</v>
      </c>
    </row>
    <row r="1341" spans="1:11" ht="20.399999999999999" x14ac:dyDescent="0.3">
      <c r="A1341" s="761" t="s">
        <v>191</v>
      </c>
      <c r="B1341" s="765">
        <v>2020</v>
      </c>
      <c r="C1341" s="761" t="s">
        <v>2349</v>
      </c>
      <c r="D1341" s="761" t="s">
        <v>339</v>
      </c>
      <c r="E1341" s="761" t="s">
        <v>968</v>
      </c>
      <c r="F1341" s="1187">
        <v>-386335.78</v>
      </c>
      <c r="G1341" s="761" t="s">
        <v>631</v>
      </c>
      <c r="H1341" s="1187">
        <v>-396085.96875</v>
      </c>
      <c r="I1341" s="1187">
        <v>9750.1904296875</v>
      </c>
      <c r="J1341" s="1187">
        <v>-386335.78125</v>
      </c>
      <c r="K1341" s="1188">
        <v>-386335.78</v>
      </c>
    </row>
    <row r="1342" spans="1:11" ht="40.799999999999997" x14ac:dyDescent="0.3">
      <c r="A1342" s="761" t="s">
        <v>191</v>
      </c>
      <c r="B1342" s="765">
        <v>2020</v>
      </c>
      <c r="C1342" s="761" t="s">
        <v>2350</v>
      </c>
      <c r="D1342" s="761" t="s">
        <v>633</v>
      </c>
      <c r="E1342" s="761" t="s">
        <v>1297</v>
      </c>
      <c r="F1342" s="1187">
        <v>0</v>
      </c>
      <c r="G1342" s="761" t="s">
        <v>631</v>
      </c>
      <c r="H1342" s="767"/>
      <c r="I1342" s="767"/>
      <c r="J1342" s="1187">
        <v>0</v>
      </c>
      <c r="K1342" s="1188">
        <v>0</v>
      </c>
    </row>
    <row r="1343" spans="1:11" ht="40.799999999999997" x14ac:dyDescent="0.3">
      <c r="A1343" s="761" t="s">
        <v>191</v>
      </c>
      <c r="B1343" s="765">
        <v>2020</v>
      </c>
      <c r="C1343" s="761" t="s">
        <v>2350</v>
      </c>
      <c r="D1343" s="761" t="s">
        <v>634</v>
      </c>
      <c r="E1343" s="761" t="s">
        <v>1298</v>
      </c>
      <c r="F1343" s="1187">
        <v>0</v>
      </c>
      <c r="G1343" s="761" t="s">
        <v>631</v>
      </c>
      <c r="H1343" s="767"/>
      <c r="I1343" s="767"/>
      <c r="J1343" s="1187">
        <v>0</v>
      </c>
      <c r="K1343" s="1188">
        <v>0</v>
      </c>
    </row>
    <row r="1344" spans="1:11" ht="40.799999999999997" x14ac:dyDescent="0.3">
      <c r="A1344" s="761" t="s">
        <v>191</v>
      </c>
      <c r="B1344" s="765">
        <v>2020</v>
      </c>
      <c r="C1344" s="761" t="s">
        <v>2350</v>
      </c>
      <c r="D1344" s="761" t="s">
        <v>635</v>
      </c>
      <c r="E1344" s="761" t="s">
        <v>1299</v>
      </c>
      <c r="F1344" s="1187">
        <v>0</v>
      </c>
      <c r="G1344" s="761" t="s">
        <v>631</v>
      </c>
      <c r="H1344" s="767"/>
      <c r="I1344" s="767"/>
      <c r="J1344" s="1187">
        <v>0</v>
      </c>
      <c r="K1344" s="1188">
        <v>0</v>
      </c>
    </row>
    <row r="1345" spans="1:11" ht="40.799999999999997" x14ac:dyDescent="0.3">
      <c r="A1345" s="761" t="s">
        <v>191</v>
      </c>
      <c r="B1345" s="765">
        <v>2020</v>
      </c>
      <c r="C1345" s="761" t="s">
        <v>2350</v>
      </c>
      <c r="D1345" s="761" t="s">
        <v>636</v>
      </c>
      <c r="E1345" s="761" t="s">
        <v>1300</v>
      </c>
      <c r="F1345" s="1187">
        <v>0</v>
      </c>
      <c r="G1345" s="761" t="s">
        <v>631</v>
      </c>
      <c r="H1345" s="767"/>
      <c r="I1345" s="767"/>
      <c r="J1345" s="1187">
        <v>0</v>
      </c>
      <c r="K1345" s="1188">
        <v>0</v>
      </c>
    </row>
    <row r="1346" spans="1:11" ht="40.799999999999997" x14ac:dyDescent="0.3">
      <c r="A1346" s="761" t="s">
        <v>191</v>
      </c>
      <c r="B1346" s="765">
        <v>2020</v>
      </c>
      <c r="C1346" s="761" t="s">
        <v>2350</v>
      </c>
      <c r="D1346" s="761" t="s">
        <v>637</v>
      </c>
      <c r="E1346" s="761" t="s">
        <v>1301</v>
      </c>
      <c r="F1346" s="1187">
        <v>0</v>
      </c>
      <c r="G1346" s="761" t="s">
        <v>631</v>
      </c>
      <c r="H1346" s="767"/>
      <c r="I1346" s="767"/>
      <c r="J1346" s="1187">
        <v>0</v>
      </c>
      <c r="K1346" s="1188">
        <v>0</v>
      </c>
    </row>
    <row r="1347" spans="1:11" ht="40.799999999999997" x14ac:dyDescent="0.3">
      <c r="A1347" s="761" t="s">
        <v>191</v>
      </c>
      <c r="B1347" s="765">
        <v>2020</v>
      </c>
      <c r="C1347" s="761" t="s">
        <v>2350</v>
      </c>
      <c r="D1347" s="761" t="s">
        <v>638</v>
      </c>
      <c r="E1347" s="761" t="s">
        <v>1302</v>
      </c>
      <c r="F1347" s="1187">
        <v>0</v>
      </c>
      <c r="G1347" s="761" t="s">
        <v>631</v>
      </c>
      <c r="H1347" s="767"/>
      <c r="I1347" s="767"/>
      <c r="J1347" s="1187">
        <v>0</v>
      </c>
      <c r="K1347" s="1188">
        <v>0</v>
      </c>
    </row>
    <row r="1348" spans="1:11" ht="40.799999999999997" x14ac:dyDescent="0.3">
      <c r="A1348" s="761" t="s">
        <v>191</v>
      </c>
      <c r="B1348" s="765">
        <v>2020</v>
      </c>
      <c r="C1348" s="761" t="s">
        <v>2350</v>
      </c>
      <c r="D1348" s="761" t="s">
        <v>639</v>
      </c>
      <c r="E1348" s="761" t="s">
        <v>1303</v>
      </c>
      <c r="F1348" s="1187">
        <v>0</v>
      </c>
      <c r="G1348" s="761" t="s">
        <v>631</v>
      </c>
      <c r="H1348" s="767"/>
      <c r="I1348" s="767"/>
      <c r="J1348" s="1187">
        <v>0</v>
      </c>
      <c r="K1348" s="1188">
        <v>0</v>
      </c>
    </row>
    <row r="1349" spans="1:11" ht="40.799999999999997" x14ac:dyDescent="0.3">
      <c r="A1349" s="761" t="s">
        <v>191</v>
      </c>
      <c r="B1349" s="765">
        <v>2020</v>
      </c>
      <c r="C1349" s="761" t="s">
        <v>2350</v>
      </c>
      <c r="D1349" s="761" t="s">
        <v>1613</v>
      </c>
      <c r="E1349" s="761" t="s">
        <v>1996</v>
      </c>
      <c r="F1349" s="1187">
        <v>0</v>
      </c>
      <c r="G1349" s="761" t="s">
        <v>631</v>
      </c>
      <c r="H1349" s="1187">
        <v>-115658.8984375</v>
      </c>
      <c r="I1349" s="1187">
        <v>-21470.3203125</v>
      </c>
      <c r="J1349" s="1187">
        <v>-137129.21875</v>
      </c>
      <c r="K1349" s="1188">
        <v>-137129.22</v>
      </c>
    </row>
    <row r="1350" spans="1:11" ht="40.799999999999997" x14ac:dyDescent="0.3">
      <c r="A1350" s="761" t="s">
        <v>191</v>
      </c>
      <c r="B1350" s="765">
        <v>2020</v>
      </c>
      <c r="C1350" s="761" t="s">
        <v>2350</v>
      </c>
      <c r="D1350" s="761" t="s">
        <v>2067</v>
      </c>
      <c r="E1350" s="761" t="s">
        <v>2110</v>
      </c>
      <c r="F1350" s="1187">
        <v>0</v>
      </c>
      <c r="G1350" s="761" t="s">
        <v>631</v>
      </c>
      <c r="H1350" s="1187">
        <v>54541.0390625</v>
      </c>
      <c r="I1350" s="1187">
        <v>-32384.8203125</v>
      </c>
      <c r="J1350" s="1187">
        <v>22156.220703125</v>
      </c>
      <c r="K1350" s="1188">
        <v>22156.22</v>
      </c>
    </row>
    <row r="1351" spans="1:11" ht="40.799999999999997" x14ac:dyDescent="0.3">
      <c r="A1351" s="761" t="s">
        <v>191</v>
      </c>
      <c r="B1351" s="765">
        <v>2020</v>
      </c>
      <c r="C1351" s="761" t="s">
        <v>2350</v>
      </c>
      <c r="D1351" s="761" t="s">
        <v>3762</v>
      </c>
      <c r="E1351" s="761" t="s">
        <v>4369</v>
      </c>
      <c r="F1351" s="1187">
        <v>0</v>
      </c>
      <c r="G1351" s="761" t="s">
        <v>631</v>
      </c>
      <c r="H1351" s="1187">
        <v>111181.03125</v>
      </c>
      <c r="I1351" s="1187">
        <v>-4440.7001953125</v>
      </c>
      <c r="J1351" s="1187">
        <v>106740.328125</v>
      </c>
      <c r="K1351" s="1188">
        <v>106740.33</v>
      </c>
    </row>
    <row r="1352" spans="1:11" ht="40.799999999999997" x14ac:dyDescent="0.3">
      <c r="A1352" s="761" t="s">
        <v>191</v>
      </c>
      <c r="B1352" s="765">
        <v>2020</v>
      </c>
      <c r="C1352" s="761" t="s">
        <v>2350</v>
      </c>
      <c r="D1352" s="761" t="s">
        <v>4844</v>
      </c>
      <c r="E1352" s="761" t="s">
        <v>5824</v>
      </c>
      <c r="F1352" s="1187">
        <v>0</v>
      </c>
      <c r="G1352" s="761" t="s">
        <v>631</v>
      </c>
      <c r="H1352" s="767"/>
      <c r="I1352" s="767"/>
      <c r="J1352" s="1187">
        <v>0</v>
      </c>
      <c r="K1352" s="1188">
        <v>0</v>
      </c>
    </row>
    <row r="1353" spans="1:11" ht="40.799999999999997" x14ac:dyDescent="0.3">
      <c r="A1353" s="761" t="s">
        <v>191</v>
      </c>
      <c r="B1353" s="765">
        <v>2020</v>
      </c>
      <c r="C1353" s="761" t="s">
        <v>2350</v>
      </c>
      <c r="D1353" s="761" t="s">
        <v>7101</v>
      </c>
      <c r="E1353" s="761" t="s">
        <v>7212</v>
      </c>
      <c r="F1353" s="1187">
        <v>0</v>
      </c>
      <c r="G1353" s="761" t="s">
        <v>631</v>
      </c>
      <c r="H1353" s="767"/>
      <c r="I1353" s="767"/>
      <c r="J1353" s="1187">
        <v>0</v>
      </c>
      <c r="K1353" s="1188">
        <v>0</v>
      </c>
    </row>
    <row r="1354" spans="1:11" ht="40.799999999999997" x14ac:dyDescent="0.3">
      <c r="A1354" s="761" t="s">
        <v>191</v>
      </c>
      <c r="B1354" s="765">
        <v>2020</v>
      </c>
      <c r="C1354" s="761" t="s">
        <v>2350</v>
      </c>
      <c r="D1354" s="761" t="s">
        <v>640</v>
      </c>
      <c r="E1354" s="761" t="s">
        <v>1386</v>
      </c>
      <c r="F1354" s="1187">
        <v>-8232.67</v>
      </c>
      <c r="G1354" s="766"/>
      <c r="H1354" s="767"/>
      <c r="I1354" s="767"/>
      <c r="J1354" s="1187">
        <v>0</v>
      </c>
      <c r="K1354" s="1188">
        <v>-8232.67</v>
      </c>
    </row>
    <row r="1355" spans="1:11" ht="20.399999999999999" x14ac:dyDescent="0.3">
      <c r="A1355" s="761" t="s">
        <v>165</v>
      </c>
      <c r="B1355" s="765">
        <v>2020</v>
      </c>
      <c r="C1355" s="761" t="s">
        <v>2342</v>
      </c>
      <c r="D1355" s="761" t="s">
        <v>45</v>
      </c>
      <c r="E1355" s="761" t="s">
        <v>969</v>
      </c>
      <c r="F1355" s="1187">
        <v>730834.83</v>
      </c>
      <c r="G1355" s="761" t="s">
        <v>631</v>
      </c>
      <c r="H1355" s="1187">
        <v>716112</v>
      </c>
      <c r="I1355" s="1187">
        <v>14722.830078125</v>
      </c>
      <c r="J1355" s="1187">
        <v>730834.8125</v>
      </c>
      <c r="K1355" s="1188">
        <v>730834.83</v>
      </c>
    </row>
    <row r="1356" spans="1:11" ht="30.6" x14ac:dyDescent="0.3">
      <c r="A1356" s="761" t="s">
        <v>165</v>
      </c>
      <c r="B1356" s="765">
        <v>2020</v>
      </c>
      <c r="C1356" s="761" t="s">
        <v>2343</v>
      </c>
      <c r="D1356" s="761" t="s">
        <v>632</v>
      </c>
      <c r="E1356" s="761" t="s">
        <v>970</v>
      </c>
      <c r="F1356" s="1187">
        <v>-797366.26</v>
      </c>
      <c r="G1356" s="761" t="s">
        <v>631</v>
      </c>
      <c r="H1356" s="1187">
        <v>-767702.5</v>
      </c>
      <c r="I1356" s="1187">
        <v>-29663.740234375</v>
      </c>
      <c r="J1356" s="1187">
        <v>-797366.25</v>
      </c>
      <c r="K1356" s="1188">
        <v>-797366.26</v>
      </c>
    </row>
    <row r="1357" spans="1:11" ht="20.399999999999999" x14ac:dyDescent="0.3">
      <c r="A1357" s="761" t="s">
        <v>165</v>
      </c>
      <c r="B1357" s="765">
        <v>2020</v>
      </c>
      <c r="C1357" s="761" t="s">
        <v>2344</v>
      </c>
      <c r="D1357" s="761" t="s">
        <v>452</v>
      </c>
      <c r="E1357" s="761" t="s">
        <v>971</v>
      </c>
      <c r="F1357" s="1187">
        <v>34879171.020000003</v>
      </c>
      <c r="G1357" s="766"/>
      <c r="H1357" s="767"/>
      <c r="I1357" s="767"/>
      <c r="J1357" s="1187">
        <v>0</v>
      </c>
      <c r="K1357" s="1188">
        <v>34879171.020000003</v>
      </c>
    </row>
    <row r="1358" spans="1:11" ht="20.399999999999999" x14ac:dyDescent="0.3">
      <c r="A1358" s="761" t="s">
        <v>165</v>
      </c>
      <c r="B1358" s="765">
        <v>2020</v>
      </c>
      <c r="C1358" s="761" t="s">
        <v>2345</v>
      </c>
      <c r="D1358" s="761" t="s">
        <v>42</v>
      </c>
      <c r="E1358" s="761" t="s">
        <v>972</v>
      </c>
      <c r="F1358" s="1187">
        <v>-11806619.92</v>
      </c>
      <c r="G1358" s="761" t="s">
        <v>631</v>
      </c>
      <c r="H1358" s="1187">
        <v>-11659346</v>
      </c>
      <c r="I1358" s="1187">
        <v>-147274.09375</v>
      </c>
      <c r="J1358" s="1187">
        <v>-11806620</v>
      </c>
      <c r="K1358" s="1188">
        <v>-11806619.92</v>
      </c>
    </row>
    <row r="1359" spans="1:11" ht="20.399999999999999" x14ac:dyDescent="0.3">
      <c r="A1359" s="761" t="s">
        <v>165</v>
      </c>
      <c r="B1359" s="765">
        <v>2020</v>
      </c>
      <c r="C1359" s="761" t="s">
        <v>2345</v>
      </c>
      <c r="D1359" s="761" t="s">
        <v>2063</v>
      </c>
      <c r="E1359" s="761" t="s">
        <v>972</v>
      </c>
      <c r="F1359" s="1187">
        <v>0</v>
      </c>
      <c r="G1359" s="766"/>
      <c r="H1359" s="767"/>
      <c r="I1359" s="767"/>
      <c r="J1359" s="1187">
        <v>0</v>
      </c>
      <c r="K1359" s="1188">
        <v>0</v>
      </c>
    </row>
    <row r="1360" spans="1:11" ht="20.399999999999999" x14ac:dyDescent="0.3">
      <c r="A1360" s="761" t="s">
        <v>165</v>
      </c>
      <c r="B1360" s="765">
        <v>2020</v>
      </c>
      <c r="C1360" s="761" t="s">
        <v>2345</v>
      </c>
      <c r="D1360" s="761" t="s">
        <v>2064</v>
      </c>
      <c r="E1360" s="761" t="s">
        <v>972</v>
      </c>
      <c r="F1360" s="1187">
        <v>0</v>
      </c>
      <c r="G1360" s="766"/>
      <c r="H1360" s="767"/>
      <c r="I1360" s="767"/>
      <c r="J1360" s="1187">
        <v>0</v>
      </c>
      <c r="K1360" s="1188">
        <v>0</v>
      </c>
    </row>
    <row r="1361" spans="1:11" ht="20.399999999999999" x14ac:dyDescent="0.3">
      <c r="A1361" s="761" t="s">
        <v>165</v>
      </c>
      <c r="B1361" s="765">
        <v>2020</v>
      </c>
      <c r="C1361" s="761" t="s">
        <v>2345</v>
      </c>
      <c r="D1361" s="761" t="s">
        <v>2065</v>
      </c>
      <c r="E1361" s="761" t="s">
        <v>972</v>
      </c>
      <c r="F1361" s="1187">
        <v>60091.65</v>
      </c>
      <c r="G1361" s="766"/>
      <c r="H1361" s="767"/>
      <c r="I1361" s="767"/>
      <c r="J1361" s="1187">
        <v>0</v>
      </c>
      <c r="K1361" s="1188">
        <v>60091.65</v>
      </c>
    </row>
    <row r="1362" spans="1:11" ht="20.399999999999999" x14ac:dyDescent="0.3">
      <c r="A1362" s="761" t="s">
        <v>165</v>
      </c>
      <c r="B1362" s="765">
        <v>2020</v>
      </c>
      <c r="C1362" s="761" t="s">
        <v>2345</v>
      </c>
      <c r="D1362" s="761" t="s">
        <v>2066</v>
      </c>
      <c r="E1362" s="761" t="s">
        <v>972</v>
      </c>
      <c r="F1362" s="1187">
        <v>-2157937.7799999998</v>
      </c>
      <c r="G1362" s="766"/>
      <c r="H1362" s="767"/>
      <c r="I1362" s="767"/>
      <c r="J1362" s="1187">
        <v>0</v>
      </c>
      <c r="K1362" s="1188">
        <v>-2157937.7799999998</v>
      </c>
    </row>
    <row r="1363" spans="1:11" ht="30.6" x14ac:dyDescent="0.3">
      <c r="A1363" s="761" t="s">
        <v>165</v>
      </c>
      <c r="B1363" s="765">
        <v>2020</v>
      </c>
      <c r="C1363" s="761" t="s">
        <v>2346</v>
      </c>
      <c r="D1363" s="761" t="s">
        <v>43</v>
      </c>
      <c r="E1363" s="761" t="s">
        <v>973</v>
      </c>
      <c r="F1363" s="1187">
        <v>17559790.66</v>
      </c>
      <c r="G1363" s="761" t="s">
        <v>631</v>
      </c>
      <c r="H1363" s="1187">
        <v>17222678</v>
      </c>
      <c r="I1363" s="1187">
        <v>337113.3125</v>
      </c>
      <c r="J1363" s="1187">
        <v>17559790</v>
      </c>
      <c r="K1363" s="1188">
        <v>17559790.66</v>
      </c>
    </row>
    <row r="1364" spans="1:11" ht="30.6" x14ac:dyDescent="0.3">
      <c r="A1364" s="761" t="s">
        <v>165</v>
      </c>
      <c r="B1364" s="765">
        <v>2020</v>
      </c>
      <c r="C1364" s="761" t="s">
        <v>2347</v>
      </c>
      <c r="D1364" s="761" t="s">
        <v>44</v>
      </c>
      <c r="E1364" s="761" t="s">
        <v>974</v>
      </c>
      <c r="F1364" s="1187">
        <v>12124539.390000001</v>
      </c>
      <c r="G1364" s="761" t="s">
        <v>631</v>
      </c>
      <c r="H1364" s="1187">
        <v>11645736</v>
      </c>
      <c r="I1364" s="1187">
        <v>478802.90625</v>
      </c>
      <c r="J1364" s="1187">
        <v>12124539</v>
      </c>
      <c r="K1364" s="1188">
        <v>12124539.390000001</v>
      </c>
    </row>
    <row r="1365" spans="1:11" ht="30.6" x14ac:dyDescent="0.3">
      <c r="A1365" s="761" t="s">
        <v>165</v>
      </c>
      <c r="B1365" s="765">
        <v>2020</v>
      </c>
      <c r="C1365" s="761" t="s">
        <v>2348</v>
      </c>
      <c r="D1365" s="761" t="s">
        <v>46</v>
      </c>
      <c r="E1365" s="761" t="s">
        <v>975</v>
      </c>
      <c r="F1365" s="1187">
        <v>-8152762.6600000001</v>
      </c>
      <c r="G1365" s="761" t="s">
        <v>631</v>
      </c>
      <c r="H1365" s="1187">
        <v>-7932445.5</v>
      </c>
      <c r="I1365" s="1187">
        <v>-220317.234375</v>
      </c>
      <c r="J1365" s="1187">
        <v>-8152762.5</v>
      </c>
      <c r="K1365" s="1188">
        <v>-8152762.6600000001</v>
      </c>
    </row>
    <row r="1366" spans="1:11" ht="20.399999999999999" x14ac:dyDescent="0.3">
      <c r="A1366" s="761" t="s">
        <v>165</v>
      </c>
      <c r="B1366" s="765">
        <v>2020</v>
      </c>
      <c r="C1366" s="761" t="s">
        <v>2349</v>
      </c>
      <c r="D1366" s="761" t="s">
        <v>339</v>
      </c>
      <c r="E1366" s="761" t="s">
        <v>976</v>
      </c>
      <c r="F1366" s="1187">
        <v>-15080414.810000001</v>
      </c>
      <c r="G1366" s="761" t="s">
        <v>631</v>
      </c>
      <c r="H1366" s="1187">
        <v>-15369096</v>
      </c>
      <c r="I1366" s="1187">
        <v>288681.25</v>
      </c>
      <c r="J1366" s="1187">
        <v>-15080415</v>
      </c>
      <c r="K1366" s="1188">
        <v>-15080414.810000001</v>
      </c>
    </row>
    <row r="1367" spans="1:11" ht="40.799999999999997" x14ac:dyDescent="0.3">
      <c r="A1367" s="761" t="s">
        <v>165</v>
      </c>
      <c r="B1367" s="765">
        <v>2020</v>
      </c>
      <c r="C1367" s="761" t="s">
        <v>2350</v>
      </c>
      <c r="D1367" s="761" t="s">
        <v>633</v>
      </c>
      <c r="E1367" s="761" t="s">
        <v>1304</v>
      </c>
      <c r="F1367" s="1187">
        <v>0</v>
      </c>
      <c r="G1367" s="761" t="s">
        <v>631</v>
      </c>
      <c r="H1367" s="767"/>
      <c r="I1367" s="767"/>
      <c r="J1367" s="1187">
        <v>0</v>
      </c>
      <c r="K1367" s="1188">
        <v>0</v>
      </c>
    </row>
    <row r="1368" spans="1:11" ht="40.799999999999997" x14ac:dyDescent="0.3">
      <c r="A1368" s="761" t="s">
        <v>165</v>
      </c>
      <c r="B1368" s="765">
        <v>2020</v>
      </c>
      <c r="C1368" s="761" t="s">
        <v>2350</v>
      </c>
      <c r="D1368" s="761" t="s">
        <v>634</v>
      </c>
      <c r="E1368" s="761" t="s">
        <v>1305</v>
      </c>
      <c r="F1368" s="1187">
        <v>0</v>
      </c>
      <c r="G1368" s="761" t="s">
        <v>631</v>
      </c>
      <c r="H1368" s="767"/>
      <c r="I1368" s="767"/>
      <c r="J1368" s="1187">
        <v>0</v>
      </c>
      <c r="K1368" s="1188">
        <v>0</v>
      </c>
    </row>
    <row r="1369" spans="1:11" ht="40.799999999999997" x14ac:dyDescent="0.3">
      <c r="A1369" s="761" t="s">
        <v>165</v>
      </c>
      <c r="B1369" s="765">
        <v>2020</v>
      </c>
      <c r="C1369" s="761" t="s">
        <v>2350</v>
      </c>
      <c r="D1369" s="761" t="s">
        <v>635</v>
      </c>
      <c r="E1369" s="761" t="s">
        <v>1306</v>
      </c>
      <c r="F1369" s="1187">
        <v>0</v>
      </c>
      <c r="G1369" s="761" t="s">
        <v>631</v>
      </c>
      <c r="H1369" s="767"/>
      <c r="I1369" s="767"/>
      <c r="J1369" s="1187">
        <v>0</v>
      </c>
      <c r="K1369" s="1188">
        <v>0</v>
      </c>
    </row>
    <row r="1370" spans="1:11" ht="40.799999999999997" x14ac:dyDescent="0.3">
      <c r="A1370" s="761" t="s">
        <v>165</v>
      </c>
      <c r="B1370" s="765">
        <v>2020</v>
      </c>
      <c r="C1370" s="761" t="s">
        <v>2350</v>
      </c>
      <c r="D1370" s="761" t="s">
        <v>636</v>
      </c>
      <c r="E1370" s="761" t="s">
        <v>1307</v>
      </c>
      <c r="F1370" s="1187">
        <v>0</v>
      </c>
      <c r="G1370" s="761" t="s">
        <v>631</v>
      </c>
      <c r="H1370" s="767"/>
      <c r="I1370" s="767"/>
      <c r="J1370" s="1187">
        <v>0</v>
      </c>
      <c r="K1370" s="1188">
        <v>0</v>
      </c>
    </row>
    <row r="1371" spans="1:11" ht="40.799999999999997" x14ac:dyDescent="0.3">
      <c r="A1371" s="761" t="s">
        <v>165</v>
      </c>
      <c r="B1371" s="765">
        <v>2020</v>
      </c>
      <c r="C1371" s="761" t="s">
        <v>2350</v>
      </c>
      <c r="D1371" s="761" t="s">
        <v>637</v>
      </c>
      <c r="E1371" s="761" t="s">
        <v>1308</v>
      </c>
      <c r="F1371" s="1187">
        <v>0</v>
      </c>
      <c r="G1371" s="761" t="s">
        <v>631</v>
      </c>
      <c r="H1371" s="767"/>
      <c r="I1371" s="767"/>
      <c r="J1371" s="1187">
        <v>0</v>
      </c>
      <c r="K1371" s="1188">
        <v>0</v>
      </c>
    </row>
    <row r="1372" spans="1:11" ht="40.799999999999997" x14ac:dyDescent="0.3">
      <c r="A1372" s="761" t="s">
        <v>165</v>
      </c>
      <c r="B1372" s="765">
        <v>2020</v>
      </c>
      <c r="C1372" s="761" t="s">
        <v>2350</v>
      </c>
      <c r="D1372" s="761" t="s">
        <v>638</v>
      </c>
      <c r="E1372" s="761" t="s">
        <v>1309</v>
      </c>
      <c r="F1372" s="1187">
        <v>0</v>
      </c>
      <c r="G1372" s="761" t="s">
        <v>631</v>
      </c>
      <c r="H1372" s="767"/>
      <c r="I1372" s="767"/>
      <c r="J1372" s="1187">
        <v>0</v>
      </c>
      <c r="K1372" s="1188">
        <v>0</v>
      </c>
    </row>
    <row r="1373" spans="1:11" ht="40.799999999999997" x14ac:dyDescent="0.3">
      <c r="A1373" s="761" t="s">
        <v>165</v>
      </c>
      <c r="B1373" s="765">
        <v>2020</v>
      </c>
      <c r="C1373" s="761" t="s">
        <v>2350</v>
      </c>
      <c r="D1373" s="761" t="s">
        <v>639</v>
      </c>
      <c r="E1373" s="761" t="s">
        <v>1310</v>
      </c>
      <c r="F1373" s="1187">
        <v>0</v>
      </c>
      <c r="G1373" s="761" t="s">
        <v>631</v>
      </c>
      <c r="H1373" s="767"/>
      <c r="I1373" s="767"/>
      <c r="J1373" s="1187">
        <v>0</v>
      </c>
      <c r="K1373" s="1188">
        <v>0</v>
      </c>
    </row>
    <row r="1374" spans="1:11" ht="40.799999999999997" x14ac:dyDescent="0.3">
      <c r="A1374" s="761" t="s">
        <v>165</v>
      </c>
      <c r="B1374" s="765">
        <v>2020</v>
      </c>
      <c r="C1374" s="761" t="s">
        <v>2350</v>
      </c>
      <c r="D1374" s="761" t="s">
        <v>1613</v>
      </c>
      <c r="E1374" s="761" t="s">
        <v>1997</v>
      </c>
      <c r="F1374" s="1187">
        <v>0</v>
      </c>
      <c r="G1374" s="761" t="s">
        <v>631</v>
      </c>
      <c r="H1374" s="767"/>
      <c r="I1374" s="767"/>
      <c r="J1374" s="1187">
        <v>0</v>
      </c>
      <c r="K1374" s="1188">
        <v>0</v>
      </c>
    </row>
    <row r="1375" spans="1:11" ht="40.799999999999997" x14ac:dyDescent="0.3">
      <c r="A1375" s="761" t="s">
        <v>165</v>
      </c>
      <c r="B1375" s="765">
        <v>2020</v>
      </c>
      <c r="C1375" s="761" t="s">
        <v>2350</v>
      </c>
      <c r="D1375" s="761" t="s">
        <v>2067</v>
      </c>
      <c r="E1375" s="761" t="s">
        <v>2111</v>
      </c>
      <c r="F1375" s="1187">
        <v>0</v>
      </c>
      <c r="G1375" s="761" t="s">
        <v>631</v>
      </c>
      <c r="H1375" s="1187">
        <v>2875281.25</v>
      </c>
      <c r="I1375" s="1187">
        <v>-465862.625</v>
      </c>
      <c r="J1375" s="1187">
        <v>2409418.5</v>
      </c>
      <c r="K1375" s="1188">
        <v>2409418.5099999998</v>
      </c>
    </row>
    <row r="1376" spans="1:11" ht="40.799999999999997" x14ac:dyDescent="0.3">
      <c r="A1376" s="761" t="s">
        <v>165</v>
      </c>
      <c r="B1376" s="765">
        <v>2020</v>
      </c>
      <c r="C1376" s="761" t="s">
        <v>2350</v>
      </c>
      <c r="D1376" s="761" t="s">
        <v>3762</v>
      </c>
      <c r="E1376" s="761" t="s">
        <v>4370</v>
      </c>
      <c r="F1376" s="1187">
        <v>0</v>
      </c>
      <c r="G1376" s="761" t="s">
        <v>631</v>
      </c>
      <c r="H1376" s="1187">
        <v>186880.15625</v>
      </c>
      <c r="I1376" s="1187">
        <v>61650.3515625</v>
      </c>
      <c r="J1376" s="1187">
        <v>248530.5</v>
      </c>
      <c r="K1376" s="1188">
        <v>248530.5</v>
      </c>
    </row>
    <row r="1377" spans="1:11" ht="40.799999999999997" x14ac:dyDescent="0.3">
      <c r="A1377" s="761" t="s">
        <v>165</v>
      </c>
      <c r="B1377" s="765">
        <v>2020</v>
      </c>
      <c r="C1377" s="761" t="s">
        <v>2350</v>
      </c>
      <c r="D1377" s="761" t="s">
        <v>4844</v>
      </c>
      <c r="E1377" s="761" t="s">
        <v>5825</v>
      </c>
      <c r="F1377" s="1187">
        <v>0</v>
      </c>
      <c r="G1377" s="761" t="s">
        <v>631</v>
      </c>
      <c r="H1377" s="1187">
        <v>-360062.125</v>
      </c>
      <c r="I1377" s="1187">
        <v>-828361</v>
      </c>
      <c r="J1377" s="1187">
        <v>-1188423.125</v>
      </c>
      <c r="K1377" s="1188">
        <v>-1188423.1499999999</v>
      </c>
    </row>
    <row r="1378" spans="1:11" ht="40.799999999999997" x14ac:dyDescent="0.3">
      <c r="A1378" s="761" t="s">
        <v>165</v>
      </c>
      <c r="B1378" s="765">
        <v>2020</v>
      </c>
      <c r="C1378" s="761" t="s">
        <v>2350</v>
      </c>
      <c r="D1378" s="761" t="s">
        <v>7101</v>
      </c>
      <c r="E1378" s="761" t="s">
        <v>7213</v>
      </c>
      <c r="F1378" s="1187">
        <v>0</v>
      </c>
      <c r="G1378" s="761" t="s">
        <v>631</v>
      </c>
      <c r="H1378" s="1187">
        <v>-12807.91015625</v>
      </c>
      <c r="I1378" s="1187">
        <v>-67869.1484375</v>
      </c>
      <c r="J1378" s="1187">
        <v>-80677.0625</v>
      </c>
      <c r="K1378" s="1188">
        <v>-80677.06</v>
      </c>
    </row>
    <row r="1379" spans="1:11" ht="40.799999999999997" x14ac:dyDescent="0.3">
      <c r="A1379" s="761" t="s">
        <v>165</v>
      </c>
      <c r="B1379" s="765">
        <v>2020</v>
      </c>
      <c r="C1379" s="761" t="s">
        <v>2350</v>
      </c>
      <c r="D1379" s="761" t="s">
        <v>640</v>
      </c>
      <c r="E1379" s="761" t="s">
        <v>1387</v>
      </c>
      <c r="F1379" s="1187">
        <v>1388848.8</v>
      </c>
      <c r="G1379" s="766"/>
      <c r="H1379" s="767"/>
      <c r="I1379" s="767"/>
      <c r="J1379" s="1187">
        <v>0</v>
      </c>
      <c r="K1379" s="1188">
        <v>1388848.8</v>
      </c>
    </row>
    <row r="1380" spans="1:11" x14ac:dyDescent="0.3">
      <c r="A1380" s="761" t="s">
        <v>166</v>
      </c>
      <c r="B1380" s="765">
        <v>2020</v>
      </c>
      <c r="C1380" s="761" t="s">
        <v>2342</v>
      </c>
      <c r="D1380" s="761" t="s">
        <v>45</v>
      </c>
      <c r="E1380" s="761" t="s">
        <v>977</v>
      </c>
      <c r="F1380" s="1187">
        <v>362527.79</v>
      </c>
      <c r="G1380" s="761" t="s">
        <v>631</v>
      </c>
      <c r="H1380" s="1187">
        <v>354947.28125</v>
      </c>
      <c r="I1380" s="1187">
        <v>7580.5</v>
      </c>
      <c r="J1380" s="1187">
        <v>362527.78125</v>
      </c>
      <c r="K1380" s="1188">
        <v>362527.79</v>
      </c>
    </row>
    <row r="1381" spans="1:11" ht="30.6" x14ac:dyDescent="0.3">
      <c r="A1381" s="761" t="s">
        <v>166</v>
      </c>
      <c r="B1381" s="765">
        <v>2020</v>
      </c>
      <c r="C1381" s="761" t="s">
        <v>2343</v>
      </c>
      <c r="D1381" s="761" t="s">
        <v>632</v>
      </c>
      <c r="E1381" s="761" t="s">
        <v>978</v>
      </c>
      <c r="F1381" s="1187">
        <v>-20407.21</v>
      </c>
      <c r="G1381" s="761" t="s">
        <v>631</v>
      </c>
      <c r="H1381" s="1187">
        <v>-19783.640625</v>
      </c>
      <c r="I1381" s="1187">
        <v>-623.57000732421898</v>
      </c>
      <c r="J1381" s="1187">
        <v>-20407.2109375</v>
      </c>
      <c r="K1381" s="1188">
        <v>-20407.21</v>
      </c>
    </row>
    <row r="1382" spans="1:11" ht="20.399999999999999" x14ac:dyDescent="0.3">
      <c r="A1382" s="761" t="s">
        <v>166</v>
      </c>
      <c r="B1382" s="765">
        <v>2020</v>
      </c>
      <c r="C1382" s="761" t="s">
        <v>2344</v>
      </c>
      <c r="D1382" s="761" t="s">
        <v>452</v>
      </c>
      <c r="E1382" s="761" t="s">
        <v>979</v>
      </c>
      <c r="F1382" s="1187">
        <v>54448.87</v>
      </c>
      <c r="G1382" s="766"/>
      <c r="H1382" s="767"/>
      <c r="I1382" s="767"/>
      <c r="J1382" s="1187">
        <v>0</v>
      </c>
      <c r="K1382" s="1188">
        <v>54448.87</v>
      </c>
    </row>
    <row r="1383" spans="1:11" ht="20.399999999999999" x14ac:dyDescent="0.3">
      <c r="A1383" s="761" t="s">
        <v>166</v>
      </c>
      <c r="B1383" s="765">
        <v>2020</v>
      </c>
      <c r="C1383" s="761" t="s">
        <v>2345</v>
      </c>
      <c r="D1383" s="761" t="s">
        <v>42</v>
      </c>
      <c r="E1383" s="761" t="s">
        <v>980</v>
      </c>
      <c r="F1383" s="1187">
        <v>-58373.98</v>
      </c>
      <c r="G1383" s="761" t="s">
        <v>631</v>
      </c>
      <c r="H1383" s="1187">
        <v>-56765.421875</v>
      </c>
      <c r="I1383" s="1187">
        <v>-1608.56005859375</v>
      </c>
      <c r="J1383" s="1187">
        <v>-58373.98046875</v>
      </c>
      <c r="K1383" s="1188">
        <v>-58373.98</v>
      </c>
    </row>
    <row r="1384" spans="1:11" ht="20.399999999999999" x14ac:dyDescent="0.3">
      <c r="A1384" s="761" t="s">
        <v>166</v>
      </c>
      <c r="B1384" s="765">
        <v>2020</v>
      </c>
      <c r="C1384" s="761" t="s">
        <v>2345</v>
      </c>
      <c r="D1384" s="761" t="s">
        <v>2063</v>
      </c>
      <c r="E1384" s="761" t="s">
        <v>980</v>
      </c>
      <c r="F1384" s="1187">
        <v>0</v>
      </c>
      <c r="G1384" s="766"/>
      <c r="H1384" s="767"/>
      <c r="I1384" s="767"/>
      <c r="J1384" s="1187">
        <v>0</v>
      </c>
      <c r="K1384" s="1188">
        <v>0</v>
      </c>
    </row>
    <row r="1385" spans="1:11" ht="20.399999999999999" x14ac:dyDescent="0.3">
      <c r="A1385" s="761" t="s">
        <v>166</v>
      </c>
      <c r="B1385" s="765">
        <v>2020</v>
      </c>
      <c r="C1385" s="761" t="s">
        <v>2345</v>
      </c>
      <c r="D1385" s="761" t="s">
        <v>2064</v>
      </c>
      <c r="E1385" s="761" t="s">
        <v>980</v>
      </c>
      <c r="F1385" s="1187">
        <v>0</v>
      </c>
      <c r="G1385" s="766"/>
      <c r="H1385" s="767"/>
      <c r="I1385" s="767"/>
      <c r="J1385" s="1187">
        <v>0</v>
      </c>
      <c r="K1385" s="1188">
        <v>0</v>
      </c>
    </row>
    <row r="1386" spans="1:11" ht="20.399999999999999" x14ac:dyDescent="0.3">
      <c r="A1386" s="761" t="s">
        <v>166</v>
      </c>
      <c r="B1386" s="765">
        <v>2020</v>
      </c>
      <c r="C1386" s="761" t="s">
        <v>2345</v>
      </c>
      <c r="D1386" s="761" t="s">
        <v>2065</v>
      </c>
      <c r="E1386" s="761" t="s">
        <v>980</v>
      </c>
      <c r="F1386" s="1187">
        <v>-80.44</v>
      </c>
      <c r="G1386" s="766"/>
      <c r="H1386" s="767"/>
      <c r="I1386" s="767"/>
      <c r="J1386" s="1187">
        <v>0</v>
      </c>
      <c r="K1386" s="1188">
        <v>-80.44</v>
      </c>
    </row>
    <row r="1387" spans="1:11" ht="20.399999999999999" x14ac:dyDescent="0.3">
      <c r="A1387" s="761" t="s">
        <v>166</v>
      </c>
      <c r="B1387" s="765">
        <v>2020</v>
      </c>
      <c r="C1387" s="761" t="s">
        <v>2345</v>
      </c>
      <c r="D1387" s="761" t="s">
        <v>2066</v>
      </c>
      <c r="E1387" s="761" t="s">
        <v>980</v>
      </c>
      <c r="F1387" s="1187">
        <v>-15347.03</v>
      </c>
      <c r="G1387" s="766"/>
      <c r="H1387" s="767"/>
      <c r="I1387" s="767"/>
      <c r="J1387" s="1187">
        <v>0</v>
      </c>
      <c r="K1387" s="1188">
        <v>-15347.03</v>
      </c>
    </row>
    <row r="1388" spans="1:11" ht="30.6" x14ac:dyDescent="0.3">
      <c r="A1388" s="761" t="s">
        <v>166</v>
      </c>
      <c r="B1388" s="765">
        <v>2020</v>
      </c>
      <c r="C1388" s="761" t="s">
        <v>2346</v>
      </c>
      <c r="D1388" s="761" t="s">
        <v>43</v>
      </c>
      <c r="E1388" s="761" t="s">
        <v>981</v>
      </c>
      <c r="F1388" s="1187">
        <v>22018.400000000001</v>
      </c>
      <c r="G1388" s="761" t="s">
        <v>631</v>
      </c>
      <c r="H1388" s="1187">
        <v>20158.830078125</v>
      </c>
      <c r="I1388" s="1187">
        <v>1859.56994628906</v>
      </c>
      <c r="J1388" s="1187">
        <v>22018.400390625</v>
      </c>
      <c r="K1388" s="1188">
        <v>22018.400000000001</v>
      </c>
    </row>
    <row r="1389" spans="1:11" ht="30.6" x14ac:dyDescent="0.3">
      <c r="A1389" s="761" t="s">
        <v>166</v>
      </c>
      <c r="B1389" s="765">
        <v>2020</v>
      </c>
      <c r="C1389" s="761" t="s">
        <v>2347</v>
      </c>
      <c r="D1389" s="761" t="s">
        <v>44</v>
      </c>
      <c r="E1389" s="761" t="s">
        <v>982</v>
      </c>
      <c r="F1389" s="1187">
        <v>43249.35</v>
      </c>
      <c r="G1389" s="761" t="s">
        <v>631</v>
      </c>
      <c r="H1389" s="1187">
        <v>43935.05078125</v>
      </c>
      <c r="I1389" s="1187">
        <v>-685.70001220703102</v>
      </c>
      <c r="J1389" s="1187">
        <v>43249.3515625</v>
      </c>
      <c r="K1389" s="1188">
        <v>43249.35</v>
      </c>
    </row>
    <row r="1390" spans="1:11" ht="30.6" x14ac:dyDescent="0.3">
      <c r="A1390" s="761" t="s">
        <v>166</v>
      </c>
      <c r="B1390" s="765">
        <v>2020</v>
      </c>
      <c r="C1390" s="761" t="s">
        <v>2348</v>
      </c>
      <c r="D1390" s="761" t="s">
        <v>46</v>
      </c>
      <c r="E1390" s="761" t="s">
        <v>983</v>
      </c>
      <c r="F1390" s="1187">
        <v>-42866.58</v>
      </c>
      <c r="G1390" s="761" t="s">
        <v>631</v>
      </c>
      <c r="H1390" s="1187">
        <v>-36388.73828125</v>
      </c>
      <c r="I1390" s="1187">
        <v>-6477.83984375</v>
      </c>
      <c r="J1390" s="1187">
        <v>-42866.578125</v>
      </c>
      <c r="K1390" s="1188">
        <v>-42866.58</v>
      </c>
    </row>
    <row r="1391" spans="1:11" ht="20.399999999999999" x14ac:dyDescent="0.3">
      <c r="A1391" s="761" t="s">
        <v>166</v>
      </c>
      <c r="B1391" s="765">
        <v>2020</v>
      </c>
      <c r="C1391" s="761" t="s">
        <v>2349</v>
      </c>
      <c r="D1391" s="761" t="s">
        <v>339</v>
      </c>
      <c r="E1391" s="761" t="s">
        <v>984</v>
      </c>
      <c r="F1391" s="1187">
        <v>21152.76</v>
      </c>
      <c r="G1391" s="761" t="s">
        <v>631</v>
      </c>
      <c r="H1391" s="1187">
        <v>20489.419921875</v>
      </c>
      <c r="I1391" s="1187">
        <v>663.34002685546898</v>
      </c>
      <c r="J1391" s="1187">
        <v>21152.759765625</v>
      </c>
      <c r="K1391" s="1188">
        <v>21152.76</v>
      </c>
    </row>
    <row r="1392" spans="1:11" ht="40.799999999999997" x14ac:dyDescent="0.3">
      <c r="A1392" s="761" t="s">
        <v>166</v>
      </c>
      <c r="B1392" s="765">
        <v>2020</v>
      </c>
      <c r="C1392" s="761" t="s">
        <v>2350</v>
      </c>
      <c r="D1392" s="761" t="s">
        <v>633</v>
      </c>
      <c r="E1392" s="761" t="s">
        <v>1311</v>
      </c>
      <c r="F1392" s="1187">
        <v>0</v>
      </c>
      <c r="G1392" s="761" t="s">
        <v>631</v>
      </c>
      <c r="H1392" s="767"/>
      <c r="I1392" s="767"/>
      <c r="J1392" s="1187">
        <v>0</v>
      </c>
      <c r="K1392" s="1188">
        <v>0</v>
      </c>
    </row>
    <row r="1393" spans="1:11" ht="40.799999999999997" x14ac:dyDescent="0.3">
      <c r="A1393" s="761" t="s">
        <v>166</v>
      </c>
      <c r="B1393" s="765">
        <v>2020</v>
      </c>
      <c r="C1393" s="761" t="s">
        <v>2350</v>
      </c>
      <c r="D1393" s="761" t="s">
        <v>634</v>
      </c>
      <c r="E1393" s="761" t="s">
        <v>1312</v>
      </c>
      <c r="F1393" s="1187">
        <v>0</v>
      </c>
      <c r="G1393" s="761" t="s">
        <v>631</v>
      </c>
      <c r="H1393" s="767"/>
      <c r="I1393" s="767"/>
      <c r="J1393" s="1187">
        <v>0</v>
      </c>
      <c r="K1393" s="1188">
        <v>0</v>
      </c>
    </row>
    <row r="1394" spans="1:11" ht="40.799999999999997" x14ac:dyDescent="0.3">
      <c r="A1394" s="761" t="s">
        <v>166</v>
      </c>
      <c r="B1394" s="765">
        <v>2020</v>
      </c>
      <c r="C1394" s="761" t="s">
        <v>2350</v>
      </c>
      <c r="D1394" s="761" t="s">
        <v>635</v>
      </c>
      <c r="E1394" s="761" t="s">
        <v>1313</v>
      </c>
      <c r="F1394" s="1187">
        <v>0</v>
      </c>
      <c r="G1394" s="761" t="s">
        <v>631</v>
      </c>
      <c r="H1394" s="767"/>
      <c r="I1394" s="767"/>
      <c r="J1394" s="1187">
        <v>0</v>
      </c>
      <c r="K1394" s="1188">
        <v>0</v>
      </c>
    </row>
    <row r="1395" spans="1:11" ht="40.799999999999997" x14ac:dyDescent="0.3">
      <c r="A1395" s="761" t="s">
        <v>166</v>
      </c>
      <c r="B1395" s="765">
        <v>2020</v>
      </c>
      <c r="C1395" s="761" t="s">
        <v>2350</v>
      </c>
      <c r="D1395" s="761" t="s">
        <v>636</v>
      </c>
      <c r="E1395" s="761" t="s">
        <v>1314</v>
      </c>
      <c r="F1395" s="1187">
        <v>0</v>
      </c>
      <c r="G1395" s="761" t="s">
        <v>631</v>
      </c>
      <c r="H1395" s="767"/>
      <c r="I1395" s="767"/>
      <c r="J1395" s="1187">
        <v>0</v>
      </c>
      <c r="K1395" s="1188">
        <v>0</v>
      </c>
    </row>
    <row r="1396" spans="1:11" ht="40.799999999999997" x14ac:dyDescent="0.3">
      <c r="A1396" s="761" t="s">
        <v>166</v>
      </c>
      <c r="B1396" s="765">
        <v>2020</v>
      </c>
      <c r="C1396" s="761" t="s">
        <v>2350</v>
      </c>
      <c r="D1396" s="761" t="s">
        <v>637</v>
      </c>
      <c r="E1396" s="761" t="s">
        <v>1315</v>
      </c>
      <c r="F1396" s="1187">
        <v>0</v>
      </c>
      <c r="G1396" s="761" t="s">
        <v>631</v>
      </c>
      <c r="H1396" s="767"/>
      <c r="I1396" s="767"/>
      <c r="J1396" s="1187">
        <v>0</v>
      </c>
      <c r="K1396" s="1188">
        <v>0</v>
      </c>
    </row>
    <row r="1397" spans="1:11" ht="40.799999999999997" x14ac:dyDescent="0.3">
      <c r="A1397" s="761" t="s">
        <v>166</v>
      </c>
      <c r="B1397" s="765">
        <v>2020</v>
      </c>
      <c r="C1397" s="761" t="s">
        <v>2350</v>
      </c>
      <c r="D1397" s="761" t="s">
        <v>638</v>
      </c>
      <c r="E1397" s="761" t="s">
        <v>1316</v>
      </c>
      <c r="F1397" s="1187">
        <v>0</v>
      </c>
      <c r="G1397" s="761" t="s">
        <v>631</v>
      </c>
      <c r="H1397" s="767"/>
      <c r="I1397" s="767"/>
      <c r="J1397" s="1187">
        <v>0</v>
      </c>
      <c r="K1397" s="1188">
        <v>0</v>
      </c>
    </row>
    <row r="1398" spans="1:11" ht="40.799999999999997" x14ac:dyDescent="0.3">
      <c r="A1398" s="761" t="s">
        <v>166</v>
      </c>
      <c r="B1398" s="765">
        <v>2020</v>
      </c>
      <c r="C1398" s="761" t="s">
        <v>2350</v>
      </c>
      <c r="D1398" s="761" t="s">
        <v>639</v>
      </c>
      <c r="E1398" s="761" t="s">
        <v>1317</v>
      </c>
      <c r="F1398" s="1187">
        <v>0</v>
      </c>
      <c r="G1398" s="761" t="s">
        <v>631</v>
      </c>
      <c r="H1398" s="767"/>
      <c r="I1398" s="767"/>
      <c r="J1398" s="1187">
        <v>0</v>
      </c>
      <c r="K1398" s="1188">
        <v>0</v>
      </c>
    </row>
    <row r="1399" spans="1:11" ht="40.799999999999997" x14ac:dyDescent="0.3">
      <c r="A1399" s="761" t="s">
        <v>166</v>
      </c>
      <c r="B1399" s="765">
        <v>2020</v>
      </c>
      <c r="C1399" s="761" t="s">
        <v>2350</v>
      </c>
      <c r="D1399" s="761" t="s">
        <v>1613</v>
      </c>
      <c r="E1399" s="761" t="s">
        <v>1998</v>
      </c>
      <c r="F1399" s="1187">
        <v>0</v>
      </c>
      <c r="G1399" s="761" t="s">
        <v>631</v>
      </c>
      <c r="H1399" s="767"/>
      <c r="I1399" s="767"/>
      <c r="J1399" s="1187">
        <v>0</v>
      </c>
      <c r="K1399" s="1188">
        <v>0</v>
      </c>
    </row>
    <row r="1400" spans="1:11" ht="40.799999999999997" x14ac:dyDescent="0.3">
      <c r="A1400" s="761" t="s">
        <v>166</v>
      </c>
      <c r="B1400" s="765">
        <v>2020</v>
      </c>
      <c r="C1400" s="761" t="s">
        <v>2350</v>
      </c>
      <c r="D1400" s="761" t="s">
        <v>2067</v>
      </c>
      <c r="E1400" s="761" t="s">
        <v>2112</v>
      </c>
      <c r="F1400" s="1187">
        <v>0</v>
      </c>
      <c r="G1400" s="761" t="s">
        <v>631</v>
      </c>
      <c r="H1400" s="767"/>
      <c r="I1400" s="767"/>
      <c r="J1400" s="1187">
        <v>0</v>
      </c>
      <c r="K1400" s="1188">
        <v>0</v>
      </c>
    </row>
    <row r="1401" spans="1:11" ht="40.799999999999997" x14ac:dyDescent="0.3">
      <c r="A1401" s="761" t="s">
        <v>166</v>
      </c>
      <c r="B1401" s="765">
        <v>2020</v>
      </c>
      <c r="C1401" s="761" t="s">
        <v>2350</v>
      </c>
      <c r="D1401" s="761" t="s">
        <v>3762</v>
      </c>
      <c r="E1401" s="761" t="s">
        <v>4371</v>
      </c>
      <c r="F1401" s="1187">
        <v>0</v>
      </c>
      <c r="G1401" s="761" t="s">
        <v>631</v>
      </c>
      <c r="H1401" s="767"/>
      <c r="I1401" s="767"/>
      <c r="J1401" s="1187">
        <v>0</v>
      </c>
      <c r="K1401" s="1188">
        <v>0</v>
      </c>
    </row>
    <row r="1402" spans="1:11" ht="40.799999999999997" x14ac:dyDescent="0.3">
      <c r="A1402" s="761" t="s">
        <v>166</v>
      </c>
      <c r="B1402" s="765">
        <v>2020</v>
      </c>
      <c r="C1402" s="761" t="s">
        <v>2350</v>
      </c>
      <c r="D1402" s="761" t="s">
        <v>4844</v>
      </c>
      <c r="E1402" s="761" t="s">
        <v>5826</v>
      </c>
      <c r="F1402" s="1187">
        <v>0</v>
      </c>
      <c r="G1402" s="761" t="s">
        <v>631</v>
      </c>
      <c r="H1402" s="1187">
        <v>21088.380859375</v>
      </c>
      <c r="I1402" s="1187">
        <v>-275.57998657226602</v>
      </c>
      <c r="J1402" s="1187">
        <v>20812.80078125</v>
      </c>
      <c r="K1402" s="1188">
        <v>20812.8</v>
      </c>
    </row>
    <row r="1403" spans="1:11" ht="40.799999999999997" x14ac:dyDescent="0.3">
      <c r="A1403" s="761" t="s">
        <v>166</v>
      </c>
      <c r="B1403" s="765">
        <v>2020</v>
      </c>
      <c r="C1403" s="761" t="s">
        <v>2350</v>
      </c>
      <c r="D1403" s="761" t="s">
        <v>7101</v>
      </c>
      <c r="E1403" s="761" t="s">
        <v>7214</v>
      </c>
      <c r="F1403" s="1187">
        <v>0</v>
      </c>
      <c r="G1403" s="761" t="s">
        <v>631</v>
      </c>
      <c r="H1403" s="1187">
        <v>-292889.3125</v>
      </c>
      <c r="I1403" s="1187">
        <v>48344.98828125</v>
      </c>
      <c r="J1403" s="1187">
        <v>-244544.3125</v>
      </c>
      <c r="K1403" s="1188">
        <v>-244544.31</v>
      </c>
    </row>
    <row r="1404" spans="1:11" ht="40.799999999999997" x14ac:dyDescent="0.3">
      <c r="A1404" s="761" t="s">
        <v>166</v>
      </c>
      <c r="B1404" s="765">
        <v>2020</v>
      </c>
      <c r="C1404" s="761" t="s">
        <v>2350</v>
      </c>
      <c r="D1404" s="761" t="s">
        <v>640</v>
      </c>
      <c r="E1404" s="761" t="s">
        <v>1388</v>
      </c>
      <c r="F1404" s="1187">
        <v>-223731.51</v>
      </c>
      <c r="G1404" s="766"/>
      <c r="H1404" s="767"/>
      <c r="I1404" s="767"/>
      <c r="J1404" s="1187">
        <v>0</v>
      </c>
      <c r="K1404" s="1188">
        <v>-223731.51</v>
      </c>
    </row>
    <row r="1405" spans="1:11" x14ac:dyDescent="0.3">
      <c r="A1405" s="761" t="s">
        <v>167</v>
      </c>
      <c r="B1405" s="765">
        <v>2020</v>
      </c>
      <c r="C1405" s="761" t="s">
        <v>2342</v>
      </c>
      <c r="D1405" s="761" t="s">
        <v>45</v>
      </c>
      <c r="E1405" s="761" t="s">
        <v>985</v>
      </c>
      <c r="F1405" s="1187">
        <v>125986</v>
      </c>
      <c r="G1405" s="761" t="s">
        <v>631</v>
      </c>
      <c r="H1405" s="1187">
        <v>118335</v>
      </c>
      <c r="I1405" s="1187">
        <v>7651</v>
      </c>
      <c r="J1405" s="1187">
        <v>125986</v>
      </c>
      <c r="K1405" s="1188">
        <v>125986</v>
      </c>
    </row>
    <row r="1406" spans="1:11" ht="30.6" x14ac:dyDescent="0.3">
      <c r="A1406" s="761" t="s">
        <v>167</v>
      </c>
      <c r="B1406" s="765">
        <v>2020</v>
      </c>
      <c r="C1406" s="761" t="s">
        <v>2343</v>
      </c>
      <c r="D1406" s="761" t="s">
        <v>632</v>
      </c>
      <c r="E1406" s="761" t="s">
        <v>986</v>
      </c>
      <c r="F1406" s="1187">
        <v>-64391</v>
      </c>
      <c r="G1406" s="761" t="s">
        <v>631</v>
      </c>
      <c r="H1406" s="1187">
        <v>-62441</v>
      </c>
      <c r="I1406" s="1187">
        <v>-1950</v>
      </c>
      <c r="J1406" s="1187">
        <v>-64391</v>
      </c>
      <c r="K1406" s="1188">
        <v>-64391</v>
      </c>
    </row>
    <row r="1407" spans="1:11" ht="20.399999999999999" x14ac:dyDescent="0.3">
      <c r="A1407" s="761" t="s">
        <v>167</v>
      </c>
      <c r="B1407" s="765">
        <v>2020</v>
      </c>
      <c r="C1407" s="761" t="s">
        <v>2344</v>
      </c>
      <c r="D1407" s="761" t="s">
        <v>452</v>
      </c>
      <c r="E1407" s="761" t="s">
        <v>987</v>
      </c>
      <c r="F1407" s="1187">
        <v>332283</v>
      </c>
      <c r="G1407" s="766"/>
      <c r="H1407" s="767"/>
      <c r="I1407" s="767"/>
      <c r="J1407" s="1187">
        <v>0</v>
      </c>
      <c r="K1407" s="1188">
        <v>332283</v>
      </c>
    </row>
    <row r="1408" spans="1:11" ht="20.399999999999999" x14ac:dyDescent="0.3">
      <c r="A1408" s="761" t="s">
        <v>167</v>
      </c>
      <c r="B1408" s="765">
        <v>2020</v>
      </c>
      <c r="C1408" s="761" t="s">
        <v>2345</v>
      </c>
      <c r="D1408" s="761" t="s">
        <v>42</v>
      </c>
      <c r="E1408" s="761" t="s">
        <v>988</v>
      </c>
      <c r="F1408" s="1187">
        <v>-683723</v>
      </c>
      <c r="G1408" s="761" t="s">
        <v>631</v>
      </c>
      <c r="H1408" s="1187">
        <v>-711200</v>
      </c>
      <c r="I1408" s="1187">
        <v>27477</v>
      </c>
      <c r="J1408" s="1187">
        <v>-683723</v>
      </c>
      <c r="K1408" s="1188">
        <v>-683723</v>
      </c>
    </row>
    <row r="1409" spans="1:11" ht="20.399999999999999" x14ac:dyDescent="0.3">
      <c r="A1409" s="761" t="s">
        <v>167</v>
      </c>
      <c r="B1409" s="765">
        <v>2020</v>
      </c>
      <c r="C1409" s="761" t="s">
        <v>2345</v>
      </c>
      <c r="D1409" s="761" t="s">
        <v>2063</v>
      </c>
      <c r="E1409" s="761" t="s">
        <v>988</v>
      </c>
      <c r="F1409" s="1187">
        <v>0</v>
      </c>
      <c r="G1409" s="766"/>
      <c r="H1409" s="767"/>
      <c r="I1409" s="767"/>
      <c r="J1409" s="1187">
        <v>0</v>
      </c>
      <c r="K1409" s="1188">
        <v>0</v>
      </c>
    </row>
    <row r="1410" spans="1:11" ht="20.399999999999999" x14ac:dyDescent="0.3">
      <c r="A1410" s="761" t="s">
        <v>167</v>
      </c>
      <c r="B1410" s="765">
        <v>2020</v>
      </c>
      <c r="C1410" s="761" t="s">
        <v>2345</v>
      </c>
      <c r="D1410" s="761" t="s">
        <v>2064</v>
      </c>
      <c r="E1410" s="761" t="s">
        <v>988</v>
      </c>
      <c r="F1410" s="1187">
        <v>0</v>
      </c>
      <c r="G1410" s="766"/>
      <c r="H1410" s="767"/>
      <c r="I1410" s="767"/>
      <c r="J1410" s="1187">
        <v>0</v>
      </c>
      <c r="K1410" s="1188">
        <v>0</v>
      </c>
    </row>
    <row r="1411" spans="1:11" ht="20.399999999999999" x14ac:dyDescent="0.3">
      <c r="A1411" s="761" t="s">
        <v>167</v>
      </c>
      <c r="B1411" s="765">
        <v>2020</v>
      </c>
      <c r="C1411" s="761" t="s">
        <v>2345</v>
      </c>
      <c r="D1411" s="761" t="s">
        <v>2065</v>
      </c>
      <c r="E1411" s="761" t="s">
        <v>988</v>
      </c>
      <c r="F1411" s="1187">
        <v>-2656</v>
      </c>
      <c r="G1411" s="766"/>
      <c r="H1411" s="767"/>
      <c r="I1411" s="767"/>
      <c r="J1411" s="1187">
        <v>0</v>
      </c>
      <c r="K1411" s="1188">
        <v>-2656</v>
      </c>
    </row>
    <row r="1412" spans="1:11" ht="20.399999999999999" x14ac:dyDescent="0.3">
      <c r="A1412" s="761" t="s">
        <v>167</v>
      </c>
      <c r="B1412" s="765">
        <v>2020</v>
      </c>
      <c r="C1412" s="761" t="s">
        <v>2345</v>
      </c>
      <c r="D1412" s="761" t="s">
        <v>2066</v>
      </c>
      <c r="E1412" s="761" t="s">
        <v>988</v>
      </c>
      <c r="F1412" s="1187">
        <v>-145085</v>
      </c>
      <c r="G1412" s="766"/>
      <c r="H1412" s="767"/>
      <c r="I1412" s="767"/>
      <c r="J1412" s="1187">
        <v>0</v>
      </c>
      <c r="K1412" s="1188">
        <v>-145085</v>
      </c>
    </row>
    <row r="1413" spans="1:11" ht="30.6" x14ac:dyDescent="0.3">
      <c r="A1413" s="761" t="s">
        <v>167</v>
      </c>
      <c r="B1413" s="765">
        <v>2020</v>
      </c>
      <c r="C1413" s="761" t="s">
        <v>2346</v>
      </c>
      <c r="D1413" s="761" t="s">
        <v>43</v>
      </c>
      <c r="E1413" s="761" t="s">
        <v>989</v>
      </c>
      <c r="F1413" s="1187">
        <v>410410</v>
      </c>
      <c r="G1413" s="761" t="s">
        <v>631</v>
      </c>
      <c r="H1413" s="1187">
        <v>406818</v>
      </c>
      <c r="I1413" s="1187">
        <v>3592</v>
      </c>
      <c r="J1413" s="1187">
        <v>410410</v>
      </c>
      <c r="K1413" s="1188">
        <v>410410</v>
      </c>
    </row>
    <row r="1414" spans="1:11" ht="30.6" x14ac:dyDescent="0.3">
      <c r="A1414" s="761" t="s">
        <v>167</v>
      </c>
      <c r="B1414" s="765">
        <v>2020</v>
      </c>
      <c r="C1414" s="761" t="s">
        <v>2347</v>
      </c>
      <c r="D1414" s="761" t="s">
        <v>44</v>
      </c>
      <c r="E1414" s="761" t="s">
        <v>990</v>
      </c>
      <c r="F1414" s="1187">
        <v>255270</v>
      </c>
      <c r="G1414" s="761" t="s">
        <v>631</v>
      </c>
      <c r="H1414" s="1187">
        <v>245911</v>
      </c>
      <c r="I1414" s="1187">
        <v>9359</v>
      </c>
      <c r="J1414" s="1187">
        <v>255270</v>
      </c>
      <c r="K1414" s="1188">
        <v>255270</v>
      </c>
    </row>
    <row r="1415" spans="1:11" ht="30.6" x14ac:dyDescent="0.3">
      <c r="A1415" s="761" t="s">
        <v>167</v>
      </c>
      <c r="B1415" s="765">
        <v>2020</v>
      </c>
      <c r="C1415" s="761" t="s">
        <v>2348</v>
      </c>
      <c r="D1415" s="761" t="s">
        <v>46</v>
      </c>
      <c r="E1415" s="761" t="s">
        <v>991</v>
      </c>
      <c r="F1415" s="1187">
        <v>564596</v>
      </c>
      <c r="G1415" s="761" t="s">
        <v>631</v>
      </c>
      <c r="H1415" s="1187">
        <v>595116</v>
      </c>
      <c r="I1415" s="1187">
        <v>-30520</v>
      </c>
      <c r="J1415" s="1187">
        <v>564596</v>
      </c>
      <c r="K1415" s="1188">
        <v>564596</v>
      </c>
    </row>
    <row r="1416" spans="1:11" ht="20.399999999999999" x14ac:dyDescent="0.3">
      <c r="A1416" s="761" t="s">
        <v>167</v>
      </c>
      <c r="B1416" s="765">
        <v>2020</v>
      </c>
      <c r="C1416" s="761" t="s">
        <v>2349</v>
      </c>
      <c r="D1416" s="761" t="s">
        <v>339</v>
      </c>
      <c r="E1416" s="761" t="s">
        <v>992</v>
      </c>
      <c r="F1416" s="1187">
        <v>54593</v>
      </c>
      <c r="G1416" s="761" t="s">
        <v>631</v>
      </c>
      <c r="H1416" s="1187">
        <v>62340</v>
      </c>
      <c r="I1416" s="1187">
        <v>-7747</v>
      </c>
      <c r="J1416" s="1187">
        <v>54593</v>
      </c>
      <c r="K1416" s="1188">
        <v>54593</v>
      </c>
    </row>
    <row r="1417" spans="1:11" ht="40.799999999999997" x14ac:dyDescent="0.3">
      <c r="A1417" s="761" t="s">
        <v>167</v>
      </c>
      <c r="B1417" s="765">
        <v>2020</v>
      </c>
      <c r="C1417" s="761" t="s">
        <v>2350</v>
      </c>
      <c r="D1417" s="761" t="s">
        <v>633</v>
      </c>
      <c r="E1417" s="761" t="s">
        <v>1318</v>
      </c>
      <c r="F1417" s="1187">
        <v>0</v>
      </c>
      <c r="G1417" s="761" t="s">
        <v>631</v>
      </c>
      <c r="H1417" s="767"/>
      <c r="I1417" s="767"/>
      <c r="J1417" s="1187">
        <v>0</v>
      </c>
      <c r="K1417" s="1188">
        <v>0</v>
      </c>
    </row>
    <row r="1418" spans="1:11" ht="40.799999999999997" x14ac:dyDescent="0.3">
      <c r="A1418" s="761" t="s">
        <v>167</v>
      </c>
      <c r="B1418" s="765">
        <v>2020</v>
      </c>
      <c r="C1418" s="761" t="s">
        <v>2350</v>
      </c>
      <c r="D1418" s="761" t="s">
        <v>634</v>
      </c>
      <c r="E1418" s="761" t="s">
        <v>1319</v>
      </c>
      <c r="F1418" s="1187">
        <v>0</v>
      </c>
      <c r="G1418" s="761" t="s">
        <v>631</v>
      </c>
      <c r="H1418" s="767"/>
      <c r="I1418" s="767"/>
      <c r="J1418" s="1187">
        <v>0</v>
      </c>
      <c r="K1418" s="1188">
        <v>0</v>
      </c>
    </row>
    <row r="1419" spans="1:11" ht="40.799999999999997" x14ac:dyDescent="0.3">
      <c r="A1419" s="761" t="s">
        <v>167</v>
      </c>
      <c r="B1419" s="765">
        <v>2020</v>
      </c>
      <c r="C1419" s="761" t="s">
        <v>2350</v>
      </c>
      <c r="D1419" s="761" t="s">
        <v>635</v>
      </c>
      <c r="E1419" s="761" t="s">
        <v>1320</v>
      </c>
      <c r="F1419" s="1187">
        <v>0</v>
      </c>
      <c r="G1419" s="761" t="s">
        <v>631</v>
      </c>
      <c r="H1419" s="767"/>
      <c r="I1419" s="767"/>
      <c r="J1419" s="1187">
        <v>0</v>
      </c>
      <c r="K1419" s="1188">
        <v>0</v>
      </c>
    </row>
    <row r="1420" spans="1:11" ht="40.799999999999997" x14ac:dyDescent="0.3">
      <c r="A1420" s="761" t="s">
        <v>167</v>
      </c>
      <c r="B1420" s="765">
        <v>2020</v>
      </c>
      <c r="C1420" s="761" t="s">
        <v>2350</v>
      </c>
      <c r="D1420" s="761" t="s">
        <v>636</v>
      </c>
      <c r="E1420" s="761" t="s">
        <v>1321</v>
      </c>
      <c r="F1420" s="1187">
        <v>0</v>
      </c>
      <c r="G1420" s="761" t="s">
        <v>631</v>
      </c>
      <c r="H1420" s="767"/>
      <c r="I1420" s="767"/>
      <c r="J1420" s="1187">
        <v>0</v>
      </c>
      <c r="K1420" s="1188">
        <v>0</v>
      </c>
    </row>
    <row r="1421" spans="1:11" ht="40.799999999999997" x14ac:dyDescent="0.3">
      <c r="A1421" s="761" t="s">
        <v>167</v>
      </c>
      <c r="B1421" s="765">
        <v>2020</v>
      </c>
      <c r="C1421" s="761" t="s">
        <v>2350</v>
      </c>
      <c r="D1421" s="761" t="s">
        <v>637</v>
      </c>
      <c r="E1421" s="761" t="s">
        <v>1322</v>
      </c>
      <c r="F1421" s="1187">
        <v>0</v>
      </c>
      <c r="G1421" s="761" t="s">
        <v>631</v>
      </c>
      <c r="H1421" s="767"/>
      <c r="I1421" s="767"/>
      <c r="J1421" s="1187">
        <v>0</v>
      </c>
      <c r="K1421" s="1188">
        <v>0</v>
      </c>
    </row>
    <row r="1422" spans="1:11" ht="40.799999999999997" x14ac:dyDescent="0.3">
      <c r="A1422" s="761" t="s">
        <v>167</v>
      </c>
      <c r="B1422" s="765">
        <v>2020</v>
      </c>
      <c r="C1422" s="761" t="s">
        <v>2350</v>
      </c>
      <c r="D1422" s="761" t="s">
        <v>638</v>
      </c>
      <c r="E1422" s="761" t="s">
        <v>1323</v>
      </c>
      <c r="F1422" s="1187">
        <v>0</v>
      </c>
      <c r="G1422" s="761" t="s">
        <v>631</v>
      </c>
      <c r="H1422" s="767"/>
      <c r="I1422" s="767"/>
      <c r="J1422" s="1187">
        <v>0</v>
      </c>
      <c r="K1422" s="1188">
        <v>0</v>
      </c>
    </row>
    <row r="1423" spans="1:11" ht="40.799999999999997" x14ac:dyDescent="0.3">
      <c r="A1423" s="761" t="s">
        <v>167</v>
      </c>
      <c r="B1423" s="765">
        <v>2020</v>
      </c>
      <c r="C1423" s="761" t="s">
        <v>2350</v>
      </c>
      <c r="D1423" s="761" t="s">
        <v>639</v>
      </c>
      <c r="E1423" s="761" t="s">
        <v>1324</v>
      </c>
      <c r="F1423" s="1187">
        <v>0</v>
      </c>
      <c r="G1423" s="761" t="s">
        <v>631</v>
      </c>
      <c r="H1423" s="767"/>
      <c r="I1423" s="767"/>
      <c r="J1423" s="1187">
        <v>0</v>
      </c>
      <c r="K1423" s="1188">
        <v>0</v>
      </c>
    </row>
    <row r="1424" spans="1:11" ht="40.799999999999997" x14ac:dyDescent="0.3">
      <c r="A1424" s="761" t="s">
        <v>167</v>
      </c>
      <c r="B1424" s="765">
        <v>2020</v>
      </c>
      <c r="C1424" s="761" t="s">
        <v>2350</v>
      </c>
      <c r="D1424" s="761" t="s">
        <v>1613</v>
      </c>
      <c r="E1424" s="761" t="s">
        <v>1999</v>
      </c>
      <c r="F1424" s="1187">
        <v>0</v>
      </c>
      <c r="G1424" s="761" t="s">
        <v>631</v>
      </c>
      <c r="H1424" s="767"/>
      <c r="I1424" s="767"/>
      <c r="J1424" s="1187">
        <v>0</v>
      </c>
      <c r="K1424" s="1188">
        <v>0</v>
      </c>
    </row>
    <row r="1425" spans="1:11" ht="40.799999999999997" x14ac:dyDescent="0.3">
      <c r="A1425" s="761" t="s">
        <v>167</v>
      </c>
      <c r="B1425" s="765">
        <v>2020</v>
      </c>
      <c r="C1425" s="761" t="s">
        <v>2350</v>
      </c>
      <c r="D1425" s="761" t="s">
        <v>2067</v>
      </c>
      <c r="E1425" s="761" t="s">
        <v>2113</v>
      </c>
      <c r="F1425" s="1187">
        <v>0</v>
      </c>
      <c r="G1425" s="761" t="s">
        <v>631</v>
      </c>
      <c r="H1425" s="1187">
        <v>-24273</v>
      </c>
      <c r="I1425" s="767"/>
      <c r="J1425" s="1187">
        <v>-24273</v>
      </c>
      <c r="K1425" s="1188">
        <v>-24273</v>
      </c>
    </row>
    <row r="1426" spans="1:11" ht="40.799999999999997" x14ac:dyDescent="0.3">
      <c r="A1426" s="761" t="s">
        <v>167</v>
      </c>
      <c r="B1426" s="765">
        <v>2020</v>
      </c>
      <c r="C1426" s="761" t="s">
        <v>2350</v>
      </c>
      <c r="D1426" s="761" t="s">
        <v>3762</v>
      </c>
      <c r="E1426" s="761" t="s">
        <v>4372</v>
      </c>
      <c r="F1426" s="1187">
        <v>0</v>
      </c>
      <c r="G1426" s="761" t="s">
        <v>631</v>
      </c>
      <c r="H1426" s="1187">
        <v>39743</v>
      </c>
      <c r="I1426" s="1187">
        <v>-141719</v>
      </c>
      <c r="J1426" s="1187">
        <v>-101976</v>
      </c>
      <c r="K1426" s="1188">
        <v>-101976</v>
      </c>
    </row>
    <row r="1427" spans="1:11" ht="40.799999999999997" x14ac:dyDescent="0.3">
      <c r="A1427" s="761" t="s">
        <v>167</v>
      </c>
      <c r="B1427" s="765">
        <v>2020</v>
      </c>
      <c r="C1427" s="761" t="s">
        <v>2350</v>
      </c>
      <c r="D1427" s="761" t="s">
        <v>4844</v>
      </c>
      <c r="E1427" s="761" t="s">
        <v>5827</v>
      </c>
      <c r="F1427" s="1187">
        <v>0</v>
      </c>
      <c r="G1427" s="761" t="s">
        <v>631</v>
      </c>
      <c r="H1427" s="1187">
        <v>60545</v>
      </c>
      <c r="I1427" s="1187">
        <v>-63259</v>
      </c>
      <c r="J1427" s="1187">
        <v>-2714</v>
      </c>
      <c r="K1427" s="1188">
        <v>-2714</v>
      </c>
    </row>
    <row r="1428" spans="1:11" ht="40.799999999999997" x14ac:dyDescent="0.3">
      <c r="A1428" s="761" t="s">
        <v>167</v>
      </c>
      <c r="B1428" s="765">
        <v>2020</v>
      </c>
      <c r="C1428" s="761" t="s">
        <v>2350</v>
      </c>
      <c r="D1428" s="761" t="s">
        <v>7101</v>
      </c>
      <c r="E1428" s="761" t="s">
        <v>7215</v>
      </c>
      <c r="F1428" s="1187">
        <v>0</v>
      </c>
      <c r="G1428" s="761" t="s">
        <v>631</v>
      </c>
      <c r="H1428" s="1187">
        <v>1357723</v>
      </c>
      <c r="I1428" s="1187">
        <v>-1483406</v>
      </c>
      <c r="J1428" s="1187">
        <v>-125683</v>
      </c>
      <c r="K1428" s="1188">
        <v>-125683</v>
      </c>
    </row>
    <row r="1429" spans="1:11" ht="40.799999999999997" x14ac:dyDescent="0.3">
      <c r="A1429" s="761" t="s">
        <v>167</v>
      </c>
      <c r="B1429" s="765">
        <v>2020</v>
      </c>
      <c r="C1429" s="761" t="s">
        <v>2350</v>
      </c>
      <c r="D1429" s="761" t="s">
        <v>640</v>
      </c>
      <c r="E1429" s="761" t="s">
        <v>1389</v>
      </c>
      <c r="F1429" s="1187">
        <v>-254646</v>
      </c>
      <c r="G1429" s="766"/>
      <c r="H1429" s="767"/>
      <c r="I1429" s="767"/>
      <c r="J1429" s="1187">
        <v>0</v>
      </c>
      <c r="K1429" s="1188">
        <v>-254646</v>
      </c>
    </row>
    <row r="1430" spans="1:11" ht="20.399999999999999" x14ac:dyDescent="0.3">
      <c r="A1430" s="761" t="s">
        <v>238</v>
      </c>
      <c r="B1430" s="765">
        <v>2020</v>
      </c>
      <c r="C1430" s="761" t="s">
        <v>2342</v>
      </c>
      <c r="D1430" s="761" t="s">
        <v>45</v>
      </c>
      <c r="E1430" s="761" t="s">
        <v>993</v>
      </c>
      <c r="F1430" s="1187">
        <v>0</v>
      </c>
      <c r="G1430" s="761" t="s">
        <v>631</v>
      </c>
      <c r="H1430" s="767"/>
      <c r="I1430" s="767"/>
      <c r="J1430" s="1187">
        <v>0</v>
      </c>
      <c r="K1430" s="1188">
        <v>0</v>
      </c>
    </row>
    <row r="1431" spans="1:11" ht="30.6" x14ac:dyDescent="0.3">
      <c r="A1431" s="761" t="s">
        <v>238</v>
      </c>
      <c r="B1431" s="765">
        <v>2020</v>
      </c>
      <c r="C1431" s="761" t="s">
        <v>2343</v>
      </c>
      <c r="D1431" s="761" t="s">
        <v>632</v>
      </c>
      <c r="E1431" s="761" t="s">
        <v>994</v>
      </c>
      <c r="F1431" s="1187">
        <v>-27351.57</v>
      </c>
      <c r="G1431" s="761" t="s">
        <v>631</v>
      </c>
      <c r="H1431" s="1187">
        <v>-26512.880859375</v>
      </c>
      <c r="I1431" s="1187">
        <v>-838.69000244140602</v>
      </c>
      <c r="J1431" s="1187">
        <v>-27351.5703125</v>
      </c>
      <c r="K1431" s="1188">
        <v>-27351.57</v>
      </c>
    </row>
    <row r="1432" spans="1:11" ht="20.399999999999999" x14ac:dyDescent="0.3">
      <c r="A1432" s="761" t="s">
        <v>238</v>
      </c>
      <c r="B1432" s="765">
        <v>2020</v>
      </c>
      <c r="C1432" s="761" t="s">
        <v>2344</v>
      </c>
      <c r="D1432" s="761" t="s">
        <v>452</v>
      </c>
      <c r="E1432" s="761" t="s">
        <v>995</v>
      </c>
      <c r="F1432" s="1187">
        <v>0</v>
      </c>
      <c r="G1432" s="766"/>
      <c r="H1432" s="767"/>
      <c r="I1432" s="767"/>
      <c r="J1432" s="1187">
        <v>0</v>
      </c>
      <c r="K1432" s="1188">
        <v>0</v>
      </c>
    </row>
    <row r="1433" spans="1:11" ht="20.399999999999999" x14ac:dyDescent="0.3">
      <c r="A1433" s="761" t="s">
        <v>238</v>
      </c>
      <c r="B1433" s="765">
        <v>2020</v>
      </c>
      <c r="C1433" s="761" t="s">
        <v>2345</v>
      </c>
      <c r="D1433" s="761" t="s">
        <v>42</v>
      </c>
      <c r="E1433" s="761" t="s">
        <v>996</v>
      </c>
      <c r="F1433" s="1187">
        <v>-282898.05</v>
      </c>
      <c r="G1433" s="761" t="s">
        <v>631</v>
      </c>
      <c r="H1433" s="1187">
        <v>-275588.4375</v>
      </c>
      <c r="I1433" s="1187">
        <v>-7309.60986328125</v>
      </c>
      <c r="J1433" s="1187">
        <v>-282898.0625</v>
      </c>
      <c r="K1433" s="1188">
        <v>-282898.05</v>
      </c>
    </row>
    <row r="1434" spans="1:11" ht="20.399999999999999" x14ac:dyDescent="0.3">
      <c r="A1434" s="761" t="s">
        <v>238</v>
      </c>
      <c r="B1434" s="765">
        <v>2020</v>
      </c>
      <c r="C1434" s="761" t="s">
        <v>2345</v>
      </c>
      <c r="D1434" s="761" t="s">
        <v>2063</v>
      </c>
      <c r="E1434" s="761" t="s">
        <v>996</v>
      </c>
      <c r="F1434" s="1187">
        <v>0</v>
      </c>
      <c r="G1434" s="766"/>
      <c r="H1434" s="767"/>
      <c r="I1434" s="767"/>
      <c r="J1434" s="1187">
        <v>0</v>
      </c>
      <c r="K1434" s="1188">
        <v>0</v>
      </c>
    </row>
    <row r="1435" spans="1:11" ht="20.399999999999999" x14ac:dyDescent="0.3">
      <c r="A1435" s="761" t="s">
        <v>238</v>
      </c>
      <c r="B1435" s="765">
        <v>2020</v>
      </c>
      <c r="C1435" s="761" t="s">
        <v>2345</v>
      </c>
      <c r="D1435" s="761" t="s">
        <v>2064</v>
      </c>
      <c r="E1435" s="761" t="s">
        <v>996</v>
      </c>
      <c r="F1435" s="1187">
        <v>0</v>
      </c>
      <c r="G1435" s="766"/>
      <c r="H1435" s="767"/>
      <c r="I1435" s="767"/>
      <c r="J1435" s="1187">
        <v>0</v>
      </c>
      <c r="K1435" s="1188">
        <v>0</v>
      </c>
    </row>
    <row r="1436" spans="1:11" ht="20.399999999999999" x14ac:dyDescent="0.3">
      <c r="A1436" s="761" t="s">
        <v>238</v>
      </c>
      <c r="B1436" s="765">
        <v>2020</v>
      </c>
      <c r="C1436" s="761" t="s">
        <v>2345</v>
      </c>
      <c r="D1436" s="761" t="s">
        <v>2065</v>
      </c>
      <c r="E1436" s="761" t="s">
        <v>996</v>
      </c>
      <c r="F1436" s="1187">
        <v>-828.71</v>
      </c>
      <c r="G1436" s="766"/>
      <c r="H1436" s="767"/>
      <c r="I1436" s="767"/>
      <c r="J1436" s="1187">
        <v>0</v>
      </c>
      <c r="K1436" s="1188">
        <v>-828.71</v>
      </c>
    </row>
    <row r="1437" spans="1:11" ht="20.399999999999999" x14ac:dyDescent="0.3">
      <c r="A1437" s="761" t="s">
        <v>238</v>
      </c>
      <c r="B1437" s="765">
        <v>2020</v>
      </c>
      <c r="C1437" s="761" t="s">
        <v>2345</v>
      </c>
      <c r="D1437" s="761" t="s">
        <v>2066</v>
      </c>
      <c r="E1437" s="761" t="s">
        <v>996</v>
      </c>
      <c r="F1437" s="1187">
        <v>-41945.88</v>
      </c>
      <c r="G1437" s="766"/>
      <c r="H1437" s="767"/>
      <c r="I1437" s="767"/>
      <c r="J1437" s="1187">
        <v>0</v>
      </c>
      <c r="K1437" s="1188">
        <v>-41945.88</v>
      </c>
    </row>
    <row r="1438" spans="1:11" ht="30.6" x14ac:dyDescent="0.3">
      <c r="A1438" s="761" t="s">
        <v>238</v>
      </c>
      <c r="B1438" s="765">
        <v>2020</v>
      </c>
      <c r="C1438" s="761" t="s">
        <v>2346</v>
      </c>
      <c r="D1438" s="761" t="s">
        <v>43</v>
      </c>
      <c r="E1438" s="761" t="s">
        <v>997</v>
      </c>
      <c r="F1438" s="1187">
        <v>6215.22</v>
      </c>
      <c r="G1438" s="761" t="s">
        <v>631</v>
      </c>
      <c r="H1438" s="1187">
        <v>8235.7998046875</v>
      </c>
      <c r="I1438" s="1187">
        <v>-2020.57995605469</v>
      </c>
      <c r="J1438" s="1187">
        <v>6215.22021484375</v>
      </c>
      <c r="K1438" s="1188">
        <v>6215.22</v>
      </c>
    </row>
    <row r="1439" spans="1:11" ht="30.6" x14ac:dyDescent="0.3">
      <c r="A1439" s="761" t="s">
        <v>238</v>
      </c>
      <c r="B1439" s="765">
        <v>2020</v>
      </c>
      <c r="C1439" s="761" t="s">
        <v>2347</v>
      </c>
      <c r="D1439" s="761" t="s">
        <v>44</v>
      </c>
      <c r="E1439" s="761" t="s">
        <v>998</v>
      </c>
      <c r="F1439" s="1187">
        <v>66400.62</v>
      </c>
      <c r="G1439" s="761" t="s">
        <v>631</v>
      </c>
      <c r="H1439" s="1187">
        <v>64088.03125</v>
      </c>
      <c r="I1439" s="1187">
        <v>2312.59008789063</v>
      </c>
      <c r="J1439" s="1187">
        <v>66400.6171875</v>
      </c>
      <c r="K1439" s="1188">
        <v>66400.62</v>
      </c>
    </row>
    <row r="1440" spans="1:11" ht="30.6" x14ac:dyDescent="0.3">
      <c r="A1440" s="761" t="s">
        <v>238</v>
      </c>
      <c r="B1440" s="765">
        <v>2020</v>
      </c>
      <c r="C1440" s="761" t="s">
        <v>2348</v>
      </c>
      <c r="D1440" s="761" t="s">
        <v>46</v>
      </c>
      <c r="E1440" s="761" t="s">
        <v>999</v>
      </c>
      <c r="F1440" s="1187">
        <v>-812831.28</v>
      </c>
      <c r="G1440" s="761" t="s">
        <v>631</v>
      </c>
      <c r="H1440" s="1187">
        <v>-787541.0625</v>
      </c>
      <c r="I1440" s="1187">
        <v>-25290.2109375</v>
      </c>
      <c r="J1440" s="1187">
        <v>-812831.25</v>
      </c>
      <c r="K1440" s="1188">
        <v>-812831.28</v>
      </c>
    </row>
    <row r="1441" spans="1:11" ht="20.399999999999999" x14ac:dyDescent="0.3">
      <c r="A1441" s="761" t="s">
        <v>238</v>
      </c>
      <c r="B1441" s="765">
        <v>2020</v>
      </c>
      <c r="C1441" s="761" t="s">
        <v>2349</v>
      </c>
      <c r="D1441" s="761" t="s">
        <v>339</v>
      </c>
      <c r="E1441" s="761" t="s">
        <v>1000</v>
      </c>
      <c r="F1441" s="1187">
        <v>-236729.83</v>
      </c>
      <c r="G1441" s="761" t="s">
        <v>631</v>
      </c>
      <c r="H1441" s="1187">
        <v>-233208.203125</v>
      </c>
      <c r="I1441" s="1187">
        <v>-3521.6201171875</v>
      </c>
      <c r="J1441" s="1187">
        <v>-236729.828125</v>
      </c>
      <c r="K1441" s="1188">
        <v>-236729.83</v>
      </c>
    </row>
    <row r="1442" spans="1:11" ht="40.799999999999997" x14ac:dyDescent="0.3">
      <c r="A1442" s="761" t="s">
        <v>238</v>
      </c>
      <c r="B1442" s="765">
        <v>2020</v>
      </c>
      <c r="C1442" s="761" t="s">
        <v>2350</v>
      </c>
      <c r="D1442" s="761" t="s">
        <v>633</v>
      </c>
      <c r="E1442" s="761" t="s">
        <v>1325</v>
      </c>
      <c r="F1442" s="1187">
        <v>0</v>
      </c>
      <c r="G1442" s="761" t="s">
        <v>631</v>
      </c>
      <c r="H1442" s="767"/>
      <c r="I1442" s="767"/>
      <c r="J1442" s="1187">
        <v>0</v>
      </c>
      <c r="K1442" s="1188">
        <v>0</v>
      </c>
    </row>
    <row r="1443" spans="1:11" ht="40.799999999999997" x14ac:dyDescent="0.3">
      <c r="A1443" s="761" t="s">
        <v>238</v>
      </c>
      <c r="B1443" s="765">
        <v>2020</v>
      </c>
      <c r="C1443" s="761" t="s">
        <v>2350</v>
      </c>
      <c r="D1443" s="761" t="s">
        <v>634</v>
      </c>
      <c r="E1443" s="761" t="s">
        <v>1326</v>
      </c>
      <c r="F1443" s="1187">
        <v>0</v>
      </c>
      <c r="G1443" s="761" t="s">
        <v>631</v>
      </c>
      <c r="H1443" s="767"/>
      <c r="I1443" s="767"/>
      <c r="J1443" s="1187">
        <v>0</v>
      </c>
      <c r="K1443" s="1188">
        <v>0</v>
      </c>
    </row>
    <row r="1444" spans="1:11" ht="40.799999999999997" x14ac:dyDescent="0.3">
      <c r="A1444" s="761" t="s">
        <v>238</v>
      </c>
      <c r="B1444" s="765">
        <v>2020</v>
      </c>
      <c r="C1444" s="761" t="s">
        <v>2350</v>
      </c>
      <c r="D1444" s="761" t="s">
        <v>635</v>
      </c>
      <c r="E1444" s="761" t="s">
        <v>1327</v>
      </c>
      <c r="F1444" s="1187">
        <v>0</v>
      </c>
      <c r="G1444" s="761" t="s">
        <v>631</v>
      </c>
      <c r="H1444" s="767"/>
      <c r="I1444" s="767"/>
      <c r="J1444" s="1187">
        <v>0</v>
      </c>
      <c r="K1444" s="1188">
        <v>0</v>
      </c>
    </row>
    <row r="1445" spans="1:11" ht="40.799999999999997" x14ac:dyDescent="0.3">
      <c r="A1445" s="761" t="s">
        <v>238</v>
      </c>
      <c r="B1445" s="765">
        <v>2020</v>
      </c>
      <c r="C1445" s="761" t="s">
        <v>2350</v>
      </c>
      <c r="D1445" s="761" t="s">
        <v>636</v>
      </c>
      <c r="E1445" s="761" t="s">
        <v>1328</v>
      </c>
      <c r="F1445" s="1187">
        <v>0</v>
      </c>
      <c r="G1445" s="761" t="s">
        <v>631</v>
      </c>
      <c r="H1445" s="767"/>
      <c r="I1445" s="767"/>
      <c r="J1445" s="1187">
        <v>0</v>
      </c>
      <c r="K1445" s="1188">
        <v>0</v>
      </c>
    </row>
    <row r="1446" spans="1:11" ht="40.799999999999997" x14ac:dyDescent="0.3">
      <c r="A1446" s="761" t="s">
        <v>238</v>
      </c>
      <c r="B1446" s="765">
        <v>2020</v>
      </c>
      <c r="C1446" s="761" t="s">
        <v>2350</v>
      </c>
      <c r="D1446" s="761" t="s">
        <v>637</v>
      </c>
      <c r="E1446" s="761" t="s">
        <v>1329</v>
      </c>
      <c r="F1446" s="1187">
        <v>0</v>
      </c>
      <c r="G1446" s="761" t="s">
        <v>631</v>
      </c>
      <c r="H1446" s="767"/>
      <c r="I1446" s="767"/>
      <c r="J1446" s="1187">
        <v>0</v>
      </c>
      <c r="K1446" s="1188">
        <v>0</v>
      </c>
    </row>
    <row r="1447" spans="1:11" ht="40.799999999999997" x14ac:dyDescent="0.3">
      <c r="A1447" s="761" t="s">
        <v>238</v>
      </c>
      <c r="B1447" s="765">
        <v>2020</v>
      </c>
      <c r="C1447" s="761" t="s">
        <v>2350</v>
      </c>
      <c r="D1447" s="761" t="s">
        <v>638</v>
      </c>
      <c r="E1447" s="761" t="s">
        <v>1330</v>
      </c>
      <c r="F1447" s="1187">
        <v>0</v>
      </c>
      <c r="G1447" s="761" t="s">
        <v>631</v>
      </c>
      <c r="H1447" s="767"/>
      <c r="I1447" s="767"/>
      <c r="J1447" s="1187">
        <v>0</v>
      </c>
      <c r="K1447" s="1188">
        <v>0</v>
      </c>
    </row>
    <row r="1448" spans="1:11" ht="40.799999999999997" x14ac:dyDescent="0.3">
      <c r="A1448" s="761" t="s">
        <v>238</v>
      </c>
      <c r="B1448" s="765">
        <v>2020</v>
      </c>
      <c r="C1448" s="761" t="s">
        <v>2350</v>
      </c>
      <c r="D1448" s="761" t="s">
        <v>639</v>
      </c>
      <c r="E1448" s="761" t="s">
        <v>1331</v>
      </c>
      <c r="F1448" s="1187">
        <v>0</v>
      </c>
      <c r="G1448" s="761" t="s">
        <v>631</v>
      </c>
      <c r="H1448" s="767"/>
      <c r="I1448" s="767"/>
      <c r="J1448" s="1187">
        <v>0</v>
      </c>
      <c r="K1448" s="1188">
        <v>0</v>
      </c>
    </row>
    <row r="1449" spans="1:11" ht="40.799999999999997" x14ac:dyDescent="0.3">
      <c r="A1449" s="761" t="s">
        <v>238</v>
      </c>
      <c r="B1449" s="765">
        <v>2020</v>
      </c>
      <c r="C1449" s="761" t="s">
        <v>2350</v>
      </c>
      <c r="D1449" s="761" t="s">
        <v>1613</v>
      </c>
      <c r="E1449" s="761" t="s">
        <v>2000</v>
      </c>
      <c r="F1449" s="1187">
        <v>0</v>
      </c>
      <c r="G1449" s="761" t="s">
        <v>631</v>
      </c>
      <c r="H1449" s="767"/>
      <c r="I1449" s="767"/>
      <c r="J1449" s="1187">
        <v>0</v>
      </c>
      <c r="K1449" s="1188">
        <v>0</v>
      </c>
    </row>
    <row r="1450" spans="1:11" ht="40.799999999999997" x14ac:dyDescent="0.3">
      <c r="A1450" s="761" t="s">
        <v>238</v>
      </c>
      <c r="B1450" s="765">
        <v>2020</v>
      </c>
      <c r="C1450" s="761" t="s">
        <v>2350</v>
      </c>
      <c r="D1450" s="761" t="s">
        <v>2067</v>
      </c>
      <c r="E1450" s="761" t="s">
        <v>2114</v>
      </c>
      <c r="F1450" s="1187">
        <v>0</v>
      </c>
      <c r="G1450" s="761" t="s">
        <v>631</v>
      </c>
      <c r="H1450" s="767"/>
      <c r="I1450" s="767"/>
      <c r="J1450" s="1187">
        <v>0</v>
      </c>
      <c r="K1450" s="1188">
        <v>0</v>
      </c>
    </row>
    <row r="1451" spans="1:11" ht="40.799999999999997" x14ac:dyDescent="0.3">
      <c r="A1451" s="761" t="s">
        <v>238</v>
      </c>
      <c r="B1451" s="765">
        <v>2020</v>
      </c>
      <c r="C1451" s="761" t="s">
        <v>2350</v>
      </c>
      <c r="D1451" s="761" t="s">
        <v>3762</v>
      </c>
      <c r="E1451" s="761" t="s">
        <v>4373</v>
      </c>
      <c r="F1451" s="1187">
        <v>0</v>
      </c>
      <c r="G1451" s="761" t="s">
        <v>631</v>
      </c>
      <c r="H1451" s="1187">
        <v>0</v>
      </c>
      <c r="I1451" s="1187">
        <v>-24850.150390625</v>
      </c>
      <c r="J1451" s="1187">
        <v>-24850.150390625</v>
      </c>
      <c r="K1451" s="1188">
        <v>-24850.15</v>
      </c>
    </row>
    <row r="1452" spans="1:11" ht="40.799999999999997" x14ac:dyDescent="0.3">
      <c r="A1452" s="761" t="s">
        <v>238</v>
      </c>
      <c r="B1452" s="765">
        <v>2020</v>
      </c>
      <c r="C1452" s="761" t="s">
        <v>2350</v>
      </c>
      <c r="D1452" s="761" t="s">
        <v>4844</v>
      </c>
      <c r="E1452" s="761" t="s">
        <v>5828</v>
      </c>
      <c r="F1452" s="1187">
        <v>0</v>
      </c>
      <c r="G1452" s="761" t="s">
        <v>631</v>
      </c>
      <c r="H1452" s="1187">
        <v>49528.3515625</v>
      </c>
      <c r="I1452" s="1187">
        <v>-5875.1201171875</v>
      </c>
      <c r="J1452" s="1187">
        <v>43653.23046875</v>
      </c>
      <c r="K1452" s="1188">
        <v>43653.23</v>
      </c>
    </row>
    <row r="1453" spans="1:11" ht="40.799999999999997" x14ac:dyDescent="0.3">
      <c r="A1453" s="761" t="s">
        <v>238</v>
      </c>
      <c r="B1453" s="765">
        <v>2020</v>
      </c>
      <c r="C1453" s="761" t="s">
        <v>2350</v>
      </c>
      <c r="D1453" s="761" t="s">
        <v>7101</v>
      </c>
      <c r="E1453" s="761" t="s">
        <v>7216</v>
      </c>
      <c r="F1453" s="1187">
        <v>0</v>
      </c>
      <c r="G1453" s="761" t="s">
        <v>631</v>
      </c>
      <c r="H1453" s="1187">
        <v>-237500.9375</v>
      </c>
      <c r="I1453" s="1187">
        <v>-77900.2421875</v>
      </c>
      <c r="J1453" s="1187">
        <v>-315401.1875</v>
      </c>
      <c r="K1453" s="1188">
        <v>-315401.18</v>
      </c>
    </row>
    <row r="1454" spans="1:11" ht="40.799999999999997" x14ac:dyDescent="0.3">
      <c r="A1454" s="761" t="s">
        <v>238</v>
      </c>
      <c r="B1454" s="765">
        <v>2020</v>
      </c>
      <c r="C1454" s="761" t="s">
        <v>2350</v>
      </c>
      <c r="D1454" s="761" t="s">
        <v>640</v>
      </c>
      <c r="E1454" s="761" t="s">
        <v>1390</v>
      </c>
      <c r="F1454" s="1187">
        <v>-296598.09999999998</v>
      </c>
      <c r="G1454" s="766"/>
      <c r="H1454" s="767"/>
      <c r="I1454" s="767"/>
      <c r="J1454" s="1187">
        <v>0</v>
      </c>
      <c r="K1454" s="1188">
        <v>-296598.09999999998</v>
      </c>
    </row>
    <row r="1455" spans="1:11" x14ac:dyDescent="0.3">
      <c r="A1455" s="761" t="s">
        <v>206</v>
      </c>
      <c r="B1455" s="765">
        <v>2020</v>
      </c>
      <c r="C1455" s="761" t="s">
        <v>2342</v>
      </c>
      <c r="D1455" s="761" t="s">
        <v>45</v>
      </c>
      <c r="E1455" s="761" t="s">
        <v>1001</v>
      </c>
      <c r="F1455" s="1187">
        <v>413155.99</v>
      </c>
      <c r="G1455" s="761" t="s">
        <v>631</v>
      </c>
      <c r="H1455" s="1187">
        <v>395903.40625</v>
      </c>
      <c r="I1455" s="1187">
        <v>17252.580078125</v>
      </c>
      <c r="J1455" s="1187">
        <v>413156</v>
      </c>
      <c r="K1455" s="1188">
        <v>413155.99</v>
      </c>
    </row>
    <row r="1456" spans="1:11" ht="30.6" x14ac:dyDescent="0.3">
      <c r="A1456" s="761" t="s">
        <v>206</v>
      </c>
      <c r="B1456" s="765">
        <v>2020</v>
      </c>
      <c r="C1456" s="761" t="s">
        <v>2343</v>
      </c>
      <c r="D1456" s="761" t="s">
        <v>632</v>
      </c>
      <c r="E1456" s="761" t="s">
        <v>1002</v>
      </c>
      <c r="F1456" s="1187">
        <v>-5359.49</v>
      </c>
      <c r="G1456" s="761" t="s">
        <v>631</v>
      </c>
      <c r="H1456" s="1187">
        <v>-5171.75</v>
      </c>
      <c r="I1456" s="1187">
        <v>-187.74000549316401</v>
      </c>
      <c r="J1456" s="1187">
        <v>-5359.490234375</v>
      </c>
      <c r="K1456" s="1188">
        <v>-5359.49</v>
      </c>
    </row>
    <row r="1457" spans="1:11" ht="20.399999999999999" x14ac:dyDescent="0.3">
      <c r="A1457" s="761" t="s">
        <v>206</v>
      </c>
      <c r="B1457" s="765">
        <v>2020</v>
      </c>
      <c r="C1457" s="761" t="s">
        <v>2344</v>
      </c>
      <c r="D1457" s="761" t="s">
        <v>452</v>
      </c>
      <c r="E1457" s="761" t="s">
        <v>1003</v>
      </c>
      <c r="F1457" s="1187">
        <v>25437.37</v>
      </c>
      <c r="G1457" s="766"/>
      <c r="H1457" s="767"/>
      <c r="I1457" s="767"/>
      <c r="J1457" s="1187">
        <v>0</v>
      </c>
      <c r="K1457" s="1188">
        <v>25437.37</v>
      </c>
    </row>
    <row r="1458" spans="1:11" ht="20.399999999999999" x14ac:dyDescent="0.3">
      <c r="A1458" s="761" t="s">
        <v>206</v>
      </c>
      <c r="B1458" s="765">
        <v>2020</v>
      </c>
      <c r="C1458" s="761" t="s">
        <v>2345</v>
      </c>
      <c r="D1458" s="761" t="s">
        <v>42</v>
      </c>
      <c r="E1458" s="761" t="s">
        <v>1004</v>
      </c>
      <c r="F1458" s="1187">
        <v>-500858.91</v>
      </c>
      <c r="G1458" s="761" t="s">
        <v>631</v>
      </c>
      <c r="H1458" s="1187">
        <v>-474572.71875</v>
      </c>
      <c r="I1458" s="1187">
        <v>-26286.189453125</v>
      </c>
      <c r="J1458" s="1187">
        <v>-500858.90625</v>
      </c>
      <c r="K1458" s="1188">
        <v>-500858.91</v>
      </c>
    </row>
    <row r="1459" spans="1:11" ht="20.399999999999999" x14ac:dyDescent="0.3">
      <c r="A1459" s="761" t="s">
        <v>206</v>
      </c>
      <c r="B1459" s="765">
        <v>2020</v>
      </c>
      <c r="C1459" s="761" t="s">
        <v>2345</v>
      </c>
      <c r="D1459" s="761" t="s">
        <v>2063</v>
      </c>
      <c r="E1459" s="761" t="s">
        <v>1004</v>
      </c>
      <c r="F1459" s="1187">
        <v>0</v>
      </c>
      <c r="G1459" s="766"/>
      <c r="H1459" s="767"/>
      <c r="I1459" s="767"/>
      <c r="J1459" s="1187">
        <v>0</v>
      </c>
      <c r="K1459" s="1188">
        <v>0</v>
      </c>
    </row>
    <row r="1460" spans="1:11" ht="20.399999999999999" x14ac:dyDescent="0.3">
      <c r="A1460" s="761" t="s">
        <v>206</v>
      </c>
      <c r="B1460" s="765">
        <v>2020</v>
      </c>
      <c r="C1460" s="761" t="s">
        <v>2345</v>
      </c>
      <c r="D1460" s="761" t="s">
        <v>2064</v>
      </c>
      <c r="E1460" s="761" t="s">
        <v>1004</v>
      </c>
      <c r="F1460" s="1187">
        <v>0</v>
      </c>
      <c r="G1460" s="766"/>
      <c r="H1460" s="767"/>
      <c r="I1460" s="767"/>
      <c r="J1460" s="1187">
        <v>0</v>
      </c>
      <c r="K1460" s="1188">
        <v>0</v>
      </c>
    </row>
    <row r="1461" spans="1:11" ht="20.399999999999999" x14ac:dyDescent="0.3">
      <c r="A1461" s="761" t="s">
        <v>206</v>
      </c>
      <c r="B1461" s="765">
        <v>2020</v>
      </c>
      <c r="C1461" s="761" t="s">
        <v>2345</v>
      </c>
      <c r="D1461" s="761" t="s">
        <v>2065</v>
      </c>
      <c r="E1461" s="761" t="s">
        <v>1004</v>
      </c>
      <c r="F1461" s="1187">
        <v>1421.1</v>
      </c>
      <c r="G1461" s="766"/>
      <c r="H1461" s="767"/>
      <c r="I1461" s="767"/>
      <c r="J1461" s="1187">
        <v>0</v>
      </c>
      <c r="K1461" s="1188">
        <v>1421.1</v>
      </c>
    </row>
    <row r="1462" spans="1:11" ht="20.399999999999999" x14ac:dyDescent="0.3">
      <c r="A1462" s="761" t="s">
        <v>206</v>
      </c>
      <c r="B1462" s="765">
        <v>2020</v>
      </c>
      <c r="C1462" s="761" t="s">
        <v>2345</v>
      </c>
      <c r="D1462" s="761" t="s">
        <v>2066</v>
      </c>
      <c r="E1462" s="761" t="s">
        <v>1004</v>
      </c>
      <c r="F1462" s="1187">
        <v>16834.990000000002</v>
      </c>
      <c r="G1462" s="766"/>
      <c r="H1462" s="767"/>
      <c r="I1462" s="767"/>
      <c r="J1462" s="1187">
        <v>0</v>
      </c>
      <c r="K1462" s="1188">
        <v>16834.990000000002</v>
      </c>
    </row>
    <row r="1463" spans="1:11" ht="30.6" x14ac:dyDescent="0.3">
      <c r="A1463" s="761" t="s">
        <v>206</v>
      </c>
      <c r="B1463" s="765">
        <v>2020</v>
      </c>
      <c r="C1463" s="761" t="s">
        <v>2346</v>
      </c>
      <c r="D1463" s="761" t="s">
        <v>43</v>
      </c>
      <c r="E1463" s="761" t="s">
        <v>1005</v>
      </c>
      <c r="F1463" s="1187">
        <v>33766.1</v>
      </c>
      <c r="G1463" s="761" t="s">
        <v>631</v>
      </c>
      <c r="H1463" s="1187">
        <v>30925.630859375</v>
      </c>
      <c r="I1463" s="1187">
        <v>2840.46997070313</v>
      </c>
      <c r="J1463" s="1187">
        <v>33766.1015625</v>
      </c>
      <c r="K1463" s="1188">
        <v>33766.1</v>
      </c>
    </row>
    <row r="1464" spans="1:11" ht="30.6" x14ac:dyDescent="0.3">
      <c r="A1464" s="761" t="s">
        <v>206</v>
      </c>
      <c r="B1464" s="765">
        <v>2020</v>
      </c>
      <c r="C1464" s="761" t="s">
        <v>2347</v>
      </c>
      <c r="D1464" s="761" t="s">
        <v>44</v>
      </c>
      <c r="E1464" s="761" t="s">
        <v>1006</v>
      </c>
      <c r="F1464" s="1187">
        <v>196172.84</v>
      </c>
      <c r="G1464" s="761" t="s">
        <v>631</v>
      </c>
      <c r="H1464" s="1187">
        <v>188570.125</v>
      </c>
      <c r="I1464" s="1187">
        <v>7602.72021484375</v>
      </c>
      <c r="J1464" s="1187">
        <v>196172.84375</v>
      </c>
      <c r="K1464" s="1188">
        <v>196172.84</v>
      </c>
    </row>
    <row r="1465" spans="1:11" ht="30.6" x14ac:dyDescent="0.3">
      <c r="A1465" s="761" t="s">
        <v>206</v>
      </c>
      <c r="B1465" s="765">
        <v>2020</v>
      </c>
      <c r="C1465" s="761" t="s">
        <v>2348</v>
      </c>
      <c r="D1465" s="761" t="s">
        <v>46</v>
      </c>
      <c r="E1465" s="761" t="s">
        <v>1007</v>
      </c>
      <c r="F1465" s="1187">
        <v>83136.23</v>
      </c>
      <c r="G1465" s="761" t="s">
        <v>631</v>
      </c>
      <c r="H1465" s="1187">
        <v>83343.2421875</v>
      </c>
      <c r="I1465" s="1187">
        <v>-207.00999450683599</v>
      </c>
      <c r="J1465" s="1187">
        <v>83136.2265625</v>
      </c>
      <c r="K1465" s="1188">
        <v>83136.23</v>
      </c>
    </row>
    <row r="1466" spans="1:11" ht="20.399999999999999" x14ac:dyDescent="0.3">
      <c r="A1466" s="761" t="s">
        <v>206</v>
      </c>
      <c r="B1466" s="765">
        <v>2020</v>
      </c>
      <c r="C1466" s="761" t="s">
        <v>2349</v>
      </c>
      <c r="D1466" s="761" t="s">
        <v>339</v>
      </c>
      <c r="E1466" s="761" t="s">
        <v>1008</v>
      </c>
      <c r="F1466" s="1187">
        <v>-38788.519999999997</v>
      </c>
      <c r="G1466" s="761" t="s">
        <v>631</v>
      </c>
      <c r="H1466" s="1187">
        <v>-40551.25</v>
      </c>
      <c r="I1466" s="1187">
        <v>1762.72998046875</v>
      </c>
      <c r="J1466" s="1187">
        <v>-38788.51953125</v>
      </c>
      <c r="K1466" s="1188">
        <v>-38788.519999999997</v>
      </c>
    </row>
    <row r="1467" spans="1:11" ht="40.799999999999997" x14ac:dyDescent="0.3">
      <c r="A1467" s="761" t="s">
        <v>206</v>
      </c>
      <c r="B1467" s="765">
        <v>2020</v>
      </c>
      <c r="C1467" s="761" t="s">
        <v>2350</v>
      </c>
      <c r="D1467" s="761" t="s">
        <v>633</v>
      </c>
      <c r="E1467" s="761" t="s">
        <v>1332</v>
      </c>
      <c r="F1467" s="1187">
        <v>0</v>
      </c>
      <c r="G1467" s="761" t="s">
        <v>631</v>
      </c>
      <c r="H1467" s="767"/>
      <c r="I1467" s="767"/>
      <c r="J1467" s="1187">
        <v>0</v>
      </c>
      <c r="K1467" s="1188">
        <v>0</v>
      </c>
    </row>
    <row r="1468" spans="1:11" ht="40.799999999999997" x14ac:dyDescent="0.3">
      <c r="A1468" s="761" t="s">
        <v>206</v>
      </c>
      <c r="B1468" s="765">
        <v>2020</v>
      </c>
      <c r="C1468" s="761" t="s">
        <v>2350</v>
      </c>
      <c r="D1468" s="761" t="s">
        <v>634</v>
      </c>
      <c r="E1468" s="761" t="s">
        <v>1333</v>
      </c>
      <c r="F1468" s="1187">
        <v>0</v>
      </c>
      <c r="G1468" s="761" t="s">
        <v>631</v>
      </c>
      <c r="H1468" s="767"/>
      <c r="I1468" s="767"/>
      <c r="J1468" s="1187">
        <v>0</v>
      </c>
      <c r="K1468" s="1188">
        <v>0</v>
      </c>
    </row>
    <row r="1469" spans="1:11" ht="40.799999999999997" x14ac:dyDescent="0.3">
      <c r="A1469" s="761" t="s">
        <v>206</v>
      </c>
      <c r="B1469" s="765">
        <v>2020</v>
      </c>
      <c r="C1469" s="761" t="s">
        <v>2350</v>
      </c>
      <c r="D1469" s="761" t="s">
        <v>635</v>
      </c>
      <c r="E1469" s="761" t="s">
        <v>1334</v>
      </c>
      <c r="F1469" s="1187">
        <v>0</v>
      </c>
      <c r="G1469" s="761" t="s">
        <v>631</v>
      </c>
      <c r="H1469" s="767"/>
      <c r="I1469" s="767"/>
      <c r="J1469" s="1187">
        <v>0</v>
      </c>
      <c r="K1469" s="1188">
        <v>0</v>
      </c>
    </row>
    <row r="1470" spans="1:11" ht="40.799999999999997" x14ac:dyDescent="0.3">
      <c r="A1470" s="761" t="s">
        <v>206</v>
      </c>
      <c r="B1470" s="765">
        <v>2020</v>
      </c>
      <c r="C1470" s="761" t="s">
        <v>2350</v>
      </c>
      <c r="D1470" s="761" t="s">
        <v>636</v>
      </c>
      <c r="E1470" s="761" t="s">
        <v>1335</v>
      </c>
      <c r="F1470" s="1187">
        <v>0</v>
      </c>
      <c r="G1470" s="761" t="s">
        <v>631</v>
      </c>
      <c r="H1470" s="767"/>
      <c r="I1470" s="767"/>
      <c r="J1470" s="1187">
        <v>0</v>
      </c>
      <c r="K1470" s="1188">
        <v>0</v>
      </c>
    </row>
    <row r="1471" spans="1:11" ht="40.799999999999997" x14ac:dyDescent="0.3">
      <c r="A1471" s="761" t="s">
        <v>206</v>
      </c>
      <c r="B1471" s="765">
        <v>2020</v>
      </c>
      <c r="C1471" s="761" t="s">
        <v>2350</v>
      </c>
      <c r="D1471" s="761" t="s">
        <v>637</v>
      </c>
      <c r="E1471" s="761" t="s">
        <v>1336</v>
      </c>
      <c r="F1471" s="1187">
        <v>0</v>
      </c>
      <c r="G1471" s="761" t="s">
        <v>631</v>
      </c>
      <c r="H1471" s="767"/>
      <c r="I1471" s="767"/>
      <c r="J1471" s="1187">
        <v>0</v>
      </c>
      <c r="K1471" s="1188">
        <v>0</v>
      </c>
    </row>
    <row r="1472" spans="1:11" ht="40.799999999999997" x14ac:dyDescent="0.3">
      <c r="A1472" s="761" t="s">
        <v>206</v>
      </c>
      <c r="B1472" s="765">
        <v>2020</v>
      </c>
      <c r="C1472" s="761" t="s">
        <v>2350</v>
      </c>
      <c r="D1472" s="761" t="s">
        <v>638</v>
      </c>
      <c r="E1472" s="761" t="s">
        <v>1337</v>
      </c>
      <c r="F1472" s="1187">
        <v>0</v>
      </c>
      <c r="G1472" s="761" t="s">
        <v>631</v>
      </c>
      <c r="H1472" s="767"/>
      <c r="I1472" s="767"/>
      <c r="J1472" s="1187">
        <v>0</v>
      </c>
      <c r="K1472" s="1188">
        <v>0</v>
      </c>
    </row>
    <row r="1473" spans="1:11" ht="40.799999999999997" x14ac:dyDescent="0.3">
      <c r="A1473" s="761" t="s">
        <v>206</v>
      </c>
      <c r="B1473" s="765">
        <v>2020</v>
      </c>
      <c r="C1473" s="761" t="s">
        <v>2350</v>
      </c>
      <c r="D1473" s="761" t="s">
        <v>639</v>
      </c>
      <c r="E1473" s="761" t="s">
        <v>1338</v>
      </c>
      <c r="F1473" s="1187">
        <v>0</v>
      </c>
      <c r="G1473" s="761" t="s">
        <v>631</v>
      </c>
      <c r="H1473" s="1187">
        <v>30631.8203125</v>
      </c>
      <c r="I1473" s="1187">
        <v>620.22998046875</v>
      </c>
      <c r="J1473" s="1187">
        <v>31252.05078125</v>
      </c>
      <c r="K1473" s="1188">
        <v>31252.05</v>
      </c>
    </row>
    <row r="1474" spans="1:11" ht="40.799999999999997" x14ac:dyDescent="0.3">
      <c r="A1474" s="761" t="s">
        <v>206</v>
      </c>
      <c r="B1474" s="765">
        <v>2020</v>
      </c>
      <c r="C1474" s="761" t="s">
        <v>2350</v>
      </c>
      <c r="D1474" s="761" t="s">
        <v>1613</v>
      </c>
      <c r="E1474" s="761" t="s">
        <v>2001</v>
      </c>
      <c r="F1474" s="1187">
        <v>0</v>
      </c>
      <c r="G1474" s="761" t="s">
        <v>631</v>
      </c>
      <c r="H1474" s="767"/>
      <c r="I1474" s="767"/>
      <c r="J1474" s="1187">
        <v>0</v>
      </c>
      <c r="K1474" s="1188">
        <v>0</v>
      </c>
    </row>
    <row r="1475" spans="1:11" ht="40.799999999999997" x14ac:dyDescent="0.3">
      <c r="A1475" s="761" t="s">
        <v>206</v>
      </c>
      <c r="B1475" s="765">
        <v>2020</v>
      </c>
      <c r="C1475" s="761" t="s">
        <v>2350</v>
      </c>
      <c r="D1475" s="761" t="s">
        <v>2067</v>
      </c>
      <c r="E1475" s="761" t="s">
        <v>2115</v>
      </c>
      <c r="F1475" s="1187">
        <v>0</v>
      </c>
      <c r="G1475" s="761" t="s">
        <v>631</v>
      </c>
      <c r="H1475" s="1187">
        <v>18315.720703125</v>
      </c>
      <c r="I1475" s="1187">
        <v>2259.919921875</v>
      </c>
      <c r="J1475" s="1187">
        <v>20575.640625</v>
      </c>
      <c r="K1475" s="1188">
        <v>20575.64</v>
      </c>
    </row>
    <row r="1476" spans="1:11" ht="40.799999999999997" x14ac:dyDescent="0.3">
      <c r="A1476" s="761" t="s">
        <v>206</v>
      </c>
      <c r="B1476" s="765">
        <v>2020</v>
      </c>
      <c r="C1476" s="761" t="s">
        <v>2350</v>
      </c>
      <c r="D1476" s="761" t="s">
        <v>3762</v>
      </c>
      <c r="E1476" s="761" t="s">
        <v>4374</v>
      </c>
      <c r="F1476" s="1187">
        <v>0</v>
      </c>
      <c r="G1476" s="761" t="s">
        <v>631</v>
      </c>
      <c r="H1476" s="767"/>
      <c r="I1476" s="767"/>
      <c r="J1476" s="1187">
        <v>0</v>
      </c>
      <c r="K1476" s="1188">
        <v>0</v>
      </c>
    </row>
    <row r="1477" spans="1:11" ht="40.799999999999997" x14ac:dyDescent="0.3">
      <c r="A1477" s="761" t="s">
        <v>206</v>
      </c>
      <c r="B1477" s="765">
        <v>2020</v>
      </c>
      <c r="C1477" s="761" t="s">
        <v>2350</v>
      </c>
      <c r="D1477" s="761" t="s">
        <v>4844</v>
      </c>
      <c r="E1477" s="761" t="s">
        <v>5829</v>
      </c>
      <c r="F1477" s="1187">
        <v>0</v>
      </c>
      <c r="G1477" s="761" t="s">
        <v>631</v>
      </c>
      <c r="H1477" s="767"/>
      <c r="I1477" s="767"/>
      <c r="J1477" s="1187">
        <v>0</v>
      </c>
      <c r="K1477" s="1188">
        <v>0</v>
      </c>
    </row>
    <row r="1478" spans="1:11" ht="40.799999999999997" x14ac:dyDescent="0.3">
      <c r="A1478" s="761" t="s">
        <v>206</v>
      </c>
      <c r="B1478" s="765">
        <v>2020</v>
      </c>
      <c r="C1478" s="761" t="s">
        <v>2350</v>
      </c>
      <c r="D1478" s="761" t="s">
        <v>7101</v>
      </c>
      <c r="E1478" s="761" t="s">
        <v>7217</v>
      </c>
      <c r="F1478" s="1187">
        <v>0</v>
      </c>
      <c r="G1478" s="761" t="s">
        <v>631</v>
      </c>
      <c r="H1478" s="767"/>
      <c r="I1478" s="767"/>
      <c r="J1478" s="1187">
        <v>0</v>
      </c>
      <c r="K1478" s="1188">
        <v>0</v>
      </c>
    </row>
    <row r="1479" spans="1:11" ht="40.799999999999997" x14ac:dyDescent="0.3">
      <c r="A1479" s="761" t="s">
        <v>206</v>
      </c>
      <c r="B1479" s="765">
        <v>2020</v>
      </c>
      <c r="C1479" s="761" t="s">
        <v>2350</v>
      </c>
      <c r="D1479" s="761" t="s">
        <v>640</v>
      </c>
      <c r="E1479" s="761" t="s">
        <v>1391</v>
      </c>
      <c r="F1479" s="1187">
        <v>51827.69</v>
      </c>
      <c r="G1479" s="766"/>
      <c r="H1479" s="767"/>
      <c r="I1479" s="767"/>
      <c r="J1479" s="1187">
        <v>0</v>
      </c>
      <c r="K1479" s="1188">
        <v>51827.69</v>
      </c>
    </row>
    <row r="1480" spans="1:11" x14ac:dyDescent="0.3">
      <c r="A1480" s="761" t="s">
        <v>193</v>
      </c>
      <c r="B1480" s="765">
        <v>2020</v>
      </c>
      <c r="C1480" s="761" t="s">
        <v>2342</v>
      </c>
      <c r="D1480" s="761" t="s">
        <v>45</v>
      </c>
      <c r="E1480" s="761" t="s">
        <v>1009</v>
      </c>
      <c r="F1480" s="1187">
        <v>667709.63</v>
      </c>
      <c r="G1480" s="761" t="s">
        <v>631</v>
      </c>
      <c r="H1480" s="1187">
        <v>666124.5</v>
      </c>
      <c r="I1480" s="1187">
        <v>1585.11999511719</v>
      </c>
      <c r="J1480" s="1187">
        <v>667709.625</v>
      </c>
      <c r="K1480" s="1188">
        <v>667709.63</v>
      </c>
    </row>
    <row r="1481" spans="1:11" ht="30.6" x14ac:dyDescent="0.3">
      <c r="A1481" s="761" t="s">
        <v>193</v>
      </c>
      <c r="B1481" s="765">
        <v>2020</v>
      </c>
      <c r="C1481" s="761" t="s">
        <v>2343</v>
      </c>
      <c r="D1481" s="761" t="s">
        <v>632</v>
      </c>
      <c r="E1481" s="761" t="s">
        <v>1010</v>
      </c>
      <c r="F1481" s="1187">
        <v>-26095.919999999998</v>
      </c>
      <c r="G1481" s="761" t="s">
        <v>631</v>
      </c>
      <c r="H1481" s="1187">
        <v>-25525.390625</v>
      </c>
      <c r="I1481" s="1187">
        <v>-570.530029296875</v>
      </c>
      <c r="J1481" s="1187">
        <v>-26095.919921875</v>
      </c>
      <c r="K1481" s="1188">
        <v>-26095.919999999998</v>
      </c>
    </row>
    <row r="1482" spans="1:11" ht="20.399999999999999" x14ac:dyDescent="0.3">
      <c r="A1482" s="761" t="s">
        <v>193</v>
      </c>
      <c r="B1482" s="765">
        <v>2020</v>
      </c>
      <c r="C1482" s="761" t="s">
        <v>2344</v>
      </c>
      <c r="D1482" s="761" t="s">
        <v>452</v>
      </c>
      <c r="E1482" s="761" t="s">
        <v>1011</v>
      </c>
      <c r="F1482" s="1187">
        <v>0</v>
      </c>
      <c r="G1482" s="766"/>
      <c r="H1482" s="767"/>
      <c r="I1482" s="767"/>
      <c r="J1482" s="1187">
        <v>0</v>
      </c>
      <c r="K1482" s="1188">
        <v>0</v>
      </c>
    </row>
    <row r="1483" spans="1:11" ht="20.399999999999999" x14ac:dyDescent="0.3">
      <c r="A1483" s="761" t="s">
        <v>193</v>
      </c>
      <c r="B1483" s="765">
        <v>2020</v>
      </c>
      <c r="C1483" s="761" t="s">
        <v>2345</v>
      </c>
      <c r="D1483" s="761" t="s">
        <v>42</v>
      </c>
      <c r="E1483" s="761" t="s">
        <v>1012</v>
      </c>
      <c r="F1483" s="1187">
        <v>-207537.42</v>
      </c>
      <c r="G1483" s="761" t="s">
        <v>631</v>
      </c>
      <c r="H1483" s="1187">
        <v>-212891.8125</v>
      </c>
      <c r="I1483" s="1187">
        <v>5354.39990234375</v>
      </c>
      <c r="J1483" s="1187">
        <v>-207537.421875</v>
      </c>
      <c r="K1483" s="1188">
        <v>-207537.42</v>
      </c>
    </row>
    <row r="1484" spans="1:11" ht="20.399999999999999" x14ac:dyDescent="0.3">
      <c r="A1484" s="761" t="s">
        <v>193</v>
      </c>
      <c r="B1484" s="765">
        <v>2020</v>
      </c>
      <c r="C1484" s="761" t="s">
        <v>2345</v>
      </c>
      <c r="D1484" s="761" t="s">
        <v>2063</v>
      </c>
      <c r="E1484" s="761" t="s">
        <v>1012</v>
      </c>
      <c r="F1484" s="1187">
        <v>0</v>
      </c>
      <c r="G1484" s="766"/>
      <c r="H1484" s="767"/>
      <c r="I1484" s="767"/>
      <c r="J1484" s="1187">
        <v>0</v>
      </c>
      <c r="K1484" s="1188">
        <v>0</v>
      </c>
    </row>
    <row r="1485" spans="1:11" ht="20.399999999999999" x14ac:dyDescent="0.3">
      <c r="A1485" s="761" t="s">
        <v>193</v>
      </c>
      <c r="B1485" s="765">
        <v>2020</v>
      </c>
      <c r="C1485" s="761" t="s">
        <v>2345</v>
      </c>
      <c r="D1485" s="761" t="s">
        <v>2064</v>
      </c>
      <c r="E1485" s="761" t="s">
        <v>1012</v>
      </c>
      <c r="F1485" s="1187">
        <v>0</v>
      </c>
      <c r="G1485" s="766"/>
      <c r="H1485" s="767"/>
      <c r="I1485" s="767"/>
      <c r="J1485" s="1187">
        <v>0</v>
      </c>
      <c r="K1485" s="1188">
        <v>0</v>
      </c>
    </row>
    <row r="1486" spans="1:11" ht="20.399999999999999" x14ac:dyDescent="0.3">
      <c r="A1486" s="761" t="s">
        <v>193</v>
      </c>
      <c r="B1486" s="765">
        <v>2020</v>
      </c>
      <c r="C1486" s="761" t="s">
        <v>2345</v>
      </c>
      <c r="D1486" s="761" t="s">
        <v>2065</v>
      </c>
      <c r="E1486" s="761" t="s">
        <v>1012</v>
      </c>
      <c r="F1486" s="1187">
        <v>-2155.7800000000002</v>
      </c>
      <c r="G1486" s="766"/>
      <c r="H1486" s="767"/>
      <c r="I1486" s="767"/>
      <c r="J1486" s="1187">
        <v>0</v>
      </c>
      <c r="K1486" s="1188">
        <v>-2155.7800000000002</v>
      </c>
    </row>
    <row r="1487" spans="1:11" ht="20.399999999999999" x14ac:dyDescent="0.3">
      <c r="A1487" s="761" t="s">
        <v>193</v>
      </c>
      <c r="B1487" s="765">
        <v>2020</v>
      </c>
      <c r="C1487" s="761" t="s">
        <v>2345</v>
      </c>
      <c r="D1487" s="761" t="s">
        <v>2066</v>
      </c>
      <c r="E1487" s="761" t="s">
        <v>1012</v>
      </c>
      <c r="F1487" s="1187">
        <v>-51935.3</v>
      </c>
      <c r="G1487" s="766"/>
      <c r="H1487" s="767"/>
      <c r="I1487" s="767"/>
      <c r="J1487" s="1187">
        <v>0</v>
      </c>
      <c r="K1487" s="1188">
        <v>-51935.3</v>
      </c>
    </row>
    <row r="1488" spans="1:11" ht="30.6" x14ac:dyDescent="0.3">
      <c r="A1488" s="761" t="s">
        <v>193</v>
      </c>
      <c r="B1488" s="765">
        <v>2020</v>
      </c>
      <c r="C1488" s="761" t="s">
        <v>2346</v>
      </c>
      <c r="D1488" s="761" t="s">
        <v>43</v>
      </c>
      <c r="E1488" s="761" t="s">
        <v>1013</v>
      </c>
      <c r="F1488" s="1187">
        <v>56103.99</v>
      </c>
      <c r="G1488" s="761" t="s">
        <v>631</v>
      </c>
      <c r="H1488" s="1187">
        <v>61533.8203125</v>
      </c>
      <c r="I1488" s="1187">
        <v>-5429.830078125</v>
      </c>
      <c r="J1488" s="1187">
        <v>56103.98828125</v>
      </c>
      <c r="K1488" s="1188">
        <v>56103.99</v>
      </c>
    </row>
    <row r="1489" spans="1:11" ht="30.6" x14ac:dyDescent="0.3">
      <c r="A1489" s="761" t="s">
        <v>193</v>
      </c>
      <c r="B1489" s="765">
        <v>2020</v>
      </c>
      <c r="C1489" s="761" t="s">
        <v>2347</v>
      </c>
      <c r="D1489" s="761" t="s">
        <v>44</v>
      </c>
      <c r="E1489" s="761" t="s">
        <v>1014</v>
      </c>
      <c r="F1489" s="1187">
        <v>122837.38</v>
      </c>
      <c r="G1489" s="761" t="s">
        <v>631</v>
      </c>
      <c r="H1489" s="1187">
        <v>121775.9375</v>
      </c>
      <c r="I1489" s="1187">
        <v>1061.43994140625</v>
      </c>
      <c r="J1489" s="1187">
        <v>122837.3828125</v>
      </c>
      <c r="K1489" s="1188">
        <v>122837.38</v>
      </c>
    </row>
    <row r="1490" spans="1:11" ht="30.6" x14ac:dyDescent="0.3">
      <c r="A1490" s="761" t="s">
        <v>193</v>
      </c>
      <c r="B1490" s="765">
        <v>2020</v>
      </c>
      <c r="C1490" s="761" t="s">
        <v>2348</v>
      </c>
      <c r="D1490" s="761" t="s">
        <v>46</v>
      </c>
      <c r="E1490" s="761" t="s">
        <v>1015</v>
      </c>
      <c r="F1490" s="1187">
        <v>1026062.45</v>
      </c>
      <c r="G1490" s="761" t="s">
        <v>631</v>
      </c>
      <c r="H1490" s="1187">
        <v>975231.3125</v>
      </c>
      <c r="I1490" s="1187">
        <v>50831.140625</v>
      </c>
      <c r="J1490" s="1187">
        <v>1026062.4375</v>
      </c>
      <c r="K1490" s="1188">
        <v>1026062.45</v>
      </c>
    </row>
    <row r="1491" spans="1:11" ht="20.399999999999999" x14ac:dyDescent="0.3">
      <c r="A1491" s="761" t="s">
        <v>193</v>
      </c>
      <c r="B1491" s="765">
        <v>2020</v>
      </c>
      <c r="C1491" s="761" t="s">
        <v>2349</v>
      </c>
      <c r="D1491" s="761" t="s">
        <v>339</v>
      </c>
      <c r="E1491" s="761" t="s">
        <v>1016</v>
      </c>
      <c r="F1491" s="1187">
        <v>79264.990000000005</v>
      </c>
      <c r="G1491" s="761" t="s">
        <v>631</v>
      </c>
      <c r="H1491" s="1187">
        <v>18967.75</v>
      </c>
      <c r="I1491" s="1187">
        <v>60297.23828125</v>
      </c>
      <c r="J1491" s="1187">
        <v>79264.9921875</v>
      </c>
      <c r="K1491" s="1188">
        <v>79264.990000000005</v>
      </c>
    </row>
    <row r="1492" spans="1:11" ht="40.799999999999997" x14ac:dyDescent="0.3">
      <c r="A1492" s="761" t="s">
        <v>193</v>
      </c>
      <c r="B1492" s="765">
        <v>2020</v>
      </c>
      <c r="C1492" s="761" t="s">
        <v>2350</v>
      </c>
      <c r="D1492" s="761" t="s">
        <v>633</v>
      </c>
      <c r="E1492" s="761" t="s">
        <v>1339</v>
      </c>
      <c r="F1492" s="1187">
        <v>0</v>
      </c>
      <c r="G1492" s="761" t="s">
        <v>631</v>
      </c>
      <c r="H1492" s="767"/>
      <c r="I1492" s="767"/>
      <c r="J1492" s="1187">
        <v>0</v>
      </c>
      <c r="K1492" s="1188">
        <v>0</v>
      </c>
    </row>
    <row r="1493" spans="1:11" ht="40.799999999999997" x14ac:dyDescent="0.3">
      <c r="A1493" s="761" t="s">
        <v>193</v>
      </c>
      <c r="B1493" s="765">
        <v>2020</v>
      </c>
      <c r="C1493" s="761" t="s">
        <v>2350</v>
      </c>
      <c r="D1493" s="761" t="s">
        <v>634</v>
      </c>
      <c r="E1493" s="761" t="s">
        <v>1340</v>
      </c>
      <c r="F1493" s="1187">
        <v>0</v>
      </c>
      <c r="G1493" s="761" t="s">
        <v>631</v>
      </c>
      <c r="H1493" s="767"/>
      <c r="I1493" s="767"/>
      <c r="J1493" s="1187">
        <v>0</v>
      </c>
      <c r="K1493" s="1188">
        <v>0</v>
      </c>
    </row>
    <row r="1494" spans="1:11" ht="40.799999999999997" x14ac:dyDescent="0.3">
      <c r="A1494" s="761" t="s">
        <v>193</v>
      </c>
      <c r="B1494" s="765">
        <v>2020</v>
      </c>
      <c r="C1494" s="761" t="s">
        <v>2350</v>
      </c>
      <c r="D1494" s="761" t="s">
        <v>635</v>
      </c>
      <c r="E1494" s="761" t="s">
        <v>1341</v>
      </c>
      <c r="F1494" s="1187">
        <v>0</v>
      </c>
      <c r="G1494" s="761" t="s">
        <v>631</v>
      </c>
      <c r="H1494" s="767"/>
      <c r="I1494" s="767"/>
      <c r="J1494" s="1187">
        <v>0</v>
      </c>
      <c r="K1494" s="1188">
        <v>0</v>
      </c>
    </row>
    <row r="1495" spans="1:11" ht="40.799999999999997" x14ac:dyDescent="0.3">
      <c r="A1495" s="761" t="s">
        <v>193</v>
      </c>
      <c r="B1495" s="765">
        <v>2020</v>
      </c>
      <c r="C1495" s="761" t="s">
        <v>2350</v>
      </c>
      <c r="D1495" s="761" t="s">
        <v>636</v>
      </c>
      <c r="E1495" s="761" t="s">
        <v>1342</v>
      </c>
      <c r="F1495" s="1187">
        <v>0</v>
      </c>
      <c r="G1495" s="761" t="s">
        <v>631</v>
      </c>
      <c r="H1495" s="767"/>
      <c r="I1495" s="767"/>
      <c r="J1495" s="1187">
        <v>0</v>
      </c>
      <c r="K1495" s="1188">
        <v>0</v>
      </c>
    </row>
    <row r="1496" spans="1:11" ht="40.799999999999997" x14ac:dyDescent="0.3">
      <c r="A1496" s="761" t="s">
        <v>193</v>
      </c>
      <c r="B1496" s="765">
        <v>2020</v>
      </c>
      <c r="C1496" s="761" t="s">
        <v>2350</v>
      </c>
      <c r="D1496" s="761" t="s">
        <v>637</v>
      </c>
      <c r="E1496" s="761" t="s">
        <v>1343</v>
      </c>
      <c r="F1496" s="1187">
        <v>0</v>
      </c>
      <c r="G1496" s="761" t="s">
        <v>631</v>
      </c>
      <c r="H1496" s="767"/>
      <c r="I1496" s="767"/>
      <c r="J1496" s="1187">
        <v>0</v>
      </c>
      <c r="K1496" s="1188">
        <v>0</v>
      </c>
    </row>
    <row r="1497" spans="1:11" ht="40.799999999999997" x14ac:dyDescent="0.3">
      <c r="A1497" s="761" t="s">
        <v>193</v>
      </c>
      <c r="B1497" s="765">
        <v>2020</v>
      </c>
      <c r="C1497" s="761" t="s">
        <v>2350</v>
      </c>
      <c r="D1497" s="761" t="s">
        <v>638</v>
      </c>
      <c r="E1497" s="761" t="s">
        <v>1344</v>
      </c>
      <c r="F1497" s="1187">
        <v>0</v>
      </c>
      <c r="G1497" s="761" t="s">
        <v>631</v>
      </c>
      <c r="H1497" s="767"/>
      <c r="I1497" s="767"/>
      <c r="J1497" s="1187">
        <v>0</v>
      </c>
      <c r="K1497" s="1188">
        <v>0</v>
      </c>
    </row>
    <row r="1498" spans="1:11" ht="40.799999999999997" x14ac:dyDescent="0.3">
      <c r="A1498" s="761" t="s">
        <v>193</v>
      </c>
      <c r="B1498" s="765">
        <v>2020</v>
      </c>
      <c r="C1498" s="761" t="s">
        <v>2350</v>
      </c>
      <c r="D1498" s="761" t="s">
        <v>639</v>
      </c>
      <c r="E1498" s="761" t="s">
        <v>1345</v>
      </c>
      <c r="F1498" s="1187">
        <v>0</v>
      </c>
      <c r="G1498" s="761" t="s">
        <v>631</v>
      </c>
      <c r="H1498" s="767"/>
      <c r="I1498" s="767"/>
      <c r="J1498" s="1187">
        <v>0</v>
      </c>
      <c r="K1498" s="1188">
        <v>0</v>
      </c>
    </row>
    <row r="1499" spans="1:11" ht="40.799999999999997" x14ac:dyDescent="0.3">
      <c r="A1499" s="761" t="s">
        <v>193</v>
      </c>
      <c r="B1499" s="765">
        <v>2020</v>
      </c>
      <c r="C1499" s="761" t="s">
        <v>2350</v>
      </c>
      <c r="D1499" s="761" t="s">
        <v>1613</v>
      </c>
      <c r="E1499" s="761" t="s">
        <v>2002</v>
      </c>
      <c r="F1499" s="1187">
        <v>0</v>
      </c>
      <c r="G1499" s="761" t="s">
        <v>631</v>
      </c>
      <c r="H1499" s="767"/>
      <c r="I1499" s="767"/>
      <c r="J1499" s="1187">
        <v>0</v>
      </c>
      <c r="K1499" s="1188">
        <v>0</v>
      </c>
    </row>
    <row r="1500" spans="1:11" ht="40.799999999999997" x14ac:dyDescent="0.3">
      <c r="A1500" s="761" t="s">
        <v>193</v>
      </c>
      <c r="B1500" s="765">
        <v>2020</v>
      </c>
      <c r="C1500" s="761" t="s">
        <v>2350</v>
      </c>
      <c r="D1500" s="761" t="s">
        <v>2067</v>
      </c>
      <c r="E1500" s="761" t="s">
        <v>2116</v>
      </c>
      <c r="F1500" s="1187">
        <v>0</v>
      </c>
      <c r="G1500" s="761" t="s">
        <v>631</v>
      </c>
      <c r="H1500" s="767"/>
      <c r="I1500" s="767"/>
      <c r="J1500" s="1187">
        <v>0</v>
      </c>
      <c r="K1500" s="1188">
        <v>0</v>
      </c>
    </row>
    <row r="1501" spans="1:11" ht="40.799999999999997" x14ac:dyDescent="0.3">
      <c r="A1501" s="761" t="s">
        <v>193</v>
      </c>
      <c r="B1501" s="765">
        <v>2020</v>
      </c>
      <c r="C1501" s="761" t="s">
        <v>2350</v>
      </c>
      <c r="D1501" s="761" t="s">
        <v>3762</v>
      </c>
      <c r="E1501" s="761" t="s">
        <v>4375</v>
      </c>
      <c r="F1501" s="1187">
        <v>0</v>
      </c>
      <c r="G1501" s="761" t="s">
        <v>631</v>
      </c>
      <c r="H1501" s="1187">
        <v>-60467.05078125</v>
      </c>
      <c r="I1501" s="1187">
        <v>25302.580078125</v>
      </c>
      <c r="J1501" s="1187">
        <v>-35164.46875</v>
      </c>
      <c r="K1501" s="1188">
        <v>-35164.47</v>
      </c>
    </row>
    <row r="1502" spans="1:11" ht="40.799999999999997" x14ac:dyDescent="0.3">
      <c r="A1502" s="761" t="s">
        <v>193</v>
      </c>
      <c r="B1502" s="765">
        <v>2020</v>
      </c>
      <c r="C1502" s="761" t="s">
        <v>2350</v>
      </c>
      <c r="D1502" s="761" t="s">
        <v>4844</v>
      </c>
      <c r="E1502" s="761" t="s">
        <v>5830</v>
      </c>
      <c r="F1502" s="1187">
        <v>0</v>
      </c>
      <c r="G1502" s="761" t="s">
        <v>631</v>
      </c>
      <c r="H1502" s="1187">
        <v>162763.265625</v>
      </c>
      <c r="I1502" s="1187">
        <v>134603.59375</v>
      </c>
      <c r="J1502" s="1187">
        <v>297366.875</v>
      </c>
      <c r="K1502" s="1188">
        <v>297366.86</v>
      </c>
    </row>
    <row r="1503" spans="1:11" ht="40.799999999999997" x14ac:dyDescent="0.3">
      <c r="A1503" s="761" t="s">
        <v>193</v>
      </c>
      <c r="B1503" s="765">
        <v>2020</v>
      </c>
      <c r="C1503" s="761" t="s">
        <v>2350</v>
      </c>
      <c r="D1503" s="761" t="s">
        <v>7101</v>
      </c>
      <c r="E1503" s="761" t="s">
        <v>7218</v>
      </c>
      <c r="F1503" s="1187">
        <v>0</v>
      </c>
      <c r="G1503" s="761" t="s">
        <v>631</v>
      </c>
      <c r="H1503" s="1187">
        <v>640078</v>
      </c>
      <c r="I1503" s="1187">
        <v>-658642.0625</v>
      </c>
      <c r="J1503" s="1187">
        <v>-18564.05078125</v>
      </c>
      <c r="K1503" s="1188">
        <v>-18564.05</v>
      </c>
    </row>
    <row r="1504" spans="1:11" ht="40.799999999999997" x14ac:dyDescent="0.3">
      <c r="A1504" s="761" t="s">
        <v>193</v>
      </c>
      <c r="B1504" s="765">
        <v>2020</v>
      </c>
      <c r="C1504" s="761" t="s">
        <v>2350</v>
      </c>
      <c r="D1504" s="761" t="s">
        <v>640</v>
      </c>
      <c r="E1504" s="761" t="s">
        <v>1392</v>
      </c>
      <c r="F1504" s="1187">
        <v>243638.34</v>
      </c>
      <c r="G1504" s="766"/>
      <c r="H1504" s="767"/>
      <c r="I1504" s="767"/>
      <c r="J1504" s="1187">
        <v>0</v>
      </c>
      <c r="K1504" s="1188">
        <v>243638.34</v>
      </c>
    </row>
    <row r="1505" spans="1:2" x14ac:dyDescent="0.3">
      <c r="A1505" s="758" t="s">
        <v>2045</v>
      </c>
    </row>
    <row r="1506" spans="1:2" ht="71.400000000000006" x14ac:dyDescent="0.3">
      <c r="A1506" s="758"/>
      <c r="B1506" s="1460" t="s">
        <v>4864</v>
      </c>
    </row>
    <row r="1507" spans="1:2" ht="30.6" x14ac:dyDescent="0.3">
      <c r="A1507" s="961" t="s">
        <v>4843</v>
      </c>
      <c r="B1507" s="1460" t="s">
        <v>7219</v>
      </c>
    </row>
  </sheetData>
  <sheetProtection algorithmName="SHA-512" hashValue="l0XvlPzq3lXwmRO0d19tCGXg/x+VkJf+PmsEVABhFxN1HONJJLH0Yjx14+wqkjXqUBgkCVZk9s0vMuFJki/k0g==" saltValue="wsskBf1MTgHxDWGNrFDeng==" spinCount="100000" sheet="1" objects="1" scenarios="1"/>
  <autoFilter ref="A4:K1507" xr:uid="{00000000-0009-0000-0000-00001E000000}"/>
  <pageMargins left="0.75" right="0.75" top="1" bottom="1" header="0.5" footer="0.5"/>
  <pageSetup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2:O71"/>
  <sheetViews>
    <sheetView showGridLines="0" topLeftCell="C25" workbookViewId="0">
      <selection activeCell="I53" sqref="I53"/>
    </sheetView>
  </sheetViews>
  <sheetFormatPr defaultColWidth="9.33203125" defaultRowHeight="13.2" x14ac:dyDescent="0.25"/>
  <cols>
    <col min="1" max="1" width="15.33203125" style="58" customWidth="1"/>
    <col min="2" max="2" width="29.33203125" style="58" customWidth="1"/>
    <col min="3" max="3" width="3.33203125" style="58" customWidth="1"/>
    <col min="4" max="4" width="34.6640625" style="58" customWidth="1"/>
    <col min="5" max="5" width="13.33203125" style="58" customWidth="1"/>
    <col min="6" max="6" width="12.33203125" style="58" customWidth="1"/>
    <col min="7" max="7" width="11.5546875" style="58" customWidth="1"/>
    <col min="8" max="8" width="18.33203125" style="58" customWidth="1"/>
    <col min="9" max="10" width="13.33203125" style="58" customWidth="1"/>
    <col min="11" max="11" width="13.5546875" style="58" customWidth="1"/>
    <col min="12" max="12" width="13.33203125" style="58" customWidth="1"/>
    <col min="13" max="13" width="12.6640625" style="58" customWidth="1"/>
    <col min="14" max="14" width="12.6640625" style="58" bestFit="1" customWidth="1"/>
    <col min="15" max="16" width="10.6640625" style="58" bestFit="1" customWidth="1"/>
    <col min="17" max="17" width="3.6640625" style="58" customWidth="1"/>
    <col min="18" max="20" width="9.33203125" style="58"/>
    <col min="21" max="21" width="9.33203125" style="58" customWidth="1"/>
    <col min="22" max="16384" width="9.33203125" style="58"/>
  </cols>
  <sheetData>
    <row r="2" spans="1:15" x14ac:dyDescent="0.25">
      <c r="D2" s="264" t="s">
        <v>1432</v>
      </c>
      <c r="E2" s="1952"/>
      <c r="F2" s="1952"/>
      <c r="G2" s="1952"/>
      <c r="H2" s="1952"/>
      <c r="I2" s="1952"/>
      <c r="J2" s="1952"/>
      <c r="O2" s="58" t="e">
        <f>FIND("RESIDENTIAL", E2)</f>
        <v>#VALUE!</v>
      </c>
    </row>
    <row r="3" spans="1:15" x14ac:dyDescent="0.25">
      <c r="D3" s="264" t="s">
        <v>1433</v>
      </c>
      <c r="E3" s="1953"/>
      <c r="F3" s="1953"/>
      <c r="G3" s="1953"/>
      <c r="H3" s="265"/>
      <c r="I3" s="265"/>
    </row>
    <row r="4" spans="1:15" ht="15.6" x14ac:dyDescent="0.25">
      <c r="D4" s="264" t="s">
        <v>153</v>
      </c>
      <c r="E4" s="266"/>
      <c r="F4" s="267" t="s">
        <v>154</v>
      </c>
      <c r="G4" s="263"/>
      <c r="J4" s="268"/>
      <c r="K4" s="268"/>
      <c r="L4" s="268"/>
      <c r="M4" s="268"/>
      <c r="N4" s="268"/>
      <c r="O4" s="268"/>
    </row>
    <row r="5" spans="1:15" ht="15.6" x14ac:dyDescent="0.3">
      <c r="D5" s="264" t="s">
        <v>360</v>
      </c>
      <c r="E5" s="266"/>
      <c r="F5" s="269" t="s">
        <v>155</v>
      </c>
      <c r="G5" s="270"/>
      <c r="H5" s="271"/>
      <c r="I5" s="271"/>
      <c r="J5" s="271"/>
    </row>
    <row r="6" spans="1:15" x14ac:dyDescent="0.25">
      <c r="D6" s="264" t="s">
        <v>1464</v>
      </c>
      <c r="E6" s="272"/>
    </row>
    <row r="7" spans="1:15" x14ac:dyDescent="0.25">
      <c r="D7" s="264" t="s">
        <v>1465</v>
      </c>
      <c r="E7" s="272"/>
    </row>
    <row r="8" spans="1:15" x14ac:dyDescent="0.25">
      <c r="D8" s="263"/>
    </row>
    <row r="9" spans="1:15" x14ac:dyDescent="0.25">
      <c r="D9" s="263"/>
      <c r="E9" s="273"/>
      <c r="F9" s="1944" t="s">
        <v>1943</v>
      </c>
      <c r="G9" s="1954"/>
      <c r="H9" s="1945"/>
      <c r="I9" s="1944" t="s">
        <v>341</v>
      </c>
      <c r="J9" s="1954"/>
      <c r="K9" s="1945"/>
      <c r="L9" s="1944" t="s">
        <v>342</v>
      </c>
      <c r="M9" s="1945"/>
    </row>
    <row r="10" spans="1:15" x14ac:dyDescent="0.25">
      <c r="D10" s="263"/>
      <c r="E10" s="1946"/>
      <c r="F10" s="274" t="s">
        <v>343</v>
      </c>
      <c r="G10" s="274" t="s">
        <v>146</v>
      </c>
      <c r="H10" s="275" t="s">
        <v>344</v>
      </c>
      <c r="I10" s="274" t="s">
        <v>343</v>
      </c>
      <c r="J10" s="276" t="s">
        <v>146</v>
      </c>
      <c r="K10" s="275" t="s">
        <v>344</v>
      </c>
      <c r="L10" s="1948" t="s">
        <v>345</v>
      </c>
      <c r="M10" s="1950" t="s">
        <v>346</v>
      </c>
    </row>
    <row r="11" spans="1:15" x14ac:dyDescent="0.25">
      <c r="D11" s="263"/>
      <c r="E11" s="1947"/>
      <c r="F11" s="277" t="s">
        <v>347</v>
      </c>
      <c r="G11" s="277"/>
      <c r="H11" s="278" t="s">
        <v>347</v>
      </c>
      <c r="I11" s="277" t="s">
        <v>347</v>
      </c>
      <c r="J11" s="278"/>
      <c r="K11" s="278" t="s">
        <v>347</v>
      </c>
      <c r="L11" s="1949"/>
      <c r="M11" s="1951"/>
    </row>
    <row r="12" spans="1:15" x14ac:dyDescent="0.25">
      <c r="A12" s="58">
        <f>$E2</f>
        <v>0</v>
      </c>
      <c r="C12" s="357"/>
      <c r="D12" s="68" t="s">
        <v>348</v>
      </c>
      <c r="E12" s="322"/>
      <c r="F12" s="345"/>
      <c r="G12" s="304">
        <v>1</v>
      </c>
      <c r="H12" s="346">
        <f>G12*F12</f>
        <v>0</v>
      </c>
      <c r="I12" s="982"/>
      <c r="J12" s="989">
        <f>G12</f>
        <v>1</v>
      </c>
      <c r="K12" s="988">
        <f>J12*I12</f>
        <v>0</v>
      </c>
      <c r="L12" s="329">
        <f t="shared" ref="L12:L23" si="0">K12-H12</f>
        <v>0</v>
      </c>
      <c r="M12" s="347" t="str">
        <f>IF(ISERROR(L12/H12), "", L12/H12)</f>
        <v/>
      </c>
    </row>
    <row r="13" spans="1:15" x14ac:dyDescent="0.25">
      <c r="A13" s="58">
        <f>A12</f>
        <v>0</v>
      </c>
      <c r="C13" s="357"/>
      <c r="D13" s="68" t="s">
        <v>80</v>
      </c>
      <c r="E13" s="322"/>
      <c r="F13" s="326"/>
      <c r="G13" s="304">
        <f>IF($E5&gt;0, $E5, $E4)</f>
        <v>0</v>
      </c>
      <c r="H13" s="346">
        <f t="shared" ref="H13:H25" si="1">G13*F13</f>
        <v>0</v>
      </c>
      <c r="I13" s="983"/>
      <c r="J13" s="989">
        <f>IF($E5&gt;0, $E5, $E4)</f>
        <v>0</v>
      </c>
      <c r="K13" s="988">
        <f>J13*I13</f>
        <v>0</v>
      </c>
      <c r="L13" s="329">
        <f t="shared" si="0"/>
        <v>0</v>
      </c>
      <c r="M13" s="347" t="str">
        <f t="shared" ref="M13:M23" si="2">IF(ISERROR(L13/H13), "", L13/H13)</f>
        <v/>
      </c>
    </row>
    <row r="14" spans="1:15" x14ac:dyDescent="0.25">
      <c r="A14" s="58">
        <f t="shared" ref="A14:A55" si="3">A13</f>
        <v>0</v>
      </c>
      <c r="C14" s="357"/>
      <c r="D14" s="68" t="s">
        <v>4311</v>
      </c>
      <c r="E14" s="322"/>
      <c r="F14" s="326"/>
      <c r="G14" s="304">
        <f>IF($E5&gt;0, $E5, $E4)</f>
        <v>0</v>
      </c>
      <c r="H14" s="346">
        <v>-60.5</v>
      </c>
      <c r="I14" s="983"/>
      <c r="J14" s="989">
        <f>IF($E5&gt;0, $E5, $E4)</f>
        <v>0</v>
      </c>
      <c r="K14" s="988">
        <v>-60.5</v>
      </c>
      <c r="L14" s="329"/>
      <c r="M14" s="347"/>
    </row>
    <row r="15" spans="1:15" x14ac:dyDescent="0.25">
      <c r="A15" s="58">
        <f t="shared" si="3"/>
        <v>0</v>
      </c>
      <c r="C15" s="357"/>
      <c r="D15" s="68" t="s">
        <v>3743</v>
      </c>
      <c r="E15" s="322"/>
      <c r="F15" s="326"/>
      <c r="G15" s="304">
        <f>IF($E5&gt;0, $E5, $E4)</f>
        <v>0</v>
      </c>
      <c r="H15" s="346">
        <f>IF(H12+H13+H14&gt;DRP,-(H12+H13+H14-DRP),0)</f>
        <v>0</v>
      </c>
      <c r="I15" s="983"/>
      <c r="J15" s="992">
        <f>IF($E5&gt;0, $E5, $E4)</f>
        <v>0</v>
      </c>
      <c r="K15" s="988">
        <f>IF(K12+K13+K14&gt;DRP,-(K12+K13+K14-DRP),0)</f>
        <v>0</v>
      </c>
      <c r="L15" s="329">
        <f>K15-H15</f>
        <v>0</v>
      </c>
      <c r="M15" s="347" t="str">
        <f>IF(ISERROR(L15/H15), "", L15/H15)</f>
        <v/>
      </c>
    </row>
    <row r="16" spans="1:15" x14ac:dyDescent="0.25">
      <c r="A16" s="58">
        <f t="shared" si="3"/>
        <v>0</v>
      </c>
      <c r="C16" s="357"/>
      <c r="D16" s="69" t="s">
        <v>358</v>
      </c>
      <c r="E16" s="322"/>
      <c r="F16" s="345"/>
      <c r="G16" s="304">
        <v>1</v>
      </c>
      <c r="H16" s="346">
        <f t="shared" si="1"/>
        <v>0</v>
      </c>
      <c r="I16" s="982"/>
      <c r="J16" s="989">
        <f>G16</f>
        <v>1</v>
      </c>
      <c r="K16" s="988">
        <f t="shared" ref="K16:K23" si="4">J16*I16</f>
        <v>0</v>
      </c>
      <c r="L16" s="329">
        <f t="shared" si="0"/>
        <v>0</v>
      </c>
      <c r="M16" s="347" t="str">
        <f t="shared" si="2"/>
        <v/>
      </c>
    </row>
    <row r="17" spans="1:14" x14ac:dyDescent="0.25">
      <c r="A17" s="58">
        <f t="shared" si="3"/>
        <v>0</v>
      </c>
      <c r="C17" s="357"/>
      <c r="D17" s="68" t="s">
        <v>359</v>
      </c>
      <c r="E17" s="322"/>
      <c r="F17" s="326"/>
      <c r="G17" s="304">
        <f>IF($E5&gt;0, $E5, $E4)</f>
        <v>0</v>
      </c>
      <c r="H17" s="346">
        <f t="shared" si="1"/>
        <v>0</v>
      </c>
      <c r="I17" s="983"/>
      <c r="J17" s="989">
        <f>IF($E5&gt;0, $E5, $E4)</f>
        <v>0</v>
      </c>
      <c r="K17" s="988">
        <f t="shared" si="4"/>
        <v>0</v>
      </c>
      <c r="L17" s="329">
        <f t="shared" si="0"/>
        <v>0</v>
      </c>
      <c r="M17" s="347" t="str">
        <f t="shared" si="2"/>
        <v/>
      </c>
    </row>
    <row r="18" spans="1:14" x14ac:dyDescent="0.25">
      <c r="A18" s="58">
        <f t="shared" si="3"/>
        <v>0</v>
      </c>
      <c r="B18" s="280" t="s">
        <v>1434</v>
      </c>
      <c r="C18" s="357"/>
      <c r="D18" s="281" t="s">
        <v>349</v>
      </c>
      <c r="E18" s="282"/>
      <c r="F18" s="348"/>
      <c r="G18" s="717"/>
      <c r="H18" s="718">
        <f>SUM(H12:H17)</f>
        <v>-60.5</v>
      </c>
      <c r="I18" s="349"/>
      <c r="J18" s="289"/>
      <c r="K18" s="718">
        <f>SUM(K12:K17)</f>
        <v>-60.5</v>
      </c>
      <c r="L18" s="283">
        <f t="shared" si="0"/>
        <v>0</v>
      </c>
      <c r="M18" s="284">
        <f>IF((H18)=0,"",(L18/H18))</f>
        <v>0</v>
      </c>
    </row>
    <row r="19" spans="1:14" x14ac:dyDescent="0.25">
      <c r="A19" s="58">
        <f t="shared" si="3"/>
        <v>0</v>
      </c>
      <c r="C19" s="357"/>
      <c r="D19" s="72" t="s">
        <v>421</v>
      </c>
      <c r="E19" s="322"/>
      <c r="F19" s="326">
        <f>IF((E4*12&gt;=150000), 0, IF(E3="RPP",(F35*0.64+F36*0.18+F37*0.18),IF(E3="Non-RPP (Retailer)",F38,F39)))</f>
        <v>0.1368</v>
      </c>
      <c r="G19" s="332">
        <f>IF(F19=0, 0, $E4*E6-E4)</f>
        <v>0</v>
      </c>
      <c r="H19" s="346">
        <f>G19*F19</f>
        <v>0</v>
      </c>
      <c r="I19" s="983">
        <f>IF((E4*12&gt;=150000), 0, IF(E3="RPP",(I35*0.64+I36*0.18+I37*0.18),IF(E3="Non-RPP (Retailer)",I38,I39)))</f>
        <v>0.1368</v>
      </c>
      <c r="J19" s="987">
        <f>IF(I19=0, 0, E4*E7-E4)</f>
        <v>0</v>
      </c>
      <c r="K19" s="988">
        <f>J19*I19</f>
        <v>0</v>
      </c>
      <c r="L19" s="329">
        <f>K19-H19</f>
        <v>0</v>
      </c>
      <c r="M19" s="347" t="str">
        <f>IF(ISERROR(L19/H19), "", L19/H19)</f>
        <v/>
      </c>
    </row>
    <row r="20" spans="1:14" ht="26.4" x14ac:dyDescent="0.25">
      <c r="A20" s="58">
        <f t="shared" si="3"/>
        <v>0</v>
      </c>
      <c r="C20" s="357"/>
      <c r="D20" s="72" t="s">
        <v>357</v>
      </c>
      <c r="E20" s="322"/>
      <c r="F20" s="326"/>
      <c r="G20" s="333">
        <f>IF($E5&gt;0, $E5, $E4)</f>
        <v>0</v>
      </c>
      <c r="H20" s="346">
        <f t="shared" si="1"/>
        <v>0</v>
      </c>
      <c r="I20" s="983"/>
      <c r="J20" s="991">
        <f>IF($E5&gt;0, $E5, $E4)</f>
        <v>0</v>
      </c>
      <c r="K20" s="988">
        <f t="shared" si="4"/>
        <v>0</v>
      </c>
      <c r="L20" s="329">
        <f t="shared" si="0"/>
        <v>0</v>
      </c>
      <c r="M20" s="347" t="str">
        <f t="shared" si="2"/>
        <v/>
      </c>
    </row>
    <row r="21" spans="1:14" x14ac:dyDescent="0.25">
      <c r="A21" s="58">
        <f t="shared" si="3"/>
        <v>0</v>
      </c>
      <c r="C21" s="357"/>
      <c r="D21" s="72" t="s">
        <v>2299</v>
      </c>
      <c r="E21" s="322"/>
      <c r="F21" s="326"/>
      <c r="G21" s="333">
        <f>IF($E5&gt;0, $E5, $E4)</f>
        <v>0</v>
      </c>
      <c r="H21" s="346">
        <f>G21*F21</f>
        <v>0</v>
      </c>
      <c r="I21" s="983"/>
      <c r="J21" s="991">
        <f>IF($E5&gt;0, $E5, $E4)</f>
        <v>0</v>
      </c>
      <c r="K21" s="988">
        <f>J21*I21</f>
        <v>0</v>
      </c>
      <c r="L21" s="329">
        <f t="shared" si="0"/>
        <v>0</v>
      </c>
      <c r="M21" s="347" t="str">
        <f t="shared" si="2"/>
        <v/>
      </c>
    </row>
    <row r="22" spans="1:14" x14ac:dyDescent="0.25">
      <c r="A22" s="58">
        <f t="shared" si="3"/>
        <v>0</v>
      </c>
      <c r="C22" s="357"/>
      <c r="D22" s="72" t="s">
        <v>1953</v>
      </c>
      <c r="E22" s="322"/>
      <c r="F22" s="326"/>
      <c r="G22" s="333">
        <f>E4</f>
        <v>0</v>
      </c>
      <c r="H22" s="346">
        <f>G22*F22</f>
        <v>0</v>
      </c>
      <c r="I22" s="983"/>
      <c r="J22" s="991">
        <f>E4</f>
        <v>0</v>
      </c>
      <c r="K22" s="988">
        <f t="shared" si="4"/>
        <v>0</v>
      </c>
      <c r="L22" s="329">
        <f t="shared" si="0"/>
        <v>0</v>
      </c>
      <c r="M22" s="347" t="str">
        <f t="shared" si="2"/>
        <v/>
      </c>
    </row>
    <row r="23" spans="1:14" x14ac:dyDescent="0.25">
      <c r="A23" s="58">
        <f t="shared" si="3"/>
        <v>0</v>
      </c>
      <c r="C23" s="357"/>
      <c r="D23" s="74" t="s">
        <v>141</v>
      </c>
      <c r="E23" s="322"/>
      <c r="F23" s="326"/>
      <c r="G23" s="333">
        <f>IF($E5&gt;0, $E5, $E4)</f>
        <v>0</v>
      </c>
      <c r="H23" s="346">
        <f t="shared" si="1"/>
        <v>0</v>
      </c>
      <c r="I23" s="983"/>
      <c r="J23" s="991">
        <f>IF($E5&gt;0, $E5, $E4)</f>
        <v>0</v>
      </c>
      <c r="K23" s="988">
        <f t="shared" si="4"/>
        <v>0</v>
      </c>
      <c r="L23" s="329">
        <f t="shared" si="0"/>
        <v>0</v>
      </c>
      <c r="M23" s="347" t="str">
        <f t="shared" si="2"/>
        <v/>
      </c>
    </row>
    <row r="24" spans="1:14" ht="14.25" customHeight="1" x14ac:dyDescent="0.25">
      <c r="A24" s="58">
        <f t="shared" si="3"/>
        <v>0</v>
      </c>
      <c r="C24" s="357"/>
      <c r="D24" s="391" t="s">
        <v>4312</v>
      </c>
      <c r="E24" s="322"/>
      <c r="F24" s="768">
        <f>IF(OR(ISNUMBER(SEARCH("RESIDENTIAL", E2))=TRUE, ISNUMBER(SEARCH("GENERAL SERVICE LESS THAN 50", E2))=TRUE), SME, 0)</f>
        <v>0</v>
      </c>
      <c r="G24" s="304">
        <v>1</v>
      </c>
      <c r="H24" s="346">
        <f>G24*F24</f>
        <v>0</v>
      </c>
      <c r="I24" s="984">
        <f>IF(OR(ISNUMBER(SEARCH("RESIDENTIAL", E2))=TRUE, ISNUMBER(SEARCH("GENERAL SERVICE LESS THAN 50", E2))=TRUE), SME, 0)</f>
        <v>0</v>
      </c>
      <c r="J24" s="992">
        <v>1</v>
      </c>
      <c r="K24" s="988">
        <f>J24*I24</f>
        <v>0</v>
      </c>
      <c r="L24" s="329">
        <f t="shared" ref="L24:L33" si="5">K24-H24</f>
        <v>0</v>
      </c>
      <c r="M24" s="347" t="str">
        <f>IF(ISERROR(L24/H24), "", L24/H24)</f>
        <v/>
      </c>
    </row>
    <row r="25" spans="1:14" x14ac:dyDescent="0.25">
      <c r="A25" s="58">
        <f t="shared" si="3"/>
        <v>0</v>
      </c>
      <c r="C25" s="357"/>
      <c r="D25" s="74" t="s">
        <v>3742</v>
      </c>
      <c r="E25" s="322"/>
      <c r="F25" s="345"/>
      <c r="G25" s="304">
        <v>1</v>
      </c>
      <c r="H25" s="346">
        <f t="shared" si="1"/>
        <v>0</v>
      </c>
      <c r="I25" s="982"/>
      <c r="J25" s="992">
        <v>1</v>
      </c>
      <c r="K25" s="988">
        <f>J25*I25</f>
        <v>0</v>
      </c>
      <c r="L25" s="329">
        <f>K25-H25</f>
        <v>0</v>
      </c>
      <c r="M25" s="347" t="str">
        <f>IF(ISERROR(L25/H25), "", L25/H25)</f>
        <v/>
      </c>
    </row>
    <row r="26" spans="1:14" x14ac:dyDescent="0.25">
      <c r="A26" s="58">
        <f t="shared" si="3"/>
        <v>0</v>
      </c>
      <c r="C26" s="357"/>
      <c r="D26" s="74" t="s">
        <v>3741</v>
      </c>
      <c r="E26" s="322"/>
      <c r="F26" s="326"/>
      <c r="G26" s="333">
        <f>IF($E5&gt;0, $E5, $E4)</f>
        <v>0</v>
      </c>
      <c r="H26" s="346">
        <f>G26*F26</f>
        <v>0</v>
      </c>
      <c r="I26" s="983"/>
      <c r="J26" s="991">
        <f>IF($E5&gt;0, $E5, $E4)</f>
        <v>0</v>
      </c>
      <c r="K26" s="988">
        <f>J26*I26</f>
        <v>0</v>
      </c>
      <c r="L26" s="329">
        <f t="shared" si="5"/>
        <v>0</v>
      </c>
      <c r="M26" s="347" t="str">
        <f>IF(ISERROR(L26/H26), "", L26/H26)</f>
        <v/>
      </c>
    </row>
    <row r="27" spans="1:14" ht="26.4" x14ac:dyDescent="0.25">
      <c r="A27" s="58">
        <f t="shared" si="3"/>
        <v>0</v>
      </c>
      <c r="B27" s="263" t="s">
        <v>1435</v>
      </c>
      <c r="C27" s="357"/>
      <c r="D27" s="286" t="s">
        <v>1466</v>
      </c>
      <c r="E27" s="287"/>
      <c r="F27" s="323"/>
      <c r="G27" s="330"/>
      <c r="H27" s="288">
        <f>SUM(H18:H26)</f>
        <v>-60.5</v>
      </c>
      <c r="I27" s="324"/>
      <c r="J27" s="331"/>
      <c r="K27" s="288">
        <f>SUM(K18:K26)</f>
        <v>-60.5</v>
      </c>
      <c r="L27" s="283">
        <f t="shared" si="5"/>
        <v>0</v>
      </c>
      <c r="M27" s="284">
        <f>IF((H27)=0,"",(L27/H27))</f>
        <v>0</v>
      </c>
    </row>
    <row r="28" spans="1:14" x14ac:dyDescent="0.25">
      <c r="A28" s="58">
        <f t="shared" si="3"/>
        <v>0</v>
      </c>
      <c r="C28" s="357"/>
      <c r="D28" s="76" t="s">
        <v>351</v>
      </c>
      <c r="E28" s="322"/>
      <c r="F28" s="326"/>
      <c r="G28" s="332">
        <f>IF($E5&gt;0, $E5, $E4*$E6)</f>
        <v>0</v>
      </c>
      <c r="H28" s="346">
        <f>G28*F28</f>
        <v>0</v>
      </c>
      <c r="I28" s="325"/>
      <c r="J28" s="987">
        <f>IF($E5&gt;0, $E5, $E4*$E7)</f>
        <v>0</v>
      </c>
      <c r="K28" s="988">
        <f>J28*I28</f>
        <v>0</v>
      </c>
      <c r="L28" s="329">
        <f t="shared" si="5"/>
        <v>0</v>
      </c>
      <c r="M28" s="347" t="str">
        <f>IF(ISERROR(L28/H28), "", L28/H28)</f>
        <v/>
      </c>
      <c r="N28" s="1090" t="str">
        <f>IF(ISERROR(ABS(M28)), "", IF(ABS(M28)&gt;=4%, "In the manager's summary, discuss the reasoning for the change in RTSR rates", ""))</f>
        <v/>
      </c>
    </row>
    <row r="29" spans="1:14" ht="26.4" x14ac:dyDescent="0.25">
      <c r="A29" s="58">
        <f t="shared" si="3"/>
        <v>0</v>
      </c>
      <c r="C29" s="357"/>
      <c r="D29" s="169" t="s">
        <v>361</v>
      </c>
      <c r="E29" s="322"/>
      <c r="F29" s="326"/>
      <c r="G29" s="332">
        <f>IF($E5&gt;0, $E5, $E4*$E6)</f>
        <v>0</v>
      </c>
      <c r="H29" s="346">
        <f>G29*F29</f>
        <v>0</v>
      </c>
      <c r="I29" s="325"/>
      <c r="J29" s="987">
        <f>IF($E5&gt;0, $E5, $E4*$E7)</f>
        <v>0</v>
      </c>
      <c r="K29" s="988">
        <f>J29*I29</f>
        <v>0</v>
      </c>
      <c r="L29" s="329">
        <f t="shared" si="5"/>
        <v>0</v>
      </c>
      <c r="M29" s="347" t="str">
        <f>IF(ISERROR(L29/H29), "", L29/H29)</f>
        <v/>
      </c>
      <c r="N29" s="1090" t="str">
        <f>IF(ISERROR(ABS(M29)), "", IF(ABS(M29)&gt;=4%, "In the manager's summary, discuss the reasoning for the change in RTSR rates", ""))</f>
        <v/>
      </c>
    </row>
    <row r="30" spans="1:14" ht="26.4" x14ac:dyDescent="0.25">
      <c r="A30" s="58">
        <f t="shared" si="3"/>
        <v>0</v>
      </c>
      <c r="B30" s="263" t="s">
        <v>1436</v>
      </c>
      <c r="C30" s="357"/>
      <c r="D30" s="286" t="s">
        <v>1467</v>
      </c>
      <c r="E30" s="282"/>
      <c r="F30" s="323"/>
      <c r="G30" s="330"/>
      <c r="H30" s="288">
        <f>SUM(H27:H29)</f>
        <v>-60.5</v>
      </c>
      <c r="I30" s="324"/>
      <c r="J30" s="289"/>
      <c r="K30" s="288">
        <f>SUM(K27:K29)</f>
        <v>-60.5</v>
      </c>
      <c r="L30" s="283">
        <f t="shared" si="5"/>
        <v>0</v>
      </c>
      <c r="M30" s="284">
        <f>IF((H30)=0,"",(L30/H30))</f>
        <v>0</v>
      </c>
    </row>
    <row r="31" spans="1:14" ht="26.4" x14ac:dyDescent="0.25">
      <c r="A31" s="58">
        <f t="shared" si="3"/>
        <v>0</v>
      </c>
      <c r="C31" s="357"/>
      <c r="D31" s="290" t="s">
        <v>352</v>
      </c>
      <c r="E31" s="322"/>
      <c r="F31" s="326">
        <f>IF(AND('1. Information Sheet'!$F$26:$H$26&gt;='17. Regulatory Charges'!$D$14,'1. Information Sheet'!$F$26:$H$26&lt;'17. Regulatory Charges'!$E$14),'17. Regulatory Charges'!$D$15+'17. Regulatory Charges'!$D$16,'17. Regulatory Charges'!$E$15+'17. Regulatory Charges'!$E$16)</f>
        <v>3.4000000000000002E-3</v>
      </c>
      <c r="G31" s="332">
        <f>E4*E6</f>
        <v>0</v>
      </c>
      <c r="H31" s="334">
        <f t="shared" ref="H31:H37" si="6">G31*F31</f>
        <v>0</v>
      </c>
      <c r="I31" s="983">
        <f>'17. Regulatory Charges'!$E$15+'17. Regulatory Charges'!$E$16</f>
        <v>3.4000000000000002E-3</v>
      </c>
      <c r="J31" s="987">
        <f>E4*E7</f>
        <v>0</v>
      </c>
      <c r="K31" s="988">
        <f t="shared" ref="K31:K37" si="7">J31*I31</f>
        <v>0</v>
      </c>
      <c r="L31" s="329">
        <f t="shared" si="5"/>
        <v>0</v>
      </c>
      <c r="M31" s="347" t="str">
        <f t="shared" ref="M31:M39" si="8">IF(ISERROR(L31/H31), "", L31/H31)</f>
        <v/>
      </c>
    </row>
    <row r="32" spans="1:14" ht="26.4" x14ac:dyDescent="0.25">
      <c r="A32" s="58">
        <f t="shared" si="3"/>
        <v>0</v>
      </c>
      <c r="C32" s="357"/>
      <c r="D32" s="290" t="s">
        <v>353</v>
      </c>
      <c r="E32" s="322"/>
      <c r="F32" s="326">
        <f>IF(AND('1. Information Sheet'!$F$26:$H$26&gt;='17. Regulatory Charges'!$D$14,'1. Information Sheet'!$F$26:$H$26&lt;'17. Regulatory Charges'!$D$14),'17. Regulatory Charges'!$D$17,'17. Regulatory Charges'!$E$17)</f>
        <v>5.0000000000000001E-4</v>
      </c>
      <c r="G32" s="332">
        <f>E4*E6</f>
        <v>0</v>
      </c>
      <c r="H32" s="334">
        <f t="shared" si="6"/>
        <v>0</v>
      </c>
      <c r="I32" s="983">
        <f>'17. Regulatory Charges'!$E$17</f>
        <v>5.0000000000000001E-4</v>
      </c>
      <c r="J32" s="987">
        <f>E4*E7</f>
        <v>0</v>
      </c>
      <c r="K32" s="988">
        <f t="shared" si="7"/>
        <v>0</v>
      </c>
      <c r="L32" s="329">
        <f t="shared" si="5"/>
        <v>0</v>
      </c>
      <c r="M32" s="347" t="str">
        <f t="shared" si="8"/>
        <v/>
      </c>
    </row>
    <row r="33" spans="1:13" x14ac:dyDescent="0.25">
      <c r="A33" s="58">
        <f t="shared" si="3"/>
        <v>0</v>
      </c>
      <c r="C33" s="357"/>
      <c r="D33" s="279" t="s">
        <v>354</v>
      </c>
      <c r="E33" s="322"/>
      <c r="F33" s="768">
        <f>IF(AND('1. Information Sheet'!$F$26:$H$26&gt;='17. Regulatory Charges'!$D$14,'1. Information Sheet'!$F$26:$H$26&lt;'17. Regulatory Charges'!$D$14),'17. Regulatory Charges'!$D$18,'17. Regulatory Charges'!$E$18)</f>
        <v>0.25</v>
      </c>
      <c r="G33" s="304">
        <v>1</v>
      </c>
      <c r="H33" s="334">
        <f t="shared" si="6"/>
        <v>0.25</v>
      </c>
      <c r="I33" s="984">
        <f>'17. Regulatory Charges'!$E$18</f>
        <v>0.25</v>
      </c>
      <c r="J33" s="989">
        <v>1</v>
      </c>
      <c r="K33" s="988">
        <f t="shared" si="7"/>
        <v>0.25</v>
      </c>
      <c r="L33" s="329">
        <f t="shared" si="5"/>
        <v>0</v>
      </c>
      <c r="M33" s="347">
        <f t="shared" si="8"/>
        <v>0</v>
      </c>
    </row>
    <row r="34" spans="1:13" ht="26.4" hidden="1" x14ac:dyDescent="0.25">
      <c r="A34" s="58">
        <f t="shared" si="3"/>
        <v>0</v>
      </c>
      <c r="C34" s="357"/>
      <c r="D34" s="290" t="s">
        <v>1468</v>
      </c>
      <c r="E34" s="322"/>
      <c r="F34" s="326"/>
      <c r="G34" s="332"/>
      <c r="H34" s="334"/>
      <c r="I34" s="983"/>
      <c r="J34" s="987"/>
      <c r="K34" s="988"/>
      <c r="L34" s="329"/>
      <c r="M34" s="347"/>
    </row>
    <row r="35" spans="1:13" x14ac:dyDescent="0.25">
      <c r="A35" s="58">
        <f t="shared" si="3"/>
        <v>0</v>
      </c>
      <c r="B35" s="263" t="s">
        <v>1427</v>
      </c>
      <c r="C35" s="357"/>
      <c r="D35" s="285" t="s">
        <v>220</v>
      </c>
      <c r="E35" s="322"/>
      <c r="F35" s="327">
        <f>OffPeak</f>
        <v>0.105</v>
      </c>
      <c r="G35" s="291">
        <f>IF(AND(E4*12&gt;=150000),0.64*E4*E6,0.64*E4)</f>
        <v>0</v>
      </c>
      <c r="H35" s="334">
        <f t="shared" si="6"/>
        <v>0</v>
      </c>
      <c r="I35" s="985">
        <f>OffPeak</f>
        <v>0.105</v>
      </c>
      <c r="J35" s="990">
        <f>IF(AND(E4*12&gt;=150000),0.64*E4*E7,0.64*E4)</f>
        <v>0</v>
      </c>
      <c r="K35" s="988">
        <f t="shared" si="7"/>
        <v>0</v>
      </c>
      <c r="L35" s="329">
        <f>K35-H35</f>
        <v>0</v>
      </c>
      <c r="M35" s="347" t="str">
        <f t="shared" si="8"/>
        <v/>
      </c>
    </row>
    <row r="36" spans="1:13" x14ac:dyDescent="0.25">
      <c r="A36" s="58">
        <f t="shared" si="3"/>
        <v>0</v>
      </c>
      <c r="B36" s="263" t="s">
        <v>1427</v>
      </c>
      <c r="C36" s="357"/>
      <c r="D36" s="285" t="s">
        <v>221</v>
      </c>
      <c r="E36" s="322"/>
      <c r="F36" s="327">
        <f>MidPeak</f>
        <v>0.15</v>
      </c>
      <c r="G36" s="291">
        <f>IF(AND(E4*12&gt;=150000),0.18*E4*E6,0.18*E4)</f>
        <v>0</v>
      </c>
      <c r="H36" s="334">
        <f t="shared" si="6"/>
        <v>0</v>
      </c>
      <c r="I36" s="985">
        <f>MidPeak</f>
        <v>0.15</v>
      </c>
      <c r="J36" s="990">
        <f>IF(AND(E4*12&gt;=150000),0.18*E4*E7,0.18*E4)</f>
        <v>0</v>
      </c>
      <c r="K36" s="988">
        <f t="shared" si="7"/>
        <v>0</v>
      </c>
      <c r="L36" s="329">
        <f>K36-H36</f>
        <v>0</v>
      </c>
      <c r="M36" s="347" t="str">
        <f t="shared" si="8"/>
        <v/>
      </c>
    </row>
    <row r="37" spans="1:13" x14ac:dyDescent="0.25">
      <c r="A37" s="58">
        <f t="shared" si="3"/>
        <v>0</v>
      </c>
      <c r="B37" s="263" t="s">
        <v>1427</v>
      </c>
      <c r="C37" s="357"/>
      <c r="D37" s="263" t="s">
        <v>222</v>
      </c>
      <c r="E37" s="322"/>
      <c r="F37" s="327">
        <f>OnPeak</f>
        <v>0.217</v>
      </c>
      <c r="G37" s="291">
        <f>IF(AND(E4*12&gt;=150000),0.18*E4*E6,0.18*E4)</f>
        <v>0</v>
      </c>
      <c r="H37" s="334">
        <f t="shared" si="6"/>
        <v>0</v>
      </c>
      <c r="I37" s="985">
        <f>OnPeak</f>
        <v>0.217</v>
      </c>
      <c r="J37" s="990">
        <f>IF(AND(E4*12&gt;=150000),0.18*E4*E7,0.18*E4)</f>
        <v>0</v>
      </c>
      <c r="K37" s="988">
        <f t="shared" si="7"/>
        <v>0</v>
      </c>
      <c r="L37" s="329">
        <f>K37-H37</f>
        <v>0</v>
      </c>
      <c r="M37" s="347" t="str">
        <f t="shared" si="8"/>
        <v/>
      </c>
    </row>
    <row r="38" spans="1:13" x14ac:dyDescent="0.25">
      <c r="A38" s="58">
        <f t="shared" si="3"/>
        <v>0</v>
      </c>
      <c r="B38" s="58" t="s">
        <v>1428</v>
      </c>
      <c r="C38" s="357"/>
      <c r="D38" s="285" t="s">
        <v>1437</v>
      </c>
      <c r="E38" s="322"/>
      <c r="F38" s="328">
        <v>0.1368</v>
      </c>
      <c r="G38" s="291">
        <f>IF(AND(E4*12&gt;=150000),E4*E6,E4)</f>
        <v>0</v>
      </c>
      <c r="H38" s="334">
        <f>G38*F38</f>
        <v>0</v>
      </c>
      <c r="I38" s="986">
        <f>F38</f>
        <v>0.1368</v>
      </c>
      <c r="J38" s="990">
        <f>IF(AND(E4*12&gt;=150000),E4*E7,E4)</f>
        <v>0</v>
      </c>
      <c r="K38" s="988">
        <f>J38*I38</f>
        <v>0</v>
      </c>
      <c r="L38" s="329">
        <f>K38-H38</f>
        <v>0</v>
      </c>
      <c r="M38" s="347" t="str">
        <f t="shared" si="8"/>
        <v/>
      </c>
    </row>
    <row r="39" spans="1:13" ht="13.8" thickBot="1" x14ac:dyDescent="0.3">
      <c r="A39" s="58">
        <f t="shared" si="3"/>
        <v>0</v>
      </c>
      <c r="B39" s="58" t="s">
        <v>1429</v>
      </c>
      <c r="C39" s="357"/>
      <c r="D39" s="285" t="s">
        <v>1438</v>
      </c>
      <c r="E39" s="322"/>
      <c r="F39" s="328">
        <v>0.1368</v>
      </c>
      <c r="G39" s="291">
        <f>IF(AND(E4*12&gt;=150000),E4*E6,E4)</f>
        <v>0</v>
      </c>
      <c r="H39" s="334">
        <f>G39*F39</f>
        <v>0</v>
      </c>
      <c r="I39" s="986">
        <f>F39</f>
        <v>0.1368</v>
      </c>
      <c r="J39" s="990">
        <f>IF(AND(E4*12&gt;=150000),E4*E7,E4)</f>
        <v>0</v>
      </c>
      <c r="K39" s="988">
        <f>J39*I39</f>
        <v>0</v>
      </c>
      <c r="L39" s="329">
        <f>K39-H39</f>
        <v>0</v>
      </c>
      <c r="M39" s="347" t="str">
        <f t="shared" si="8"/>
        <v/>
      </c>
    </row>
    <row r="40" spans="1:13" ht="13.8" thickBot="1" x14ac:dyDescent="0.3">
      <c r="A40" s="58">
        <f t="shared" si="3"/>
        <v>0</v>
      </c>
      <c r="B40" s="263"/>
      <c r="C40" s="357"/>
      <c r="D40" s="292"/>
      <c r="E40" s="293"/>
      <c r="F40" s="335"/>
      <c r="G40" s="216"/>
      <c r="H40" s="336"/>
      <c r="I40" s="335"/>
      <c r="J40" s="337"/>
      <c r="K40" s="336"/>
      <c r="L40" s="338"/>
      <c r="M40" s="219"/>
    </row>
    <row r="41" spans="1:13" x14ac:dyDescent="0.25">
      <c r="A41" s="58">
        <f t="shared" si="3"/>
        <v>0</v>
      </c>
      <c r="B41" s="263" t="s">
        <v>1427</v>
      </c>
      <c r="C41" s="357"/>
      <c r="D41" s="296" t="s">
        <v>356</v>
      </c>
      <c r="E41" s="279"/>
      <c r="F41" s="311"/>
      <c r="G41" s="339"/>
      <c r="H41" s="297">
        <f>SUM(H31:H37,H30)</f>
        <v>-60.25</v>
      </c>
      <c r="I41" s="298"/>
      <c r="J41" s="298"/>
      <c r="K41" s="297">
        <f>SUM(K31:K37,K30)</f>
        <v>-60.25</v>
      </c>
      <c r="L41" s="299">
        <f>K41-H41</f>
        <v>0</v>
      </c>
      <c r="M41" s="300">
        <f>IF((H41)=0,"",(L41/H41))</f>
        <v>0</v>
      </c>
    </row>
    <row r="42" spans="1:13" x14ac:dyDescent="0.25">
      <c r="A42" s="58">
        <f t="shared" si="3"/>
        <v>0</v>
      </c>
      <c r="B42" s="263" t="s">
        <v>1427</v>
      </c>
      <c r="C42" s="357"/>
      <c r="D42" s="301" t="s">
        <v>148</v>
      </c>
      <c r="E42" s="279"/>
      <c r="F42" s="311">
        <v>0.13</v>
      </c>
      <c r="G42" s="340"/>
      <c r="H42" s="302">
        <f>H41*F42</f>
        <v>-7.8325000000000005</v>
      </c>
      <c r="I42" s="303">
        <v>0.13</v>
      </c>
      <c r="J42" s="304"/>
      <c r="K42" s="302">
        <f>K41*I42</f>
        <v>-7.8325000000000005</v>
      </c>
      <c r="L42" s="305">
        <f>K42-H42</f>
        <v>0</v>
      </c>
      <c r="M42" s="306">
        <f>IF((H42)=0,"",(L42/H42))</f>
        <v>0</v>
      </c>
    </row>
    <row r="43" spans="1:13" ht="14.4" x14ac:dyDescent="0.3">
      <c r="A43" s="58">
        <f t="shared" si="3"/>
        <v>0</v>
      </c>
      <c r="B43" s="263" t="s">
        <v>1427</v>
      </c>
      <c r="C43" s="357"/>
      <c r="D43" s="1677" t="s">
        <v>5907</v>
      </c>
      <c r="E43" s="1192"/>
      <c r="F43" s="1678">
        <v>0.33200000000000002</v>
      </c>
      <c r="G43" s="340"/>
      <c r="H43" s="302">
        <f>IF(OR(ISNUMBER(SEARCH("[DGEN]", E2))=TRUE, ISNUMBER(SEARCH("STREET LIGHT", E2))=TRUE), 0, IF(AND(E4=0, E5=0),0, IF(AND(E5=0, E4*12&gt;250000), 0, IF(AND(E4=0, E5&gt;=50), 0, IF(E4*12&lt;=250000, F43*H41*-1, IF(E5&lt;50, F43*H41*-1, 0))))))</f>
        <v>0</v>
      </c>
      <c r="I43" s="1678">
        <v>0.33200000000000002</v>
      </c>
      <c r="J43" s="304"/>
      <c r="K43" s="302">
        <f>IF(OR(ISNUMBER(SEARCH("[DGEN]", E2))=TRUE, ISNUMBER(SEARCH("STREET LIGHT", E2))=TRUE), 0, IF(AND(E4=0, E5=0),0, IF(AND(E5=0, E4*12&gt;250000), 0, IF(AND(E4=0, E5&gt;=50), 0, IF(E4*12&lt;=250000, I43*K41*-1, IF(E5&lt;50, I43*K41*-1, 0))))))</f>
        <v>0</v>
      </c>
      <c r="L43" s="305">
        <f>K43-H43</f>
        <v>0</v>
      </c>
      <c r="M43" s="306"/>
    </row>
    <row r="44" spans="1:13" ht="13.8" thickBot="1" x14ac:dyDescent="0.3">
      <c r="A44" s="58">
        <f t="shared" si="3"/>
        <v>0</v>
      </c>
      <c r="B44" s="263" t="s">
        <v>1439</v>
      </c>
      <c r="C44" s="357"/>
      <c r="D44" s="1943" t="s">
        <v>1440</v>
      </c>
      <c r="E44" s="1943"/>
      <c r="F44" s="341"/>
      <c r="G44" s="342"/>
      <c r="H44" s="312">
        <f>H41+H42+H43</f>
        <v>-68.082499999999996</v>
      </c>
      <c r="I44" s="308"/>
      <c r="J44" s="308"/>
      <c r="K44" s="307">
        <f>K41+K42+K43</f>
        <v>-68.082499999999996</v>
      </c>
      <c r="L44" s="309">
        <f>K44-H44</f>
        <v>0</v>
      </c>
      <c r="M44" s="310">
        <f>IF((H44)=0,"",(L44/H44))</f>
        <v>0</v>
      </c>
    </row>
    <row r="45" spans="1:13" ht="13.8" thickBot="1" x14ac:dyDescent="0.3">
      <c r="A45" s="58">
        <f t="shared" si="3"/>
        <v>0</v>
      </c>
      <c r="B45" s="58" t="s">
        <v>1427</v>
      </c>
      <c r="C45" s="357"/>
      <c r="D45" s="292"/>
      <c r="E45" s="293"/>
      <c r="F45" s="335"/>
      <c r="G45" s="216"/>
      <c r="H45" s="336"/>
      <c r="I45" s="335"/>
      <c r="J45" s="337"/>
      <c r="K45" s="336"/>
      <c r="L45" s="338"/>
      <c r="M45" s="219"/>
    </row>
    <row r="46" spans="1:13" x14ac:dyDescent="0.25">
      <c r="A46" s="58">
        <f t="shared" si="3"/>
        <v>0</v>
      </c>
      <c r="B46" s="58" t="s">
        <v>1428</v>
      </c>
      <c r="C46" s="357"/>
      <c r="D46" s="296" t="s">
        <v>1441</v>
      </c>
      <c r="E46" s="279"/>
      <c r="F46" s="311"/>
      <c r="G46" s="339"/>
      <c r="H46" s="297">
        <f>SUM(H38,H31:H34,H30)</f>
        <v>-60.25</v>
      </c>
      <c r="I46" s="298"/>
      <c r="J46" s="298"/>
      <c r="K46" s="297">
        <f>SUM(K38,K31:K34,K30)</f>
        <v>-60.25</v>
      </c>
      <c r="L46" s="299">
        <f>K46-H46</f>
        <v>0</v>
      </c>
      <c r="M46" s="300">
        <f>IF((H46)=0,"",(L46/H46))</f>
        <v>0</v>
      </c>
    </row>
    <row r="47" spans="1:13" x14ac:dyDescent="0.25">
      <c r="A47" s="58">
        <f t="shared" si="3"/>
        <v>0</v>
      </c>
      <c r="B47" s="58" t="s">
        <v>1428</v>
      </c>
      <c r="C47" s="357"/>
      <c r="D47" s="301" t="s">
        <v>148</v>
      </c>
      <c r="E47" s="279"/>
      <c r="F47" s="311">
        <v>0.13</v>
      </c>
      <c r="G47" s="339"/>
      <c r="H47" s="302">
        <f>H46*F47</f>
        <v>-7.8325000000000005</v>
      </c>
      <c r="I47" s="311">
        <v>0.13</v>
      </c>
      <c r="J47" s="303"/>
      <c r="K47" s="302">
        <f>K46*I47</f>
        <v>-7.8325000000000005</v>
      </c>
      <c r="L47" s="305">
        <f>K47-H47</f>
        <v>0</v>
      </c>
      <c r="M47" s="306">
        <f>IF((H47)=0,"",(L47/H47))</f>
        <v>0</v>
      </c>
    </row>
    <row r="48" spans="1:13" ht="14.4" x14ac:dyDescent="0.3">
      <c r="A48" s="58">
        <f t="shared" si="3"/>
        <v>0</v>
      </c>
      <c r="B48" s="58" t="s">
        <v>1428</v>
      </c>
      <c r="C48" s="357"/>
      <c r="D48" s="1677" t="s">
        <v>5907</v>
      </c>
      <c r="E48" s="1192"/>
      <c r="F48" s="1678">
        <v>0.33200000000000002</v>
      </c>
      <c r="G48" s="339"/>
      <c r="H48" s="707">
        <f>IF(OR(ISNUMBER(SEARCH("[DGEN]", E2))=TRUE, ISNUMBER(SEARCH("STREET LIGHT", E2))=TRUE), 0, IF(AND(E4=0, E5=0),0, IF(AND(E5=0, E4*12&gt;250000), 0, IF(AND(E4=0, E5&gt;=50), 0, IF(E4*12&lt;=250000, F48*H46*-1, IF(E5&lt;50, F48*H46*-1, 0))))))</f>
        <v>0</v>
      </c>
      <c r="I48" s="1678">
        <v>0.33200000000000002</v>
      </c>
      <c r="J48" s="303"/>
      <c r="K48" s="707">
        <f>IF(OR(ISNUMBER(SEARCH("[DGEN]", E2))=TRUE, ISNUMBER(SEARCH("STREET LIGHT", E2))=TRUE), 0, IF(AND(E4=0, E5=0),0, IF(AND(E5=0, E4*12&gt;250000), 0, IF(AND(E4=0, E5&gt;=50), 0, IF(E4*12&lt;=250000, I48*K46*-1, IF(E5&lt;50, I48*K46*-1, 0))))))</f>
        <v>0</v>
      </c>
      <c r="L48" s="305"/>
      <c r="M48" s="306"/>
    </row>
    <row r="49" spans="1:13" ht="13.8" thickBot="1" x14ac:dyDescent="0.3">
      <c r="A49" s="58">
        <f t="shared" si="3"/>
        <v>0</v>
      </c>
      <c r="B49" s="58" t="s">
        <v>1442</v>
      </c>
      <c r="C49" s="357"/>
      <c r="D49" s="1943" t="s">
        <v>1441</v>
      </c>
      <c r="E49" s="1943"/>
      <c r="F49" s="343"/>
      <c r="G49" s="344"/>
      <c r="H49" s="312">
        <f>SUM(H46,H47)</f>
        <v>-68.082499999999996</v>
      </c>
      <c r="I49" s="313"/>
      <c r="J49" s="313"/>
      <c r="K49" s="312">
        <f>SUM(K46,K47)</f>
        <v>-68.082499999999996</v>
      </c>
      <c r="L49" s="314">
        <f>K49-H49</f>
        <v>0</v>
      </c>
      <c r="M49" s="315">
        <f>IF((H49)=0,"",(L49/H49))</f>
        <v>0</v>
      </c>
    </row>
    <row r="50" spans="1:13" ht="13.8" thickBot="1" x14ac:dyDescent="0.3">
      <c r="A50" s="58">
        <f t="shared" si="3"/>
        <v>0</v>
      </c>
      <c r="B50" s="58" t="s">
        <v>1428</v>
      </c>
      <c r="C50" s="357"/>
      <c r="D50" s="292"/>
      <c r="E50" s="293"/>
      <c r="F50" s="213"/>
      <c r="G50" s="214"/>
      <c r="H50" s="215"/>
      <c r="I50" s="213"/>
      <c r="J50" s="216"/>
      <c r="K50" s="215"/>
      <c r="L50" s="218"/>
      <c r="M50" s="219"/>
    </row>
    <row r="51" spans="1:13" x14ac:dyDescent="0.25">
      <c r="A51" s="58">
        <f t="shared" si="3"/>
        <v>0</v>
      </c>
      <c r="B51" s="58" t="s">
        <v>1429</v>
      </c>
      <c r="C51" s="357"/>
      <c r="D51" s="296" t="s">
        <v>1443</v>
      </c>
      <c r="E51" s="279"/>
      <c r="F51" s="311"/>
      <c r="G51" s="339"/>
      <c r="H51" s="297">
        <f>SUM(H39,H31:H34,H30)</f>
        <v>-60.25</v>
      </c>
      <c r="I51" s="298"/>
      <c r="J51" s="298"/>
      <c r="K51" s="297">
        <f>SUM(K39,K31:K34,K30)</f>
        <v>-60.25</v>
      </c>
      <c r="L51" s="299">
        <f>K51-H51</f>
        <v>0</v>
      </c>
      <c r="M51" s="300">
        <f>IF((H51)=0,"",(L51/H51))</f>
        <v>0</v>
      </c>
    </row>
    <row r="52" spans="1:13" x14ac:dyDescent="0.25">
      <c r="A52" s="58">
        <f t="shared" si="3"/>
        <v>0</v>
      </c>
      <c r="B52" s="58" t="s">
        <v>1429</v>
      </c>
      <c r="C52" s="357"/>
      <c r="D52" s="301" t="s">
        <v>148</v>
      </c>
      <c r="E52" s="279"/>
      <c r="F52" s="311">
        <v>0.13</v>
      </c>
      <c r="G52" s="339"/>
      <c r="H52" s="302">
        <f>H51*F52</f>
        <v>-7.8325000000000005</v>
      </c>
      <c r="I52" s="311">
        <v>0.13</v>
      </c>
      <c r="J52" s="303"/>
      <c r="K52" s="302">
        <f>K51*I52</f>
        <v>-7.8325000000000005</v>
      </c>
      <c r="L52" s="305">
        <f>K52-H52</f>
        <v>0</v>
      </c>
      <c r="M52" s="306">
        <f>IF((H52)=0,"",(L52/H52))</f>
        <v>0</v>
      </c>
    </row>
    <row r="53" spans="1:13" ht="14.4" x14ac:dyDescent="0.3">
      <c r="A53" s="58">
        <f t="shared" si="3"/>
        <v>0</v>
      </c>
      <c r="B53" s="58" t="s">
        <v>1429</v>
      </c>
      <c r="C53" s="357"/>
      <c r="D53" s="1677" t="s">
        <v>5907</v>
      </c>
      <c r="E53" s="1192"/>
      <c r="F53" s="1678">
        <v>0.33200000000000002</v>
      </c>
      <c r="G53" s="339"/>
      <c r="H53" s="707">
        <f>IF(OR(ISNUMBER(SEARCH("[DGEN]", E2))=TRUE, ISNUMBER(SEARCH("STREET LIGHT", E2))=TRUE), 0, IF(AND(E4=0, E5=0),0, IF(AND(E5=0, E4*12&gt;250000), 0, IF(AND(E4=0, E5&gt;=50), 0, IF(E4*12&lt;=250000, F53*H51*-1, IF(E5&lt;50, F53*H51*-1, 0))))))</f>
        <v>0</v>
      </c>
      <c r="I53" s="1678">
        <v>0.33200000000000002</v>
      </c>
      <c r="J53" s="303"/>
      <c r="K53" s="707">
        <f>IF(OR(ISNUMBER(SEARCH("[DGEN]", E2))=TRUE, ISNUMBER(SEARCH("STREET LIGHT", E2))=TRUE), 0, IF(AND(E4=0, E5=0),0, IF(AND(E5=0, E4*12&gt;250000), 0, IF(AND(E4=0, E5&gt;=50), 0, IF(E4*12&lt;=250000, I53*K51*-1, IF(E5&lt;50, I53*K51*-1, 0))))))</f>
        <v>0</v>
      </c>
      <c r="L53" s="305"/>
      <c r="M53" s="306"/>
    </row>
    <row r="54" spans="1:13" ht="13.8" thickBot="1" x14ac:dyDescent="0.3">
      <c r="A54" s="58">
        <f t="shared" si="3"/>
        <v>0</v>
      </c>
      <c r="B54" s="58" t="s">
        <v>1444</v>
      </c>
      <c r="C54" s="357"/>
      <c r="D54" s="1943" t="s">
        <v>1443</v>
      </c>
      <c r="E54" s="1943"/>
      <c r="F54" s="343"/>
      <c r="G54" s="344"/>
      <c r="H54" s="312">
        <f>SUM(H51,H52)</f>
        <v>-68.082499999999996</v>
      </c>
      <c r="I54" s="313"/>
      <c r="J54" s="313"/>
      <c r="K54" s="312">
        <f>SUM(K51,K52)</f>
        <v>-68.082499999999996</v>
      </c>
      <c r="L54" s="314">
        <f>K54-H54</f>
        <v>0</v>
      </c>
      <c r="M54" s="315">
        <f>IF((H54)=0,"",(L54/H54))</f>
        <v>0</v>
      </c>
    </row>
    <row r="55" spans="1:13" ht="13.8" thickBot="1" x14ac:dyDescent="0.3">
      <c r="A55" s="58">
        <f t="shared" si="3"/>
        <v>0</v>
      </c>
      <c r="B55" s="58" t="s">
        <v>1429</v>
      </c>
      <c r="C55" s="357"/>
      <c r="D55" s="292"/>
      <c r="E55" s="293"/>
      <c r="F55" s="316"/>
      <c r="G55" s="317"/>
      <c r="H55" s="318"/>
      <c r="I55" s="316"/>
      <c r="J55" s="294"/>
      <c r="K55" s="318"/>
      <c r="L55" s="319"/>
      <c r="M55" s="295"/>
    </row>
    <row r="71" spans="11:11" x14ac:dyDescent="0.25">
      <c r="K71" s="320"/>
    </row>
  </sheetData>
  <sheetProtection algorithmName="SHA-512" hashValue="3x2UIno/Iw/EYBBCSLCpVHJRP0S1XQgbbmPAombD8MME/ema9p/hOYyFFev3xjAPYvNY2TpmTY6BN0P3YyDS/A==" saltValue="7sH62G5vsMYP7oApoDf1PQ==" spinCount="100000" sheet="1" objects="1" scenarios="1" selectLockedCells="1"/>
  <mergeCells count="11">
    <mergeCell ref="E10:E11"/>
    <mergeCell ref="L10:L11"/>
    <mergeCell ref="M10:M11"/>
    <mergeCell ref="D54:E54"/>
    <mergeCell ref="D44:E44"/>
    <mergeCell ref="D49:E49"/>
    <mergeCell ref="E3:G3"/>
    <mergeCell ref="F9:H9"/>
    <mergeCell ref="I9:K9"/>
    <mergeCell ref="E2:J2"/>
    <mergeCell ref="L9:M9"/>
  </mergeCells>
  <dataValidations disablePrompts="1" count="1">
    <dataValidation type="list" allowBlank="1" showInputMessage="1" showErrorMessage="1" prompt="Select Charge Unit - monthly, per kWh, per kW" sqref="E45 E50 E55 E40" xr:uid="{00000000-0002-0000-1F00-000000000000}">
      <formula1>"Monthly, per kWh, per kW"</formula1>
    </dataValidation>
  </dataValidations>
  <pageMargins left="0.75" right="0.75" top="1" bottom="1" header="0.5" footer="0.5"/>
  <pageSetup scale="39" orientation="portrait" r:id="rId1"/>
  <headerFooter alignWithMargins="0">
    <oddFooter>&amp;C9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2:O63"/>
  <sheetViews>
    <sheetView showGridLines="0" workbookViewId="0">
      <selection activeCell="E42" sqref="E42"/>
    </sheetView>
  </sheetViews>
  <sheetFormatPr defaultColWidth="9.33203125" defaultRowHeight="13.2" x14ac:dyDescent="0.25"/>
  <cols>
    <col min="1" max="1" width="15.33203125" style="59" customWidth="1"/>
    <col min="2" max="2" width="9.33203125" style="59"/>
    <col min="3" max="3" width="3.33203125" style="59" customWidth="1"/>
    <col min="4" max="4" width="34.6640625" style="59" customWidth="1"/>
    <col min="5" max="5" width="13.33203125" style="59" customWidth="1"/>
    <col min="6" max="6" width="12.33203125" style="59" customWidth="1"/>
    <col min="7" max="7" width="11.5546875" style="59" customWidth="1"/>
    <col min="8" max="8" width="18.33203125" style="59" customWidth="1"/>
    <col min="9" max="10" width="13.33203125" style="59" customWidth="1"/>
    <col min="11" max="11" width="13.5546875" style="59" customWidth="1"/>
    <col min="12" max="12" width="13.33203125" style="59" customWidth="1"/>
    <col min="13" max="13" width="12.6640625" style="59" customWidth="1"/>
    <col min="14" max="14" width="12.6640625" style="59" bestFit="1" customWidth="1"/>
    <col min="15" max="16" width="10.6640625" style="59" bestFit="1" customWidth="1"/>
    <col min="17" max="17" width="3.6640625" style="59" customWidth="1"/>
    <col min="18" max="20" width="9.33203125" style="59"/>
    <col min="21" max="21" width="9.33203125" style="59" customWidth="1"/>
    <col min="22" max="16384" width="9.33203125" style="59"/>
  </cols>
  <sheetData>
    <row r="2" spans="1:15" x14ac:dyDescent="0.25">
      <c r="D2" s="160" t="s">
        <v>1432</v>
      </c>
      <c r="E2" s="1982"/>
      <c r="F2" s="1982"/>
      <c r="G2" s="1982"/>
      <c r="H2" s="1982"/>
      <c r="I2" s="1982"/>
      <c r="J2" s="1982"/>
      <c r="K2" s="354"/>
    </row>
    <row r="3" spans="1:15" x14ac:dyDescent="0.25">
      <c r="D3" s="160" t="s">
        <v>1433</v>
      </c>
      <c r="E3" s="1981"/>
      <c r="F3" s="1981"/>
      <c r="G3" s="1981"/>
      <c r="H3" s="161"/>
      <c r="I3" s="161"/>
    </row>
    <row r="4" spans="1:15" ht="15.6" x14ac:dyDescent="0.25">
      <c r="D4" s="160" t="s">
        <v>153</v>
      </c>
      <c r="E4" s="162">
        <v>800</v>
      </c>
      <c r="F4" s="5" t="s">
        <v>154</v>
      </c>
      <c r="G4" s="6"/>
      <c r="J4" s="163"/>
      <c r="K4" s="163"/>
      <c r="L4" s="163"/>
      <c r="M4" s="163"/>
      <c r="N4" s="163"/>
      <c r="O4" s="163"/>
    </row>
    <row r="5" spans="1:15" ht="15.6" x14ac:dyDescent="0.3">
      <c r="D5" s="160" t="s">
        <v>360</v>
      </c>
      <c r="E5" s="162"/>
      <c r="F5" s="164" t="s">
        <v>155</v>
      </c>
      <c r="G5" s="62"/>
      <c r="H5" s="60"/>
      <c r="I5" s="60"/>
      <c r="J5" s="60"/>
    </row>
    <row r="6" spans="1:15" x14ac:dyDescent="0.25">
      <c r="D6" s="160" t="s">
        <v>152</v>
      </c>
      <c r="E6" s="165">
        <v>1.05</v>
      </c>
    </row>
    <row r="8" spans="1:15" x14ac:dyDescent="0.25">
      <c r="D8" s="6"/>
    </row>
    <row r="12" spans="1:15" x14ac:dyDescent="0.25">
      <c r="A12" s="59">
        <f>$E2</f>
        <v>0</v>
      </c>
      <c r="D12" s="6"/>
      <c r="E12" s="1983" t="s">
        <v>340</v>
      </c>
      <c r="F12" s="1984"/>
      <c r="G12" s="1985"/>
      <c r="H12" s="1983" t="s">
        <v>341</v>
      </c>
      <c r="I12" s="1984"/>
      <c r="J12" s="1985"/>
      <c r="K12" s="1983" t="s">
        <v>342</v>
      </c>
      <c r="L12" s="1985"/>
    </row>
    <row r="13" spans="1:15" x14ac:dyDescent="0.25">
      <c r="A13" s="59">
        <f>A12</f>
        <v>0</v>
      </c>
      <c r="D13" s="6"/>
      <c r="E13" s="63" t="s">
        <v>343</v>
      </c>
      <c r="F13" s="63" t="s">
        <v>146</v>
      </c>
      <c r="G13" s="64" t="s">
        <v>344</v>
      </c>
      <c r="H13" s="63" t="s">
        <v>343</v>
      </c>
      <c r="I13" s="65" t="s">
        <v>146</v>
      </c>
      <c r="J13" s="64" t="s">
        <v>344</v>
      </c>
      <c r="K13" s="1977" t="s">
        <v>345</v>
      </c>
      <c r="L13" s="1979" t="s">
        <v>346</v>
      </c>
    </row>
    <row r="14" spans="1:15" x14ac:dyDescent="0.25">
      <c r="A14" s="59">
        <f t="shared" ref="A14:A52" si="0">A13</f>
        <v>0</v>
      </c>
      <c r="D14" s="6"/>
      <c r="E14" s="66" t="s">
        <v>347</v>
      </c>
      <c r="F14" s="66"/>
      <c r="G14" s="67" t="s">
        <v>347</v>
      </c>
      <c r="H14" s="66" t="s">
        <v>347</v>
      </c>
      <c r="I14" s="67"/>
      <c r="J14" s="67" t="s">
        <v>347</v>
      </c>
      <c r="K14" s="1978"/>
      <c r="L14" s="1980"/>
    </row>
    <row r="15" spans="1:15" x14ac:dyDescent="0.25">
      <c r="A15" s="59">
        <f t="shared" si="0"/>
        <v>0</v>
      </c>
      <c r="D15" s="68" t="s">
        <v>348</v>
      </c>
      <c r="E15" s="172"/>
      <c r="F15" s="173">
        <v>1</v>
      </c>
      <c r="G15" s="174">
        <f>F15*E15</f>
        <v>0</v>
      </c>
      <c r="H15" s="172"/>
      <c r="I15" s="175"/>
      <c r="J15" s="174">
        <f>I15*H15</f>
        <v>0</v>
      </c>
      <c r="K15" s="176">
        <f>J15-G15</f>
        <v>0</v>
      </c>
      <c r="L15" s="177" t="str">
        <f>IF(ISERROR(K15/G15), "", K15/G15)</f>
        <v/>
      </c>
    </row>
    <row r="16" spans="1:15" x14ac:dyDescent="0.25">
      <c r="A16" s="59">
        <f t="shared" si="0"/>
        <v>0</v>
      </c>
      <c r="D16" s="68" t="s">
        <v>80</v>
      </c>
      <c r="E16" s="178"/>
      <c r="F16" s="179">
        <f>IF($E5&gt;0, $E5, $E4)</f>
        <v>800</v>
      </c>
      <c r="G16" s="174">
        <f>F16*E16</f>
        <v>0</v>
      </c>
      <c r="H16" s="178"/>
      <c r="I16" s="179">
        <f>IF($E5&gt;0, $E5, $E4)</f>
        <v>800</v>
      </c>
      <c r="J16" s="174">
        <f>I16*H16</f>
        <v>0</v>
      </c>
      <c r="K16" s="176">
        <f t="shared" ref="K16:K51" si="1">J16-G16</f>
        <v>0</v>
      </c>
      <c r="L16" s="177" t="str">
        <f t="shared" ref="L16:L51" si="2">IF(ISERROR(K16/G16), "", K16/G16)</f>
        <v/>
      </c>
    </row>
    <row r="17" spans="1:15" x14ac:dyDescent="0.25">
      <c r="A17" s="59">
        <f t="shared" si="0"/>
        <v>0</v>
      </c>
      <c r="D17" s="69" t="s">
        <v>358</v>
      </c>
      <c r="E17" s="180"/>
      <c r="F17" s="173">
        <v>1</v>
      </c>
      <c r="G17" s="174">
        <f>F17*E17</f>
        <v>0</v>
      </c>
      <c r="H17" s="180"/>
      <c r="I17" s="175"/>
      <c r="J17" s="174">
        <f>I17*H17</f>
        <v>0</v>
      </c>
      <c r="K17" s="176">
        <f t="shared" si="1"/>
        <v>0</v>
      </c>
      <c r="L17" s="177" t="str">
        <f t="shared" si="2"/>
        <v/>
      </c>
    </row>
    <row r="18" spans="1:15" x14ac:dyDescent="0.25">
      <c r="A18" s="59">
        <f t="shared" si="0"/>
        <v>0</v>
      </c>
      <c r="D18" s="70" t="s">
        <v>359</v>
      </c>
      <c r="E18" s="181"/>
      <c r="F18" s="182">
        <f>F16</f>
        <v>800</v>
      </c>
      <c r="G18" s="174">
        <f>F18*E18</f>
        <v>0</v>
      </c>
      <c r="H18" s="181"/>
      <c r="I18" s="182">
        <f>I16</f>
        <v>800</v>
      </c>
      <c r="J18" s="174">
        <f>I18*H18</f>
        <v>0</v>
      </c>
      <c r="K18" s="176">
        <f t="shared" si="1"/>
        <v>0</v>
      </c>
      <c r="L18" s="177" t="str">
        <f t="shared" si="2"/>
        <v/>
      </c>
    </row>
    <row r="19" spans="1:15" x14ac:dyDescent="0.25">
      <c r="A19" s="59">
        <f t="shared" si="0"/>
        <v>0</v>
      </c>
      <c r="B19" s="7" t="s">
        <v>1434</v>
      </c>
      <c r="D19" s="71" t="s">
        <v>349</v>
      </c>
      <c r="E19" s="183"/>
      <c r="F19" s="184"/>
      <c r="G19" s="185">
        <f>SUM(G15:G18)</f>
        <v>0</v>
      </c>
      <c r="H19" s="183"/>
      <c r="I19" s="186"/>
      <c r="J19" s="185">
        <f>SUM(J15:J18)</f>
        <v>0</v>
      </c>
      <c r="K19" s="185">
        <f>SUM(K15:K18)</f>
        <v>0</v>
      </c>
      <c r="L19" s="254"/>
    </row>
    <row r="20" spans="1:15" x14ac:dyDescent="0.25">
      <c r="A20" s="59">
        <f t="shared" si="0"/>
        <v>0</v>
      </c>
      <c r="D20" s="72" t="s">
        <v>421</v>
      </c>
      <c r="E20" s="223">
        <f>IF(E3="RPP",(E32*0.64+E33*0.18+E34*0.18),IF(E3="Non-RPP (Retailer)",E35,E36))</f>
        <v>9.06E-2</v>
      </c>
      <c r="F20" s="187">
        <f>$E4*($E6) - ($E4)</f>
        <v>40</v>
      </c>
      <c r="G20" s="174">
        <f>F20*E20</f>
        <v>3.6240000000000001</v>
      </c>
      <c r="H20" s="223">
        <f>IF(E3="RPP",(H32*0.64+H33*0.18+H34*0.18),IF(E3="Non-RPP (Retailer)",H35,H36))</f>
        <v>9.06E-2</v>
      </c>
      <c r="I20" s="187">
        <f>$E4*($E6) - ($E4)</f>
        <v>40</v>
      </c>
      <c r="J20" s="174">
        <f>I20*H20</f>
        <v>3.6240000000000001</v>
      </c>
      <c r="K20" s="176">
        <f t="shared" si="1"/>
        <v>0</v>
      </c>
      <c r="L20" s="177">
        <f t="shared" si="2"/>
        <v>0</v>
      </c>
    </row>
    <row r="21" spans="1:15" ht="26.4" x14ac:dyDescent="0.25">
      <c r="A21" s="59">
        <f t="shared" si="0"/>
        <v>0</v>
      </c>
      <c r="D21" s="72" t="s">
        <v>357</v>
      </c>
      <c r="E21" s="188"/>
      <c r="F21" s="187">
        <f>F16</f>
        <v>800</v>
      </c>
      <c r="G21" s="174">
        <f>F21*E21</f>
        <v>0</v>
      </c>
      <c r="H21" s="188"/>
      <c r="I21" s="187">
        <f>I16</f>
        <v>800</v>
      </c>
      <c r="J21" s="174">
        <f>I21*H21</f>
        <v>0</v>
      </c>
      <c r="K21" s="176">
        <f t="shared" si="1"/>
        <v>0</v>
      </c>
      <c r="L21" s="177" t="str">
        <f t="shared" si="2"/>
        <v/>
      </c>
    </row>
    <row r="22" spans="1:15" x14ac:dyDescent="0.25">
      <c r="A22" s="59">
        <f t="shared" si="0"/>
        <v>0</v>
      </c>
      <c r="D22" s="74" t="s">
        <v>141</v>
      </c>
      <c r="E22" s="178"/>
      <c r="F22" s="187">
        <f>F16</f>
        <v>800</v>
      </c>
      <c r="G22" s="174">
        <f>F22*E22</f>
        <v>0</v>
      </c>
      <c r="H22" s="178"/>
      <c r="I22" s="187">
        <f>I16</f>
        <v>800</v>
      </c>
      <c r="J22" s="174">
        <f>I22*H22</f>
        <v>0</v>
      </c>
      <c r="K22" s="176">
        <f t="shared" si="1"/>
        <v>0</v>
      </c>
      <c r="L22" s="177" t="str">
        <f t="shared" si="2"/>
        <v/>
      </c>
    </row>
    <row r="23" spans="1:15" x14ac:dyDescent="0.25">
      <c r="A23" s="59">
        <f t="shared" si="0"/>
        <v>0</v>
      </c>
      <c r="D23" s="74" t="s">
        <v>350</v>
      </c>
      <c r="E23" s="178"/>
      <c r="F23" s="187">
        <v>1</v>
      </c>
      <c r="G23" s="174">
        <f>F23*E23</f>
        <v>0</v>
      </c>
      <c r="H23" s="178"/>
      <c r="I23" s="187">
        <v>1</v>
      </c>
      <c r="J23" s="174">
        <f>I23*H23</f>
        <v>0</v>
      </c>
      <c r="K23" s="176">
        <f t="shared" si="1"/>
        <v>0</v>
      </c>
      <c r="L23" s="177" t="str">
        <f t="shared" si="2"/>
        <v/>
      </c>
    </row>
    <row r="24" spans="1:15" ht="26.4" x14ac:dyDescent="0.25">
      <c r="A24" s="59">
        <f t="shared" si="0"/>
        <v>0</v>
      </c>
      <c r="B24" s="6" t="s">
        <v>1435</v>
      </c>
      <c r="D24" s="75" t="s">
        <v>1446</v>
      </c>
      <c r="E24" s="189"/>
      <c r="F24" s="189"/>
      <c r="G24" s="190">
        <f>SUM(G19:G23)</f>
        <v>3.6240000000000001</v>
      </c>
      <c r="H24" s="189"/>
      <c r="I24" s="191"/>
      <c r="J24" s="190">
        <f>SUM(J19:J23)</f>
        <v>3.6240000000000001</v>
      </c>
      <c r="K24" s="190">
        <f>SUM(K19:K23)</f>
        <v>0</v>
      </c>
      <c r="L24" s="192"/>
    </row>
    <row r="25" spans="1:15" x14ac:dyDescent="0.25">
      <c r="A25" s="59">
        <f t="shared" si="0"/>
        <v>0</v>
      </c>
      <c r="D25" s="76" t="s">
        <v>351</v>
      </c>
      <c r="E25" s="178"/>
      <c r="F25" s="227">
        <f>IF($E5&gt;0, $E5, $E4*$E6)</f>
        <v>840</v>
      </c>
      <c r="G25" s="174">
        <f>F25*E25</f>
        <v>0</v>
      </c>
      <c r="H25" s="178"/>
      <c r="I25" s="228">
        <f>IF($E5&gt;0, $E5, $E4*$E6)</f>
        <v>840</v>
      </c>
      <c r="J25" s="174">
        <f>I25*H25</f>
        <v>0</v>
      </c>
      <c r="K25" s="176">
        <f t="shared" si="1"/>
        <v>0</v>
      </c>
      <c r="L25" s="177" t="str">
        <f t="shared" si="2"/>
        <v/>
      </c>
    </row>
    <row r="26" spans="1:15" ht="26.4" x14ac:dyDescent="0.25">
      <c r="A26" s="59">
        <f t="shared" si="0"/>
        <v>0</v>
      </c>
      <c r="D26" s="169" t="s">
        <v>361</v>
      </c>
      <c r="E26" s="178"/>
      <c r="F26" s="227">
        <f>IF($E5&gt;0, $E5, $E4*$E6)</f>
        <v>840</v>
      </c>
      <c r="G26" s="174">
        <f>F26*E26</f>
        <v>0</v>
      </c>
      <c r="H26" s="178"/>
      <c r="I26" s="228">
        <f>IF($E5&gt;0, $E5, $E4*$E6)</f>
        <v>840</v>
      </c>
      <c r="J26" s="174">
        <f>I26*H26</f>
        <v>0</v>
      </c>
      <c r="K26" s="176">
        <f t="shared" si="1"/>
        <v>0</v>
      </c>
      <c r="L26" s="177" t="str">
        <f t="shared" si="2"/>
        <v/>
      </c>
    </row>
    <row r="27" spans="1:15" ht="26.4" x14ac:dyDescent="0.25">
      <c r="A27" s="59">
        <f t="shared" si="0"/>
        <v>0</v>
      </c>
      <c r="B27" s="6" t="s">
        <v>1436</v>
      </c>
      <c r="D27" s="75" t="s">
        <v>1445</v>
      </c>
      <c r="E27" s="189"/>
      <c r="F27" s="189"/>
      <c r="G27" s="190">
        <f>SUM(G24:G26)</f>
        <v>3.6240000000000001</v>
      </c>
      <c r="H27" s="193"/>
      <c r="I27" s="194"/>
      <c r="J27" s="190">
        <f>SUM(J24:J26)</f>
        <v>3.6240000000000001</v>
      </c>
      <c r="K27" s="190">
        <f>SUM(K24:K26)</f>
        <v>0</v>
      </c>
      <c r="L27" s="192"/>
    </row>
    <row r="28" spans="1:15" ht="26.4" x14ac:dyDescent="0.25">
      <c r="A28" s="59">
        <f t="shared" si="0"/>
        <v>0</v>
      </c>
      <c r="C28" s="83"/>
      <c r="D28" s="77" t="s">
        <v>352</v>
      </c>
      <c r="E28" s="195"/>
      <c r="F28" s="229">
        <f>IF($E5&gt;0, $E5, $E4*$E6)</f>
        <v>840</v>
      </c>
      <c r="G28" s="196"/>
      <c r="H28" s="195"/>
      <c r="I28" s="229">
        <f>IF($E5&gt;0, $E5, $E4*$E6)</f>
        <v>840</v>
      </c>
      <c r="J28" s="196"/>
      <c r="K28" s="176">
        <f t="shared" si="1"/>
        <v>0</v>
      </c>
      <c r="L28" s="177" t="str">
        <f t="shared" si="2"/>
        <v/>
      </c>
      <c r="O28" s="83"/>
    </row>
    <row r="29" spans="1:15" ht="26.4" x14ac:dyDescent="0.25">
      <c r="A29" s="59">
        <f t="shared" si="0"/>
        <v>0</v>
      </c>
      <c r="D29" s="77" t="s">
        <v>353</v>
      </c>
      <c r="E29" s="195"/>
      <c r="F29" s="229">
        <f>IF($E5&gt;0, $E5, $E4*$E6)</f>
        <v>840</v>
      </c>
      <c r="G29" s="196"/>
      <c r="H29" s="195"/>
      <c r="I29" s="229">
        <f>IF($E5&gt;0, $E5, $E4*$E6)</f>
        <v>840</v>
      </c>
      <c r="J29" s="196"/>
      <c r="K29" s="176">
        <f t="shared" si="1"/>
        <v>0</v>
      </c>
      <c r="L29" s="177" t="str">
        <f t="shared" si="2"/>
        <v/>
      </c>
    </row>
    <row r="30" spans="1:15" x14ac:dyDescent="0.25">
      <c r="A30" s="59">
        <f t="shared" si="0"/>
        <v>0</v>
      </c>
      <c r="D30" s="73" t="s">
        <v>354</v>
      </c>
      <c r="E30" s="195"/>
      <c r="F30" s="220">
        <v>1</v>
      </c>
      <c r="G30" s="196"/>
      <c r="H30" s="195"/>
      <c r="I30" s="220">
        <v>1</v>
      </c>
      <c r="J30" s="196"/>
      <c r="K30" s="176">
        <f t="shared" si="1"/>
        <v>0</v>
      </c>
      <c r="L30" s="177" t="str">
        <f t="shared" si="2"/>
        <v/>
      </c>
    </row>
    <row r="31" spans="1:15" x14ac:dyDescent="0.25">
      <c r="A31" s="59">
        <f t="shared" si="0"/>
        <v>0</v>
      </c>
      <c r="D31" s="73" t="s">
        <v>147</v>
      </c>
      <c r="E31" s="195"/>
      <c r="F31" s="221">
        <f>IF($E5&gt;0, $E5, $E4)</f>
        <v>800</v>
      </c>
      <c r="G31" s="196"/>
      <c r="H31" s="195"/>
      <c r="I31" s="221">
        <f>IF($E5&gt;0, $E5, $E4)</f>
        <v>800</v>
      </c>
      <c r="J31" s="196"/>
      <c r="K31" s="176">
        <f t="shared" si="1"/>
        <v>0</v>
      </c>
      <c r="L31" s="177" t="str">
        <f t="shared" si="2"/>
        <v/>
      </c>
    </row>
    <row r="32" spans="1:15" x14ac:dyDescent="0.25">
      <c r="A32" s="59">
        <f t="shared" si="0"/>
        <v>0</v>
      </c>
      <c r="B32" s="6" t="s">
        <v>1427</v>
      </c>
      <c r="D32" s="74" t="s">
        <v>220</v>
      </c>
      <c r="E32" s="167">
        <v>0.08</v>
      </c>
      <c r="F32" s="171">
        <f>0.64*$E4</f>
        <v>512</v>
      </c>
      <c r="G32" s="196">
        <f>F32*E32</f>
        <v>40.96</v>
      </c>
      <c r="H32" s="167">
        <v>0.08</v>
      </c>
      <c r="I32" s="171">
        <f>0.64*$E4</f>
        <v>512</v>
      </c>
      <c r="J32" s="196">
        <f>I32*H32</f>
        <v>40.96</v>
      </c>
      <c r="K32" s="176">
        <f t="shared" si="1"/>
        <v>0</v>
      </c>
      <c r="L32" s="177">
        <f t="shared" si="2"/>
        <v>0</v>
      </c>
    </row>
    <row r="33" spans="1:12" x14ac:dyDescent="0.25">
      <c r="A33" s="59">
        <f t="shared" si="0"/>
        <v>0</v>
      </c>
      <c r="B33" s="6" t="s">
        <v>1427</v>
      </c>
      <c r="D33" s="74" t="s">
        <v>221</v>
      </c>
      <c r="E33" s="167">
        <v>0.122</v>
      </c>
      <c r="F33" s="171">
        <f>0.18*$E4</f>
        <v>144</v>
      </c>
      <c r="G33" s="196">
        <f>F33*E33</f>
        <v>17.567999999999998</v>
      </c>
      <c r="H33" s="167">
        <v>0.122</v>
      </c>
      <c r="I33" s="171">
        <f>0.18*$E4</f>
        <v>144</v>
      </c>
      <c r="J33" s="196">
        <f>I33*H33</f>
        <v>17.567999999999998</v>
      </c>
      <c r="K33" s="176">
        <f t="shared" si="1"/>
        <v>0</v>
      </c>
      <c r="L33" s="177">
        <f t="shared" si="2"/>
        <v>0</v>
      </c>
    </row>
    <row r="34" spans="1:12" x14ac:dyDescent="0.25">
      <c r="A34" s="59">
        <f t="shared" si="0"/>
        <v>0</v>
      </c>
      <c r="B34" s="6" t="s">
        <v>1427</v>
      </c>
      <c r="D34" s="6" t="s">
        <v>222</v>
      </c>
      <c r="E34" s="167">
        <v>0.161</v>
      </c>
      <c r="F34" s="171">
        <f>0.18*$E4</f>
        <v>144</v>
      </c>
      <c r="G34" s="196">
        <f>F34*E34</f>
        <v>23.184000000000001</v>
      </c>
      <c r="H34" s="167">
        <v>0.161</v>
      </c>
      <c r="I34" s="171">
        <f>0.18*$E4</f>
        <v>144</v>
      </c>
      <c r="J34" s="196">
        <f>I34*H34</f>
        <v>23.184000000000001</v>
      </c>
      <c r="K34" s="176">
        <f t="shared" si="1"/>
        <v>0</v>
      </c>
      <c r="L34" s="177">
        <f t="shared" si="2"/>
        <v>0</v>
      </c>
    </row>
    <row r="35" spans="1:12" x14ac:dyDescent="0.25">
      <c r="A35" s="59">
        <f t="shared" si="0"/>
        <v>0</v>
      </c>
      <c r="B35" s="59" t="s">
        <v>1428</v>
      </c>
      <c r="D35" s="74" t="s">
        <v>1437</v>
      </c>
      <c r="E35" s="167">
        <v>8.5999999999999993E-2</v>
      </c>
      <c r="F35" s="171">
        <f>$E4</f>
        <v>800</v>
      </c>
      <c r="G35" s="196">
        <f>F35*E35</f>
        <v>68.8</v>
      </c>
      <c r="H35" s="167">
        <v>8.5999999999999993E-2</v>
      </c>
      <c r="I35" s="171">
        <f>$E4</f>
        <v>800</v>
      </c>
      <c r="J35" s="196">
        <f>I35*H35</f>
        <v>68.8</v>
      </c>
      <c r="K35" s="176">
        <f t="shared" si="1"/>
        <v>0</v>
      </c>
      <c r="L35" s="177">
        <f t="shared" si="2"/>
        <v>0</v>
      </c>
    </row>
    <row r="36" spans="1:12" ht="13.8" thickBot="1" x14ac:dyDescent="0.3">
      <c r="A36" s="59">
        <f t="shared" si="0"/>
        <v>0</v>
      </c>
      <c r="B36" s="59" t="s">
        <v>1429</v>
      </c>
      <c r="D36" s="74" t="s">
        <v>1438</v>
      </c>
      <c r="E36" s="166">
        <f>0.0906</f>
        <v>9.06E-2</v>
      </c>
      <c r="F36" s="168">
        <f>$E4</f>
        <v>800</v>
      </c>
      <c r="G36" s="196">
        <f>F36*E36</f>
        <v>72.48</v>
      </c>
      <c r="H36" s="166">
        <f>0.0906</f>
        <v>9.06E-2</v>
      </c>
      <c r="I36" s="168">
        <f>$E4</f>
        <v>800</v>
      </c>
      <c r="J36" s="196">
        <f>I36*H36</f>
        <v>72.48</v>
      </c>
      <c r="K36" s="176">
        <f t="shared" si="1"/>
        <v>0</v>
      </c>
      <c r="L36" s="177">
        <f t="shared" si="2"/>
        <v>0</v>
      </c>
    </row>
    <row r="37" spans="1:12" ht="13.8" thickBot="1" x14ac:dyDescent="0.3">
      <c r="A37" s="59">
        <f t="shared" si="0"/>
        <v>0</v>
      </c>
      <c r="B37" s="6" t="s">
        <v>1427</v>
      </c>
      <c r="D37" s="78"/>
      <c r="E37" s="197"/>
      <c r="F37" s="198"/>
      <c r="G37" s="199"/>
      <c r="H37" s="197"/>
      <c r="I37" s="200"/>
      <c r="J37" s="199"/>
      <c r="K37" s="199"/>
      <c r="L37" s="201"/>
    </row>
    <row r="38" spans="1:12" x14ac:dyDescent="0.25">
      <c r="A38" s="59">
        <f t="shared" si="0"/>
        <v>0</v>
      </c>
      <c r="B38" s="6" t="s">
        <v>1427</v>
      </c>
      <c r="D38" s="79" t="s">
        <v>356</v>
      </c>
      <c r="E38" s="202"/>
      <c r="F38" s="203"/>
      <c r="G38" s="204">
        <f>SUM(G27:G34)</f>
        <v>85.335999999999999</v>
      </c>
      <c r="H38" s="205"/>
      <c r="I38" s="205"/>
      <c r="J38" s="204">
        <f>SUM(J27:J34)</f>
        <v>85.335999999999999</v>
      </c>
      <c r="K38" s="176">
        <f t="shared" si="1"/>
        <v>0</v>
      </c>
      <c r="L38" s="177">
        <f t="shared" si="2"/>
        <v>0</v>
      </c>
    </row>
    <row r="39" spans="1:12" x14ac:dyDescent="0.25">
      <c r="A39" s="59">
        <f t="shared" si="0"/>
        <v>0</v>
      </c>
      <c r="B39" s="6" t="s">
        <v>1427</v>
      </c>
      <c r="D39" s="80" t="s">
        <v>148</v>
      </c>
      <c r="E39" s="222">
        <v>0.13</v>
      </c>
      <c r="F39" s="206"/>
      <c r="G39" s="207">
        <f>E39*G38</f>
        <v>11.093680000000001</v>
      </c>
      <c r="H39" s="222">
        <v>0.13</v>
      </c>
      <c r="I39" s="208"/>
      <c r="J39" s="207">
        <f>H39*J38</f>
        <v>11.093680000000001</v>
      </c>
      <c r="K39" s="176">
        <f t="shared" si="1"/>
        <v>0</v>
      </c>
      <c r="L39" s="177">
        <f t="shared" si="2"/>
        <v>0</v>
      </c>
    </row>
    <row r="40" spans="1:12" x14ac:dyDescent="0.25">
      <c r="A40" s="59">
        <f t="shared" si="0"/>
        <v>0</v>
      </c>
      <c r="B40" s="6" t="s">
        <v>1427</v>
      </c>
      <c r="D40" s="81" t="s">
        <v>355</v>
      </c>
      <c r="E40" s="208"/>
      <c r="F40" s="206"/>
      <c r="G40" s="207">
        <f>SUM(G38:G39)</f>
        <v>96.429680000000005</v>
      </c>
      <c r="H40" s="208"/>
      <c r="I40" s="208"/>
      <c r="J40" s="207">
        <f>SUM(J38:J39)</f>
        <v>96.429680000000005</v>
      </c>
      <c r="K40" s="176">
        <f t="shared" si="1"/>
        <v>0</v>
      </c>
      <c r="L40" s="177">
        <f t="shared" si="2"/>
        <v>0</v>
      </c>
    </row>
    <row r="41" spans="1:12" ht="13.8" thickBot="1" x14ac:dyDescent="0.3">
      <c r="A41" s="59" t="e">
        <f>#REF!</f>
        <v>#REF!</v>
      </c>
      <c r="B41" s="59" t="s">
        <v>1427</v>
      </c>
      <c r="D41" s="170" t="s">
        <v>1440</v>
      </c>
      <c r="E41" s="255"/>
      <c r="F41" s="256"/>
      <c r="G41" s="257">
        <f>SUM(G40:G40)</f>
        <v>96.429680000000005</v>
      </c>
      <c r="H41" s="258"/>
      <c r="I41" s="258"/>
      <c r="J41" s="257">
        <f>SUM(J40:J40)</f>
        <v>96.429680000000005</v>
      </c>
      <c r="K41" s="259">
        <f t="shared" si="1"/>
        <v>0</v>
      </c>
      <c r="L41" s="260">
        <f t="shared" si="2"/>
        <v>0</v>
      </c>
    </row>
    <row r="42" spans="1:12" ht="13.8" thickBot="1" x14ac:dyDescent="0.3">
      <c r="A42" s="59" t="e">
        <f t="shared" si="0"/>
        <v>#REF!</v>
      </c>
      <c r="B42" s="59" t="s">
        <v>1428</v>
      </c>
      <c r="D42" s="78"/>
      <c r="E42" s="213"/>
      <c r="F42" s="214"/>
      <c r="G42" s="215"/>
      <c r="H42" s="213"/>
      <c r="I42" s="216"/>
      <c r="J42" s="217"/>
      <c r="K42" s="217"/>
      <c r="L42" s="219"/>
    </row>
    <row r="43" spans="1:12" x14ac:dyDescent="0.25">
      <c r="A43" s="59" t="e">
        <f t="shared" si="0"/>
        <v>#REF!</v>
      </c>
      <c r="B43" s="59" t="s">
        <v>1428</v>
      </c>
      <c r="D43" s="79" t="s">
        <v>1441</v>
      </c>
      <c r="E43" s="202"/>
      <c r="F43" s="203"/>
      <c r="G43" s="204">
        <f>SUM(G27:G31,G35)</f>
        <v>72.423999999999992</v>
      </c>
      <c r="H43" s="202"/>
      <c r="I43" s="205"/>
      <c r="J43" s="204">
        <f>SUM(J27:J31,J35)</f>
        <v>72.423999999999992</v>
      </c>
      <c r="K43" s="176">
        <f t="shared" si="1"/>
        <v>0</v>
      </c>
      <c r="L43" s="177">
        <f t="shared" si="2"/>
        <v>0</v>
      </c>
    </row>
    <row r="44" spans="1:12" x14ac:dyDescent="0.25">
      <c r="A44" s="59" t="e">
        <f t="shared" si="0"/>
        <v>#REF!</v>
      </c>
      <c r="B44" s="59" t="s">
        <v>1428</v>
      </c>
      <c r="D44" s="80" t="s">
        <v>148</v>
      </c>
      <c r="E44" s="222">
        <v>0.13</v>
      </c>
      <c r="F44" s="206"/>
      <c r="G44" s="207">
        <f>E44*G43</f>
        <v>9.4151199999999999</v>
      </c>
      <c r="H44" s="222">
        <v>0.13</v>
      </c>
      <c r="I44" s="208"/>
      <c r="J44" s="207">
        <f>H44*J43</f>
        <v>9.4151199999999999</v>
      </c>
      <c r="K44" s="176">
        <f t="shared" si="1"/>
        <v>0</v>
      </c>
      <c r="L44" s="177">
        <f t="shared" si="2"/>
        <v>0</v>
      </c>
    </row>
    <row r="45" spans="1:12" x14ac:dyDescent="0.25">
      <c r="A45" s="59" t="e">
        <f t="shared" si="0"/>
        <v>#REF!</v>
      </c>
      <c r="B45" s="59" t="s">
        <v>1428</v>
      </c>
      <c r="D45" s="81" t="s">
        <v>355</v>
      </c>
      <c r="E45" s="208"/>
      <c r="F45" s="206"/>
      <c r="G45" s="207">
        <f>SUM(G43:G44)</f>
        <v>81.839119999999994</v>
      </c>
      <c r="H45" s="208"/>
      <c r="I45" s="208"/>
      <c r="J45" s="207">
        <f>SUM(J43:J44)</f>
        <v>81.839119999999994</v>
      </c>
      <c r="K45" s="176">
        <f t="shared" si="1"/>
        <v>0</v>
      </c>
      <c r="L45" s="177">
        <f t="shared" si="2"/>
        <v>0</v>
      </c>
    </row>
    <row r="46" spans="1:12" ht="13.8" thickBot="1" x14ac:dyDescent="0.3">
      <c r="A46" s="59" t="e">
        <f>#REF!</f>
        <v>#REF!</v>
      </c>
      <c r="B46" s="59" t="s">
        <v>1428</v>
      </c>
      <c r="D46" s="170" t="s">
        <v>1441</v>
      </c>
      <c r="E46" s="209"/>
      <c r="F46" s="210"/>
      <c r="G46" s="211">
        <f>SUM(G45:G45)</f>
        <v>81.839119999999994</v>
      </c>
      <c r="H46" s="209"/>
      <c r="I46" s="212"/>
      <c r="J46" s="211">
        <f>SUM(J45:J45)</f>
        <v>81.839119999999994</v>
      </c>
      <c r="K46" s="224">
        <f t="shared" si="1"/>
        <v>0</v>
      </c>
      <c r="L46" s="225">
        <f t="shared" si="2"/>
        <v>0</v>
      </c>
    </row>
    <row r="47" spans="1:12" ht="13.8" thickBot="1" x14ac:dyDescent="0.3">
      <c r="A47" s="59" t="e">
        <f t="shared" si="0"/>
        <v>#REF!</v>
      </c>
      <c r="B47" s="59" t="s">
        <v>1429</v>
      </c>
      <c r="D47" s="78"/>
      <c r="E47" s="213"/>
      <c r="F47" s="214"/>
      <c r="G47" s="215"/>
      <c r="H47" s="213"/>
      <c r="I47" s="216"/>
      <c r="J47" s="217"/>
      <c r="K47" s="217"/>
      <c r="L47" s="219"/>
    </row>
    <row r="48" spans="1:12" ht="26.4" x14ac:dyDescent="0.25">
      <c r="A48" s="59" t="e">
        <f t="shared" si="0"/>
        <v>#REF!</v>
      </c>
      <c r="B48" s="59" t="s">
        <v>1429</v>
      </c>
      <c r="D48" s="226" t="s">
        <v>1447</v>
      </c>
      <c r="E48" s="202"/>
      <c r="F48" s="203"/>
      <c r="G48" s="204">
        <f>SUM(G27:G31,G36)</f>
        <v>76.103999999999999</v>
      </c>
      <c r="H48" s="202"/>
      <c r="I48" s="205"/>
      <c r="J48" s="204">
        <f>SUM(J27:J31,J36)</f>
        <v>76.103999999999999</v>
      </c>
      <c r="K48" s="176">
        <f t="shared" si="1"/>
        <v>0</v>
      </c>
      <c r="L48" s="177">
        <f t="shared" si="2"/>
        <v>0</v>
      </c>
    </row>
    <row r="49" spans="1:12" x14ac:dyDescent="0.25">
      <c r="A49" s="59" t="e">
        <f t="shared" si="0"/>
        <v>#REF!</v>
      </c>
      <c r="B49" s="59" t="s">
        <v>1429</v>
      </c>
      <c r="D49" s="80" t="s">
        <v>148</v>
      </c>
      <c r="E49" s="222">
        <v>0.13</v>
      </c>
      <c r="F49" s="206"/>
      <c r="G49" s="207">
        <f>E49*G48</f>
        <v>9.8935200000000005</v>
      </c>
      <c r="H49" s="222">
        <v>0.13</v>
      </c>
      <c r="I49" s="208"/>
      <c r="J49" s="207">
        <f>H49*J48</f>
        <v>9.8935200000000005</v>
      </c>
      <c r="K49" s="176">
        <f t="shared" si="1"/>
        <v>0</v>
      </c>
      <c r="L49" s="177">
        <f t="shared" si="2"/>
        <v>0</v>
      </c>
    </row>
    <row r="50" spans="1:12" x14ac:dyDescent="0.25">
      <c r="A50" s="59" t="e">
        <f t="shared" si="0"/>
        <v>#REF!</v>
      </c>
      <c r="B50" s="59" t="s">
        <v>1429</v>
      </c>
      <c r="D50" s="81" t="s">
        <v>355</v>
      </c>
      <c r="E50" s="208"/>
      <c r="F50" s="206"/>
      <c r="G50" s="207">
        <f>SUM(G48:G49)</f>
        <v>85.997519999999994</v>
      </c>
      <c r="H50" s="208"/>
      <c r="I50" s="208"/>
      <c r="J50" s="207">
        <f>SUM(J48:J49)</f>
        <v>85.997519999999994</v>
      </c>
      <c r="K50" s="176">
        <f t="shared" si="1"/>
        <v>0</v>
      </c>
      <c r="L50" s="177">
        <f t="shared" si="2"/>
        <v>0</v>
      </c>
    </row>
    <row r="51" spans="1:12" ht="27" thickBot="1" x14ac:dyDescent="0.3">
      <c r="A51" s="59" t="e">
        <f>#REF!</f>
        <v>#REF!</v>
      </c>
      <c r="B51" s="59" t="s">
        <v>1429</v>
      </c>
      <c r="D51" s="170" t="s">
        <v>1443</v>
      </c>
      <c r="E51" s="209"/>
      <c r="F51" s="210"/>
      <c r="G51" s="211">
        <f>SUM(G50:G50)</f>
        <v>85.997519999999994</v>
      </c>
      <c r="H51" s="209"/>
      <c r="I51" s="212"/>
      <c r="J51" s="211">
        <f>SUM(J50:J50)</f>
        <v>85.997519999999994</v>
      </c>
      <c r="K51" s="224">
        <f t="shared" si="1"/>
        <v>0</v>
      </c>
      <c r="L51" s="225">
        <f t="shared" si="2"/>
        <v>0</v>
      </c>
    </row>
    <row r="52" spans="1:12" ht="13.8" thickBot="1" x14ac:dyDescent="0.3">
      <c r="A52" s="59" t="e">
        <f t="shared" si="0"/>
        <v>#REF!</v>
      </c>
      <c r="B52" s="59" t="s">
        <v>1429</v>
      </c>
      <c r="D52" s="78"/>
      <c r="E52" s="213"/>
      <c r="F52" s="214"/>
      <c r="G52" s="215"/>
      <c r="H52" s="213"/>
      <c r="I52" s="216"/>
      <c r="J52" s="217"/>
      <c r="K52" s="218"/>
      <c r="L52" s="219"/>
    </row>
    <row r="56" spans="1:12" ht="12.75" customHeight="1" x14ac:dyDescent="0.25"/>
    <row r="62" spans="1:12" ht="12.75" customHeight="1" x14ac:dyDescent="0.25"/>
    <row r="63" spans="1:12" ht="13.5" customHeight="1" x14ac:dyDescent="0.25"/>
  </sheetData>
  <sheetProtection algorithmName="SHA-512" hashValue="VAWuY86PrpfswAp+yLcb6i1RVf0eEw9P+eyBoJwTnVoQ+uwOcApY9RMkLC1dngs6nafP/t2FlHsocNUqe2yA/g==" saltValue="7YrQQpGsdOVCDmZ4Y18hEw=="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3" orientation="portrait" r:id="rId1"/>
  <headerFooter alignWithMargins="0">
    <oddFooter>&amp;C9</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
  <dimension ref="A1:W15481"/>
  <sheetViews>
    <sheetView topLeftCell="D1539" zoomScale="106" zoomScaleNormal="106" workbookViewId="0">
      <selection activeCell="J1561" sqref="J1561"/>
    </sheetView>
  </sheetViews>
  <sheetFormatPr defaultColWidth="9.33203125" defaultRowHeight="18" customHeight="1" x14ac:dyDescent="0.3"/>
  <cols>
    <col min="1" max="2" width="38.6640625" style="603" customWidth="1"/>
    <col min="3" max="3" width="30.33203125" style="603" customWidth="1"/>
    <col min="4" max="4" width="46" style="603" customWidth="1"/>
    <col min="5" max="6" width="38.6640625" style="603" customWidth="1"/>
    <col min="7" max="7" width="30.33203125" style="603" customWidth="1"/>
    <col min="8" max="8" width="12.5546875" style="603" customWidth="1"/>
    <col min="9" max="10" width="9.33203125" style="603" customWidth="1"/>
    <col min="11" max="11" width="45.6640625" style="603" customWidth="1"/>
    <col min="12" max="18" width="9.33203125" style="603" customWidth="1"/>
    <col min="19" max="19" width="10.33203125" style="835" customWidth="1"/>
    <col min="20" max="20" width="42.33203125" style="835" customWidth="1"/>
    <col min="21" max="29" width="9.33203125" style="603"/>
    <col min="30" max="30" width="56" style="603" bestFit="1" customWidth="1"/>
    <col min="31" max="31" width="57.6640625" style="603" bestFit="1" customWidth="1"/>
    <col min="32" max="16384" width="9.33203125" style="603"/>
  </cols>
  <sheetData>
    <row r="1" spans="1:23" ht="14.4" x14ac:dyDescent="0.2">
      <c r="A1" s="603" t="s">
        <v>430</v>
      </c>
      <c r="B1" s="603" t="s">
        <v>431</v>
      </c>
      <c r="C1" s="603" t="s">
        <v>432</v>
      </c>
      <c r="D1" s="603" t="s">
        <v>1905</v>
      </c>
      <c r="E1" s="603" t="s">
        <v>1906</v>
      </c>
      <c r="F1" s="603" t="s">
        <v>1907</v>
      </c>
      <c r="G1" s="393" t="s">
        <v>2361</v>
      </c>
      <c r="H1" s="603" t="s">
        <v>2362</v>
      </c>
      <c r="I1" s="603" t="s">
        <v>2363</v>
      </c>
      <c r="J1" s="603" t="s">
        <v>2364</v>
      </c>
      <c r="K1" s="603" t="s">
        <v>2365</v>
      </c>
      <c r="L1" s="603" t="s">
        <v>2366</v>
      </c>
      <c r="M1" s="603" t="s">
        <v>2367</v>
      </c>
      <c r="N1" s="603" t="s">
        <v>2368</v>
      </c>
      <c r="O1" s="603" t="s">
        <v>2369</v>
      </c>
      <c r="P1" s="603" t="s">
        <v>2370</v>
      </c>
      <c r="Q1" s="603" t="s">
        <v>2371</v>
      </c>
      <c r="R1" s="603" t="s">
        <v>2372</v>
      </c>
      <c r="S1" s="835" t="s">
        <v>2373</v>
      </c>
      <c r="T1" s="835" t="s">
        <v>2374</v>
      </c>
      <c r="U1" s="603" t="s">
        <v>2375</v>
      </c>
      <c r="V1" s="603" t="s">
        <v>2376</v>
      </c>
      <c r="W1" s="603" t="s">
        <v>2377</v>
      </c>
    </row>
    <row r="2" spans="1:23" s="1192" customFormat="1" ht="22.8" x14ac:dyDescent="0.3">
      <c r="A2" s="1192" t="s">
        <v>5684</v>
      </c>
      <c r="B2" s="1192" t="s">
        <v>5934</v>
      </c>
      <c r="C2" s="1192" t="s">
        <v>2378</v>
      </c>
      <c r="E2" s="2138" t="s">
        <v>5684</v>
      </c>
      <c r="F2" s="2139"/>
      <c r="G2" s="2139"/>
      <c r="H2" s="2139"/>
      <c r="I2" s="1192" t="s">
        <v>603</v>
      </c>
      <c r="J2" s="1192" t="s">
        <v>5935</v>
      </c>
      <c r="K2" s="1192" t="s">
        <v>5684</v>
      </c>
      <c r="M2" s="1192">
        <v>7</v>
      </c>
      <c r="V2" s="1192">
        <v>20</v>
      </c>
    </row>
    <row r="3" spans="1:23" s="1192" customFormat="1" ht="17.399999999999999" x14ac:dyDescent="0.3">
      <c r="A3" s="1192" t="s">
        <v>5684</v>
      </c>
      <c r="B3" s="1192" t="s">
        <v>5934</v>
      </c>
      <c r="C3" s="1192" t="s">
        <v>2380</v>
      </c>
      <c r="E3" s="2140" t="s">
        <v>5936</v>
      </c>
      <c r="F3" s="2141"/>
      <c r="G3" s="2141"/>
      <c r="H3" s="2141"/>
      <c r="V3" s="1192">
        <v>24</v>
      </c>
    </row>
    <row r="4" spans="1:23" s="1192" customFormat="1" ht="17.399999999999999" x14ac:dyDescent="0.3">
      <c r="A4" s="1192" t="s">
        <v>5684</v>
      </c>
      <c r="B4" s="1192" t="s">
        <v>5934</v>
      </c>
      <c r="C4" s="1192" t="s">
        <v>2382</v>
      </c>
      <c r="E4" s="2140" t="s">
        <v>2381</v>
      </c>
      <c r="F4" s="2141"/>
      <c r="G4" s="2141"/>
      <c r="H4" s="2141"/>
      <c r="V4" s="1192">
        <v>27</v>
      </c>
    </row>
    <row r="5" spans="1:23" s="1192" customFormat="1" ht="15.6" x14ac:dyDescent="0.3">
      <c r="A5" s="1192" t="s">
        <v>5684</v>
      </c>
      <c r="B5" s="1192" t="s">
        <v>5934</v>
      </c>
      <c r="C5" s="1192" t="s">
        <v>2383</v>
      </c>
      <c r="E5" s="2142" t="s">
        <v>5937</v>
      </c>
      <c r="F5" s="2143"/>
      <c r="G5" s="2143"/>
      <c r="H5" s="2143"/>
      <c r="S5" s="1192">
        <v>43831</v>
      </c>
      <c r="V5" s="1192">
        <v>49</v>
      </c>
    </row>
    <row r="6" spans="1:23" s="1192" customFormat="1" ht="14.4" x14ac:dyDescent="0.3">
      <c r="A6" s="1192" t="s">
        <v>5684</v>
      </c>
      <c r="B6" s="1192" t="s">
        <v>5934</v>
      </c>
      <c r="E6" s="2144" t="s">
        <v>2384</v>
      </c>
      <c r="F6" s="2145"/>
      <c r="G6" s="2145"/>
      <c r="H6" s="2145"/>
      <c r="V6" s="1192">
        <v>52</v>
      </c>
    </row>
    <row r="7" spans="1:23" s="1192" customFormat="1" ht="14.4" x14ac:dyDescent="0.3">
      <c r="A7" s="1192" t="s">
        <v>5684</v>
      </c>
      <c r="B7" s="1192" t="s">
        <v>5934</v>
      </c>
      <c r="E7" s="2144" t="s">
        <v>2385</v>
      </c>
      <c r="F7" s="2145"/>
      <c r="G7" s="2145"/>
      <c r="H7" s="2145"/>
      <c r="V7" s="1192">
        <v>53</v>
      </c>
    </row>
    <row r="8" spans="1:23" s="1192" customFormat="1" ht="14.4" x14ac:dyDescent="0.3">
      <c r="A8" s="1192" t="s">
        <v>5684</v>
      </c>
      <c r="B8" s="1192" t="s">
        <v>5934</v>
      </c>
      <c r="E8" s="2147" t="s">
        <v>5938</v>
      </c>
      <c r="F8" s="2148"/>
      <c r="G8" s="2148"/>
      <c r="H8" s="2148"/>
      <c r="K8" s="1192" t="s">
        <v>5938</v>
      </c>
      <c r="V8" s="1192">
        <v>12</v>
      </c>
    </row>
    <row r="9" spans="1:23" s="1192" customFormat="1" ht="14.4" x14ac:dyDescent="0.3">
      <c r="A9" s="1192" t="s">
        <v>5684</v>
      </c>
      <c r="B9" s="1192" t="s">
        <v>5934</v>
      </c>
      <c r="E9" s="2149" t="s">
        <v>427</v>
      </c>
      <c r="F9" s="1751"/>
      <c r="G9" s="1751"/>
      <c r="H9" s="1751"/>
      <c r="K9" s="1192" t="s">
        <v>2506</v>
      </c>
      <c r="V9" s="1192">
        <v>34</v>
      </c>
    </row>
    <row r="10" spans="1:23" s="1192" customFormat="1" ht="14.4" x14ac:dyDescent="0.3">
      <c r="A10" s="1192" t="s">
        <v>5684</v>
      </c>
      <c r="B10" s="1192" t="s">
        <v>5934</v>
      </c>
      <c r="E10" s="1751" t="s">
        <v>3577</v>
      </c>
      <c r="F10" s="1751"/>
      <c r="G10" s="1751"/>
      <c r="H10" s="1751"/>
      <c r="K10" s="1192" t="s">
        <v>2506</v>
      </c>
      <c r="V10" s="1192">
        <v>411</v>
      </c>
    </row>
    <row r="11" spans="1:23" s="1192" customFormat="1" ht="14.4" x14ac:dyDescent="0.3">
      <c r="A11" s="1192" t="s">
        <v>5684</v>
      </c>
      <c r="B11" s="1192" t="s">
        <v>5934</v>
      </c>
      <c r="E11" s="2152" t="s">
        <v>2389</v>
      </c>
      <c r="F11" s="1751"/>
      <c r="G11" s="1751"/>
      <c r="H11" s="1751"/>
      <c r="K11" s="1192" t="s">
        <v>2390</v>
      </c>
      <c r="V11" s="1192">
        <v>11</v>
      </c>
    </row>
    <row r="12" spans="1:23" s="1192" customFormat="1" ht="14.4" x14ac:dyDescent="0.3">
      <c r="A12" s="1192" t="s">
        <v>5684</v>
      </c>
      <c r="B12" s="1192" t="s">
        <v>5934</v>
      </c>
      <c r="E12" s="1751" t="s">
        <v>2391</v>
      </c>
      <c r="F12" s="1751"/>
      <c r="G12" s="1751"/>
      <c r="H12" s="1751"/>
      <c r="K12" s="1192" t="s">
        <v>2506</v>
      </c>
      <c r="V12" s="1192">
        <v>280</v>
      </c>
    </row>
    <row r="13" spans="1:23" s="1192" customFormat="1" ht="14.4" x14ac:dyDescent="0.3">
      <c r="A13" s="1192" t="s">
        <v>5684</v>
      </c>
      <c r="B13" s="1192" t="s">
        <v>5934</v>
      </c>
      <c r="E13" s="1751" t="s">
        <v>2392</v>
      </c>
      <c r="F13" s="1751"/>
      <c r="G13" s="1751"/>
      <c r="H13" s="1751"/>
      <c r="K13" s="1192" t="s">
        <v>2506</v>
      </c>
      <c r="V13" s="1192">
        <v>411</v>
      </c>
    </row>
    <row r="14" spans="1:23" s="1192" customFormat="1" ht="14.4" x14ac:dyDescent="0.3">
      <c r="A14" s="1192" t="s">
        <v>5684</v>
      </c>
      <c r="B14" s="1192" t="s">
        <v>5934</v>
      </c>
      <c r="E14" s="1751" t="s">
        <v>2393</v>
      </c>
      <c r="F14" s="1751"/>
      <c r="G14" s="1751"/>
      <c r="H14" s="1751"/>
      <c r="K14" s="1192" t="s">
        <v>2506</v>
      </c>
      <c r="V14" s="1192">
        <v>387</v>
      </c>
    </row>
    <row r="15" spans="1:23" s="1192" customFormat="1" ht="14.4" x14ac:dyDescent="0.3">
      <c r="A15" s="1192" t="s">
        <v>5684</v>
      </c>
      <c r="B15" s="1192" t="s">
        <v>5934</v>
      </c>
      <c r="E15" s="1751" t="s">
        <v>4500</v>
      </c>
      <c r="F15" s="1751"/>
      <c r="G15" s="1751"/>
      <c r="H15" s="1751"/>
      <c r="K15" s="1192" t="s">
        <v>2506</v>
      </c>
      <c r="V15" s="1192">
        <v>247</v>
      </c>
    </row>
    <row r="16" spans="1:23" s="1192" customFormat="1" ht="14.4" x14ac:dyDescent="0.3">
      <c r="A16" s="1192" t="s">
        <v>5684</v>
      </c>
      <c r="B16" s="1192" t="s">
        <v>5934</v>
      </c>
      <c r="E16" s="2152" t="s">
        <v>2394</v>
      </c>
      <c r="F16" s="1751"/>
      <c r="G16" s="1751"/>
      <c r="H16" s="1751"/>
      <c r="K16" s="1192" t="s">
        <v>2395</v>
      </c>
      <c r="V16" s="1192">
        <v>46</v>
      </c>
    </row>
    <row r="17" spans="1:22" s="1192" customFormat="1" ht="14.4" x14ac:dyDescent="0.3">
      <c r="A17" s="1192" t="s">
        <v>5684</v>
      </c>
      <c r="B17" s="1192" t="s">
        <v>5934</v>
      </c>
      <c r="E17" s="2154" t="s">
        <v>7</v>
      </c>
      <c r="F17" s="2154"/>
      <c r="G17" s="1220" t="s">
        <v>19</v>
      </c>
      <c r="H17" s="1218">
        <v>32.020000000000003</v>
      </c>
      <c r="K17" s="1192" t="s">
        <v>2506</v>
      </c>
      <c r="L17" s="1192" t="s">
        <v>430</v>
      </c>
      <c r="P17" s="1192" t="s">
        <v>2510</v>
      </c>
      <c r="V17" s="1192">
        <v>14</v>
      </c>
    </row>
    <row r="18" spans="1:22" s="1192" customFormat="1" ht="14.4" x14ac:dyDescent="0.3">
      <c r="A18" s="1192" t="s">
        <v>5684</v>
      </c>
      <c r="B18" s="1192" t="s">
        <v>5934</v>
      </c>
      <c r="E18" s="2154" t="s">
        <v>3900</v>
      </c>
      <c r="F18" s="2154"/>
      <c r="G18" s="1220" t="s">
        <v>19</v>
      </c>
      <c r="H18" s="1222">
        <v>0.56999999999999995</v>
      </c>
      <c r="K18" s="1192" t="s">
        <v>2506</v>
      </c>
      <c r="L18" s="1192" t="s">
        <v>431</v>
      </c>
      <c r="P18" s="1192" t="s">
        <v>2511</v>
      </c>
      <c r="T18" s="1192">
        <v>44926</v>
      </c>
      <c r="V18" s="1192">
        <v>64</v>
      </c>
    </row>
    <row r="19" spans="1:22" s="1192" customFormat="1" ht="14.4" x14ac:dyDescent="0.3">
      <c r="A19" s="1192" t="s">
        <v>5684</v>
      </c>
      <c r="B19" s="1192" t="s">
        <v>5934</v>
      </c>
      <c r="E19" s="2154" t="s">
        <v>14</v>
      </c>
      <c r="F19" s="2154"/>
      <c r="G19" s="1220" t="s">
        <v>20</v>
      </c>
      <c r="H19" s="1221">
        <v>1E-3</v>
      </c>
      <c r="K19" s="1192" t="s">
        <v>2506</v>
      </c>
      <c r="L19" s="1192" t="s">
        <v>431</v>
      </c>
      <c r="P19" s="1192" t="s">
        <v>2513</v>
      </c>
      <c r="V19" s="1192">
        <v>24</v>
      </c>
    </row>
    <row r="20" spans="1:22" s="1192" customFormat="1" ht="14.4" x14ac:dyDescent="0.3">
      <c r="A20" s="1192" t="s">
        <v>5684</v>
      </c>
      <c r="B20" s="1192" t="s">
        <v>5934</v>
      </c>
      <c r="E20" s="2154" t="s">
        <v>5939</v>
      </c>
      <c r="F20" s="1998"/>
      <c r="G20" s="1220" t="s">
        <v>20</v>
      </c>
      <c r="H20" s="1221">
        <v>5.0000000000000001E-4</v>
      </c>
      <c r="K20" s="1192" t="s">
        <v>2506</v>
      </c>
      <c r="L20" s="1192" t="s">
        <v>430</v>
      </c>
      <c r="P20" s="1192" t="s">
        <v>2515</v>
      </c>
      <c r="T20" s="1192">
        <v>44196</v>
      </c>
      <c r="V20" s="1192">
        <v>138</v>
      </c>
    </row>
    <row r="21" spans="1:22" s="1192" customFormat="1" ht="14.4" x14ac:dyDescent="0.3">
      <c r="A21" s="1192" t="s">
        <v>5684</v>
      </c>
      <c r="B21" s="1192" t="s">
        <v>5934</v>
      </c>
      <c r="E21" s="2154" t="s">
        <v>213</v>
      </c>
      <c r="F21" s="2154"/>
      <c r="G21" s="1220" t="s">
        <v>20</v>
      </c>
      <c r="H21" s="1219">
        <v>8.0000000000000002E-3</v>
      </c>
      <c r="K21" s="1192" t="s">
        <v>2506</v>
      </c>
      <c r="L21" s="1192" t="s">
        <v>432</v>
      </c>
      <c r="P21" s="1192" t="s">
        <v>2517</v>
      </c>
      <c r="V21" s="1192">
        <v>47</v>
      </c>
    </row>
    <row r="22" spans="1:22" s="1192" customFormat="1" ht="14.4" x14ac:dyDescent="0.3">
      <c r="A22" s="1192" t="s">
        <v>5684</v>
      </c>
      <c r="B22" s="1192" t="s">
        <v>5934</v>
      </c>
      <c r="E22" s="2154" t="s">
        <v>209</v>
      </c>
      <c r="F22" s="2154"/>
      <c r="G22" s="1220" t="s">
        <v>20</v>
      </c>
      <c r="H22" s="1219">
        <v>7.0000000000000001E-3</v>
      </c>
      <c r="K22" s="1192" t="s">
        <v>2506</v>
      </c>
      <c r="L22" s="1192" t="s">
        <v>432</v>
      </c>
      <c r="P22" s="1192" t="s">
        <v>2518</v>
      </c>
      <c r="V22" s="1192">
        <v>74</v>
      </c>
    </row>
    <row r="23" spans="1:22" s="1192" customFormat="1" ht="14.4" x14ac:dyDescent="0.3">
      <c r="A23" s="1192" t="s">
        <v>5684</v>
      </c>
      <c r="B23" s="1192" t="s">
        <v>5934</v>
      </c>
      <c r="E23" s="2152" t="s">
        <v>2405</v>
      </c>
      <c r="F23" s="2154"/>
      <c r="G23" s="1220"/>
      <c r="H23" s="921"/>
      <c r="K23" s="1192" t="s">
        <v>2406</v>
      </c>
      <c r="V23" s="1192">
        <v>48</v>
      </c>
    </row>
    <row r="24" spans="1:22" s="1192" customFormat="1" ht="14.4" x14ac:dyDescent="0.3">
      <c r="A24" s="1192" t="s">
        <v>5684</v>
      </c>
      <c r="B24" s="1192" t="s">
        <v>5934</v>
      </c>
      <c r="E24" s="2154" t="s">
        <v>2033</v>
      </c>
      <c r="F24" s="2154"/>
      <c r="G24" s="1220" t="s">
        <v>20</v>
      </c>
      <c r="H24" s="1221">
        <v>3.0000000000000001E-3</v>
      </c>
      <c r="K24" s="1192" t="s">
        <v>2506</v>
      </c>
      <c r="L24" s="1192" t="s">
        <v>2374</v>
      </c>
      <c r="P24" s="1192" t="s">
        <v>2519</v>
      </c>
      <c r="V24" s="1192">
        <v>55</v>
      </c>
    </row>
    <row r="25" spans="1:22" s="1192" customFormat="1" ht="14.4" x14ac:dyDescent="0.3">
      <c r="A25" s="1192" t="s">
        <v>5684</v>
      </c>
      <c r="B25" s="1192" t="s">
        <v>5934</v>
      </c>
      <c r="E25" s="2196" t="s">
        <v>2034</v>
      </c>
      <c r="F25" s="2196"/>
      <c r="G25" s="1220" t="s">
        <v>20</v>
      </c>
      <c r="H25" s="1221">
        <v>4.0000000000000002E-4</v>
      </c>
      <c r="K25" s="1192" t="s">
        <v>2506</v>
      </c>
      <c r="L25" s="1192" t="s">
        <v>2374</v>
      </c>
      <c r="P25" s="1192" t="s">
        <v>2519</v>
      </c>
      <c r="V25" s="1192">
        <v>65</v>
      </c>
    </row>
    <row r="26" spans="1:22" s="1192" customFormat="1" ht="14.4" x14ac:dyDescent="0.3">
      <c r="A26" s="1192" t="s">
        <v>5684</v>
      </c>
      <c r="B26" s="1192" t="s">
        <v>5934</v>
      </c>
      <c r="E26" s="2154" t="s">
        <v>428</v>
      </c>
      <c r="F26" s="2154"/>
      <c r="G26" s="1220" t="s">
        <v>20</v>
      </c>
      <c r="H26" s="1221">
        <v>5.0000000000000001E-4</v>
      </c>
      <c r="K26" s="1192" t="s">
        <v>2506</v>
      </c>
      <c r="L26" s="1192" t="s">
        <v>2374</v>
      </c>
      <c r="P26" s="1192" t="s">
        <v>2520</v>
      </c>
      <c r="V26" s="1192">
        <v>57</v>
      </c>
    </row>
    <row r="27" spans="1:22" s="1192" customFormat="1" ht="14.4" x14ac:dyDescent="0.3">
      <c r="A27" s="1192" t="s">
        <v>5684</v>
      </c>
      <c r="B27" s="1192" t="s">
        <v>5934</v>
      </c>
      <c r="E27" s="2154" t="s">
        <v>28</v>
      </c>
      <c r="F27" s="2154"/>
      <c r="G27" s="1220" t="s">
        <v>19</v>
      </c>
      <c r="H27" s="1222">
        <v>0.25</v>
      </c>
      <c r="K27" s="1192" t="s">
        <v>2506</v>
      </c>
      <c r="L27" s="1192" t="s">
        <v>2374</v>
      </c>
      <c r="P27" s="1192" t="s">
        <v>2521</v>
      </c>
      <c r="V27" s="1192">
        <v>63</v>
      </c>
    </row>
    <row r="28" spans="1:22" s="1192" customFormat="1" ht="17.399999999999999" x14ac:dyDescent="0.3">
      <c r="A28" s="1192" t="s">
        <v>5684</v>
      </c>
      <c r="B28" s="1192" t="s">
        <v>5934</v>
      </c>
      <c r="E28" s="2149" t="s">
        <v>2522</v>
      </c>
      <c r="F28" s="2197"/>
      <c r="G28" s="2197"/>
      <c r="H28" s="2197"/>
      <c r="K28" s="1192" t="s">
        <v>3901</v>
      </c>
      <c r="V28" s="1192">
        <v>54</v>
      </c>
    </row>
    <row r="29" spans="1:22" s="1192" customFormat="1" ht="14.4" x14ac:dyDescent="0.3">
      <c r="A29" s="1192" t="s">
        <v>5684</v>
      </c>
      <c r="B29" s="1192" t="s">
        <v>5934</v>
      </c>
      <c r="E29" s="1751" t="s">
        <v>3578</v>
      </c>
      <c r="F29" s="1751"/>
      <c r="G29" s="1751"/>
      <c r="H29" s="1751"/>
      <c r="K29" s="1192" t="s">
        <v>3901</v>
      </c>
      <c r="V29" s="1192">
        <v>403</v>
      </c>
    </row>
    <row r="30" spans="1:22" s="1192" customFormat="1" ht="14.4" x14ac:dyDescent="0.3">
      <c r="A30" s="1192" t="s">
        <v>5684</v>
      </c>
      <c r="B30" s="1192" t="s">
        <v>5934</v>
      </c>
      <c r="E30" s="2152" t="s">
        <v>2389</v>
      </c>
      <c r="F30" s="1751"/>
      <c r="G30" s="1751"/>
      <c r="H30" s="1751"/>
      <c r="K30" s="1192" t="s">
        <v>2412</v>
      </c>
      <c r="V30" s="1192">
        <v>11</v>
      </c>
    </row>
    <row r="31" spans="1:22" s="1192" customFormat="1" ht="14.4" x14ac:dyDescent="0.3">
      <c r="A31" s="1192" t="s">
        <v>5684</v>
      </c>
      <c r="B31" s="1192" t="s">
        <v>5934</v>
      </c>
      <c r="E31" s="1751" t="s">
        <v>2391</v>
      </c>
      <c r="F31" s="1751"/>
      <c r="G31" s="1751"/>
      <c r="H31" s="1751"/>
      <c r="K31" s="1192" t="s">
        <v>3901</v>
      </c>
      <c r="V31" s="1192">
        <v>280</v>
      </c>
    </row>
    <row r="32" spans="1:22" s="1192" customFormat="1" ht="14.4" x14ac:dyDescent="0.3">
      <c r="A32" s="1192" t="s">
        <v>5684</v>
      </c>
      <c r="B32" s="1192" t="s">
        <v>5934</v>
      </c>
      <c r="E32" s="1751" t="s">
        <v>2392</v>
      </c>
      <c r="F32" s="1751"/>
      <c r="G32" s="1751"/>
      <c r="H32" s="1751"/>
      <c r="K32" s="1192" t="s">
        <v>3901</v>
      </c>
      <c r="V32" s="1192">
        <v>411</v>
      </c>
    </row>
    <row r="33" spans="1:22" s="1192" customFormat="1" ht="14.4" x14ac:dyDescent="0.3">
      <c r="A33" s="1192" t="s">
        <v>5684</v>
      </c>
      <c r="B33" s="1192" t="s">
        <v>5934</v>
      </c>
      <c r="E33" s="1751" t="s">
        <v>3579</v>
      </c>
      <c r="F33" s="1751"/>
      <c r="G33" s="1751"/>
      <c r="H33" s="1751"/>
      <c r="K33" s="1192" t="s">
        <v>3901</v>
      </c>
      <c r="V33" s="1192">
        <v>388</v>
      </c>
    </row>
    <row r="34" spans="1:22" s="1192" customFormat="1" ht="14.4" x14ac:dyDescent="0.3">
      <c r="A34" s="1192" t="s">
        <v>5684</v>
      </c>
      <c r="B34" s="1192" t="s">
        <v>5934</v>
      </c>
      <c r="E34" s="1751" t="s">
        <v>4500</v>
      </c>
      <c r="F34" s="1751"/>
      <c r="G34" s="1751"/>
      <c r="H34" s="1751"/>
      <c r="K34" s="1192" t="s">
        <v>3901</v>
      </c>
      <c r="V34" s="1192">
        <v>247</v>
      </c>
    </row>
    <row r="35" spans="1:22" s="1192" customFormat="1" ht="14.4" x14ac:dyDescent="0.3">
      <c r="A35" s="1192" t="s">
        <v>5684</v>
      </c>
      <c r="B35" s="1192" t="s">
        <v>5934</v>
      </c>
      <c r="E35" s="2152" t="s">
        <v>2394</v>
      </c>
      <c r="F35" s="1751"/>
      <c r="G35" s="1751"/>
      <c r="H35" s="1751"/>
      <c r="K35" s="1192" t="s">
        <v>2413</v>
      </c>
      <c r="V35" s="1192">
        <v>46</v>
      </c>
    </row>
    <row r="36" spans="1:22" s="1192" customFormat="1" ht="14.4" x14ac:dyDescent="0.3">
      <c r="A36" s="1192" t="s">
        <v>5684</v>
      </c>
      <c r="B36" s="1192" t="s">
        <v>5934</v>
      </c>
      <c r="E36" s="2154" t="s">
        <v>7</v>
      </c>
      <c r="F36" s="2154"/>
      <c r="G36" s="1220" t="s">
        <v>19</v>
      </c>
      <c r="H36" s="1218">
        <v>26.91</v>
      </c>
      <c r="K36" s="1192" t="s">
        <v>3901</v>
      </c>
      <c r="L36" s="1192" t="s">
        <v>430</v>
      </c>
      <c r="P36" s="1192" t="s">
        <v>3902</v>
      </c>
      <c r="V36" s="1192">
        <v>14</v>
      </c>
    </row>
    <row r="37" spans="1:22" s="1192" customFormat="1" ht="14.4" x14ac:dyDescent="0.3">
      <c r="A37" s="1192" t="s">
        <v>5684</v>
      </c>
      <c r="B37" s="1192" t="s">
        <v>5934</v>
      </c>
      <c r="E37" s="2154" t="s">
        <v>3900</v>
      </c>
      <c r="F37" s="2154"/>
      <c r="G37" s="1220" t="s">
        <v>19</v>
      </c>
      <c r="H37" s="1222">
        <v>0.56999999999999995</v>
      </c>
      <c r="K37" s="1192" t="s">
        <v>3901</v>
      </c>
      <c r="L37" s="1192" t="s">
        <v>431</v>
      </c>
      <c r="P37" s="1192" t="s">
        <v>3903</v>
      </c>
      <c r="T37" s="1192">
        <v>44926</v>
      </c>
      <c r="V37" s="1192">
        <v>64</v>
      </c>
    </row>
    <row r="38" spans="1:22" s="1192" customFormat="1" ht="14.4" x14ac:dyDescent="0.3">
      <c r="A38" s="1192" t="s">
        <v>5684</v>
      </c>
      <c r="B38" s="1192" t="s">
        <v>5934</v>
      </c>
      <c r="E38" s="2154" t="s">
        <v>80</v>
      </c>
      <c r="F38" s="2154"/>
      <c r="G38" s="1220" t="s">
        <v>20</v>
      </c>
      <c r="H38" s="1219">
        <v>0.02</v>
      </c>
      <c r="K38" s="1192" t="s">
        <v>3901</v>
      </c>
      <c r="L38" s="1192" t="s">
        <v>430</v>
      </c>
      <c r="P38" s="1192" t="s">
        <v>3904</v>
      </c>
      <c r="V38" s="1192">
        <v>28</v>
      </c>
    </row>
    <row r="39" spans="1:22" s="1192" customFormat="1" ht="14.4" x14ac:dyDescent="0.3">
      <c r="A39" s="1192" t="s">
        <v>5684</v>
      </c>
      <c r="B39" s="1192" t="s">
        <v>5934</v>
      </c>
      <c r="E39" s="2154" t="s">
        <v>14</v>
      </c>
      <c r="F39" s="2154"/>
      <c r="G39" s="1220" t="s">
        <v>20</v>
      </c>
      <c r="H39" s="1221">
        <v>8.9999999999999998E-4</v>
      </c>
      <c r="K39" s="1192" t="s">
        <v>3901</v>
      </c>
      <c r="L39" s="1192" t="s">
        <v>431</v>
      </c>
      <c r="P39" s="1192" t="s">
        <v>3905</v>
      </c>
      <c r="V39" s="1192">
        <v>24</v>
      </c>
    </row>
    <row r="40" spans="1:22" s="1192" customFormat="1" ht="14.4" x14ac:dyDescent="0.3">
      <c r="A40" s="1192" t="s">
        <v>5684</v>
      </c>
      <c r="B40" s="1192" t="s">
        <v>5934</v>
      </c>
      <c r="E40" s="2154" t="s">
        <v>5939</v>
      </c>
      <c r="F40" s="1998"/>
      <c r="G40" s="1220" t="s">
        <v>20</v>
      </c>
      <c r="H40" s="1221">
        <v>5.0000000000000001E-4</v>
      </c>
      <c r="K40" s="1192" t="s">
        <v>3901</v>
      </c>
      <c r="L40" s="1192" t="s">
        <v>430</v>
      </c>
      <c r="P40" s="1192" t="s">
        <v>4000</v>
      </c>
      <c r="T40" s="1192">
        <v>44196</v>
      </c>
      <c r="V40" s="1192">
        <v>138</v>
      </c>
    </row>
    <row r="41" spans="1:22" s="1192" customFormat="1" ht="14.4" x14ac:dyDescent="0.3">
      <c r="A41" s="1192" t="s">
        <v>5684</v>
      </c>
      <c r="B41" s="1192" t="s">
        <v>5934</v>
      </c>
      <c r="E41" s="2154" t="s">
        <v>213</v>
      </c>
      <c r="F41" s="2154"/>
      <c r="G41" s="1220" t="s">
        <v>20</v>
      </c>
      <c r="H41" s="1219">
        <v>7.3000000000000001E-3</v>
      </c>
      <c r="K41" s="1192" t="s">
        <v>3901</v>
      </c>
      <c r="L41" s="1192" t="s">
        <v>432</v>
      </c>
      <c r="P41" s="1192" t="s">
        <v>3906</v>
      </c>
      <c r="V41" s="1192">
        <v>47</v>
      </c>
    </row>
    <row r="42" spans="1:22" s="1192" customFormat="1" ht="14.4" x14ac:dyDescent="0.3">
      <c r="A42" s="1192" t="s">
        <v>5684</v>
      </c>
      <c r="B42" s="1192" t="s">
        <v>5934</v>
      </c>
      <c r="E42" s="2154" t="s">
        <v>209</v>
      </c>
      <c r="F42" s="2154"/>
      <c r="G42" s="1220" t="s">
        <v>20</v>
      </c>
      <c r="H42" s="1219">
        <v>6.4999999999999997E-3</v>
      </c>
      <c r="K42" s="1192" t="s">
        <v>3901</v>
      </c>
      <c r="L42" s="1192" t="s">
        <v>432</v>
      </c>
      <c r="P42" s="1192" t="s">
        <v>3907</v>
      </c>
      <c r="V42" s="1192">
        <v>74</v>
      </c>
    </row>
    <row r="43" spans="1:22" s="1192" customFormat="1" ht="14.4" x14ac:dyDescent="0.3">
      <c r="A43" s="1192" t="s">
        <v>5684</v>
      </c>
      <c r="B43" s="1192" t="s">
        <v>5934</v>
      </c>
      <c r="E43" s="2152" t="s">
        <v>2405</v>
      </c>
      <c r="F43" s="2154"/>
      <c r="G43" s="1220"/>
      <c r="H43" s="921"/>
      <c r="K43" s="1192" t="s">
        <v>2418</v>
      </c>
      <c r="V43" s="1192">
        <v>48</v>
      </c>
    </row>
    <row r="44" spans="1:22" s="1192" customFormat="1" ht="14.4" x14ac:dyDescent="0.3">
      <c r="A44" s="1192" t="s">
        <v>5684</v>
      </c>
      <c r="B44" s="1192" t="s">
        <v>5934</v>
      </c>
      <c r="E44" s="2154" t="s">
        <v>2033</v>
      </c>
      <c r="F44" s="2154"/>
      <c r="G44" s="1220" t="s">
        <v>20</v>
      </c>
      <c r="H44" s="1221">
        <v>3.0000000000000001E-3</v>
      </c>
      <c r="K44" s="1192" t="s">
        <v>3901</v>
      </c>
      <c r="L44" s="1192" t="s">
        <v>2374</v>
      </c>
      <c r="P44" s="1192" t="s">
        <v>3908</v>
      </c>
      <c r="V44" s="1192">
        <v>55</v>
      </c>
    </row>
    <row r="45" spans="1:22" s="1192" customFormat="1" ht="14.4" x14ac:dyDescent="0.3">
      <c r="A45" s="1192" t="s">
        <v>5684</v>
      </c>
      <c r="B45" s="1192" t="s">
        <v>5934</v>
      </c>
      <c r="E45" s="2196" t="s">
        <v>2034</v>
      </c>
      <c r="F45" s="2196"/>
      <c r="G45" s="1220" t="s">
        <v>20</v>
      </c>
      <c r="H45" s="1221">
        <v>4.0000000000000002E-4</v>
      </c>
      <c r="K45" s="1192" t="s">
        <v>3901</v>
      </c>
      <c r="L45" s="1192" t="s">
        <v>2374</v>
      </c>
      <c r="P45" s="1192" t="s">
        <v>3908</v>
      </c>
      <c r="V45" s="1192">
        <v>65</v>
      </c>
    </row>
    <row r="46" spans="1:22" s="1192" customFormat="1" ht="14.4" x14ac:dyDescent="0.3">
      <c r="A46" s="1192" t="s">
        <v>5684</v>
      </c>
      <c r="B46" s="1192" t="s">
        <v>5934</v>
      </c>
      <c r="E46" s="2154" t="s">
        <v>428</v>
      </c>
      <c r="F46" s="2154"/>
      <c r="G46" s="1220" t="s">
        <v>20</v>
      </c>
      <c r="H46" s="1221">
        <v>5.0000000000000001E-4</v>
      </c>
      <c r="K46" s="1192" t="s">
        <v>3901</v>
      </c>
      <c r="L46" s="1192" t="s">
        <v>2374</v>
      </c>
      <c r="P46" s="1192" t="s">
        <v>3909</v>
      </c>
      <c r="V46" s="1192">
        <v>57</v>
      </c>
    </row>
    <row r="47" spans="1:22" s="1192" customFormat="1" ht="14.4" x14ac:dyDescent="0.3">
      <c r="A47" s="1192" t="s">
        <v>5684</v>
      </c>
      <c r="B47" s="1192" t="s">
        <v>5934</v>
      </c>
      <c r="E47" s="2154" t="s">
        <v>28</v>
      </c>
      <c r="F47" s="2154"/>
      <c r="G47" s="1220" t="s">
        <v>19</v>
      </c>
      <c r="H47" s="1222">
        <v>0.25</v>
      </c>
      <c r="K47" s="1192" t="s">
        <v>3901</v>
      </c>
      <c r="L47" s="1192" t="s">
        <v>2374</v>
      </c>
      <c r="P47" s="1192" t="s">
        <v>3910</v>
      </c>
      <c r="V47" s="1192">
        <v>63</v>
      </c>
    </row>
    <row r="48" spans="1:22" s="1192" customFormat="1" ht="17.399999999999999" x14ac:dyDescent="0.3">
      <c r="A48" s="1192" t="s">
        <v>5684</v>
      </c>
      <c r="B48" s="1192" t="s">
        <v>5934</v>
      </c>
      <c r="E48" s="2149" t="s">
        <v>591</v>
      </c>
      <c r="F48" s="2197"/>
      <c r="G48" s="2197"/>
      <c r="H48" s="2197"/>
      <c r="K48" s="1192" t="s">
        <v>4388</v>
      </c>
      <c r="V48" s="1192">
        <v>53</v>
      </c>
    </row>
    <row r="49" spans="1:22" s="1192" customFormat="1" ht="14.4" x14ac:dyDescent="0.3">
      <c r="A49" s="1192" t="s">
        <v>5684</v>
      </c>
      <c r="B49" s="1192" t="s">
        <v>5934</v>
      </c>
      <c r="E49" s="1751" t="s">
        <v>3580</v>
      </c>
      <c r="F49" s="1751"/>
      <c r="G49" s="1751"/>
      <c r="H49" s="1751"/>
      <c r="K49" s="1192" t="s">
        <v>4388</v>
      </c>
      <c r="V49" s="1192">
        <v>479</v>
      </c>
    </row>
    <row r="50" spans="1:22" s="1192" customFormat="1" ht="14.4" x14ac:dyDescent="0.3">
      <c r="A50" s="1192" t="s">
        <v>5684</v>
      </c>
      <c r="B50" s="1192" t="s">
        <v>5934</v>
      </c>
      <c r="E50" s="2152" t="s">
        <v>2389</v>
      </c>
      <c r="F50" s="1751"/>
      <c r="G50" s="1751"/>
      <c r="H50" s="1751"/>
      <c r="K50" s="1192" t="s">
        <v>2422</v>
      </c>
      <c r="V50" s="1192">
        <v>11</v>
      </c>
    </row>
    <row r="51" spans="1:22" s="1192" customFormat="1" ht="14.4" x14ac:dyDescent="0.3">
      <c r="A51" s="1192" t="s">
        <v>5684</v>
      </c>
      <c r="B51" s="1192" t="s">
        <v>5934</v>
      </c>
      <c r="E51" s="1751" t="s">
        <v>2391</v>
      </c>
      <c r="F51" s="1751"/>
      <c r="G51" s="1751"/>
      <c r="H51" s="1751"/>
      <c r="K51" s="1192" t="s">
        <v>4388</v>
      </c>
      <c r="V51" s="1192">
        <v>280</v>
      </c>
    </row>
    <row r="52" spans="1:22" s="1192" customFormat="1" ht="14.4" x14ac:dyDescent="0.3">
      <c r="A52" s="1192" t="s">
        <v>5684</v>
      </c>
      <c r="B52" s="1192" t="s">
        <v>5934</v>
      </c>
      <c r="E52" s="1751" t="s">
        <v>2392</v>
      </c>
      <c r="F52" s="1751"/>
      <c r="G52" s="1751"/>
      <c r="H52" s="1751"/>
      <c r="K52" s="1192" t="s">
        <v>4388</v>
      </c>
      <c r="V52" s="1192">
        <v>411</v>
      </c>
    </row>
    <row r="53" spans="1:22" s="1192" customFormat="1" ht="14.4" x14ac:dyDescent="0.3">
      <c r="A53" s="1192" t="s">
        <v>5684</v>
      </c>
      <c r="B53" s="1192" t="s">
        <v>5934</v>
      </c>
      <c r="E53" s="1751" t="s">
        <v>3394</v>
      </c>
      <c r="F53" s="1751"/>
      <c r="G53" s="1751"/>
      <c r="H53" s="1751"/>
      <c r="K53" s="1192" t="s">
        <v>4388</v>
      </c>
      <c r="V53" s="1192">
        <v>388</v>
      </c>
    </row>
    <row r="54" spans="1:22" s="1192" customFormat="1" ht="14.4" x14ac:dyDescent="0.3">
      <c r="A54" s="1192" t="s">
        <v>5684</v>
      </c>
      <c r="B54" s="1192" t="s">
        <v>5934</v>
      </c>
      <c r="E54" s="1743" t="s">
        <v>4503</v>
      </c>
      <c r="F54" s="1743"/>
      <c r="G54" s="1743"/>
      <c r="H54" s="1743"/>
      <c r="K54" s="1192" t="s">
        <v>4388</v>
      </c>
      <c r="V54" s="1192">
        <v>677</v>
      </c>
    </row>
    <row r="55" spans="1:22" s="1192" customFormat="1" ht="14.4" x14ac:dyDescent="0.3">
      <c r="A55" s="1192" t="s">
        <v>5684</v>
      </c>
      <c r="B55" s="1192" t="s">
        <v>5934</v>
      </c>
      <c r="E55" s="1743" t="s">
        <v>4644</v>
      </c>
      <c r="F55" s="1743"/>
      <c r="G55" s="1743"/>
      <c r="H55" s="1743"/>
      <c r="K55" s="1192" t="s">
        <v>4388</v>
      </c>
      <c r="V55" s="1192">
        <v>693</v>
      </c>
    </row>
    <row r="56" spans="1:22" s="1192" customFormat="1" ht="14.4" x14ac:dyDescent="0.3">
      <c r="A56" s="1192" t="s">
        <v>5684</v>
      </c>
      <c r="B56" s="1192" t="s">
        <v>5934</v>
      </c>
      <c r="E56" s="1751" t="s">
        <v>4500</v>
      </c>
      <c r="F56" s="1751"/>
      <c r="G56" s="1751"/>
      <c r="H56" s="1751"/>
      <c r="K56" s="1192" t="s">
        <v>4388</v>
      </c>
      <c r="V56" s="1192">
        <v>247</v>
      </c>
    </row>
    <row r="57" spans="1:22" s="1192" customFormat="1" ht="14.4" x14ac:dyDescent="0.3">
      <c r="A57" s="1192" t="s">
        <v>5684</v>
      </c>
      <c r="B57" s="1192" t="s">
        <v>5934</v>
      </c>
      <c r="E57" s="2152" t="s">
        <v>2394</v>
      </c>
      <c r="F57" s="1751"/>
      <c r="G57" s="1751"/>
      <c r="H57" s="1751"/>
      <c r="K57" s="1192" t="s">
        <v>2423</v>
      </c>
      <c r="V57" s="1192">
        <v>46</v>
      </c>
    </row>
    <row r="58" spans="1:22" s="1192" customFormat="1" ht="14.4" x14ac:dyDescent="0.3">
      <c r="A58" s="1192" t="s">
        <v>5684</v>
      </c>
      <c r="B58" s="1192" t="s">
        <v>5934</v>
      </c>
      <c r="E58" s="2154" t="s">
        <v>7</v>
      </c>
      <c r="F58" s="2154"/>
      <c r="G58" s="1220" t="s">
        <v>19</v>
      </c>
      <c r="H58" s="1218">
        <v>204.98</v>
      </c>
      <c r="K58" s="1192" t="s">
        <v>4388</v>
      </c>
      <c r="L58" s="1192" t="s">
        <v>430</v>
      </c>
      <c r="P58" s="1192" t="s">
        <v>4389</v>
      </c>
      <c r="V58" s="1192">
        <v>14</v>
      </c>
    </row>
    <row r="59" spans="1:22" s="1192" customFormat="1" ht="14.4" x14ac:dyDescent="0.3">
      <c r="A59" s="1192" t="s">
        <v>5684</v>
      </c>
      <c r="B59" s="1192" t="s">
        <v>5934</v>
      </c>
      <c r="E59" s="2154" t="s">
        <v>80</v>
      </c>
      <c r="F59" s="2154"/>
      <c r="G59" s="1220" t="s">
        <v>29</v>
      </c>
      <c r="H59" s="1219">
        <v>4.0938999999999997</v>
      </c>
      <c r="K59" s="1192" t="s">
        <v>4388</v>
      </c>
      <c r="L59" s="1192" t="s">
        <v>430</v>
      </c>
      <c r="P59" s="1192" t="s">
        <v>4390</v>
      </c>
      <c r="V59" s="1192">
        <v>28</v>
      </c>
    </row>
    <row r="60" spans="1:22" s="1192" customFormat="1" ht="14.4" x14ac:dyDescent="0.3">
      <c r="A60" s="1192" t="s">
        <v>5684</v>
      </c>
      <c r="B60" s="1192" t="s">
        <v>5934</v>
      </c>
      <c r="E60" s="2154" t="s">
        <v>14</v>
      </c>
      <c r="F60" s="2154"/>
      <c r="G60" s="1220" t="s">
        <v>29</v>
      </c>
      <c r="H60" s="1221">
        <v>0.31809999999999999</v>
      </c>
      <c r="K60" s="1192" t="s">
        <v>4388</v>
      </c>
      <c r="L60" s="1192" t="s">
        <v>431</v>
      </c>
      <c r="P60" s="1192" t="s">
        <v>4391</v>
      </c>
      <c r="V60" s="1192">
        <v>24</v>
      </c>
    </row>
    <row r="61" spans="1:22" s="1192" customFormat="1" ht="14.4" x14ac:dyDescent="0.3">
      <c r="A61" s="1192" t="s">
        <v>5684</v>
      </c>
      <c r="B61" s="1192" t="s">
        <v>5934</v>
      </c>
      <c r="E61" s="2154" t="s">
        <v>5939</v>
      </c>
      <c r="F61" s="1998"/>
      <c r="G61" s="1220" t="s">
        <v>29</v>
      </c>
      <c r="H61" s="1221">
        <v>0.1593</v>
      </c>
      <c r="K61" s="1192" t="s">
        <v>4388</v>
      </c>
      <c r="L61" s="1192" t="s">
        <v>430</v>
      </c>
      <c r="P61" s="1192" t="s">
        <v>4400</v>
      </c>
      <c r="T61" s="1192">
        <v>44196</v>
      </c>
      <c r="V61" s="1192">
        <v>138</v>
      </c>
    </row>
    <row r="62" spans="1:22" s="1192" customFormat="1" ht="14.4" x14ac:dyDescent="0.3">
      <c r="A62" s="1192" t="s">
        <v>5684</v>
      </c>
      <c r="B62" s="1192" t="s">
        <v>5934</v>
      </c>
      <c r="E62" s="2154" t="s">
        <v>213</v>
      </c>
      <c r="F62" s="2154"/>
      <c r="G62" s="1220" t="s">
        <v>29</v>
      </c>
      <c r="H62" s="1219">
        <v>2.8961999999999999</v>
      </c>
      <c r="K62" s="1192" t="s">
        <v>4388</v>
      </c>
      <c r="L62" s="1192" t="s">
        <v>432</v>
      </c>
      <c r="P62" s="1192" t="s">
        <v>4392</v>
      </c>
      <c r="V62" s="1192">
        <v>47</v>
      </c>
    </row>
    <row r="63" spans="1:22" s="1192" customFormat="1" ht="14.4" x14ac:dyDescent="0.3">
      <c r="A63" s="1192" t="s">
        <v>5684</v>
      </c>
      <c r="B63" s="1192" t="s">
        <v>5934</v>
      </c>
      <c r="E63" s="2154" t="s">
        <v>209</v>
      </c>
      <c r="F63" s="2154"/>
      <c r="G63" s="1220" t="s">
        <v>29</v>
      </c>
      <c r="H63" s="1219">
        <v>2.4775999999999998</v>
      </c>
      <c r="K63" s="1192" t="s">
        <v>4388</v>
      </c>
      <c r="L63" s="1192" t="s">
        <v>432</v>
      </c>
      <c r="P63" s="1192" t="s">
        <v>4393</v>
      </c>
      <c r="V63" s="1192">
        <v>74</v>
      </c>
    </row>
    <row r="64" spans="1:22" s="1192" customFormat="1" ht="14.4" x14ac:dyDescent="0.3">
      <c r="A64" s="1192" t="s">
        <v>5684</v>
      </c>
      <c r="B64" s="1192" t="s">
        <v>5934</v>
      </c>
      <c r="E64" s="2152" t="s">
        <v>2405</v>
      </c>
      <c r="F64" s="2154"/>
      <c r="G64" s="1220"/>
      <c r="H64" s="921"/>
      <c r="K64" s="1192" t="s">
        <v>2526</v>
      </c>
      <c r="V64" s="1192">
        <v>48</v>
      </c>
    </row>
    <row r="65" spans="1:22" s="1192" customFormat="1" ht="14.4" x14ac:dyDescent="0.3">
      <c r="A65" s="1192" t="s">
        <v>5684</v>
      </c>
      <c r="B65" s="1192" t="s">
        <v>5934</v>
      </c>
      <c r="E65" s="2154" t="s">
        <v>2033</v>
      </c>
      <c r="F65" s="2154"/>
      <c r="G65" s="1220" t="s">
        <v>20</v>
      </c>
      <c r="H65" s="1221">
        <v>3.0000000000000001E-3</v>
      </c>
      <c r="K65" s="1192" t="s">
        <v>4388</v>
      </c>
      <c r="L65" s="1192" t="s">
        <v>2374</v>
      </c>
      <c r="P65" s="1192" t="s">
        <v>4394</v>
      </c>
      <c r="V65" s="1192">
        <v>55</v>
      </c>
    </row>
    <row r="66" spans="1:22" s="1192" customFormat="1" ht="14.4" x14ac:dyDescent="0.3">
      <c r="A66" s="1192" t="s">
        <v>5684</v>
      </c>
      <c r="B66" s="1192" t="s">
        <v>5934</v>
      </c>
      <c r="E66" s="2196" t="s">
        <v>2034</v>
      </c>
      <c r="F66" s="2196"/>
      <c r="G66" s="1220" t="s">
        <v>20</v>
      </c>
      <c r="H66" s="1221">
        <v>4.0000000000000002E-4</v>
      </c>
      <c r="K66" s="1192" t="s">
        <v>4388</v>
      </c>
      <c r="L66" s="1192" t="s">
        <v>2374</v>
      </c>
      <c r="P66" s="1192" t="s">
        <v>4394</v>
      </c>
      <c r="V66" s="1192">
        <v>65</v>
      </c>
    </row>
    <row r="67" spans="1:22" s="1192" customFormat="1" ht="14.4" x14ac:dyDescent="0.3">
      <c r="A67" s="1192" t="s">
        <v>5684</v>
      </c>
      <c r="B67" s="1192" t="s">
        <v>5934</v>
      </c>
      <c r="E67" s="2154" t="s">
        <v>428</v>
      </c>
      <c r="F67" s="2154"/>
      <c r="G67" s="1220" t="s">
        <v>20</v>
      </c>
      <c r="H67" s="1221">
        <v>5.0000000000000001E-4</v>
      </c>
      <c r="K67" s="1192" t="s">
        <v>4388</v>
      </c>
      <c r="L67" s="1192" t="s">
        <v>2374</v>
      </c>
      <c r="P67" s="1192" t="s">
        <v>4395</v>
      </c>
      <c r="V67" s="1192">
        <v>57</v>
      </c>
    </row>
    <row r="68" spans="1:22" s="1192" customFormat="1" ht="14.4" x14ac:dyDescent="0.3">
      <c r="A68" s="1192" t="s">
        <v>5684</v>
      </c>
      <c r="B68" s="1192" t="s">
        <v>5934</v>
      </c>
      <c r="E68" s="2154" t="s">
        <v>28</v>
      </c>
      <c r="F68" s="2154"/>
      <c r="G68" s="1220" t="s">
        <v>19</v>
      </c>
      <c r="H68" s="1222">
        <v>0.25</v>
      </c>
      <c r="K68" s="1192" t="s">
        <v>4388</v>
      </c>
      <c r="L68" s="1192" t="s">
        <v>2374</v>
      </c>
      <c r="P68" s="1192" t="s">
        <v>4396</v>
      </c>
      <c r="V68" s="1192">
        <v>63</v>
      </c>
    </row>
    <row r="69" spans="1:22" s="1192" customFormat="1" ht="17.399999999999999" x14ac:dyDescent="0.3">
      <c r="A69" s="1192" t="s">
        <v>5684</v>
      </c>
      <c r="B69" s="1192" t="s">
        <v>5934</v>
      </c>
      <c r="E69" s="2149" t="s">
        <v>592</v>
      </c>
      <c r="F69" s="2197"/>
      <c r="G69" s="2197"/>
      <c r="H69" s="2197"/>
      <c r="K69" s="1192" t="s">
        <v>2676</v>
      </c>
      <c r="V69" s="1192">
        <v>47</v>
      </c>
    </row>
    <row r="70" spans="1:22" s="1192" customFormat="1" ht="14.4" x14ac:dyDescent="0.3">
      <c r="A70" s="1192" t="s">
        <v>5684</v>
      </c>
      <c r="B70" s="1192" t="s">
        <v>5934</v>
      </c>
      <c r="E70" s="1751" t="s">
        <v>3581</v>
      </c>
      <c r="F70" s="1751"/>
      <c r="G70" s="1751"/>
      <c r="H70" s="1751"/>
      <c r="K70" s="1192" t="s">
        <v>2676</v>
      </c>
      <c r="V70" s="1192">
        <v>713</v>
      </c>
    </row>
    <row r="71" spans="1:22" s="1192" customFormat="1" ht="14.4" x14ac:dyDescent="0.3">
      <c r="A71" s="1192" t="s">
        <v>5684</v>
      </c>
      <c r="B71" s="1192" t="s">
        <v>5934</v>
      </c>
      <c r="E71" s="2152" t="s">
        <v>2389</v>
      </c>
      <c r="F71" s="1751"/>
      <c r="G71" s="1751"/>
      <c r="H71" s="1751"/>
      <c r="K71" s="1192" t="s">
        <v>2529</v>
      </c>
      <c r="V71" s="1192">
        <v>11</v>
      </c>
    </row>
    <row r="72" spans="1:22" s="1192" customFormat="1" ht="14.4" x14ac:dyDescent="0.3">
      <c r="A72" s="1192" t="s">
        <v>5684</v>
      </c>
      <c r="B72" s="1192" t="s">
        <v>5934</v>
      </c>
      <c r="E72" s="1751" t="s">
        <v>2391</v>
      </c>
      <c r="F72" s="1751"/>
      <c r="G72" s="1751"/>
      <c r="H72" s="1751"/>
      <c r="K72" s="1192" t="s">
        <v>2676</v>
      </c>
      <c r="V72" s="1192">
        <v>280</v>
      </c>
    </row>
    <row r="73" spans="1:22" s="1192" customFormat="1" ht="14.4" x14ac:dyDescent="0.3">
      <c r="A73" s="1192" t="s">
        <v>5684</v>
      </c>
      <c r="B73" s="1192" t="s">
        <v>5934</v>
      </c>
      <c r="E73" s="1751" t="s">
        <v>2392</v>
      </c>
      <c r="F73" s="1751"/>
      <c r="G73" s="1751"/>
      <c r="H73" s="1751"/>
      <c r="K73" s="1192" t="s">
        <v>2676</v>
      </c>
      <c r="V73" s="1192">
        <v>411</v>
      </c>
    </row>
    <row r="74" spans="1:22" s="1192" customFormat="1" ht="14.4" x14ac:dyDescent="0.3">
      <c r="A74" s="1192" t="s">
        <v>5684</v>
      </c>
      <c r="B74" s="1192" t="s">
        <v>5934</v>
      </c>
      <c r="E74" s="1751" t="s">
        <v>3394</v>
      </c>
      <c r="F74" s="1751"/>
      <c r="G74" s="1751"/>
      <c r="H74" s="1751"/>
      <c r="K74" s="1192" t="s">
        <v>2676</v>
      </c>
      <c r="V74" s="1192">
        <v>388</v>
      </c>
    </row>
    <row r="75" spans="1:22" s="1192" customFormat="1" ht="14.4" x14ac:dyDescent="0.3">
      <c r="A75" s="1192" t="s">
        <v>5684</v>
      </c>
      <c r="B75" s="1192" t="s">
        <v>5934</v>
      </c>
      <c r="E75" s="1751" t="s">
        <v>4500</v>
      </c>
      <c r="F75" s="1751"/>
      <c r="G75" s="1751"/>
      <c r="H75" s="1751"/>
      <c r="K75" s="1192" t="s">
        <v>2676</v>
      </c>
      <c r="V75" s="1192">
        <v>247</v>
      </c>
    </row>
    <row r="76" spans="1:22" s="1192" customFormat="1" ht="14.4" x14ac:dyDescent="0.3">
      <c r="A76" s="1192" t="s">
        <v>5684</v>
      </c>
      <c r="B76" s="1192" t="s">
        <v>5934</v>
      </c>
      <c r="E76" s="2152" t="s">
        <v>2394</v>
      </c>
      <c r="F76" s="1751"/>
      <c r="G76" s="1751"/>
      <c r="H76" s="1751"/>
      <c r="K76" s="1192" t="s">
        <v>2531</v>
      </c>
      <c r="V76" s="1192">
        <v>46</v>
      </c>
    </row>
    <row r="77" spans="1:22" s="1192" customFormat="1" ht="14.4" x14ac:dyDescent="0.3">
      <c r="A77" s="1192" t="s">
        <v>5684</v>
      </c>
      <c r="B77" s="1192" t="s">
        <v>5934</v>
      </c>
      <c r="E77" s="2154" t="s">
        <v>8</v>
      </c>
      <c r="F77" s="2154"/>
      <c r="G77" s="1220" t="s">
        <v>19</v>
      </c>
      <c r="H77" s="1218">
        <v>9.9700000000000006</v>
      </c>
      <c r="K77" s="1192" t="s">
        <v>2676</v>
      </c>
      <c r="L77" s="1192" t="s">
        <v>430</v>
      </c>
      <c r="P77" s="1192" t="s">
        <v>2678</v>
      </c>
      <c r="V77" s="1192">
        <v>31</v>
      </c>
    </row>
    <row r="78" spans="1:22" s="1192" customFormat="1" ht="14.4" x14ac:dyDescent="0.3">
      <c r="A78" s="1192" t="s">
        <v>5684</v>
      </c>
      <c r="B78" s="1192" t="s">
        <v>5934</v>
      </c>
      <c r="E78" s="2154" t="s">
        <v>80</v>
      </c>
      <c r="F78" s="2154"/>
      <c r="G78" s="1220" t="s">
        <v>20</v>
      </c>
      <c r="H78" s="1219">
        <v>3.1800000000000002E-2</v>
      </c>
      <c r="K78" s="1192" t="s">
        <v>2676</v>
      </c>
      <c r="L78" s="1192" t="s">
        <v>430</v>
      </c>
      <c r="P78" s="1192" t="s">
        <v>2679</v>
      </c>
      <c r="V78" s="1192">
        <v>28</v>
      </c>
    </row>
    <row r="79" spans="1:22" s="1192" customFormat="1" ht="14.4" x14ac:dyDescent="0.3">
      <c r="A79" s="1192" t="s">
        <v>5684</v>
      </c>
      <c r="B79" s="1192" t="s">
        <v>5934</v>
      </c>
      <c r="E79" s="2154" t="s">
        <v>14</v>
      </c>
      <c r="F79" s="2154"/>
      <c r="G79" s="1220" t="s">
        <v>20</v>
      </c>
      <c r="H79" s="1221">
        <v>8.9999999999999998E-4</v>
      </c>
      <c r="K79" s="1192" t="s">
        <v>2676</v>
      </c>
      <c r="L79" s="1192" t="s">
        <v>431</v>
      </c>
      <c r="P79" s="1192" t="s">
        <v>2809</v>
      </c>
      <c r="V79" s="1192">
        <v>24</v>
      </c>
    </row>
    <row r="80" spans="1:22" s="1192" customFormat="1" ht="14.4" x14ac:dyDescent="0.3">
      <c r="A80" s="1192" t="s">
        <v>5684</v>
      </c>
      <c r="B80" s="1192" t="s">
        <v>5934</v>
      </c>
      <c r="E80" s="2154" t="s">
        <v>213</v>
      </c>
      <c r="F80" s="2154"/>
      <c r="G80" s="1220" t="s">
        <v>20</v>
      </c>
      <c r="H80" s="1219">
        <v>7.3000000000000001E-3</v>
      </c>
      <c r="K80" s="1192" t="s">
        <v>2676</v>
      </c>
      <c r="L80" s="1192" t="s">
        <v>432</v>
      </c>
      <c r="P80" s="1192" t="s">
        <v>2682</v>
      </c>
      <c r="V80" s="1192">
        <v>47</v>
      </c>
    </row>
    <row r="81" spans="1:22" s="1192" customFormat="1" ht="14.4" x14ac:dyDescent="0.3">
      <c r="A81" s="1192" t="s">
        <v>5684</v>
      </c>
      <c r="B81" s="1192" t="s">
        <v>5934</v>
      </c>
      <c r="E81" s="2154" t="s">
        <v>209</v>
      </c>
      <c r="F81" s="2154"/>
      <c r="G81" s="1220" t="s">
        <v>20</v>
      </c>
      <c r="H81" s="1219">
        <v>6.4999999999999997E-3</v>
      </c>
      <c r="K81" s="1192" t="s">
        <v>2676</v>
      </c>
      <c r="L81" s="1192" t="s">
        <v>432</v>
      </c>
      <c r="P81" s="1192" t="s">
        <v>2683</v>
      </c>
      <c r="V81" s="1192">
        <v>74</v>
      </c>
    </row>
    <row r="82" spans="1:22" s="1192" customFormat="1" ht="14.4" x14ac:dyDescent="0.3">
      <c r="A82" s="1192" t="s">
        <v>5684</v>
      </c>
      <c r="B82" s="1192" t="s">
        <v>5934</v>
      </c>
      <c r="E82" s="2152" t="s">
        <v>2405</v>
      </c>
      <c r="F82" s="2154"/>
      <c r="G82" s="1220"/>
      <c r="H82" s="921"/>
      <c r="K82" s="1192" t="s">
        <v>2532</v>
      </c>
      <c r="V82" s="1192">
        <v>48</v>
      </c>
    </row>
    <row r="83" spans="1:22" s="1192" customFormat="1" ht="14.4" x14ac:dyDescent="0.3">
      <c r="A83" s="1192" t="s">
        <v>5684</v>
      </c>
      <c r="B83" s="1192" t="s">
        <v>5934</v>
      </c>
      <c r="E83" s="2154" t="s">
        <v>2033</v>
      </c>
      <c r="F83" s="2154"/>
      <c r="G83" s="1220" t="s">
        <v>20</v>
      </c>
      <c r="H83" s="1221">
        <v>3.0000000000000001E-3</v>
      </c>
      <c r="K83" s="1192" t="s">
        <v>2676</v>
      </c>
      <c r="L83" s="1192" t="s">
        <v>2374</v>
      </c>
      <c r="P83" s="1192" t="s">
        <v>2684</v>
      </c>
      <c r="V83" s="1192">
        <v>55</v>
      </c>
    </row>
    <row r="84" spans="1:22" s="1192" customFormat="1" ht="14.4" x14ac:dyDescent="0.3">
      <c r="A84" s="1192" t="s">
        <v>5684</v>
      </c>
      <c r="B84" s="1192" t="s">
        <v>5934</v>
      </c>
      <c r="E84" s="2196" t="s">
        <v>2034</v>
      </c>
      <c r="F84" s="2196"/>
      <c r="G84" s="1220" t="s">
        <v>20</v>
      </c>
      <c r="H84" s="1221">
        <v>4.0000000000000002E-4</v>
      </c>
      <c r="K84" s="1192" t="s">
        <v>2676</v>
      </c>
      <c r="L84" s="1192" t="s">
        <v>2374</v>
      </c>
      <c r="P84" s="1192" t="s">
        <v>2684</v>
      </c>
      <c r="V84" s="1192">
        <v>65</v>
      </c>
    </row>
    <row r="85" spans="1:22" s="1192" customFormat="1" ht="14.4" x14ac:dyDescent="0.3">
      <c r="A85" s="1192" t="s">
        <v>5684</v>
      </c>
      <c r="B85" s="1192" t="s">
        <v>5934</v>
      </c>
      <c r="E85" s="2154" t="s">
        <v>428</v>
      </c>
      <c r="F85" s="2154"/>
      <c r="G85" s="1220" t="s">
        <v>20</v>
      </c>
      <c r="H85" s="1221">
        <v>5.0000000000000001E-4</v>
      </c>
      <c r="K85" s="1192" t="s">
        <v>2676</v>
      </c>
      <c r="L85" s="1192" t="s">
        <v>2374</v>
      </c>
      <c r="P85" s="1192" t="s">
        <v>2685</v>
      </c>
      <c r="V85" s="1192">
        <v>57</v>
      </c>
    </row>
    <row r="86" spans="1:22" s="1192" customFormat="1" ht="14.4" x14ac:dyDescent="0.3">
      <c r="A86" s="1192" t="s">
        <v>5684</v>
      </c>
      <c r="B86" s="1192" t="s">
        <v>5934</v>
      </c>
      <c r="E86" s="2154" t="s">
        <v>28</v>
      </c>
      <c r="F86" s="2154"/>
      <c r="G86" s="1220" t="s">
        <v>19</v>
      </c>
      <c r="H86" s="1222">
        <v>0.25</v>
      </c>
      <c r="K86" s="1192" t="s">
        <v>2676</v>
      </c>
      <c r="L86" s="1192" t="s">
        <v>2374</v>
      </c>
      <c r="P86" s="1192" t="s">
        <v>2686</v>
      </c>
      <c r="V86" s="1192">
        <v>63</v>
      </c>
    </row>
    <row r="87" spans="1:22" s="1192" customFormat="1" ht="17.399999999999999" x14ac:dyDescent="0.3">
      <c r="A87" s="1192" t="s">
        <v>5684</v>
      </c>
      <c r="B87" s="1192" t="s">
        <v>5934</v>
      </c>
      <c r="E87" s="2149" t="s">
        <v>604</v>
      </c>
      <c r="F87" s="2197"/>
      <c r="G87" s="2197"/>
      <c r="H87" s="2197"/>
      <c r="K87" s="1192" t="s">
        <v>2823</v>
      </c>
      <c r="V87" s="1192">
        <v>40</v>
      </c>
    </row>
    <row r="88" spans="1:22" s="1192" customFormat="1" ht="14.4" x14ac:dyDescent="0.3">
      <c r="A88" s="1192" t="s">
        <v>5684</v>
      </c>
      <c r="B88" s="1192" t="s">
        <v>5934</v>
      </c>
      <c r="E88" s="1751" t="s">
        <v>2556</v>
      </c>
      <c r="F88" s="1751"/>
      <c r="G88" s="1751"/>
      <c r="H88" s="1751"/>
      <c r="K88" s="1192" t="s">
        <v>2823</v>
      </c>
      <c r="V88" s="1192">
        <v>253</v>
      </c>
    </row>
    <row r="89" spans="1:22" s="1192" customFormat="1" ht="14.4" x14ac:dyDescent="0.3">
      <c r="A89" s="1192" t="s">
        <v>5684</v>
      </c>
      <c r="B89" s="1192" t="s">
        <v>5934</v>
      </c>
      <c r="E89" s="2152" t="s">
        <v>2389</v>
      </c>
      <c r="F89" s="1751"/>
      <c r="G89" s="1751"/>
      <c r="H89" s="1751"/>
      <c r="K89" s="1192" t="s">
        <v>2424</v>
      </c>
      <c r="V89" s="1192">
        <v>11</v>
      </c>
    </row>
    <row r="90" spans="1:22" s="1192" customFormat="1" ht="14.4" x14ac:dyDescent="0.3">
      <c r="A90" s="1192" t="s">
        <v>5684</v>
      </c>
      <c r="B90" s="1192" t="s">
        <v>5934</v>
      </c>
      <c r="E90" s="1751" t="s">
        <v>2391</v>
      </c>
      <c r="F90" s="1751"/>
      <c r="G90" s="1751"/>
      <c r="H90" s="1751"/>
      <c r="K90" s="1192" t="s">
        <v>2823</v>
      </c>
      <c r="V90" s="1192">
        <v>280</v>
      </c>
    </row>
    <row r="91" spans="1:22" s="1192" customFormat="1" ht="14.4" x14ac:dyDescent="0.3">
      <c r="A91" s="1192" t="s">
        <v>5684</v>
      </c>
      <c r="B91" s="1192" t="s">
        <v>5934</v>
      </c>
      <c r="E91" s="1751" t="s">
        <v>2392</v>
      </c>
      <c r="F91" s="1751"/>
      <c r="G91" s="1751"/>
      <c r="H91" s="1751"/>
      <c r="K91" s="1192" t="s">
        <v>2823</v>
      </c>
      <c r="V91" s="1192">
        <v>411</v>
      </c>
    </row>
    <row r="92" spans="1:22" s="1192" customFormat="1" ht="14.4" x14ac:dyDescent="0.3">
      <c r="A92" s="1192" t="s">
        <v>5684</v>
      </c>
      <c r="B92" s="1192" t="s">
        <v>5934</v>
      </c>
      <c r="E92" s="1751" t="s">
        <v>3394</v>
      </c>
      <c r="F92" s="1751"/>
      <c r="G92" s="1751"/>
      <c r="H92" s="1751"/>
      <c r="K92" s="1192" t="s">
        <v>2823</v>
      </c>
      <c r="V92" s="1192">
        <v>388</v>
      </c>
    </row>
    <row r="93" spans="1:22" s="1192" customFormat="1" ht="14.4" x14ac:dyDescent="0.3">
      <c r="A93" s="1192" t="s">
        <v>5684</v>
      </c>
      <c r="B93" s="1192" t="s">
        <v>5934</v>
      </c>
      <c r="E93" s="1751" t="s">
        <v>4500</v>
      </c>
      <c r="F93" s="1751"/>
      <c r="G93" s="1751"/>
      <c r="H93" s="1751"/>
      <c r="K93" s="1192" t="s">
        <v>2823</v>
      </c>
      <c r="V93" s="1192">
        <v>247</v>
      </c>
    </row>
    <row r="94" spans="1:22" s="1192" customFormat="1" ht="14.4" x14ac:dyDescent="0.3">
      <c r="A94" s="1192" t="s">
        <v>5684</v>
      </c>
      <c r="B94" s="1192" t="s">
        <v>5934</v>
      </c>
      <c r="E94" s="2152" t="s">
        <v>2394</v>
      </c>
      <c r="F94" s="1751"/>
      <c r="G94" s="1751"/>
      <c r="H94" s="1751"/>
      <c r="K94" s="1192" t="s">
        <v>2425</v>
      </c>
      <c r="V94" s="1192">
        <v>46</v>
      </c>
    </row>
    <row r="95" spans="1:22" s="1192" customFormat="1" ht="14.4" x14ac:dyDescent="0.3">
      <c r="A95" s="1192" t="s">
        <v>5684</v>
      </c>
      <c r="B95" s="1192" t="s">
        <v>5934</v>
      </c>
      <c r="E95" s="2154" t="s">
        <v>424</v>
      </c>
      <c r="F95" s="2154"/>
      <c r="G95" s="1220" t="s">
        <v>19</v>
      </c>
      <c r="H95" s="1218">
        <v>5.86</v>
      </c>
      <c r="K95" s="1192" t="s">
        <v>2823</v>
      </c>
      <c r="L95" s="1192" t="s">
        <v>430</v>
      </c>
      <c r="P95" s="1192" t="s">
        <v>2824</v>
      </c>
      <c r="V95" s="1192">
        <v>26</v>
      </c>
    </row>
    <row r="96" spans="1:22" s="1192" customFormat="1" ht="14.4" x14ac:dyDescent="0.3">
      <c r="A96" s="1192" t="s">
        <v>5684</v>
      </c>
      <c r="B96" s="1192" t="s">
        <v>5934</v>
      </c>
      <c r="E96" s="2154" t="s">
        <v>80</v>
      </c>
      <c r="F96" s="2154"/>
      <c r="G96" s="1220" t="s">
        <v>29</v>
      </c>
      <c r="H96" s="1219">
        <v>15.761200000000001</v>
      </c>
      <c r="K96" s="1192" t="s">
        <v>2823</v>
      </c>
      <c r="L96" s="1192" t="s">
        <v>430</v>
      </c>
      <c r="P96" s="1192" t="s">
        <v>2825</v>
      </c>
      <c r="V96" s="1192">
        <v>28</v>
      </c>
    </row>
    <row r="97" spans="1:22" s="1192" customFormat="1" ht="14.4" x14ac:dyDescent="0.3">
      <c r="A97" s="1192" t="s">
        <v>5684</v>
      </c>
      <c r="B97" s="1192" t="s">
        <v>5934</v>
      </c>
      <c r="E97" s="2154" t="s">
        <v>213</v>
      </c>
      <c r="F97" s="2154"/>
      <c r="G97" s="1220" t="s">
        <v>29</v>
      </c>
      <c r="H97" s="1219">
        <v>2.1953999999999998</v>
      </c>
      <c r="K97" s="1192" t="s">
        <v>2823</v>
      </c>
      <c r="L97" s="1192" t="s">
        <v>432</v>
      </c>
      <c r="P97" s="1192" t="s">
        <v>2827</v>
      </c>
      <c r="V97" s="1192">
        <v>47</v>
      </c>
    </row>
    <row r="98" spans="1:22" s="1192" customFormat="1" ht="14.4" x14ac:dyDescent="0.3">
      <c r="A98" s="1192" t="s">
        <v>5684</v>
      </c>
      <c r="B98" s="1192" t="s">
        <v>5934</v>
      </c>
      <c r="E98" s="2154" t="s">
        <v>209</v>
      </c>
      <c r="F98" s="2154"/>
      <c r="G98" s="1220" t="s">
        <v>29</v>
      </c>
      <c r="H98" s="1219">
        <v>1.9556</v>
      </c>
      <c r="K98" s="1192" t="s">
        <v>2823</v>
      </c>
      <c r="L98" s="1192" t="s">
        <v>432</v>
      </c>
      <c r="P98" s="1192" t="s">
        <v>2828</v>
      </c>
      <c r="V98" s="1192">
        <v>74</v>
      </c>
    </row>
    <row r="99" spans="1:22" s="1192" customFormat="1" ht="14.4" x14ac:dyDescent="0.3">
      <c r="A99" s="1192" t="s">
        <v>5684</v>
      </c>
      <c r="B99" s="1192" t="s">
        <v>5934</v>
      </c>
      <c r="E99" s="2152" t="s">
        <v>2405</v>
      </c>
      <c r="F99" s="2154"/>
      <c r="G99" s="1220"/>
      <c r="H99" s="921"/>
      <c r="K99" s="1192" t="s">
        <v>2427</v>
      </c>
      <c r="V99" s="1192">
        <v>48</v>
      </c>
    </row>
    <row r="100" spans="1:22" s="1192" customFormat="1" ht="14.4" x14ac:dyDescent="0.3">
      <c r="A100" s="1192" t="s">
        <v>5684</v>
      </c>
      <c r="B100" s="1192" t="s">
        <v>5934</v>
      </c>
      <c r="E100" s="2154" t="s">
        <v>2033</v>
      </c>
      <c r="F100" s="2154"/>
      <c r="G100" s="1220" t="s">
        <v>20</v>
      </c>
      <c r="H100" s="1221">
        <v>3.0000000000000001E-3</v>
      </c>
      <c r="K100" s="1192" t="s">
        <v>2823</v>
      </c>
      <c r="L100" s="1192" t="s">
        <v>2374</v>
      </c>
      <c r="P100" s="1192" t="s">
        <v>2829</v>
      </c>
      <c r="V100" s="1192">
        <v>55</v>
      </c>
    </row>
    <row r="101" spans="1:22" s="1192" customFormat="1" ht="14.4" x14ac:dyDescent="0.3">
      <c r="A101" s="1192" t="s">
        <v>5684</v>
      </c>
      <c r="B101" s="1192" t="s">
        <v>5934</v>
      </c>
      <c r="E101" s="2196" t="s">
        <v>2034</v>
      </c>
      <c r="F101" s="2196"/>
      <c r="G101" s="1220" t="s">
        <v>20</v>
      </c>
      <c r="H101" s="1221">
        <v>4.0000000000000002E-4</v>
      </c>
      <c r="K101" s="1192" t="s">
        <v>2823</v>
      </c>
      <c r="L101" s="1192" t="s">
        <v>2374</v>
      </c>
      <c r="P101" s="1192" t="s">
        <v>2829</v>
      </c>
      <c r="V101" s="1192">
        <v>65</v>
      </c>
    </row>
    <row r="102" spans="1:22" s="1192" customFormat="1" ht="14.4" x14ac:dyDescent="0.3">
      <c r="A102" s="1192" t="s">
        <v>5684</v>
      </c>
      <c r="B102" s="1192" t="s">
        <v>5934</v>
      </c>
      <c r="E102" s="2154" t="s">
        <v>428</v>
      </c>
      <c r="F102" s="2154"/>
      <c r="G102" s="1220" t="s">
        <v>20</v>
      </c>
      <c r="H102" s="1221">
        <v>5.0000000000000001E-4</v>
      </c>
      <c r="K102" s="1192" t="s">
        <v>2823</v>
      </c>
      <c r="L102" s="1192" t="s">
        <v>2374</v>
      </c>
      <c r="P102" s="1192" t="s">
        <v>2830</v>
      </c>
      <c r="V102" s="1192">
        <v>57</v>
      </c>
    </row>
    <row r="103" spans="1:22" s="1192" customFormat="1" ht="14.4" x14ac:dyDescent="0.3">
      <c r="A103" s="1192" t="s">
        <v>5684</v>
      </c>
      <c r="B103" s="1192" t="s">
        <v>5934</v>
      </c>
      <c r="E103" s="2154" t="s">
        <v>28</v>
      </c>
      <c r="F103" s="2154"/>
      <c r="G103" s="1220" t="s">
        <v>19</v>
      </c>
      <c r="H103" s="1222">
        <v>0.25</v>
      </c>
      <c r="K103" s="1192" t="s">
        <v>2823</v>
      </c>
      <c r="L103" s="1192" t="s">
        <v>2374</v>
      </c>
      <c r="P103" s="1192" t="s">
        <v>2831</v>
      </c>
      <c r="V103" s="1192">
        <v>63</v>
      </c>
    </row>
    <row r="104" spans="1:22" s="1192" customFormat="1" ht="17.399999999999999" x14ac:dyDescent="0.3">
      <c r="A104" s="1192" t="s">
        <v>5684</v>
      </c>
      <c r="B104" s="1192" t="s">
        <v>5934</v>
      </c>
      <c r="E104" s="2149" t="s">
        <v>590</v>
      </c>
      <c r="F104" s="2197"/>
      <c r="G104" s="2197"/>
      <c r="H104" s="2197"/>
      <c r="K104" s="1192" t="s">
        <v>2428</v>
      </c>
      <c r="V104" s="1192">
        <v>38</v>
      </c>
    </row>
    <row r="105" spans="1:22" s="1192" customFormat="1" ht="14.4" x14ac:dyDescent="0.3">
      <c r="A105" s="1192" t="s">
        <v>5684</v>
      </c>
      <c r="B105" s="1192" t="s">
        <v>5934</v>
      </c>
      <c r="E105" s="1751" t="s">
        <v>3582</v>
      </c>
      <c r="F105" s="1751"/>
      <c r="G105" s="1751"/>
      <c r="H105" s="1751"/>
      <c r="K105" s="1192" t="s">
        <v>2428</v>
      </c>
      <c r="V105" s="1192">
        <v>466</v>
      </c>
    </row>
    <row r="106" spans="1:22" s="1192" customFormat="1" ht="14.4" x14ac:dyDescent="0.3">
      <c r="A106" s="1192" t="s">
        <v>5684</v>
      </c>
      <c r="B106" s="1192" t="s">
        <v>5934</v>
      </c>
      <c r="E106" s="2152" t="s">
        <v>2389</v>
      </c>
      <c r="F106" s="1751"/>
      <c r="G106" s="1751"/>
      <c r="H106" s="1751"/>
      <c r="K106" s="1192" t="s">
        <v>2430</v>
      </c>
      <c r="V106" s="1192">
        <v>11</v>
      </c>
    </row>
    <row r="107" spans="1:22" s="1192" customFormat="1" ht="14.4" x14ac:dyDescent="0.3">
      <c r="A107" s="1192" t="s">
        <v>5684</v>
      </c>
      <c r="B107" s="1192" t="s">
        <v>5934</v>
      </c>
      <c r="E107" s="1751" t="s">
        <v>2391</v>
      </c>
      <c r="F107" s="1751"/>
      <c r="G107" s="1751"/>
      <c r="H107" s="1751"/>
      <c r="K107" s="1192" t="s">
        <v>2428</v>
      </c>
      <c r="V107" s="1192">
        <v>280</v>
      </c>
    </row>
    <row r="108" spans="1:22" s="1192" customFormat="1" ht="14.4" x14ac:dyDescent="0.3">
      <c r="A108" s="1192" t="s">
        <v>5684</v>
      </c>
      <c r="B108" s="1192" t="s">
        <v>5934</v>
      </c>
      <c r="E108" s="1751" t="s">
        <v>2392</v>
      </c>
      <c r="F108" s="1751"/>
      <c r="G108" s="1751"/>
      <c r="H108" s="1751"/>
      <c r="K108" s="1192" t="s">
        <v>2428</v>
      </c>
      <c r="V108" s="1192">
        <v>411</v>
      </c>
    </row>
    <row r="109" spans="1:22" s="1192" customFormat="1" ht="14.4" x14ac:dyDescent="0.3">
      <c r="A109" s="1192" t="s">
        <v>5684</v>
      </c>
      <c r="B109" s="1192" t="s">
        <v>5934</v>
      </c>
      <c r="E109" s="1751" t="s">
        <v>2508</v>
      </c>
      <c r="F109" s="1751"/>
      <c r="G109" s="1751"/>
      <c r="H109" s="1751"/>
      <c r="K109" s="1192" t="s">
        <v>2428</v>
      </c>
      <c r="V109" s="1192">
        <v>386</v>
      </c>
    </row>
    <row r="110" spans="1:22" s="1192" customFormat="1" ht="14.4" x14ac:dyDescent="0.3">
      <c r="A110" s="1192" t="s">
        <v>5684</v>
      </c>
      <c r="B110" s="1192" t="s">
        <v>5934</v>
      </c>
      <c r="E110" s="1751" t="s">
        <v>4500</v>
      </c>
      <c r="F110" s="1751"/>
      <c r="G110" s="1751"/>
      <c r="H110" s="1751"/>
      <c r="K110" s="1192" t="s">
        <v>2428</v>
      </c>
      <c r="V110" s="1192">
        <v>247</v>
      </c>
    </row>
    <row r="111" spans="1:22" s="1192" customFormat="1" ht="14.4" x14ac:dyDescent="0.3">
      <c r="A111" s="1192" t="s">
        <v>5684</v>
      </c>
      <c r="B111" s="1192" t="s">
        <v>5934</v>
      </c>
      <c r="E111" s="2152" t="s">
        <v>2394</v>
      </c>
      <c r="F111" s="1751"/>
      <c r="G111" s="1751"/>
      <c r="H111" s="1751"/>
      <c r="K111" s="1192" t="s">
        <v>2431</v>
      </c>
      <c r="V111" s="1192">
        <v>46</v>
      </c>
    </row>
    <row r="112" spans="1:22" s="1192" customFormat="1" ht="14.4" x14ac:dyDescent="0.3">
      <c r="A112" s="1192" t="s">
        <v>5684</v>
      </c>
      <c r="B112" s="1192" t="s">
        <v>5934</v>
      </c>
      <c r="E112" s="2154" t="s">
        <v>424</v>
      </c>
      <c r="F112" s="2154"/>
      <c r="G112" s="1220" t="s">
        <v>19</v>
      </c>
      <c r="H112" s="1218">
        <v>1.8</v>
      </c>
      <c r="K112" s="1192" t="s">
        <v>2428</v>
      </c>
      <c r="L112" s="1192" t="s">
        <v>430</v>
      </c>
      <c r="P112" s="1192" t="s">
        <v>2432</v>
      </c>
      <c r="V112" s="1192">
        <v>26</v>
      </c>
    </row>
    <row r="113" spans="1:22" s="1192" customFormat="1" ht="14.4" x14ac:dyDescent="0.3">
      <c r="A113" s="1192" t="s">
        <v>5684</v>
      </c>
      <c r="B113" s="1192" t="s">
        <v>5934</v>
      </c>
      <c r="E113" s="2154" t="s">
        <v>80</v>
      </c>
      <c r="F113" s="2154"/>
      <c r="G113" s="1220" t="s">
        <v>29</v>
      </c>
      <c r="H113" s="1219">
        <v>6.8960999999999997</v>
      </c>
      <c r="K113" s="1192" t="s">
        <v>2428</v>
      </c>
      <c r="L113" s="1192" t="s">
        <v>430</v>
      </c>
      <c r="P113" s="1192" t="s">
        <v>2433</v>
      </c>
      <c r="V113" s="1192">
        <v>28</v>
      </c>
    </row>
    <row r="114" spans="1:22" s="1192" customFormat="1" ht="14.4" x14ac:dyDescent="0.3">
      <c r="A114" s="1192" t="s">
        <v>5684</v>
      </c>
      <c r="B114" s="1192" t="s">
        <v>5934</v>
      </c>
      <c r="E114" s="2154" t="s">
        <v>14</v>
      </c>
      <c r="F114" s="2154"/>
      <c r="G114" s="1220" t="s">
        <v>29</v>
      </c>
      <c r="H114" s="1221">
        <v>0.24590000000000001</v>
      </c>
      <c r="K114" s="1192" t="s">
        <v>2428</v>
      </c>
      <c r="L114" s="1192" t="s">
        <v>431</v>
      </c>
      <c r="P114" s="1192" t="s">
        <v>2764</v>
      </c>
      <c r="V114" s="1192">
        <v>24</v>
      </c>
    </row>
    <row r="115" spans="1:22" s="1192" customFormat="1" ht="14.4" x14ac:dyDescent="0.3">
      <c r="A115" s="1192" t="s">
        <v>5684</v>
      </c>
      <c r="B115" s="1192" t="s">
        <v>5934</v>
      </c>
      <c r="E115" s="2154" t="s">
        <v>5939</v>
      </c>
      <c r="F115" s="1998"/>
      <c r="G115" s="1220" t="s">
        <v>29</v>
      </c>
      <c r="H115" s="1221">
        <v>6.1889000000000003</v>
      </c>
      <c r="K115" s="1192" t="s">
        <v>2428</v>
      </c>
      <c r="L115" s="1192" t="s">
        <v>430</v>
      </c>
      <c r="P115" s="1192" t="s">
        <v>3343</v>
      </c>
      <c r="T115" s="1192">
        <v>44196</v>
      </c>
      <c r="V115" s="1192">
        <v>138</v>
      </c>
    </row>
    <row r="116" spans="1:22" s="1192" customFormat="1" ht="14.4" x14ac:dyDescent="0.3">
      <c r="A116" s="1192" t="s">
        <v>5684</v>
      </c>
      <c r="B116" s="1192" t="s">
        <v>5934</v>
      </c>
      <c r="E116" s="2154" t="s">
        <v>213</v>
      </c>
      <c r="F116" s="2154"/>
      <c r="G116" s="1220" t="s">
        <v>29</v>
      </c>
      <c r="H116" s="1219">
        <v>2.1842999999999999</v>
      </c>
      <c r="K116" s="1192" t="s">
        <v>2428</v>
      </c>
      <c r="L116" s="1192" t="s">
        <v>432</v>
      </c>
      <c r="P116" s="1192" t="s">
        <v>2436</v>
      </c>
      <c r="V116" s="1192">
        <v>47</v>
      </c>
    </row>
    <row r="117" spans="1:22" s="1192" customFormat="1" ht="14.4" x14ac:dyDescent="0.3">
      <c r="A117" s="1192" t="s">
        <v>5684</v>
      </c>
      <c r="B117" s="1192" t="s">
        <v>5934</v>
      </c>
      <c r="E117" s="2154" t="s">
        <v>209</v>
      </c>
      <c r="F117" s="2154"/>
      <c r="G117" s="1220" t="s">
        <v>29</v>
      </c>
      <c r="H117" s="1219">
        <v>1.9154</v>
      </c>
      <c r="K117" s="1192" t="s">
        <v>2428</v>
      </c>
      <c r="L117" s="1192" t="s">
        <v>432</v>
      </c>
      <c r="P117" s="1192" t="s">
        <v>2437</v>
      </c>
      <c r="V117" s="1192">
        <v>74</v>
      </c>
    </row>
    <row r="118" spans="1:22" s="1192" customFormat="1" ht="14.4" x14ac:dyDescent="0.3">
      <c r="A118" s="1192" t="s">
        <v>5684</v>
      </c>
      <c r="B118" s="1192" t="s">
        <v>5934</v>
      </c>
      <c r="E118" s="2152" t="s">
        <v>2405</v>
      </c>
      <c r="F118" s="2154"/>
      <c r="G118" s="1220"/>
      <c r="H118" s="921"/>
      <c r="K118" s="1192" t="s">
        <v>2438</v>
      </c>
      <c r="V118" s="1192">
        <v>48</v>
      </c>
    </row>
    <row r="119" spans="1:22" s="1192" customFormat="1" ht="14.4" x14ac:dyDescent="0.3">
      <c r="A119" s="1192" t="s">
        <v>5684</v>
      </c>
      <c r="B119" s="1192" t="s">
        <v>5934</v>
      </c>
      <c r="E119" s="2154" t="s">
        <v>2033</v>
      </c>
      <c r="F119" s="2154"/>
      <c r="G119" s="1220" t="s">
        <v>20</v>
      </c>
      <c r="H119" s="1221">
        <v>3.0000000000000001E-3</v>
      </c>
      <c r="K119" s="1192" t="s">
        <v>2428</v>
      </c>
      <c r="L119" s="1192" t="s">
        <v>2374</v>
      </c>
      <c r="P119" s="1192" t="s">
        <v>2439</v>
      </c>
      <c r="V119" s="1192">
        <v>55</v>
      </c>
    </row>
    <row r="120" spans="1:22" s="1192" customFormat="1" ht="14.4" x14ac:dyDescent="0.3">
      <c r="A120" s="1192" t="s">
        <v>5684</v>
      </c>
      <c r="B120" s="1192" t="s">
        <v>5934</v>
      </c>
      <c r="E120" s="2196" t="s">
        <v>2034</v>
      </c>
      <c r="F120" s="2196"/>
      <c r="G120" s="1220" t="s">
        <v>20</v>
      </c>
      <c r="H120" s="1221">
        <v>4.0000000000000002E-4</v>
      </c>
      <c r="K120" s="1192" t="s">
        <v>2428</v>
      </c>
      <c r="L120" s="1192" t="s">
        <v>2374</v>
      </c>
      <c r="P120" s="1192" t="s">
        <v>2439</v>
      </c>
      <c r="V120" s="1192">
        <v>65</v>
      </c>
    </row>
    <row r="121" spans="1:22" s="1192" customFormat="1" ht="14.4" x14ac:dyDescent="0.3">
      <c r="A121" s="1192" t="s">
        <v>5684</v>
      </c>
      <c r="B121" s="1192" t="s">
        <v>5934</v>
      </c>
      <c r="E121" s="2154" t="s">
        <v>428</v>
      </c>
      <c r="F121" s="2154"/>
      <c r="G121" s="1220" t="s">
        <v>20</v>
      </c>
      <c r="H121" s="1221">
        <v>5.0000000000000001E-4</v>
      </c>
      <c r="K121" s="1192" t="s">
        <v>2428</v>
      </c>
      <c r="L121" s="1192" t="s">
        <v>2374</v>
      </c>
      <c r="P121" s="1192" t="s">
        <v>2440</v>
      </c>
      <c r="V121" s="1192">
        <v>57</v>
      </c>
    </row>
    <row r="122" spans="1:22" s="1192" customFormat="1" ht="14.4" x14ac:dyDescent="0.3">
      <c r="A122" s="1192" t="s">
        <v>5684</v>
      </c>
      <c r="B122" s="1192" t="s">
        <v>5934</v>
      </c>
      <c r="E122" s="2154" t="s">
        <v>28</v>
      </c>
      <c r="F122" s="2154"/>
      <c r="G122" s="1220" t="s">
        <v>19</v>
      </c>
      <c r="H122" s="1222">
        <v>0.25</v>
      </c>
      <c r="K122" s="1192" t="s">
        <v>2428</v>
      </c>
      <c r="L122" s="1192" t="s">
        <v>2374</v>
      </c>
      <c r="P122" s="1192" t="s">
        <v>2441</v>
      </c>
      <c r="V122" s="1192">
        <v>63</v>
      </c>
    </row>
    <row r="123" spans="1:22" s="1192" customFormat="1" ht="17.399999999999999" x14ac:dyDescent="0.3">
      <c r="A123" s="1192" t="s">
        <v>5684</v>
      </c>
      <c r="B123" s="1192" t="s">
        <v>5934</v>
      </c>
      <c r="E123" s="2149" t="s">
        <v>593</v>
      </c>
      <c r="F123" s="2197"/>
      <c r="G123" s="2197"/>
      <c r="H123" s="2197"/>
      <c r="K123" s="1192" t="s">
        <v>2442</v>
      </c>
      <c r="V123" s="1192">
        <v>31</v>
      </c>
    </row>
    <row r="124" spans="1:22" s="1192" customFormat="1" ht="14.4" x14ac:dyDescent="0.3">
      <c r="A124" s="1192" t="s">
        <v>5684</v>
      </c>
      <c r="B124" s="1192" t="s">
        <v>5934</v>
      </c>
      <c r="E124" s="1751" t="s">
        <v>3583</v>
      </c>
      <c r="F124" s="1751"/>
      <c r="G124" s="1751"/>
      <c r="H124" s="1751"/>
      <c r="K124" s="1192" t="s">
        <v>2442</v>
      </c>
      <c r="V124" s="1192">
        <v>286</v>
      </c>
    </row>
    <row r="125" spans="1:22" s="1192" customFormat="1" ht="14.4" x14ac:dyDescent="0.3">
      <c r="A125" s="1192" t="s">
        <v>5684</v>
      </c>
      <c r="B125" s="1192" t="s">
        <v>5934</v>
      </c>
      <c r="E125" s="2152" t="s">
        <v>2389</v>
      </c>
      <c r="F125" s="1751"/>
      <c r="G125" s="1751"/>
      <c r="H125" s="1751"/>
      <c r="K125" s="1192" t="s">
        <v>2444</v>
      </c>
      <c r="V125" s="1192">
        <v>11</v>
      </c>
    </row>
    <row r="126" spans="1:22" s="1192" customFormat="1" ht="14.4" x14ac:dyDescent="0.3">
      <c r="A126" s="1192" t="s">
        <v>5684</v>
      </c>
      <c r="B126" s="1192" t="s">
        <v>5934</v>
      </c>
      <c r="E126" s="1751" t="s">
        <v>2391</v>
      </c>
      <c r="F126" s="1751"/>
      <c r="G126" s="1751"/>
      <c r="H126" s="1751"/>
      <c r="K126" s="1192" t="s">
        <v>2442</v>
      </c>
      <c r="V126" s="1192">
        <v>280</v>
      </c>
    </row>
    <row r="127" spans="1:22" s="1192" customFormat="1" ht="14.4" x14ac:dyDescent="0.3">
      <c r="A127" s="1192" t="s">
        <v>5684</v>
      </c>
      <c r="B127" s="1192" t="s">
        <v>5934</v>
      </c>
      <c r="E127" s="1751" t="s">
        <v>2392</v>
      </c>
      <c r="F127" s="1751"/>
      <c r="G127" s="1751"/>
      <c r="H127" s="1751"/>
      <c r="K127" s="1192" t="s">
        <v>2442</v>
      </c>
      <c r="V127" s="1192">
        <v>411</v>
      </c>
    </row>
    <row r="128" spans="1:22" s="1192" customFormat="1" ht="14.4" x14ac:dyDescent="0.3">
      <c r="A128" s="1192" t="s">
        <v>5684</v>
      </c>
      <c r="B128" s="1192" t="s">
        <v>5934</v>
      </c>
      <c r="E128" s="1751" t="s">
        <v>2445</v>
      </c>
      <c r="F128" s="1751"/>
      <c r="G128" s="1751"/>
      <c r="H128" s="1751"/>
      <c r="K128" s="1192" t="s">
        <v>2442</v>
      </c>
      <c r="V128" s="1192">
        <v>211</v>
      </c>
    </row>
    <row r="129" spans="1:22" s="1192" customFormat="1" ht="14.4" x14ac:dyDescent="0.3">
      <c r="A129" s="1192" t="s">
        <v>5684</v>
      </c>
      <c r="B129" s="1192" t="s">
        <v>5934</v>
      </c>
      <c r="E129" s="1751" t="s">
        <v>4500</v>
      </c>
      <c r="F129" s="1751"/>
      <c r="G129" s="1751"/>
      <c r="H129" s="1751"/>
      <c r="K129" s="1192" t="s">
        <v>2442</v>
      </c>
      <c r="V129" s="1192">
        <v>247</v>
      </c>
    </row>
    <row r="130" spans="1:22" s="1192" customFormat="1" ht="14.4" x14ac:dyDescent="0.3">
      <c r="A130" s="1192" t="s">
        <v>5684</v>
      </c>
      <c r="B130" s="1192" t="s">
        <v>5934</v>
      </c>
      <c r="E130" s="2152" t="s">
        <v>2394</v>
      </c>
      <c r="F130" s="1751"/>
      <c r="G130" s="1751"/>
      <c r="H130" s="1751"/>
      <c r="K130" s="1192" t="s">
        <v>2446</v>
      </c>
      <c r="V130" s="1192">
        <v>46</v>
      </c>
    </row>
    <row r="131" spans="1:22" s="1192" customFormat="1" ht="14.4" x14ac:dyDescent="0.3">
      <c r="A131" s="1192" t="s">
        <v>5684</v>
      </c>
      <c r="B131" s="1192" t="s">
        <v>5934</v>
      </c>
      <c r="E131" s="2154" t="s">
        <v>7</v>
      </c>
      <c r="F131" s="2154"/>
      <c r="G131" s="1220" t="s">
        <v>19</v>
      </c>
      <c r="H131" s="1218">
        <v>5.4</v>
      </c>
      <c r="K131" s="1192" t="s">
        <v>2442</v>
      </c>
      <c r="L131" s="1192" t="s">
        <v>430</v>
      </c>
      <c r="P131" s="1192" t="s">
        <v>2447</v>
      </c>
      <c r="V131" s="1192">
        <v>14</v>
      </c>
    </row>
    <row r="132" spans="1:22" s="1192" customFormat="1" x14ac:dyDescent="0.35">
      <c r="A132" s="1192" t="s">
        <v>5684</v>
      </c>
      <c r="B132" s="1192" t="s">
        <v>5934</v>
      </c>
      <c r="E132" s="1224" t="s">
        <v>81</v>
      </c>
      <c r="F132" s="824"/>
      <c r="G132" s="824"/>
      <c r="H132" s="922"/>
      <c r="K132" s="1192" t="s">
        <v>5685</v>
      </c>
      <c r="V132" s="1192">
        <v>10</v>
      </c>
    </row>
    <row r="133" spans="1:22" s="1192" customFormat="1" ht="14.4" x14ac:dyDescent="0.3">
      <c r="A133" s="1192" t="s">
        <v>5684</v>
      </c>
      <c r="B133" s="1192" t="s">
        <v>5934</v>
      </c>
      <c r="E133" s="2154" t="s">
        <v>2449</v>
      </c>
      <c r="F133" s="2154"/>
      <c r="G133" s="1220" t="s">
        <v>29</v>
      </c>
      <c r="H133" s="564">
        <v>-0.6</v>
      </c>
      <c r="V133" s="1192">
        <v>68</v>
      </c>
    </row>
    <row r="134" spans="1:22" s="1192" customFormat="1" ht="14.4" x14ac:dyDescent="0.3">
      <c r="A134" s="1192" t="s">
        <v>5684</v>
      </c>
      <c r="B134" s="1192" t="s">
        <v>5934</v>
      </c>
      <c r="E134" s="2154" t="s">
        <v>2450</v>
      </c>
      <c r="F134" s="2154"/>
      <c r="G134" s="1220" t="s">
        <v>82</v>
      </c>
      <c r="H134" s="1222">
        <v>-1</v>
      </c>
      <c r="V134" s="1192">
        <v>87</v>
      </c>
    </row>
    <row r="135" spans="1:22" s="1192" customFormat="1" x14ac:dyDescent="0.35">
      <c r="A135" s="1192" t="s">
        <v>5684</v>
      </c>
      <c r="B135" s="1192" t="s">
        <v>5934</v>
      </c>
      <c r="E135" s="1283" t="s">
        <v>83</v>
      </c>
      <c r="F135" s="824"/>
      <c r="G135" s="824"/>
      <c r="H135" s="922"/>
      <c r="K135" s="1192" t="s">
        <v>5686</v>
      </c>
      <c r="V135" s="1192">
        <v>24</v>
      </c>
    </row>
    <row r="136" spans="1:22" s="1192" customFormat="1" ht="14.4" x14ac:dyDescent="0.3">
      <c r="A136" s="1192" t="s">
        <v>5684</v>
      </c>
      <c r="B136" s="1192" t="s">
        <v>5934</v>
      </c>
      <c r="E136" s="1751" t="s">
        <v>2391</v>
      </c>
      <c r="F136" s="1751"/>
      <c r="G136" s="1751"/>
      <c r="H136" s="1751"/>
      <c r="V136" s="1192">
        <v>280</v>
      </c>
    </row>
    <row r="137" spans="1:22" s="1192" customFormat="1" ht="14.4" x14ac:dyDescent="0.3">
      <c r="A137" s="1192" t="s">
        <v>5684</v>
      </c>
      <c r="B137" s="1192" t="s">
        <v>5934</v>
      </c>
      <c r="E137" s="1751" t="s">
        <v>2452</v>
      </c>
      <c r="F137" s="1751"/>
      <c r="G137" s="1751"/>
      <c r="H137" s="1751"/>
      <c r="V137" s="1192">
        <v>353</v>
      </c>
    </row>
    <row r="138" spans="1:22" s="1192" customFormat="1" ht="14.4" x14ac:dyDescent="0.3">
      <c r="A138" s="1192" t="s">
        <v>5684</v>
      </c>
      <c r="B138" s="1192" t="s">
        <v>5934</v>
      </c>
      <c r="E138" s="1751" t="s">
        <v>4500</v>
      </c>
      <c r="F138" s="1751"/>
      <c r="G138" s="1751"/>
      <c r="H138" s="1751"/>
      <c r="V138" s="1192">
        <v>247</v>
      </c>
    </row>
    <row r="139" spans="1:22" s="1192" customFormat="1" ht="14.4" x14ac:dyDescent="0.3">
      <c r="A139" s="1192" t="s">
        <v>5684</v>
      </c>
      <c r="B139" s="1192" t="s">
        <v>5934</v>
      </c>
      <c r="E139" s="1251" t="s">
        <v>2453</v>
      </c>
      <c r="F139" s="825"/>
      <c r="G139" s="825"/>
      <c r="H139" s="923"/>
      <c r="K139" s="1192" t="s">
        <v>5687</v>
      </c>
      <c r="V139" s="1192">
        <v>23</v>
      </c>
    </row>
    <row r="140" spans="1:22" s="1192" customFormat="1" ht="14.4" x14ac:dyDescent="0.3">
      <c r="A140" s="1192" t="s">
        <v>5684</v>
      </c>
      <c r="B140" s="1192" t="s">
        <v>5934</v>
      </c>
      <c r="E140" s="2178" t="s">
        <v>2639</v>
      </c>
      <c r="F140" s="2178"/>
      <c r="G140" s="1220" t="s">
        <v>19</v>
      </c>
      <c r="H140" s="1222">
        <v>15</v>
      </c>
      <c r="V140" s="1192">
        <v>19</v>
      </c>
    </row>
    <row r="141" spans="1:22" s="1192" customFormat="1" ht="14.4" x14ac:dyDescent="0.3">
      <c r="A141" s="1192" t="s">
        <v>5684</v>
      </c>
      <c r="B141" s="1192" t="s">
        <v>5934</v>
      </c>
      <c r="E141" s="2178" t="s">
        <v>2456</v>
      </c>
      <c r="F141" s="2178"/>
      <c r="G141" s="1220" t="s">
        <v>19</v>
      </c>
      <c r="H141" s="1222">
        <v>15</v>
      </c>
      <c r="V141" s="1192">
        <v>20</v>
      </c>
    </row>
    <row r="142" spans="1:22" s="1192" customFormat="1" ht="14.4" x14ac:dyDescent="0.3">
      <c r="A142" s="1192" t="s">
        <v>5684</v>
      </c>
      <c r="B142" s="1192" t="s">
        <v>5934</v>
      </c>
      <c r="E142" s="2178" t="s">
        <v>2457</v>
      </c>
      <c r="F142" s="2178"/>
      <c r="G142" s="1220" t="s">
        <v>19</v>
      </c>
      <c r="H142" s="1222">
        <v>15</v>
      </c>
      <c r="V142" s="1192">
        <v>26</v>
      </c>
    </row>
    <row r="143" spans="1:22" s="1192" customFormat="1" ht="14.4" x14ac:dyDescent="0.3">
      <c r="A143" s="1192" t="s">
        <v>5684</v>
      </c>
      <c r="B143" s="1192" t="s">
        <v>5934</v>
      </c>
      <c r="E143" s="2178" t="s">
        <v>2460</v>
      </c>
      <c r="F143" s="2178"/>
      <c r="G143" s="1220" t="s">
        <v>19</v>
      </c>
      <c r="H143" s="1222">
        <v>15</v>
      </c>
      <c r="V143" s="1192">
        <v>15</v>
      </c>
    </row>
    <row r="144" spans="1:22" s="1192" customFormat="1" ht="14.4" x14ac:dyDescent="0.3">
      <c r="A144" s="1192" t="s">
        <v>5684</v>
      </c>
      <c r="B144" s="1192" t="s">
        <v>5934</v>
      </c>
      <c r="E144" s="2178" t="s">
        <v>2463</v>
      </c>
      <c r="F144" s="2178"/>
      <c r="G144" s="1220" t="s">
        <v>19</v>
      </c>
      <c r="H144" s="1222">
        <v>15</v>
      </c>
      <c r="V144" s="1192">
        <v>15</v>
      </c>
    </row>
    <row r="145" spans="1:22" s="1192" customFormat="1" ht="14.4" x14ac:dyDescent="0.3">
      <c r="A145" s="1192" t="s">
        <v>5684</v>
      </c>
      <c r="B145" s="1192" t="s">
        <v>5934</v>
      </c>
      <c r="E145" s="2178" t="s">
        <v>2464</v>
      </c>
      <c r="F145" s="2178"/>
      <c r="G145" s="1220" t="s">
        <v>19</v>
      </c>
      <c r="H145" s="1222">
        <v>15</v>
      </c>
      <c r="V145" s="1192">
        <v>56</v>
      </c>
    </row>
    <row r="146" spans="1:22" s="1192" customFormat="1" ht="14.4" x14ac:dyDescent="0.3">
      <c r="A146" s="1192" t="s">
        <v>5684</v>
      </c>
      <c r="B146" s="1192" t="s">
        <v>5934</v>
      </c>
      <c r="E146" s="2178" t="s">
        <v>84</v>
      </c>
      <c r="F146" s="2178"/>
      <c r="G146" s="1220" t="s">
        <v>19</v>
      </c>
      <c r="H146" s="1222">
        <v>30</v>
      </c>
      <c r="V146" s="1192">
        <v>89</v>
      </c>
    </row>
    <row r="147" spans="1:22" s="1192" customFormat="1" ht="14.4" x14ac:dyDescent="0.3">
      <c r="A147" s="1192" t="s">
        <v>5684</v>
      </c>
      <c r="B147" s="1192" t="s">
        <v>5934</v>
      </c>
      <c r="E147" s="2178" t="s">
        <v>2465</v>
      </c>
      <c r="F147" s="2178"/>
      <c r="G147" s="1220" t="s">
        <v>19</v>
      </c>
      <c r="H147" s="1222">
        <v>15</v>
      </c>
      <c r="V147" s="1192">
        <v>35</v>
      </c>
    </row>
    <row r="148" spans="1:22" s="1192" customFormat="1" ht="14.4" x14ac:dyDescent="0.3">
      <c r="A148" s="1192" t="s">
        <v>5684</v>
      </c>
      <c r="B148" s="1192" t="s">
        <v>5934</v>
      </c>
      <c r="E148" s="2178" t="s">
        <v>90</v>
      </c>
      <c r="F148" s="2178"/>
      <c r="G148" s="1220" t="s">
        <v>19</v>
      </c>
      <c r="H148" s="1222">
        <v>30</v>
      </c>
      <c r="V148" s="1192">
        <v>19</v>
      </c>
    </row>
    <row r="149" spans="1:22" s="1192" customFormat="1" ht="14.4" x14ac:dyDescent="0.3">
      <c r="A149" s="1192" t="s">
        <v>5684</v>
      </c>
      <c r="B149" s="1192" t="s">
        <v>5934</v>
      </c>
      <c r="E149" s="2178" t="s">
        <v>88</v>
      </c>
      <c r="F149" s="2178"/>
      <c r="G149" s="1220" t="s">
        <v>19</v>
      </c>
      <c r="H149" s="1222">
        <v>30</v>
      </c>
      <c r="V149" s="1192">
        <v>74</v>
      </c>
    </row>
    <row r="150" spans="1:22" s="1192" customFormat="1" ht="14.4" x14ac:dyDescent="0.3">
      <c r="A150" s="1192" t="s">
        <v>5684</v>
      </c>
      <c r="B150" s="1192" t="s">
        <v>5934</v>
      </c>
      <c r="E150" s="2178" t="s">
        <v>2467</v>
      </c>
      <c r="F150" s="2178"/>
      <c r="G150" s="1220" t="s">
        <v>19</v>
      </c>
      <c r="H150" s="1222">
        <v>15</v>
      </c>
      <c r="V150" s="1192">
        <v>19</v>
      </c>
    </row>
    <row r="151" spans="1:22" s="1192" customFormat="1" ht="14.4" x14ac:dyDescent="0.3">
      <c r="A151" s="1192" t="s">
        <v>5684</v>
      </c>
      <c r="B151" s="1192" t="s">
        <v>5934</v>
      </c>
      <c r="E151" s="1251" t="s">
        <v>2468</v>
      </c>
      <c r="F151" s="825"/>
      <c r="G151" s="825"/>
      <c r="H151" s="923"/>
      <c r="K151" s="1192" t="s">
        <v>5688</v>
      </c>
      <c r="V151" s="1192">
        <v>22</v>
      </c>
    </row>
    <row r="152" spans="1:22" s="1192" customFormat="1" ht="14.4" x14ac:dyDescent="0.3">
      <c r="A152" s="1192" t="s">
        <v>5684</v>
      </c>
      <c r="B152" s="1192" t="s">
        <v>5934</v>
      </c>
      <c r="E152" s="2178" t="s">
        <v>5940</v>
      </c>
      <c r="F152" s="2178"/>
      <c r="G152" s="1220" t="s">
        <v>82</v>
      </c>
      <c r="H152" s="1222">
        <v>1.5</v>
      </c>
      <c r="V152" s="1192">
        <v>99</v>
      </c>
    </row>
    <row r="153" spans="1:22" s="1192" customFormat="1" ht="14.4" x14ac:dyDescent="0.3">
      <c r="A153" s="1192" t="s">
        <v>5684</v>
      </c>
      <c r="B153" s="1192" t="s">
        <v>5934</v>
      </c>
      <c r="E153" s="2178" t="s">
        <v>5941</v>
      </c>
      <c r="F153" s="2178"/>
      <c r="G153" s="1220" t="s">
        <v>19</v>
      </c>
      <c r="H153" s="1222">
        <v>65</v>
      </c>
      <c r="V153" s="1192">
        <v>53</v>
      </c>
    </row>
    <row r="154" spans="1:22" s="1192" customFormat="1" ht="14.4" x14ac:dyDescent="0.3">
      <c r="A154" s="1192" t="s">
        <v>5684</v>
      </c>
      <c r="B154" s="1192" t="s">
        <v>5934</v>
      </c>
      <c r="E154" s="2178" t="s">
        <v>5942</v>
      </c>
      <c r="F154" s="2178"/>
      <c r="G154" s="1220" t="s">
        <v>19</v>
      </c>
      <c r="H154" s="1222">
        <v>185</v>
      </c>
      <c r="V154" s="1192">
        <v>52</v>
      </c>
    </row>
    <row r="155" spans="1:22" s="1192" customFormat="1" ht="14.4" x14ac:dyDescent="0.3">
      <c r="A155" s="1192" t="s">
        <v>5684</v>
      </c>
      <c r="B155" s="1192" t="s">
        <v>5934</v>
      </c>
      <c r="E155" s="2178" t="s">
        <v>5943</v>
      </c>
      <c r="F155" s="2178"/>
      <c r="G155" s="1220" t="s">
        <v>19</v>
      </c>
      <c r="H155" s="1222">
        <v>185</v>
      </c>
      <c r="V155" s="1192">
        <v>52</v>
      </c>
    </row>
    <row r="156" spans="1:22" s="1192" customFormat="1" ht="14.4" x14ac:dyDescent="0.3">
      <c r="A156" s="1192" t="s">
        <v>5684</v>
      </c>
      <c r="B156" s="1192" t="s">
        <v>5934</v>
      </c>
      <c r="E156" s="2178" t="s">
        <v>5944</v>
      </c>
      <c r="F156" s="2178"/>
      <c r="G156" s="1220" t="s">
        <v>19</v>
      </c>
      <c r="H156" s="1222">
        <v>415</v>
      </c>
      <c r="V156" s="1192">
        <v>51</v>
      </c>
    </row>
    <row r="157" spans="1:22" s="1192" customFormat="1" ht="14.4" x14ac:dyDescent="0.3">
      <c r="A157" s="1192" t="s">
        <v>5684</v>
      </c>
      <c r="B157" s="1192" t="s">
        <v>5934</v>
      </c>
      <c r="E157" s="1223" t="s">
        <v>3040</v>
      </c>
      <c r="F157" s="826"/>
      <c r="G157" s="826"/>
      <c r="H157" s="924"/>
      <c r="V157" s="1192">
        <v>6</v>
      </c>
    </row>
    <row r="158" spans="1:22" s="1192" customFormat="1" ht="14.4" x14ac:dyDescent="0.3">
      <c r="A158" s="1192" t="s">
        <v>5684</v>
      </c>
      <c r="B158" s="1192" t="s">
        <v>5934</v>
      </c>
      <c r="E158" s="2178" t="s">
        <v>2703</v>
      </c>
      <c r="F158" s="2178"/>
      <c r="G158" s="1220" t="s">
        <v>19</v>
      </c>
      <c r="H158" s="1222">
        <v>500</v>
      </c>
      <c r="V158" s="1192">
        <v>64</v>
      </c>
    </row>
    <row r="159" spans="1:22" s="1192" customFormat="1" ht="14.4" x14ac:dyDescent="0.3">
      <c r="A159" s="1192" t="s">
        <v>5684</v>
      </c>
      <c r="B159" s="1192" t="s">
        <v>5934</v>
      </c>
      <c r="E159" s="2178" t="s">
        <v>2758</v>
      </c>
      <c r="F159" s="2178"/>
      <c r="G159" s="1220" t="s">
        <v>19</v>
      </c>
      <c r="H159" s="1222">
        <v>300</v>
      </c>
      <c r="V159" s="1192">
        <v>67</v>
      </c>
    </row>
    <row r="160" spans="1:22" s="1192" customFormat="1" ht="14.4" x14ac:dyDescent="0.3">
      <c r="A160" s="1192" t="s">
        <v>5684</v>
      </c>
      <c r="B160" s="1192" t="s">
        <v>5934</v>
      </c>
      <c r="E160" s="2178" t="s">
        <v>2759</v>
      </c>
      <c r="F160" s="2178"/>
      <c r="G160" s="1220" t="s">
        <v>19</v>
      </c>
      <c r="H160" s="1222">
        <v>1000</v>
      </c>
      <c r="V160" s="1192">
        <v>66</v>
      </c>
    </row>
    <row r="161" spans="1:22" s="1192" customFormat="1" ht="14.4" x14ac:dyDescent="0.3">
      <c r="A161" s="1192" t="s">
        <v>5684</v>
      </c>
      <c r="B161" s="1192" t="s">
        <v>5934</v>
      </c>
      <c r="E161" s="2178" t="s">
        <v>2477</v>
      </c>
      <c r="F161" s="2178"/>
      <c r="G161" s="1220" t="s">
        <v>19</v>
      </c>
      <c r="H161" s="1222">
        <v>30</v>
      </c>
      <c r="V161" s="1192">
        <v>39</v>
      </c>
    </row>
    <row r="162" spans="1:22" s="1192" customFormat="1" ht="14.4" x14ac:dyDescent="0.3">
      <c r="A162" s="1192" t="s">
        <v>5684</v>
      </c>
      <c r="B162" s="1192" t="s">
        <v>5934</v>
      </c>
      <c r="E162" s="2178" t="s">
        <v>2478</v>
      </c>
      <c r="F162" s="2178"/>
      <c r="G162" s="1220" t="s">
        <v>19</v>
      </c>
      <c r="H162" s="1222">
        <v>165</v>
      </c>
      <c r="V162" s="1192">
        <v>34</v>
      </c>
    </row>
    <row r="163" spans="1:22" s="1192" customFormat="1" ht="14.4" x14ac:dyDescent="0.3">
      <c r="A163" s="1192" t="s">
        <v>5684</v>
      </c>
      <c r="B163" s="1192" t="s">
        <v>5934</v>
      </c>
      <c r="E163" s="2178" t="s">
        <v>2768</v>
      </c>
      <c r="F163" s="2178"/>
      <c r="G163" s="1220" t="s">
        <v>19</v>
      </c>
      <c r="H163" s="1222">
        <v>44.5</v>
      </c>
      <c r="V163" s="1192">
        <v>104</v>
      </c>
    </row>
    <row r="164" spans="1:22" s="1192" customFormat="1" x14ac:dyDescent="0.35">
      <c r="A164" s="1192" t="s">
        <v>5684</v>
      </c>
      <c r="B164" s="1192" t="s">
        <v>5934</v>
      </c>
      <c r="E164" s="2149" t="s">
        <v>73</v>
      </c>
      <c r="F164" s="2149"/>
      <c r="G164" s="824"/>
      <c r="H164" s="922"/>
      <c r="K164" s="1192" t="s">
        <v>5689</v>
      </c>
      <c r="V164" s="1192">
        <v>38</v>
      </c>
    </row>
    <row r="165" spans="1:22" s="1192" customFormat="1" ht="14.4" x14ac:dyDescent="0.3">
      <c r="A165" s="1192" t="s">
        <v>5684</v>
      </c>
      <c r="B165" s="1192" t="s">
        <v>5934</v>
      </c>
      <c r="E165" s="1751" t="s">
        <v>2391</v>
      </c>
      <c r="F165" s="1751"/>
      <c r="G165" s="1751"/>
      <c r="H165" s="1751"/>
      <c r="V165" s="1192">
        <v>280</v>
      </c>
    </row>
    <row r="166" spans="1:22" s="1192" customFormat="1" ht="14.4" x14ac:dyDescent="0.3">
      <c r="A166" s="1192" t="s">
        <v>5684</v>
      </c>
      <c r="B166" s="1192" t="s">
        <v>5934</v>
      </c>
      <c r="E166" s="1751" t="s">
        <v>2392</v>
      </c>
      <c r="F166" s="1751"/>
      <c r="G166" s="1751"/>
      <c r="H166" s="1751"/>
      <c r="V166" s="1192">
        <v>411</v>
      </c>
    </row>
    <row r="167" spans="1:22" s="1192" customFormat="1" ht="14.4" x14ac:dyDescent="0.3">
      <c r="A167" s="1192" t="s">
        <v>5684</v>
      </c>
      <c r="B167" s="1192" t="s">
        <v>5934</v>
      </c>
      <c r="E167" s="1751" t="s">
        <v>2445</v>
      </c>
      <c r="F167" s="1751"/>
      <c r="G167" s="1751"/>
      <c r="H167" s="1751"/>
      <c r="V167" s="1192">
        <v>211</v>
      </c>
    </row>
    <row r="168" spans="1:22" s="1192" customFormat="1" ht="14.4" x14ac:dyDescent="0.3">
      <c r="A168" s="1192" t="s">
        <v>5684</v>
      </c>
      <c r="B168" s="1192" t="s">
        <v>5934</v>
      </c>
      <c r="E168" s="1751" t="s">
        <v>5945</v>
      </c>
      <c r="F168" s="1751"/>
      <c r="G168" s="1751"/>
      <c r="H168" s="1751"/>
      <c r="V168" s="1192">
        <v>248</v>
      </c>
    </row>
    <row r="169" spans="1:22" s="1192" customFormat="1" ht="14.4" x14ac:dyDescent="0.3">
      <c r="A169" s="1192" t="s">
        <v>5684</v>
      </c>
      <c r="B169" s="1192" t="s">
        <v>5934</v>
      </c>
      <c r="E169" s="1751" t="s">
        <v>2595</v>
      </c>
      <c r="F169" s="1751"/>
      <c r="G169" s="1751"/>
      <c r="H169" s="1751"/>
      <c r="V169" s="1192">
        <v>142</v>
      </c>
    </row>
    <row r="170" spans="1:22" s="1192" customFormat="1" ht="14.4" x14ac:dyDescent="0.3">
      <c r="A170" s="1192" t="s">
        <v>5684</v>
      </c>
      <c r="B170" s="1192" t="s">
        <v>5934</v>
      </c>
      <c r="E170" s="2198" t="s">
        <v>2485</v>
      </c>
      <c r="F170" s="2198"/>
      <c r="G170" s="827" t="s">
        <v>19</v>
      </c>
      <c r="H170" s="1222">
        <v>102</v>
      </c>
      <c r="V170" s="1192">
        <v>106</v>
      </c>
    </row>
    <row r="171" spans="1:22" s="1192" customFormat="1" ht="14.4" x14ac:dyDescent="0.3">
      <c r="A171" s="1192" t="s">
        <v>5684</v>
      </c>
      <c r="B171" s="1192" t="s">
        <v>5934</v>
      </c>
      <c r="E171" s="2154" t="s">
        <v>3919</v>
      </c>
      <c r="F171" s="2154"/>
      <c r="G171" s="827" t="s">
        <v>19</v>
      </c>
      <c r="H171" s="1222">
        <v>40.799999999999997</v>
      </c>
      <c r="V171" s="1192">
        <v>34</v>
      </c>
    </row>
    <row r="172" spans="1:22" s="1192" customFormat="1" ht="14.4" x14ac:dyDescent="0.3">
      <c r="A172" s="1192" t="s">
        <v>5684</v>
      </c>
      <c r="B172" s="1192" t="s">
        <v>5934</v>
      </c>
      <c r="E172" s="2154" t="s">
        <v>3920</v>
      </c>
      <c r="F172" s="2154"/>
      <c r="G172" s="827" t="s">
        <v>2488</v>
      </c>
      <c r="H172" s="1222">
        <v>1.02</v>
      </c>
      <c r="V172" s="1192">
        <v>51</v>
      </c>
    </row>
    <row r="173" spans="1:22" s="1192" customFormat="1" ht="14.4" x14ac:dyDescent="0.3">
      <c r="A173" s="1192" t="s">
        <v>5684</v>
      </c>
      <c r="B173" s="1192" t="s">
        <v>5934</v>
      </c>
      <c r="E173" s="2154" t="s">
        <v>2489</v>
      </c>
      <c r="F173" s="2154"/>
      <c r="G173" s="827" t="s">
        <v>2488</v>
      </c>
      <c r="H173" s="1222">
        <v>0.61</v>
      </c>
      <c r="V173" s="1192">
        <v>75</v>
      </c>
    </row>
    <row r="174" spans="1:22" s="1192" customFormat="1" ht="14.4" x14ac:dyDescent="0.3">
      <c r="A174" s="1192" t="s">
        <v>5684</v>
      </c>
      <c r="B174" s="1192" t="s">
        <v>5934</v>
      </c>
      <c r="E174" s="2154" t="s">
        <v>2490</v>
      </c>
      <c r="F174" s="2154"/>
      <c r="G174" s="827" t="s">
        <v>2488</v>
      </c>
      <c r="H174" s="1222">
        <v>-0.61</v>
      </c>
      <c r="V174" s="1192">
        <v>72</v>
      </c>
    </row>
    <row r="175" spans="1:22" s="1192" customFormat="1" ht="14.4" x14ac:dyDescent="0.3">
      <c r="A175" s="1192" t="s">
        <v>5684</v>
      </c>
      <c r="B175" s="1192" t="s">
        <v>5934</v>
      </c>
      <c r="E175" s="2154" t="s">
        <v>2596</v>
      </c>
      <c r="F175" s="2154"/>
      <c r="G175" s="827"/>
      <c r="H175" s="925"/>
      <c r="V175" s="1192">
        <v>34</v>
      </c>
    </row>
    <row r="176" spans="1:22" s="1192" customFormat="1" ht="14.4" x14ac:dyDescent="0.3">
      <c r="A176" s="1192" t="s">
        <v>5684</v>
      </c>
      <c r="B176" s="1192" t="s">
        <v>5934</v>
      </c>
      <c r="E176" s="2153" t="s">
        <v>2492</v>
      </c>
      <c r="F176" s="2153"/>
      <c r="G176" s="827" t="s">
        <v>19</v>
      </c>
      <c r="H176" s="1222">
        <v>0.51</v>
      </c>
      <c r="V176" s="1192">
        <v>57</v>
      </c>
    </row>
    <row r="177" spans="1:22" s="1192" customFormat="1" ht="14.4" x14ac:dyDescent="0.3">
      <c r="A177" s="1192" t="s">
        <v>5684</v>
      </c>
      <c r="B177" s="1192" t="s">
        <v>5934</v>
      </c>
      <c r="E177" s="2153" t="s">
        <v>2493</v>
      </c>
      <c r="F177" s="2153"/>
      <c r="G177" s="827" t="s">
        <v>19</v>
      </c>
      <c r="H177" s="1222">
        <v>1.02</v>
      </c>
      <c r="V177" s="1192">
        <v>60</v>
      </c>
    </row>
    <row r="178" spans="1:22" s="1192" customFormat="1" ht="14.4" x14ac:dyDescent="0.3">
      <c r="A178" s="1192" t="s">
        <v>5684</v>
      </c>
      <c r="B178" s="1192" t="s">
        <v>5934</v>
      </c>
      <c r="E178" s="2154" t="s">
        <v>2494</v>
      </c>
      <c r="F178" s="2154"/>
      <c r="G178" s="827"/>
      <c r="H178" s="925"/>
      <c r="V178" s="1192">
        <v>91</v>
      </c>
    </row>
    <row r="179" spans="1:22" s="1192" customFormat="1" ht="14.4" x14ac:dyDescent="0.3">
      <c r="A179" s="1192" t="s">
        <v>5684</v>
      </c>
      <c r="B179" s="1192" t="s">
        <v>5934</v>
      </c>
      <c r="E179" s="2154" t="s">
        <v>2495</v>
      </c>
      <c r="F179" s="2154"/>
      <c r="G179" s="827"/>
      <c r="H179" s="925"/>
      <c r="V179" s="1192">
        <v>96</v>
      </c>
    </row>
    <row r="180" spans="1:22" s="1192" customFormat="1" ht="14.4" x14ac:dyDescent="0.3">
      <c r="A180" s="1192" t="s">
        <v>5684</v>
      </c>
      <c r="B180" s="1192" t="s">
        <v>5934</v>
      </c>
      <c r="E180" s="2154" t="s">
        <v>2597</v>
      </c>
      <c r="F180" s="2154"/>
      <c r="G180" s="827"/>
      <c r="H180" s="925"/>
      <c r="V180" s="1192">
        <v>77</v>
      </c>
    </row>
    <row r="181" spans="1:22" s="1192" customFormat="1" ht="14.4" x14ac:dyDescent="0.3">
      <c r="A181" s="1192" t="s">
        <v>5684</v>
      </c>
      <c r="B181" s="1192" t="s">
        <v>5934</v>
      </c>
      <c r="E181" s="2153" t="s">
        <v>2497</v>
      </c>
      <c r="F181" s="2153"/>
      <c r="G181" s="827" t="s">
        <v>19</v>
      </c>
      <c r="H181" s="925" t="s">
        <v>2498</v>
      </c>
      <c r="V181" s="1192">
        <v>18</v>
      </c>
    </row>
    <row r="182" spans="1:22" s="1192" customFormat="1" ht="14.4" x14ac:dyDescent="0.3">
      <c r="A182" s="1192" t="s">
        <v>5684</v>
      </c>
      <c r="B182" s="1192" t="s">
        <v>5934</v>
      </c>
      <c r="E182" s="2153" t="s">
        <v>2499</v>
      </c>
      <c r="F182" s="2153"/>
      <c r="G182" s="827" t="s">
        <v>19</v>
      </c>
      <c r="H182" s="1222">
        <v>4.08</v>
      </c>
      <c r="V182" s="1192">
        <v>69</v>
      </c>
    </row>
    <row r="183" spans="1:22" s="1192" customFormat="1" ht="14.4" x14ac:dyDescent="0.3">
      <c r="A183" s="1192" t="s">
        <v>5684</v>
      </c>
      <c r="B183" s="1192" t="s">
        <v>5934</v>
      </c>
      <c r="E183" s="2155" t="s">
        <v>5946</v>
      </c>
      <c r="F183" s="2155"/>
      <c r="G183" s="827" t="s">
        <v>19</v>
      </c>
      <c r="H183" s="1222">
        <v>2.04</v>
      </c>
      <c r="V183" s="1192">
        <v>203</v>
      </c>
    </row>
    <row r="184" spans="1:22" s="1192" customFormat="1" x14ac:dyDescent="0.35">
      <c r="A184" s="1192" t="s">
        <v>5684</v>
      </c>
      <c r="B184" s="1192" t="s">
        <v>5934</v>
      </c>
      <c r="E184" s="1250" t="s">
        <v>143</v>
      </c>
      <c r="F184" s="824"/>
      <c r="G184" s="824"/>
      <c r="H184" s="922"/>
      <c r="K184" s="1192" t="s">
        <v>5690</v>
      </c>
      <c r="V184" s="1192">
        <v>12</v>
      </c>
    </row>
    <row r="185" spans="1:22" s="1192" customFormat="1" ht="14.4" x14ac:dyDescent="0.3">
      <c r="A185" s="1192" t="s">
        <v>5684</v>
      </c>
      <c r="B185" s="1192" t="s">
        <v>5934</v>
      </c>
      <c r="E185" s="2154" t="s">
        <v>2501</v>
      </c>
      <c r="F185" s="2154"/>
      <c r="G185" s="2154"/>
      <c r="H185" s="2154"/>
      <c r="V185" s="1192">
        <v>203</v>
      </c>
    </row>
    <row r="186" spans="1:22" s="1192" customFormat="1" ht="14.4" x14ac:dyDescent="0.3">
      <c r="A186" s="1192" t="s">
        <v>5684</v>
      </c>
      <c r="B186" s="1192" t="s">
        <v>5934</v>
      </c>
      <c r="E186" s="2154" t="s">
        <v>2599</v>
      </c>
      <c r="F186" s="2154"/>
      <c r="G186" s="1220"/>
      <c r="H186" s="925">
        <v>1.0454000000000001</v>
      </c>
      <c r="V186" s="1192">
        <v>57</v>
      </c>
    </row>
    <row r="187" spans="1:22" s="1192" customFormat="1" ht="14.4" x14ac:dyDescent="0.3">
      <c r="A187" s="1192" t="s">
        <v>5684</v>
      </c>
      <c r="B187" s="1192" t="s">
        <v>5934</v>
      </c>
      <c r="E187" s="2154" t="s">
        <v>2601</v>
      </c>
      <c r="F187" s="2154"/>
      <c r="G187" s="1220"/>
      <c r="H187" s="925">
        <v>1.0348999999999999</v>
      </c>
      <c r="J187" s="1192" t="s">
        <v>5947</v>
      </c>
      <c r="V187" s="1192">
        <v>55</v>
      </c>
    </row>
    <row r="188" spans="1:22" s="1192" customFormat="1" ht="22.8" x14ac:dyDescent="0.3">
      <c r="A188" s="1192" t="s">
        <v>207</v>
      </c>
      <c r="C188" s="1192" t="s">
        <v>2378</v>
      </c>
      <c r="E188" s="2074" t="s">
        <v>1891</v>
      </c>
      <c r="F188" s="2156"/>
      <c r="G188" s="2156"/>
      <c r="H188" s="2156"/>
      <c r="I188" s="1192" t="s">
        <v>603</v>
      </c>
      <c r="J188" s="1192" t="s">
        <v>5498</v>
      </c>
      <c r="K188" s="1192" t="s">
        <v>207</v>
      </c>
      <c r="M188" s="1192">
        <v>16</v>
      </c>
      <c r="V188" s="1192">
        <v>23</v>
      </c>
    </row>
    <row r="189" spans="1:22" s="1192" customFormat="1" ht="17.399999999999999" x14ac:dyDescent="0.3">
      <c r="A189" s="1192" t="s">
        <v>207</v>
      </c>
      <c r="C189" s="1192" t="s">
        <v>2380</v>
      </c>
      <c r="E189" s="2076" t="s">
        <v>2381</v>
      </c>
      <c r="F189" s="2157"/>
      <c r="G189" s="2157"/>
      <c r="H189" s="2157"/>
      <c r="V189" s="1192">
        <v>27</v>
      </c>
    </row>
    <row r="190" spans="1:22" s="1192" customFormat="1" ht="15.6" x14ac:dyDescent="0.3">
      <c r="A190" s="1192" t="s">
        <v>207</v>
      </c>
      <c r="C190" s="1192" t="s">
        <v>2382</v>
      </c>
      <c r="E190" s="2158" t="s">
        <v>5937</v>
      </c>
      <c r="F190" s="2158"/>
      <c r="G190" s="2158"/>
      <c r="H190" s="2158"/>
      <c r="S190" s="1192">
        <v>43831</v>
      </c>
      <c r="V190" s="1192">
        <v>49</v>
      </c>
    </row>
    <row r="191" spans="1:22" s="1192" customFormat="1" ht="14.4" x14ac:dyDescent="0.3">
      <c r="A191" s="1192" t="s">
        <v>207</v>
      </c>
      <c r="C191" s="1192" t="s">
        <v>2383</v>
      </c>
      <c r="E191" s="2078" t="s">
        <v>2384</v>
      </c>
      <c r="F191" s="2072"/>
      <c r="G191" s="2072"/>
      <c r="H191" s="2072"/>
      <c r="V191" s="1192">
        <v>52</v>
      </c>
    </row>
    <row r="192" spans="1:22" s="1192" customFormat="1" ht="14.4" x14ac:dyDescent="0.3">
      <c r="A192" s="1192" t="s">
        <v>207</v>
      </c>
      <c r="E192" s="2078" t="s">
        <v>2385</v>
      </c>
      <c r="F192" s="2072"/>
      <c r="G192" s="2072"/>
      <c r="H192" s="2072"/>
      <c r="V192" s="1192">
        <v>53</v>
      </c>
    </row>
    <row r="193" spans="1:22" s="1192" customFormat="1" ht="14.4" x14ac:dyDescent="0.3">
      <c r="A193" s="1192" t="s">
        <v>207</v>
      </c>
      <c r="E193" s="2073" t="s">
        <v>5948</v>
      </c>
      <c r="F193" s="2065"/>
      <c r="G193" s="2065"/>
      <c r="H193" s="2065"/>
      <c r="K193" s="1192" t="s">
        <v>5948</v>
      </c>
      <c r="V193" s="1192">
        <v>12</v>
      </c>
    </row>
    <row r="194" spans="1:22" s="1192" customFormat="1" ht="14.4" x14ac:dyDescent="0.3">
      <c r="A194" s="1192" t="s">
        <v>207</v>
      </c>
      <c r="E194" s="2159" t="s">
        <v>5499</v>
      </c>
      <c r="F194" s="2151"/>
      <c r="G194" s="2151"/>
      <c r="H194" s="2151"/>
      <c r="V194" s="1192">
        <v>35</v>
      </c>
    </row>
    <row r="195" spans="1:22" s="1192" customFormat="1" ht="14.4" x14ac:dyDescent="0.3">
      <c r="A195" s="1192" t="s">
        <v>207</v>
      </c>
      <c r="E195" s="2151" t="s">
        <v>5500</v>
      </c>
      <c r="F195" s="2151"/>
      <c r="G195" s="2151"/>
      <c r="H195" s="2151"/>
      <c r="V195" s="1192">
        <v>246</v>
      </c>
    </row>
    <row r="196" spans="1:22" s="1192" customFormat="1" ht="14.4" x14ac:dyDescent="0.3">
      <c r="A196" s="1192" t="s">
        <v>207</v>
      </c>
      <c r="E196" s="2151" t="s">
        <v>5501</v>
      </c>
      <c r="F196" s="2151"/>
      <c r="G196" s="2151"/>
      <c r="H196" s="2151"/>
      <c r="V196" s="1192">
        <v>855</v>
      </c>
    </row>
    <row r="197" spans="1:22" s="1192" customFormat="1" ht="14.4" x14ac:dyDescent="0.3">
      <c r="A197" s="1192" t="s">
        <v>207</v>
      </c>
      <c r="E197" s="2151" t="s">
        <v>5502</v>
      </c>
      <c r="F197" s="2151"/>
      <c r="G197" s="2151"/>
      <c r="H197" s="2151"/>
      <c r="V197" s="1192">
        <v>193</v>
      </c>
    </row>
    <row r="198" spans="1:22" s="1192" customFormat="1" ht="14.4" x14ac:dyDescent="0.3">
      <c r="A198" s="1192" t="s">
        <v>207</v>
      </c>
      <c r="E198" s="2151" t="s">
        <v>5503</v>
      </c>
      <c r="F198" s="2151"/>
      <c r="G198" s="2151"/>
      <c r="H198" s="2151"/>
      <c r="V198" s="1192">
        <v>148</v>
      </c>
    </row>
    <row r="199" spans="1:22" s="1192" customFormat="1" ht="14.4" x14ac:dyDescent="0.3">
      <c r="A199" s="1192" t="s">
        <v>207</v>
      </c>
      <c r="E199" s="2160" t="s">
        <v>2389</v>
      </c>
      <c r="F199" s="2067"/>
      <c r="G199" s="2067"/>
      <c r="H199" s="2067"/>
      <c r="K199" s="1192" t="s">
        <v>5949</v>
      </c>
      <c r="V199" s="1192">
        <v>11</v>
      </c>
    </row>
    <row r="200" spans="1:22" s="1192" customFormat="1" ht="14.4" x14ac:dyDescent="0.3">
      <c r="A200" s="1192" t="s">
        <v>207</v>
      </c>
      <c r="E200" s="2067" t="s">
        <v>5504</v>
      </c>
      <c r="F200" s="2067"/>
      <c r="G200" s="2067"/>
      <c r="H200" s="2067"/>
      <c r="V200" s="1192">
        <v>112</v>
      </c>
    </row>
    <row r="201" spans="1:22" s="1192" customFormat="1" ht="14.4" x14ac:dyDescent="0.3">
      <c r="A201" s="1192" t="s">
        <v>207</v>
      </c>
      <c r="E201" s="2151" t="s">
        <v>5950</v>
      </c>
      <c r="F201" s="2151"/>
      <c r="G201" s="2151"/>
      <c r="H201" s="2151"/>
      <c r="V201" s="1192">
        <v>378</v>
      </c>
    </row>
    <row r="202" spans="1:22" s="1192" customFormat="1" ht="14.4" x14ac:dyDescent="0.3">
      <c r="A202" s="1192" t="s">
        <v>207</v>
      </c>
      <c r="E202" s="2151" t="s">
        <v>2391</v>
      </c>
      <c r="F202" s="2151"/>
      <c r="G202" s="2151"/>
      <c r="H202" s="2151"/>
      <c r="V202" s="1192">
        <v>280</v>
      </c>
    </row>
    <row r="203" spans="1:22" s="1192" customFormat="1" ht="14.4" x14ac:dyDescent="0.3">
      <c r="A203" s="1192" t="s">
        <v>207</v>
      </c>
      <c r="E203" s="2151" t="s">
        <v>2392</v>
      </c>
      <c r="F203" s="2151"/>
      <c r="G203" s="2151"/>
      <c r="H203" s="2151"/>
      <c r="V203" s="1192">
        <v>411</v>
      </c>
    </row>
    <row r="204" spans="1:22" s="1192" customFormat="1" ht="14.4" x14ac:dyDescent="0.3">
      <c r="A204" s="1192" t="s">
        <v>207</v>
      </c>
      <c r="E204" s="2151" t="s">
        <v>2508</v>
      </c>
      <c r="F204" s="2151"/>
      <c r="G204" s="2151"/>
      <c r="H204" s="2151"/>
      <c r="V204" s="1192">
        <v>386</v>
      </c>
    </row>
    <row r="205" spans="1:22" s="1192" customFormat="1" ht="14.4" x14ac:dyDescent="0.3">
      <c r="A205" s="1192" t="s">
        <v>207</v>
      </c>
      <c r="E205" s="2151" t="s">
        <v>2986</v>
      </c>
      <c r="F205" s="2151"/>
      <c r="G205" s="2151"/>
      <c r="H205" s="2151"/>
      <c r="V205" s="1192">
        <v>246</v>
      </c>
    </row>
    <row r="206" spans="1:22" s="1192" customFormat="1" ht="14.4" x14ac:dyDescent="0.3">
      <c r="A206" s="1192" t="s">
        <v>207</v>
      </c>
      <c r="E206" s="2134" t="s">
        <v>5505</v>
      </c>
      <c r="F206" s="2135"/>
      <c r="G206" s="2135"/>
      <c r="H206" s="2135"/>
      <c r="K206" s="1192" t="s">
        <v>5951</v>
      </c>
      <c r="V206" s="1192">
        <v>29</v>
      </c>
    </row>
    <row r="207" spans="1:22" s="1192" customFormat="1" ht="14.4" x14ac:dyDescent="0.3">
      <c r="A207" s="1192" t="s">
        <v>207</v>
      </c>
      <c r="E207" s="2136" t="s">
        <v>2394</v>
      </c>
      <c r="F207" s="2137"/>
      <c r="G207" s="2137"/>
      <c r="H207" s="2137"/>
      <c r="K207" s="1192" t="s">
        <v>2395</v>
      </c>
      <c r="V207" s="1192">
        <v>46</v>
      </c>
    </row>
    <row r="208" spans="1:22" s="1192" customFormat="1" ht="14.4" x14ac:dyDescent="0.3">
      <c r="A208" s="1192" t="s">
        <v>207</v>
      </c>
      <c r="E208" s="2133" t="s">
        <v>7</v>
      </c>
      <c r="F208" s="2133"/>
      <c r="G208" s="793" t="s">
        <v>19</v>
      </c>
      <c r="H208" s="854">
        <v>33.520000000000003</v>
      </c>
      <c r="K208" s="1192" t="s">
        <v>5951</v>
      </c>
      <c r="L208" s="1192" t="s">
        <v>430</v>
      </c>
      <c r="P208" s="1192" t="s">
        <v>5952</v>
      </c>
      <c r="V208" s="1192">
        <v>14</v>
      </c>
    </row>
    <row r="209" spans="1:22" s="1192" customFormat="1" ht="14.4" x14ac:dyDescent="0.3">
      <c r="A209" s="1192" t="s">
        <v>207</v>
      </c>
      <c r="E209" s="2133" t="s">
        <v>3900</v>
      </c>
      <c r="F209" s="2133"/>
      <c r="G209" s="793" t="s">
        <v>19</v>
      </c>
      <c r="H209" s="854">
        <v>0.56999999999999995</v>
      </c>
      <c r="K209" s="1192" t="s">
        <v>5951</v>
      </c>
      <c r="L209" s="1192" t="s">
        <v>431</v>
      </c>
      <c r="P209" s="1192" t="s">
        <v>5953</v>
      </c>
      <c r="T209" s="1192">
        <v>44926</v>
      </c>
      <c r="V209" s="1192">
        <v>64</v>
      </c>
    </row>
    <row r="210" spans="1:22" s="1192" customFormat="1" ht="14.4" x14ac:dyDescent="0.3">
      <c r="A210" s="1192" t="s">
        <v>207</v>
      </c>
      <c r="E210" s="2150" t="s">
        <v>5954</v>
      </c>
      <c r="F210" s="2133"/>
      <c r="G210" s="1282" t="s">
        <v>19</v>
      </c>
      <c r="H210" s="836">
        <v>0.05</v>
      </c>
      <c r="K210" s="1192" t="s">
        <v>5951</v>
      </c>
      <c r="L210" s="1192" t="s">
        <v>431</v>
      </c>
      <c r="P210" s="1192" t="s">
        <v>5955</v>
      </c>
      <c r="T210" s="1192">
        <v>44196</v>
      </c>
      <c r="V210" s="1192">
        <v>153</v>
      </c>
    </row>
    <row r="211" spans="1:22" s="1192" customFormat="1" ht="14.4" x14ac:dyDescent="0.3">
      <c r="A211" s="1192" t="s">
        <v>207</v>
      </c>
      <c r="E211" s="2133" t="s">
        <v>80</v>
      </c>
      <c r="F211" s="2133"/>
      <c r="G211" s="1282" t="s">
        <v>20</v>
      </c>
      <c r="H211" s="854">
        <v>3.8E-3</v>
      </c>
      <c r="K211" s="1192" t="s">
        <v>5951</v>
      </c>
      <c r="L211" s="1192" t="s">
        <v>430</v>
      </c>
      <c r="P211" s="1192" t="s">
        <v>5956</v>
      </c>
      <c r="V211" s="1192">
        <v>28</v>
      </c>
    </row>
    <row r="212" spans="1:22" s="1192" customFormat="1" ht="14.4" x14ac:dyDescent="0.3">
      <c r="A212" s="1192" t="s">
        <v>207</v>
      </c>
      <c r="E212" s="2150" t="s">
        <v>5954</v>
      </c>
      <c r="F212" s="2133"/>
      <c r="G212" s="1282" t="s">
        <v>20</v>
      </c>
      <c r="H212" s="1221">
        <v>-8.0000000000000004E-4</v>
      </c>
      <c r="K212" s="1192" t="s">
        <v>5951</v>
      </c>
      <c r="L212" s="1192" t="s">
        <v>431</v>
      </c>
      <c r="P212" s="1192" t="s">
        <v>5955</v>
      </c>
      <c r="T212" s="1192">
        <v>44196</v>
      </c>
      <c r="V212" s="1192">
        <v>153</v>
      </c>
    </row>
    <row r="213" spans="1:22" s="1192" customFormat="1" ht="14.4" x14ac:dyDescent="0.3">
      <c r="A213" s="1192" t="s">
        <v>207</v>
      </c>
      <c r="E213" s="2133" t="s">
        <v>5957</v>
      </c>
      <c r="F213" s="2133"/>
      <c r="G213" s="1282" t="s">
        <v>20</v>
      </c>
      <c r="H213" s="1221">
        <v>-6.7000000000000002E-3</v>
      </c>
      <c r="K213" s="1192" t="s">
        <v>5951</v>
      </c>
      <c r="L213" s="1192" t="s">
        <v>431</v>
      </c>
      <c r="P213" s="1192" t="s">
        <v>5958</v>
      </c>
      <c r="T213" s="1192">
        <v>44196</v>
      </c>
      <c r="V213" s="1192">
        <v>143</v>
      </c>
    </row>
    <row r="214" spans="1:22" s="1192" customFormat="1" ht="14.4" x14ac:dyDescent="0.3">
      <c r="A214" s="1192" t="s">
        <v>207</v>
      </c>
      <c r="E214" s="2133" t="s">
        <v>5507</v>
      </c>
      <c r="F214" s="2133"/>
      <c r="G214" s="793" t="s">
        <v>20</v>
      </c>
      <c r="H214" s="854">
        <v>8.6999999999999994E-3</v>
      </c>
      <c r="K214" s="1192" t="s">
        <v>5951</v>
      </c>
      <c r="L214" s="1192" t="s">
        <v>432</v>
      </c>
      <c r="P214" s="1192" t="s">
        <v>5959</v>
      </c>
      <c r="V214" s="1192">
        <v>60</v>
      </c>
    </row>
    <row r="215" spans="1:22" s="1192" customFormat="1" ht="14.4" x14ac:dyDescent="0.3">
      <c r="A215" s="1192" t="s">
        <v>207</v>
      </c>
      <c r="E215" s="2133" t="s">
        <v>5508</v>
      </c>
      <c r="F215" s="2133"/>
      <c r="G215" s="1288" t="s">
        <v>20</v>
      </c>
      <c r="H215" s="854">
        <v>7.6E-3</v>
      </c>
      <c r="K215" s="1192" t="s">
        <v>5951</v>
      </c>
      <c r="L215" s="1192" t="s">
        <v>432</v>
      </c>
      <c r="P215" s="1192" t="s">
        <v>5960</v>
      </c>
      <c r="V215" s="1192">
        <v>87</v>
      </c>
    </row>
    <row r="216" spans="1:22" s="1192" customFormat="1" ht="14.4" x14ac:dyDescent="0.3">
      <c r="A216" s="1192" t="s">
        <v>207</v>
      </c>
      <c r="E216" s="2146" t="s">
        <v>2405</v>
      </c>
      <c r="F216" s="2133"/>
      <c r="G216" s="2133"/>
      <c r="H216" s="2133"/>
      <c r="K216" s="1192" t="s">
        <v>2406</v>
      </c>
      <c r="V216" s="1192">
        <v>48</v>
      </c>
    </row>
    <row r="217" spans="1:22" s="1192" customFormat="1" ht="14.4" x14ac:dyDescent="0.3">
      <c r="A217" s="1192" t="s">
        <v>207</v>
      </c>
      <c r="E217" s="2133" t="s">
        <v>5509</v>
      </c>
      <c r="F217" s="2133"/>
      <c r="G217" s="793" t="s">
        <v>20</v>
      </c>
      <c r="H217" s="1221">
        <v>3.0000000000000001E-3</v>
      </c>
      <c r="K217" s="1192" t="s">
        <v>5951</v>
      </c>
      <c r="L217" s="1192" t="s">
        <v>2374</v>
      </c>
      <c r="P217" s="1192" t="s">
        <v>5961</v>
      </c>
      <c r="V217" s="1192">
        <v>69</v>
      </c>
    </row>
    <row r="218" spans="1:22" s="1192" customFormat="1" ht="14.4" x14ac:dyDescent="0.3">
      <c r="A218" s="1192" t="s">
        <v>207</v>
      </c>
      <c r="E218" s="2133" t="s">
        <v>5510</v>
      </c>
      <c r="F218" s="2133"/>
      <c r="G218" s="793" t="s">
        <v>20</v>
      </c>
      <c r="H218" s="854">
        <v>4.0000000000000002E-4</v>
      </c>
      <c r="K218" s="1192" t="s">
        <v>5951</v>
      </c>
      <c r="L218" s="1192" t="s">
        <v>2374</v>
      </c>
      <c r="P218" s="1192" t="s">
        <v>5961</v>
      </c>
      <c r="V218" s="1192">
        <v>78</v>
      </c>
    </row>
    <row r="219" spans="1:22" s="1192" customFormat="1" ht="14.4" x14ac:dyDescent="0.3">
      <c r="A219" s="1192" t="s">
        <v>207</v>
      </c>
      <c r="E219" s="2133" t="s">
        <v>5511</v>
      </c>
      <c r="F219" s="2133"/>
      <c r="G219" s="793" t="s">
        <v>20</v>
      </c>
      <c r="H219" s="854">
        <v>5.0000000000000001E-4</v>
      </c>
      <c r="K219" s="1192" t="s">
        <v>5951</v>
      </c>
      <c r="L219" s="1192" t="s">
        <v>2374</v>
      </c>
      <c r="P219" s="1192" t="s">
        <v>5962</v>
      </c>
      <c r="V219" s="1192">
        <v>71</v>
      </c>
    </row>
    <row r="220" spans="1:22" s="1192" customFormat="1" ht="14.4" x14ac:dyDescent="0.3">
      <c r="A220" s="1192" t="s">
        <v>207</v>
      </c>
      <c r="E220" s="2133" t="s">
        <v>28</v>
      </c>
      <c r="F220" s="2133"/>
      <c r="G220" s="793" t="s">
        <v>19</v>
      </c>
      <c r="H220" s="854">
        <v>0.25</v>
      </c>
      <c r="K220" s="1192" t="s">
        <v>5951</v>
      </c>
      <c r="L220" s="1192" t="s">
        <v>2374</v>
      </c>
      <c r="P220" s="1192" t="s">
        <v>5963</v>
      </c>
      <c r="V220" s="1192">
        <v>63</v>
      </c>
    </row>
    <row r="221" spans="1:22" s="1192" customFormat="1" ht="14.4" x14ac:dyDescent="0.3">
      <c r="A221" s="1192" t="s">
        <v>207</v>
      </c>
      <c r="E221" s="2134" t="s">
        <v>5512</v>
      </c>
      <c r="F221" s="2135"/>
      <c r="G221" s="2135"/>
      <c r="H221" s="2135"/>
      <c r="K221" s="1192" t="s">
        <v>5964</v>
      </c>
      <c r="V221" s="1192">
        <v>32</v>
      </c>
    </row>
    <row r="222" spans="1:22" s="1192" customFormat="1" ht="14.4" x14ac:dyDescent="0.3">
      <c r="A222" s="1192" t="s">
        <v>207</v>
      </c>
      <c r="E222" s="2136" t="s">
        <v>2394</v>
      </c>
      <c r="F222" s="2137"/>
      <c r="G222" s="2137"/>
      <c r="H222" s="2137"/>
      <c r="K222" s="1192" t="s">
        <v>2413</v>
      </c>
      <c r="V222" s="1192">
        <v>46</v>
      </c>
    </row>
    <row r="223" spans="1:22" s="1192" customFormat="1" ht="14.4" x14ac:dyDescent="0.3">
      <c r="A223" s="1192" t="s">
        <v>207</v>
      </c>
      <c r="E223" s="2133" t="s">
        <v>7</v>
      </c>
      <c r="F223" s="2133"/>
      <c r="G223" s="793" t="s">
        <v>19</v>
      </c>
      <c r="H223" s="854">
        <v>45.28</v>
      </c>
      <c r="K223" s="1192" t="s">
        <v>5964</v>
      </c>
      <c r="L223" s="1192" t="s">
        <v>430</v>
      </c>
      <c r="P223" s="1192" t="s">
        <v>5965</v>
      </c>
      <c r="V223" s="1192">
        <v>14</v>
      </c>
    </row>
    <row r="224" spans="1:22" s="1192" customFormat="1" ht="14.4" x14ac:dyDescent="0.3">
      <c r="A224" s="1192" t="s">
        <v>207</v>
      </c>
      <c r="E224" s="2133" t="s">
        <v>3900</v>
      </c>
      <c r="F224" s="2133"/>
      <c r="G224" s="793" t="s">
        <v>19</v>
      </c>
      <c r="H224" s="854">
        <v>0.56999999999999995</v>
      </c>
      <c r="K224" s="1192" t="s">
        <v>5964</v>
      </c>
      <c r="L224" s="1192" t="s">
        <v>431</v>
      </c>
      <c r="P224" s="1192" t="s">
        <v>5966</v>
      </c>
      <c r="T224" s="1192">
        <v>44926</v>
      </c>
      <c r="V224" s="1192">
        <v>64</v>
      </c>
    </row>
    <row r="225" spans="1:22" s="1192" customFormat="1" ht="14.4" x14ac:dyDescent="0.3">
      <c r="A225" s="1192" t="s">
        <v>207</v>
      </c>
      <c r="E225" s="2150" t="s">
        <v>5954</v>
      </c>
      <c r="F225" s="2133"/>
      <c r="G225" s="1282" t="s">
        <v>19</v>
      </c>
      <c r="H225" s="836">
        <v>0.04</v>
      </c>
      <c r="K225" s="1192" t="s">
        <v>5964</v>
      </c>
      <c r="L225" s="1192" t="s">
        <v>431</v>
      </c>
      <c r="P225" s="1192" t="s">
        <v>5967</v>
      </c>
      <c r="T225" s="1192">
        <v>44196</v>
      </c>
      <c r="V225" s="1192">
        <v>153</v>
      </c>
    </row>
    <row r="226" spans="1:22" s="1192" customFormat="1" ht="14.4" x14ac:dyDescent="0.3">
      <c r="A226" s="1192" t="s">
        <v>207</v>
      </c>
      <c r="E226" s="2133" t="s">
        <v>80</v>
      </c>
      <c r="F226" s="2133"/>
      <c r="G226" s="793" t="s">
        <v>20</v>
      </c>
      <c r="H226" s="854">
        <v>1.9099999999999999E-2</v>
      </c>
      <c r="K226" s="1192" t="s">
        <v>5964</v>
      </c>
      <c r="L226" s="1192" t="s">
        <v>430</v>
      </c>
      <c r="P226" s="1192" t="s">
        <v>5968</v>
      </c>
      <c r="V226" s="1192">
        <v>28</v>
      </c>
    </row>
    <row r="227" spans="1:22" s="1192" customFormat="1" ht="14.4" x14ac:dyDescent="0.3">
      <c r="A227" s="1192" t="s">
        <v>207</v>
      </c>
      <c r="E227" s="2150" t="s">
        <v>5954</v>
      </c>
      <c r="F227" s="2133"/>
      <c r="G227" s="1282" t="s">
        <v>20</v>
      </c>
      <c r="H227" s="1221">
        <v>-8.0000000000000004E-4</v>
      </c>
      <c r="K227" s="1192" t="s">
        <v>5964</v>
      </c>
      <c r="L227" s="1192" t="s">
        <v>431</v>
      </c>
      <c r="P227" s="1192" t="s">
        <v>5967</v>
      </c>
      <c r="T227" s="1192">
        <v>44196</v>
      </c>
      <c r="V227" s="1192">
        <v>153</v>
      </c>
    </row>
    <row r="228" spans="1:22" s="1192" customFormat="1" ht="14.4" x14ac:dyDescent="0.3">
      <c r="A228" s="1192" t="s">
        <v>207</v>
      </c>
      <c r="E228" s="2133" t="s">
        <v>5506</v>
      </c>
      <c r="F228" s="2133"/>
      <c r="G228" s="1282" t="s">
        <v>20</v>
      </c>
      <c r="H228" s="1221">
        <v>-6.7000000000000002E-3</v>
      </c>
      <c r="K228" s="1192" t="s">
        <v>5964</v>
      </c>
      <c r="L228" s="1192" t="s">
        <v>431</v>
      </c>
      <c r="P228" s="1192" t="s">
        <v>5969</v>
      </c>
      <c r="T228" s="1192">
        <v>44196</v>
      </c>
      <c r="V228" s="1192">
        <v>148</v>
      </c>
    </row>
    <row r="229" spans="1:22" s="1192" customFormat="1" ht="14.4" x14ac:dyDescent="0.3">
      <c r="A229" s="1192" t="s">
        <v>207</v>
      </c>
      <c r="E229" s="2133" t="s">
        <v>5507</v>
      </c>
      <c r="F229" s="2133"/>
      <c r="G229" s="793" t="s">
        <v>20</v>
      </c>
      <c r="H229" s="1221">
        <v>8.0000000000000002E-3</v>
      </c>
      <c r="K229" s="1192" t="s">
        <v>5964</v>
      </c>
      <c r="L229" s="1192" t="s">
        <v>432</v>
      </c>
      <c r="P229" s="1192" t="s">
        <v>5970</v>
      </c>
      <c r="V229" s="1192">
        <v>60</v>
      </c>
    </row>
    <row r="230" spans="1:22" s="1192" customFormat="1" ht="14.4" x14ac:dyDescent="0.3">
      <c r="A230" s="1192" t="s">
        <v>207</v>
      </c>
      <c r="E230" s="2133" t="s">
        <v>5508</v>
      </c>
      <c r="F230" s="2133"/>
      <c r="G230" s="793" t="s">
        <v>20</v>
      </c>
      <c r="H230" s="854">
        <v>7.1999999999999998E-3</v>
      </c>
      <c r="K230" s="1192" t="s">
        <v>5964</v>
      </c>
      <c r="L230" s="1192" t="s">
        <v>432</v>
      </c>
      <c r="P230" s="1192" t="s">
        <v>5971</v>
      </c>
      <c r="V230" s="1192">
        <v>87</v>
      </c>
    </row>
    <row r="231" spans="1:22" s="1192" customFormat="1" ht="14.4" x14ac:dyDescent="0.3">
      <c r="A231" s="1192" t="s">
        <v>207</v>
      </c>
      <c r="E231" s="2133" t="s">
        <v>5972</v>
      </c>
      <c r="F231" s="2133"/>
      <c r="G231" s="2133"/>
      <c r="H231" s="2133"/>
      <c r="K231" s="1192" t="s">
        <v>5964</v>
      </c>
      <c r="V231" s="1192">
        <v>159</v>
      </c>
    </row>
    <row r="232" spans="1:22" s="1192" customFormat="1" ht="14.4" x14ac:dyDescent="0.3">
      <c r="A232" s="1192" t="s">
        <v>207</v>
      </c>
      <c r="E232" s="2146" t="s">
        <v>2405</v>
      </c>
      <c r="F232" s="2133"/>
      <c r="G232" s="2133"/>
      <c r="H232" s="2133"/>
      <c r="K232" s="1192" t="s">
        <v>2418</v>
      </c>
      <c r="V232" s="1192">
        <v>48</v>
      </c>
    </row>
    <row r="233" spans="1:22" s="1192" customFormat="1" ht="14.4" x14ac:dyDescent="0.3">
      <c r="A233" s="1192" t="s">
        <v>207</v>
      </c>
      <c r="E233" s="2133" t="s">
        <v>5509</v>
      </c>
      <c r="F233" s="2133"/>
      <c r="G233" s="793" t="s">
        <v>20</v>
      </c>
      <c r="H233" s="1221">
        <v>3.0000000000000001E-3</v>
      </c>
      <c r="K233" s="1192" t="s">
        <v>5964</v>
      </c>
      <c r="L233" s="1192" t="s">
        <v>2374</v>
      </c>
      <c r="P233" s="1192" t="s">
        <v>5973</v>
      </c>
      <c r="V233" s="1192">
        <v>69</v>
      </c>
    </row>
    <row r="234" spans="1:22" s="1192" customFormat="1" ht="14.4" x14ac:dyDescent="0.3">
      <c r="A234" s="1192" t="s">
        <v>207</v>
      </c>
      <c r="E234" s="2133" t="s">
        <v>5510</v>
      </c>
      <c r="F234" s="2133"/>
      <c r="G234" s="793" t="s">
        <v>20</v>
      </c>
      <c r="H234" s="854">
        <v>4.0000000000000002E-4</v>
      </c>
      <c r="K234" s="1192" t="s">
        <v>5964</v>
      </c>
      <c r="L234" s="1192" t="s">
        <v>2374</v>
      </c>
      <c r="P234" s="1192" t="s">
        <v>5973</v>
      </c>
      <c r="V234" s="1192">
        <v>78</v>
      </c>
    </row>
    <row r="235" spans="1:22" s="1192" customFormat="1" ht="14.4" x14ac:dyDescent="0.3">
      <c r="A235" s="1192" t="s">
        <v>207</v>
      </c>
      <c r="E235" s="2133" t="s">
        <v>5511</v>
      </c>
      <c r="F235" s="2133"/>
      <c r="G235" s="793" t="s">
        <v>20</v>
      </c>
      <c r="H235" s="854">
        <v>5.0000000000000001E-4</v>
      </c>
      <c r="K235" s="1192" t="s">
        <v>5964</v>
      </c>
      <c r="L235" s="1192" t="s">
        <v>2374</v>
      </c>
      <c r="P235" s="1192" t="s">
        <v>5974</v>
      </c>
      <c r="V235" s="1192">
        <v>71</v>
      </c>
    </row>
    <row r="236" spans="1:22" s="1192" customFormat="1" ht="14.4" x14ac:dyDescent="0.3">
      <c r="A236" s="1192" t="s">
        <v>207</v>
      </c>
      <c r="E236" s="2133" t="s">
        <v>28</v>
      </c>
      <c r="F236" s="2133"/>
      <c r="G236" s="793" t="s">
        <v>19</v>
      </c>
      <c r="H236" s="854">
        <v>0.25</v>
      </c>
      <c r="K236" s="1192" t="s">
        <v>5964</v>
      </c>
      <c r="L236" s="1192" t="s">
        <v>2374</v>
      </c>
      <c r="P236" s="1192" t="s">
        <v>5975</v>
      </c>
      <c r="V236" s="1192">
        <v>63</v>
      </c>
    </row>
    <row r="237" spans="1:22" s="1192" customFormat="1" ht="14.4" x14ac:dyDescent="0.3">
      <c r="A237" s="1192" t="s">
        <v>207</v>
      </c>
      <c r="E237" s="2134" t="s">
        <v>5513</v>
      </c>
      <c r="F237" s="2135"/>
      <c r="G237" s="2135"/>
      <c r="H237" s="2135"/>
      <c r="K237" s="1192" t="s">
        <v>5514</v>
      </c>
      <c r="V237" s="1192">
        <v>29</v>
      </c>
    </row>
    <row r="238" spans="1:22" s="1192" customFormat="1" ht="14.4" x14ac:dyDescent="0.3">
      <c r="A238" s="1192" t="s">
        <v>207</v>
      </c>
      <c r="E238" s="2146" t="s">
        <v>2394</v>
      </c>
      <c r="F238" s="2151"/>
      <c r="G238" s="2151"/>
      <c r="H238" s="2151"/>
      <c r="K238" s="1192" t="s">
        <v>2423</v>
      </c>
      <c r="V238" s="1192">
        <v>46</v>
      </c>
    </row>
    <row r="239" spans="1:22" s="1192" customFormat="1" ht="14.4" x14ac:dyDescent="0.3">
      <c r="A239" s="1192" t="s">
        <v>207</v>
      </c>
      <c r="E239" s="2133" t="s">
        <v>5515</v>
      </c>
      <c r="F239" s="2133"/>
      <c r="G239" s="793" t="s">
        <v>19</v>
      </c>
      <c r="H239" s="854">
        <v>106.55</v>
      </c>
      <c r="K239" s="1192" t="s">
        <v>5514</v>
      </c>
      <c r="L239" s="1192" t="s">
        <v>430</v>
      </c>
      <c r="P239" s="1192" t="s">
        <v>5516</v>
      </c>
      <c r="V239" s="1192">
        <v>15</v>
      </c>
    </row>
    <row r="240" spans="1:22" s="1192" customFormat="1" ht="14.4" x14ac:dyDescent="0.3">
      <c r="A240" s="1192" t="s">
        <v>207</v>
      </c>
      <c r="E240" s="2133" t="s">
        <v>3900</v>
      </c>
      <c r="F240" s="2133"/>
      <c r="G240" s="793" t="s">
        <v>19</v>
      </c>
      <c r="H240" s="854">
        <v>0.56999999999999995</v>
      </c>
      <c r="K240" s="1192" t="s">
        <v>5514</v>
      </c>
      <c r="L240" s="1192" t="s">
        <v>431</v>
      </c>
      <c r="P240" s="1192" t="s">
        <v>5517</v>
      </c>
      <c r="T240" s="1192">
        <v>44926</v>
      </c>
      <c r="V240" s="1192">
        <v>64</v>
      </c>
    </row>
    <row r="241" spans="1:22" s="1192" customFormat="1" ht="14.4" x14ac:dyDescent="0.3">
      <c r="A241" s="1192" t="s">
        <v>207</v>
      </c>
      <c r="E241" s="2150" t="s">
        <v>5954</v>
      </c>
      <c r="F241" s="2133"/>
      <c r="G241" s="1282" t="s">
        <v>19</v>
      </c>
      <c r="H241" s="1222">
        <v>-0.03</v>
      </c>
      <c r="K241" s="1192" t="s">
        <v>5514</v>
      </c>
      <c r="L241" s="1192" t="s">
        <v>431</v>
      </c>
      <c r="P241" s="1192" t="s">
        <v>5518</v>
      </c>
      <c r="T241" s="1192">
        <v>44196</v>
      </c>
      <c r="V241" s="1192">
        <v>153</v>
      </c>
    </row>
    <row r="242" spans="1:22" s="1192" customFormat="1" ht="14.4" x14ac:dyDescent="0.3">
      <c r="A242" s="1192" t="s">
        <v>207</v>
      </c>
      <c r="E242" s="2133" t="s">
        <v>80</v>
      </c>
      <c r="F242" s="2133"/>
      <c r="G242" s="793" t="s">
        <v>20</v>
      </c>
      <c r="H242" s="854">
        <v>3.04E-2</v>
      </c>
      <c r="K242" s="1192" t="s">
        <v>5514</v>
      </c>
      <c r="L242" s="1192" t="s">
        <v>430</v>
      </c>
      <c r="P242" s="1192" t="s">
        <v>5519</v>
      </c>
      <c r="V242" s="1192">
        <v>28</v>
      </c>
    </row>
    <row r="243" spans="1:22" s="1192" customFormat="1" ht="14.4" x14ac:dyDescent="0.3">
      <c r="A243" s="1192" t="s">
        <v>207</v>
      </c>
      <c r="E243" s="2150" t="s">
        <v>5954</v>
      </c>
      <c r="F243" s="2133"/>
      <c r="G243" s="1282" t="s">
        <v>20</v>
      </c>
      <c r="H243" s="1221">
        <v>-8.0000000000000004E-4</v>
      </c>
      <c r="K243" s="1192" t="s">
        <v>5514</v>
      </c>
      <c r="L243" s="1192" t="s">
        <v>431</v>
      </c>
      <c r="P243" s="1192" t="s">
        <v>5518</v>
      </c>
      <c r="T243" s="1192">
        <v>44196</v>
      </c>
      <c r="V243" s="1192">
        <v>153</v>
      </c>
    </row>
    <row r="244" spans="1:22" s="1192" customFormat="1" ht="14.4" x14ac:dyDescent="0.3">
      <c r="A244" s="1192" t="s">
        <v>207</v>
      </c>
      <c r="E244" s="2133" t="s">
        <v>5506</v>
      </c>
      <c r="F244" s="2133"/>
      <c r="G244" s="1282" t="s">
        <v>20</v>
      </c>
      <c r="H244" s="1221">
        <v>-6.7000000000000002E-3</v>
      </c>
      <c r="K244" s="1192" t="s">
        <v>5514</v>
      </c>
      <c r="L244" s="1192" t="s">
        <v>431</v>
      </c>
      <c r="P244" s="1192" t="s">
        <v>5520</v>
      </c>
      <c r="T244" s="1192">
        <v>44196</v>
      </c>
      <c r="V244" s="1192">
        <v>148</v>
      </c>
    </row>
    <row r="245" spans="1:22" s="1192" customFormat="1" ht="14.4" x14ac:dyDescent="0.3">
      <c r="A245" s="1192" t="s">
        <v>207</v>
      </c>
      <c r="E245" s="2133" t="s">
        <v>5507</v>
      </c>
      <c r="F245" s="2133"/>
      <c r="G245" s="793" t="s">
        <v>20</v>
      </c>
      <c r="H245" s="854">
        <v>7.4999999999999997E-3</v>
      </c>
      <c r="K245" s="1192" t="s">
        <v>5514</v>
      </c>
      <c r="L245" s="1192" t="s">
        <v>432</v>
      </c>
      <c r="P245" s="1192" t="s">
        <v>5976</v>
      </c>
      <c r="V245" s="1192">
        <v>60</v>
      </c>
    </row>
    <row r="246" spans="1:22" s="1192" customFormat="1" ht="14.4" x14ac:dyDescent="0.3">
      <c r="A246" s="1192" t="s">
        <v>207</v>
      </c>
      <c r="E246" s="2133" t="s">
        <v>5508</v>
      </c>
      <c r="F246" s="2133"/>
      <c r="G246" s="793" t="s">
        <v>20</v>
      </c>
      <c r="H246" s="854">
        <v>6.7000000000000002E-3</v>
      </c>
      <c r="K246" s="1192" t="s">
        <v>5514</v>
      </c>
      <c r="L246" s="1192" t="s">
        <v>432</v>
      </c>
      <c r="P246" s="1192" t="s">
        <v>5977</v>
      </c>
      <c r="V246" s="1192">
        <v>87</v>
      </c>
    </row>
    <row r="247" spans="1:22" s="1192" customFormat="1" ht="14.4" x14ac:dyDescent="0.3">
      <c r="A247" s="1192" t="s">
        <v>207</v>
      </c>
      <c r="E247" s="2133" t="s">
        <v>5521</v>
      </c>
      <c r="F247" s="2133"/>
      <c r="G247" s="2133"/>
      <c r="H247" s="2133"/>
      <c r="K247" s="1192" t="s">
        <v>5514</v>
      </c>
      <c r="V247" s="1192">
        <v>315</v>
      </c>
    </row>
    <row r="248" spans="1:22" s="1192" customFormat="1" ht="14.4" x14ac:dyDescent="0.3">
      <c r="A248" s="1192" t="s">
        <v>207</v>
      </c>
      <c r="E248" s="2133" t="s">
        <v>5978</v>
      </c>
      <c r="F248" s="2133"/>
      <c r="G248" s="2133"/>
      <c r="H248" s="2133"/>
      <c r="K248" s="1192" t="s">
        <v>5514</v>
      </c>
      <c r="V248" s="1192">
        <v>159</v>
      </c>
    </row>
    <row r="249" spans="1:22" s="1192" customFormat="1" ht="14.4" x14ac:dyDescent="0.3">
      <c r="A249" s="1192" t="s">
        <v>207</v>
      </c>
      <c r="E249" s="2146" t="s">
        <v>2405</v>
      </c>
      <c r="F249" s="2133"/>
      <c r="G249" s="2133"/>
      <c r="H249" s="2133"/>
      <c r="K249" s="1192" t="s">
        <v>2526</v>
      </c>
      <c r="V249" s="1192">
        <v>48</v>
      </c>
    </row>
    <row r="250" spans="1:22" s="1192" customFormat="1" ht="14.4" x14ac:dyDescent="0.3">
      <c r="A250" s="1192" t="s">
        <v>207</v>
      </c>
      <c r="E250" s="2133" t="s">
        <v>5509</v>
      </c>
      <c r="F250" s="2133"/>
      <c r="G250" s="793" t="s">
        <v>20</v>
      </c>
      <c r="H250" s="1221">
        <v>3.0000000000000001E-3</v>
      </c>
      <c r="K250" s="1192" t="s">
        <v>5514</v>
      </c>
      <c r="L250" s="1192" t="s">
        <v>2374</v>
      </c>
      <c r="P250" s="1192" t="s">
        <v>5522</v>
      </c>
      <c r="V250" s="1192">
        <v>69</v>
      </c>
    </row>
    <row r="251" spans="1:22" s="1192" customFormat="1" ht="14.4" x14ac:dyDescent="0.3">
      <c r="A251" s="1192" t="s">
        <v>207</v>
      </c>
      <c r="E251" s="2133" t="s">
        <v>5510</v>
      </c>
      <c r="F251" s="2133"/>
      <c r="G251" s="793" t="s">
        <v>20</v>
      </c>
      <c r="H251" s="854">
        <v>4.0000000000000002E-4</v>
      </c>
      <c r="K251" s="1192" t="s">
        <v>5514</v>
      </c>
      <c r="L251" s="1192" t="s">
        <v>2374</v>
      </c>
      <c r="P251" s="1192" t="s">
        <v>5522</v>
      </c>
      <c r="V251" s="1192">
        <v>78</v>
      </c>
    </row>
    <row r="252" spans="1:22" s="1192" customFormat="1" ht="14.4" x14ac:dyDescent="0.3">
      <c r="A252" s="1192" t="s">
        <v>207</v>
      </c>
      <c r="E252" s="2133" t="s">
        <v>5511</v>
      </c>
      <c r="F252" s="2133"/>
      <c r="G252" s="793" t="s">
        <v>20</v>
      </c>
      <c r="H252" s="854">
        <v>5.0000000000000001E-4</v>
      </c>
      <c r="K252" s="1192" t="s">
        <v>5514</v>
      </c>
      <c r="L252" s="1192" t="s">
        <v>2374</v>
      </c>
      <c r="P252" s="1192" t="s">
        <v>5523</v>
      </c>
      <c r="V252" s="1192">
        <v>71</v>
      </c>
    </row>
    <row r="253" spans="1:22" s="1192" customFormat="1" ht="14.4" x14ac:dyDescent="0.3">
      <c r="A253" s="1192" t="s">
        <v>207</v>
      </c>
      <c r="E253" s="2133" t="s">
        <v>28</v>
      </c>
      <c r="F253" s="2133"/>
      <c r="G253" s="793" t="s">
        <v>19</v>
      </c>
      <c r="H253" s="854">
        <v>0.25</v>
      </c>
      <c r="K253" s="1192" t="s">
        <v>5514</v>
      </c>
      <c r="L253" s="1192" t="s">
        <v>2374</v>
      </c>
      <c r="P253" s="1192" t="s">
        <v>5524</v>
      </c>
      <c r="V253" s="1192">
        <v>63</v>
      </c>
    </row>
    <row r="254" spans="1:22" s="1192" customFormat="1" ht="14.4" x14ac:dyDescent="0.3">
      <c r="A254" s="1192" t="s">
        <v>207</v>
      </c>
      <c r="E254" s="2134" t="s">
        <v>5525</v>
      </c>
      <c r="F254" s="2135"/>
      <c r="G254" s="2135"/>
      <c r="H254" s="2135"/>
      <c r="K254" s="1192" t="s">
        <v>5979</v>
      </c>
      <c r="V254" s="1192">
        <v>8</v>
      </c>
    </row>
    <row r="255" spans="1:22" s="1192" customFormat="1" ht="14.4" x14ac:dyDescent="0.3">
      <c r="A255" s="1192" t="s">
        <v>207</v>
      </c>
      <c r="E255" s="2146" t="s">
        <v>2394</v>
      </c>
      <c r="F255" s="2151"/>
      <c r="G255" s="2151"/>
      <c r="H255" s="2151"/>
      <c r="K255" s="1192" t="s">
        <v>2531</v>
      </c>
      <c r="V255" s="1192">
        <v>46</v>
      </c>
    </row>
    <row r="256" spans="1:22" s="1192" customFormat="1" ht="14.4" x14ac:dyDescent="0.3">
      <c r="A256" s="1192" t="s">
        <v>207</v>
      </c>
      <c r="E256" s="2133" t="s">
        <v>7</v>
      </c>
      <c r="F256" s="2133"/>
      <c r="G256" s="793" t="s">
        <v>19</v>
      </c>
      <c r="H256" s="854">
        <v>45.74</v>
      </c>
      <c r="K256" s="1192" t="s">
        <v>5979</v>
      </c>
      <c r="L256" s="1192" t="s">
        <v>430</v>
      </c>
      <c r="P256" s="1192" t="s">
        <v>5980</v>
      </c>
      <c r="V256" s="1192">
        <v>14</v>
      </c>
    </row>
    <row r="257" spans="1:22" s="1192" customFormat="1" ht="14.4" x14ac:dyDescent="0.3">
      <c r="A257" s="1192" t="s">
        <v>207</v>
      </c>
      <c r="E257" s="2133" t="s">
        <v>3900</v>
      </c>
      <c r="F257" s="2133"/>
      <c r="G257" s="793" t="s">
        <v>19</v>
      </c>
      <c r="H257" s="854">
        <v>0.56999999999999995</v>
      </c>
      <c r="K257" s="1192" t="s">
        <v>5979</v>
      </c>
      <c r="L257" s="1192" t="s">
        <v>431</v>
      </c>
      <c r="P257" s="1192" t="s">
        <v>5981</v>
      </c>
      <c r="T257" s="1192">
        <v>44926</v>
      </c>
      <c r="V257" s="1192">
        <v>64</v>
      </c>
    </row>
    <row r="258" spans="1:22" s="1192" customFormat="1" ht="14.4" x14ac:dyDescent="0.3">
      <c r="A258" s="1192" t="s">
        <v>207</v>
      </c>
      <c r="E258" s="2150" t="s">
        <v>5954</v>
      </c>
      <c r="F258" s="2133"/>
      <c r="G258" s="1282" t="s">
        <v>19</v>
      </c>
      <c r="H258" s="836">
        <v>0.03</v>
      </c>
      <c r="K258" s="1192" t="s">
        <v>5979</v>
      </c>
      <c r="L258" s="1192" t="s">
        <v>431</v>
      </c>
      <c r="P258" s="1192" t="s">
        <v>5982</v>
      </c>
      <c r="T258" s="1192">
        <v>44196</v>
      </c>
      <c r="V258" s="1192">
        <v>153</v>
      </c>
    </row>
    <row r="259" spans="1:22" s="1192" customFormat="1" ht="14.4" x14ac:dyDescent="0.3">
      <c r="A259" s="1192" t="s">
        <v>207</v>
      </c>
      <c r="E259" s="2133" t="s">
        <v>80</v>
      </c>
      <c r="F259" s="2133"/>
      <c r="G259" s="793" t="s">
        <v>20</v>
      </c>
      <c r="H259" s="854">
        <v>6.1499999999999999E-2</v>
      </c>
      <c r="K259" s="1192" t="s">
        <v>5979</v>
      </c>
      <c r="L259" s="1192" t="s">
        <v>430</v>
      </c>
      <c r="P259" s="1192" t="s">
        <v>5983</v>
      </c>
      <c r="V259" s="1192">
        <v>28</v>
      </c>
    </row>
    <row r="260" spans="1:22" s="1192" customFormat="1" ht="14.4" x14ac:dyDescent="0.3">
      <c r="A260" s="1192" t="s">
        <v>207</v>
      </c>
      <c r="E260" s="2150" t="s">
        <v>5954</v>
      </c>
      <c r="F260" s="2133"/>
      <c r="G260" s="1282" t="s">
        <v>20</v>
      </c>
      <c r="H260" s="1221">
        <v>-8.9999999999999998E-4</v>
      </c>
      <c r="K260" s="1192" t="s">
        <v>5979</v>
      </c>
      <c r="L260" s="1192" t="s">
        <v>431</v>
      </c>
      <c r="P260" s="1192" t="s">
        <v>5982</v>
      </c>
      <c r="T260" s="1192">
        <v>44196</v>
      </c>
      <c r="V260" s="1192">
        <v>153</v>
      </c>
    </row>
    <row r="261" spans="1:22" s="1192" customFormat="1" ht="14.4" x14ac:dyDescent="0.3">
      <c r="A261" s="1192" t="s">
        <v>207</v>
      </c>
      <c r="E261" s="2133" t="s">
        <v>5506</v>
      </c>
      <c r="F261" s="2133"/>
      <c r="G261" s="1282" t="s">
        <v>20</v>
      </c>
      <c r="H261" s="1221">
        <v>-6.7000000000000002E-3</v>
      </c>
      <c r="K261" s="1192" t="s">
        <v>5979</v>
      </c>
      <c r="L261" s="1192" t="s">
        <v>431</v>
      </c>
      <c r="P261" s="1192" t="s">
        <v>5984</v>
      </c>
      <c r="T261" s="1192">
        <v>44196</v>
      </c>
      <c r="V261" s="1192">
        <v>148</v>
      </c>
    </row>
    <row r="262" spans="1:22" s="1192" customFormat="1" ht="14.4" x14ac:dyDescent="0.3">
      <c r="A262" s="1192" t="s">
        <v>207</v>
      </c>
      <c r="E262" s="2133" t="s">
        <v>5507</v>
      </c>
      <c r="F262" s="2133"/>
      <c r="G262" s="1282" t="s">
        <v>20</v>
      </c>
      <c r="H262" s="836">
        <v>6.3E-3</v>
      </c>
      <c r="K262" s="1192" t="s">
        <v>5979</v>
      </c>
      <c r="L262" s="1192" t="s">
        <v>432</v>
      </c>
      <c r="P262" s="1192" t="s">
        <v>5985</v>
      </c>
      <c r="V262" s="1192">
        <v>60</v>
      </c>
    </row>
    <row r="263" spans="1:22" s="1192" customFormat="1" ht="14.4" x14ac:dyDescent="0.3">
      <c r="A263" s="1192" t="s">
        <v>207</v>
      </c>
      <c r="E263" s="2133" t="s">
        <v>5508</v>
      </c>
      <c r="F263" s="2133"/>
      <c r="G263" s="1282" t="s">
        <v>20</v>
      </c>
      <c r="H263" s="1221">
        <v>6.0000000000000001E-3</v>
      </c>
      <c r="K263" s="1192" t="s">
        <v>5979</v>
      </c>
      <c r="L263" s="1192" t="s">
        <v>432</v>
      </c>
      <c r="P263" s="1192" t="s">
        <v>5986</v>
      </c>
      <c r="V263" s="1192">
        <v>87</v>
      </c>
    </row>
    <row r="264" spans="1:22" s="1192" customFormat="1" ht="14.4" x14ac:dyDescent="0.3">
      <c r="A264" s="1192" t="s">
        <v>207</v>
      </c>
      <c r="E264" s="2146" t="s">
        <v>2405</v>
      </c>
      <c r="F264" s="2133"/>
      <c r="G264" s="2133"/>
      <c r="H264" s="2133"/>
      <c r="K264" s="1192" t="s">
        <v>2532</v>
      </c>
      <c r="V264" s="1192">
        <v>48</v>
      </c>
    </row>
    <row r="265" spans="1:22" s="1192" customFormat="1" ht="14.4" x14ac:dyDescent="0.3">
      <c r="A265" s="1192" t="s">
        <v>207</v>
      </c>
      <c r="E265" s="2133" t="s">
        <v>5509</v>
      </c>
      <c r="F265" s="2133"/>
      <c r="G265" s="793" t="s">
        <v>20</v>
      </c>
      <c r="H265" s="1221">
        <v>3.0000000000000001E-3</v>
      </c>
      <c r="K265" s="1192" t="s">
        <v>5979</v>
      </c>
      <c r="L265" s="1192" t="s">
        <v>2374</v>
      </c>
      <c r="P265" s="1192" t="s">
        <v>5987</v>
      </c>
      <c r="V265" s="1192">
        <v>69</v>
      </c>
    </row>
    <row r="266" spans="1:22" s="1192" customFormat="1" ht="14.4" x14ac:dyDescent="0.3">
      <c r="A266" s="1192" t="s">
        <v>207</v>
      </c>
      <c r="E266" s="2133" t="s">
        <v>5510</v>
      </c>
      <c r="F266" s="2133"/>
      <c r="G266" s="793" t="s">
        <v>20</v>
      </c>
      <c r="H266" s="854">
        <v>4.0000000000000002E-4</v>
      </c>
      <c r="K266" s="1192" t="s">
        <v>5979</v>
      </c>
      <c r="L266" s="1192" t="s">
        <v>2374</v>
      </c>
      <c r="P266" s="1192" t="s">
        <v>5987</v>
      </c>
      <c r="V266" s="1192">
        <v>78</v>
      </c>
    </row>
    <row r="267" spans="1:22" s="1192" customFormat="1" ht="14.4" x14ac:dyDescent="0.3">
      <c r="A267" s="1192" t="s">
        <v>207</v>
      </c>
      <c r="E267" s="2133" t="s">
        <v>5511</v>
      </c>
      <c r="F267" s="2133"/>
      <c r="G267" s="793" t="s">
        <v>20</v>
      </c>
      <c r="H267" s="854">
        <v>5.0000000000000001E-4</v>
      </c>
      <c r="K267" s="1192" t="s">
        <v>5979</v>
      </c>
      <c r="L267" s="1192" t="s">
        <v>2374</v>
      </c>
      <c r="P267" s="1192" t="s">
        <v>5988</v>
      </c>
      <c r="V267" s="1192">
        <v>71</v>
      </c>
    </row>
    <row r="268" spans="1:22" s="1192" customFormat="1" ht="14.4" x14ac:dyDescent="0.3">
      <c r="A268" s="1192" t="s">
        <v>207</v>
      </c>
      <c r="E268" s="2133" t="s">
        <v>28</v>
      </c>
      <c r="F268" s="2133"/>
      <c r="G268" s="793" t="s">
        <v>19</v>
      </c>
      <c r="H268" s="854">
        <v>0.25</v>
      </c>
      <c r="K268" s="1192" t="s">
        <v>5979</v>
      </c>
      <c r="L268" s="1192" t="s">
        <v>2374</v>
      </c>
      <c r="P268" s="1192" t="s">
        <v>5989</v>
      </c>
      <c r="V268" s="1192">
        <v>63</v>
      </c>
    </row>
    <row r="269" spans="1:22" s="1192" customFormat="1" ht="17.399999999999999" x14ac:dyDescent="0.3">
      <c r="A269" s="1192" t="s">
        <v>207</v>
      </c>
      <c r="E269" s="2082" t="s">
        <v>5526</v>
      </c>
      <c r="F269" s="2083"/>
      <c r="G269" s="2083"/>
      <c r="H269" s="2083"/>
      <c r="K269" s="1192" t="s">
        <v>5979</v>
      </c>
      <c r="V269" s="1192">
        <v>31</v>
      </c>
    </row>
    <row r="270" spans="1:22" s="1192" customFormat="1" ht="14.4" x14ac:dyDescent="0.3">
      <c r="A270" s="1192" t="s">
        <v>207</v>
      </c>
      <c r="E270" s="2067" t="s">
        <v>5527</v>
      </c>
      <c r="F270" s="2067"/>
      <c r="G270" s="2067"/>
      <c r="H270" s="2067"/>
      <c r="K270" s="1192" t="s">
        <v>5979</v>
      </c>
      <c r="V270" s="1192">
        <v>434</v>
      </c>
    </row>
    <row r="271" spans="1:22" s="1192" customFormat="1" ht="14.4" x14ac:dyDescent="0.3">
      <c r="A271" s="1192" t="s">
        <v>207</v>
      </c>
      <c r="E271" s="2199" t="s">
        <v>2389</v>
      </c>
      <c r="F271" s="2151"/>
      <c r="G271" s="2151"/>
      <c r="H271" s="2151"/>
      <c r="K271" s="1192" t="s">
        <v>2529</v>
      </c>
      <c r="V271" s="1192">
        <v>11</v>
      </c>
    </row>
    <row r="272" spans="1:22" s="1192" customFormat="1" ht="14.4" x14ac:dyDescent="0.3">
      <c r="A272" s="1192" t="s">
        <v>207</v>
      </c>
      <c r="E272" s="2151" t="s">
        <v>5528</v>
      </c>
      <c r="F272" s="2151"/>
      <c r="G272" s="2151"/>
      <c r="H272" s="2151"/>
      <c r="K272" s="1192" t="s">
        <v>5979</v>
      </c>
      <c r="V272" s="1192">
        <v>106</v>
      </c>
    </row>
    <row r="273" spans="1:22" s="1192" customFormat="1" ht="14.4" x14ac:dyDescent="0.3">
      <c r="A273" s="1192" t="s">
        <v>207</v>
      </c>
      <c r="E273" s="2151" t="s">
        <v>5529</v>
      </c>
      <c r="F273" s="2151"/>
      <c r="G273" s="2151"/>
      <c r="H273" s="2151"/>
      <c r="K273" s="1192" t="s">
        <v>5979</v>
      </c>
      <c r="V273" s="1192">
        <v>233</v>
      </c>
    </row>
    <row r="274" spans="1:22" s="1192" customFormat="1" ht="14.4" x14ac:dyDescent="0.3">
      <c r="A274" s="1192" t="s">
        <v>207</v>
      </c>
      <c r="E274" s="2151" t="s">
        <v>2391</v>
      </c>
      <c r="F274" s="2151"/>
      <c r="G274" s="2151"/>
      <c r="H274" s="2151"/>
      <c r="K274" s="1192" t="s">
        <v>5979</v>
      </c>
      <c r="V274" s="1192">
        <v>280</v>
      </c>
    </row>
    <row r="275" spans="1:22" s="1192" customFormat="1" ht="14.4" x14ac:dyDescent="0.3">
      <c r="A275" s="1192" t="s">
        <v>207</v>
      </c>
      <c r="E275" s="2151" t="s">
        <v>2392</v>
      </c>
      <c r="F275" s="2151"/>
      <c r="G275" s="2151"/>
      <c r="H275" s="2151"/>
      <c r="K275" s="1192" t="s">
        <v>5979</v>
      </c>
      <c r="V275" s="1192">
        <v>411</v>
      </c>
    </row>
    <row r="276" spans="1:22" s="1192" customFormat="1" ht="14.4" x14ac:dyDescent="0.3">
      <c r="A276" s="1192" t="s">
        <v>207</v>
      </c>
      <c r="E276" s="2151" t="s">
        <v>2508</v>
      </c>
      <c r="F276" s="2151"/>
      <c r="G276" s="2151"/>
      <c r="H276" s="2151"/>
      <c r="K276" s="1192" t="s">
        <v>5979</v>
      </c>
      <c r="V276" s="1192">
        <v>386</v>
      </c>
    </row>
    <row r="277" spans="1:22" s="1192" customFormat="1" ht="14.4" x14ac:dyDescent="0.3">
      <c r="A277" s="1192" t="s">
        <v>207</v>
      </c>
      <c r="E277" s="2151" t="s">
        <v>4503</v>
      </c>
      <c r="F277" s="2151"/>
      <c r="G277" s="2151"/>
      <c r="H277" s="2151"/>
      <c r="K277" s="1192" t="s">
        <v>5979</v>
      </c>
      <c r="V277" s="1192">
        <v>677</v>
      </c>
    </row>
    <row r="278" spans="1:22" s="1192" customFormat="1" ht="14.4" x14ac:dyDescent="0.3">
      <c r="A278" s="1192" t="s">
        <v>207</v>
      </c>
      <c r="E278" s="2151" t="s">
        <v>4644</v>
      </c>
      <c r="F278" s="2151"/>
      <c r="G278" s="2151"/>
      <c r="H278" s="2151"/>
      <c r="K278" s="1192" t="s">
        <v>5979</v>
      </c>
      <c r="V278" s="1192">
        <v>693</v>
      </c>
    </row>
    <row r="279" spans="1:22" s="1192" customFormat="1" ht="14.4" x14ac:dyDescent="0.3">
      <c r="A279" s="1192" t="s">
        <v>207</v>
      </c>
      <c r="E279" s="2151" t="s">
        <v>2986</v>
      </c>
      <c r="F279" s="2151"/>
      <c r="G279" s="2151"/>
      <c r="H279" s="2151"/>
      <c r="K279" s="1192" t="s">
        <v>5979</v>
      </c>
      <c r="V279" s="1192">
        <v>246</v>
      </c>
    </row>
    <row r="280" spans="1:22" s="1192" customFormat="1" ht="14.4" x14ac:dyDescent="0.3">
      <c r="A280" s="1192" t="s">
        <v>207</v>
      </c>
      <c r="E280" s="2134" t="s">
        <v>5530</v>
      </c>
      <c r="F280" s="2135"/>
      <c r="G280" s="2135"/>
      <c r="H280" s="2135"/>
      <c r="K280" s="1192" t="s">
        <v>5531</v>
      </c>
      <c r="V280" s="1192">
        <v>41</v>
      </c>
    </row>
    <row r="281" spans="1:22" s="1192" customFormat="1" ht="14.4" x14ac:dyDescent="0.3">
      <c r="A281" s="1192" t="s">
        <v>207</v>
      </c>
      <c r="E281" s="2151" t="s">
        <v>5532</v>
      </c>
      <c r="F281" s="2151"/>
      <c r="G281" s="2151"/>
      <c r="H281" s="2151"/>
      <c r="K281" s="1192" t="s">
        <v>5531</v>
      </c>
      <c r="V281" s="1192">
        <v>179</v>
      </c>
    </row>
    <row r="282" spans="1:22" s="1192" customFormat="1" ht="14.4" x14ac:dyDescent="0.3">
      <c r="A282" s="1192" t="s">
        <v>207</v>
      </c>
      <c r="E282" s="2146" t="s">
        <v>2394</v>
      </c>
      <c r="F282" s="2146"/>
      <c r="G282" s="2146"/>
      <c r="H282" s="2146"/>
      <c r="K282" s="1192" t="s">
        <v>2425</v>
      </c>
      <c r="V282" s="1192">
        <v>46</v>
      </c>
    </row>
    <row r="283" spans="1:22" s="1192" customFormat="1" ht="14.4" x14ac:dyDescent="0.3">
      <c r="A283" s="1192" t="s">
        <v>207</v>
      </c>
      <c r="E283" s="2133" t="s">
        <v>7</v>
      </c>
      <c r="F283" s="2133"/>
      <c r="G283" s="793" t="s">
        <v>19</v>
      </c>
      <c r="H283" s="854">
        <v>25.54</v>
      </c>
      <c r="K283" s="1192" t="s">
        <v>5531</v>
      </c>
      <c r="L283" s="1192" t="s">
        <v>430</v>
      </c>
      <c r="P283" s="1192" t="s">
        <v>5533</v>
      </c>
      <c r="V283" s="1192">
        <v>14</v>
      </c>
    </row>
    <row r="284" spans="1:22" s="1192" customFormat="1" ht="14.4" x14ac:dyDescent="0.3">
      <c r="A284" s="1192" t="s">
        <v>207</v>
      </c>
      <c r="E284" s="2133" t="s">
        <v>3900</v>
      </c>
      <c r="F284" s="2133"/>
      <c r="G284" s="793" t="s">
        <v>19</v>
      </c>
      <c r="H284" s="854">
        <v>0.56999999999999995</v>
      </c>
      <c r="K284" s="1192" t="s">
        <v>5531</v>
      </c>
      <c r="L284" s="1192" t="s">
        <v>431</v>
      </c>
      <c r="P284" s="1192" t="s">
        <v>5534</v>
      </c>
      <c r="T284" s="1192">
        <v>44926</v>
      </c>
      <c r="V284" s="1192">
        <v>64</v>
      </c>
    </row>
    <row r="285" spans="1:22" s="1192" customFormat="1" ht="14.4" x14ac:dyDescent="0.3">
      <c r="A285" s="1192" t="s">
        <v>207</v>
      </c>
      <c r="E285" s="2150" t="s">
        <v>5954</v>
      </c>
      <c r="F285" s="2133"/>
      <c r="G285" s="1282" t="s">
        <v>19</v>
      </c>
      <c r="H285" s="836">
        <v>0.05</v>
      </c>
      <c r="K285" s="1192" t="s">
        <v>5531</v>
      </c>
      <c r="L285" s="1192" t="s">
        <v>431</v>
      </c>
      <c r="P285" s="1192" t="s">
        <v>5535</v>
      </c>
      <c r="T285" s="1192">
        <v>44196</v>
      </c>
      <c r="V285" s="1192">
        <v>153</v>
      </c>
    </row>
    <row r="286" spans="1:22" s="1192" customFormat="1" ht="14.4" x14ac:dyDescent="0.3">
      <c r="A286" s="1192" t="s">
        <v>207</v>
      </c>
      <c r="E286" s="2133" t="s">
        <v>80</v>
      </c>
      <c r="F286" s="2133"/>
      <c r="G286" s="793" t="s">
        <v>20</v>
      </c>
      <c r="H286" s="854">
        <v>3.09E-2</v>
      </c>
      <c r="K286" s="1192" t="s">
        <v>5531</v>
      </c>
      <c r="L286" s="1192" t="s">
        <v>430</v>
      </c>
      <c r="P286" s="1192" t="s">
        <v>5536</v>
      </c>
      <c r="V286" s="1192">
        <v>28</v>
      </c>
    </row>
    <row r="287" spans="1:22" s="1192" customFormat="1" ht="14.4" x14ac:dyDescent="0.3">
      <c r="A287" s="1192" t="s">
        <v>207</v>
      </c>
      <c r="E287" s="2150" t="s">
        <v>5954</v>
      </c>
      <c r="F287" s="2133"/>
      <c r="G287" s="1282" t="s">
        <v>20</v>
      </c>
      <c r="H287" s="1221">
        <v>-8.0000000000000004E-4</v>
      </c>
      <c r="K287" s="1192" t="s">
        <v>5531</v>
      </c>
      <c r="L287" s="1192" t="s">
        <v>431</v>
      </c>
      <c r="P287" s="1192" t="s">
        <v>5535</v>
      </c>
      <c r="T287" s="1192">
        <v>44196</v>
      </c>
      <c r="V287" s="1192">
        <v>153</v>
      </c>
    </row>
    <row r="288" spans="1:22" s="1192" customFormat="1" ht="14.4" x14ac:dyDescent="0.3">
      <c r="A288" s="1192" t="s">
        <v>207</v>
      </c>
      <c r="E288" s="2133" t="s">
        <v>5506</v>
      </c>
      <c r="F288" s="2133"/>
      <c r="G288" s="1282" t="s">
        <v>20</v>
      </c>
      <c r="H288" s="1221">
        <v>-6.7000000000000002E-3</v>
      </c>
      <c r="K288" s="1192" t="s">
        <v>5531</v>
      </c>
      <c r="L288" s="1192" t="s">
        <v>431</v>
      </c>
      <c r="P288" s="1192" t="s">
        <v>5537</v>
      </c>
      <c r="T288" s="1192">
        <v>44196</v>
      </c>
      <c r="V288" s="1192">
        <v>148</v>
      </c>
    </row>
    <row r="289" spans="1:22" s="1192" customFormat="1" ht="14.4" x14ac:dyDescent="0.3">
      <c r="A289" s="1192" t="s">
        <v>207</v>
      </c>
      <c r="E289" s="2133" t="s">
        <v>5507</v>
      </c>
      <c r="F289" s="2133"/>
      <c r="G289" s="1282" t="s">
        <v>20</v>
      </c>
      <c r="H289" s="836">
        <v>6.7999999999999996E-3</v>
      </c>
      <c r="K289" s="1192" t="s">
        <v>5531</v>
      </c>
      <c r="L289" s="1192" t="s">
        <v>432</v>
      </c>
      <c r="P289" s="1192" t="s">
        <v>5990</v>
      </c>
      <c r="V289" s="1192">
        <v>60</v>
      </c>
    </row>
    <row r="290" spans="1:22" s="1192" customFormat="1" ht="14.4" x14ac:dyDescent="0.3">
      <c r="A290" s="1192" t="s">
        <v>207</v>
      </c>
      <c r="E290" s="2133" t="s">
        <v>5508</v>
      </c>
      <c r="F290" s="2133"/>
      <c r="G290" s="1282" t="s">
        <v>20</v>
      </c>
      <c r="H290" s="836">
        <v>5.5999999999999999E-3</v>
      </c>
      <c r="K290" s="1192" t="s">
        <v>5531</v>
      </c>
      <c r="L290" s="1192" t="s">
        <v>432</v>
      </c>
      <c r="P290" s="1192" t="s">
        <v>5991</v>
      </c>
      <c r="V290" s="1192">
        <v>87</v>
      </c>
    </row>
    <row r="291" spans="1:22" s="1192" customFormat="1" ht="14.4" x14ac:dyDescent="0.3">
      <c r="A291" s="1192" t="s">
        <v>207</v>
      </c>
      <c r="E291" s="2146" t="s">
        <v>2405</v>
      </c>
      <c r="F291" s="2133"/>
      <c r="G291" s="2133"/>
      <c r="H291" s="2133"/>
      <c r="K291" s="1192" t="s">
        <v>2427</v>
      </c>
      <c r="V291" s="1192">
        <v>48</v>
      </c>
    </row>
    <row r="292" spans="1:22" s="1192" customFormat="1" ht="14.4" x14ac:dyDescent="0.3">
      <c r="A292" s="1192" t="s">
        <v>207</v>
      </c>
      <c r="E292" s="2133" t="s">
        <v>5509</v>
      </c>
      <c r="F292" s="2133"/>
      <c r="G292" s="793" t="s">
        <v>20</v>
      </c>
      <c r="H292" s="1221">
        <v>3.0000000000000001E-3</v>
      </c>
      <c r="K292" s="1192" t="s">
        <v>5531</v>
      </c>
      <c r="L292" s="1192" t="s">
        <v>2374</v>
      </c>
      <c r="P292" s="1192" t="s">
        <v>5538</v>
      </c>
      <c r="V292" s="1192">
        <v>69</v>
      </c>
    </row>
    <row r="293" spans="1:22" s="1192" customFormat="1" ht="14.4" x14ac:dyDescent="0.3">
      <c r="A293" s="1192" t="s">
        <v>207</v>
      </c>
      <c r="E293" s="2133" t="s">
        <v>5510</v>
      </c>
      <c r="F293" s="2133"/>
      <c r="G293" s="793" t="s">
        <v>20</v>
      </c>
      <c r="H293" s="854">
        <v>4.0000000000000002E-4</v>
      </c>
      <c r="K293" s="1192" t="s">
        <v>5531</v>
      </c>
      <c r="L293" s="1192" t="s">
        <v>2374</v>
      </c>
      <c r="P293" s="1192" t="s">
        <v>5538</v>
      </c>
      <c r="V293" s="1192">
        <v>78</v>
      </c>
    </row>
    <row r="294" spans="1:22" s="1192" customFormat="1" ht="14.4" x14ac:dyDescent="0.3">
      <c r="A294" s="1192" t="s">
        <v>207</v>
      </c>
      <c r="E294" s="2133" t="s">
        <v>5511</v>
      </c>
      <c r="F294" s="2133"/>
      <c r="G294" s="793" t="s">
        <v>20</v>
      </c>
      <c r="H294" s="854">
        <v>5.0000000000000001E-4</v>
      </c>
      <c r="K294" s="1192" t="s">
        <v>5531</v>
      </c>
      <c r="L294" s="1192" t="s">
        <v>2374</v>
      </c>
      <c r="P294" s="1192" t="s">
        <v>5539</v>
      </c>
      <c r="V294" s="1192">
        <v>71</v>
      </c>
    </row>
    <row r="295" spans="1:22" s="1192" customFormat="1" ht="14.4" x14ac:dyDescent="0.3">
      <c r="A295" s="1192" t="s">
        <v>207</v>
      </c>
      <c r="E295" s="2133" t="s">
        <v>28</v>
      </c>
      <c r="F295" s="2133"/>
      <c r="G295" s="793" t="s">
        <v>19</v>
      </c>
      <c r="H295" s="854">
        <v>0.25</v>
      </c>
      <c r="K295" s="1192" t="s">
        <v>5531</v>
      </c>
      <c r="L295" s="1192" t="s">
        <v>2374</v>
      </c>
      <c r="P295" s="1192" t="s">
        <v>5540</v>
      </c>
      <c r="V295" s="1192">
        <v>63</v>
      </c>
    </row>
    <row r="296" spans="1:22" s="1192" customFormat="1" ht="14.4" x14ac:dyDescent="0.3">
      <c r="A296" s="1192" t="s">
        <v>207</v>
      </c>
      <c r="E296" s="2134" t="s">
        <v>5541</v>
      </c>
      <c r="F296" s="2135"/>
      <c r="G296" s="2135"/>
      <c r="H296" s="2135"/>
      <c r="K296" s="1192" t="s">
        <v>5542</v>
      </c>
      <c r="V296" s="1192">
        <v>35</v>
      </c>
    </row>
    <row r="297" spans="1:22" s="1192" customFormat="1" ht="14.4" x14ac:dyDescent="0.3">
      <c r="A297" s="1192" t="s">
        <v>207</v>
      </c>
      <c r="E297" s="2151" t="s">
        <v>5543</v>
      </c>
      <c r="F297" s="2151"/>
      <c r="G297" s="2151"/>
      <c r="H297" s="2151"/>
      <c r="K297" s="1192" t="s">
        <v>5542</v>
      </c>
      <c r="V297" s="1192">
        <v>183</v>
      </c>
    </row>
    <row r="298" spans="1:22" s="1192" customFormat="1" ht="14.4" x14ac:dyDescent="0.3">
      <c r="A298" s="1192" t="s">
        <v>207</v>
      </c>
      <c r="E298" s="2146" t="s">
        <v>2394</v>
      </c>
      <c r="F298" s="2146"/>
      <c r="G298" s="2146"/>
      <c r="H298" s="2146"/>
      <c r="K298" s="1192" t="s">
        <v>2431</v>
      </c>
      <c r="V298" s="1192">
        <v>46</v>
      </c>
    </row>
    <row r="299" spans="1:22" s="1192" customFormat="1" ht="14.4" x14ac:dyDescent="0.3">
      <c r="A299" s="1192" t="s">
        <v>207</v>
      </c>
      <c r="E299" s="2133" t="s">
        <v>7</v>
      </c>
      <c r="F299" s="2133"/>
      <c r="G299" s="793" t="s">
        <v>19</v>
      </c>
      <c r="H299" s="854">
        <v>34.01</v>
      </c>
      <c r="K299" s="1192" t="s">
        <v>5542</v>
      </c>
      <c r="L299" s="1192" t="s">
        <v>430</v>
      </c>
      <c r="P299" s="1192" t="s">
        <v>5544</v>
      </c>
      <c r="V299" s="1192">
        <v>14</v>
      </c>
    </row>
    <row r="300" spans="1:22" s="1192" customFormat="1" ht="14.4" x14ac:dyDescent="0.3">
      <c r="A300" s="1192" t="s">
        <v>207</v>
      </c>
      <c r="E300" s="2133" t="s">
        <v>3900</v>
      </c>
      <c r="F300" s="2133"/>
      <c r="G300" s="793" t="s">
        <v>19</v>
      </c>
      <c r="H300" s="854">
        <v>0.56999999999999995</v>
      </c>
      <c r="K300" s="1192" t="s">
        <v>5542</v>
      </c>
      <c r="L300" s="1192" t="s">
        <v>431</v>
      </c>
      <c r="P300" s="1192" t="s">
        <v>5545</v>
      </c>
      <c r="T300" s="1192">
        <v>44926</v>
      </c>
      <c r="V300" s="1192">
        <v>64</v>
      </c>
    </row>
    <row r="301" spans="1:22" s="1192" customFormat="1" ht="14.4" x14ac:dyDescent="0.3">
      <c r="A301" s="1192" t="s">
        <v>207</v>
      </c>
      <c r="E301" s="2150" t="s">
        <v>5954</v>
      </c>
      <c r="F301" s="2133"/>
      <c r="G301" s="1282" t="s">
        <v>19</v>
      </c>
      <c r="H301" s="836">
        <v>0.03</v>
      </c>
      <c r="K301" s="1192" t="s">
        <v>5542</v>
      </c>
      <c r="L301" s="1192" t="s">
        <v>431</v>
      </c>
      <c r="P301" s="1192" t="s">
        <v>5546</v>
      </c>
      <c r="T301" s="1192">
        <v>44196</v>
      </c>
      <c r="V301" s="1192">
        <v>153</v>
      </c>
    </row>
    <row r="302" spans="1:22" s="1192" customFormat="1" ht="14.4" x14ac:dyDescent="0.3">
      <c r="A302" s="1192" t="s">
        <v>207</v>
      </c>
      <c r="E302" s="2133" t="s">
        <v>80</v>
      </c>
      <c r="F302" s="2133"/>
      <c r="G302" s="793" t="s">
        <v>20</v>
      </c>
      <c r="H302" s="854">
        <v>6.4100000000000004E-2</v>
      </c>
      <c r="K302" s="1192" t="s">
        <v>5542</v>
      </c>
      <c r="L302" s="1192" t="s">
        <v>430</v>
      </c>
      <c r="P302" s="1192" t="s">
        <v>5547</v>
      </c>
      <c r="V302" s="1192">
        <v>28</v>
      </c>
    </row>
    <row r="303" spans="1:22" s="1192" customFormat="1" ht="14.4" x14ac:dyDescent="0.3">
      <c r="A303" s="1192" t="s">
        <v>207</v>
      </c>
      <c r="E303" s="2150" t="s">
        <v>5954</v>
      </c>
      <c r="F303" s="2133"/>
      <c r="G303" s="1282" t="s">
        <v>20</v>
      </c>
      <c r="H303" s="1221">
        <v>-8.0000000000000004E-4</v>
      </c>
      <c r="K303" s="1192" t="s">
        <v>5542</v>
      </c>
      <c r="L303" s="1192" t="s">
        <v>431</v>
      </c>
      <c r="P303" s="1192" t="s">
        <v>5546</v>
      </c>
      <c r="T303" s="1192">
        <v>44196</v>
      </c>
      <c r="V303" s="1192">
        <v>153</v>
      </c>
    </row>
    <row r="304" spans="1:22" s="1192" customFormat="1" ht="14.4" x14ac:dyDescent="0.3">
      <c r="A304" s="1192" t="s">
        <v>207</v>
      </c>
      <c r="E304" s="2133" t="s">
        <v>5506</v>
      </c>
      <c r="F304" s="2133"/>
      <c r="G304" s="1282" t="s">
        <v>20</v>
      </c>
      <c r="H304" s="1221">
        <v>-6.7000000000000002E-3</v>
      </c>
      <c r="K304" s="1192" t="s">
        <v>5542</v>
      </c>
      <c r="L304" s="1192" t="s">
        <v>431</v>
      </c>
      <c r="P304" s="1192" t="s">
        <v>5548</v>
      </c>
      <c r="T304" s="1192">
        <v>44196</v>
      </c>
      <c r="V304" s="1192">
        <v>148</v>
      </c>
    </row>
    <row r="305" spans="1:22" s="1192" customFormat="1" ht="14.4" x14ac:dyDescent="0.3">
      <c r="A305" s="1192" t="s">
        <v>207</v>
      </c>
      <c r="E305" s="2133" t="s">
        <v>5507</v>
      </c>
      <c r="F305" s="2133"/>
      <c r="G305" s="793" t="s">
        <v>20</v>
      </c>
      <c r="H305" s="854">
        <v>6.3E-3</v>
      </c>
      <c r="K305" s="1192" t="s">
        <v>5542</v>
      </c>
      <c r="L305" s="1192" t="s">
        <v>432</v>
      </c>
      <c r="P305" s="1192" t="s">
        <v>5992</v>
      </c>
      <c r="V305" s="1192">
        <v>60</v>
      </c>
    </row>
    <row r="306" spans="1:22" s="1192" customFormat="1" ht="14.4" x14ac:dyDescent="0.3">
      <c r="A306" s="1192" t="s">
        <v>207</v>
      </c>
      <c r="E306" s="2133" t="s">
        <v>5508</v>
      </c>
      <c r="F306" s="2133"/>
      <c r="G306" s="793" t="s">
        <v>20</v>
      </c>
      <c r="H306" s="854">
        <v>5.4999999999999997E-3</v>
      </c>
      <c r="K306" s="1192" t="s">
        <v>5542</v>
      </c>
      <c r="L306" s="1192" t="s">
        <v>432</v>
      </c>
      <c r="P306" s="1192" t="s">
        <v>5993</v>
      </c>
      <c r="V306" s="1192">
        <v>87</v>
      </c>
    </row>
    <row r="307" spans="1:22" s="1192" customFormat="1" ht="14.4" x14ac:dyDescent="0.3">
      <c r="A307" s="1192" t="s">
        <v>207</v>
      </c>
      <c r="E307" s="2146" t="s">
        <v>2405</v>
      </c>
      <c r="F307" s="2133"/>
      <c r="G307" s="2133"/>
      <c r="H307" s="2133"/>
      <c r="K307" s="1192" t="s">
        <v>2438</v>
      </c>
      <c r="V307" s="1192">
        <v>48</v>
      </c>
    </row>
    <row r="308" spans="1:22" s="1192" customFormat="1" ht="14.4" x14ac:dyDescent="0.3">
      <c r="A308" s="1192" t="s">
        <v>207</v>
      </c>
      <c r="E308" s="2133" t="s">
        <v>5509</v>
      </c>
      <c r="F308" s="2133"/>
      <c r="G308" s="793" t="s">
        <v>20</v>
      </c>
      <c r="H308" s="1221">
        <v>3.0000000000000001E-3</v>
      </c>
      <c r="K308" s="1192" t="s">
        <v>5542</v>
      </c>
      <c r="L308" s="1192" t="s">
        <v>2374</v>
      </c>
      <c r="P308" s="1192" t="s">
        <v>5549</v>
      </c>
      <c r="V308" s="1192">
        <v>69</v>
      </c>
    </row>
    <row r="309" spans="1:22" s="1192" customFormat="1" ht="14.4" x14ac:dyDescent="0.3">
      <c r="A309" s="1192" t="s">
        <v>207</v>
      </c>
      <c r="E309" s="2133" t="s">
        <v>5510</v>
      </c>
      <c r="F309" s="2133"/>
      <c r="G309" s="793" t="s">
        <v>20</v>
      </c>
      <c r="H309" s="854">
        <v>4.0000000000000002E-4</v>
      </c>
      <c r="K309" s="1192" t="s">
        <v>5542</v>
      </c>
      <c r="L309" s="1192" t="s">
        <v>2374</v>
      </c>
      <c r="P309" s="1192" t="s">
        <v>5549</v>
      </c>
      <c r="V309" s="1192">
        <v>78</v>
      </c>
    </row>
    <row r="310" spans="1:22" s="1192" customFormat="1" ht="14.4" x14ac:dyDescent="0.3">
      <c r="A310" s="1192" t="s">
        <v>207</v>
      </c>
      <c r="E310" s="2133" t="s">
        <v>5511</v>
      </c>
      <c r="F310" s="2133"/>
      <c r="G310" s="793" t="s">
        <v>20</v>
      </c>
      <c r="H310" s="854">
        <v>5.0000000000000001E-4</v>
      </c>
      <c r="K310" s="1192" t="s">
        <v>5542</v>
      </c>
      <c r="L310" s="1192" t="s">
        <v>2374</v>
      </c>
      <c r="P310" s="1192" t="s">
        <v>5550</v>
      </c>
      <c r="V310" s="1192">
        <v>71</v>
      </c>
    </row>
    <row r="311" spans="1:22" s="1192" customFormat="1" ht="14.4" x14ac:dyDescent="0.3">
      <c r="A311" s="1192" t="s">
        <v>207</v>
      </c>
      <c r="E311" s="2133" t="s">
        <v>28</v>
      </c>
      <c r="F311" s="2133"/>
      <c r="G311" s="793" t="s">
        <v>19</v>
      </c>
      <c r="H311" s="854">
        <v>0.25</v>
      </c>
      <c r="K311" s="1192" t="s">
        <v>5542</v>
      </c>
      <c r="L311" s="1192" t="s">
        <v>2374</v>
      </c>
      <c r="P311" s="1192" t="s">
        <v>5551</v>
      </c>
      <c r="V311" s="1192">
        <v>63</v>
      </c>
    </row>
    <row r="312" spans="1:22" s="1192" customFormat="1" ht="14.4" x14ac:dyDescent="0.3">
      <c r="A312" s="1192" t="s">
        <v>207</v>
      </c>
      <c r="E312" s="2134" t="s">
        <v>5552</v>
      </c>
      <c r="F312" s="2135"/>
      <c r="G312" s="2135"/>
      <c r="H312" s="2135"/>
      <c r="K312" s="1192" t="s">
        <v>5994</v>
      </c>
      <c r="V312" s="1192">
        <v>41</v>
      </c>
    </row>
    <row r="313" spans="1:22" s="1192" customFormat="1" ht="14.4" x14ac:dyDescent="0.3">
      <c r="A313" s="1192" t="s">
        <v>207</v>
      </c>
      <c r="E313" s="2067" t="s">
        <v>5553</v>
      </c>
      <c r="F313" s="2067"/>
      <c r="G313" s="2067"/>
      <c r="H313" s="2067"/>
      <c r="K313" s="1192" t="s">
        <v>5994</v>
      </c>
      <c r="V313" s="1192">
        <v>541</v>
      </c>
    </row>
    <row r="314" spans="1:22" s="1192" customFormat="1" ht="14.4" x14ac:dyDescent="0.3">
      <c r="A314" s="1192" t="s">
        <v>207</v>
      </c>
      <c r="E314" s="2146" t="s">
        <v>2394</v>
      </c>
      <c r="F314" s="2146"/>
      <c r="G314" s="2146"/>
      <c r="H314" s="2146"/>
      <c r="K314" s="1192" t="s">
        <v>2446</v>
      </c>
      <c r="V314" s="1192">
        <v>46</v>
      </c>
    </row>
    <row r="315" spans="1:22" s="1192" customFormat="1" ht="14.4" x14ac:dyDescent="0.3">
      <c r="A315" s="1192" t="s">
        <v>207</v>
      </c>
      <c r="E315" s="2133" t="s">
        <v>7</v>
      </c>
      <c r="F315" s="2133"/>
      <c r="G315" s="793" t="s">
        <v>19</v>
      </c>
      <c r="H315" s="854">
        <v>100.11</v>
      </c>
      <c r="K315" s="1192" t="s">
        <v>5994</v>
      </c>
      <c r="L315" s="1192" t="s">
        <v>430</v>
      </c>
      <c r="P315" s="1192" t="s">
        <v>5995</v>
      </c>
      <c r="V315" s="1192">
        <v>14</v>
      </c>
    </row>
    <row r="316" spans="1:22" s="1192" customFormat="1" ht="14.4" x14ac:dyDescent="0.3">
      <c r="A316" s="1192" t="s">
        <v>207</v>
      </c>
      <c r="E316" s="2150" t="s">
        <v>5954</v>
      </c>
      <c r="F316" s="2133"/>
      <c r="G316" s="1282" t="s">
        <v>19</v>
      </c>
      <c r="H316" s="836">
        <v>0.06</v>
      </c>
      <c r="K316" s="1192" t="s">
        <v>5994</v>
      </c>
      <c r="L316" s="1192" t="s">
        <v>431</v>
      </c>
      <c r="P316" s="1192" t="s">
        <v>5996</v>
      </c>
      <c r="T316" s="1192">
        <v>44196</v>
      </c>
      <c r="V316" s="1192">
        <v>153</v>
      </c>
    </row>
    <row r="317" spans="1:22" s="1192" customFormat="1" ht="14.4" x14ac:dyDescent="0.3">
      <c r="A317" s="1192" t="s">
        <v>207</v>
      </c>
      <c r="E317" s="2133" t="s">
        <v>80</v>
      </c>
      <c r="F317" s="2133"/>
      <c r="G317" s="793" t="s">
        <v>29</v>
      </c>
      <c r="H317" s="854">
        <v>10.668900000000001</v>
      </c>
      <c r="K317" s="1192" t="s">
        <v>5994</v>
      </c>
      <c r="L317" s="1192" t="s">
        <v>430</v>
      </c>
      <c r="P317" s="1192" t="s">
        <v>5997</v>
      </c>
      <c r="V317" s="1192">
        <v>28</v>
      </c>
    </row>
    <row r="318" spans="1:22" s="1192" customFormat="1" ht="14.4" x14ac:dyDescent="0.3">
      <c r="A318" s="1192" t="s">
        <v>207</v>
      </c>
      <c r="E318" s="2150" t="s">
        <v>5954</v>
      </c>
      <c r="F318" s="2133"/>
      <c r="G318" s="1282" t="s">
        <v>29</v>
      </c>
      <c r="H318" s="1221">
        <v>-0.30719999999999997</v>
      </c>
      <c r="K318" s="1192" t="s">
        <v>5994</v>
      </c>
      <c r="L318" s="1192" t="s">
        <v>431</v>
      </c>
      <c r="P318" s="1192" t="s">
        <v>5996</v>
      </c>
      <c r="T318" s="1192">
        <v>44196</v>
      </c>
      <c r="V318" s="1192">
        <v>153</v>
      </c>
    </row>
    <row r="319" spans="1:22" s="1192" customFormat="1" ht="14.4" x14ac:dyDescent="0.3">
      <c r="A319" s="1192" t="s">
        <v>207</v>
      </c>
      <c r="E319" s="2133" t="s">
        <v>5506</v>
      </c>
      <c r="F319" s="2133"/>
      <c r="G319" s="1282" t="s">
        <v>20</v>
      </c>
      <c r="H319" s="1221">
        <v>-6.7000000000000002E-3</v>
      </c>
      <c r="K319" s="1192" t="s">
        <v>5994</v>
      </c>
      <c r="L319" s="1192" t="s">
        <v>431</v>
      </c>
      <c r="P319" s="1192" t="s">
        <v>5998</v>
      </c>
      <c r="T319" s="1192">
        <v>44196</v>
      </c>
      <c r="V319" s="1192">
        <v>148</v>
      </c>
    </row>
    <row r="320" spans="1:22" s="1192" customFormat="1" ht="14.4" x14ac:dyDescent="0.3">
      <c r="A320" s="1192" t="s">
        <v>207</v>
      </c>
      <c r="E320" s="2133" t="s">
        <v>5507</v>
      </c>
      <c r="F320" s="2133"/>
      <c r="G320" s="793" t="s">
        <v>29</v>
      </c>
      <c r="H320" s="854">
        <v>2.4354</v>
      </c>
      <c r="K320" s="1192" t="s">
        <v>5994</v>
      </c>
      <c r="L320" s="1192" t="s">
        <v>432</v>
      </c>
      <c r="P320" s="1192" t="s">
        <v>5999</v>
      </c>
      <c r="V320" s="1192">
        <v>60</v>
      </c>
    </row>
    <row r="321" spans="1:22" s="1192" customFormat="1" ht="14.4" x14ac:dyDescent="0.3">
      <c r="A321" s="1192" t="s">
        <v>207</v>
      </c>
      <c r="E321" s="2133" t="s">
        <v>5508</v>
      </c>
      <c r="F321" s="2133"/>
      <c r="G321" s="793" t="s">
        <v>29</v>
      </c>
      <c r="H321" s="854">
        <v>2.0329000000000002</v>
      </c>
      <c r="K321" s="1192" t="s">
        <v>5994</v>
      </c>
      <c r="L321" s="1192" t="s">
        <v>432</v>
      </c>
      <c r="P321" s="1192" t="s">
        <v>6000</v>
      </c>
      <c r="V321" s="1192">
        <v>87</v>
      </c>
    </row>
    <row r="322" spans="1:22" s="1192" customFormat="1" ht="14.4" x14ac:dyDescent="0.3">
      <c r="A322" s="1192" t="s">
        <v>207</v>
      </c>
      <c r="E322" s="2146" t="s">
        <v>2405</v>
      </c>
      <c r="F322" s="2133"/>
      <c r="G322" s="2133"/>
      <c r="H322" s="2133"/>
      <c r="K322" s="1192" t="s">
        <v>2565</v>
      </c>
      <c r="V322" s="1192">
        <v>48</v>
      </c>
    </row>
    <row r="323" spans="1:22" s="1192" customFormat="1" ht="14.4" x14ac:dyDescent="0.3">
      <c r="A323" s="1192" t="s">
        <v>207</v>
      </c>
      <c r="E323" s="2133" t="s">
        <v>5509</v>
      </c>
      <c r="F323" s="2133"/>
      <c r="G323" s="793" t="s">
        <v>20</v>
      </c>
      <c r="H323" s="1221">
        <v>3.0000000000000001E-3</v>
      </c>
      <c r="K323" s="1192" t="s">
        <v>5994</v>
      </c>
      <c r="L323" s="1192" t="s">
        <v>2374</v>
      </c>
      <c r="P323" s="1192" t="s">
        <v>6001</v>
      </c>
      <c r="V323" s="1192">
        <v>69</v>
      </c>
    </row>
    <row r="324" spans="1:22" s="1192" customFormat="1" ht="14.4" x14ac:dyDescent="0.3">
      <c r="A324" s="1192" t="s">
        <v>207</v>
      </c>
      <c r="E324" s="2133" t="s">
        <v>5510</v>
      </c>
      <c r="F324" s="2133"/>
      <c r="G324" s="793" t="s">
        <v>20</v>
      </c>
      <c r="H324" s="854">
        <v>4.0000000000000002E-4</v>
      </c>
      <c r="K324" s="1192" t="s">
        <v>5994</v>
      </c>
      <c r="L324" s="1192" t="s">
        <v>2374</v>
      </c>
      <c r="P324" s="1192" t="s">
        <v>6001</v>
      </c>
      <c r="V324" s="1192">
        <v>78</v>
      </c>
    </row>
    <row r="325" spans="1:22" s="1192" customFormat="1" ht="14.4" x14ac:dyDescent="0.3">
      <c r="A325" s="1192" t="s">
        <v>207</v>
      </c>
      <c r="E325" s="2133" t="s">
        <v>5511</v>
      </c>
      <c r="F325" s="2133"/>
      <c r="G325" s="793" t="s">
        <v>20</v>
      </c>
      <c r="H325" s="854">
        <v>5.0000000000000001E-4</v>
      </c>
      <c r="K325" s="1192" t="s">
        <v>5994</v>
      </c>
      <c r="L325" s="1192" t="s">
        <v>2374</v>
      </c>
      <c r="P325" s="1192" t="s">
        <v>6002</v>
      </c>
      <c r="V325" s="1192">
        <v>71</v>
      </c>
    </row>
    <row r="326" spans="1:22" s="1192" customFormat="1" ht="14.4" x14ac:dyDescent="0.3">
      <c r="A326" s="1192" t="s">
        <v>207</v>
      </c>
      <c r="E326" s="2133" t="s">
        <v>28</v>
      </c>
      <c r="F326" s="2133"/>
      <c r="G326" s="793" t="s">
        <v>19</v>
      </c>
      <c r="H326" s="854">
        <v>0.25</v>
      </c>
      <c r="K326" s="1192" t="s">
        <v>5994</v>
      </c>
      <c r="L326" s="1192" t="s">
        <v>2374</v>
      </c>
      <c r="P326" s="1192" t="s">
        <v>6003</v>
      </c>
      <c r="V326" s="1192">
        <v>63</v>
      </c>
    </row>
    <row r="327" spans="1:22" s="1192" customFormat="1" ht="14.4" x14ac:dyDescent="0.3">
      <c r="A327" s="1192" t="s">
        <v>207</v>
      </c>
      <c r="E327" s="2134" t="s">
        <v>5554</v>
      </c>
      <c r="F327" s="2135"/>
      <c r="G327" s="2135"/>
      <c r="H327" s="2135"/>
      <c r="K327" s="1192" t="s">
        <v>6004</v>
      </c>
      <c r="V327" s="1192">
        <v>35</v>
      </c>
    </row>
    <row r="328" spans="1:22" s="1192" customFormat="1" ht="14.4" x14ac:dyDescent="0.3">
      <c r="A328" s="1192" t="s">
        <v>207</v>
      </c>
      <c r="E328" s="2151" t="s">
        <v>5555</v>
      </c>
      <c r="F328" s="2151"/>
      <c r="G328" s="2151"/>
      <c r="H328" s="2151"/>
      <c r="K328" s="1192" t="s">
        <v>6004</v>
      </c>
      <c r="V328" s="1192">
        <v>551</v>
      </c>
    </row>
    <row r="329" spans="1:22" s="1192" customFormat="1" ht="14.4" x14ac:dyDescent="0.3">
      <c r="A329" s="1192" t="s">
        <v>207</v>
      </c>
      <c r="E329" s="2146" t="s">
        <v>2394</v>
      </c>
      <c r="F329" s="2146"/>
      <c r="G329" s="2146"/>
      <c r="H329" s="2146"/>
      <c r="K329" s="1192" t="s">
        <v>2572</v>
      </c>
      <c r="V329" s="1192">
        <v>46</v>
      </c>
    </row>
    <row r="330" spans="1:22" s="1192" customFormat="1" ht="14.4" x14ac:dyDescent="0.3">
      <c r="A330" s="1192" t="s">
        <v>207</v>
      </c>
      <c r="E330" s="2133" t="s">
        <v>7</v>
      </c>
      <c r="F330" s="2133"/>
      <c r="G330" s="793" t="s">
        <v>19</v>
      </c>
      <c r="H330" s="836">
        <v>116.43</v>
      </c>
      <c r="K330" s="1192" t="s">
        <v>6004</v>
      </c>
      <c r="L330" s="1192" t="s">
        <v>430</v>
      </c>
      <c r="P330" s="1192" t="s">
        <v>6005</v>
      </c>
      <c r="V330" s="1192">
        <v>14</v>
      </c>
    </row>
    <row r="331" spans="1:22" s="1192" customFormat="1" ht="14.4" x14ac:dyDescent="0.3">
      <c r="A331" s="1192" t="s">
        <v>207</v>
      </c>
      <c r="E331" s="2150" t="s">
        <v>5954</v>
      </c>
      <c r="F331" s="2133"/>
      <c r="G331" s="1282" t="s">
        <v>19</v>
      </c>
      <c r="H331" s="1222">
        <v>-0.05</v>
      </c>
      <c r="K331" s="1192" t="s">
        <v>6004</v>
      </c>
      <c r="L331" s="1192" t="s">
        <v>431</v>
      </c>
      <c r="P331" s="1192" t="s">
        <v>6006</v>
      </c>
      <c r="T331" s="1192">
        <v>44196</v>
      </c>
      <c r="V331" s="1192">
        <v>153</v>
      </c>
    </row>
    <row r="332" spans="1:22" s="1192" customFormat="1" ht="14.4" x14ac:dyDescent="0.3">
      <c r="A332" s="1192" t="s">
        <v>207</v>
      </c>
      <c r="E332" s="2133" t="s">
        <v>80</v>
      </c>
      <c r="F332" s="2133"/>
      <c r="G332" s="1282" t="s">
        <v>29</v>
      </c>
      <c r="H332" s="854">
        <v>18.442799999999998</v>
      </c>
      <c r="K332" s="1192" t="s">
        <v>6004</v>
      </c>
      <c r="L332" s="1192" t="s">
        <v>430</v>
      </c>
      <c r="P332" s="1192" t="s">
        <v>6007</v>
      </c>
      <c r="V332" s="1192">
        <v>28</v>
      </c>
    </row>
    <row r="333" spans="1:22" s="1192" customFormat="1" ht="14.4" x14ac:dyDescent="0.3">
      <c r="A333" s="1192" t="s">
        <v>207</v>
      </c>
      <c r="E333" s="2150" t="s">
        <v>5954</v>
      </c>
      <c r="F333" s="2133"/>
      <c r="G333" s="1282" t="s">
        <v>29</v>
      </c>
      <c r="H333" s="1221">
        <v>-0.26550000000000001</v>
      </c>
      <c r="K333" s="1192" t="s">
        <v>6004</v>
      </c>
      <c r="L333" s="1192" t="s">
        <v>431</v>
      </c>
      <c r="P333" s="1192" t="s">
        <v>6006</v>
      </c>
      <c r="T333" s="1192">
        <v>44196</v>
      </c>
      <c r="V333" s="1192">
        <v>153</v>
      </c>
    </row>
    <row r="334" spans="1:22" s="1192" customFormat="1" ht="14.4" x14ac:dyDescent="0.3">
      <c r="A334" s="1192" t="s">
        <v>207</v>
      </c>
      <c r="E334" s="2133" t="s">
        <v>5506</v>
      </c>
      <c r="F334" s="2133"/>
      <c r="G334" s="1282" t="s">
        <v>20</v>
      </c>
      <c r="H334" s="1221">
        <v>-6.7000000000000002E-3</v>
      </c>
      <c r="K334" s="1192" t="s">
        <v>6004</v>
      </c>
      <c r="L334" s="1192" t="s">
        <v>431</v>
      </c>
      <c r="P334" s="1192" t="s">
        <v>6008</v>
      </c>
      <c r="T334" s="1192">
        <v>44196</v>
      </c>
      <c r="V334" s="1192">
        <v>148</v>
      </c>
    </row>
    <row r="335" spans="1:22" s="1192" customFormat="1" ht="14.4" x14ac:dyDescent="0.3">
      <c r="A335" s="1192" t="s">
        <v>207</v>
      </c>
      <c r="E335" s="2133" t="s">
        <v>5507</v>
      </c>
      <c r="F335" s="2133"/>
      <c r="G335" s="793" t="s">
        <v>29</v>
      </c>
      <c r="H335" s="854">
        <v>1.8805000000000001</v>
      </c>
      <c r="K335" s="1192" t="s">
        <v>6004</v>
      </c>
      <c r="L335" s="1192" t="s">
        <v>432</v>
      </c>
      <c r="P335" s="1192" t="s">
        <v>6009</v>
      </c>
      <c r="V335" s="1192">
        <v>60</v>
      </c>
    </row>
    <row r="336" spans="1:22" s="1192" customFormat="1" ht="14.4" x14ac:dyDescent="0.3">
      <c r="A336" s="1192" t="s">
        <v>207</v>
      </c>
      <c r="E336" s="2133" t="s">
        <v>5508</v>
      </c>
      <c r="F336" s="2133"/>
      <c r="G336" s="793" t="s">
        <v>29</v>
      </c>
      <c r="H336" s="854">
        <v>1.5832999999999999</v>
      </c>
      <c r="K336" s="1192" t="s">
        <v>6004</v>
      </c>
      <c r="L336" s="1192" t="s">
        <v>432</v>
      </c>
      <c r="P336" s="1192" t="s">
        <v>6010</v>
      </c>
      <c r="V336" s="1192">
        <v>87</v>
      </c>
    </row>
    <row r="337" spans="1:22" s="1192" customFormat="1" ht="14.4" x14ac:dyDescent="0.3">
      <c r="A337" s="1192" t="s">
        <v>207</v>
      </c>
      <c r="E337" s="2146" t="s">
        <v>2405</v>
      </c>
      <c r="F337" s="2133"/>
      <c r="G337" s="2133"/>
      <c r="H337" s="2133"/>
      <c r="K337" s="1192" t="s">
        <v>2581</v>
      </c>
      <c r="V337" s="1192">
        <v>48</v>
      </c>
    </row>
    <row r="338" spans="1:22" s="1192" customFormat="1" ht="14.4" x14ac:dyDescent="0.3">
      <c r="A338" s="1192" t="s">
        <v>207</v>
      </c>
      <c r="E338" s="2133" t="s">
        <v>5509</v>
      </c>
      <c r="F338" s="2133"/>
      <c r="G338" s="793" t="s">
        <v>20</v>
      </c>
      <c r="H338" s="1221">
        <v>3.0000000000000001E-3</v>
      </c>
      <c r="K338" s="1192" t="s">
        <v>6004</v>
      </c>
      <c r="L338" s="1192" t="s">
        <v>2374</v>
      </c>
      <c r="P338" s="1192" t="s">
        <v>6011</v>
      </c>
      <c r="V338" s="1192">
        <v>69</v>
      </c>
    </row>
    <row r="339" spans="1:22" s="1192" customFormat="1" ht="14.4" x14ac:dyDescent="0.3">
      <c r="A339" s="1192" t="s">
        <v>207</v>
      </c>
      <c r="E339" s="2133" t="s">
        <v>5510</v>
      </c>
      <c r="F339" s="2133"/>
      <c r="G339" s="793" t="s">
        <v>20</v>
      </c>
      <c r="H339" s="854">
        <v>4.0000000000000002E-4</v>
      </c>
      <c r="K339" s="1192" t="s">
        <v>6004</v>
      </c>
      <c r="L339" s="1192" t="s">
        <v>2374</v>
      </c>
      <c r="P339" s="1192" t="s">
        <v>6011</v>
      </c>
      <c r="V339" s="1192">
        <v>78</v>
      </c>
    </row>
    <row r="340" spans="1:22" s="1192" customFormat="1" ht="14.4" x14ac:dyDescent="0.3">
      <c r="A340" s="1192" t="s">
        <v>207</v>
      </c>
      <c r="E340" s="2133" t="s">
        <v>5511</v>
      </c>
      <c r="F340" s="2133"/>
      <c r="G340" s="793" t="s">
        <v>20</v>
      </c>
      <c r="H340" s="854">
        <v>5.0000000000000001E-4</v>
      </c>
      <c r="K340" s="1192" t="s">
        <v>6004</v>
      </c>
      <c r="L340" s="1192" t="s">
        <v>2374</v>
      </c>
      <c r="P340" s="1192" t="s">
        <v>6012</v>
      </c>
      <c r="V340" s="1192">
        <v>71</v>
      </c>
    </row>
    <row r="341" spans="1:22" s="1192" customFormat="1" ht="14.4" x14ac:dyDescent="0.3">
      <c r="A341" s="1192" t="s">
        <v>207</v>
      </c>
      <c r="E341" s="2133" t="s">
        <v>28</v>
      </c>
      <c r="F341" s="2133"/>
      <c r="G341" s="793" t="s">
        <v>19</v>
      </c>
      <c r="H341" s="854">
        <v>0.25</v>
      </c>
      <c r="K341" s="1192" t="s">
        <v>6004</v>
      </c>
      <c r="L341" s="1192" t="s">
        <v>2374</v>
      </c>
      <c r="P341" s="1192" t="s">
        <v>6013</v>
      </c>
      <c r="V341" s="1192">
        <v>63</v>
      </c>
    </row>
    <row r="342" spans="1:22" s="1192" customFormat="1" ht="14.4" x14ac:dyDescent="0.3">
      <c r="A342" s="1192" t="s">
        <v>207</v>
      </c>
      <c r="E342" s="2134" t="s">
        <v>5556</v>
      </c>
      <c r="F342" s="2135"/>
      <c r="G342" s="2135"/>
      <c r="H342" s="2135"/>
      <c r="K342" s="1192" t="s">
        <v>6014</v>
      </c>
      <c r="V342" s="1192">
        <v>29</v>
      </c>
    </row>
    <row r="343" spans="1:22" s="1192" customFormat="1" ht="14.4" x14ac:dyDescent="0.3">
      <c r="A343" s="1192" t="s">
        <v>207</v>
      </c>
      <c r="E343" s="2151" t="s">
        <v>5557</v>
      </c>
      <c r="F343" s="2151"/>
      <c r="G343" s="2151"/>
      <c r="H343" s="2151"/>
      <c r="K343" s="1192" t="s">
        <v>6014</v>
      </c>
      <c r="V343" s="1192">
        <v>568</v>
      </c>
    </row>
    <row r="344" spans="1:22" s="1192" customFormat="1" ht="14.4" x14ac:dyDescent="0.3">
      <c r="A344" s="1192" t="s">
        <v>207</v>
      </c>
      <c r="E344" s="2146" t="s">
        <v>2394</v>
      </c>
      <c r="F344" s="2146"/>
      <c r="G344" s="2146"/>
      <c r="H344" s="2146"/>
      <c r="K344" s="1192" t="s">
        <v>2587</v>
      </c>
      <c r="V344" s="1192">
        <v>46</v>
      </c>
    </row>
    <row r="345" spans="1:22" s="1192" customFormat="1" ht="14.4" x14ac:dyDescent="0.3">
      <c r="A345" s="1192" t="s">
        <v>207</v>
      </c>
      <c r="E345" s="2133" t="s">
        <v>7</v>
      </c>
      <c r="F345" s="2133"/>
      <c r="G345" s="793" t="s">
        <v>19</v>
      </c>
      <c r="H345" s="854">
        <v>205.12</v>
      </c>
      <c r="K345" s="1192" t="s">
        <v>6014</v>
      </c>
      <c r="L345" s="1192" t="s">
        <v>430</v>
      </c>
      <c r="P345" s="1192" t="s">
        <v>6015</v>
      </c>
      <c r="V345" s="1192">
        <v>14</v>
      </c>
    </row>
    <row r="346" spans="1:22" s="1192" customFormat="1" ht="14.4" x14ac:dyDescent="0.3">
      <c r="A346" s="1192" t="s">
        <v>207</v>
      </c>
      <c r="E346" s="2150" t="s">
        <v>5954</v>
      </c>
      <c r="F346" s="2133"/>
      <c r="G346" s="1282" t="s">
        <v>19</v>
      </c>
      <c r="H346" s="836">
        <v>0.05</v>
      </c>
      <c r="K346" s="1192" t="s">
        <v>6014</v>
      </c>
      <c r="L346" s="1192" t="s">
        <v>431</v>
      </c>
      <c r="P346" s="1192" t="s">
        <v>6016</v>
      </c>
      <c r="T346" s="1192">
        <v>44196</v>
      </c>
      <c r="V346" s="1192">
        <v>153</v>
      </c>
    </row>
    <row r="347" spans="1:22" s="1192" customFormat="1" ht="14.4" x14ac:dyDescent="0.3">
      <c r="A347" s="1192" t="s">
        <v>207</v>
      </c>
      <c r="E347" s="2133" t="s">
        <v>80</v>
      </c>
      <c r="F347" s="2133"/>
      <c r="G347" s="793" t="s">
        <v>29</v>
      </c>
      <c r="H347" s="854">
        <v>9.4545999999999992</v>
      </c>
      <c r="K347" s="1192" t="s">
        <v>6014</v>
      </c>
      <c r="L347" s="1192" t="s">
        <v>430</v>
      </c>
      <c r="P347" s="1192" t="s">
        <v>6017</v>
      </c>
      <c r="V347" s="1192">
        <v>28</v>
      </c>
    </row>
    <row r="348" spans="1:22" s="1192" customFormat="1" ht="14.4" x14ac:dyDescent="0.3">
      <c r="A348" s="1192" t="s">
        <v>207</v>
      </c>
      <c r="E348" s="2150" t="s">
        <v>5954</v>
      </c>
      <c r="F348" s="2133"/>
      <c r="G348" s="1282" t="s">
        <v>29</v>
      </c>
      <c r="H348" s="1221">
        <v>-0.10970000000000001</v>
      </c>
      <c r="K348" s="1192" t="s">
        <v>6014</v>
      </c>
      <c r="L348" s="1192" t="s">
        <v>431</v>
      </c>
      <c r="P348" s="1192" t="s">
        <v>6016</v>
      </c>
      <c r="T348" s="1192">
        <v>44196</v>
      </c>
      <c r="V348" s="1192">
        <v>153</v>
      </c>
    </row>
    <row r="349" spans="1:22" s="1192" customFormat="1" ht="14.4" x14ac:dyDescent="0.3">
      <c r="A349" s="1192" t="s">
        <v>207</v>
      </c>
      <c r="E349" s="2133" t="s">
        <v>5506</v>
      </c>
      <c r="F349" s="2133"/>
      <c r="G349" s="1282" t="s">
        <v>20</v>
      </c>
      <c r="H349" s="1221">
        <v>-6.7000000000000002E-3</v>
      </c>
      <c r="K349" s="1192" t="s">
        <v>6014</v>
      </c>
      <c r="L349" s="1192" t="s">
        <v>431</v>
      </c>
      <c r="P349" s="1192" t="s">
        <v>6018</v>
      </c>
      <c r="T349" s="1192">
        <v>44196</v>
      </c>
      <c r="V349" s="1192">
        <v>148</v>
      </c>
    </row>
    <row r="350" spans="1:22" s="1192" customFormat="1" ht="14.4" x14ac:dyDescent="0.3">
      <c r="A350" s="1192" t="s">
        <v>207</v>
      </c>
      <c r="E350" s="2133" t="s">
        <v>5507</v>
      </c>
      <c r="F350" s="2133"/>
      <c r="G350" s="793" t="s">
        <v>29</v>
      </c>
      <c r="H350" s="854">
        <v>0.91410000000000002</v>
      </c>
      <c r="K350" s="1192" t="s">
        <v>6014</v>
      </c>
      <c r="L350" s="1192" t="s">
        <v>432</v>
      </c>
      <c r="P350" s="1192" t="s">
        <v>6019</v>
      </c>
      <c r="V350" s="1192">
        <v>60</v>
      </c>
    </row>
    <row r="351" spans="1:22" s="1192" customFormat="1" ht="14.4" x14ac:dyDescent="0.3">
      <c r="A351" s="1192" t="s">
        <v>207</v>
      </c>
      <c r="E351" s="2133" t="s">
        <v>5508</v>
      </c>
      <c r="F351" s="2133"/>
      <c r="G351" s="793" t="s">
        <v>29</v>
      </c>
      <c r="H351" s="854">
        <v>0.77129999999999999</v>
      </c>
      <c r="K351" s="1192" t="s">
        <v>6014</v>
      </c>
      <c r="L351" s="1192" t="s">
        <v>432</v>
      </c>
      <c r="P351" s="1192" t="s">
        <v>6020</v>
      </c>
      <c r="V351" s="1192">
        <v>87</v>
      </c>
    </row>
    <row r="352" spans="1:22" s="1192" customFormat="1" ht="14.4" x14ac:dyDescent="0.3">
      <c r="A352" s="1192" t="s">
        <v>207</v>
      </c>
      <c r="E352" s="2146" t="s">
        <v>2405</v>
      </c>
      <c r="F352" s="2133"/>
      <c r="G352" s="2133"/>
      <c r="H352" s="2133"/>
      <c r="K352" s="1192" t="s">
        <v>2657</v>
      </c>
      <c r="V352" s="1192">
        <v>48</v>
      </c>
    </row>
    <row r="353" spans="1:22" s="1192" customFormat="1" ht="14.4" x14ac:dyDescent="0.3">
      <c r="A353" s="1192" t="s">
        <v>207</v>
      </c>
      <c r="E353" s="2133" t="s">
        <v>5509</v>
      </c>
      <c r="F353" s="2133"/>
      <c r="G353" s="793" t="s">
        <v>20</v>
      </c>
      <c r="H353" s="1221">
        <v>3.0000000000000001E-3</v>
      </c>
      <c r="K353" s="1192" t="s">
        <v>6014</v>
      </c>
      <c r="L353" s="1192" t="s">
        <v>2374</v>
      </c>
      <c r="P353" s="1192" t="s">
        <v>6021</v>
      </c>
      <c r="V353" s="1192">
        <v>69</v>
      </c>
    </row>
    <row r="354" spans="1:22" s="1192" customFormat="1" ht="14.4" x14ac:dyDescent="0.3">
      <c r="A354" s="1192" t="s">
        <v>207</v>
      </c>
      <c r="E354" s="2133" t="s">
        <v>5510</v>
      </c>
      <c r="F354" s="2133"/>
      <c r="G354" s="793" t="s">
        <v>20</v>
      </c>
      <c r="H354" s="854">
        <v>4.0000000000000002E-4</v>
      </c>
      <c r="K354" s="1192" t="s">
        <v>6014</v>
      </c>
      <c r="L354" s="1192" t="s">
        <v>2374</v>
      </c>
      <c r="P354" s="1192" t="s">
        <v>6021</v>
      </c>
      <c r="V354" s="1192">
        <v>78</v>
      </c>
    </row>
    <row r="355" spans="1:22" s="1192" customFormat="1" ht="14.4" x14ac:dyDescent="0.3">
      <c r="A355" s="1192" t="s">
        <v>207</v>
      </c>
      <c r="E355" s="2133" t="s">
        <v>5511</v>
      </c>
      <c r="F355" s="2133"/>
      <c r="G355" s="793" t="s">
        <v>20</v>
      </c>
      <c r="H355" s="854">
        <v>5.0000000000000001E-4</v>
      </c>
      <c r="K355" s="1192" t="s">
        <v>6014</v>
      </c>
      <c r="L355" s="1192" t="s">
        <v>2374</v>
      </c>
      <c r="P355" s="1192" t="s">
        <v>6022</v>
      </c>
      <c r="V355" s="1192">
        <v>71</v>
      </c>
    </row>
    <row r="356" spans="1:22" s="1192" customFormat="1" ht="14.4" x14ac:dyDescent="0.3">
      <c r="A356" s="1192" t="s">
        <v>207</v>
      </c>
      <c r="E356" s="2133" t="s">
        <v>28</v>
      </c>
      <c r="F356" s="2133"/>
      <c r="G356" s="793" t="s">
        <v>19</v>
      </c>
      <c r="H356" s="854">
        <v>0.25</v>
      </c>
      <c r="K356" s="1192" t="s">
        <v>6014</v>
      </c>
      <c r="L356" s="1192" t="s">
        <v>2374</v>
      </c>
      <c r="P356" s="1192" t="s">
        <v>6023</v>
      </c>
      <c r="V356" s="1192">
        <v>63</v>
      </c>
    </row>
    <row r="357" spans="1:22" s="1192" customFormat="1" ht="14.4" x14ac:dyDescent="0.3">
      <c r="A357" s="1192" t="s">
        <v>207</v>
      </c>
      <c r="E357" s="2134" t="s">
        <v>5558</v>
      </c>
      <c r="F357" s="2135"/>
      <c r="G357" s="2135"/>
      <c r="H357" s="2135"/>
      <c r="K357" s="1192" t="s">
        <v>6024</v>
      </c>
      <c r="V357" s="1192">
        <v>21</v>
      </c>
    </row>
    <row r="358" spans="1:22" s="1192" customFormat="1" ht="14.4" x14ac:dyDescent="0.3">
      <c r="A358" s="1192" t="s">
        <v>207</v>
      </c>
      <c r="E358" s="2151" t="s">
        <v>5559</v>
      </c>
      <c r="F358" s="2151"/>
      <c r="G358" s="2151"/>
      <c r="H358" s="2151"/>
      <c r="K358" s="1192" t="s">
        <v>6024</v>
      </c>
      <c r="V358" s="1192">
        <v>38</v>
      </c>
    </row>
    <row r="359" spans="1:22" s="1192" customFormat="1" ht="14.4" x14ac:dyDescent="0.3">
      <c r="A359" s="1192" t="s">
        <v>207</v>
      </c>
      <c r="E359" s="2200" t="s">
        <v>5560</v>
      </c>
      <c r="F359" s="2200"/>
      <c r="G359" s="2200"/>
      <c r="H359" s="2200"/>
      <c r="K359" s="1192" t="s">
        <v>6024</v>
      </c>
      <c r="V359" s="1192">
        <v>306</v>
      </c>
    </row>
    <row r="360" spans="1:22" s="1192" customFormat="1" ht="14.4" x14ac:dyDescent="0.3">
      <c r="A360" s="1192" t="s">
        <v>207</v>
      </c>
      <c r="E360" s="2201" t="s">
        <v>5561</v>
      </c>
      <c r="F360" s="2201"/>
      <c r="G360" s="2201"/>
      <c r="H360" s="2201"/>
      <c r="K360" s="1192" t="s">
        <v>6024</v>
      </c>
      <c r="V360" s="1192">
        <v>445</v>
      </c>
    </row>
    <row r="361" spans="1:22" s="1192" customFormat="1" ht="14.4" x14ac:dyDescent="0.3">
      <c r="A361" s="1192" t="s">
        <v>207</v>
      </c>
      <c r="E361" s="2151" t="s">
        <v>5562</v>
      </c>
      <c r="F361" s="2151"/>
      <c r="G361" s="2151"/>
      <c r="H361" s="2151"/>
      <c r="K361" s="1192" t="s">
        <v>6024</v>
      </c>
      <c r="V361" s="1192">
        <v>337</v>
      </c>
    </row>
    <row r="362" spans="1:22" s="1192" customFormat="1" ht="14.4" x14ac:dyDescent="0.3">
      <c r="A362" s="1192" t="s">
        <v>207</v>
      </c>
      <c r="E362" s="2151" t="s">
        <v>5563</v>
      </c>
      <c r="F362" s="2151"/>
      <c r="G362" s="2151"/>
      <c r="H362" s="2151"/>
      <c r="K362" s="1192" t="s">
        <v>6024</v>
      </c>
      <c r="V362" s="1192">
        <v>76</v>
      </c>
    </row>
    <row r="363" spans="1:22" s="1192" customFormat="1" ht="14.4" x14ac:dyDescent="0.3">
      <c r="A363" s="1192" t="s">
        <v>207</v>
      </c>
      <c r="E363" s="2146" t="s">
        <v>2394</v>
      </c>
      <c r="F363" s="2151"/>
      <c r="G363" s="2151"/>
      <c r="H363" s="2151"/>
      <c r="K363" s="1192" t="s">
        <v>2630</v>
      </c>
      <c r="V363" s="1192">
        <v>46</v>
      </c>
    </row>
    <row r="364" spans="1:22" s="1192" customFormat="1" ht="14.4" x14ac:dyDescent="0.3">
      <c r="A364" s="1192" t="s">
        <v>207</v>
      </c>
      <c r="E364" s="2133" t="s">
        <v>7</v>
      </c>
      <c r="F364" s="2133"/>
      <c r="G364" s="793" t="s">
        <v>19</v>
      </c>
      <c r="H364" s="854">
        <v>559.4</v>
      </c>
      <c r="K364" s="1192" t="s">
        <v>6024</v>
      </c>
      <c r="L364" s="1192" t="s">
        <v>430</v>
      </c>
      <c r="P364" s="1192" t="s">
        <v>6025</v>
      </c>
      <c r="V364" s="1192">
        <v>14</v>
      </c>
    </row>
    <row r="365" spans="1:22" s="1192" customFormat="1" ht="14.4" x14ac:dyDescent="0.3">
      <c r="A365" s="1192" t="s">
        <v>207</v>
      </c>
      <c r="E365" s="2133" t="s">
        <v>5564</v>
      </c>
      <c r="F365" s="2133"/>
      <c r="G365" s="793" t="s">
        <v>19</v>
      </c>
      <c r="H365" s="854">
        <v>587.69000000000005</v>
      </c>
      <c r="K365" s="1192" t="s">
        <v>6024</v>
      </c>
      <c r="V365" s="1192">
        <v>52</v>
      </c>
    </row>
    <row r="366" spans="1:22" s="1192" customFormat="1" ht="14.4" x14ac:dyDescent="0.3">
      <c r="A366" s="1192" t="s">
        <v>207</v>
      </c>
      <c r="E366" s="2150" t="s">
        <v>5954</v>
      </c>
      <c r="F366" s="2133"/>
      <c r="G366" s="1282" t="s">
        <v>19</v>
      </c>
      <c r="H366" s="836">
        <v>13.07</v>
      </c>
      <c r="K366" s="1192" t="s">
        <v>6024</v>
      </c>
      <c r="L366" s="1192" t="s">
        <v>431</v>
      </c>
      <c r="P366" s="1192" t="s">
        <v>6026</v>
      </c>
      <c r="T366" s="1192">
        <v>44196</v>
      </c>
      <c r="V366" s="1192">
        <v>153</v>
      </c>
    </row>
    <row r="367" spans="1:22" s="1192" customFormat="1" ht="14.4" x14ac:dyDescent="0.3">
      <c r="A367" s="1192" t="s">
        <v>207</v>
      </c>
      <c r="E367" s="2133" t="s">
        <v>5565</v>
      </c>
      <c r="F367" s="2133"/>
      <c r="G367" s="793" t="s">
        <v>29</v>
      </c>
      <c r="H367" s="854">
        <v>1.4854000000000001</v>
      </c>
      <c r="K367" s="1192" t="s">
        <v>6024</v>
      </c>
      <c r="V367" s="1192">
        <v>92</v>
      </c>
    </row>
    <row r="368" spans="1:22" s="1192" customFormat="1" ht="14.4" x14ac:dyDescent="0.3">
      <c r="A368" s="1192" t="s">
        <v>207</v>
      </c>
      <c r="E368" s="2133" t="s">
        <v>5566</v>
      </c>
      <c r="F368" s="2133"/>
      <c r="G368" s="793" t="s">
        <v>5567</v>
      </c>
      <c r="H368" s="854">
        <v>480.79219999999998</v>
      </c>
      <c r="K368" s="1192" t="s">
        <v>6024</v>
      </c>
      <c r="V368" s="1192">
        <v>83</v>
      </c>
    </row>
    <row r="369" spans="1:22" s="1192" customFormat="1" ht="14.4" x14ac:dyDescent="0.3">
      <c r="A369" s="1192" t="s">
        <v>207</v>
      </c>
      <c r="E369" s="2133" t="s">
        <v>5568</v>
      </c>
      <c r="F369" s="2202"/>
      <c r="G369" s="1282" t="s">
        <v>29</v>
      </c>
      <c r="H369" s="836">
        <v>2.2711999999999999</v>
      </c>
      <c r="K369" s="1192" t="s">
        <v>6024</v>
      </c>
      <c r="V369" s="1192">
        <v>137</v>
      </c>
    </row>
    <row r="370" spans="1:22" s="1192" customFormat="1" ht="14.4" x14ac:dyDescent="0.3">
      <c r="A370" s="1192" t="s">
        <v>207</v>
      </c>
      <c r="E370" s="2133" t="s">
        <v>5569</v>
      </c>
      <c r="F370" s="2202"/>
      <c r="G370" s="1282" t="s">
        <v>29</v>
      </c>
      <c r="H370" s="836">
        <v>3.8047</v>
      </c>
      <c r="K370" s="1192" t="s">
        <v>6024</v>
      </c>
      <c r="V370" s="1192">
        <v>136</v>
      </c>
    </row>
    <row r="371" spans="1:22" s="1192" customFormat="1" ht="14.4" x14ac:dyDescent="0.3">
      <c r="A371" s="1192" t="s">
        <v>207</v>
      </c>
      <c r="E371" s="2133" t="s">
        <v>5570</v>
      </c>
      <c r="F371" s="2202"/>
      <c r="G371" s="1282" t="s">
        <v>29</v>
      </c>
      <c r="H371" s="836">
        <v>1.5363</v>
      </c>
      <c r="K371" s="1192" t="s">
        <v>6024</v>
      </c>
      <c r="P371" s="1192" t="s">
        <v>6027</v>
      </c>
      <c r="V371" s="1192">
        <v>126</v>
      </c>
    </row>
    <row r="372" spans="1:22" s="1192" customFormat="1" ht="14.4" x14ac:dyDescent="0.3">
      <c r="A372" s="1192" t="s">
        <v>207</v>
      </c>
      <c r="E372" s="2150" t="s">
        <v>5954</v>
      </c>
      <c r="F372" s="2133"/>
      <c r="G372" s="1282" t="s">
        <v>29</v>
      </c>
      <c r="H372" s="836">
        <v>0.89590000000000003</v>
      </c>
      <c r="K372" s="1192" t="s">
        <v>6024</v>
      </c>
      <c r="L372" s="1192" t="s">
        <v>431</v>
      </c>
      <c r="P372" s="1192" t="s">
        <v>6026</v>
      </c>
      <c r="T372" s="1192">
        <v>44196</v>
      </c>
      <c r="V372" s="1192">
        <v>153</v>
      </c>
    </row>
    <row r="373" spans="1:22" s="1192" customFormat="1" ht="14.4" x14ac:dyDescent="0.3">
      <c r="A373" s="1192" t="s">
        <v>207</v>
      </c>
      <c r="E373" s="2133" t="s">
        <v>5571</v>
      </c>
      <c r="F373" s="2133"/>
      <c r="G373" s="1282" t="s">
        <v>29</v>
      </c>
      <c r="H373" s="1221">
        <v>-1.2501</v>
      </c>
      <c r="K373" s="1192" t="s">
        <v>6024</v>
      </c>
      <c r="L373" s="1192" t="s">
        <v>431</v>
      </c>
      <c r="P373" s="1192" t="s">
        <v>6026</v>
      </c>
      <c r="T373" s="1192">
        <v>44196</v>
      </c>
      <c r="V373" s="1192">
        <v>158</v>
      </c>
    </row>
    <row r="374" spans="1:22" s="1192" customFormat="1" ht="14.4" x14ac:dyDescent="0.3">
      <c r="A374" s="1192" t="s">
        <v>207</v>
      </c>
      <c r="E374" s="2133" t="s">
        <v>5506</v>
      </c>
      <c r="F374" s="2133"/>
      <c r="G374" s="1282" t="s">
        <v>20</v>
      </c>
      <c r="H374" s="1221">
        <v>-6.7000000000000002E-3</v>
      </c>
      <c r="K374" s="1192" t="s">
        <v>6024</v>
      </c>
      <c r="L374" s="1192" t="s">
        <v>431</v>
      </c>
      <c r="P374" s="1192" t="s">
        <v>6028</v>
      </c>
      <c r="T374" s="1192">
        <v>44196</v>
      </c>
      <c r="V374" s="1192">
        <v>148</v>
      </c>
    </row>
    <row r="375" spans="1:22" s="1192" customFormat="1" ht="14.4" x14ac:dyDescent="0.3">
      <c r="A375" s="1192" t="s">
        <v>207</v>
      </c>
      <c r="E375" s="1278" t="s">
        <v>5572</v>
      </c>
      <c r="F375" s="1278"/>
      <c r="G375" s="793"/>
      <c r="H375" s="854"/>
      <c r="K375" s="1192" t="s">
        <v>6024</v>
      </c>
      <c r="V375" s="1192">
        <v>53</v>
      </c>
    </row>
    <row r="376" spans="1:22" s="1192" customFormat="1" ht="14.4" x14ac:dyDescent="0.3">
      <c r="A376" s="1192" t="s">
        <v>207</v>
      </c>
      <c r="E376" s="2133" t="s">
        <v>5507</v>
      </c>
      <c r="F376" s="2133"/>
      <c r="G376" s="793" t="s">
        <v>29</v>
      </c>
      <c r="H376" s="854">
        <v>3.3980000000000001</v>
      </c>
      <c r="K376" s="1192" t="s">
        <v>6024</v>
      </c>
      <c r="L376" s="1192" t="s">
        <v>432</v>
      </c>
      <c r="P376" s="1192" t="s">
        <v>6029</v>
      </c>
      <c r="V376" s="1192">
        <v>60</v>
      </c>
    </row>
    <row r="377" spans="1:22" s="1192" customFormat="1" ht="14.4" x14ac:dyDescent="0.3">
      <c r="A377" s="1192" t="s">
        <v>207</v>
      </c>
      <c r="E377" s="2133" t="s">
        <v>5573</v>
      </c>
      <c r="F377" s="2133"/>
      <c r="G377" s="793" t="s">
        <v>29</v>
      </c>
      <c r="H377" s="854">
        <v>0.80449999999999999</v>
      </c>
      <c r="K377" s="1192" t="s">
        <v>6024</v>
      </c>
      <c r="L377" s="1192" t="s">
        <v>432</v>
      </c>
      <c r="V377" s="1192">
        <v>68</v>
      </c>
    </row>
    <row r="378" spans="1:22" s="1192" customFormat="1" ht="14.4" x14ac:dyDescent="0.3">
      <c r="A378" s="1192" t="s">
        <v>207</v>
      </c>
      <c r="E378" s="2133" t="s">
        <v>5574</v>
      </c>
      <c r="F378" s="2133"/>
      <c r="G378" s="793" t="s">
        <v>29</v>
      </c>
      <c r="H378" s="854">
        <v>2.0194000000000001</v>
      </c>
      <c r="K378" s="1192" t="s">
        <v>6024</v>
      </c>
      <c r="L378" s="1192" t="s">
        <v>432</v>
      </c>
      <c r="V378" s="1192">
        <v>78</v>
      </c>
    </row>
    <row r="379" spans="1:22" s="1192" customFormat="1" ht="14.4" x14ac:dyDescent="0.3">
      <c r="A379" s="1192" t="s">
        <v>207</v>
      </c>
      <c r="E379" s="2146" t="s">
        <v>2405</v>
      </c>
      <c r="F379" s="2133"/>
      <c r="G379" s="2133"/>
      <c r="H379" s="2133"/>
      <c r="K379" s="1192" t="s">
        <v>2631</v>
      </c>
      <c r="V379" s="1192">
        <v>48</v>
      </c>
    </row>
    <row r="380" spans="1:22" s="1192" customFormat="1" ht="14.4" x14ac:dyDescent="0.3">
      <c r="A380" s="1192" t="s">
        <v>207</v>
      </c>
      <c r="E380" s="2133" t="s">
        <v>5509</v>
      </c>
      <c r="F380" s="2133"/>
      <c r="G380" s="793" t="s">
        <v>20</v>
      </c>
      <c r="H380" s="1221">
        <v>3.0000000000000001E-3</v>
      </c>
      <c r="K380" s="1192" t="s">
        <v>6024</v>
      </c>
      <c r="L380" s="1192" t="s">
        <v>2374</v>
      </c>
      <c r="P380" s="1192" t="s">
        <v>6030</v>
      </c>
      <c r="V380" s="1192">
        <v>69</v>
      </c>
    </row>
    <row r="381" spans="1:22" s="1192" customFormat="1" ht="14.4" x14ac:dyDescent="0.3">
      <c r="A381" s="1192" t="s">
        <v>207</v>
      </c>
      <c r="E381" s="2133" t="s">
        <v>5510</v>
      </c>
      <c r="F381" s="2133"/>
      <c r="G381" s="793" t="s">
        <v>20</v>
      </c>
      <c r="H381" s="854">
        <v>4.0000000000000002E-4</v>
      </c>
      <c r="K381" s="1192" t="s">
        <v>6024</v>
      </c>
      <c r="L381" s="1192" t="s">
        <v>2374</v>
      </c>
      <c r="P381" s="1192" t="s">
        <v>6030</v>
      </c>
      <c r="V381" s="1192">
        <v>78</v>
      </c>
    </row>
    <row r="382" spans="1:22" s="1192" customFormat="1" ht="14.4" x14ac:dyDescent="0.3">
      <c r="A382" s="1192" t="s">
        <v>207</v>
      </c>
      <c r="E382" s="2133" t="s">
        <v>5511</v>
      </c>
      <c r="F382" s="2133"/>
      <c r="G382" s="793" t="s">
        <v>20</v>
      </c>
      <c r="H382" s="854">
        <v>5.0000000000000001E-4</v>
      </c>
      <c r="K382" s="1192" t="s">
        <v>6024</v>
      </c>
      <c r="L382" s="1192" t="s">
        <v>2374</v>
      </c>
      <c r="P382" s="1192" t="s">
        <v>6031</v>
      </c>
      <c r="V382" s="1192">
        <v>71</v>
      </c>
    </row>
    <row r="383" spans="1:22" s="1192" customFormat="1" ht="14.4" x14ac:dyDescent="0.3">
      <c r="A383" s="1192" t="s">
        <v>207</v>
      </c>
      <c r="E383" s="2133" t="s">
        <v>28</v>
      </c>
      <c r="F383" s="2133"/>
      <c r="G383" s="793" t="s">
        <v>19</v>
      </c>
      <c r="H383" s="854">
        <v>0.25</v>
      </c>
      <c r="K383" s="1192" t="s">
        <v>6024</v>
      </c>
      <c r="L383" s="1192" t="s">
        <v>2374</v>
      </c>
      <c r="P383" s="1192" t="s">
        <v>6032</v>
      </c>
      <c r="V383" s="1192">
        <v>63</v>
      </c>
    </row>
    <row r="384" spans="1:22" s="1192" customFormat="1" ht="17.399999999999999" x14ac:dyDescent="0.3">
      <c r="A384" s="1192" t="s">
        <v>207</v>
      </c>
      <c r="E384" s="2082" t="s">
        <v>592</v>
      </c>
      <c r="F384" s="2083"/>
      <c r="G384" s="2083"/>
      <c r="H384" s="2083"/>
      <c r="K384" s="1192" t="s">
        <v>6033</v>
      </c>
      <c r="V384" s="1192">
        <v>47</v>
      </c>
    </row>
    <row r="385" spans="1:22" s="1192" customFormat="1" ht="14.4" x14ac:dyDescent="0.3">
      <c r="A385" s="1192" t="s">
        <v>207</v>
      </c>
      <c r="E385" s="2151" t="s">
        <v>5575</v>
      </c>
      <c r="F385" s="2151"/>
      <c r="G385" s="2151"/>
      <c r="H385" s="2151"/>
      <c r="K385" s="1192" t="s">
        <v>6033</v>
      </c>
      <c r="V385" s="1192">
        <v>770</v>
      </c>
    </row>
    <row r="386" spans="1:22" s="1192" customFormat="1" ht="14.4" x14ac:dyDescent="0.3">
      <c r="A386" s="1192" t="s">
        <v>207</v>
      </c>
      <c r="E386" s="2199" t="s">
        <v>2389</v>
      </c>
      <c r="F386" s="2151"/>
      <c r="G386" s="2151"/>
      <c r="H386" s="2151"/>
      <c r="K386" s="1192" t="s">
        <v>2632</v>
      </c>
      <c r="V386" s="1192">
        <v>11</v>
      </c>
    </row>
    <row r="387" spans="1:22" s="1192" customFormat="1" ht="14.4" x14ac:dyDescent="0.3">
      <c r="A387" s="1192" t="s">
        <v>207</v>
      </c>
      <c r="E387" s="2151" t="s">
        <v>2391</v>
      </c>
      <c r="F387" s="2151"/>
      <c r="G387" s="2151"/>
      <c r="H387" s="2151"/>
      <c r="K387" s="1192" t="s">
        <v>6033</v>
      </c>
      <c r="V387" s="1192">
        <v>280</v>
      </c>
    </row>
    <row r="388" spans="1:22" s="1192" customFormat="1" ht="14.4" x14ac:dyDescent="0.3">
      <c r="A388" s="1192" t="s">
        <v>207</v>
      </c>
      <c r="E388" s="2151" t="s">
        <v>2392</v>
      </c>
      <c r="F388" s="2151"/>
      <c r="G388" s="2151"/>
      <c r="H388" s="2151"/>
      <c r="K388" s="1192" t="s">
        <v>6033</v>
      </c>
      <c r="V388" s="1192">
        <v>411</v>
      </c>
    </row>
    <row r="389" spans="1:22" s="1192" customFormat="1" ht="14.4" x14ac:dyDescent="0.3">
      <c r="A389" s="1192" t="s">
        <v>207</v>
      </c>
      <c r="E389" s="2151" t="s">
        <v>2508</v>
      </c>
      <c r="F389" s="2151"/>
      <c r="G389" s="2151"/>
      <c r="H389" s="2151"/>
      <c r="K389" s="1192" t="s">
        <v>6033</v>
      </c>
      <c r="V389" s="1192">
        <v>386</v>
      </c>
    </row>
    <row r="390" spans="1:22" s="1192" customFormat="1" ht="14.4" x14ac:dyDescent="0.3">
      <c r="A390" s="1192" t="s">
        <v>207</v>
      </c>
      <c r="E390" s="2151" t="s">
        <v>2986</v>
      </c>
      <c r="F390" s="2151"/>
      <c r="G390" s="2151"/>
      <c r="H390" s="2151"/>
      <c r="K390" s="1192" t="s">
        <v>6033</v>
      </c>
      <c r="V390" s="1192">
        <v>246</v>
      </c>
    </row>
    <row r="391" spans="1:22" s="1192" customFormat="1" ht="14.4" x14ac:dyDescent="0.3">
      <c r="A391" s="1192" t="s">
        <v>207</v>
      </c>
      <c r="E391" s="2136" t="s">
        <v>2394</v>
      </c>
      <c r="F391" s="2137"/>
      <c r="G391" s="2137"/>
      <c r="H391" s="2137"/>
      <c r="K391" s="1192" t="s">
        <v>2633</v>
      </c>
      <c r="V391" s="1192">
        <v>46</v>
      </c>
    </row>
    <row r="392" spans="1:22" s="1192" customFormat="1" ht="14.4" x14ac:dyDescent="0.3">
      <c r="A392" s="1192" t="s">
        <v>207</v>
      </c>
      <c r="E392" s="2133" t="s">
        <v>7</v>
      </c>
      <c r="F392" s="2133"/>
      <c r="G392" s="793" t="s">
        <v>19</v>
      </c>
      <c r="H392" s="1289">
        <v>37.979999999999997</v>
      </c>
      <c r="K392" s="1192" t="s">
        <v>6033</v>
      </c>
      <c r="L392" s="1192" t="s">
        <v>430</v>
      </c>
      <c r="P392" s="1192" t="s">
        <v>6034</v>
      </c>
      <c r="V392" s="1192">
        <v>14</v>
      </c>
    </row>
    <row r="393" spans="1:22" s="1192" customFormat="1" ht="14.4" x14ac:dyDescent="0.3">
      <c r="A393" s="1192" t="s">
        <v>207</v>
      </c>
      <c r="E393" s="2150" t="s">
        <v>5954</v>
      </c>
      <c r="F393" s="2133"/>
      <c r="G393" s="1282" t="s">
        <v>19</v>
      </c>
      <c r="H393" s="836">
        <v>0.01</v>
      </c>
      <c r="K393" s="1192" t="s">
        <v>6033</v>
      </c>
      <c r="L393" s="1192" t="s">
        <v>431</v>
      </c>
      <c r="P393" s="1192" t="s">
        <v>6035</v>
      </c>
      <c r="T393" s="1192">
        <v>44196</v>
      </c>
      <c r="V393" s="1192">
        <v>153</v>
      </c>
    </row>
    <row r="394" spans="1:22" s="1192" customFormat="1" ht="14.4" x14ac:dyDescent="0.3">
      <c r="A394" s="1192" t="s">
        <v>207</v>
      </c>
      <c r="E394" s="2133" t="s">
        <v>80</v>
      </c>
      <c r="F394" s="2133"/>
      <c r="G394" s="793" t="s">
        <v>20</v>
      </c>
      <c r="H394" s="854">
        <v>2.1399999999999999E-2</v>
      </c>
      <c r="K394" s="1192" t="s">
        <v>6033</v>
      </c>
      <c r="L394" s="1192" t="s">
        <v>430</v>
      </c>
      <c r="P394" s="1192" t="s">
        <v>6036</v>
      </c>
      <c r="V394" s="1192">
        <v>28</v>
      </c>
    </row>
    <row r="395" spans="1:22" s="1192" customFormat="1" ht="14.4" x14ac:dyDescent="0.3">
      <c r="A395" s="1192" t="s">
        <v>207</v>
      </c>
      <c r="E395" s="2150" t="s">
        <v>5954</v>
      </c>
      <c r="F395" s="2133"/>
      <c r="G395" s="1282" t="s">
        <v>20</v>
      </c>
      <c r="H395" s="1221">
        <v>-8.0000000000000004E-4</v>
      </c>
      <c r="K395" s="1192" t="s">
        <v>6033</v>
      </c>
      <c r="L395" s="1192" t="s">
        <v>431</v>
      </c>
      <c r="P395" s="1192" t="s">
        <v>6035</v>
      </c>
      <c r="T395" s="1192">
        <v>44196</v>
      </c>
      <c r="V395" s="1192">
        <v>153</v>
      </c>
    </row>
    <row r="396" spans="1:22" s="1192" customFormat="1" ht="14.4" x14ac:dyDescent="0.3">
      <c r="A396" s="1192" t="s">
        <v>207</v>
      </c>
      <c r="E396" s="2133" t="s">
        <v>5506</v>
      </c>
      <c r="F396" s="2133"/>
      <c r="G396" s="1282" t="s">
        <v>20</v>
      </c>
      <c r="H396" s="1221">
        <v>-6.7000000000000002E-3</v>
      </c>
      <c r="K396" s="1192" t="s">
        <v>6033</v>
      </c>
      <c r="L396" s="1192" t="s">
        <v>431</v>
      </c>
      <c r="P396" s="1192" t="s">
        <v>6037</v>
      </c>
      <c r="T396" s="1192">
        <v>44196</v>
      </c>
      <c r="V396" s="1192">
        <v>148</v>
      </c>
    </row>
    <row r="397" spans="1:22" s="1192" customFormat="1" ht="14.4" x14ac:dyDescent="0.3">
      <c r="A397" s="1192" t="s">
        <v>207</v>
      </c>
      <c r="E397" s="2133" t="s">
        <v>5507</v>
      </c>
      <c r="F397" s="2133"/>
      <c r="G397" s="793" t="s">
        <v>20</v>
      </c>
      <c r="H397" s="854">
        <v>5.3E-3</v>
      </c>
      <c r="K397" s="1192" t="s">
        <v>6033</v>
      </c>
      <c r="L397" s="1192" t="s">
        <v>432</v>
      </c>
      <c r="P397" s="1192" t="s">
        <v>6038</v>
      </c>
      <c r="V397" s="1192">
        <v>60</v>
      </c>
    </row>
    <row r="398" spans="1:22" s="1192" customFormat="1" ht="14.4" x14ac:dyDescent="0.3">
      <c r="A398" s="1192" t="s">
        <v>207</v>
      </c>
      <c r="E398" s="2133" t="s">
        <v>5508</v>
      </c>
      <c r="F398" s="2133"/>
      <c r="G398" s="793" t="s">
        <v>20</v>
      </c>
      <c r="H398" s="854">
        <v>4.4999999999999997E-3</v>
      </c>
      <c r="K398" s="1192" t="s">
        <v>6033</v>
      </c>
      <c r="L398" s="1192" t="s">
        <v>432</v>
      </c>
      <c r="P398" s="1192" t="s">
        <v>6039</v>
      </c>
      <c r="V398" s="1192">
        <v>87</v>
      </c>
    </row>
    <row r="399" spans="1:22" s="1192" customFormat="1" ht="14.4" x14ac:dyDescent="0.3">
      <c r="A399" s="1192" t="s">
        <v>207</v>
      </c>
      <c r="E399" s="2136" t="s">
        <v>2405</v>
      </c>
      <c r="F399" s="2062"/>
      <c r="G399" s="2062"/>
      <c r="H399" s="2062"/>
      <c r="K399" s="1192" t="s">
        <v>5578</v>
      </c>
      <c r="V399" s="1192">
        <v>48</v>
      </c>
    </row>
    <row r="400" spans="1:22" s="1192" customFormat="1" ht="14.4" x14ac:dyDescent="0.3">
      <c r="A400" s="1192" t="s">
        <v>207</v>
      </c>
      <c r="E400" s="2133" t="s">
        <v>5509</v>
      </c>
      <c r="F400" s="2133"/>
      <c r="G400" s="793" t="s">
        <v>20</v>
      </c>
      <c r="H400" s="1221">
        <v>3.0000000000000001E-3</v>
      </c>
      <c r="K400" s="1192" t="s">
        <v>6033</v>
      </c>
      <c r="L400" s="1192" t="s">
        <v>2374</v>
      </c>
      <c r="P400" s="1192" t="s">
        <v>6040</v>
      </c>
      <c r="V400" s="1192">
        <v>69</v>
      </c>
    </row>
    <row r="401" spans="1:22" s="1192" customFormat="1" ht="14.4" x14ac:dyDescent="0.3">
      <c r="A401" s="1192" t="s">
        <v>207</v>
      </c>
      <c r="E401" s="2133" t="s">
        <v>5510</v>
      </c>
      <c r="F401" s="2133"/>
      <c r="G401" s="793" t="s">
        <v>20</v>
      </c>
      <c r="H401" s="854">
        <v>4.0000000000000002E-4</v>
      </c>
      <c r="K401" s="1192" t="s">
        <v>6033</v>
      </c>
      <c r="L401" s="1192" t="s">
        <v>2374</v>
      </c>
      <c r="P401" s="1192" t="s">
        <v>6040</v>
      </c>
      <c r="V401" s="1192">
        <v>78</v>
      </c>
    </row>
    <row r="402" spans="1:22" s="1192" customFormat="1" ht="14.4" x14ac:dyDescent="0.3">
      <c r="A402" s="1192" t="s">
        <v>207</v>
      </c>
      <c r="E402" s="2133" t="s">
        <v>5511</v>
      </c>
      <c r="F402" s="2133"/>
      <c r="G402" s="793" t="s">
        <v>20</v>
      </c>
      <c r="H402" s="854">
        <v>5.0000000000000001E-4</v>
      </c>
      <c r="K402" s="1192" t="s">
        <v>6033</v>
      </c>
      <c r="L402" s="1192" t="s">
        <v>2374</v>
      </c>
      <c r="P402" s="1192" t="s">
        <v>6041</v>
      </c>
      <c r="V402" s="1192">
        <v>71</v>
      </c>
    </row>
    <row r="403" spans="1:22" s="1192" customFormat="1" ht="14.4" x14ac:dyDescent="0.3">
      <c r="A403" s="1192" t="s">
        <v>207</v>
      </c>
      <c r="E403" s="2133" t="s">
        <v>28</v>
      </c>
      <c r="F403" s="2133"/>
      <c r="G403" s="793" t="s">
        <v>19</v>
      </c>
      <c r="H403" s="854">
        <v>0.25</v>
      </c>
      <c r="K403" s="1192" t="s">
        <v>6033</v>
      </c>
      <c r="L403" s="1192" t="s">
        <v>2374</v>
      </c>
      <c r="P403" s="1192" t="s">
        <v>6042</v>
      </c>
      <c r="V403" s="1192">
        <v>63</v>
      </c>
    </row>
    <row r="404" spans="1:22" s="1192" customFormat="1" ht="17.399999999999999" x14ac:dyDescent="0.3">
      <c r="A404" s="1192" t="s">
        <v>207</v>
      </c>
      <c r="E404" s="2159" t="s">
        <v>604</v>
      </c>
      <c r="F404" s="2203"/>
      <c r="G404" s="2203"/>
      <c r="H404" s="2203"/>
      <c r="K404" s="1192" t="s">
        <v>6043</v>
      </c>
      <c r="V404" s="1192">
        <v>40</v>
      </c>
    </row>
    <row r="405" spans="1:22" s="1192" customFormat="1" ht="14.4" x14ac:dyDescent="0.3">
      <c r="A405" s="1192" t="s">
        <v>207</v>
      </c>
      <c r="E405" s="2151" t="s">
        <v>5576</v>
      </c>
      <c r="F405" s="2151"/>
      <c r="G405" s="2151"/>
      <c r="H405" s="2151"/>
      <c r="K405" s="1192" t="s">
        <v>6043</v>
      </c>
      <c r="V405" s="1192">
        <v>460</v>
      </c>
    </row>
    <row r="406" spans="1:22" s="1192" customFormat="1" ht="14.4" x14ac:dyDescent="0.3">
      <c r="A406" s="1192" t="s">
        <v>207</v>
      </c>
      <c r="E406" s="2199" t="s">
        <v>2389</v>
      </c>
      <c r="F406" s="2151"/>
      <c r="G406" s="2151"/>
      <c r="H406" s="2151"/>
      <c r="K406" s="1192" t="s">
        <v>2635</v>
      </c>
      <c r="V406" s="1192">
        <v>11</v>
      </c>
    </row>
    <row r="407" spans="1:22" s="1192" customFormat="1" ht="14.4" x14ac:dyDescent="0.3">
      <c r="A407" s="1192" t="s">
        <v>207</v>
      </c>
      <c r="E407" s="2151" t="s">
        <v>2391</v>
      </c>
      <c r="F407" s="2151"/>
      <c r="G407" s="2151"/>
      <c r="H407" s="2151"/>
      <c r="K407" s="1192" t="s">
        <v>6043</v>
      </c>
      <c r="V407" s="1192">
        <v>280</v>
      </c>
    </row>
    <row r="408" spans="1:22" s="1192" customFormat="1" ht="14.4" x14ac:dyDescent="0.3">
      <c r="A408" s="1192" t="s">
        <v>207</v>
      </c>
      <c r="E408" s="2151" t="s">
        <v>2392</v>
      </c>
      <c r="F408" s="2151"/>
      <c r="G408" s="2151"/>
      <c r="H408" s="2151"/>
      <c r="K408" s="1192" t="s">
        <v>6043</v>
      </c>
      <c r="V408" s="1192">
        <v>411</v>
      </c>
    </row>
    <row r="409" spans="1:22" s="1192" customFormat="1" ht="14.4" x14ac:dyDescent="0.3">
      <c r="A409" s="1192" t="s">
        <v>207</v>
      </c>
      <c r="E409" s="2151" t="s">
        <v>5577</v>
      </c>
      <c r="F409" s="2151"/>
      <c r="G409" s="2151"/>
      <c r="H409" s="2151"/>
      <c r="K409" s="1192" t="s">
        <v>6043</v>
      </c>
      <c r="V409" s="1192">
        <v>410</v>
      </c>
    </row>
    <row r="410" spans="1:22" s="1192" customFormat="1" ht="14.4" x14ac:dyDescent="0.3">
      <c r="A410" s="1192" t="s">
        <v>207</v>
      </c>
      <c r="E410" s="2151" t="s">
        <v>2986</v>
      </c>
      <c r="F410" s="2151"/>
      <c r="G410" s="2151"/>
      <c r="H410" s="2151"/>
      <c r="K410" s="1192" t="s">
        <v>6043</v>
      </c>
      <c r="V410" s="1192">
        <v>246</v>
      </c>
    </row>
    <row r="411" spans="1:22" s="1192" customFormat="1" ht="14.4" x14ac:dyDescent="0.3">
      <c r="A411" s="1192" t="s">
        <v>207</v>
      </c>
      <c r="E411" s="2146" t="s">
        <v>2394</v>
      </c>
      <c r="F411" s="2151"/>
      <c r="G411" s="2151"/>
      <c r="H411" s="2151"/>
      <c r="K411" s="1192" t="s">
        <v>2636</v>
      </c>
      <c r="V411" s="1192">
        <v>46</v>
      </c>
    </row>
    <row r="412" spans="1:22" s="1192" customFormat="1" ht="14.4" x14ac:dyDescent="0.3">
      <c r="A412" s="1192" t="s">
        <v>207</v>
      </c>
      <c r="E412" s="2133" t="s">
        <v>7</v>
      </c>
      <c r="F412" s="2133"/>
      <c r="G412" s="793" t="s">
        <v>19</v>
      </c>
      <c r="H412" s="854">
        <v>2.48</v>
      </c>
      <c r="K412" s="1192" t="s">
        <v>6043</v>
      </c>
      <c r="L412" s="1192" t="s">
        <v>430</v>
      </c>
      <c r="P412" s="1192" t="s">
        <v>6044</v>
      </c>
      <c r="V412" s="1192">
        <v>14</v>
      </c>
    </row>
    <row r="413" spans="1:22" s="1192" customFormat="1" ht="14.4" x14ac:dyDescent="0.3">
      <c r="A413" s="1192" t="s">
        <v>207</v>
      </c>
      <c r="E413" s="2150" t="s">
        <v>5954</v>
      </c>
      <c r="F413" s="2133"/>
      <c r="G413" s="1282" t="s">
        <v>19</v>
      </c>
      <c r="H413" s="836">
        <v>0.02</v>
      </c>
      <c r="K413" s="1192" t="s">
        <v>6043</v>
      </c>
      <c r="L413" s="1192" t="s">
        <v>431</v>
      </c>
      <c r="P413" s="1192" t="s">
        <v>6045</v>
      </c>
      <c r="T413" s="1192">
        <v>44196</v>
      </c>
      <c r="V413" s="1192">
        <v>153</v>
      </c>
    </row>
    <row r="414" spans="1:22" s="1192" customFormat="1" ht="14.4" x14ac:dyDescent="0.3">
      <c r="A414" s="1192" t="s">
        <v>207</v>
      </c>
      <c r="E414" s="2133" t="s">
        <v>80</v>
      </c>
      <c r="F414" s="2133"/>
      <c r="G414" s="793" t="s">
        <v>20</v>
      </c>
      <c r="H414" s="854">
        <v>0.15740000000000001</v>
      </c>
      <c r="K414" s="1192" t="s">
        <v>6043</v>
      </c>
      <c r="L414" s="1192" t="s">
        <v>430</v>
      </c>
      <c r="P414" s="1192" t="s">
        <v>6046</v>
      </c>
      <c r="V414" s="1192">
        <v>28</v>
      </c>
    </row>
    <row r="415" spans="1:22" s="1192" customFormat="1" ht="14.4" x14ac:dyDescent="0.3">
      <c r="A415" s="1192" t="s">
        <v>207</v>
      </c>
      <c r="E415" s="2150" t="s">
        <v>5954</v>
      </c>
      <c r="F415" s="2133"/>
      <c r="G415" s="1282" t="s">
        <v>20</v>
      </c>
      <c r="H415" s="1221">
        <v>-1.2999999999999999E-3</v>
      </c>
      <c r="K415" s="1192" t="s">
        <v>6043</v>
      </c>
      <c r="L415" s="1192" t="s">
        <v>431</v>
      </c>
      <c r="P415" s="1192" t="s">
        <v>6045</v>
      </c>
      <c r="T415" s="1192">
        <v>44196</v>
      </c>
      <c r="V415" s="1192">
        <v>153</v>
      </c>
    </row>
    <row r="416" spans="1:22" s="1192" customFormat="1" ht="14.4" x14ac:dyDescent="0.3">
      <c r="A416" s="1192" t="s">
        <v>207</v>
      </c>
      <c r="E416" s="2133" t="s">
        <v>5506</v>
      </c>
      <c r="F416" s="2133"/>
      <c r="G416" s="1282" t="s">
        <v>20</v>
      </c>
      <c r="H416" s="1221">
        <v>-6.7000000000000002E-3</v>
      </c>
      <c r="K416" s="1192" t="s">
        <v>6043</v>
      </c>
      <c r="L416" s="1192" t="s">
        <v>431</v>
      </c>
      <c r="P416" s="1192" t="s">
        <v>6047</v>
      </c>
      <c r="T416" s="1192">
        <v>44196</v>
      </c>
      <c r="V416" s="1192">
        <v>148</v>
      </c>
    </row>
    <row r="417" spans="1:22" s="1192" customFormat="1" ht="14.4" x14ac:dyDescent="0.3">
      <c r="A417" s="1192" t="s">
        <v>207</v>
      </c>
      <c r="E417" s="2133" t="s">
        <v>5507</v>
      </c>
      <c r="F417" s="2133"/>
      <c r="G417" s="793" t="s">
        <v>20</v>
      </c>
      <c r="H417" s="854">
        <v>5.3E-3</v>
      </c>
      <c r="K417" s="1192" t="s">
        <v>6043</v>
      </c>
      <c r="L417" s="1192" t="s">
        <v>432</v>
      </c>
      <c r="P417" s="1192" t="s">
        <v>6048</v>
      </c>
      <c r="V417" s="1192">
        <v>60</v>
      </c>
    </row>
    <row r="418" spans="1:22" s="1192" customFormat="1" ht="14.4" x14ac:dyDescent="0.3">
      <c r="A418" s="1192" t="s">
        <v>207</v>
      </c>
      <c r="E418" s="2133" t="s">
        <v>5508</v>
      </c>
      <c r="F418" s="2133"/>
      <c r="G418" s="793" t="s">
        <v>20</v>
      </c>
      <c r="H418" s="854">
        <v>3.7000000000000002E-3</v>
      </c>
      <c r="K418" s="1192" t="s">
        <v>6043</v>
      </c>
      <c r="L418" s="1192" t="s">
        <v>432</v>
      </c>
      <c r="P418" s="1192" t="s">
        <v>6049</v>
      </c>
      <c r="V418" s="1192">
        <v>87</v>
      </c>
    </row>
    <row r="419" spans="1:22" s="1192" customFormat="1" ht="14.4" x14ac:dyDescent="0.3">
      <c r="A419" s="1192" t="s">
        <v>207</v>
      </c>
      <c r="E419" s="2146" t="s">
        <v>2405</v>
      </c>
      <c r="F419" s="2133"/>
      <c r="G419" s="2133"/>
      <c r="H419" s="2133"/>
      <c r="K419" s="1192" t="s">
        <v>5581</v>
      </c>
      <c r="V419" s="1192">
        <v>48</v>
      </c>
    </row>
    <row r="420" spans="1:22" s="1192" customFormat="1" ht="14.4" x14ac:dyDescent="0.3">
      <c r="A420" s="1192" t="s">
        <v>207</v>
      </c>
      <c r="E420" s="2133" t="s">
        <v>5509</v>
      </c>
      <c r="F420" s="2133"/>
      <c r="G420" s="793" t="s">
        <v>20</v>
      </c>
      <c r="H420" s="1221">
        <v>3.0000000000000001E-3</v>
      </c>
      <c r="K420" s="1192" t="s">
        <v>6043</v>
      </c>
      <c r="L420" s="1192" t="s">
        <v>2374</v>
      </c>
      <c r="P420" s="1192" t="s">
        <v>6050</v>
      </c>
      <c r="V420" s="1192">
        <v>69</v>
      </c>
    </row>
    <row r="421" spans="1:22" s="1192" customFormat="1" ht="14.4" x14ac:dyDescent="0.3">
      <c r="A421" s="1192" t="s">
        <v>207</v>
      </c>
      <c r="E421" s="2133" t="s">
        <v>5510</v>
      </c>
      <c r="F421" s="2133"/>
      <c r="G421" s="793" t="s">
        <v>20</v>
      </c>
      <c r="H421" s="854">
        <v>4.0000000000000002E-4</v>
      </c>
      <c r="K421" s="1192" t="s">
        <v>6043</v>
      </c>
      <c r="L421" s="1192" t="s">
        <v>2374</v>
      </c>
      <c r="P421" s="1192" t="s">
        <v>6050</v>
      </c>
      <c r="V421" s="1192">
        <v>78</v>
      </c>
    </row>
    <row r="422" spans="1:22" s="1192" customFormat="1" ht="14.4" x14ac:dyDescent="0.3">
      <c r="A422" s="1192" t="s">
        <v>207</v>
      </c>
      <c r="E422" s="2133" t="s">
        <v>5511</v>
      </c>
      <c r="F422" s="2133"/>
      <c r="G422" s="793" t="s">
        <v>20</v>
      </c>
      <c r="H422" s="854">
        <v>5.0000000000000001E-4</v>
      </c>
      <c r="K422" s="1192" t="s">
        <v>6043</v>
      </c>
      <c r="L422" s="1192" t="s">
        <v>2374</v>
      </c>
      <c r="P422" s="1192" t="s">
        <v>6051</v>
      </c>
      <c r="V422" s="1192">
        <v>71</v>
      </c>
    </row>
    <row r="423" spans="1:22" s="1192" customFormat="1" ht="14.4" x14ac:dyDescent="0.3">
      <c r="A423" s="1192" t="s">
        <v>207</v>
      </c>
      <c r="E423" s="2133" t="s">
        <v>28</v>
      </c>
      <c r="F423" s="2133"/>
      <c r="G423" s="793" t="s">
        <v>19</v>
      </c>
      <c r="H423" s="854">
        <v>0.25</v>
      </c>
      <c r="K423" s="1192" t="s">
        <v>6043</v>
      </c>
      <c r="L423" s="1192" t="s">
        <v>2374</v>
      </c>
      <c r="P423" s="1192" t="s">
        <v>6052</v>
      </c>
      <c r="V423" s="1192">
        <v>63</v>
      </c>
    </row>
    <row r="424" spans="1:22" s="1192" customFormat="1" ht="17.399999999999999" x14ac:dyDescent="0.3">
      <c r="A424" s="1192" t="s">
        <v>207</v>
      </c>
      <c r="E424" s="2159" t="s">
        <v>590</v>
      </c>
      <c r="F424" s="2203"/>
      <c r="G424" s="2203"/>
      <c r="H424" s="2203"/>
      <c r="K424" s="1192" t="s">
        <v>6053</v>
      </c>
      <c r="V424" s="1192">
        <v>38</v>
      </c>
    </row>
    <row r="425" spans="1:22" s="1192" customFormat="1" ht="14.4" x14ac:dyDescent="0.3">
      <c r="A425" s="1192" t="s">
        <v>207</v>
      </c>
      <c r="E425" s="2151" t="s">
        <v>5579</v>
      </c>
      <c r="F425" s="2151"/>
      <c r="G425" s="2151"/>
      <c r="H425" s="2151"/>
      <c r="K425" s="1192" t="s">
        <v>6053</v>
      </c>
      <c r="V425" s="1192">
        <v>522</v>
      </c>
    </row>
    <row r="426" spans="1:22" s="1192" customFormat="1" ht="14.4" x14ac:dyDescent="0.3">
      <c r="A426" s="1192" t="s">
        <v>207</v>
      </c>
      <c r="E426" s="2199" t="s">
        <v>2389</v>
      </c>
      <c r="F426" s="2151"/>
      <c r="G426" s="2151"/>
      <c r="H426" s="2151"/>
      <c r="K426" s="1192" t="s">
        <v>5881</v>
      </c>
      <c r="V426" s="1192">
        <v>11</v>
      </c>
    </row>
    <row r="427" spans="1:22" s="1192" customFormat="1" ht="14.4" x14ac:dyDescent="0.3">
      <c r="A427" s="1192" t="s">
        <v>207</v>
      </c>
      <c r="E427" s="2151" t="s">
        <v>2391</v>
      </c>
      <c r="F427" s="2151"/>
      <c r="G427" s="2151"/>
      <c r="H427" s="2151"/>
      <c r="K427" s="1192" t="s">
        <v>6053</v>
      </c>
      <c r="V427" s="1192">
        <v>280</v>
      </c>
    </row>
    <row r="428" spans="1:22" s="1192" customFormat="1" ht="14.4" x14ac:dyDescent="0.3">
      <c r="A428" s="1192" t="s">
        <v>207</v>
      </c>
      <c r="E428" s="2151" t="s">
        <v>2392</v>
      </c>
      <c r="F428" s="2151"/>
      <c r="G428" s="2151"/>
      <c r="H428" s="2151"/>
      <c r="K428" s="1192" t="s">
        <v>6053</v>
      </c>
      <c r="V428" s="1192">
        <v>411</v>
      </c>
    </row>
    <row r="429" spans="1:22" s="1192" customFormat="1" ht="14.4" x14ac:dyDescent="0.3">
      <c r="A429" s="1192" t="s">
        <v>207</v>
      </c>
      <c r="E429" s="2151" t="s">
        <v>5580</v>
      </c>
      <c r="F429" s="2151"/>
      <c r="G429" s="2151"/>
      <c r="H429" s="2151"/>
      <c r="K429" s="1192" t="s">
        <v>6053</v>
      </c>
      <c r="V429" s="1192">
        <v>410</v>
      </c>
    </row>
    <row r="430" spans="1:22" s="1192" customFormat="1" ht="14.4" x14ac:dyDescent="0.3">
      <c r="A430" s="1192" t="s">
        <v>207</v>
      </c>
      <c r="E430" s="2151" t="s">
        <v>2986</v>
      </c>
      <c r="F430" s="2151"/>
      <c r="G430" s="2151"/>
      <c r="H430" s="2151"/>
      <c r="K430" s="1192" t="s">
        <v>6053</v>
      </c>
      <c r="V430" s="1192">
        <v>246</v>
      </c>
    </row>
    <row r="431" spans="1:22" s="1192" customFormat="1" ht="14.4" x14ac:dyDescent="0.3">
      <c r="A431" s="1192" t="s">
        <v>207</v>
      </c>
      <c r="E431" s="2146" t="s">
        <v>2394</v>
      </c>
      <c r="F431" s="2151"/>
      <c r="G431" s="2151"/>
      <c r="H431" s="2151"/>
      <c r="K431" s="1192" t="s">
        <v>5582</v>
      </c>
      <c r="V431" s="1192">
        <v>46</v>
      </c>
    </row>
    <row r="432" spans="1:22" s="1192" customFormat="1" ht="14.4" x14ac:dyDescent="0.3">
      <c r="A432" s="1192" t="s">
        <v>207</v>
      </c>
      <c r="E432" s="2133" t="s">
        <v>7</v>
      </c>
      <c r="F432" s="2133"/>
      <c r="G432" s="793" t="s">
        <v>19</v>
      </c>
      <c r="H432" s="854">
        <v>2.65</v>
      </c>
      <c r="K432" s="1192" t="s">
        <v>6053</v>
      </c>
      <c r="L432" s="1192" t="s">
        <v>430</v>
      </c>
      <c r="P432" s="1192" t="s">
        <v>6054</v>
      </c>
      <c r="V432" s="1192">
        <v>14</v>
      </c>
    </row>
    <row r="433" spans="1:22" s="1192" customFormat="1" ht="14.4" x14ac:dyDescent="0.3">
      <c r="A433" s="1192" t="s">
        <v>207</v>
      </c>
      <c r="E433" s="2150" t="s">
        <v>5954</v>
      </c>
      <c r="F433" s="2133"/>
      <c r="G433" s="1282" t="s">
        <v>19</v>
      </c>
      <c r="H433" s="836">
        <v>0.03</v>
      </c>
      <c r="K433" s="1192" t="s">
        <v>6053</v>
      </c>
      <c r="L433" s="1192" t="s">
        <v>431</v>
      </c>
      <c r="P433" s="1192" t="s">
        <v>6055</v>
      </c>
      <c r="T433" s="1192">
        <v>44196</v>
      </c>
      <c r="V433" s="1192">
        <v>153</v>
      </c>
    </row>
    <row r="434" spans="1:22" s="1192" customFormat="1" ht="14.4" x14ac:dyDescent="0.3">
      <c r="A434" s="1192" t="s">
        <v>207</v>
      </c>
      <c r="E434" s="2133" t="s">
        <v>80</v>
      </c>
      <c r="F434" s="2133"/>
      <c r="G434" s="793" t="s">
        <v>20</v>
      </c>
      <c r="H434" s="854">
        <v>0.1086</v>
      </c>
      <c r="K434" s="1192" t="s">
        <v>6053</v>
      </c>
      <c r="L434" s="1192" t="s">
        <v>430</v>
      </c>
      <c r="P434" s="1192" t="s">
        <v>6056</v>
      </c>
      <c r="V434" s="1192">
        <v>28</v>
      </c>
    </row>
    <row r="435" spans="1:22" s="1192" customFormat="1" ht="14.4" x14ac:dyDescent="0.3">
      <c r="A435" s="1192" t="s">
        <v>207</v>
      </c>
      <c r="E435" s="2150" t="s">
        <v>5954</v>
      </c>
      <c r="F435" s="2133"/>
      <c r="G435" s="1282" t="s">
        <v>20</v>
      </c>
      <c r="H435" s="1221">
        <v>-8.9999999999999998E-4</v>
      </c>
      <c r="K435" s="1192" t="s">
        <v>6053</v>
      </c>
      <c r="L435" s="1192" t="s">
        <v>431</v>
      </c>
      <c r="P435" s="1192" t="s">
        <v>6055</v>
      </c>
      <c r="T435" s="1192">
        <v>44196</v>
      </c>
      <c r="V435" s="1192">
        <v>153</v>
      </c>
    </row>
    <row r="436" spans="1:22" s="1192" customFormat="1" ht="14.4" x14ac:dyDescent="0.3">
      <c r="A436" s="1192" t="s">
        <v>207</v>
      </c>
      <c r="E436" s="2133" t="s">
        <v>5506</v>
      </c>
      <c r="F436" s="2133"/>
      <c r="G436" s="1282" t="s">
        <v>20</v>
      </c>
      <c r="H436" s="1221">
        <v>-6.7000000000000002E-3</v>
      </c>
      <c r="K436" s="1192" t="s">
        <v>6053</v>
      </c>
      <c r="L436" s="1192" t="s">
        <v>431</v>
      </c>
      <c r="P436" s="1192" t="s">
        <v>6057</v>
      </c>
      <c r="T436" s="1192">
        <v>44196</v>
      </c>
      <c r="V436" s="1192">
        <v>148</v>
      </c>
    </row>
    <row r="437" spans="1:22" s="1192" customFormat="1" ht="14.4" x14ac:dyDescent="0.3">
      <c r="A437" s="1192" t="s">
        <v>207</v>
      </c>
      <c r="E437" s="2133" t="s">
        <v>5507</v>
      </c>
      <c r="F437" s="2133"/>
      <c r="G437" s="793" t="s">
        <v>20</v>
      </c>
      <c r="H437" s="854">
        <v>5.1999999999999998E-3</v>
      </c>
      <c r="K437" s="1192" t="s">
        <v>6053</v>
      </c>
      <c r="L437" s="1192" t="s">
        <v>432</v>
      </c>
      <c r="P437" s="1192" t="s">
        <v>6058</v>
      </c>
      <c r="V437" s="1192">
        <v>60</v>
      </c>
    </row>
    <row r="438" spans="1:22" s="1192" customFormat="1" ht="14.4" x14ac:dyDescent="0.3">
      <c r="A438" s="1192" t="s">
        <v>207</v>
      </c>
      <c r="E438" s="2133" t="s">
        <v>5508</v>
      </c>
      <c r="F438" s="2133"/>
      <c r="G438" s="793" t="s">
        <v>20</v>
      </c>
      <c r="H438" s="854">
        <v>3.5999999999999999E-3</v>
      </c>
      <c r="K438" s="1192" t="s">
        <v>6053</v>
      </c>
      <c r="L438" s="1192" t="s">
        <v>432</v>
      </c>
      <c r="P438" s="1192" t="s">
        <v>6059</v>
      </c>
      <c r="V438" s="1192">
        <v>87</v>
      </c>
    </row>
    <row r="439" spans="1:22" s="1192" customFormat="1" ht="14.4" x14ac:dyDescent="0.3">
      <c r="A439" s="1192" t="s">
        <v>207</v>
      </c>
      <c r="E439" s="2146" t="s">
        <v>2405</v>
      </c>
      <c r="F439" s="2133"/>
      <c r="G439" s="2133"/>
      <c r="H439" s="2133"/>
      <c r="K439" s="1192" t="s">
        <v>5885</v>
      </c>
      <c r="V439" s="1192">
        <v>48</v>
      </c>
    </row>
    <row r="440" spans="1:22" s="1192" customFormat="1" ht="14.4" x14ac:dyDescent="0.3">
      <c r="A440" s="1192" t="s">
        <v>207</v>
      </c>
      <c r="E440" s="2133" t="s">
        <v>5509</v>
      </c>
      <c r="F440" s="2133"/>
      <c r="G440" s="793" t="s">
        <v>20</v>
      </c>
      <c r="H440" s="1221">
        <v>3.0000000000000001E-3</v>
      </c>
      <c r="K440" s="1192" t="s">
        <v>6053</v>
      </c>
      <c r="L440" s="1192" t="s">
        <v>2374</v>
      </c>
      <c r="P440" s="1192" t="s">
        <v>6060</v>
      </c>
      <c r="V440" s="1192">
        <v>69</v>
      </c>
    </row>
    <row r="441" spans="1:22" s="1192" customFormat="1" ht="14.4" x14ac:dyDescent="0.3">
      <c r="A441" s="1192" t="s">
        <v>207</v>
      </c>
      <c r="E441" s="2133" t="s">
        <v>5510</v>
      </c>
      <c r="F441" s="2133"/>
      <c r="G441" s="793" t="s">
        <v>20</v>
      </c>
      <c r="H441" s="854">
        <v>4.0000000000000002E-4</v>
      </c>
      <c r="K441" s="1192" t="s">
        <v>6053</v>
      </c>
      <c r="L441" s="1192" t="s">
        <v>2374</v>
      </c>
      <c r="P441" s="1192" t="s">
        <v>6060</v>
      </c>
      <c r="V441" s="1192">
        <v>78</v>
      </c>
    </row>
    <row r="442" spans="1:22" s="1192" customFormat="1" ht="14.4" x14ac:dyDescent="0.3">
      <c r="A442" s="1192" t="s">
        <v>207</v>
      </c>
      <c r="E442" s="2133" t="s">
        <v>5511</v>
      </c>
      <c r="F442" s="2133"/>
      <c r="G442" s="793" t="s">
        <v>20</v>
      </c>
      <c r="H442" s="854">
        <v>5.0000000000000001E-4</v>
      </c>
      <c r="K442" s="1192" t="s">
        <v>6053</v>
      </c>
      <c r="L442" s="1192" t="s">
        <v>2374</v>
      </c>
      <c r="P442" s="1192" t="s">
        <v>6061</v>
      </c>
      <c r="V442" s="1192">
        <v>71</v>
      </c>
    </row>
    <row r="443" spans="1:22" s="1192" customFormat="1" ht="14.4" x14ac:dyDescent="0.3">
      <c r="A443" s="1192" t="s">
        <v>207</v>
      </c>
      <c r="E443" s="2133" t="s">
        <v>28</v>
      </c>
      <c r="F443" s="2133"/>
      <c r="G443" s="793" t="s">
        <v>19</v>
      </c>
      <c r="H443" s="854">
        <v>0.25</v>
      </c>
      <c r="K443" s="1192" t="s">
        <v>6053</v>
      </c>
      <c r="L443" s="1192" t="s">
        <v>2374</v>
      </c>
      <c r="P443" s="1192" t="s">
        <v>6062</v>
      </c>
      <c r="V443" s="1192">
        <v>63</v>
      </c>
    </row>
    <row r="444" spans="1:22" s="1192" customFormat="1" ht="17.399999999999999" x14ac:dyDescent="0.3">
      <c r="A444" s="1192" t="s">
        <v>207</v>
      </c>
      <c r="E444" s="2159" t="s">
        <v>593</v>
      </c>
      <c r="F444" s="2203"/>
      <c r="G444" s="2203"/>
      <c r="H444" s="2203"/>
      <c r="K444" s="1192" t="s">
        <v>5889</v>
      </c>
      <c r="V444" s="1192">
        <v>31</v>
      </c>
    </row>
    <row r="445" spans="1:22" s="1192" customFormat="1" ht="14.4" x14ac:dyDescent="0.3">
      <c r="A445" s="1192" t="s">
        <v>207</v>
      </c>
      <c r="E445" s="2151" t="s">
        <v>2652</v>
      </c>
      <c r="F445" s="2151"/>
      <c r="G445" s="2151"/>
      <c r="H445" s="2151"/>
      <c r="K445" s="1192" t="s">
        <v>5889</v>
      </c>
      <c r="V445" s="1192">
        <v>285</v>
      </c>
    </row>
    <row r="446" spans="1:22" s="1192" customFormat="1" ht="14.4" x14ac:dyDescent="0.3">
      <c r="A446" s="1192" t="s">
        <v>207</v>
      </c>
      <c r="E446" s="2199" t="s">
        <v>2389</v>
      </c>
      <c r="F446" s="2151"/>
      <c r="G446" s="2151"/>
      <c r="H446" s="2151"/>
      <c r="K446" s="1192" t="s">
        <v>5890</v>
      </c>
      <c r="V446" s="1192">
        <v>11</v>
      </c>
    </row>
    <row r="447" spans="1:22" s="1192" customFormat="1" ht="14.4" x14ac:dyDescent="0.3">
      <c r="A447" s="1192" t="s">
        <v>207</v>
      </c>
      <c r="E447" s="2151" t="s">
        <v>2391</v>
      </c>
      <c r="F447" s="2151"/>
      <c r="G447" s="2151"/>
      <c r="H447" s="2151"/>
      <c r="K447" s="1192" t="s">
        <v>5889</v>
      </c>
      <c r="V447" s="1192">
        <v>280</v>
      </c>
    </row>
    <row r="448" spans="1:22" s="1192" customFormat="1" ht="14.4" x14ac:dyDescent="0.3">
      <c r="A448" s="1192" t="s">
        <v>207</v>
      </c>
      <c r="E448" s="2151" t="s">
        <v>2392</v>
      </c>
      <c r="F448" s="2151"/>
      <c r="G448" s="2151"/>
      <c r="H448" s="2151"/>
      <c r="K448" s="1192" t="s">
        <v>5889</v>
      </c>
      <c r="V448" s="1192">
        <v>411</v>
      </c>
    </row>
    <row r="449" spans="1:22" s="1192" customFormat="1" ht="14.4" x14ac:dyDescent="0.3">
      <c r="A449" s="1192" t="s">
        <v>207</v>
      </c>
      <c r="E449" s="2151" t="s">
        <v>2445</v>
      </c>
      <c r="F449" s="2151"/>
      <c r="G449" s="2151"/>
      <c r="H449" s="2151"/>
      <c r="K449" s="1192" t="s">
        <v>5889</v>
      </c>
      <c r="V449" s="1192">
        <v>211</v>
      </c>
    </row>
    <row r="450" spans="1:22" s="1192" customFormat="1" ht="14.4" x14ac:dyDescent="0.3">
      <c r="A450" s="1192" t="s">
        <v>207</v>
      </c>
      <c r="E450" s="2151" t="s">
        <v>2986</v>
      </c>
      <c r="F450" s="2151"/>
      <c r="G450" s="2151"/>
      <c r="H450" s="2151"/>
      <c r="K450" s="1192" t="s">
        <v>5889</v>
      </c>
      <c r="V450" s="1192">
        <v>246</v>
      </c>
    </row>
    <row r="451" spans="1:22" s="1192" customFormat="1" ht="14.4" x14ac:dyDescent="0.3">
      <c r="A451" s="1192" t="s">
        <v>207</v>
      </c>
      <c r="E451" s="2146" t="s">
        <v>2394</v>
      </c>
      <c r="F451" s="2151"/>
      <c r="G451" s="2151"/>
      <c r="H451" s="2151"/>
      <c r="K451" s="1192" t="s">
        <v>5891</v>
      </c>
      <c r="V451" s="1192">
        <v>46</v>
      </c>
    </row>
    <row r="452" spans="1:22" s="1192" customFormat="1" ht="14.4" x14ac:dyDescent="0.3">
      <c r="A452" s="1192" t="s">
        <v>207</v>
      </c>
      <c r="E452" s="2133" t="s">
        <v>7</v>
      </c>
      <c r="F452" s="2133"/>
      <c r="G452" s="793" t="s">
        <v>19</v>
      </c>
      <c r="H452" s="854">
        <v>5.4</v>
      </c>
      <c r="K452" s="1192" t="s">
        <v>5889</v>
      </c>
      <c r="L452" s="1192" t="s">
        <v>430</v>
      </c>
      <c r="P452" s="1192" t="s">
        <v>5892</v>
      </c>
      <c r="V452" s="1192">
        <v>14</v>
      </c>
    </row>
    <row r="453" spans="1:22" s="1192" customFormat="1" x14ac:dyDescent="0.3">
      <c r="A453" s="1192" t="s">
        <v>207</v>
      </c>
      <c r="E453" s="2159" t="s">
        <v>81</v>
      </c>
      <c r="F453" s="2204"/>
      <c r="G453" s="2204"/>
      <c r="H453" s="2204"/>
      <c r="K453" s="1192" t="s">
        <v>3100</v>
      </c>
      <c r="V453" s="1192">
        <v>10</v>
      </c>
    </row>
    <row r="454" spans="1:22" s="1192" customFormat="1" ht="14.4" x14ac:dyDescent="0.3">
      <c r="A454" s="1192" t="s">
        <v>207</v>
      </c>
      <c r="E454" s="2134" t="s">
        <v>5583</v>
      </c>
      <c r="F454" s="2205"/>
      <c r="G454" s="2205"/>
      <c r="H454" s="2205"/>
      <c r="V454" s="1192">
        <v>42</v>
      </c>
    </row>
    <row r="455" spans="1:22" s="1192" customFormat="1" ht="14.4" x14ac:dyDescent="0.3">
      <c r="A455" s="1192" t="s">
        <v>207</v>
      </c>
      <c r="E455" s="2133" t="s">
        <v>5584</v>
      </c>
      <c r="F455" s="2133"/>
      <c r="G455" s="793"/>
      <c r="H455" s="854"/>
      <c r="V455" s="1192">
        <v>95</v>
      </c>
    </row>
    <row r="456" spans="1:22" s="1192" customFormat="1" ht="14.4" x14ac:dyDescent="0.3">
      <c r="A456" s="1192" t="s">
        <v>207</v>
      </c>
      <c r="E456" s="2133" t="s">
        <v>5585</v>
      </c>
      <c r="F456" s="2133"/>
      <c r="G456" s="793" t="s">
        <v>29</v>
      </c>
      <c r="H456" s="1222">
        <v>-0.6</v>
      </c>
      <c r="V456" s="1192">
        <v>46</v>
      </c>
    </row>
    <row r="457" spans="1:22" s="1192" customFormat="1" ht="14.4" x14ac:dyDescent="0.3">
      <c r="A457" s="1192" t="s">
        <v>207</v>
      </c>
      <c r="E457" s="2133" t="s">
        <v>5586</v>
      </c>
      <c r="F457" s="2133"/>
      <c r="G457" s="793" t="s">
        <v>20</v>
      </c>
      <c r="H457" s="1221">
        <v>-1.4E-3</v>
      </c>
      <c r="V457" s="1192">
        <v>47</v>
      </c>
    </row>
    <row r="458" spans="1:22" s="1192" customFormat="1" ht="14.4" x14ac:dyDescent="0.3">
      <c r="A458" s="1192" t="s">
        <v>207</v>
      </c>
      <c r="E458" s="2134" t="s">
        <v>5587</v>
      </c>
      <c r="F458" s="2205"/>
      <c r="G458" s="2205"/>
      <c r="H458" s="2205"/>
      <c r="V458" s="1192">
        <v>25</v>
      </c>
    </row>
    <row r="459" spans="1:22" s="1192" customFormat="1" ht="14.4" x14ac:dyDescent="0.3">
      <c r="A459" s="1192" t="s">
        <v>207</v>
      </c>
      <c r="E459" s="2133" t="s">
        <v>5588</v>
      </c>
      <c r="F459" s="2133"/>
      <c r="G459" s="2133"/>
      <c r="H459" s="2133"/>
      <c r="V459" s="1192">
        <v>334</v>
      </c>
    </row>
    <row r="460" spans="1:22" s="1192" customFormat="1" ht="14.4" x14ac:dyDescent="0.3">
      <c r="A460" s="1192" t="s">
        <v>207</v>
      </c>
      <c r="E460" s="2133" t="s">
        <v>5589</v>
      </c>
      <c r="F460" s="2133"/>
      <c r="G460" s="793" t="s">
        <v>82</v>
      </c>
      <c r="H460" s="1222">
        <v>-1.5</v>
      </c>
      <c r="V460" s="1192">
        <v>62</v>
      </c>
    </row>
    <row r="461" spans="1:22" s="1192" customFormat="1" ht="14.4" x14ac:dyDescent="0.3">
      <c r="A461" s="1192" t="s">
        <v>207</v>
      </c>
      <c r="E461" s="2133" t="s">
        <v>5590</v>
      </c>
      <c r="F461" s="2133"/>
      <c r="G461" s="793" t="s">
        <v>82</v>
      </c>
      <c r="H461" s="1222">
        <v>-1</v>
      </c>
      <c r="V461" s="1192">
        <v>32</v>
      </c>
    </row>
    <row r="462" spans="1:22" s="1192" customFormat="1" ht="14.4" x14ac:dyDescent="0.3">
      <c r="A462" s="1192" t="s">
        <v>207</v>
      </c>
      <c r="E462" s="2133" t="s">
        <v>5591</v>
      </c>
      <c r="F462" s="2133"/>
      <c r="G462" s="2133"/>
      <c r="H462" s="2133"/>
      <c r="V462" s="1192">
        <v>290</v>
      </c>
    </row>
    <row r="463" spans="1:22" s="1192" customFormat="1" ht="14.4" x14ac:dyDescent="0.3">
      <c r="A463" s="1192" t="s">
        <v>207</v>
      </c>
      <c r="E463" s="2133" t="s">
        <v>5592</v>
      </c>
      <c r="F463" s="2133"/>
      <c r="G463" s="2133"/>
      <c r="H463" s="2133"/>
      <c r="V463" s="1192">
        <v>130</v>
      </c>
    </row>
    <row r="464" spans="1:22" s="1192" customFormat="1" ht="14.4" x14ac:dyDescent="0.3">
      <c r="A464" s="1192" t="s">
        <v>207</v>
      </c>
      <c r="E464" s="2133" t="s">
        <v>5593</v>
      </c>
      <c r="F464" s="2133"/>
      <c r="G464" s="2133"/>
      <c r="H464" s="2133"/>
      <c r="V464" s="1192">
        <v>267</v>
      </c>
    </row>
    <row r="465" spans="1:22" s="1192" customFormat="1" x14ac:dyDescent="0.3">
      <c r="A465" s="1192" t="s">
        <v>207</v>
      </c>
      <c r="E465" s="2159" t="s">
        <v>143</v>
      </c>
      <c r="F465" s="2204"/>
      <c r="G465" s="2204"/>
      <c r="H465" s="2204"/>
      <c r="K465" s="1192" t="s">
        <v>3104</v>
      </c>
      <c r="V465" s="1192">
        <v>12</v>
      </c>
    </row>
    <row r="466" spans="1:22" s="1192" customFormat="1" ht="14.4" x14ac:dyDescent="0.3">
      <c r="A466" s="1192" t="s">
        <v>207</v>
      </c>
      <c r="E466" s="2133" t="s">
        <v>5594</v>
      </c>
      <c r="F466" s="2133"/>
      <c r="G466" s="793"/>
      <c r="H466" s="1221">
        <v>1.0569999999999999</v>
      </c>
      <c r="V466" s="1192">
        <v>16</v>
      </c>
    </row>
    <row r="467" spans="1:22" s="1192" customFormat="1" ht="14.4" x14ac:dyDescent="0.3">
      <c r="A467" s="1192" t="s">
        <v>207</v>
      </c>
      <c r="E467" s="2133" t="s">
        <v>5595</v>
      </c>
      <c r="F467" s="2133"/>
      <c r="G467" s="793"/>
      <c r="H467" s="1221">
        <v>1.0760000000000001</v>
      </c>
      <c r="V467" s="1192">
        <v>16</v>
      </c>
    </row>
    <row r="468" spans="1:22" s="1192" customFormat="1" ht="14.4" x14ac:dyDescent="0.3">
      <c r="A468" s="1192" t="s">
        <v>207</v>
      </c>
      <c r="E468" s="2133" t="s">
        <v>5596</v>
      </c>
      <c r="F468" s="2133"/>
      <c r="G468" s="793"/>
      <c r="H468" s="1221">
        <v>1.105</v>
      </c>
      <c r="V468" s="1192">
        <v>16</v>
      </c>
    </row>
    <row r="469" spans="1:22" s="1192" customFormat="1" ht="14.4" x14ac:dyDescent="0.3">
      <c r="A469" s="1192" t="s">
        <v>207</v>
      </c>
      <c r="E469" s="2133" t="s">
        <v>5597</v>
      </c>
      <c r="F469" s="2133"/>
      <c r="G469" s="793"/>
      <c r="H469" s="1221">
        <v>1.1040000000000001</v>
      </c>
      <c r="V469" s="1192">
        <v>22</v>
      </c>
    </row>
    <row r="470" spans="1:22" s="1192" customFormat="1" ht="14.4" x14ac:dyDescent="0.3">
      <c r="A470" s="1192" t="s">
        <v>207</v>
      </c>
      <c r="E470" s="2133" t="s">
        <v>5598</v>
      </c>
      <c r="F470" s="2133"/>
      <c r="G470" s="793"/>
      <c r="H470" s="1221">
        <v>1.0669999999999999</v>
      </c>
      <c r="V470" s="1192">
        <v>21</v>
      </c>
    </row>
    <row r="471" spans="1:22" s="1192" customFormat="1" ht="14.4" x14ac:dyDescent="0.3">
      <c r="A471" s="1192" t="s">
        <v>207</v>
      </c>
      <c r="E471" s="2133" t="s">
        <v>5599</v>
      </c>
      <c r="F471" s="2133"/>
      <c r="G471" s="793"/>
      <c r="H471" s="1221">
        <v>1.0960000000000001</v>
      </c>
      <c r="V471" s="1192">
        <v>21</v>
      </c>
    </row>
    <row r="472" spans="1:22" s="1192" customFormat="1" ht="14.4" x14ac:dyDescent="0.3">
      <c r="A472" s="1192" t="s">
        <v>207</v>
      </c>
      <c r="E472" s="2133" t="s">
        <v>5600</v>
      </c>
      <c r="F472" s="2133"/>
      <c r="G472" s="793"/>
      <c r="H472" s="1221">
        <v>1.05</v>
      </c>
      <c r="V472" s="1192">
        <v>21</v>
      </c>
    </row>
    <row r="473" spans="1:22" s="1192" customFormat="1" ht="14.4" x14ac:dyDescent="0.3">
      <c r="A473" s="1192" t="s">
        <v>207</v>
      </c>
      <c r="E473" s="2133" t="s">
        <v>5601</v>
      </c>
      <c r="F473" s="2133"/>
      <c r="G473" s="793"/>
      <c r="H473" s="1221">
        <v>1.0609999999999999</v>
      </c>
      <c r="V473" s="1192">
        <v>21</v>
      </c>
    </row>
    <row r="474" spans="1:22" s="1192" customFormat="1" ht="14.4" x14ac:dyDescent="0.3">
      <c r="A474" s="1192" t="s">
        <v>207</v>
      </c>
      <c r="E474" s="2133" t="s">
        <v>5602</v>
      </c>
      <c r="F474" s="2133"/>
      <c r="G474" s="793"/>
      <c r="H474" s="1221">
        <v>1.0609999999999999</v>
      </c>
      <c r="K474" s="1192" t="s">
        <v>6063</v>
      </c>
      <c r="V474" s="1192">
        <v>29</v>
      </c>
    </row>
    <row r="475" spans="1:22" s="1192" customFormat="1" ht="14.4" x14ac:dyDescent="0.3">
      <c r="A475" s="1192" t="s">
        <v>207</v>
      </c>
      <c r="E475" s="2133" t="s">
        <v>5603</v>
      </c>
      <c r="F475" s="2133"/>
      <c r="G475" s="793"/>
      <c r="H475" s="1221">
        <v>1.0920000000000001</v>
      </c>
      <c r="K475" s="1192" t="s">
        <v>6063</v>
      </c>
      <c r="V475" s="1192">
        <v>24</v>
      </c>
    </row>
    <row r="476" spans="1:22" s="1192" customFormat="1" ht="14.4" x14ac:dyDescent="0.3">
      <c r="A476" s="1192" t="s">
        <v>207</v>
      </c>
      <c r="E476" s="2133" t="s">
        <v>5604</v>
      </c>
      <c r="F476" s="2133"/>
      <c r="G476" s="793"/>
      <c r="H476" s="1221">
        <v>1.0920000000000001</v>
      </c>
      <c r="K476" s="1192" t="s">
        <v>6063</v>
      </c>
      <c r="V476" s="1192">
        <v>15</v>
      </c>
    </row>
    <row r="477" spans="1:22" s="1192" customFormat="1" ht="14.4" x14ac:dyDescent="0.3">
      <c r="A477" s="1192" t="s">
        <v>207</v>
      </c>
      <c r="E477" s="2133" t="s">
        <v>5605</v>
      </c>
      <c r="F477" s="2133"/>
      <c r="G477" s="793"/>
      <c r="H477" s="1221">
        <v>1.0920000000000001</v>
      </c>
      <c r="K477" s="1192" t="s">
        <v>6063</v>
      </c>
      <c r="V477" s="1192">
        <v>13</v>
      </c>
    </row>
    <row r="478" spans="1:22" s="1192" customFormat="1" ht="14.4" x14ac:dyDescent="0.3">
      <c r="A478" s="1192" t="s">
        <v>207</v>
      </c>
      <c r="E478" s="1278" t="s">
        <v>5606</v>
      </c>
      <c r="F478" s="1278"/>
      <c r="G478" s="793"/>
      <c r="H478" s="854"/>
      <c r="K478" s="1192" t="s">
        <v>6064</v>
      </c>
      <c r="V478" s="1192">
        <v>21</v>
      </c>
    </row>
    <row r="479" spans="1:22" s="1192" customFormat="1" ht="14.4" x14ac:dyDescent="0.3">
      <c r="A479" s="1192" t="s">
        <v>207</v>
      </c>
      <c r="E479" s="1278" t="s">
        <v>5607</v>
      </c>
      <c r="F479" s="1278"/>
      <c r="G479" s="793"/>
      <c r="H479" s="854"/>
      <c r="K479" s="1192" t="s">
        <v>6064</v>
      </c>
      <c r="V479" s="1192">
        <v>25</v>
      </c>
    </row>
    <row r="480" spans="1:22" s="1192" customFormat="1" ht="14.4" x14ac:dyDescent="0.3">
      <c r="A480" s="1192" t="s">
        <v>207</v>
      </c>
      <c r="E480" s="1290" t="s">
        <v>5608</v>
      </c>
      <c r="F480" s="1278"/>
      <c r="G480" s="793"/>
      <c r="H480" s="1221">
        <v>1</v>
      </c>
      <c r="K480" s="1192" t="s">
        <v>6064</v>
      </c>
      <c r="V480" s="1192">
        <v>46</v>
      </c>
    </row>
    <row r="481" spans="1:22" s="1192" customFormat="1" ht="20.399999999999999" x14ac:dyDescent="0.3">
      <c r="A481" s="1192" t="s">
        <v>207</v>
      </c>
      <c r="E481" s="1290" t="s">
        <v>5609</v>
      </c>
      <c r="F481" s="1278"/>
      <c r="G481" s="793"/>
      <c r="H481" s="1221">
        <v>1.028</v>
      </c>
      <c r="K481" s="1192" t="s">
        <v>6064</v>
      </c>
      <c r="V481" s="1192">
        <v>53</v>
      </c>
    </row>
    <row r="482" spans="1:22" s="1192" customFormat="1" ht="14.4" x14ac:dyDescent="0.3">
      <c r="A482" s="1192" t="s">
        <v>207</v>
      </c>
      <c r="E482" s="1278" t="s">
        <v>5610</v>
      </c>
      <c r="F482" s="1278"/>
      <c r="G482" s="793"/>
      <c r="H482" s="854"/>
      <c r="K482" s="1192" t="s">
        <v>6064</v>
      </c>
      <c r="V482" s="1192">
        <v>18</v>
      </c>
    </row>
    <row r="483" spans="1:22" s="1192" customFormat="1" ht="14.4" x14ac:dyDescent="0.3">
      <c r="A483" s="1192" t="s">
        <v>207</v>
      </c>
      <c r="E483" s="1290" t="s">
        <v>5608</v>
      </c>
      <c r="F483" s="1278"/>
      <c r="G483" s="793"/>
      <c r="H483" s="1221">
        <v>1.006</v>
      </c>
      <c r="K483" s="1192" t="s">
        <v>6064</v>
      </c>
      <c r="V483" s="1192">
        <v>46</v>
      </c>
    </row>
    <row r="484" spans="1:22" s="1192" customFormat="1" ht="20.399999999999999" x14ac:dyDescent="0.3">
      <c r="A484" s="1192" t="s">
        <v>207</v>
      </c>
      <c r="E484" s="1290" t="s">
        <v>5609</v>
      </c>
      <c r="F484" s="1278"/>
      <c r="G484" s="793"/>
      <c r="H484" s="1221">
        <v>1.034</v>
      </c>
      <c r="K484" s="1192" t="s">
        <v>6064</v>
      </c>
      <c r="V484" s="1192">
        <v>53</v>
      </c>
    </row>
    <row r="485" spans="1:22" s="1192" customFormat="1" x14ac:dyDescent="0.3">
      <c r="A485" s="1192" t="s">
        <v>207</v>
      </c>
      <c r="E485" s="2159" t="s">
        <v>83</v>
      </c>
      <c r="F485" s="2204"/>
      <c r="G485" s="2204"/>
      <c r="H485" s="2204"/>
      <c r="K485" s="1192" t="s">
        <v>3101</v>
      </c>
      <c r="V485" s="1192">
        <v>24</v>
      </c>
    </row>
    <row r="486" spans="1:22" s="1192" customFormat="1" ht="14.4" x14ac:dyDescent="0.3">
      <c r="A486" s="1192" t="s">
        <v>207</v>
      </c>
      <c r="E486" s="2146" t="s">
        <v>2389</v>
      </c>
      <c r="F486" s="2151"/>
      <c r="G486" s="2151"/>
      <c r="H486" s="2151"/>
      <c r="K486" s="1192" t="s">
        <v>6064</v>
      </c>
      <c r="V486" s="1192">
        <v>11</v>
      </c>
    </row>
    <row r="487" spans="1:22" s="1192" customFormat="1" ht="14.4" x14ac:dyDescent="0.3">
      <c r="A487" s="1192" t="s">
        <v>207</v>
      </c>
      <c r="E487" s="2151" t="s">
        <v>2391</v>
      </c>
      <c r="F487" s="2151"/>
      <c r="G487" s="2151"/>
      <c r="H487" s="2151"/>
      <c r="K487" s="1192" t="s">
        <v>6064</v>
      </c>
      <c r="V487" s="1192">
        <v>280</v>
      </c>
    </row>
    <row r="488" spans="1:22" s="1192" customFormat="1" ht="14.4" x14ac:dyDescent="0.3">
      <c r="A488" s="1192" t="s">
        <v>207</v>
      </c>
      <c r="E488" s="2151" t="s">
        <v>2452</v>
      </c>
      <c r="F488" s="2151"/>
      <c r="G488" s="2151"/>
      <c r="H488" s="2151"/>
      <c r="K488" s="1192" t="s">
        <v>6064</v>
      </c>
      <c r="V488" s="1192">
        <v>353</v>
      </c>
    </row>
    <row r="489" spans="1:22" s="1192" customFormat="1" ht="14.4" x14ac:dyDescent="0.3">
      <c r="A489" s="1192" t="s">
        <v>207</v>
      </c>
      <c r="E489" s="2151" t="s">
        <v>2986</v>
      </c>
      <c r="F489" s="2151"/>
      <c r="G489" s="2151"/>
      <c r="H489" s="2151"/>
      <c r="K489" s="1192" t="s">
        <v>6064</v>
      </c>
      <c r="V489" s="1192">
        <v>246</v>
      </c>
    </row>
    <row r="490" spans="1:22" s="1192" customFormat="1" ht="14.4" x14ac:dyDescent="0.3">
      <c r="A490" s="1192" t="s">
        <v>207</v>
      </c>
      <c r="E490" s="2146" t="s">
        <v>2453</v>
      </c>
      <c r="F490" s="2202"/>
      <c r="G490" s="2202"/>
      <c r="H490" s="2202"/>
      <c r="K490" s="1192" t="s">
        <v>3102</v>
      </c>
      <c r="V490" s="1192">
        <v>23</v>
      </c>
    </row>
    <row r="491" spans="1:22" s="1192" customFormat="1" ht="14.4" x14ac:dyDescent="0.3">
      <c r="A491" s="1192" t="s">
        <v>207</v>
      </c>
      <c r="E491" s="2206" t="s">
        <v>5611</v>
      </c>
      <c r="F491" s="2207"/>
      <c r="G491" s="793" t="s">
        <v>19</v>
      </c>
      <c r="H491" s="1222">
        <v>89.67</v>
      </c>
      <c r="K491" s="1192" t="s">
        <v>6064</v>
      </c>
      <c r="V491" s="1192">
        <v>32</v>
      </c>
    </row>
    <row r="492" spans="1:22" s="1192" customFormat="1" ht="14.4" x14ac:dyDescent="0.3">
      <c r="A492" s="1192" t="s">
        <v>207</v>
      </c>
      <c r="E492" s="2206" t="s">
        <v>5612</v>
      </c>
      <c r="F492" s="2207"/>
      <c r="G492" s="793" t="s">
        <v>19</v>
      </c>
      <c r="H492" s="1222">
        <v>25</v>
      </c>
      <c r="K492" s="1192" t="s">
        <v>6064</v>
      </c>
      <c r="V492" s="1192">
        <v>29</v>
      </c>
    </row>
    <row r="493" spans="1:22" s="1192" customFormat="1" ht="14.4" x14ac:dyDescent="0.3">
      <c r="A493" s="1192" t="s">
        <v>207</v>
      </c>
      <c r="E493" s="2206" t="s">
        <v>5613</v>
      </c>
      <c r="F493" s="2207"/>
      <c r="G493" s="793" t="s">
        <v>19</v>
      </c>
      <c r="H493" s="1222">
        <v>7</v>
      </c>
      <c r="K493" s="1192" t="s">
        <v>6064</v>
      </c>
      <c r="V493" s="1192">
        <v>22</v>
      </c>
    </row>
    <row r="494" spans="1:22" s="1192" customFormat="1" ht="14.4" x14ac:dyDescent="0.3">
      <c r="A494" s="1192" t="s">
        <v>207</v>
      </c>
      <c r="E494" s="2206" t="s">
        <v>5614</v>
      </c>
      <c r="F494" s="2207"/>
      <c r="G494" s="793" t="s">
        <v>19</v>
      </c>
      <c r="H494" s="1222">
        <v>38</v>
      </c>
      <c r="K494" s="1192" t="s">
        <v>6064</v>
      </c>
      <c r="V494" s="1192">
        <v>90</v>
      </c>
    </row>
    <row r="495" spans="1:22" s="1192" customFormat="1" ht="14.4" x14ac:dyDescent="0.3">
      <c r="A495" s="1192" t="s">
        <v>207</v>
      </c>
      <c r="E495" s="2206" t="s">
        <v>5615</v>
      </c>
      <c r="F495" s="2207"/>
      <c r="G495" s="793" t="s">
        <v>19</v>
      </c>
      <c r="H495" s="1222">
        <v>90</v>
      </c>
      <c r="K495" s="1192" t="s">
        <v>6064</v>
      </c>
      <c r="V495" s="1192">
        <v>55</v>
      </c>
    </row>
    <row r="496" spans="1:22" s="1192" customFormat="1" ht="14.4" x14ac:dyDescent="0.3">
      <c r="A496" s="1192" t="s">
        <v>207</v>
      </c>
      <c r="E496" s="2150" t="s">
        <v>88</v>
      </c>
      <c r="F496" s="2133"/>
      <c r="G496" s="793" t="s">
        <v>19</v>
      </c>
      <c r="H496" s="1222">
        <v>30</v>
      </c>
      <c r="K496" s="1192" t="s">
        <v>6064</v>
      </c>
      <c r="V496" s="1192">
        <v>74</v>
      </c>
    </row>
    <row r="497" spans="1:22" s="1192" customFormat="1" ht="14.4" x14ac:dyDescent="0.3">
      <c r="A497" s="1192" t="s">
        <v>207</v>
      </c>
      <c r="E497" s="2146" t="s">
        <v>5616</v>
      </c>
      <c r="F497" s="2202"/>
      <c r="G497" s="2202"/>
      <c r="H497" s="2202"/>
      <c r="K497" s="1192" t="s">
        <v>6064</v>
      </c>
      <c r="V497" s="1192">
        <v>36</v>
      </c>
    </row>
    <row r="498" spans="1:22" s="1192" customFormat="1" ht="14.4" x14ac:dyDescent="0.3">
      <c r="A498" s="1192" t="s">
        <v>207</v>
      </c>
      <c r="E498" s="2150" t="s">
        <v>5617</v>
      </c>
      <c r="F498" s="2133"/>
      <c r="G498" s="793" t="s">
        <v>82</v>
      </c>
      <c r="H498" s="1222">
        <v>1.5</v>
      </c>
      <c r="K498" s="1192" t="s">
        <v>6064</v>
      </c>
      <c r="V498" s="1192">
        <v>99</v>
      </c>
    </row>
    <row r="499" spans="1:22" s="1192" customFormat="1" ht="14.4" x14ac:dyDescent="0.3">
      <c r="A499" s="1192" t="s">
        <v>207</v>
      </c>
      <c r="E499" s="2133" t="s">
        <v>5618</v>
      </c>
      <c r="F499" s="2133"/>
      <c r="G499" s="793" t="s">
        <v>19</v>
      </c>
      <c r="H499" s="1222">
        <v>65</v>
      </c>
      <c r="K499" s="1192" t="s">
        <v>6064</v>
      </c>
      <c r="V499" s="1192">
        <v>54</v>
      </c>
    </row>
    <row r="500" spans="1:22" s="1192" customFormat="1" ht="14.4" x14ac:dyDescent="0.3">
      <c r="A500" s="1192" t="s">
        <v>207</v>
      </c>
      <c r="E500" s="2133" t="s">
        <v>5619</v>
      </c>
      <c r="F500" s="2133"/>
      <c r="G500" s="793" t="s">
        <v>19</v>
      </c>
      <c r="H500" s="1222">
        <v>185</v>
      </c>
      <c r="K500" s="1192" t="s">
        <v>6064</v>
      </c>
      <c r="V500" s="1192">
        <v>53</v>
      </c>
    </row>
    <row r="501" spans="1:22" s="1192" customFormat="1" ht="14.4" x14ac:dyDescent="0.3">
      <c r="A501" s="1192" t="s">
        <v>207</v>
      </c>
      <c r="E501" s="2133" t="s">
        <v>5620</v>
      </c>
      <c r="F501" s="2133"/>
      <c r="G501" s="793" t="s">
        <v>19</v>
      </c>
      <c r="H501" s="1222">
        <v>185</v>
      </c>
      <c r="K501" s="1192" t="s">
        <v>6064</v>
      </c>
      <c r="V501" s="1192">
        <v>53</v>
      </c>
    </row>
    <row r="502" spans="1:22" s="1192" customFormat="1" ht="14.4" x14ac:dyDescent="0.3">
      <c r="A502" s="1192" t="s">
        <v>207</v>
      </c>
      <c r="E502" s="2133" t="s">
        <v>5621</v>
      </c>
      <c r="F502" s="2133"/>
      <c r="G502" s="793" t="s">
        <v>19</v>
      </c>
      <c r="H502" s="1222">
        <v>415</v>
      </c>
      <c r="K502" s="1192" t="s">
        <v>6064</v>
      </c>
      <c r="V502" s="1192">
        <v>52</v>
      </c>
    </row>
    <row r="503" spans="1:22" s="1192" customFormat="1" ht="14.4" x14ac:dyDescent="0.3">
      <c r="A503" s="1192" t="s">
        <v>207</v>
      </c>
      <c r="E503" s="2146" t="s">
        <v>2474</v>
      </c>
      <c r="F503" s="2202"/>
      <c r="G503" s="2202"/>
      <c r="H503" s="2202"/>
      <c r="K503" s="1192" t="s">
        <v>6064</v>
      </c>
      <c r="V503" s="1192">
        <v>5</v>
      </c>
    </row>
    <row r="504" spans="1:22" s="1192" customFormat="1" ht="14.4" x14ac:dyDescent="0.3">
      <c r="A504" s="1192" t="s">
        <v>207</v>
      </c>
      <c r="E504" s="2133" t="s">
        <v>5622</v>
      </c>
      <c r="F504" s="2133"/>
      <c r="G504" s="793" t="s">
        <v>19</v>
      </c>
      <c r="H504" s="854" t="s">
        <v>5623</v>
      </c>
      <c r="K504" s="1192" t="s">
        <v>6064</v>
      </c>
      <c r="V504" s="1192">
        <v>62</v>
      </c>
    </row>
    <row r="505" spans="1:22" s="1192" customFormat="1" ht="14.4" x14ac:dyDescent="0.3">
      <c r="A505" s="1192" t="s">
        <v>207</v>
      </c>
      <c r="E505" s="2133" t="s">
        <v>5624</v>
      </c>
      <c r="F505" s="2133"/>
      <c r="G505" s="793" t="s">
        <v>19</v>
      </c>
      <c r="H505" s="854" t="s">
        <v>5625</v>
      </c>
      <c r="K505" s="1192" t="s">
        <v>6064</v>
      </c>
      <c r="V505" s="1192">
        <v>61</v>
      </c>
    </row>
    <row r="506" spans="1:22" s="1192" customFormat="1" ht="14.4" x14ac:dyDescent="0.3">
      <c r="A506" s="1192" t="s">
        <v>207</v>
      </c>
      <c r="E506" s="2133" t="s">
        <v>3041</v>
      </c>
      <c r="F506" s="2133"/>
      <c r="G506" s="793" t="s">
        <v>19</v>
      </c>
      <c r="H506" s="854" t="s">
        <v>5626</v>
      </c>
      <c r="K506" s="1192" t="s">
        <v>6064</v>
      </c>
      <c r="V506" s="1192">
        <v>62</v>
      </c>
    </row>
    <row r="507" spans="1:22" s="1192" customFormat="1" ht="14.4" x14ac:dyDescent="0.3">
      <c r="A507" s="1192" t="s">
        <v>207</v>
      </c>
      <c r="E507" s="2133" t="s">
        <v>2480</v>
      </c>
      <c r="F507" s="2133"/>
      <c r="G507" s="793" t="s">
        <v>19</v>
      </c>
      <c r="H507" s="854" t="s">
        <v>5626</v>
      </c>
      <c r="K507" s="1192" t="s">
        <v>6064</v>
      </c>
      <c r="V507" s="1192">
        <v>65</v>
      </c>
    </row>
    <row r="508" spans="1:22" s="1192" customFormat="1" ht="14.4" x14ac:dyDescent="0.3">
      <c r="A508" s="1192" t="s">
        <v>207</v>
      </c>
      <c r="E508" s="2133" t="s">
        <v>2481</v>
      </c>
      <c r="F508" s="2133"/>
      <c r="G508" s="793" t="s">
        <v>19</v>
      </c>
      <c r="H508" s="854" t="s">
        <v>5626</v>
      </c>
      <c r="K508" s="1192" t="s">
        <v>6064</v>
      </c>
      <c r="V508" s="1192">
        <v>64</v>
      </c>
    </row>
    <row r="509" spans="1:22" s="1192" customFormat="1" ht="14.4" x14ac:dyDescent="0.3">
      <c r="A509" s="1192" t="s">
        <v>207</v>
      </c>
      <c r="E509" s="2133" t="s">
        <v>5627</v>
      </c>
      <c r="F509" s="2133"/>
      <c r="G509" s="793" t="s">
        <v>19</v>
      </c>
      <c r="H509" s="1222">
        <v>44.5</v>
      </c>
      <c r="K509" s="1192" t="s">
        <v>6064</v>
      </c>
      <c r="V509" s="1192">
        <v>51</v>
      </c>
    </row>
    <row r="510" spans="1:22" s="1192" customFormat="1" ht="14.4" x14ac:dyDescent="0.3">
      <c r="A510" s="1192" t="s">
        <v>207</v>
      </c>
      <c r="E510" s="2133" t="s">
        <v>5628</v>
      </c>
      <c r="F510" s="2133"/>
      <c r="G510" s="793" t="s">
        <v>19</v>
      </c>
      <c r="H510" s="1222">
        <v>245</v>
      </c>
      <c r="K510" s="1192" t="s">
        <v>6064</v>
      </c>
      <c r="V510" s="1192">
        <v>77</v>
      </c>
    </row>
    <row r="511" spans="1:22" s="1192" customFormat="1" ht="14.4" x14ac:dyDescent="0.3">
      <c r="A511" s="1192" t="s">
        <v>207</v>
      </c>
      <c r="E511" s="2133" t="s">
        <v>5629</v>
      </c>
      <c r="F511" s="2133"/>
      <c r="G511" s="793" t="s">
        <v>19</v>
      </c>
      <c r="H511" s="1222">
        <v>475</v>
      </c>
      <c r="K511" s="1192" t="s">
        <v>6064</v>
      </c>
      <c r="V511" s="1192">
        <v>77</v>
      </c>
    </row>
    <row r="512" spans="1:22" s="1192" customFormat="1" ht="14.4" x14ac:dyDescent="0.3">
      <c r="A512" s="1192" t="s">
        <v>207</v>
      </c>
      <c r="E512" s="2133" t="s">
        <v>5630</v>
      </c>
      <c r="F512" s="2133"/>
      <c r="G512" s="793" t="s">
        <v>19</v>
      </c>
      <c r="H512" s="854">
        <v>577.91</v>
      </c>
      <c r="K512" s="1192" t="s">
        <v>6064</v>
      </c>
      <c r="V512" s="1192">
        <v>66</v>
      </c>
    </row>
    <row r="513" spans="1:22" s="1192" customFormat="1" ht="14.4" x14ac:dyDescent="0.3">
      <c r="A513" s="1192" t="s">
        <v>207</v>
      </c>
      <c r="E513" s="2133" t="s">
        <v>5631</v>
      </c>
      <c r="F513" s="2133"/>
      <c r="G513" s="793" t="s">
        <v>19</v>
      </c>
      <c r="H513" s="854">
        <v>2430.2800000000002</v>
      </c>
      <c r="K513" s="1192" t="s">
        <v>6064</v>
      </c>
      <c r="V513" s="1192">
        <v>18</v>
      </c>
    </row>
    <row r="514" spans="1:22" s="1192" customFormat="1" ht="14.4" x14ac:dyDescent="0.3">
      <c r="A514" s="1192" t="s">
        <v>207</v>
      </c>
      <c r="E514" s="2133" t="s">
        <v>5632</v>
      </c>
      <c r="F514" s="2133"/>
      <c r="G514" s="793" t="s">
        <v>19</v>
      </c>
      <c r="H514" s="854">
        <v>3618.57</v>
      </c>
      <c r="K514" s="1192" t="s">
        <v>6064</v>
      </c>
      <c r="V514" s="1192">
        <v>15</v>
      </c>
    </row>
    <row r="515" spans="1:22" s="1192" customFormat="1" ht="40.799999999999997" x14ac:dyDescent="0.3">
      <c r="A515" s="1192" t="s">
        <v>207</v>
      </c>
      <c r="E515" s="2133" t="s">
        <v>5633</v>
      </c>
      <c r="F515" s="2133"/>
      <c r="G515" s="793" t="s">
        <v>19</v>
      </c>
      <c r="H515" s="920" t="s">
        <v>6065</v>
      </c>
      <c r="K515" s="1192" t="s">
        <v>6064</v>
      </c>
      <c r="V515" s="1192">
        <v>17</v>
      </c>
    </row>
    <row r="516" spans="1:22" s="1192" customFormat="1" ht="14.4" x14ac:dyDescent="0.3">
      <c r="A516" s="1192" t="s">
        <v>207</v>
      </c>
      <c r="E516" s="2133" t="s">
        <v>5634</v>
      </c>
      <c r="F516" s="2133"/>
      <c r="G516" s="793" t="s">
        <v>19</v>
      </c>
      <c r="H516" s="1222">
        <v>4.3</v>
      </c>
      <c r="K516" s="1192" t="s">
        <v>6064</v>
      </c>
      <c r="V516" s="1192">
        <v>31</v>
      </c>
    </row>
    <row r="517" spans="1:22" s="1192" customFormat="1" ht="14.4" x14ac:dyDescent="0.3">
      <c r="A517" s="1192" t="s">
        <v>207</v>
      </c>
      <c r="E517" s="2133" t="s">
        <v>5635</v>
      </c>
      <c r="F517" s="2133"/>
      <c r="G517" s="793" t="s">
        <v>19</v>
      </c>
      <c r="H517" s="1222">
        <v>3.09</v>
      </c>
      <c r="K517" s="1192" t="s">
        <v>6064</v>
      </c>
      <c r="V517" s="1192">
        <v>34</v>
      </c>
    </row>
    <row r="518" spans="1:22" s="1192" customFormat="1" ht="14.4" x14ac:dyDescent="0.3">
      <c r="A518" s="1192" t="s">
        <v>207</v>
      </c>
      <c r="E518" s="2133" t="s">
        <v>5636</v>
      </c>
      <c r="F518" s="2133"/>
      <c r="G518" s="793" t="s">
        <v>19</v>
      </c>
      <c r="H518" s="1222">
        <v>2.7</v>
      </c>
      <c r="K518" s="1192" t="s">
        <v>6064</v>
      </c>
      <c r="V518" s="1192">
        <v>31</v>
      </c>
    </row>
    <row r="519" spans="1:22" s="1192" customFormat="1" ht="14.4" x14ac:dyDescent="0.3">
      <c r="A519" s="1192" t="s">
        <v>207</v>
      </c>
      <c r="E519" s="1278" t="s">
        <v>5637</v>
      </c>
      <c r="F519" s="1278"/>
      <c r="G519" s="793" t="s">
        <v>19</v>
      </c>
      <c r="H519" s="1222">
        <v>100</v>
      </c>
      <c r="K519" s="1192" t="s">
        <v>6064</v>
      </c>
      <c r="V519" s="1192">
        <v>37</v>
      </c>
    </row>
    <row r="520" spans="1:22" s="1192" customFormat="1" ht="14.4" x14ac:dyDescent="0.3">
      <c r="A520" s="1192" t="s">
        <v>207</v>
      </c>
      <c r="E520" s="2133" t="s">
        <v>5638</v>
      </c>
      <c r="F520" s="2133"/>
      <c r="G520" s="793" t="s">
        <v>19</v>
      </c>
      <c r="H520" s="920">
        <v>1572.92</v>
      </c>
      <c r="K520" s="1192" t="s">
        <v>6064</v>
      </c>
      <c r="V520" s="1192">
        <v>38</v>
      </c>
    </row>
    <row r="521" spans="1:22" s="1192" customFormat="1" ht="14.4" x14ac:dyDescent="0.3">
      <c r="A521" s="1192" t="s">
        <v>207</v>
      </c>
      <c r="E521" s="2133" t="s">
        <v>5639</v>
      </c>
      <c r="F521" s="2133"/>
      <c r="G521" s="793" t="s">
        <v>19</v>
      </c>
      <c r="H521" s="920">
        <v>1472.92</v>
      </c>
      <c r="K521" s="1192" t="s">
        <v>6064</v>
      </c>
      <c r="V521" s="1192">
        <v>38</v>
      </c>
    </row>
    <row r="522" spans="1:22" s="1192" customFormat="1" ht="14.4" x14ac:dyDescent="0.3">
      <c r="A522" s="1192" t="s">
        <v>207</v>
      </c>
      <c r="E522" s="2133" t="s">
        <v>5640</v>
      </c>
      <c r="F522" s="2133"/>
      <c r="G522" s="793" t="s">
        <v>19</v>
      </c>
      <c r="H522" s="920">
        <v>3239.7</v>
      </c>
      <c r="K522" s="1192" t="s">
        <v>6064</v>
      </c>
      <c r="V522" s="1192">
        <v>44</v>
      </c>
    </row>
    <row r="523" spans="1:22" s="1192" customFormat="1" ht="14.4" x14ac:dyDescent="0.3">
      <c r="A523" s="1192" t="s">
        <v>207</v>
      </c>
      <c r="E523" s="2133" t="s">
        <v>5641</v>
      </c>
      <c r="F523" s="2133"/>
      <c r="G523" s="793" t="s">
        <v>19</v>
      </c>
      <c r="H523" s="920">
        <v>2921.93</v>
      </c>
      <c r="K523" s="1192" t="s">
        <v>6064</v>
      </c>
      <c r="V523" s="1192">
        <v>55</v>
      </c>
    </row>
    <row r="524" spans="1:22" s="1192" customFormat="1" ht="14.4" x14ac:dyDescent="0.3">
      <c r="A524" s="1192" t="s">
        <v>207</v>
      </c>
      <c r="E524" s="2133" t="s">
        <v>5642</v>
      </c>
      <c r="F524" s="2133"/>
      <c r="G524" s="793" t="s">
        <v>19</v>
      </c>
      <c r="H524" s="920">
        <v>3315.83</v>
      </c>
      <c r="K524" s="1192" t="s">
        <v>6064</v>
      </c>
      <c r="V524" s="1192">
        <v>56</v>
      </c>
    </row>
    <row r="525" spans="1:22" s="1192" customFormat="1" ht="14.4" x14ac:dyDescent="0.3">
      <c r="A525" s="1192" t="s">
        <v>207</v>
      </c>
      <c r="E525" s="2133" t="s">
        <v>5643</v>
      </c>
      <c r="F525" s="2133"/>
      <c r="G525" s="793" t="s">
        <v>19</v>
      </c>
      <c r="H525" s="920">
        <v>2001.42</v>
      </c>
      <c r="K525" s="1192" t="s">
        <v>6064</v>
      </c>
      <c r="V525" s="1192">
        <v>68</v>
      </c>
    </row>
    <row r="526" spans="1:22" s="1192" customFormat="1" ht="14.4" x14ac:dyDescent="0.3">
      <c r="A526" s="1192" t="s">
        <v>207</v>
      </c>
      <c r="E526" s="2133" t="s">
        <v>5644</v>
      </c>
      <c r="F526" s="2133"/>
      <c r="G526" s="1282" t="s">
        <v>19</v>
      </c>
      <c r="H526" s="1291">
        <v>8765.0499999999993</v>
      </c>
      <c r="K526" s="1192" t="s">
        <v>6064</v>
      </c>
      <c r="V526" s="1192">
        <v>120</v>
      </c>
    </row>
    <row r="527" spans="1:22" s="1192" customFormat="1" ht="14.4" x14ac:dyDescent="0.3">
      <c r="A527" s="1192" t="s">
        <v>207</v>
      </c>
      <c r="E527" s="2133" t="s">
        <v>5645</v>
      </c>
      <c r="F527" s="2133"/>
      <c r="G527" s="1282" t="s">
        <v>19</v>
      </c>
      <c r="H527" s="1291">
        <v>5817.8</v>
      </c>
      <c r="K527" s="1192" t="s">
        <v>6064</v>
      </c>
      <c r="V527" s="1192">
        <v>138</v>
      </c>
    </row>
    <row r="528" spans="1:22" s="1192" customFormat="1" ht="14.4" x14ac:dyDescent="0.3">
      <c r="A528" s="1192" t="s">
        <v>207</v>
      </c>
      <c r="E528" s="2133" t="s">
        <v>5646</v>
      </c>
      <c r="F528" s="2133"/>
      <c r="G528" s="793" t="s">
        <v>19</v>
      </c>
      <c r="H528" s="920" t="s">
        <v>5647</v>
      </c>
      <c r="K528" s="1192" t="s">
        <v>6064</v>
      </c>
      <c r="V528" s="1192">
        <v>47</v>
      </c>
    </row>
    <row r="529" spans="1:22" s="1192" customFormat="1" ht="14.4" x14ac:dyDescent="0.3">
      <c r="A529" s="1192" t="s">
        <v>207</v>
      </c>
      <c r="E529" s="2133" t="s">
        <v>5648</v>
      </c>
      <c r="F529" s="2133"/>
      <c r="G529" s="793" t="s">
        <v>19</v>
      </c>
      <c r="H529" s="920" t="s">
        <v>5647</v>
      </c>
      <c r="K529" s="1192" t="s">
        <v>6064</v>
      </c>
      <c r="V529" s="1192">
        <v>54</v>
      </c>
    </row>
    <row r="530" spans="1:22" s="1192" customFormat="1" ht="14.4" x14ac:dyDescent="0.3">
      <c r="A530" s="1192" t="s">
        <v>207</v>
      </c>
      <c r="E530" s="2133" t="s">
        <v>5649</v>
      </c>
      <c r="F530" s="2133"/>
      <c r="G530" s="793" t="s">
        <v>19</v>
      </c>
      <c r="H530" s="1222">
        <v>2.04</v>
      </c>
      <c r="K530" s="1192" t="s">
        <v>6064</v>
      </c>
      <c r="V530" s="1192">
        <v>66</v>
      </c>
    </row>
    <row r="531" spans="1:22" s="1192" customFormat="1" ht="14.4" x14ac:dyDescent="0.3">
      <c r="A531" s="1192" t="s">
        <v>207</v>
      </c>
      <c r="E531" s="2133" t="s">
        <v>5650</v>
      </c>
      <c r="F531" s="2133"/>
      <c r="G531" s="793" t="s">
        <v>19</v>
      </c>
      <c r="H531" s="1222">
        <v>10</v>
      </c>
      <c r="K531" s="1192" t="s">
        <v>6064</v>
      </c>
      <c r="V531" s="1192">
        <v>28</v>
      </c>
    </row>
    <row r="532" spans="1:22" s="1192" customFormat="1" ht="14.4" x14ac:dyDescent="0.3">
      <c r="A532" s="1192" t="s">
        <v>207</v>
      </c>
      <c r="E532" s="2133" t="s">
        <v>5651</v>
      </c>
      <c r="F532" s="2133"/>
      <c r="G532" s="793" t="s">
        <v>19</v>
      </c>
      <c r="H532" s="1222">
        <v>7</v>
      </c>
      <c r="K532" s="1192" t="s">
        <v>6064</v>
      </c>
      <c r="V532" s="1192">
        <v>33</v>
      </c>
    </row>
    <row r="533" spans="1:22" s="1192" customFormat="1" ht="20.399999999999999" x14ac:dyDescent="0.3">
      <c r="A533" s="1192" t="s">
        <v>207</v>
      </c>
      <c r="E533" s="1278" t="s">
        <v>5652</v>
      </c>
      <c r="F533" s="1278"/>
      <c r="G533" s="793"/>
      <c r="H533" s="920" t="s">
        <v>2045</v>
      </c>
      <c r="K533" s="1192" t="s">
        <v>6064</v>
      </c>
      <c r="V533" s="1192">
        <v>78</v>
      </c>
    </row>
    <row r="534" spans="1:22" s="1192" customFormat="1" ht="20.399999999999999" x14ac:dyDescent="0.3">
      <c r="A534" s="1192" t="s">
        <v>207</v>
      </c>
      <c r="E534" s="1278" t="s">
        <v>5653</v>
      </c>
      <c r="F534" s="1278"/>
      <c r="G534" s="793"/>
      <c r="H534" s="920" t="s">
        <v>2045</v>
      </c>
      <c r="K534" s="1192" t="s">
        <v>6064</v>
      </c>
      <c r="V534" s="1192">
        <v>64</v>
      </c>
    </row>
    <row r="535" spans="1:22" s="1192" customFormat="1" ht="14.4" x14ac:dyDescent="0.3">
      <c r="A535" s="1192" t="s">
        <v>207</v>
      </c>
      <c r="E535" s="2133" t="s">
        <v>5654</v>
      </c>
      <c r="F535" s="2133"/>
      <c r="G535" s="793" t="s">
        <v>19</v>
      </c>
      <c r="H535" s="1222">
        <v>87.9</v>
      </c>
      <c r="K535" s="1192" t="s">
        <v>6064</v>
      </c>
      <c r="V535" s="1192">
        <v>31</v>
      </c>
    </row>
    <row r="536" spans="1:22" s="1192" customFormat="1" ht="14.4" x14ac:dyDescent="0.3">
      <c r="A536" s="1192" t="s">
        <v>207</v>
      </c>
      <c r="E536" s="2133" t="s">
        <v>5655</v>
      </c>
      <c r="F536" s="2133"/>
      <c r="G536" s="793" t="s">
        <v>19</v>
      </c>
      <c r="H536" s="920">
        <v>105.48</v>
      </c>
      <c r="K536" s="1192" t="s">
        <v>6064</v>
      </c>
      <c r="V536" s="1192">
        <v>31</v>
      </c>
    </row>
    <row r="537" spans="1:22" s="1192" customFormat="1" ht="14.4" x14ac:dyDescent="0.3">
      <c r="A537" s="1192" t="s">
        <v>207</v>
      </c>
      <c r="E537" s="2133" t="s">
        <v>5656</v>
      </c>
      <c r="F537" s="2133"/>
      <c r="G537" s="793" t="s">
        <v>19</v>
      </c>
      <c r="H537" s="920">
        <v>117.2</v>
      </c>
      <c r="K537" s="1192" t="s">
        <v>6064</v>
      </c>
      <c r="V537" s="1192">
        <v>31</v>
      </c>
    </row>
    <row r="538" spans="1:22" s="1192" customFormat="1" ht="14.4" x14ac:dyDescent="0.3">
      <c r="A538" s="1192" t="s">
        <v>207</v>
      </c>
      <c r="E538" s="2133" t="s">
        <v>5657</v>
      </c>
      <c r="F538" s="2133"/>
      <c r="G538" s="793" t="s">
        <v>19</v>
      </c>
      <c r="H538" s="920">
        <v>125.57</v>
      </c>
      <c r="K538" s="1192" t="s">
        <v>6064</v>
      </c>
      <c r="V538" s="1192">
        <v>31</v>
      </c>
    </row>
    <row r="539" spans="1:22" s="1192" customFormat="1" ht="14.4" x14ac:dyDescent="0.3">
      <c r="A539" s="1192" t="s">
        <v>207</v>
      </c>
      <c r="E539" s="2133" t="s">
        <v>5658</v>
      </c>
      <c r="F539" s="2133"/>
      <c r="G539" s="793" t="s">
        <v>19</v>
      </c>
      <c r="H539" s="920">
        <v>131.85</v>
      </c>
      <c r="K539" s="1192" t="s">
        <v>6064</v>
      </c>
      <c r="V539" s="1192">
        <v>31</v>
      </c>
    </row>
    <row r="540" spans="1:22" s="1192" customFormat="1" ht="14.4" x14ac:dyDescent="0.3">
      <c r="A540" s="1192" t="s">
        <v>207</v>
      </c>
      <c r="E540" s="2133" t="s">
        <v>5659</v>
      </c>
      <c r="F540" s="2133"/>
      <c r="G540" s="793" t="s">
        <v>19</v>
      </c>
      <c r="H540" s="920">
        <v>136.72999999999999</v>
      </c>
      <c r="K540" s="1192" t="s">
        <v>6064</v>
      </c>
      <c r="V540" s="1192">
        <v>31</v>
      </c>
    </row>
    <row r="541" spans="1:22" s="1192" customFormat="1" ht="14.4" x14ac:dyDescent="0.3">
      <c r="A541" s="1192" t="s">
        <v>207</v>
      </c>
      <c r="E541" s="2133" t="s">
        <v>5660</v>
      </c>
      <c r="F541" s="2133"/>
      <c r="G541" s="793" t="s">
        <v>19</v>
      </c>
      <c r="H541" s="920">
        <v>140.63999999999999</v>
      </c>
      <c r="K541" s="1192" t="s">
        <v>6064</v>
      </c>
      <c r="V541" s="1192">
        <v>31</v>
      </c>
    </row>
    <row r="542" spans="1:22" s="1192" customFormat="1" ht="14.4" x14ac:dyDescent="0.3">
      <c r="A542" s="1192" t="s">
        <v>207</v>
      </c>
      <c r="E542" s="2133" t="s">
        <v>5661</v>
      </c>
      <c r="F542" s="2133"/>
      <c r="G542" s="793" t="s">
        <v>19</v>
      </c>
      <c r="H542" s="1222">
        <v>143.83000000000001</v>
      </c>
      <c r="K542" s="1192" t="s">
        <v>6064</v>
      </c>
      <c r="V542" s="1192">
        <v>31</v>
      </c>
    </row>
    <row r="543" spans="1:22" s="1192" customFormat="1" ht="14.4" x14ac:dyDescent="0.3">
      <c r="A543" s="1192" t="s">
        <v>207</v>
      </c>
      <c r="E543" s="2133" t="s">
        <v>5662</v>
      </c>
      <c r="F543" s="2133"/>
      <c r="G543" s="793" t="s">
        <v>19</v>
      </c>
      <c r="H543" s="1222">
        <v>146.5</v>
      </c>
      <c r="K543" s="1192" t="s">
        <v>6064</v>
      </c>
      <c r="V543" s="1192">
        <v>31</v>
      </c>
    </row>
    <row r="544" spans="1:22" s="1192" customFormat="1" ht="14.4" x14ac:dyDescent="0.3">
      <c r="A544" s="1192" t="s">
        <v>207</v>
      </c>
      <c r="E544" s="2133" t="s">
        <v>5663</v>
      </c>
      <c r="F544" s="2133"/>
      <c r="G544" s="793" t="s">
        <v>19</v>
      </c>
      <c r="H544" s="920">
        <v>148.75</v>
      </c>
      <c r="K544" s="1192" t="s">
        <v>6064</v>
      </c>
      <c r="V544" s="1192">
        <v>31</v>
      </c>
    </row>
    <row r="545" spans="1:22" s="1192" customFormat="1" ht="14.4" x14ac:dyDescent="0.3">
      <c r="A545" s="1192" t="s">
        <v>207</v>
      </c>
      <c r="E545" s="2133" t="s">
        <v>5664</v>
      </c>
      <c r="F545" s="2133"/>
      <c r="G545" s="793" t="s">
        <v>19</v>
      </c>
      <c r="H545" s="920">
        <v>150.68</v>
      </c>
      <c r="K545" s="1192" t="s">
        <v>6064</v>
      </c>
      <c r="V545" s="1192">
        <v>31</v>
      </c>
    </row>
    <row r="546" spans="1:22" s="1192" customFormat="1" ht="14.4" x14ac:dyDescent="0.3">
      <c r="A546" s="1192" t="s">
        <v>207</v>
      </c>
      <c r="E546" s="2133" t="s">
        <v>5665</v>
      </c>
      <c r="F546" s="2133"/>
      <c r="G546" s="793"/>
      <c r="H546" s="920" t="s">
        <v>2045</v>
      </c>
      <c r="K546" s="1192" t="s">
        <v>6064</v>
      </c>
      <c r="V546" s="1192">
        <v>69</v>
      </c>
    </row>
    <row r="547" spans="1:22" s="1192" customFormat="1" ht="14.4" x14ac:dyDescent="0.3">
      <c r="A547" s="1192" t="s">
        <v>207</v>
      </c>
      <c r="E547" s="2133" t="s">
        <v>5666</v>
      </c>
      <c r="F547" s="2133"/>
      <c r="G547" s="793" t="s">
        <v>19</v>
      </c>
      <c r="H547" s="1222">
        <v>87.9</v>
      </c>
      <c r="K547" s="1192" t="s">
        <v>6064</v>
      </c>
      <c r="V547" s="1192">
        <v>37</v>
      </c>
    </row>
    <row r="548" spans="1:22" s="1192" customFormat="1" ht="14.4" x14ac:dyDescent="0.3">
      <c r="A548" s="1192" t="s">
        <v>207</v>
      </c>
      <c r="E548" s="2133" t="s">
        <v>5667</v>
      </c>
      <c r="F548" s="2133"/>
      <c r="G548" s="793" t="s">
        <v>19</v>
      </c>
      <c r="H548" s="920">
        <v>105.48</v>
      </c>
      <c r="K548" s="1192" t="s">
        <v>6064</v>
      </c>
      <c r="V548" s="1192">
        <v>37</v>
      </c>
    </row>
    <row r="549" spans="1:22" s="1192" customFormat="1" ht="14.4" x14ac:dyDescent="0.3">
      <c r="A549" s="1192" t="s">
        <v>207</v>
      </c>
      <c r="E549" s="2133" t="s">
        <v>5668</v>
      </c>
      <c r="F549" s="2133"/>
      <c r="G549" s="793" t="s">
        <v>19</v>
      </c>
      <c r="H549" s="1222">
        <v>117.2</v>
      </c>
      <c r="K549" s="1192" t="s">
        <v>6064</v>
      </c>
      <c r="V549" s="1192">
        <v>37</v>
      </c>
    </row>
    <row r="550" spans="1:22" s="1192" customFormat="1" ht="14.4" x14ac:dyDescent="0.3">
      <c r="A550" s="1192" t="s">
        <v>207</v>
      </c>
      <c r="E550" s="2133" t="s">
        <v>5669</v>
      </c>
      <c r="F550" s="2133"/>
      <c r="G550" s="793" t="s">
        <v>19</v>
      </c>
      <c r="H550" s="920">
        <v>125.57</v>
      </c>
      <c r="K550" s="1192" t="s">
        <v>6064</v>
      </c>
      <c r="V550" s="1192">
        <v>37</v>
      </c>
    </row>
    <row r="551" spans="1:22" s="1192" customFormat="1" ht="14.4" x14ac:dyDescent="0.3">
      <c r="A551" s="1192" t="s">
        <v>207</v>
      </c>
      <c r="E551" s="2133" t="s">
        <v>5670</v>
      </c>
      <c r="F551" s="2133"/>
      <c r="G551" s="793" t="s">
        <v>19</v>
      </c>
      <c r="H551" s="920">
        <v>131.85</v>
      </c>
      <c r="K551" s="1192" t="s">
        <v>6064</v>
      </c>
      <c r="V551" s="1192">
        <v>37</v>
      </c>
    </row>
    <row r="552" spans="1:22" s="1192" customFormat="1" ht="14.4" x14ac:dyDescent="0.3">
      <c r="A552" s="1192" t="s">
        <v>207</v>
      </c>
      <c r="E552" s="2133" t="s">
        <v>5671</v>
      </c>
      <c r="F552" s="2133"/>
      <c r="G552" s="793" t="s">
        <v>19</v>
      </c>
      <c r="H552" s="920">
        <v>136.72999999999999</v>
      </c>
      <c r="K552" s="1192" t="s">
        <v>6064</v>
      </c>
      <c r="V552" s="1192">
        <v>37</v>
      </c>
    </row>
    <row r="553" spans="1:22" s="1192" customFormat="1" ht="14.4" x14ac:dyDescent="0.3">
      <c r="A553" s="1192" t="s">
        <v>207</v>
      </c>
      <c r="E553" s="2133" t="s">
        <v>5672</v>
      </c>
      <c r="F553" s="2133"/>
      <c r="G553" s="793" t="s">
        <v>19</v>
      </c>
      <c r="H553" s="920">
        <v>140.63999999999999</v>
      </c>
      <c r="K553" s="1192" t="s">
        <v>6064</v>
      </c>
      <c r="V553" s="1192">
        <v>37</v>
      </c>
    </row>
    <row r="554" spans="1:22" s="1192" customFormat="1" ht="14.4" x14ac:dyDescent="0.3">
      <c r="A554" s="1192" t="s">
        <v>207</v>
      </c>
      <c r="E554" s="2133" t="s">
        <v>5673</v>
      </c>
      <c r="F554" s="2133"/>
      <c r="G554" s="793" t="s">
        <v>19</v>
      </c>
      <c r="H554" s="920">
        <v>143.83000000000001</v>
      </c>
      <c r="K554" s="1192" t="s">
        <v>6064</v>
      </c>
      <c r="V554" s="1192">
        <v>37</v>
      </c>
    </row>
    <row r="555" spans="1:22" s="1192" customFormat="1" ht="14.4" x14ac:dyDescent="0.3">
      <c r="A555" s="1192" t="s">
        <v>207</v>
      </c>
      <c r="E555" s="2133" t="s">
        <v>5674</v>
      </c>
      <c r="F555" s="2133"/>
      <c r="G555" s="793" t="s">
        <v>19</v>
      </c>
      <c r="H555" s="1222">
        <v>146.5</v>
      </c>
      <c r="K555" s="1192" t="s">
        <v>6064</v>
      </c>
      <c r="V555" s="1192">
        <v>37</v>
      </c>
    </row>
    <row r="556" spans="1:22" s="1192" customFormat="1" ht="14.4" x14ac:dyDescent="0.3">
      <c r="A556" s="1192" t="s">
        <v>207</v>
      </c>
      <c r="E556" s="2133" t="s">
        <v>5675</v>
      </c>
      <c r="F556" s="2133"/>
      <c r="G556" s="793" t="s">
        <v>19</v>
      </c>
      <c r="H556" s="920">
        <v>148.75</v>
      </c>
      <c r="K556" s="1192" t="s">
        <v>6064</v>
      </c>
      <c r="V556" s="1192">
        <v>37</v>
      </c>
    </row>
    <row r="557" spans="1:22" s="1192" customFormat="1" ht="14.4" x14ac:dyDescent="0.3">
      <c r="A557" s="1192" t="s">
        <v>207</v>
      </c>
      <c r="E557" s="2133" t="s">
        <v>5676</v>
      </c>
      <c r="F557" s="2133"/>
      <c r="G557" s="793" t="s">
        <v>19</v>
      </c>
      <c r="H557" s="920">
        <v>150.68</v>
      </c>
      <c r="K557" s="1192" t="s">
        <v>6064</v>
      </c>
      <c r="V557" s="1192">
        <v>37</v>
      </c>
    </row>
    <row r="558" spans="1:22" s="1192" customFormat="1" x14ac:dyDescent="0.3">
      <c r="A558" s="1192" t="s">
        <v>207</v>
      </c>
      <c r="E558" s="2159" t="s">
        <v>73</v>
      </c>
      <c r="F558" s="2204"/>
      <c r="G558" s="2204"/>
      <c r="H558" s="2204"/>
      <c r="K558" s="1192" t="s">
        <v>3103</v>
      </c>
      <c r="V558" s="1192">
        <v>38</v>
      </c>
    </row>
    <row r="559" spans="1:22" s="1192" customFormat="1" ht="14.4" x14ac:dyDescent="0.3">
      <c r="A559" s="1192" t="s">
        <v>207</v>
      </c>
      <c r="E559" s="2146" t="s">
        <v>2389</v>
      </c>
      <c r="F559" s="2151"/>
      <c r="G559" s="2151"/>
      <c r="H559" s="2151"/>
      <c r="K559" s="1192" t="s">
        <v>6066</v>
      </c>
      <c r="V559" s="1192">
        <v>11</v>
      </c>
    </row>
    <row r="560" spans="1:22" s="1192" customFormat="1" ht="14.4" x14ac:dyDescent="0.3">
      <c r="A560" s="1192" t="s">
        <v>207</v>
      </c>
      <c r="E560" s="2151" t="s">
        <v>2391</v>
      </c>
      <c r="F560" s="2151"/>
      <c r="G560" s="2151"/>
      <c r="H560" s="2151"/>
      <c r="K560" s="1192" t="s">
        <v>6064</v>
      </c>
      <c r="V560" s="1192">
        <v>280</v>
      </c>
    </row>
    <row r="561" spans="1:22" s="1192" customFormat="1" ht="14.4" x14ac:dyDescent="0.3">
      <c r="A561" s="1192" t="s">
        <v>207</v>
      </c>
      <c r="E561" s="2151" t="s">
        <v>2392</v>
      </c>
      <c r="F561" s="2151"/>
      <c r="G561" s="2151"/>
      <c r="H561" s="2151"/>
      <c r="K561" s="1192" t="s">
        <v>6064</v>
      </c>
      <c r="V561" s="1192">
        <v>411</v>
      </c>
    </row>
    <row r="562" spans="1:22" s="1192" customFormat="1" ht="14.4" x14ac:dyDescent="0.3">
      <c r="A562" s="1192" t="s">
        <v>207</v>
      </c>
      <c r="E562" s="2151" t="s">
        <v>2445</v>
      </c>
      <c r="F562" s="2151"/>
      <c r="G562" s="2151"/>
      <c r="H562" s="2151"/>
      <c r="K562" s="1192" t="s">
        <v>6064</v>
      </c>
      <c r="V562" s="1192">
        <v>211</v>
      </c>
    </row>
    <row r="563" spans="1:22" s="1192" customFormat="1" ht="14.4" x14ac:dyDescent="0.3">
      <c r="A563" s="1192" t="s">
        <v>207</v>
      </c>
      <c r="E563" s="2151" t="s">
        <v>2986</v>
      </c>
      <c r="F563" s="2151"/>
      <c r="G563" s="2151"/>
      <c r="H563" s="2151"/>
      <c r="K563" s="1192" t="s">
        <v>6064</v>
      </c>
      <c r="V563" s="1192">
        <v>246</v>
      </c>
    </row>
    <row r="564" spans="1:22" s="1192" customFormat="1" ht="14.4" x14ac:dyDescent="0.3">
      <c r="A564" s="1192" t="s">
        <v>207</v>
      </c>
      <c r="E564" s="2151" t="s">
        <v>2818</v>
      </c>
      <c r="F564" s="2151"/>
      <c r="G564" s="2161"/>
      <c r="H564" s="2161"/>
      <c r="K564" s="1192" t="s">
        <v>6064</v>
      </c>
      <c r="V564" s="1192">
        <v>141</v>
      </c>
    </row>
    <row r="565" spans="1:22" s="1192" customFormat="1" ht="14.4" x14ac:dyDescent="0.3">
      <c r="A565" s="1192" t="s">
        <v>207</v>
      </c>
      <c r="E565" s="2133" t="s">
        <v>2485</v>
      </c>
      <c r="F565" s="2133"/>
      <c r="G565" s="804" t="s">
        <v>19</v>
      </c>
      <c r="H565" s="1222">
        <v>102</v>
      </c>
      <c r="K565" s="1192" t="s">
        <v>6064</v>
      </c>
      <c r="V565" s="1192">
        <v>106</v>
      </c>
    </row>
    <row r="566" spans="1:22" s="1192" customFormat="1" ht="14.4" x14ac:dyDescent="0.3">
      <c r="A566" s="1192" t="s">
        <v>207</v>
      </c>
      <c r="E566" s="2133" t="s">
        <v>3919</v>
      </c>
      <c r="F566" s="2133"/>
      <c r="G566" s="804" t="s">
        <v>19</v>
      </c>
      <c r="H566" s="1222">
        <v>40.799999999999997</v>
      </c>
      <c r="K566" s="1192" t="s">
        <v>6064</v>
      </c>
      <c r="V566" s="1192">
        <v>34</v>
      </c>
    </row>
    <row r="567" spans="1:22" s="1192" customFormat="1" ht="14.4" x14ac:dyDescent="0.3">
      <c r="A567" s="1192" t="s">
        <v>207</v>
      </c>
      <c r="E567" s="2133" t="s">
        <v>3920</v>
      </c>
      <c r="F567" s="2133"/>
      <c r="G567" s="804" t="s">
        <v>19</v>
      </c>
      <c r="H567" s="1222">
        <v>1.02</v>
      </c>
      <c r="K567" s="1192" t="s">
        <v>6064</v>
      </c>
      <c r="V567" s="1192">
        <v>51</v>
      </c>
    </row>
    <row r="568" spans="1:22" s="1192" customFormat="1" ht="14.4" x14ac:dyDescent="0.3">
      <c r="A568" s="1192" t="s">
        <v>207</v>
      </c>
      <c r="E568" s="2133" t="s">
        <v>2489</v>
      </c>
      <c r="F568" s="2133"/>
      <c r="G568" s="804" t="s">
        <v>19</v>
      </c>
      <c r="H568" s="1222">
        <v>0.61</v>
      </c>
      <c r="K568" s="1192" t="s">
        <v>6064</v>
      </c>
      <c r="V568" s="1192">
        <v>75</v>
      </c>
    </row>
    <row r="569" spans="1:22" s="1192" customFormat="1" ht="14.4" x14ac:dyDescent="0.3">
      <c r="A569" s="1192" t="s">
        <v>207</v>
      </c>
      <c r="E569" s="2133" t="s">
        <v>2490</v>
      </c>
      <c r="F569" s="2133"/>
      <c r="G569" s="804" t="s">
        <v>19</v>
      </c>
      <c r="H569" s="1222">
        <v>-0.61</v>
      </c>
      <c r="K569" s="1192" t="s">
        <v>6064</v>
      </c>
      <c r="V569" s="1192">
        <v>72</v>
      </c>
    </row>
    <row r="570" spans="1:22" s="1192" customFormat="1" ht="14.4" x14ac:dyDescent="0.3">
      <c r="A570" s="1192" t="s">
        <v>207</v>
      </c>
      <c r="E570" s="2133" t="s">
        <v>2596</v>
      </c>
      <c r="F570" s="2133"/>
      <c r="G570" s="804"/>
      <c r="H570" s="854"/>
      <c r="K570" s="1192" t="s">
        <v>6064</v>
      </c>
      <c r="V570" s="1192">
        <v>34</v>
      </c>
    </row>
    <row r="571" spans="1:22" s="1192" customFormat="1" ht="14.4" x14ac:dyDescent="0.3">
      <c r="A571" s="1192" t="s">
        <v>207</v>
      </c>
      <c r="E571" s="2133" t="s">
        <v>4638</v>
      </c>
      <c r="F571" s="2133"/>
      <c r="G571" s="804" t="s">
        <v>19</v>
      </c>
      <c r="H571" s="854">
        <v>0.51</v>
      </c>
      <c r="K571" s="1192" t="s">
        <v>6064</v>
      </c>
      <c r="V571" s="1192">
        <v>80</v>
      </c>
    </row>
    <row r="572" spans="1:22" s="1192" customFormat="1" ht="14.4" x14ac:dyDescent="0.3">
      <c r="A572" s="1192" t="s">
        <v>207</v>
      </c>
      <c r="E572" s="2133" t="s">
        <v>4639</v>
      </c>
      <c r="F572" s="2133"/>
      <c r="G572" s="804" t="s">
        <v>19</v>
      </c>
      <c r="H572" s="854">
        <v>1.02</v>
      </c>
      <c r="K572" s="1192" t="s">
        <v>6064</v>
      </c>
      <c r="V572" s="1192">
        <v>83</v>
      </c>
    </row>
    <row r="573" spans="1:22" s="1192" customFormat="1" ht="14.4" x14ac:dyDescent="0.3">
      <c r="A573" s="1192" t="s">
        <v>207</v>
      </c>
      <c r="E573" s="2133" t="s">
        <v>2494</v>
      </c>
      <c r="F573" s="2133"/>
      <c r="G573" s="804"/>
      <c r="H573" s="854"/>
      <c r="K573" s="1192" t="s">
        <v>6064</v>
      </c>
      <c r="V573" s="1192">
        <v>91</v>
      </c>
    </row>
    <row r="574" spans="1:22" s="1192" customFormat="1" ht="14.4" x14ac:dyDescent="0.3">
      <c r="A574" s="1192" t="s">
        <v>207</v>
      </c>
      <c r="E574" s="2133" t="s">
        <v>2495</v>
      </c>
      <c r="F574" s="2133"/>
      <c r="G574" s="804"/>
      <c r="H574" s="854"/>
      <c r="K574" s="1192" t="s">
        <v>6064</v>
      </c>
      <c r="V574" s="1192">
        <v>96</v>
      </c>
    </row>
    <row r="575" spans="1:22" s="1192" customFormat="1" ht="14.4" x14ac:dyDescent="0.3">
      <c r="A575" s="1192" t="s">
        <v>207</v>
      </c>
      <c r="E575" s="2133" t="s">
        <v>2597</v>
      </c>
      <c r="F575" s="2133"/>
      <c r="G575" s="804"/>
      <c r="H575" s="854"/>
      <c r="K575" s="1192" t="s">
        <v>6064</v>
      </c>
      <c r="V575" s="1192">
        <v>77</v>
      </c>
    </row>
    <row r="576" spans="1:22" s="1192" customFormat="1" ht="14.4" x14ac:dyDescent="0.3">
      <c r="A576" s="1192" t="s">
        <v>207</v>
      </c>
      <c r="E576" s="2133" t="s">
        <v>4676</v>
      </c>
      <c r="F576" s="2133"/>
      <c r="G576" s="804" t="s">
        <v>19</v>
      </c>
      <c r="H576" s="854" t="s">
        <v>2498</v>
      </c>
      <c r="K576" s="1192" t="s">
        <v>6064</v>
      </c>
      <c r="V576" s="1192">
        <v>40</v>
      </c>
    </row>
    <row r="577" spans="1:22" s="1192" customFormat="1" ht="14.4" x14ac:dyDescent="0.3">
      <c r="A577" s="1192" t="s">
        <v>207</v>
      </c>
      <c r="E577" s="2133" t="s">
        <v>4677</v>
      </c>
      <c r="F577" s="2133"/>
      <c r="G577" s="804" t="s">
        <v>19</v>
      </c>
      <c r="H577" s="854">
        <v>4.08</v>
      </c>
      <c r="K577" s="1192" t="s">
        <v>6064</v>
      </c>
      <c r="V577" s="1192">
        <v>91</v>
      </c>
    </row>
    <row r="578" spans="1:22" s="1192" customFormat="1" ht="14.4" x14ac:dyDescent="0.3">
      <c r="A578" s="1192" t="s">
        <v>207</v>
      </c>
      <c r="E578" s="2133" t="s">
        <v>4608</v>
      </c>
      <c r="F578" s="2133"/>
      <c r="G578" s="1292" t="s">
        <v>19</v>
      </c>
      <c r="H578" s="836">
        <v>2.04</v>
      </c>
      <c r="J578" s="1192" t="s">
        <v>5677</v>
      </c>
      <c r="K578" s="1192" t="s">
        <v>6064</v>
      </c>
      <c r="V578" s="1192">
        <v>199</v>
      </c>
    </row>
    <row r="579" spans="1:22" s="1192" customFormat="1" ht="22.8" x14ac:dyDescent="0.3">
      <c r="A579" s="1192" t="s">
        <v>193</v>
      </c>
      <c r="C579" s="1192" t="s">
        <v>2378</v>
      </c>
      <c r="E579" s="1752" t="s">
        <v>193</v>
      </c>
      <c r="F579" s="1752"/>
      <c r="G579" s="1752"/>
      <c r="H579" s="1752"/>
      <c r="I579" s="1192" t="s">
        <v>603</v>
      </c>
      <c r="J579" s="1192" t="s">
        <v>4428</v>
      </c>
      <c r="K579" s="1192" t="s">
        <v>193</v>
      </c>
      <c r="M579" s="1192">
        <v>7</v>
      </c>
      <c r="V579" s="1192">
        <v>19</v>
      </c>
    </row>
    <row r="580" spans="1:22" s="1192" customFormat="1" ht="17.399999999999999" x14ac:dyDescent="0.3">
      <c r="A580" s="1192" t="s">
        <v>193</v>
      </c>
      <c r="C580" s="1192" t="s">
        <v>2380</v>
      </c>
      <c r="E580" s="1753" t="s">
        <v>2381</v>
      </c>
      <c r="F580" s="1753"/>
      <c r="G580" s="1753"/>
      <c r="H580" s="1753"/>
      <c r="V580" s="1192">
        <v>27</v>
      </c>
    </row>
    <row r="581" spans="1:22" s="1192" customFormat="1" ht="15.6" x14ac:dyDescent="0.3">
      <c r="A581" s="1192" t="s">
        <v>193</v>
      </c>
      <c r="C581" s="1192" t="s">
        <v>2382</v>
      </c>
      <c r="E581" s="1754" t="s">
        <v>5937</v>
      </c>
      <c r="F581" s="1754"/>
      <c r="G581" s="1754"/>
      <c r="H581" s="1754"/>
      <c r="S581" s="1192">
        <v>43831</v>
      </c>
      <c r="V581" s="1192">
        <v>49</v>
      </c>
    </row>
    <row r="582" spans="1:22" s="1192" customFormat="1" ht="14.4" x14ac:dyDescent="0.3">
      <c r="A582" s="1192" t="s">
        <v>193</v>
      </c>
      <c r="C582" s="1192" t="s">
        <v>2383</v>
      </c>
      <c r="E582" s="1755" t="s">
        <v>2384</v>
      </c>
      <c r="F582" s="1755"/>
      <c r="G582" s="1755"/>
      <c r="H582" s="1755"/>
      <c r="V582" s="1192">
        <v>52</v>
      </c>
    </row>
    <row r="583" spans="1:22" s="1192" customFormat="1" ht="14.4" x14ac:dyDescent="0.3">
      <c r="A583" s="1192" t="s">
        <v>193</v>
      </c>
      <c r="E583" s="1755" t="s">
        <v>2385</v>
      </c>
      <c r="F583" s="1755"/>
      <c r="G583" s="1755"/>
      <c r="H583" s="1755"/>
      <c r="V583" s="1192">
        <v>53</v>
      </c>
    </row>
    <row r="584" spans="1:22" s="1192" customFormat="1" ht="14.4" x14ac:dyDescent="0.3">
      <c r="A584" s="1192" t="s">
        <v>193</v>
      </c>
      <c r="E584" s="1772" t="s">
        <v>6067</v>
      </c>
      <c r="F584" s="1772"/>
      <c r="G584" s="1772"/>
      <c r="H584" s="1772"/>
      <c r="K584" s="1192" t="s">
        <v>6067</v>
      </c>
      <c r="V584" s="1192">
        <v>12</v>
      </c>
    </row>
    <row r="585" spans="1:22" s="1192" customFormat="1" ht="14.4" x14ac:dyDescent="0.3">
      <c r="A585" s="1192" t="s">
        <v>193</v>
      </c>
      <c r="E585" s="1746" t="s">
        <v>427</v>
      </c>
      <c r="F585" s="1743"/>
      <c r="G585" s="1743"/>
      <c r="H585" s="1743"/>
      <c r="K585" s="1192" t="s">
        <v>2506</v>
      </c>
      <c r="V585" s="1192">
        <v>34</v>
      </c>
    </row>
    <row r="586" spans="1:22" s="1192" customFormat="1" ht="14.4" x14ac:dyDescent="0.3">
      <c r="A586" s="1192" t="s">
        <v>193</v>
      </c>
      <c r="E586" s="1743" t="s">
        <v>4429</v>
      </c>
      <c r="F586" s="1743"/>
      <c r="G586" s="1743"/>
      <c r="H586" s="1743"/>
      <c r="K586" s="1192" t="s">
        <v>2506</v>
      </c>
      <c r="V586" s="1192">
        <v>372</v>
      </c>
    </row>
    <row r="587" spans="1:22" s="1192" customFormat="1" ht="14.4" x14ac:dyDescent="0.3">
      <c r="A587" s="1192" t="s">
        <v>193</v>
      </c>
      <c r="E587" s="1750" t="s">
        <v>2389</v>
      </c>
      <c r="F587" s="1743"/>
      <c r="G587" s="1743"/>
      <c r="H587" s="1743"/>
      <c r="K587" s="1192" t="s">
        <v>2390</v>
      </c>
      <c r="V587" s="1192">
        <v>11</v>
      </c>
    </row>
    <row r="588" spans="1:22" s="1192" customFormat="1" ht="14.4" x14ac:dyDescent="0.3">
      <c r="A588" s="1192" t="s">
        <v>193</v>
      </c>
      <c r="E588" s="1743" t="s">
        <v>2391</v>
      </c>
      <c r="F588" s="1743"/>
      <c r="G588" s="1743"/>
      <c r="H588" s="1743"/>
      <c r="K588" s="1192" t="s">
        <v>2506</v>
      </c>
      <c r="V588" s="1192">
        <v>280</v>
      </c>
    </row>
    <row r="589" spans="1:22" s="1192" customFormat="1" ht="14.4" x14ac:dyDescent="0.3">
      <c r="A589" s="1192" t="s">
        <v>193</v>
      </c>
      <c r="E589" s="1743" t="s">
        <v>2392</v>
      </c>
      <c r="F589" s="1743"/>
      <c r="G589" s="1743"/>
      <c r="H589" s="1743"/>
      <c r="K589" s="1192" t="s">
        <v>2506</v>
      </c>
      <c r="V589" s="1192">
        <v>411</v>
      </c>
    </row>
    <row r="590" spans="1:22" s="1192" customFormat="1" ht="14.4" x14ac:dyDescent="0.3">
      <c r="A590" s="1192" t="s">
        <v>193</v>
      </c>
      <c r="E590" s="1743" t="s">
        <v>2508</v>
      </c>
      <c r="F590" s="1743"/>
      <c r="G590" s="1743"/>
      <c r="H590" s="1743"/>
      <c r="K590" s="1192" t="s">
        <v>2506</v>
      </c>
      <c r="V590" s="1192">
        <v>386</v>
      </c>
    </row>
    <row r="591" spans="1:22" s="1192" customFormat="1" ht="14.4" x14ac:dyDescent="0.3">
      <c r="A591" s="1192" t="s">
        <v>193</v>
      </c>
      <c r="E591" s="1743" t="s">
        <v>4500</v>
      </c>
      <c r="F591" s="1743"/>
      <c r="G591" s="1743"/>
      <c r="H591" s="1743"/>
      <c r="K591" s="1192" t="s">
        <v>2506</v>
      </c>
      <c r="V591" s="1192">
        <v>247</v>
      </c>
    </row>
    <row r="592" spans="1:22" s="1192" customFormat="1" ht="14.4" x14ac:dyDescent="0.3">
      <c r="A592" s="1192" t="s">
        <v>193</v>
      </c>
      <c r="E592" s="1750" t="s">
        <v>2394</v>
      </c>
      <c r="F592" s="1743"/>
      <c r="G592" s="1743"/>
      <c r="H592" s="1743"/>
      <c r="K592" s="1192" t="s">
        <v>2395</v>
      </c>
      <c r="V592" s="1192">
        <v>46</v>
      </c>
    </row>
    <row r="593" spans="1:22" s="1192" customFormat="1" ht="14.4" x14ac:dyDescent="0.3">
      <c r="A593" s="1192" t="s">
        <v>193</v>
      </c>
      <c r="E593" s="1741" t="s">
        <v>7</v>
      </c>
      <c r="F593" s="1741"/>
      <c r="G593" s="1277" t="s">
        <v>19</v>
      </c>
      <c r="H593" s="1218">
        <v>28.9</v>
      </c>
      <c r="K593" s="1192" t="s">
        <v>2506</v>
      </c>
      <c r="L593" s="1192" t="s">
        <v>430</v>
      </c>
      <c r="P593" s="1192" t="s">
        <v>2510</v>
      </c>
      <c r="V593" s="1192">
        <v>14</v>
      </c>
    </row>
    <row r="594" spans="1:22" s="1192" customFormat="1" ht="14.4" x14ac:dyDescent="0.3">
      <c r="A594" s="1192" t="s">
        <v>193</v>
      </c>
      <c r="E594" s="1741" t="s">
        <v>3900</v>
      </c>
      <c r="F594" s="1741"/>
      <c r="G594" s="1277" t="s">
        <v>19</v>
      </c>
      <c r="H594" s="1218">
        <v>0.56999999999999995</v>
      </c>
      <c r="K594" s="1192" t="s">
        <v>2506</v>
      </c>
      <c r="L594" s="1192" t="s">
        <v>431</v>
      </c>
      <c r="P594" s="1192" t="s">
        <v>2511</v>
      </c>
      <c r="T594" s="1192">
        <v>44926</v>
      </c>
      <c r="V594" s="1192">
        <v>64</v>
      </c>
    </row>
    <row r="595" spans="1:22" s="1192" customFormat="1" ht="14.4" x14ac:dyDescent="0.3">
      <c r="A595" s="1192" t="s">
        <v>193</v>
      </c>
      <c r="E595" s="1741" t="s">
        <v>4430</v>
      </c>
      <c r="F595" s="1741"/>
      <c r="G595" s="1277" t="s">
        <v>19</v>
      </c>
      <c r="H595" s="1218">
        <v>0.04</v>
      </c>
      <c r="K595" s="1192" t="s">
        <v>2506</v>
      </c>
      <c r="L595" s="1192" t="s">
        <v>430</v>
      </c>
      <c r="P595" s="1192" t="s">
        <v>2516</v>
      </c>
      <c r="T595" s="1192">
        <v>43982</v>
      </c>
      <c r="V595" s="1192">
        <v>102</v>
      </c>
    </row>
    <row r="596" spans="1:22" s="1192" customFormat="1" ht="14.4" x14ac:dyDescent="0.3">
      <c r="A596" s="1192" t="s">
        <v>193</v>
      </c>
      <c r="E596" s="1741" t="s">
        <v>14</v>
      </c>
      <c r="F596" s="1741"/>
      <c r="G596" s="1277" t="s">
        <v>20</v>
      </c>
      <c r="H596" s="1219">
        <v>3.0999999999999999E-3</v>
      </c>
      <c r="K596" s="1192" t="s">
        <v>2506</v>
      </c>
      <c r="L596" s="1192" t="s">
        <v>431</v>
      </c>
      <c r="P596" s="1192" t="s">
        <v>2513</v>
      </c>
      <c r="V596" s="1192">
        <v>24</v>
      </c>
    </row>
    <row r="597" spans="1:22" s="1192" customFormat="1" ht="14.4" x14ac:dyDescent="0.3">
      <c r="A597" s="1192" t="s">
        <v>193</v>
      </c>
      <c r="E597" s="1741" t="s">
        <v>6068</v>
      </c>
      <c r="F597" s="1998"/>
      <c r="G597" s="1277" t="s">
        <v>20</v>
      </c>
      <c r="H597" s="1219">
        <v>-1.1999999999999999E-3</v>
      </c>
      <c r="K597" s="1192" t="s">
        <v>2506</v>
      </c>
      <c r="L597" s="1192" t="s">
        <v>431</v>
      </c>
      <c r="P597" s="1192" t="s">
        <v>2514</v>
      </c>
      <c r="T597" s="1192">
        <v>44196</v>
      </c>
      <c r="V597" s="1192">
        <v>173</v>
      </c>
    </row>
    <row r="598" spans="1:22" s="1192" customFormat="1" ht="14.4" x14ac:dyDescent="0.3">
      <c r="A598" s="1192" t="s">
        <v>193</v>
      </c>
      <c r="E598" s="1741" t="s">
        <v>6069</v>
      </c>
      <c r="F598" s="1998"/>
      <c r="G598" s="1277" t="s">
        <v>20</v>
      </c>
      <c r="H598" s="1219">
        <v>1.2999999999999999E-3</v>
      </c>
      <c r="K598" s="1192" t="s">
        <v>2506</v>
      </c>
      <c r="L598" s="1192" t="s">
        <v>431</v>
      </c>
      <c r="P598" s="1192" t="s">
        <v>2516</v>
      </c>
      <c r="T598" s="1192">
        <v>44196</v>
      </c>
      <c r="V598" s="1192">
        <v>135</v>
      </c>
    </row>
    <row r="599" spans="1:22" s="1192" customFormat="1" ht="14.4" x14ac:dyDescent="0.3">
      <c r="A599" s="1192" t="s">
        <v>193</v>
      </c>
      <c r="E599" s="1741" t="s">
        <v>6070</v>
      </c>
      <c r="F599" s="1998"/>
      <c r="G599" s="1277" t="s">
        <v>20</v>
      </c>
      <c r="H599" s="1219">
        <v>-1E-4</v>
      </c>
      <c r="K599" s="1192" t="s">
        <v>2506</v>
      </c>
      <c r="L599" s="1192" t="s">
        <v>431</v>
      </c>
      <c r="P599" s="1192" t="s">
        <v>3897</v>
      </c>
      <c r="T599" s="1192">
        <v>44196</v>
      </c>
      <c r="V599" s="1192">
        <v>179</v>
      </c>
    </row>
    <row r="600" spans="1:22" s="1192" customFormat="1" ht="14.4" x14ac:dyDescent="0.3">
      <c r="A600" s="1192" t="s">
        <v>193</v>
      </c>
      <c r="E600" s="1741" t="s">
        <v>4431</v>
      </c>
      <c r="F600" s="1741"/>
      <c r="G600" s="1277" t="s">
        <v>20</v>
      </c>
      <c r="H600" s="1219">
        <v>1E-3</v>
      </c>
      <c r="K600" s="1192" t="s">
        <v>2506</v>
      </c>
      <c r="L600" s="1192" t="s">
        <v>431</v>
      </c>
      <c r="P600" s="1192" t="s">
        <v>2516</v>
      </c>
      <c r="T600" s="1192">
        <v>43982</v>
      </c>
      <c r="V600" s="1192">
        <v>94</v>
      </c>
    </row>
    <row r="601" spans="1:22" s="1192" customFormat="1" ht="14.4" x14ac:dyDescent="0.3">
      <c r="A601" s="1192" t="s">
        <v>193</v>
      </c>
      <c r="E601" s="1741" t="s">
        <v>4568</v>
      </c>
      <c r="F601" s="1741"/>
      <c r="G601" s="524" t="s">
        <v>20</v>
      </c>
      <c r="H601" s="1219">
        <v>1E-4</v>
      </c>
      <c r="K601" s="1192" t="s">
        <v>2506</v>
      </c>
      <c r="L601" s="1192" t="s">
        <v>430</v>
      </c>
      <c r="P601" s="1192" t="s">
        <v>2515</v>
      </c>
      <c r="T601" s="1192">
        <v>43982</v>
      </c>
      <c r="V601" s="1192">
        <v>133</v>
      </c>
    </row>
    <row r="602" spans="1:22" s="1192" customFormat="1" ht="14.4" x14ac:dyDescent="0.3">
      <c r="A602" s="1192" t="s">
        <v>193</v>
      </c>
      <c r="E602" s="1741" t="s">
        <v>213</v>
      </c>
      <c r="F602" s="1741"/>
      <c r="G602" s="1277" t="s">
        <v>20</v>
      </c>
      <c r="H602" s="1219">
        <v>6.4000000000000003E-3</v>
      </c>
      <c r="K602" s="1192" t="s">
        <v>2506</v>
      </c>
      <c r="L602" s="1192" t="s">
        <v>432</v>
      </c>
      <c r="P602" s="1192" t="s">
        <v>2517</v>
      </c>
      <c r="V602" s="1192">
        <v>47</v>
      </c>
    </row>
    <row r="603" spans="1:22" s="1192" customFormat="1" ht="14.4" x14ac:dyDescent="0.3">
      <c r="A603" s="1192" t="s">
        <v>193</v>
      </c>
      <c r="E603" s="1741" t="s">
        <v>209</v>
      </c>
      <c r="F603" s="1741"/>
      <c r="G603" s="1277" t="s">
        <v>20</v>
      </c>
      <c r="H603" s="1219">
        <v>5.1000000000000004E-3</v>
      </c>
      <c r="K603" s="1192" t="s">
        <v>2506</v>
      </c>
      <c r="L603" s="1192" t="s">
        <v>432</v>
      </c>
      <c r="P603" s="1192" t="s">
        <v>2518</v>
      </c>
      <c r="V603" s="1192">
        <v>74</v>
      </c>
    </row>
    <row r="604" spans="1:22" s="1192" customFormat="1" ht="14.4" x14ac:dyDescent="0.3">
      <c r="A604" s="1192" t="s">
        <v>193</v>
      </c>
      <c r="E604" s="1750" t="s">
        <v>2405</v>
      </c>
      <c r="F604" s="1741"/>
      <c r="G604" s="1277"/>
      <c r="H604" s="896"/>
      <c r="K604" s="1192" t="s">
        <v>2406</v>
      </c>
      <c r="V604" s="1192">
        <v>48</v>
      </c>
    </row>
    <row r="605" spans="1:22" s="1192" customFormat="1" ht="14.4" x14ac:dyDescent="0.3">
      <c r="A605" s="1192" t="s">
        <v>193</v>
      </c>
      <c r="E605" s="1741" t="s">
        <v>2033</v>
      </c>
      <c r="F605" s="1741"/>
      <c r="G605" s="1277" t="s">
        <v>20</v>
      </c>
      <c r="H605" s="1219">
        <v>3.0000000000000001E-3</v>
      </c>
      <c r="K605" s="1192" t="s">
        <v>2506</v>
      </c>
      <c r="L605" s="1192" t="s">
        <v>2374</v>
      </c>
      <c r="P605" s="1192" t="s">
        <v>2519</v>
      </c>
      <c r="V605" s="1192">
        <v>55</v>
      </c>
    </row>
    <row r="606" spans="1:22" s="1192" customFormat="1" ht="14.4" x14ac:dyDescent="0.3">
      <c r="A606" s="1192" t="s">
        <v>193</v>
      </c>
      <c r="E606" s="1741" t="s">
        <v>2034</v>
      </c>
      <c r="F606" s="1741"/>
      <c r="G606" s="1277" t="s">
        <v>20</v>
      </c>
      <c r="H606" s="1219">
        <v>4.0000000000000002E-4</v>
      </c>
      <c r="K606" s="1192" t="s">
        <v>2506</v>
      </c>
      <c r="L606" s="1192" t="s">
        <v>2374</v>
      </c>
      <c r="P606" s="1192" t="s">
        <v>2519</v>
      </c>
      <c r="V606" s="1192">
        <v>65</v>
      </c>
    </row>
    <row r="607" spans="1:22" s="1192" customFormat="1" ht="14.4" x14ac:dyDescent="0.3">
      <c r="A607" s="1192" t="s">
        <v>193</v>
      </c>
      <c r="E607" s="1741" t="s">
        <v>428</v>
      </c>
      <c r="F607" s="1741"/>
      <c r="G607" s="1277" t="s">
        <v>20</v>
      </c>
      <c r="H607" s="1219">
        <v>5.0000000000000001E-4</v>
      </c>
      <c r="K607" s="1192" t="s">
        <v>2506</v>
      </c>
      <c r="L607" s="1192" t="s">
        <v>2374</v>
      </c>
      <c r="P607" s="1192" t="s">
        <v>2520</v>
      </c>
      <c r="V607" s="1192">
        <v>57</v>
      </c>
    </row>
    <row r="608" spans="1:22" s="1192" customFormat="1" ht="14.4" x14ac:dyDescent="0.3">
      <c r="A608" s="1192" t="s">
        <v>193</v>
      </c>
      <c r="E608" s="1741" t="s">
        <v>28</v>
      </c>
      <c r="F608" s="1741"/>
      <c r="G608" s="1277" t="s">
        <v>19</v>
      </c>
      <c r="H608" s="1218">
        <v>0.25</v>
      </c>
      <c r="K608" s="1192" t="s">
        <v>2506</v>
      </c>
      <c r="L608" s="1192" t="s">
        <v>2374</v>
      </c>
      <c r="P608" s="1192" t="s">
        <v>2521</v>
      </c>
      <c r="V608" s="1192">
        <v>63</v>
      </c>
    </row>
    <row r="609" spans="1:22" s="1192" customFormat="1" ht="17.399999999999999" x14ac:dyDescent="0.3">
      <c r="A609" s="1192" t="s">
        <v>193</v>
      </c>
      <c r="E609" s="1746" t="s">
        <v>2522</v>
      </c>
      <c r="F609" s="1747"/>
      <c r="G609" s="1747"/>
      <c r="H609" s="1747"/>
      <c r="K609" s="1192" t="s">
        <v>3901</v>
      </c>
      <c r="V609" s="1192">
        <v>54</v>
      </c>
    </row>
    <row r="610" spans="1:22" s="1192" customFormat="1" ht="14.4" x14ac:dyDescent="0.3">
      <c r="A610" s="1192" t="s">
        <v>193</v>
      </c>
      <c r="E610" s="1743" t="s">
        <v>4432</v>
      </c>
      <c r="F610" s="1743"/>
      <c r="G610" s="1743"/>
      <c r="H610" s="1743"/>
      <c r="K610" s="1192" t="s">
        <v>3901</v>
      </c>
      <c r="V610" s="1192">
        <v>563</v>
      </c>
    </row>
    <row r="611" spans="1:22" s="1192" customFormat="1" ht="14.4" x14ac:dyDescent="0.3">
      <c r="A611" s="1192" t="s">
        <v>193</v>
      </c>
      <c r="E611" s="1750" t="s">
        <v>2389</v>
      </c>
      <c r="F611" s="1743"/>
      <c r="G611" s="1743"/>
      <c r="H611" s="1743"/>
      <c r="K611" s="1192" t="s">
        <v>2412</v>
      </c>
      <c r="V611" s="1192">
        <v>11</v>
      </c>
    </row>
    <row r="612" spans="1:22" s="1192" customFormat="1" ht="14.4" x14ac:dyDescent="0.3">
      <c r="A612" s="1192" t="s">
        <v>193</v>
      </c>
      <c r="E612" s="1743" t="s">
        <v>2391</v>
      </c>
      <c r="F612" s="1743"/>
      <c r="G612" s="1743"/>
      <c r="H612" s="1743"/>
      <c r="K612" s="1192" t="s">
        <v>3901</v>
      </c>
      <c r="V612" s="1192">
        <v>280</v>
      </c>
    </row>
    <row r="613" spans="1:22" s="1192" customFormat="1" ht="14.4" x14ac:dyDescent="0.3">
      <c r="A613" s="1192" t="s">
        <v>193</v>
      </c>
      <c r="E613" s="1743" t="s">
        <v>2392</v>
      </c>
      <c r="F613" s="1743"/>
      <c r="G613" s="1743"/>
      <c r="H613" s="1743"/>
      <c r="K613" s="1192" t="s">
        <v>3901</v>
      </c>
      <c r="V613" s="1192">
        <v>411</v>
      </c>
    </row>
    <row r="614" spans="1:22" s="1192" customFormat="1" ht="14.4" x14ac:dyDescent="0.3">
      <c r="A614" s="1192" t="s">
        <v>193</v>
      </c>
      <c r="E614" s="1743" t="s">
        <v>2508</v>
      </c>
      <c r="F614" s="1743"/>
      <c r="G614" s="1743"/>
      <c r="H614" s="1743"/>
      <c r="K614" s="1192" t="s">
        <v>3901</v>
      </c>
      <c r="V614" s="1192">
        <v>386</v>
      </c>
    </row>
    <row r="615" spans="1:22" s="1192" customFormat="1" ht="14.4" x14ac:dyDescent="0.3">
      <c r="A615" s="1192" t="s">
        <v>193</v>
      </c>
      <c r="E615" s="1743" t="s">
        <v>4500</v>
      </c>
      <c r="F615" s="1743"/>
      <c r="G615" s="1743"/>
      <c r="H615" s="1743"/>
      <c r="K615" s="1192" t="s">
        <v>3901</v>
      </c>
      <c r="V615" s="1192">
        <v>247</v>
      </c>
    </row>
    <row r="616" spans="1:22" s="1192" customFormat="1" ht="14.4" x14ac:dyDescent="0.3">
      <c r="A616" s="1192" t="s">
        <v>193</v>
      </c>
      <c r="E616" s="1750" t="s">
        <v>2394</v>
      </c>
      <c r="F616" s="1743"/>
      <c r="G616" s="1743"/>
      <c r="H616" s="1743"/>
      <c r="K616" s="1192" t="s">
        <v>2413</v>
      </c>
      <c r="V616" s="1192">
        <v>46</v>
      </c>
    </row>
    <row r="617" spans="1:22" s="1192" customFormat="1" ht="14.4" x14ac:dyDescent="0.3">
      <c r="A617" s="1192" t="s">
        <v>193</v>
      </c>
      <c r="E617" s="1741" t="s">
        <v>7</v>
      </c>
      <c r="F617" s="1741"/>
      <c r="G617" s="1277" t="s">
        <v>19</v>
      </c>
      <c r="H617" s="1218">
        <v>28.06</v>
      </c>
      <c r="K617" s="1192" t="s">
        <v>3901</v>
      </c>
      <c r="L617" s="1192" t="s">
        <v>430</v>
      </c>
      <c r="P617" s="1192" t="s">
        <v>3902</v>
      </c>
      <c r="V617" s="1192">
        <v>14</v>
      </c>
    </row>
    <row r="618" spans="1:22" s="1192" customFormat="1" ht="14.4" x14ac:dyDescent="0.3">
      <c r="A618" s="1192" t="s">
        <v>193</v>
      </c>
      <c r="E618" s="1741" t="s">
        <v>3900</v>
      </c>
      <c r="F618" s="1741"/>
      <c r="G618" s="1277" t="s">
        <v>19</v>
      </c>
      <c r="H618" s="1218">
        <v>0.56999999999999995</v>
      </c>
      <c r="K618" s="1192" t="s">
        <v>3901</v>
      </c>
      <c r="L618" s="1192" t="s">
        <v>431</v>
      </c>
      <c r="P618" s="1192" t="s">
        <v>3903</v>
      </c>
      <c r="T618" s="1192">
        <v>44926</v>
      </c>
      <c r="V618" s="1192">
        <v>64</v>
      </c>
    </row>
    <row r="619" spans="1:22" s="1192" customFormat="1" ht="14.4" x14ac:dyDescent="0.3">
      <c r="A619" s="1192" t="s">
        <v>193</v>
      </c>
      <c r="E619" s="1741" t="s">
        <v>80</v>
      </c>
      <c r="F619" s="1741"/>
      <c r="G619" s="1277" t="s">
        <v>20</v>
      </c>
      <c r="H619" s="1219">
        <v>1.2500000000000001E-2</v>
      </c>
      <c r="K619" s="1192" t="s">
        <v>3901</v>
      </c>
      <c r="L619" s="1192" t="s">
        <v>430</v>
      </c>
      <c r="P619" s="1192" t="s">
        <v>3904</v>
      </c>
      <c r="V619" s="1192">
        <v>28</v>
      </c>
    </row>
    <row r="620" spans="1:22" s="1192" customFormat="1" ht="14.4" x14ac:dyDescent="0.3">
      <c r="A620" s="1192" t="s">
        <v>193</v>
      </c>
      <c r="E620" s="1741" t="s">
        <v>14</v>
      </c>
      <c r="F620" s="1741"/>
      <c r="G620" s="1277" t="s">
        <v>20</v>
      </c>
      <c r="H620" s="1219">
        <v>2.8E-3</v>
      </c>
      <c r="K620" s="1192" t="s">
        <v>3901</v>
      </c>
      <c r="L620" s="1192" t="s">
        <v>431</v>
      </c>
      <c r="P620" s="1192" t="s">
        <v>3905</v>
      </c>
      <c r="V620" s="1192">
        <v>24</v>
      </c>
    </row>
    <row r="621" spans="1:22" s="1192" customFormat="1" ht="14.4" x14ac:dyDescent="0.3">
      <c r="A621" s="1192" t="s">
        <v>193</v>
      </c>
      <c r="E621" s="1741" t="s">
        <v>6068</v>
      </c>
      <c r="F621" s="1998"/>
      <c r="G621" s="1277" t="s">
        <v>20</v>
      </c>
      <c r="H621" s="1219">
        <v>-1.1999999999999999E-3</v>
      </c>
      <c r="K621" s="1192" t="s">
        <v>3901</v>
      </c>
      <c r="L621" s="1192" t="s">
        <v>431</v>
      </c>
      <c r="P621" s="1192" t="s">
        <v>3700</v>
      </c>
      <c r="T621" s="1192">
        <v>44196</v>
      </c>
      <c r="V621" s="1192">
        <v>173</v>
      </c>
    </row>
    <row r="622" spans="1:22" s="1192" customFormat="1" ht="14.4" x14ac:dyDescent="0.3">
      <c r="A622" s="1192" t="s">
        <v>193</v>
      </c>
      <c r="E622" s="1741" t="s">
        <v>6069</v>
      </c>
      <c r="F622" s="1998"/>
      <c r="G622" s="1277" t="s">
        <v>20</v>
      </c>
      <c r="H622" s="1219">
        <v>1.2999999999999999E-3</v>
      </c>
      <c r="K622" s="1192" t="s">
        <v>3901</v>
      </c>
      <c r="L622" s="1192" t="s">
        <v>431</v>
      </c>
      <c r="P622" s="1192" t="s">
        <v>3911</v>
      </c>
      <c r="T622" s="1192">
        <v>44196</v>
      </c>
      <c r="V622" s="1192">
        <v>135</v>
      </c>
    </row>
    <row r="623" spans="1:22" s="1192" customFormat="1" ht="14.4" x14ac:dyDescent="0.3">
      <c r="A623" s="1192" t="s">
        <v>193</v>
      </c>
      <c r="E623" s="1741" t="s">
        <v>6070</v>
      </c>
      <c r="F623" s="1998"/>
      <c r="G623" s="1277" t="s">
        <v>20</v>
      </c>
      <c r="H623" s="1219">
        <v>-1E-4</v>
      </c>
      <c r="K623" s="1192" t="s">
        <v>3901</v>
      </c>
      <c r="L623" s="1192" t="s">
        <v>431</v>
      </c>
      <c r="P623" s="1192" t="s">
        <v>4001</v>
      </c>
      <c r="T623" s="1192">
        <v>44196</v>
      </c>
      <c r="V623" s="1192">
        <v>179</v>
      </c>
    </row>
    <row r="624" spans="1:22" s="1192" customFormat="1" ht="14.4" x14ac:dyDescent="0.3">
      <c r="A624" s="1192" t="s">
        <v>193</v>
      </c>
      <c r="E624" s="1741" t="s">
        <v>4430</v>
      </c>
      <c r="F624" s="1741"/>
      <c r="G624" s="1277" t="s">
        <v>20</v>
      </c>
      <c r="H624" s="1219">
        <v>1E-4</v>
      </c>
      <c r="K624" s="1192" t="s">
        <v>3901</v>
      </c>
      <c r="L624" s="1192" t="s">
        <v>430</v>
      </c>
      <c r="P624" s="1192" t="s">
        <v>3911</v>
      </c>
      <c r="T624" s="1192">
        <v>43982</v>
      </c>
      <c r="V624" s="1192">
        <v>102</v>
      </c>
    </row>
    <row r="625" spans="1:22" s="1192" customFormat="1" ht="14.4" x14ac:dyDescent="0.3">
      <c r="A625" s="1192" t="s">
        <v>193</v>
      </c>
      <c r="E625" s="1741" t="s">
        <v>4431</v>
      </c>
      <c r="F625" s="1741"/>
      <c r="G625" s="1277" t="s">
        <v>20</v>
      </c>
      <c r="H625" s="1219">
        <v>1.1000000000000001E-3</v>
      </c>
      <c r="K625" s="1192" t="s">
        <v>3901</v>
      </c>
      <c r="L625" s="1192" t="s">
        <v>431</v>
      </c>
      <c r="P625" s="1192" t="s">
        <v>3911</v>
      </c>
      <c r="T625" s="1192">
        <v>43982</v>
      </c>
      <c r="V625" s="1192">
        <v>94</v>
      </c>
    </row>
    <row r="626" spans="1:22" s="1192" customFormat="1" ht="14.4" x14ac:dyDescent="0.3">
      <c r="A626" s="1192" t="s">
        <v>193</v>
      </c>
      <c r="E626" s="1741" t="s">
        <v>4568</v>
      </c>
      <c r="F626" s="1741"/>
      <c r="G626" s="524" t="s">
        <v>20</v>
      </c>
      <c r="H626" s="1219">
        <v>1.8E-3</v>
      </c>
      <c r="K626" s="1192" t="s">
        <v>3901</v>
      </c>
      <c r="L626" s="1192" t="s">
        <v>430</v>
      </c>
      <c r="P626" s="1192" t="s">
        <v>4000</v>
      </c>
      <c r="T626" s="1192">
        <v>43982</v>
      </c>
      <c r="V626" s="1192">
        <v>133</v>
      </c>
    </row>
    <row r="627" spans="1:22" s="1192" customFormat="1" ht="14.4" x14ac:dyDescent="0.3">
      <c r="A627" s="1192" t="s">
        <v>193</v>
      </c>
      <c r="E627" s="1741" t="s">
        <v>213</v>
      </c>
      <c r="F627" s="1741"/>
      <c r="G627" s="1277" t="s">
        <v>20</v>
      </c>
      <c r="H627" s="1219">
        <v>5.8999999999999999E-3</v>
      </c>
      <c r="K627" s="1192" t="s">
        <v>3901</v>
      </c>
      <c r="L627" s="1192" t="s">
        <v>432</v>
      </c>
      <c r="P627" s="1192" t="s">
        <v>3906</v>
      </c>
      <c r="V627" s="1192">
        <v>47</v>
      </c>
    </row>
    <row r="628" spans="1:22" s="1192" customFormat="1" ht="14.4" x14ac:dyDescent="0.3">
      <c r="A628" s="1192" t="s">
        <v>193</v>
      </c>
      <c r="E628" s="1741" t="s">
        <v>209</v>
      </c>
      <c r="F628" s="1741"/>
      <c r="G628" s="1277" t="s">
        <v>20</v>
      </c>
      <c r="H628" s="1219">
        <v>4.5999999999999999E-3</v>
      </c>
      <c r="K628" s="1192" t="s">
        <v>3901</v>
      </c>
      <c r="L628" s="1192" t="s">
        <v>432</v>
      </c>
      <c r="P628" s="1192" t="s">
        <v>3907</v>
      </c>
      <c r="V628" s="1192">
        <v>74</v>
      </c>
    </row>
    <row r="629" spans="1:22" s="1192" customFormat="1" ht="14.4" x14ac:dyDescent="0.3">
      <c r="A629" s="1192" t="s">
        <v>193</v>
      </c>
      <c r="E629" s="1750" t="s">
        <v>2405</v>
      </c>
      <c r="F629" s="1741"/>
      <c r="G629" s="1277"/>
      <c r="H629" s="896"/>
      <c r="K629" s="1192" t="s">
        <v>2418</v>
      </c>
      <c r="V629" s="1192">
        <v>48</v>
      </c>
    </row>
    <row r="630" spans="1:22" s="1192" customFormat="1" ht="14.4" x14ac:dyDescent="0.3">
      <c r="A630" s="1192" t="s">
        <v>193</v>
      </c>
      <c r="E630" s="1741" t="s">
        <v>2033</v>
      </c>
      <c r="F630" s="1741"/>
      <c r="G630" s="1277" t="s">
        <v>20</v>
      </c>
      <c r="H630" s="1219">
        <v>3.0000000000000001E-3</v>
      </c>
      <c r="K630" s="1192" t="s">
        <v>3901</v>
      </c>
      <c r="L630" s="1192" t="s">
        <v>2374</v>
      </c>
      <c r="P630" s="1192" t="s">
        <v>3908</v>
      </c>
      <c r="V630" s="1192">
        <v>55</v>
      </c>
    </row>
    <row r="631" spans="1:22" s="1192" customFormat="1" ht="14.4" x14ac:dyDescent="0.3">
      <c r="A631" s="1192" t="s">
        <v>193</v>
      </c>
      <c r="E631" s="1741" t="s">
        <v>2034</v>
      </c>
      <c r="F631" s="1741"/>
      <c r="G631" s="1277" t="s">
        <v>20</v>
      </c>
      <c r="H631" s="1219">
        <v>4.0000000000000002E-4</v>
      </c>
      <c r="K631" s="1192" t="s">
        <v>3901</v>
      </c>
      <c r="L631" s="1192" t="s">
        <v>2374</v>
      </c>
      <c r="P631" s="1192" t="s">
        <v>3908</v>
      </c>
      <c r="V631" s="1192">
        <v>65</v>
      </c>
    </row>
    <row r="632" spans="1:22" s="1192" customFormat="1" ht="14.4" x14ac:dyDescent="0.3">
      <c r="A632" s="1192" t="s">
        <v>193</v>
      </c>
      <c r="E632" s="1741" t="s">
        <v>428</v>
      </c>
      <c r="F632" s="1741"/>
      <c r="G632" s="1277" t="s">
        <v>20</v>
      </c>
      <c r="H632" s="1219">
        <v>5.0000000000000001E-4</v>
      </c>
      <c r="K632" s="1192" t="s">
        <v>3901</v>
      </c>
      <c r="L632" s="1192" t="s">
        <v>2374</v>
      </c>
      <c r="P632" s="1192" t="s">
        <v>3909</v>
      </c>
      <c r="V632" s="1192">
        <v>57</v>
      </c>
    </row>
    <row r="633" spans="1:22" s="1192" customFormat="1" ht="14.4" x14ac:dyDescent="0.3">
      <c r="A633" s="1192" t="s">
        <v>193</v>
      </c>
      <c r="E633" s="1741" t="s">
        <v>28</v>
      </c>
      <c r="F633" s="1741"/>
      <c r="G633" s="1277" t="s">
        <v>19</v>
      </c>
      <c r="H633" s="1218">
        <v>0.25</v>
      </c>
      <c r="K633" s="1192" t="s">
        <v>3901</v>
      </c>
      <c r="L633" s="1192" t="s">
        <v>2374</v>
      </c>
      <c r="P633" s="1192" t="s">
        <v>3910</v>
      </c>
      <c r="V633" s="1192">
        <v>63</v>
      </c>
    </row>
    <row r="634" spans="1:22" s="1192" customFormat="1" ht="17.399999999999999" x14ac:dyDescent="0.3">
      <c r="A634" s="1192" t="s">
        <v>193</v>
      </c>
      <c r="E634" s="1746" t="s">
        <v>591</v>
      </c>
      <c r="F634" s="1747"/>
      <c r="G634" s="1747"/>
      <c r="H634" s="1747"/>
      <c r="K634" s="1192" t="s">
        <v>4388</v>
      </c>
      <c r="V634" s="1192">
        <v>53</v>
      </c>
    </row>
    <row r="635" spans="1:22" s="1192" customFormat="1" ht="14.4" x14ac:dyDescent="0.3">
      <c r="A635" s="1192" t="s">
        <v>193</v>
      </c>
      <c r="E635" s="1743" t="s">
        <v>4433</v>
      </c>
      <c r="F635" s="1743"/>
      <c r="G635" s="1743"/>
      <c r="H635" s="1743"/>
      <c r="K635" s="1192" t="s">
        <v>4388</v>
      </c>
      <c r="V635" s="1192">
        <v>558</v>
      </c>
    </row>
    <row r="636" spans="1:22" s="1192" customFormat="1" ht="14.4" x14ac:dyDescent="0.3">
      <c r="A636" s="1192" t="s">
        <v>193</v>
      </c>
      <c r="E636" s="1750" t="s">
        <v>2389</v>
      </c>
      <c r="F636" s="1743"/>
      <c r="G636" s="1743"/>
      <c r="H636" s="1743"/>
      <c r="K636" s="1192" t="s">
        <v>2422</v>
      </c>
      <c r="V636" s="1192">
        <v>11</v>
      </c>
    </row>
    <row r="637" spans="1:22" s="1192" customFormat="1" ht="14.4" x14ac:dyDescent="0.3">
      <c r="A637" s="1192" t="s">
        <v>193</v>
      </c>
      <c r="E637" s="1743" t="s">
        <v>2391</v>
      </c>
      <c r="F637" s="1743"/>
      <c r="G637" s="1743"/>
      <c r="H637" s="1743"/>
      <c r="K637" s="1192" t="s">
        <v>4388</v>
      </c>
      <c r="V637" s="1192">
        <v>280</v>
      </c>
    </row>
    <row r="638" spans="1:22" s="1192" customFormat="1" ht="14.4" x14ac:dyDescent="0.3">
      <c r="A638" s="1192" t="s">
        <v>193</v>
      </c>
      <c r="E638" s="1743" t="s">
        <v>2392</v>
      </c>
      <c r="F638" s="1743"/>
      <c r="G638" s="1743"/>
      <c r="H638" s="1743"/>
      <c r="K638" s="1192" t="s">
        <v>4388</v>
      </c>
      <c r="V638" s="1192">
        <v>411</v>
      </c>
    </row>
    <row r="639" spans="1:22" s="1192" customFormat="1" ht="14.4" x14ac:dyDescent="0.3">
      <c r="A639" s="1192" t="s">
        <v>193</v>
      </c>
      <c r="E639" s="1743" t="s">
        <v>2508</v>
      </c>
      <c r="F639" s="1743"/>
      <c r="G639" s="1743"/>
      <c r="H639" s="1743"/>
      <c r="K639" s="1192" t="s">
        <v>4388</v>
      </c>
      <c r="V639" s="1192">
        <v>386</v>
      </c>
    </row>
    <row r="640" spans="1:22" s="1192" customFormat="1" ht="14.4" x14ac:dyDescent="0.3">
      <c r="A640" s="1192" t="s">
        <v>193</v>
      </c>
      <c r="E640" s="1743" t="s">
        <v>4503</v>
      </c>
      <c r="F640" s="1743"/>
      <c r="G640" s="1743"/>
      <c r="H640" s="1743"/>
      <c r="K640" s="1192" t="s">
        <v>4388</v>
      </c>
      <c r="V640" s="1192">
        <v>677</v>
      </c>
    </row>
    <row r="641" spans="1:22" s="1192" customFormat="1" ht="14.4" x14ac:dyDescent="0.3">
      <c r="A641" s="1192" t="s">
        <v>193</v>
      </c>
      <c r="E641" s="1743" t="s">
        <v>4644</v>
      </c>
      <c r="F641" s="1743"/>
      <c r="G641" s="1743"/>
      <c r="H641" s="1743"/>
      <c r="K641" s="1192" t="s">
        <v>4388</v>
      </c>
      <c r="V641" s="1192">
        <v>693</v>
      </c>
    </row>
    <row r="642" spans="1:22" s="1192" customFormat="1" ht="14.4" x14ac:dyDescent="0.3">
      <c r="A642" s="1192" t="s">
        <v>193</v>
      </c>
      <c r="E642" s="1743" t="s">
        <v>4500</v>
      </c>
      <c r="F642" s="1743"/>
      <c r="G642" s="1743"/>
      <c r="H642" s="1743"/>
      <c r="K642" s="1192" t="s">
        <v>4388</v>
      </c>
      <c r="V642" s="1192">
        <v>247</v>
      </c>
    </row>
    <row r="643" spans="1:22" s="1192" customFormat="1" ht="14.4" x14ac:dyDescent="0.3">
      <c r="A643" s="1192" t="s">
        <v>193</v>
      </c>
      <c r="E643" s="1750" t="s">
        <v>2394</v>
      </c>
      <c r="F643" s="1743"/>
      <c r="G643" s="1743"/>
      <c r="H643" s="1743"/>
      <c r="K643" s="1192" t="s">
        <v>2423</v>
      </c>
      <c r="V643" s="1192">
        <v>46</v>
      </c>
    </row>
    <row r="644" spans="1:22" s="1192" customFormat="1" ht="14.4" x14ac:dyDescent="0.3">
      <c r="A644" s="1192" t="s">
        <v>193</v>
      </c>
      <c r="E644" s="1741" t="s">
        <v>7</v>
      </c>
      <c r="F644" s="1741"/>
      <c r="G644" s="1277" t="s">
        <v>19</v>
      </c>
      <c r="H644" s="1218">
        <v>238.79</v>
      </c>
      <c r="K644" s="1192" t="s">
        <v>4388</v>
      </c>
      <c r="L644" s="1192" t="s">
        <v>430</v>
      </c>
      <c r="P644" s="1192" t="s">
        <v>4389</v>
      </c>
      <c r="V644" s="1192">
        <v>14</v>
      </c>
    </row>
    <row r="645" spans="1:22" s="1192" customFormat="1" ht="14.4" x14ac:dyDescent="0.3">
      <c r="A645" s="1192" t="s">
        <v>193</v>
      </c>
      <c r="E645" s="1741" t="s">
        <v>80</v>
      </c>
      <c r="F645" s="1741"/>
      <c r="G645" s="1277" t="s">
        <v>29</v>
      </c>
      <c r="H645" s="1219">
        <v>2.5200999999999998</v>
      </c>
      <c r="K645" s="1192" t="s">
        <v>4388</v>
      </c>
      <c r="L645" s="1192" t="s">
        <v>430</v>
      </c>
      <c r="P645" s="1192" t="s">
        <v>4390</v>
      </c>
      <c r="V645" s="1192">
        <v>28</v>
      </c>
    </row>
    <row r="646" spans="1:22" s="1192" customFormat="1" ht="14.4" x14ac:dyDescent="0.3">
      <c r="A646" s="1192" t="s">
        <v>193</v>
      </c>
      <c r="E646" s="1741" t="s">
        <v>14</v>
      </c>
      <c r="F646" s="1741"/>
      <c r="G646" s="1277" t="s">
        <v>29</v>
      </c>
      <c r="H646" s="1219">
        <v>1.0438000000000001</v>
      </c>
      <c r="K646" s="1192" t="s">
        <v>4388</v>
      </c>
      <c r="L646" s="1192" t="s">
        <v>431</v>
      </c>
      <c r="P646" s="1192" t="s">
        <v>4391</v>
      </c>
      <c r="V646" s="1192">
        <v>24</v>
      </c>
    </row>
    <row r="647" spans="1:22" s="1192" customFormat="1" ht="14.4" x14ac:dyDescent="0.3">
      <c r="A647" s="1192" t="s">
        <v>193</v>
      </c>
      <c r="E647" s="1741" t="s">
        <v>6071</v>
      </c>
      <c r="F647" s="1998"/>
      <c r="G647" s="1277" t="s">
        <v>20</v>
      </c>
      <c r="H647" s="1219">
        <v>-1.1999999999999999E-3</v>
      </c>
      <c r="K647" s="1192" t="s">
        <v>4388</v>
      </c>
      <c r="L647" s="1192" t="s">
        <v>431</v>
      </c>
      <c r="P647" s="1192" t="s">
        <v>4397</v>
      </c>
      <c r="T647" s="1192">
        <v>44196</v>
      </c>
      <c r="V647" s="1192">
        <v>173</v>
      </c>
    </row>
    <row r="648" spans="1:22" s="1192" customFormat="1" ht="14.4" x14ac:dyDescent="0.3">
      <c r="A648" s="1192" t="s">
        <v>193</v>
      </c>
      <c r="E648" s="1741" t="s">
        <v>6072</v>
      </c>
      <c r="F648" s="1998"/>
      <c r="G648" s="1277" t="s">
        <v>29</v>
      </c>
      <c r="H648" s="1219">
        <v>0.43059999999999998</v>
      </c>
      <c r="K648" s="1192" t="s">
        <v>4388</v>
      </c>
      <c r="L648" s="1192" t="s">
        <v>431</v>
      </c>
      <c r="P648" s="1192" t="s">
        <v>4398</v>
      </c>
      <c r="T648" s="1192">
        <v>44196</v>
      </c>
      <c r="V648" s="1192">
        <v>190</v>
      </c>
    </row>
    <row r="649" spans="1:22" s="1192" customFormat="1" ht="14.4" x14ac:dyDescent="0.3">
      <c r="A649" s="1192" t="s">
        <v>193</v>
      </c>
      <c r="E649" s="1741" t="s">
        <v>6073</v>
      </c>
      <c r="F649" s="1998"/>
      <c r="G649" s="1277" t="s">
        <v>29</v>
      </c>
      <c r="H649" s="1219">
        <v>0.1041</v>
      </c>
      <c r="K649" s="1192" t="s">
        <v>4388</v>
      </c>
      <c r="L649" s="1192" t="s">
        <v>431</v>
      </c>
      <c r="P649" s="1192" t="s">
        <v>4398</v>
      </c>
      <c r="T649" s="1192">
        <v>44196</v>
      </c>
      <c r="V649" s="1192">
        <v>136</v>
      </c>
    </row>
    <row r="650" spans="1:22" s="1192" customFormat="1" ht="14.4" x14ac:dyDescent="0.3">
      <c r="A650" s="1192" t="s">
        <v>193</v>
      </c>
      <c r="E650" s="1741" t="s">
        <v>6074</v>
      </c>
      <c r="F650" s="1998"/>
      <c r="G650" s="1277" t="s">
        <v>29</v>
      </c>
      <c r="H650" s="1219">
        <v>-0.02</v>
      </c>
      <c r="K650" s="1192" t="s">
        <v>4388</v>
      </c>
      <c r="L650" s="1192" t="s">
        <v>431</v>
      </c>
      <c r="P650" s="1192" t="s">
        <v>4401</v>
      </c>
      <c r="T650" s="1192">
        <v>44196</v>
      </c>
      <c r="V650" s="1192">
        <v>178</v>
      </c>
    </row>
    <row r="651" spans="1:22" s="1192" customFormat="1" ht="14.4" x14ac:dyDescent="0.3">
      <c r="A651" s="1192" t="s">
        <v>193</v>
      </c>
      <c r="E651" s="1741" t="s">
        <v>4430</v>
      </c>
      <c r="F651" s="1741"/>
      <c r="G651" s="1277" t="s">
        <v>29</v>
      </c>
      <c r="H651" s="1219">
        <v>2.6100000000000002E-2</v>
      </c>
      <c r="K651" s="1192" t="s">
        <v>4388</v>
      </c>
      <c r="L651" s="1192" t="s">
        <v>430</v>
      </c>
      <c r="P651" s="1192" t="s">
        <v>4398</v>
      </c>
      <c r="T651" s="1192">
        <v>43982</v>
      </c>
      <c r="V651" s="1192">
        <v>102</v>
      </c>
    </row>
    <row r="652" spans="1:22" s="1192" customFormat="1" ht="14.4" x14ac:dyDescent="0.3">
      <c r="A652" s="1192" t="s">
        <v>193</v>
      </c>
      <c r="E652" s="1741" t="s">
        <v>4431</v>
      </c>
      <c r="F652" s="1741"/>
      <c r="G652" s="1277" t="s">
        <v>29</v>
      </c>
      <c r="H652" s="1219">
        <v>0.65510000000000002</v>
      </c>
      <c r="K652" s="1192" t="s">
        <v>4388</v>
      </c>
      <c r="L652" s="1192" t="s">
        <v>431</v>
      </c>
      <c r="P652" s="1192" t="s">
        <v>4398</v>
      </c>
      <c r="T652" s="1192">
        <v>43982</v>
      </c>
      <c r="V652" s="1192">
        <v>94</v>
      </c>
    </row>
    <row r="653" spans="1:22" s="1192" customFormat="1" ht="14.4" x14ac:dyDescent="0.3">
      <c r="A653" s="1192" t="s">
        <v>193</v>
      </c>
      <c r="E653" s="1741" t="s">
        <v>4569</v>
      </c>
      <c r="F653" s="1741"/>
      <c r="G653" s="524" t="s">
        <v>29</v>
      </c>
      <c r="H653" s="1219">
        <v>-0.25619999999999998</v>
      </c>
      <c r="K653" s="1192" t="s">
        <v>4388</v>
      </c>
      <c r="L653" s="1192" t="s">
        <v>431</v>
      </c>
      <c r="P653" s="1192" t="s">
        <v>4398</v>
      </c>
      <c r="T653" s="1192">
        <v>43982</v>
      </c>
      <c r="V653" s="1192">
        <v>157</v>
      </c>
    </row>
    <row r="654" spans="1:22" s="1192" customFormat="1" ht="14.4" x14ac:dyDescent="0.3">
      <c r="A654" s="1192" t="s">
        <v>193</v>
      </c>
      <c r="E654" s="1741" t="s">
        <v>4568</v>
      </c>
      <c r="F654" s="1741"/>
      <c r="G654" s="1277" t="s">
        <v>29</v>
      </c>
      <c r="H654" s="1219">
        <v>-5.1000000000000004E-3</v>
      </c>
      <c r="K654" s="1192" t="s">
        <v>4388</v>
      </c>
      <c r="L654" s="1192" t="s">
        <v>430</v>
      </c>
      <c r="P654" s="1192" t="s">
        <v>4400</v>
      </c>
      <c r="T654" s="1192">
        <v>43982</v>
      </c>
      <c r="V654" s="1192">
        <v>133</v>
      </c>
    </row>
    <row r="655" spans="1:22" s="1192" customFormat="1" ht="14.4" x14ac:dyDescent="0.3">
      <c r="A655" s="1192" t="s">
        <v>193</v>
      </c>
      <c r="E655" s="1741" t="s">
        <v>213</v>
      </c>
      <c r="F655" s="1741"/>
      <c r="G655" s="1277" t="s">
        <v>29</v>
      </c>
      <c r="H655" s="1219">
        <v>2.4502000000000002</v>
      </c>
      <c r="K655" s="1192" t="s">
        <v>4388</v>
      </c>
      <c r="L655" s="1192" t="s">
        <v>432</v>
      </c>
      <c r="P655" s="1192" t="s">
        <v>4392</v>
      </c>
      <c r="V655" s="1192">
        <v>47</v>
      </c>
    </row>
    <row r="656" spans="1:22" s="1192" customFormat="1" ht="14.4" x14ac:dyDescent="0.3">
      <c r="A656" s="1192" t="s">
        <v>193</v>
      </c>
      <c r="E656" s="1741" t="s">
        <v>209</v>
      </c>
      <c r="F656" s="1741"/>
      <c r="G656" s="1277" t="s">
        <v>29</v>
      </c>
      <c r="H656" s="1219">
        <v>1.8308</v>
      </c>
      <c r="K656" s="1192" t="s">
        <v>4388</v>
      </c>
      <c r="L656" s="1192" t="s">
        <v>432</v>
      </c>
      <c r="P656" s="1192" t="s">
        <v>4393</v>
      </c>
      <c r="V656" s="1192">
        <v>74</v>
      </c>
    </row>
    <row r="657" spans="1:22" s="1192" customFormat="1" ht="14.4" x14ac:dyDescent="0.3">
      <c r="A657" s="1192" t="s">
        <v>193</v>
      </c>
      <c r="E657" s="1750" t="s">
        <v>2405</v>
      </c>
      <c r="F657" s="1741"/>
      <c r="G657" s="1277"/>
      <c r="H657" s="896"/>
      <c r="K657" s="1192" t="s">
        <v>2526</v>
      </c>
      <c r="V657" s="1192">
        <v>48</v>
      </c>
    </row>
    <row r="658" spans="1:22" s="1192" customFormat="1" ht="14.4" x14ac:dyDescent="0.3">
      <c r="A658" s="1192" t="s">
        <v>193</v>
      </c>
      <c r="E658" s="1741" t="s">
        <v>2033</v>
      </c>
      <c r="F658" s="1741"/>
      <c r="G658" s="1277" t="s">
        <v>20</v>
      </c>
      <c r="H658" s="1219">
        <v>3.0000000000000001E-3</v>
      </c>
      <c r="K658" s="1192" t="s">
        <v>4388</v>
      </c>
      <c r="L658" s="1192" t="s">
        <v>2374</v>
      </c>
      <c r="P658" s="1192" t="s">
        <v>4394</v>
      </c>
      <c r="V658" s="1192">
        <v>55</v>
      </c>
    </row>
    <row r="659" spans="1:22" s="1192" customFormat="1" ht="14.4" x14ac:dyDescent="0.3">
      <c r="A659" s="1192" t="s">
        <v>193</v>
      </c>
      <c r="E659" s="1741" t="s">
        <v>2034</v>
      </c>
      <c r="F659" s="1741"/>
      <c r="G659" s="1277" t="s">
        <v>20</v>
      </c>
      <c r="H659" s="1219">
        <v>4.0000000000000002E-4</v>
      </c>
      <c r="K659" s="1192" t="s">
        <v>4388</v>
      </c>
      <c r="L659" s="1192" t="s">
        <v>2374</v>
      </c>
      <c r="P659" s="1192" t="s">
        <v>4394</v>
      </c>
      <c r="V659" s="1192">
        <v>65</v>
      </c>
    </row>
    <row r="660" spans="1:22" s="1192" customFormat="1" ht="14.4" x14ac:dyDescent="0.3">
      <c r="A660" s="1192" t="s">
        <v>193</v>
      </c>
      <c r="E660" s="1741" t="s">
        <v>428</v>
      </c>
      <c r="F660" s="1741"/>
      <c r="G660" s="1277" t="s">
        <v>20</v>
      </c>
      <c r="H660" s="1219">
        <v>5.0000000000000001E-4</v>
      </c>
      <c r="K660" s="1192" t="s">
        <v>4388</v>
      </c>
      <c r="L660" s="1192" t="s">
        <v>2374</v>
      </c>
      <c r="P660" s="1192" t="s">
        <v>4395</v>
      </c>
      <c r="V660" s="1192">
        <v>57</v>
      </c>
    </row>
    <row r="661" spans="1:22" s="1192" customFormat="1" ht="14.4" x14ac:dyDescent="0.3">
      <c r="A661" s="1192" t="s">
        <v>193</v>
      </c>
      <c r="E661" s="1741" t="s">
        <v>28</v>
      </c>
      <c r="F661" s="1741"/>
      <c r="G661" s="1277" t="s">
        <v>19</v>
      </c>
      <c r="H661" s="1218">
        <v>0.25</v>
      </c>
      <c r="K661" s="1192" t="s">
        <v>4388</v>
      </c>
      <c r="L661" s="1192" t="s">
        <v>2374</v>
      </c>
      <c r="P661" s="1192" t="s">
        <v>4396</v>
      </c>
      <c r="V661" s="1192">
        <v>63</v>
      </c>
    </row>
    <row r="662" spans="1:22" s="1192" customFormat="1" ht="17.399999999999999" x14ac:dyDescent="0.3">
      <c r="A662" s="1192" t="s">
        <v>193</v>
      </c>
      <c r="E662" s="1746" t="s">
        <v>592</v>
      </c>
      <c r="F662" s="1747"/>
      <c r="G662" s="1747"/>
      <c r="H662" s="1747"/>
      <c r="K662" s="1192" t="s">
        <v>2676</v>
      </c>
      <c r="V662" s="1192">
        <v>47</v>
      </c>
    </row>
    <row r="663" spans="1:22" s="1192" customFormat="1" ht="14.4" x14ac:dyDescent="0.3">
      <c r="A663" s="1192" t="s">
        <v>193</v>
      </c>
      <c r="E663" s="1743" t="s">
        <v>4434</v>
      </c>
      <c r="F663" s="1743"/>
      <c r="G663" s="1743"/>
      <c r="H663" s="1743"/>
      <c r="K663" s="1192" t="s">
        <v>2676</v>
      </c>
      <c r="V663" s="1192">
        <v>619</v>
      </c>
    </row>
    <row r="664" spans="1:22" s="1192" customFormat="1" ht="14.4" x14ac:dyDescent="0.3">
      <c r="A664" s="1192" t="s">
        <v>193</v>
      </c>
      <c r="E664" s="1750" t="s">
        <v>2389</v>
      </c>
      <c r="F664" s="1743"/>
      <c r="G664" s="1743"/>
      <c r="H664" s="1743"/>
      <c r="K664" s="1192" t="s">
        <v>2529</v>
      </c>
      <c r="V664" s="1192">
        <v>11</v>
      </c>
    </row>
    <row r="665" spans="1:22" s="1192" customFormat="1" ht="14.4" x14ac:dyDescent="0.3">
      <c r="A665" s="1192" t="s">
        <v>193</v>
      </c>
      <c r="E665" s="1743" t="s">
        <v>2391</v>
      </c>
      <c r="F665" s="1743"/>
      <c r="G665" s="1743"/>
      <c r="H665" s="1743"/>
      <c r="K665" s="1192" t="s">
        <v>2676</v>
      </c>
      <c r="V665" s="1192">
        <v>280</v>
      </c>
    </row>
    <row r="666" spans="1:22" s="1192" customFormat="1" ht="14.4" x14ac:dyDescent="0.3">
      <c r="A666" s="1192" t="s">
        <v>193</v>
      </c>
      <c r="E666" s="1743" t="s">
        <v>2392</v>
      </c>
      <c r="F666" s="1743"/>
      <c r="G666" s="1743"/>
      <c r="H666" s="1743"/>
      <c r="K666" s="1192" t="s">
        <v>2676</v>
      </c>
      <c r="V666" s="1192">
        <v>411</v>
      </c>
    </row>
    <row r="667" spans="1:22" s="1192" customFormat="1" ht="14.4" x14ac:dyDescent="0.3">
      <c r="A667" s="1192" t="s">
        <v>193</v>
      </c>
      <c r="E667" s="1743" t="s">
        <v>2508</v>
      </c>
      <c r="F667" s="1743"/>
      <c r="G667" s="1743"/>
      <c r="H667" s="1743"/>
      <c r="K667" s="1192" t="s">
        <v>2676</v>
      </c>
      <c r="V667" s="1192">
        <v>386</v>
      </c>
    </row>
    <row r="668" spans="1:22" s="1192" customFormat="1" ht="14.4" x14ac:dyDescent="0.3">
      <c r="A668" s="1192" t="s">
        <v>193</v>
      </c>
      <c r="E668" s="1743" t="s">
        <v>4500</v>
      </c>
      <c r="F668" s="1743"/>
      <c r="G668" s="1743"/>
      <c r="H668" s="1743"/>
      <c r="K668" s="1192" t="s">
        <v>2676</v>
      </c>
      <c r="V668" s="1192">
        <v>247</v>
      </c>
    </row>
    <row r="669" spans="1:22" s="1192" customFormat="1" ht="14.4" x14ac:dyDescent="0.3">
      <c r="A669" s="1192" t="s">
        <v>193</v>
      </c>
      <c r="E669" s="1750" t="s">
        <v>2394</v>
      </c>
      <c r="F669" s="1743"/>
      <c r="G669" s="1743"/>
      <c r="H669" s="1743"/>
      <c r="K669" s="1192" t="s">
        <v>2531</v>
      </c>
      <c r="V669" s="1192">
        <v>46</v>
      </c>
    </row>
    <row r="670" spans="1:22" s="1192" customFormat="1" ht="14.4" x14ac:dyDescent="0.3">
      <c r="A670" s="1192" t="s">
        <v>193</v>
      </c>
      <c r="E670" s="1741" t="s">
        <v>9</v>
      </c>
      <c r="F670" s="1741"/>
      <c r="G670" s="1277" t="s">
        <v>19</v>
      </c>
      <c r="H670" s="1218">
        <v>5.21</v>
      </c>
      <c r="K670" s="1192" t="s">
        <v>2676</v>
      </c>
      <c r="L670" s="1192" t="s">
        <v>430</v>
      </c>
      <c r="P670" s="1192" t="s">
        <v>2678</v>
      </c>
      <c r="V670" s="1192">
        <v>29</v>
      </c>
    </row>
    <row r="671" spans="1:22" s="1192" customFormat="1" ht="14.4" x14ac:dyDescent="0.3">
      <c r="A671" s="1192" t="s">
        <v>193</v>
      </c>
      <c r="E671" s="1741" t="s">
        <v>80</v>
      </c>
      <c r="F671" s="1741"/>
      <c r="G671" s="1277" t="s">
        <v>20</v>
      </c>
      <c r="H671" s="1219">
        <v>1.9400000000000001E-2</v>
      </c>
      <c r="K671" s="1192" t="s">
        <v>2676</v>
      </c>
      <c r="L671" s="1192" t="s">
        <v>430</v>
      </c>
      <c r="P671" s="1192" t="s">
        <v>2679</v>
      </c>
      <c r="V671" s="1192">
        <v>28</v>
      </c>
    </row>
    <row r="672" spans="1:22" s="1192" customFormat="1" ht="14.4" x14ac:dyDescent="0.3">
      <c r="A672" s="1192" t="s">
        <v>193</v>
      </c>
      <c r="E672" s="1741" t="s">
        <v>14</v>
      </c>
      <c r="F672" s="1741"/>
      <c r="G672" s="1277" t="s">
        <v>20</v>
      </c>
      <c r="H672" s="1219">
        <v>2.8E-3</v>
      </c>
      <c r="K672" s="1192" t="s">
        <v>2676</v>
      </c>
      <c r="L672" s="1192" t="s">
        <v>431</v>
      </c>
      <c r="P672" s="1192" t="s">
        <v>2809</v>
      </c>
      <c r="V672" s="1192">
        <v>24</v>
      </c>
    </row>
    <row r="673" spans="1:22" s="1192" customFormat="1" ht="14.4" x14ac:dyDescent="0.3">
      <c r="A673" s="1192" t="s">
        <v>193</v>
      </c>
      <c r="E673" s="1741" t="s">
        <v>6068</v>
      </c>
      <c r="F673" s="1998"/>
      <c r="G673" s="1277" t="s">
        <v>20</v>
      </c>
      <c r="H673" s="1219">
        <v>-1.1999999999999999E-3</v>
      </c>
      <c r="K673" s="1192" t="s">
        <v>2676</v>
      </c>
      <c r="L673" s="1192" t="s">
        <v>431</v>
      </c>
      <c r="P673" s="1192" t="s">
        <v>2810</v>
      </c>
      <c r="T673" s="1192">
        <v>44196</v>
      </c>
      <c r="V673" s="1192">
        <v>173</v>
      </c>
    </row>
    <row r="674" spans="1:22" s="1192" customFormat="1" ht="14.4" x14ac:dyDescent="0.3">
      <c r="A674" s="1192" t="s">
        <v>193</v>
      </c>
      <c r="E674" s="1741" t="s">
        <v>6075</v>
      </c>
      <c r="F674" s="1998"/>
      <c r="G674" s="1277" t="s">
        <v>20</v>
      </c>
      <c r="H674" s="1219">
        <v>1.4E-3</v>
      </c>
      <c r="K674" s="1192" t="s">
        <v>2676</v>
      </c>
      <c r="L674" s="1192" t="s">
        <v>431</v>
      </c>
      <c r="P674" s="1192" t="s">
        <v>2681</v>
      </c>
      <c r="T674" s="1192">
        <v>44196</v>
      </c>
      <c r="V674" s="1192">
        <v>136</v>
      </c>
    </row>
    <row r="675" spans="1:22" s="1192" customFormat="1" ht="14.4" x14ac:dyDescent="0.3">
      <c r="A675" s="1192" t="s">
        <v>193</v>
      </c>
      <c r="E675" s="1741" t="s">
        <v>6076</v>
      </c>
      <c r="F675" s="1998"/>
      <c r="G675" s="1277" t="s">
        <v>20</v>
      </c>
      <c r="H675" s="1219">
        <v>-1E-4</v>
      </c>
      <c r="K675" s="1192" t="s">
        <v>2676</v>
      </c>
      <c r="L675" s="1192" t="s">
        <v>431</v>
      </c>
      <c r="P675" s="1192" t="s">
        <v>3898</v>
      </c>
      <c r="T675" s="1192">
        <v>44196</v>
      </c>
      <c r="V675" s="1192">
        <v>178</v>
      </c>
    </row>
    <row r="676" spans="1:22" s="1192" customFormat="1" ht="14.4" x14ac:dyDescent="0.3">
      <c r="A676" s="1192" t="s">
        <v>193</v>
      </c>
      <c r="E676" s="1741" t="s">
        <v>4430</v>
      </c>
      <c r="F676" s="1741"/>
      <c r="G676" s="1277" t="s">
        <v>20</v>
      </c>
      <c r="H676" s="1219">
        <v>1E-4</v>
      </c>
      <c r="K676" s="1192" t="s">
        <v>2676</v>
      </c>
      <c r="L676" s="1192" t="s">
        <v>430</v>
      </c>
      <c r="P676" s="1192" t="s">
        <v>2681</v>
      </c>
      <c r="T676" s="1192">
        <v>43982</v>
      </c>
      <c r="V676" s="1192">
        <v>102</v>
      </c>
    </row>
    <row r="677" spans="1:22" s="1192" customFormat="1" ht="14.4" x14ac:dyDescent="0.3">
      <c r="A677" s="1192" t="s">
        <v>193</v>
      </c>
      <c r="E677" s="1741" t="s">
        <v>4431</v>
      </c>
      <c r="F677" s="1741"/>
      <c r="G677" s="1277" t="s">
        <v>20</v>
      </c>
      <c r="H677" s="1219">
        <v>6.9999999999999999E-4</v>
      </c>
      <c r="K677" s="1192" t="s">
        <v>2676</v>
      </c>
      <c r="L677" s="1192" t="s">
        <v>431</v>
      </c>
      <c r="P677" s="1192" t="s">
        <v>2681</v>
      </c>
      <c r="T677" s="1192">
        <v>43982</v>
      </c>
      <c r="V677" s="1192">
        <v>94</v>
      </c>
    </row>
    <row r="678" spans="1:22" s="1192" customFormat="1" ht="14.4" x14ac:dyDescent="0.3">
      <c r="A678" s="1192" t="s">
        <v>193</v>
      </c>
      <c r="E678" s="1741" t="s">
        <v>4568</v>
      </c>
      <c r="F678" s="1741"/>
      <c r="G678" s="524" t="s">
        <v>20</v>
      </c>
      <c r="H678" s="1219">
        <v>-5.0000000000000001E-4</v>
      </c>
      <c r="K678" s="1192" t="s">
        <v>2676</v>
      </c>
      <c r="L678" s="1192" t="s">
        <v>430</v>
      </c>
      <c r="P678" s="1192" t="s">
        <v>2680</v>
      </c>
      <c r="T678" s="1192">
        <v>43982</v>
      </c>
      <c r="V678" s="1192">
        <v>133</v>
      </c>
    </row>
    <row r="679" spans="1:22" s="1192" customFormat="1" ht="14.4" x14ac:dyDescent="0.3">
      <c r="A679" s="1192" t="s">
        <v>193</v>
      </c>
      <c r="E679" s="1741" t="s">
        <v>213</v>
      </c>
      <c r="F679" s="1741"/>
      <c r="G679" s="1277" t="s">
        <v>20</v>
      </c>
      <c r="H679" s="1219">
        <v>5.8999999999999999E-3</v>
      </c>
      <c r="K679" s="1192" t="s">
        <v>2676</v>
      </c>
      <c r="L679" s="1192" t="s">
        <v>432</v>
      </c>
      <c r="P679" s="1192" t="s">
        <v>2682</v>
      </c>
      <c r="V679" s="1192">
        <v>47</v>
      </c>
    </row>
    <row r="680" spans="1:22" s="1192" customFormat="1" ht="14.4" x14ac:dyDescent="0.3">
      <c r="A680" s="1192" t="s">
        <v>193</v>
      </c>
      <c r="E680" s="1741" t="s">
        <v>209</v>
      </c>
      <c r="F680" s="1741"/>
      <c r="G680" s="1277" t="s">
        <v>20</v>
      </c>
      <c r="H680" s="1219">
        <v>4.5999999999999999E-3</v>
      </c>
      <c r="K680" s="1192" t="s">
        <v>2676</v>
      </c>
      <c r="L680" s="1192" t="s">
        <v>432</v>
      </c>
      <c r="P680" s="1192" t="s">
        <v>2683</v>
      </c>
      <c r="V680" s="1192">
        <v>74</v>
      </c>
    </row>
    <row r="681" spans="1:22" s="1192" customFormat="1" ht="14.4" x14ac:dyDescent="0.3">
      <c r="A681" s="1192" t="s">
        <v>193</v>
      </c>
      <c r="E681" s="1750" t="s">
        <v>2405</v>
      </c>
      <c r="F681" s="2008"/>
      <c r="G681" s="1277"/>
      <c r="H681" s="896"/>
      <c r="K681" s="1192" t="s">
        <v>2532</v>
      </c>
      <c r="V681" s="1192">
        <v>48</v>
      </c>
    </row>
    <row r="682" spans="1:22" s="1192" customFormat="1" ht="14.4" x14ac:dyDescent="0.3">
      <c r="A682" s="1192" t="s">
        <v>193</v>
      </c>
      <c r="E682" s="1741" t="s">
        <v>2033</v>
      </c>
      <c r="F682" s="1741"/>
      <c r="G682" s="1277" t="s">
        <v>20</v>
      </c>
      <c r="H682" s="1219">
        <v>3.0000000000000001E-3</v>
      </c>
      <c r="K682" s="1192" t="s">
        <v>2676</v>
      </c>
      <c r="L682" s="1192" t="s">
        <v>2374</v>
      </c>
      <c r="P682" s="1192" t="s">
        <v>2684</v>
      </c>
      <c r="V682" s="1192">
        <v>55</v>
      </c>
    </row>
    <row r="683" spans="1:22" s="1192" customFormat="1" ht="14.4" x14ac:dyDescent="0.3">
      <c r="A683" s="1192" t="s">
        <v>193</v>
      </c>
      <c r="E683" s="1741" t="s">
        <v>2034</v>
      </c>
      <c r="F683" s="1741"/>
      <c r="G683" s="1277" t="s">
        <v>20</v>
      </c>
      <c r="H683" s="1219">
        <v>4.0000000000000002E-4</v>
      </c>
      <c r="K683" s="1192" t="s">
        <v>2676</v>
      </c>
      <c r="L683" s="1192" t="s">
        <v>2374</v>
      </c>
      <c r="P683" s="1192" t="s">
        <v>2684</v>
      </c>
      <c r="V683" s="1192">
        <v>65</v>
      </c>
    </row>
    <row r="684" spans="1:22" s="1192" customFormat="1" ht="14.4" x14ac:dyDescent="0.3">
      <c r="A684" s="1192" t="s">
        <v>193</v>
      </c>
      <c r="E684" s="1741" t="s">
        <v>428</v>
      </c>
      <c r="F684" s="1741"/>
      <c r="G684" s="1277" t="s">
        <v>20</v>
      </c>
      <c r="H684" s="1219">
        <v>5.0000000000000001E-4</v>
      </c>
      <c r="K684" s="1192" t="s">
        <v>2676</v>
      </c>
      <c r="L684" s="1192" t="s">
        <v>2374</v>
      </c>
      <c r="P684" s="1192" t="s">
        <v>2685</v>
      </c>
      <c r="V684" s="1192">
        <v>57</v>
      </c>
    </row>
    <row r="685" spans="1:22" s="1192" customFormat="1" ht="14.4" x14ac:dyDescent="0.3">
      <c r="A685" s="1192" t="s">
        <v>193</v>
      </c>
      <c r="E685" s="1741" t="s">
        <v>28</v>
      </c>
      <c r="F685" s="1741"/>
      <c r="G685" s="1277" t="s">
        <v>19</v>
      </c>
      <c r="H685" s="1218">
        <v>0.25</v>
      </c>
      <c r="K685" s="1192" t="s">
        <v>2676</v>
      </c>
      <c r="L685" s="1192" t="s">
        <v>2374</v>
      </c>
      <c r="P685" s="1192" t="s">
        <v>2686</v>
      </c>
      <c r="V685" s="1192">
        <v>63</v>
      </c>
    </row>
    <row r="686" spans="1:22" s="1192" customFormat="1" ht="17.399999999999999" x14ac:dyDescent="0.3">
      <c r="A686" s="1192" t="s">
        <v>193</v>
      </c>
      <c r="E686" s="1746" t="s">
        <v>604</v>
      </c>
      <c r="F686" s="1747"/>
      <c r="G686" s="1747"/>
      <c r="H686" s="1747"/>
      <c r="K686" s="1192" t="s">
        <v>2823</v>
      </c>
      <c r="V686" s="1192">
        <v>40</v>
      </c>
    </row>
    <row r="687" spans="1:22" s="1192" customFormat="1" ht="14.4" x14ac:dyDescent="0.3">
      <c r="A687" s="1192" t="s">
        <v>193</v>
      </c>
      <c r="E687" s="1743" t="s">
        <v>2556</v>
      </c>
      <c r="F687" s="1743"/>
      <c r="G687" s="1743"/>
      <c r="H687" s="1743"/>
      <c r="K687" s="1192" t="s">
        <v>2823</v>
      </c>
      <c r="V687" s="1192">
        <v>253</v>
      </c>
    </row>
    <row r="688" spans="1:22" s="1192" customFormat="1" ht="14.4" x14ac:dyDescent="0.3">
      <c r="A688" s="1192" t="s">
        <v>193</v>
      </c>
      <c r="E688" s="1750" t="s">
        <v>2389</v>
      </c>
      <c r="F688" s="1743"/>
      <c r="G688" s="1743"/>
      <c r="H688" s="1743"/>
      <c r="K688" s="1192" t="s">
        <v>2424</v>
      </c>
      <c r="V688" s="1192">
        <v>11</v>
      </c>
    </row>
    <row r="689" spans="1:22" s="1192" customFormat="1" ht="14.4" x14ac:dyDescent="0.3">
      <c r="A689" s="1192" t="s">
        <v>193</v>
      </c>
      <c r="E689" s="1743" t="s">
        <v>2391</v>
      </c>
      <c r="F689" s="1743"/>
      <c r="G689" s="1743"/>
      <c r="H689" s="1743"/>
      <c r="K689" s="1192" t="s">
        <v>2823</v>
      </c>
      <c r="V689" s="1192">
        <v>280</v>
      </c>
    </row>
    <row r="690" spans="1:22" s="1192" customFormat="1" ht="14.4" x14ac:dyDescent="0.3">
      <c r="A690" s="1192" t="s">
        <v>193</v>
      </c>
      <c r="E690" s="1743" t="s">
        <v>2392</v>
      </c>
      <c r="F690" s="1743"/>
      <c r="G690" s="1743"/>
      <c r="H690" s="1743"/>
      <c r="K690" s="1192" t="s">
        <v>2823</v>
      </c>
      <c r="V690" s="1192">
        <v>411</v>
      </c>
    </row>
    <row r="691" spans="1:22" s="1192" customFormat="1" ht="14.4" x14ac:dyDescent="0.3">
      <c r="A691" s="1192" t="s">
        <v>193</v>
      </c>
      <c r="E691" s="1743" t="s">
        <v>2508</v>
      </c>
      <c r="F691" s="1743"/>
      <c r="G691" s="1743"/>
      <c r="H691" s="1743"/>
      <c r="K691" s="1192" t="s">
        <v>2823</v>
      </c>
      <c r="V691" s="1192">
        <v>386</v>
      </c>
    </row>
    <row r="692" spans="1:22" s="1192" customFormat="1" ht="14.4" x14ac:dyDescent="0.3">
      <c r="A692" s="1192" t="s">
        <v>193</v>
      </c>
      <c r="E692" s="1743" t="s">
        <v>4500</v>
      </c>
      <c r="F692" s="1743"/>
      <c r="G692" s="1743"/>
      <c r="H692" s="1743"/>
      <c r="K692" s="1192" t="s">
        <v>2823</v>
      </c>
      <c r="V692" s="1192">
        <v>247</v>
      </c>
    </row>
    <row r="693" spans="1:22" s="1192" customFormat="1" ht="14.4" x14ac:dyDescent="0.3">
      <c r="A693" s="1192" t="s">
        <v>193</v>
      </c>
      <c r="E693" s="1750" t="s">
        <v>2394</v>
      </c>
      <c r="F693" s="1743"/>
      <c r="G693" s="1743"/>
      <c r="H693" s="1743"/>
      <c r="K693" s="1192" t="s">
        <v>2425</v>
      </c>
      <c r="V693" s="1192">
        <v>46</v>
      </c>
    </row>
    <row r="694" spans="1:22" s="1192" customFormat="1" ht="14.4" x14ac:dyDescent="0.3">
      <c r="A694" s="1192" t="s">
        <v>193</v>
      </c>
      <c r="E694" s="1741" t="s">
        <v>8</v>
      </c>
      <c r="F694" s="1741"/>
      <c r="G694" s="1277" t="s">
        <v>19</v>
      </c>
      <c r="H694" s="1218">
        <v>5.9</v>
      </c>
      <c r="K694" s="1192" t="s">
        <v>2823</v>
      </c>
      <c r="L694" s="1192" t="s">
        <v>430</v>
      </c>
      <c r="P694" s="1192" t="s">
        <v>2824</v>
      </c>
      <c r="V694" s="1192">
        <v>31</v>
      </c>
    </row>
    <row r="695" spans="1:22" s="1192" customFormat="1" ht="14.4" x14ac:dyDescent="0.3">
      <c r="A695" s="1192" t="s">
        <v>193</v>
      </c>
      <c r="E695" s="1741" t="s">
        <v>80</v>
      </c>
      <c r="F695" s="1741"/>
      <c r="G695" s="1277" t="s">
        <v>29</v>
      </c>
      <c r="H695" s="1219">
        <v>30.535399999999999</v>
      </c>
      <c r="K695" s="1192" t="s">
        <v>2823</v>
      </c>
      <c r="L695" s="1192" t="s">
        <v>430</v>
      </c>
      <c r="P695" s="1192" t="s">
        <v>2825</v>
      </c>
      <c r="V695" s="1192">
        <v>28</v>
      </c>
    </row>
    <row r="696" spans="1:22" s="1192" customFormat="1" ht="14.4" x14ac:dyDescent="0.3">
      <c r="A696" s="1192" t="s">
        <v>193</v>
      </c>
      <c r="E696" s="1741" t="s">
        <v>14</v>
      </c>
      <c r="F696" s="1741"/>
      <c r="G696" s="1277" t="s">
        <v>29</v>
      </c>
      <c r="H696" s="1219">
        <v>0.82450000000000001</v>
      </c>
      <c r="K696" s="1192" t="s">
        <v>2823</v>
      </c>
      <c r="L696" s="1192" t="s">
        <v>431</v>
      </c>
      <c r="P696" s="1192" t="s">
        <v>2826</v>
      </c>
      <c r="V696" s="1192">
        <v>24</v>
      </c>
    </row>
    <row r="697" spans="1:22" s="1192" customFormat="1" ht="14.4" x14ac:dyDescent="0.3">
      <c r="A697" s="1192" t="s">
        <v>193</v>
      </c>
      <c r="E697" s="1741" t="s">
        <v>6068</v>
      </c>
      <c r="F697" s="1998"/>
      <c r="G697" s="1277" t="s">
        <v>20</v>
      </c>
      <c r="H697" s="1219">
        <v>-1.1000000000000001E-3</v>
      </c>
      <c r="K697" s="1192" t="s">
        <v>2823</v>
      </c>
      <c r="L697" s="1192" t="s">
        <v>431</v>
      </c>
      <c r="P697" s="1192" t="s">
        <v>2914</v>
      </c>
      <c r="T697" s="1192">
        <v>44196</v>
      </c>
      <c r="V697" s="1192">
        <v>173</v>
      </c>
    </row>
    <row r="698" spans="1:22" s="1192" customFormat="1" ht="14.4" x14ac:dyDescent="0.3">
      <c r="A698" s="1192" t="s">
        <v>193</v>
      </c>
      <c r="E698" s="1741" t="s">
        <v>6075</v>
      </c>
      <c r="F698" s="1998"/>
      <c r="G698" s="1277" t="s">
        <v>29</v>
      </c>
      <c r="H698" s="1219">
        <v>0.69499999999999995</v>
      </c>
      <c r="K698" s="1192" t="s">
        <v>2823</v>
      </c>
      <c r="L698" s="1192" t="s">
        <v>431</v>
      </c>
      <c r="P698" s="1192" t="s">
        <v>2915</v>
      </c>
      <c r="T698" s="1192">
        <v>44196</v>
      </c>
      <c r="V698" s="1192">
        <v>136</v>
      </c>
    </row>
    <row r="699" spans="1:22" s="1192" customFormat="1" ht="14.4" x14ac:dyDescent="0.3">
      <c r="A699" s="1192" t="s">
        <v>193</v>
      </c>
      <c r="E699" s="1741" t="s">
        <v>6076</v>
      </c>
      <c r="F699" s="1998"/>
      <c r="G699" s="1277" t="s">
        <v>29</v>
      </c>
      <c r="H699" s="1219">
        <v>-3.0300000000000001E-2</v>
      </c>
      <c r="K699" s="1192" t="s">
        <v>2823</v>
      </c>
      <c r="L699" s="1192" t="s">
        <v>431</v>
      </c>
      <c r="P699" s="1192" t="s">
        <v>4554</v>
      </c>
      <c r="T699" s="1192">
        <v>44196</v>
      </c>
      <c r="V699" s="1192">
        <v>178</v>
      </c>
    </row>
    <row r="700" spans="1:22" s="1192" customFormat="1" ht="14.4" x14ac:dyDescent="0.3">
      <c r="A700" s="1192" t="s">
        <v>193</v>
      </c>
      <c r="E700" s="1741" t="s">
        <v>4430</v>
      </c>
      <c r="F700" s="1741"/>
      <c r="G700" s="1277" t="s">
        <v>29</v>
      </c>
      <c r="H700" s="1219">
        <v>5.6599999999999998E-2</v>
      </c>
      <c r="K700" s="1192" t="s">
        <v>2823</v>
      </c>
      <c r="L700" s="1192" t="s">
        <v>430</v>
      </c>
      <c r="P700" s="1192" t="s">
        <v>2915</v>
      </c>
      <c r="T700" s="1192">
        <v>43982</v>
      </c>
      <c r="V700" s="1192">
        <v>102</v>
      </c>
    </row>
    <row r="701" spans="1:22" s="1192" customFormat="1" ht="14.4" x14ac:dyDescent="0.3">
      <c r="A701" s="1192" t="s">
        <v>193</v>
      </c>
      <c r="E701" s="1741" t="s">
        <v>4431</v>
      </c>
      <c r="F701" s="1741"/>
      <c r="G701" s="1277" t="s">
        <v>29</v>
      </c>
      <c r="H701" s="1219">
        <v>0.5837</v>
      </c>
      <c r="K701" s="1192" t="s">
        <v>2823</v>
      </c>
      <c r="L701" s="1192" t="s">
        <v>431</v>
      </c>
      <c r="P701" s="1192" t="s">
        <v>2915</v>
      </c>
      <c r="T701" s="1192">
        <v>43982</v>
      </c>
      <c r="V701" s="1192">
        <v>94</v>
      </c>
    </row>
    <row r="702" spans="1:22" s="1192" customFormat="1" ht="14.4" x14ac:dyDescent="0.3">
      <c r="A702" s="1192" t="s">
        <v>193</v>
      </c>
      <c r="E702" s="1741" t="s">
        <v>4568</v>
      </c>
      <c r="F702" s="1741"/>
      <c r="G702" s="524" t="s">
        <v>29</v>
      </c>
      <c r="H702" s="1219">
        <v>-0.10290000000000001</v>
      </c>
      <c r="K702" s="1192" t="s">
        <v>2823</v>
      </c>
      <c r="L702" s="1192" t="s">
        <v>430</v>
      </c>
      <c r="P702" s="1192" t="s">
        <v>3342</v>
      </c>
      <c r="T702" s="1192">
        <v>43982</v>
      </c>
      <c r="V702" s="1192">
        <v>133</v>
      </c>
    </row>
    <row r="703" spans="1:22" s="1192" customFormat="1" ht="14.4" x14ac:dyDescent="0.3">
      <c r="A703" s="1192" t="s">
        <v>193</v>
      </c>
      <c r="E703" s="1741" t="s">
        <v>213</v>
      </c>
      <c r="F703" s="1741"/>
      <c r="G703" s="1277" t="s">
        <v>29</v>
      </c>
      <c r="H703" s="1219">
        <v>1.8593</v>
      </c>
      <c r="K703" s="1192" t="s">
        <v>2823</v>
      </c>
      <c r="L703" s="1192" t="s">
        <v>432</v>
      </c>
      <c r="P703" s="1192" t="s">
        <v>2827</v>
      </c>
      <c r="V703" s="1192">
        <v>47</v>
      </c>
    </row>
    <row r="704" spans="1:22" s="1192" customFormat="1" ht="14.4" x14ac:dyDescent="0.3">
      <c r="A704" s="1192" t="s">
        <v>193</v>
      </c>
      <c r="E704" s="1741" t="s">
        <v>209</v>
      </c>
      <c r="F704" s="1741"/>
      <c r="G704" s="1277" t="s">
        <v>29</v>
      </c>
      <c r="H704" s="1219">
        <v>1.4457</v>
      </c>
      <c r="K704" s="1192" t="s">
        <v>2823</v>
      </c>
      <c r="L704" s="1192" t="s">
        <v>432</v>
      </c>
      <c r="P704" s="1192" t="s">
        <v>2828</v>
      </c>
      <c r="V704" s="1192">
        <v>74</v>
      </c>
    </row>
    <row r="705" spans="1:22" s="1192" customFormat="1" ht="14.4" x14ac:dyDescent="0.3">
      <c r="A705" s="1192" t="s">
        <v>193</v>
      </c>
      <c r="E705" s="1750" t="s">
        <v>2405</v>
      </c>
      <c r="F705" s="1741"/>
      <c r="G705" s="1277"/>
      <c r="H705" s="896"/>
      <c r="K705" s="1192" t="s">
        <v>2427</v>
      </c>
      <c r="V705" s="1192">
        <v>48</v>
      </c>
    </row>
    <row r="706" spans="1:22" s="1192" customFormat="1" ht="14.4" x14ac:dyDescent="0.3">
      <c r="A706" s="1192" t="s">
        <v>193</v>
      </c>
      <c r="E706" s="1741" t="s">
        <v>2033</v>
      </c>
      <c r="F706" s="1741"/>
      <c r="G706" s="1277" t="s">
        <v>20</v>
      </c>
      <c r="H706" s="1219">
        <v>3.0000000000000001E-3</v>
      </c>
      <c r="K706" s="1192" t="s">
        <v>2823</v>
      </c>
      <c r="L706" s="1192" t="s">
        <v>2374</v>
      </c>
      <c r="P706" s="1192" t="s">
        <v>2829</v>
      </c>
      <c r="V706" s="1192">
        <v>55</v>
      </c>
    </row>
    <row r="707" spans="1:22" s="1192" customFormat="1" ht="14.4" x14ac:dyDescent="0.3">
      <c r="A707" s="1192" t="s">
        <v>193</v>
      </c>
      <c r="E707" s="1741" t="s">
        <v>2034</v>
      </c>
      <c r="F707" s="1741"/>
      <c r="G707" s="1277" t="s">
        <v>20</v>
      </c>
      <c r="H707" s="1219">
        <v>4.0000000000000002E-4</v>
      </c>
      <c r="K707" s="1192" t="s">
        <v>2823</v>
      </c>
      <c r="L707" s="1192" t="s">
        <v>2374</v>
      </c>
      <c r="P707" s="1192" t="s">
        <v>2829</v>
      </c>
      <c r="V707" s="1192">
        <v>65</v>
      </c>
    </row>
    <row r="708" spans="1:22" s="1192" customFormat="1" ht="14.4" x14ac:dyDescent="0.3">
      <c r="A708" s="1192" t="s">
        <v>193</v>
      </c>
      <c r="E708" s="1741" t="s">
        <v>428</v>
      </c>
      <c r="F708" s="1741"/>
      <c r="G708" s="1277" t="s">
        <v>20</v>
      </c>
      <c r="H708" s="1219">
        <v>5.0000000000000001E-4</v>
      </c>
      <c r="K708" s="1192" t="s">
        <v>2823</v>
      </c>
      <c r="L708" s="1192" t="s">
        <v>2374</v>
      </c>
      <c r="P708" s="1192" t="s">
        <v>2830</v>
      </c>
      <c r="V708" s="1192">
        <v>57</v>
      </c>
    </row>
    <row r="709" spans="1:22" s="1192" customFormat="1" ht="14.4" x14ac:dyDescent="0.3">
      <c r="A709" s="1192" t="s">
        <v>193</v>
      </c>
      <c r="E709" s="1741" t="s">
        <v>28</v>
      </c>
      <c r="F709" s="1741"/>
      <c r="G709" s="1277" t="s">
        <v>19</v>
      </c>
      <c r="H709" s="1218">
        <v>0.25</v>
      </c>
      <c r="K709" s="1192" t="s">
        <v>2823</v>
      </c>
      <c r="L709" s="1192" t="s">
        <v>2374</v>
      </c>
      <c r="P709" s="1192" t="s">
        <v>2831</v>
      </c>
      <c r="V709" s="1192">
        <v>63</v>
      </c>
    </row>
    <row r="710" spans="1:22" s="1192" customFormat="1" ht="17.399999999999999" x14ac:dyDescent="0.3">
      <c r="A710" s="1192" t="s">
        <v>193</v>
      </c>
      <c r="E710" s="1746" t="s">
        <v>590</v>
      </c>
      <c r="F710" s="1747"/>
      <c r="G710" s="1747"/>
      <c r="H710" s="1747"/>
      <c r="K710" s="1192" t="s">
        <v>2428</v>
      </c>
      <c r="V710" s="1192">
        <v>38</v>
      </c>
    </row>
    <row r="711" spans="1:22" s="1192" customFormat="1" ht="14.4" x14ac:dyDescent="0.3">
      <c r="A711" s="1192" t="s">
        <v>193</v>
      </c>
      <c r="E711" s="1743" t="s">
        <v>4435</v>
      </c>
      <c r="F711" s="1743"/>
      <c r="G711" s="1743"/>
      <c r="H711" s="1743"/>
      <c r="K711" s="1192" t="s">
        <v>2428</v>
      </c>
      <c r="V711" s="1192">
        <v>550</v>
      </c>
    </row>
    <row r="712" spans="1:22" s="1192" customFormat="1" ht="14.4" x14ac:dyDescent="0.3">
      <c r="A712" s="1192" t="s">
        <v>193</v>
      </c>
      <c r="E712" s="1750" t="s">
        <v>2389</v>
      </c>
      <c r="F712" s="1743"/>
      <c r="G712" s="1743"/>
      <c r="H712" s="1743"/>
      <c r="K712" s="1192" t="s">
        <v>2430</v>
      </c>
      <c r="V712" s="1192">
        <v>11</v>
      </c>
    </row>
    <row r="713" spans="1:22" s="1192" customFormat="1" ht="14.4" x14ac:dyDescent="0.3">
      <c r="A713" s="1192" t="s">
        <v>193</v>
      </c>
      <c r="E713" s="1743" t="s">
        <v>2391</v>
      </c>
      <c r="F713" s="1743"/>
      <c r="G713" s="1743"/>
      <c r="H713" s="1743"/>
      <c r="K713" s="1192" t="s">
        <v>2428</v>
      </c>
      <c r="V713" s="1192">
        <v>280</v>
      </c>
    </row>
    <row r="714" spans="1:22" s="1192" customFormat="1" ht="14.4" x14ac:dyDescent="0.3">
      <c r="A714" s="1192" t="s">
        <v>193</v>
      </c>
      <c r="E714" s="1743" t="s">
        <v>2392</v>
      </c>
      <c r="F714" s="1743"/>
      <c r="G714" s="1743"/>
      <c r="H714" s="1743"/>
      <c r="K714" s="1192" t="s">
        <v>2428</v>
      </c>
      <c r="V714" s="1192">
        <v>411</v>
      </c>
    </row>
    <row r="715" spans="1:22" s="1192" customFormat="1" ht="14.4" x14ac:dyDescent="0.3">
      <c r="A715" s="1192" t="s">
        <v>193</v>
      </c>
      <c r="E715" s="1743" t="s">
        <v>2508</v>
      </c>
      <c r="F715" s="1743"/>
      <c r="G715" s="1743"/>
      <c r="H715" s="1743"/>
      <c r="K715" s="1192" t="s">
        <v>2428</v>
      </c>
      <c r="V715" s="1192">
        <v>386</v>
      </c>
    </row>
    <row r="716" spans="1:22" s="1192" customFormat="1" ht="14.4" x14ac:dyDescent="0.3">
      <c r="A716" s="1192" t="s">
        <v>193</v>
      </c>
      <c r="E716" s="1743" t="s">
        <v>4500</v>
      </c>
      <c r="F716" s="1743"/>
      <c r="G716" s="1743"/>
      <c r="H716" s="1743"/>
      <c r="K716" s="1192" t="s">
        <v>2428</v>
      </c>
      <c r="V716" s="1192">
        <v>247</v>
      </c>
    </row>
    <row r="717" spans="1:22" s="1192" customFormat="1" ht="14.4" x14ac:dyDescent="0.3">
      <c r="A717" s="1192" t="s">
        <v>193</v>
      </c>
      <c r="E717" s="1750" t="s">
        <v>2394</v>
      </c>
      <c r="F717" s="1743"/>
      <c r="G717" s="1743"/>
      <c r="H717" s="1743"/>
      <c r="K717" s="1192" t="s">
        <v>2431</v>
      </c>
      <c r="V717" s="1192">
        <v>46</v>
      </c>
    </row>
    <row r="718" spans="1:22" s="1192" customFormat="1" ht="14.4" x14ac:dyDescent="0.3">
      <c r="A718" s="1192" t="s">
        <v>193</v>
      </c>
      <c r="E718" s="1741" t="s">
        <v>8</v>
      </c>
      <c r="F718" s="1741"/>
      <c r="G718" s="1277" t="s">
        <v>19</v>
      </c>
      <c r="H718" s="1218">
        <v>5.89</v>
      </c>
      <c r="K718" s="1192" t="s">
        <v>2428</v>
      </c>
      <c r="L718" s="1192" t="s">
        <v>430</v>
      </c>
      <c r="P718" s="1192" t="s">
        <v>2432</v>
      </c>
      <c r="V718" s="1192">
        <v>31</v>
      </c>
    </row>
    <row r="719" spans="1:22" s="1192" customFormat="1" ht="14.4" x14ac:dyDescent="0.3">
      <c r="A719" s="1192" t="s">
        <v>193</v>
      </c>
      <c r="E719" s="1741" t="s">
        <v>80</v>
      </c>
      <c r="F719" s="1741"/>
      <c r="G719" s="1277" t="s">
        <v>29</v>
      </c>
      <c r="H719" s="1219">
        <v>4.9207999999999998</v>
      </c>
      <c r="K719" s="1192" t="s">
        <v>2428</v>
      </c>
      <c r="L719" s="1192" t="s">
        <v>430</v>
      </c>
      <c r="P719" s="1192" t="s">
        <v>2433</v>
      </c>
      <c r="V719" s="1192">
        <v>28</v>
      </c>
    </row>
    <row r="720" spans="1:22" s="1192" customFormat="1" ht="14.4" x14ac:dyDescent="0.3">
      <c r="A720" s="1192" t="s">
        <v>193</v>
      </c>
      <c r="E720" s="1741" t="s">
        <v>14</v>
      </c>
      <c r="F720" s="1741"/>
      <c r="G720" s="1277" t="s">
        <v>29</v>
      </c>
      <c r="H720" s="1219">
        <v>0.80559999999999998</v>
      </c>
      <c r="K720" s="1192" t="s">
        <v>2428</v>
      </c>
      <c r="L720" s="1192" t="s">
        <v>431</v>
      </c>
      <c r="P720" s="1192" t="s">
        <v>2764</v>
      </c>
      <c r="V720" s="1192">
        <v>24</v>
      </c>
    </row>
    <row r="721" spans="1:22" s="1192" customFormat="1" ht="14.4" x14ac:dyDescent="0.3">
      <c r="A721" s="1192" t="s">
        <v>193</v>
      </c>
      <c r="E721" s="1741" t="s">
        <v>6068</v>
      </c>
      <c r="F721" s="1998"/>
      <c r="G721" s="1277" t="s">
        <v>20</v>
      </c>
      <c r="H721" s="1219">
        <v>-1.1999999999999999E-3</v>
      </c>
      <c r="K721" s="1192" t="s">
        <v>2428</v>
      </c>
      <c r="L721" s="1192" t="s">
        <v>431</v>
      </c>
      <c r="P721" s="1192" t="s">
        <v>2435</v>
      </c>
      <c r="T721" s="1192">
        <v>44196</v>
      </c>
      <c r="V721" s="1192">
        <v>173</v>
      </c>
    </row>
    <row r="722" spans="1:22" s="1192" customFormat="1" ht="14.4" x14ac:dyDescent="0.3">
      <c r="A722" s="1192" t="s">
        <v>193</v>
      </c>
      <c r="E722" s="1741" t="s">
        <v>6075</v>
      </c>
      <c r="F722" s="1998"/>
      <c r="G722" s="1277" t="s">
        <v>29</v>
      </c>
      <c r="H722" s="1219">
        <v>0.51370000000000005</v>
      </c>
      <c r="K722" s="1192" t="s">
        <v>2428</v>
      </c>
      <c r="L722" s="1192" t="s">
        <v>431</v>
      </c>
      <c r="P722" s="1192" t="s">
        <v>2434</v>
      </c>
      <c r="T722" s="1192">
        <v>44196</v>
      </c>
      <c r="V722" s="1192">
        <v>136</v>
      </c>
    </row>
    <row r="723" spans="1:22" s="1192" customFormat="1" ht="14.4" x14ac:dyDescent="0.3">
      <c r="A723" s="1192" t="s">
        <v>193</v>
      </c>
      <c r="E723" s="1741" t="s">
        <v>6076</v>
      </c>
      <c r="F723" s="1998"/>
      <c r="G723" s="1277" t="s">
        <v>29</v>
      </c>
      <c r="H723" s="1219">
        <v>-2.1899999999999999E-2</v>
      </c>
      <c r="K723" s="1192" t="s">
        <v>2428</v>
      </c>
      <c r="L723" s="1192" t="s">
        <v>431</v>
      </c>
      <c r="P723" s="1192" t="s">
        <v>4008</v>
      </c>
      <c r="T723" s="1192">
        <v>44196</v>
      </c>
      <c r="V723" s="1192">
        <v>178</v>
      </c>
    </row>
    <row r="724" spans="1:22" s="1192" customFormat="1" ht="14.4" x14ac:dyDescent="0.3">
      <c r="A724" s="1192" t="s">
        <v>193</v>
      </c>
      <c r="E724" s="1741" t="s">
        <v>4430</v>
      </c>
      <c r="F724" s="1741"/>
      <c r="G724" s="1277" t="s">
        <v>29</v>
      </c>
      <c r="H724" s="1219">
        <v>2.2700000000000001E-2</v>
      </c>
      <c r="K724" s="1192" t="s">
        <v>2428</v>
      </c>
      <c r="L724" s="1192" t="s">
        <v>430</v>
      </c>
      <c r="P724" s="1192" t="s">
        <v>2434</v>
      </c>
      <c r="T724" s="1192">
        <v>43982</v>
      </c>
      <c r="V724" s="1192">
        <v>102</v>
      </c>
    </row>
    <row r="725" spans="1:22" s="1192" customFormat="1" ht="14.4" x14ac:dyDescent="0.3">
      <c r="A725" s="1192" t="s">
        <v>193</v>
      </c>
      <c r="E725" s="1741" t="s">
        <v>4431</v>
      </c>
      <c r="F725" s="1741"/>
      <c r="G725" s="1277" t="s">
        <v>29</v>
      </c>
      <c r="H725" s="1219">
        <v>0.44569999999999999</v>
      </c>
      <c r="K725" s="1192" t="s">
        <v>2428</v>
      </c>
      <c r="L725" s="1192" t="s">
        <v>431</v>
      </c>
      <c r="P725" s="1192" t="s">
        <v>2434</v>
      </c>
      <c r="T725" s="1192">
        <v>43982</v>
      </c>
      <c r="V725" s="1192">
        <v>94</v>
      </c>
    </row>
    <row r="726" spans="1:22" s="1192" customFormat="1" ht="14.4" x14ac:dyDescent="0.3">
      <c r="A726" s="1192" t="s">
        <v>193</v>
      </c>
      <c r="E726" s="1741" t="s">
        <v>4568</v>
      </c>
      <c r="F726" s="1741"/>
      <c r="G726" s="524" t="s">
        <v>29</v>
      </c>
      <c r="H726" s="1219">
        <v>-4.2999999999999997E-2</v>
      </c>
      <c r="K726" s="1192" t="s">
        <v>2428</v>
      </c>
      <c r="L726" s="1192" t="s">
        <v>430</v>
      </c>
      <c r="P726" s="1192" t="s">
        <v>3343</v>
      </c>
      <c r="T726" s="1192">
        <v>43982</v>
      </c>
      <c r="V726" s="1192">
        <v>133</v>
      </c>
    </row>
    <row r="727" spans="1:22" s="1192" customFormat="1" ht="14.4" x14ac:dyDescent="0.3">
      <c r="A727" s="1192" t="s">
        <v>193</v>
      </c>
      <c r="E727" s="1741" t="s">
        <v>213</v>
      </c>
      <c r="F727" s="1741"/>
      <c r="G727" s="1277" t="s">
        <v>29</v>
      </c>
      <c r="H727" s="1219">
        <v>1.8451</v>
      </c>
      <c r="K727" s="1192" t="s">
        <v>2428</v>
      </c>
      <c r="L727" s="1192" t="s">
        <v>432</v>
      </c>
      <c r="P727" s="1192" t="s">
        <v>2436</v>
      </c>
      <c r="V727" s="1192">
        <v>47</v>
      </c>
    </row>
    <row r="728" spans="1:22" s="1192" customFormat="1" ht="14.4" x14ac:dyDescent="0.3">
      <c r="A728" s="1192" t="s">
        <v>193</v>
      </c>
      <c r="E728" s="1741" t="s">
        <v>209</v>
      </c>
      <c r="F728" s="1741"/>
      <c r="G728" s="1277" t="s">
        <v>29</v>
      </c>
      <c r="H728" s="1219">
        <v>1.4129</v>
      </c>
      <c r="K728" s="1192" t="s">
        <v>2428</v>
      </c>
      <c r="L728" s="1192" t="s">
        <v>432</v>
      </c>
      <c r="P728" s="1192" t="s">
        <v>2437</v>
      </c>
      <c r="V728" s="1192">
        <v>74</v>
      </c>
    </row>
    <row r="729" spans="1:22" s="1192" customFormat="1" ht="14.4" x14ac:dyDescent="0.3">
      <c r="A729" s="1192" t="s">
        <v>193</v>
      </c>
      <c r="E729" s="1750" t="s">
        <v>2405</v>
      </c>
      <c r="F729" s="1741"/>
      <c r="G729" s="1277"/>
      <c r="H729" s="896"/>
      <c r="K729" s="1192" t="s">
        <v>2438</v>
      </c>
      <c r="V729" s="1192">
        <v>48</v>
      </c>
    </row>
    <row r="730" spans="1:22" s="1192" customFormat="1" ht="14.4" x14ac:dyDescent="0.3">
      <c r="A730" s="1192" t="s">
        <v>193</v>
      </c>
      <c r="E730" s="1741" t="s">
        <v>2033</v>
      </c>
      <c r="F730" s="1741"/>
      <c r="G730" s="1277" t="s">
        <v>20</v>
      </c>
      <c r="H730" s="1219">
        <v>3.0000000000000001E-3</v>
      </c>
      <c r="K730" s="1192" t="s">
        <v>2428</v>
      </c>
      <c r="L730" s="1192" t="s">
        <v>2374</v>
      </c>
      <c r="P730" s="1192" t="s">
        <v>2439</v>
      </c>
      <c r="V730" s="1192">
        <v>55</v>
      </c>
    </row>
    <row r="731" spans="1:22" s="1192" customFormat="1" ht="14.4" x14ac:dyDescent="0.3">
      <c r="A731" s="1192" t="s">
        <v>193</v>
      </c>
      <c r="E731" s="1741" t="s">
        <v>2034</v>
      </c>
      <c r="F731" s="1741"/>
      <c r="G731" s="1277" t="s">
        <v>20</v>
      </c>
      <c r="H731" s="1219">
        <v>4.0000000000000002E-4</v>
      </c>
      <c r="K731" s="1192" t="s">
        <v>2428</v>
      </c>
      <c r="L731" s="1192" t="s">
        <v>2374</v>
      </c>
      <c r="P731" s="1192" t="s">
        <v>2439</v>
      </c>
      <c r="V731" s="1192">
        <v>65</v>
      </c>
    </row>
    <row r="732" spans="1:22" s="1192" customFormat="1" ht="14.4" x14ac:dyDescent="0.3">
      <c r="A732" s="1192" t="s">
        <v>193</v>
      </c>
      <c r="E732" s="1741" t="s">
        <v>428</v>
      </c>
      <c r="F732" s="1741"/>
      <c r="G732" s="1277" t="s">
        <v>20</v>
      </c>
      <c r="H732" s="1219">
        <v>5.0000000000000001E-4</v>
      </c>
      <c r="K732" s="1192" t="s">
        <v>2428</v>
      </c>
      <c r="L732" s="1192" t="s">
        <v>2374</v>
      </c>
      <c r="P732" s="1192" t="s">
        <v>2440</v>
      </c>
      <c r="V732" s="1192">
        <v>57</v>
      </c>
    </row>
    <row r="733" spans="1:22" s="1192" customFormat="1" ht="14.4" x14ac:dyDescent="0.3">
      <c r="A733" s="1192" t="s">
        <v>193</v>
      </c>
      <c r="E733" s="1741" t="s">
        <v>28</v>
      </c>
      <c r="F733" s="1741"/>
      <c r="G733" s="1277" t="s">
        <v>19</v>
      </c>
      <c r="H733" s="1218">
        <v>0.25</v>
      </c>
      <c r="K733" s="1192" t="s">
        <v>2428</v>
      </c>
      <c r="L733" s="1192" t="s">
        <v>2374</v>
      </c>
      <c r="P733" s="1192" t="s">
        <v>2441</v>
      </c>
      <c r="V733" s="1192">
        <v>63</v>
      </c>
    </row>
    <row r="734" spans="1:22" s="1192" customFormat="1" ht="17.399999999999999" x14ac:dyDescent="0.3">
      <c r="A734" s="1192" t="s">
        <v>193</v>
      </c>
      <c r="E734" s="1746" t="s">
        <v>593</v>
      </c>
      <c r="F734" s="1747"/>
      <c r="G734" s="1747"/>
      <c r="H734" s="1747"/>
      <c r="K734" s="1192" t="s">
        <v>2442</v>
      </c>
      <c r="V734" s="1192">
        <v>31</v>
      </c>
    </row>
    <row r="735" spans="1:22" s="1192" customFormat="1" ht="14.4" x14ac:dyDescent="0.3">
      <c r="A735" s="1192" t="s">
        <v>193</v>
      </c>
      <c r="E735" s="1743" t="s">
        <v>2652</v>
      </c>
      <c r="F735" s="1743"/>
      <c r="G735" s="1743"/>
      <c r="H735" s="1743"/>
      <c r="K735" s="1192" t="s">
        <v>2442</v>
      </c>
      <c r="V735" s="1192">
        <v>285</v>
      </c>
    </row>
    <row r="736" spans="1:22" s="1192" customFormat="1" ht="14.4" x14ac:dyDescent="0.3">
      <c r="A736" s="1192" t="s">
        <v>193</v>
      </c>
      <c r="E736" s="1750" t="s">
        <v>2389</v>
      </c>
      <c r="F736" s="1743"/>
      <c r="G736" s="1743"/>
      <c r="H736" s="1743"/>
      <c r="K736" s="1192" t="s">
        <v>2444</v>
      </c>
      <c r="V736" s="1192">
        <v>11</v>
      </c>
    </row>
    <row r="737" spans="1:22" s="1192" customFormat="1" ht="14.4" x14ac:dyDescent="0.3">
      <c r="A737" s="1192" t="s">
        <v>193</v>
      </c>
      <c r="E737" s="1743" t="s">
        <v>2391</v>
      </c>
      <c r="F737" s="1743"/>
      <c r="G737" s="1743"/>
      <c r="H737" s="1743"/>
      <c r="K737" s="1192" t="s">
        <v>2442</v>
      </c>
      <c r="V737" s="1192">
        <v>280</v>
      </c>
    </row>
    <row r="738" spans="1:22" s="1192" customFormat="1" ht="14.4" x14ac:dyDescent="0.3">
      <c r="A738" s="1192" t="s">
        <v>193</v>
      </c>
      <c r="E738" s="1743" t="s">
        <v>2392</v>
      </c>
      <c r="F738" s="1743"/>
      <c r="G738" s="1743"/>
      <c r="H738" s="1743"/>
      <c r="K738" s="1192" t="s">
        <v>2442</v>
      </c>
      <c r="V738" s="1192">
        <v>411</v>
      </c>
    </row>
    <row r="739" spans="1:22" s="1192" customFormat="1" ht="14.4" x14ac:dyDescent="0.3">
      <c r="A739" s="1192" t="s">
        <v>193</v>
      </c>
      <c r="E739" s="1743" t="s">
        <v>2445</v>
      </c>
      <c r="F739" s="1743"/>
      <c r="G739" s="1743"/>
      <c r="H739" s="1743"/>
      <c r="K739" s="1192" t="s">
        <v>2442</v>
      </c>
      <c r="V739" s="1192">
        <v>211</v>
      </c>
    </row>
    <row r="740" spans="1:22" s="1192" customFormat="1" ht="14.4" x14ac:dyDescent="0.3">
      <c r="A740" s="1192" t="s">
        <v>193</v>
      </c>
      <c r="E740" s="1743" t="s">
        <v>4500</v>
      </c>
      <c r="F740" s="1743"/>
      <c r="G740" s="1743"/>
      <c r="H740" s="1743"/>
      <c r="K740" s="1192" t="s">
        <v>2442</v>
      </c>
      <c r="V740" s="1192">
        <v>247</v>
      </c>
    </row>
    <row r="741" spans="1:22" s="1192" customFormat="1" ht="14.4" x14ac:dyDescent="0.3">
      <c r="A741" s="1192" t="s">
        <v>193</v>
      </c>
      <c r="E741" s="1750" t="s">
        <v>2394</v>
      </c>
      <c r="F741" s="1743"/>
      <c r="G741" s="1743"/>
      <c r="H741" s="1743"/>
      <c r="K741" s="1192" t="s">
        <v>2446</v>
      </c>
      <c r="V741" s="1192">
        <v>46</v>
      </c>
    </row>
    <row r="742" spans="1:22" s="1192" customFormat="1" ht="14.4" x14ac:dyDescent="0.3">
      <c r="A742" s="1192" t="s">
        <v>193</v>
      </c>
      <c r="E742" s="1741" t="s">
        <v>7</v>
      </c>
      <c r="F742" s="1741"/>
      <c r="G742" s="1277" t="s">
        <v>19</v>
      </c>
      <c r="H742" s="1218">
        <v>10</v>
      </c>
      <c r="K742" s="1192" t="s">
        <v>2442</v>
      </c>
      <c r="L742" s="1192" t="s">
        <v>430</v>
      </c>
      <c r="P742" s="1192" t="s">
        <v>2447</v>
      </c>
      <c r="V742" s="1192">
        <v>14</v>
      </c>
    </row>
    <row r="743" spans="1:22" s="1192" customFormat="1" x14ac:dyDescent="0.35">
      <c r="A743" s="1192" t="s">
        <v>193</v>
      </c>
      <c r="E743" s="1260" t="s">
        <v>81</v>
      </c>
      <c r="F743" s="550"/>
      <c r="G743" s="550"/>
      <c r="H743" s="881"/>
      <c r="K743" s="1192" t="s">
        <v>4436</v>
      </c>
      <c r="V743" s="1192">
        <v>10</v>
      </c>
    </row>
    <row r="744" spans="1:22" s="1192" customFormat="1" ht="14.4" x14ac:dyDescent="0.3">
      <c r="A744" s="1192" t="s">
        <v>193</v>
      </c>
      <c r="E744" s="1741" t="s">
        <v>2449</v>
      </c>
      <c r="F744" s="1741"/>
      <c r="G744" s="1277" t="s">
        <v>29</v>
      </c>
      <c r="H744" s="1219">
        <v>-0.6</v>
      </c>
      <c r="V744" s="1192">
        <v>68</v>
      </c>
    </row>
    <row r="745" spans="1:22" s="1192" customFormat="1" ht="14.4" x14ac:dyDescent="0.3">
      <c r="A745" s="1192" t="s">
        <v>193</v>
      </c>
      <c r="E745" s="1741" t="s">
        <v>3993</v>
      </c>
      <c r="F745" s="1741"/>
      <c r="G745" s="1277" t="s">
        <v>82</v>
      </c>
      <c r="H745" s="1218">
        <v>-1</v>
      </c>
      <c r="V745" s="1192">
        <v>89</v>
      </c>
    </row>
    <row r="746" spans="1:22" s="1192" customFormat="1" x14ac:dyDescent="0.35">
      <c r="A746" s="1192" t="s">
        <v>193</v>
      </c>
      <c r="E746" s="1264" t="s">
        <v>83</v>
      </c>
      <c r="F746" s="550"/>
      <c r="G746" s="550"/>
      <c r="H746" s="881"/>
      <c r="K746" s="1192" t="s">
        <v>4437</v>
      </c>
      <c r="V746" s="1192">
        <v>24</v>
      </c>
    </row>
    <row r="747" spans="1:22" s="1192" customFormat="1" ht="14.4" x14ac:dyDescent="0.3">
      <c r="A747" s="1192" t="s">
        <v>193</v>
      </c>
      <c r="E747" s="1743" t="s">
        <v>2391</v>
      </c>
      <c r="F747" s="1743"/>
      <c r="G747" s="1743"/>
      <c r="H747" s="1743"/>
      <c r="V747" s="1192">
        <v>280</v>
      </c>
    </row>
    <row r="748" spans="1:22" s="1192" customFormat="1" ht="14.4" x14ac:dyDescent="0.3">
      <c r="A748" s="1192" t="s">
        <v>193</v>
      </c>
      <c r="E748" s="1743" t="s">
        <v>2452</v>
      </c>
      <c r="F748" s="1743"/>
      <c r="G748" s="1743"/>
      <c r="H748" s="1743"/>
      <c r="V748" s="1192">
        <v>353</v>
      </c>
    </row>
    <row r="749" spans="1:22" s="1192" customFormat="1" ht="14.4" x14ac:dyDescent="0.3">
      <c r="A749" s="1192" t="s">
        <v>193</v>
      </c>
      <c r="E749" s="1743" t="s">
        <v>4500</v>
      </c>
      <c r="F749" s="1743"/>
      <c r="G749" s="1743"/>
      <c r="H749" s="1743"/>
      <c r="V749" s="1192">
        <v>247</v>
      </c>
    </row>
    <row r="750" spans="1:22" s="1192" customFormat="1" ht="14.4" x14ac:dyDescent="0.3">
      <c r="A750" s="1192" t="s">
        <v>193</v>
      </c>
      <c r="E750" s="1258" t="s">
        <v>2453</v>
      </c>
      <c r="F750" s="3"/>
      <c r="G750" s="3"/>
      <c r="H750" s="897"/>
      <c r="K750" s="1192" t="s">
        <v>4438</v>
      </c>
      <c r="V750" s="1192">
        <v>23</v>
      </c>
    </row>
    <row r="751" spans="1:22" s="1192" customFormat="1" ht="14.4" x14ac:dyDescent="0.3">
      <c r="A751" s="1192" t="s">
        <v>193</v>
      </c>
      <c r="E751" s="1942" t="s">
        <v>4570</v>
      </c>
      <c r="F751" s="1942"/>
      <c r="G751" s="1277" t="s">
        <v>19</v>
      </c>
      <c r="H751" s="1218">
        <v>15</v>
      </c>
      <c r="V751" s="1192">
        <v>25</v>
      </c>
    </row>
    <row r="752" spans="1:22" s="1192" customFormat="1" ht="14.4" x14ac:dyDescent="0.3">
      <c r="A752" s="1192" t="s">
        <v>193</v>
      </c>
      <c r="E752" s="1942" t="s">
        <v>4571</v>
      </c>
      <c r="F752" s="1942"/>
      <c r="G752" s="1277" t="s">
        <v>19</v>
      </c>
      <c r="H752" s="1218">
        <v>15</v>
      </c>
      <c r="V752" s="1192">
        <v>26</v>
      </c>
    </row>
    <row r="753" spans="1:22" s="1192" customFormat="1" ht="14.4" x14ac:dyDescent="0.3">
      <c r="A753" s="1192" t="s">
        <v>193</v>
      </c>
      <c r="E753" s="1942" t="s">
        <v>4572</v>
      </c>
      <c r="F753" s="1942"/>
      <c r="G753" s="1277" t="s">
        <v>19</v>
      </c>
      <c r="H753" s="1218">
        <v>15</v>
      </c>
      <c r="V753" s="1192">
        <v>32</v>
      </c>
    </row>
    <row r="754" spans="1:22" s="1192" customFormat="1" ht="14.4" x14ac:dyDescent="0.3">
      <c r="A754" s="1192" t="s">
        <v>193</v>
      </c>
      <c r="E754" s="1942" t="s">
        <v>4573</v>
      </c>
      <c r="F754" s="1942"/>
      <c r="G754" s="1277" t="s">
        <v>19</v>
      </c>
      <c r="H754" s="1218">
        <v>15</v>
      </c>
      <c r="V754" s="1192">
        <v>45</v>
      </c>
    </row>
    <row r="755" spans="1:22" s="1192" customFormat="1" ht="14.4" x14ac:dyDescent="0.3">
      <c r="A755" s="1192" t="s">
        <v>193</v>
      </c>
      <c r="E755" s="1942" t="s">
        <v>4574</v>
      </c>
      <c r="F755" s="1942"/>
      <c r="G755" s="1277" t="s">
        <v>19</v>
      </c>
      <c r="H755" s="1218">
        <v>15</v>
      </c>
      <c r="V755" s="1192">
        <v>43</v>
      </c>
    </row>
    <row r="756" spans="1:22" s="1192" customFormat="1" ht="14.4" x14ac:dyDescent="0.3">
      <c r="A756" s="1192" t="s">
        <v>193</v>
      </c>
      <c r="E756" s="1942" t="s">
        <v>4575</v>
      </c>
      <c r="F756" s="1942"/>
      <c r="G756" s="1277" t="s">
        <v>19</v>
      </c>
      <c r="H756" s="1218">
        <v>15</v>
      </c>
      <c r="V756" s="1192">
        <v>21</v>
      </c>
    </row>
    <row r="757" spans="1:22" s="1192" customFormat="1" ht="14.4" x14ac:dyDescent="0.3">
      <c r="A757" s="1192" t="s">
        <v>193</v>
      </c>
      <c r="E757" s="1942" t="s">
        <v>4576</v>
      </c>
      <c r="F757" s="1942"/>
      <c r="G757" s="1277" t="s">
        <v>19</v>
      </c>
      <c r="H757" s="1218">
        <v>15</v>
      </c>
      <c r="V757" s="1192">
        <v>23</v>
      </c>
    </row>
    <row r="758" spans="1:22" s="1192" customFormat="1" ht="14.4" x14ac:dyDescent="0.3">
      <c r="A758" s="1192" t="s">
        <v>193</v>
      </c>
      <c r="E758" s="1942" t="s">
        <v>4577</v>
      </c>
      <c r="F758" s="1942"/>
      <c r="G758" s="1277" t="s">
        <v>19</v>
      </c>
      <c r="H758" s="1218">
        <v>15</v>
      </c>
      <c r="V758" s="1192">
        <v>25</v>
      </c>
    </row>
    <row r="759" spans="1:22" s="1192" customFormat="1" ht="14.4" x14ac:dyDescent="0.3">
      <c r="A759" s="1192" t="s">
        <v>193</v>
      </c>
      <c r="E759" s="1942" t="s">
        <v>4578</v>
      </c>
      <c r="F759" s="1942"/>
      <c r="G759" s="1277" t="s">
        <v>19</v>
      </c>
      <c r="H759" s="1218">
        <v>15</v>
      </c>
      <c r="V759" s="1192">
        <v>21</v>
      </c>
    </row>
    <row r="760" spans="1:22" s="1192" customFormat="1" ht="14.4" x14ac:dyDescent="0.3">
      <c r="A760" s="1192" t="s">
        <v>193</v>
      </c>
      <c r="E760" s="1942" t="s">
        <v>4579</v>
      </c>
      <c r="F760" s="1942"/>
      <c r="G760" s="1277" t="s">
        <v>19</v>
      </c>
      <c r="H760" s="1218">
        <v>15</v>
      </c>
      <c r="V760" s="1192">
        <v>62</v>
      </c>
    </row>
    <row r="761" spans="1:22" s="1192" customFormat="1" ht="14.4" x14ac:dyDescent="0.3">
      <c r="A761" s="1192" t="s">
        <v>193</v>
      </c>
      <c r="E761" s="1942" t="s">
        <v>4580</v>
      </c>
      <c r="F761" s="1942"/>
      <c r="G761" s="1277" t="s">
        <v>19</v>
      </c>
      <c r="H761" s="1218">
        <v>15</v>
      </c>
      <c r="V761" s="1192">
        <v>41</v>
      </c>
    </row>
    <row r="762" spans="1:22" s="1192" customFormat="1" ht="14.4" x14ac:dyDescent="0.3">
      <c r="A762" s="1192" t="s">
        <v>193</v>
      </c>
      <c r="E762" s="1942" t="s">
        <v>4581</v>
      </c>
      <c r="F762" s="1942"/>
      <c r="G762" s="1277" t="s">
        <v>19</v>
      </c>
      <c r="H762" s="1218">
        <v>15</v>
      </c>
      <c r="V762" s="1192">
        <v>30</v>
      </c>
    </row>
    <row r="763" spans="1:22" s="1192" customFormat="1" ht="14.4" x14ac:dyDescent="0.3">
      <c r="A763" s="1192" t="s">
        <v>193</v>
      </c>
      <c r="E763" s="1942" t="s">
        <v>4582</v>
      </c>
      <c r="F763" s="1942"/>
      <c r="G763" s="1277" t="s">
        <v>19</v>
      </c>
      <c r="H763" s="1218">
        <v>15</v>
      </c>
      <c r="V763" s="1192">
        <v>25</v>
      </c>
    </row>
    <row r="764" spans="1:22" s="1192" customFormat="1" ht="14.4" x14ac:dyDescent="0.3">
      <c r="A764" s="1192" t="s">
        <v>193</v>
      </c>
      <c r="E764" s="1942" t="s">
        <v>4583</v>
      </c>
      <c r="F764" s="1942"/>
      <c r="G764" s="1277" t="s">
        <v>19</v>
      </c>
      <c r="H764" s="1218">
        <v>30</v>
      </c>
      <c r="V764" s="1192">
        <v>95</v>
      </c>
    </row>
    <row r="765" spans="1:22" s="1192" customFormat="1" ht="14.4" x14ac:dyDescent="0.3">
      <c r="A765" s="1192" t="s">
        <v>193</v>
      </c>
      <c r="E765" s="1942" t="s">
        <v>4678</v>
      </c>
      <c r="F765" s="1942"/>
      <c r="G765" s="1277" t="s">
        <v>19</v>
      </c>
      <c r="H765" s="1218">
        <v>30</v>
      </c>
      <c r="V765" s="1192">
        <v>80</v>
      </c>
    </row>
    <row r="766" spans="1:22" s="1192" customFormat="1" ht="14.4" x14ac:dyDescent="0.3">
      <c r="A766" s="1192" t="s">
        <v>193</v>
      </c>
      <c r="E766" s="1942" t="s">
        <v>4584</v>
      </c>
      <c r="F766" s="1942"/>
      <c r="G766" s="1277" t="s">
        <v>19</v>
      </c>
      <c r="H766" s="1218">
        <v>30</v>
      </c>
      <c r="V766" s="1192">
        <v>25</v>
      </c>
    </row>
    <row r="767" spans="1:22" s="1192" customFormat="1" ht="14.4" x14ac:dyDescent="0.3">
      <c r="A767" s="1192" t="s">
        <v>193</v>
      </c>
      <c r="E767" s="1258" t="s">
        <v>2468</v>
      </c>
      <c r="F767" s="3"/>
      <c r="G767" s="3"/>
      <c r="H767" s="897"/>
      <c r="K767" s="1192" t="s">
        <v>4439</v>
      </c>
      <c r="V767" s="1192">
        <v>22</v>
      </c>
    </row>
    <row r="768" spans="1:22" s="1192" customFormat="1" ht="14.4" x14ac:dyDescent="0.3">
      <c r="A768" s="1192" t="s">
        <v>193</v>
      </c>
      <c r="E768" s="1740" t="s">
        <v>6077</v>
      </c>
      <c r="F768" s="1740"/>
      <c r="G768" s="1277" t="s">
        <v>82</v>
      </c>
      <c r="H768" s="1218">
        <v>1.5</v>
      </c>
      <c r="V768" s="1192">
        <v>126</v>
      </c>
    </row>
    <row r="769" spans="1:22" s="1192" customFormat="1" ht="14.4" x14ac:dyDescent="0.3">
      <c r="A769" s="1192" t="s">
        <v>193</v>
      </c>
      <c r="E769" s="1942" t="s">
        <v>6078</v>
      </c>
      <c r="F769" s="1942"/>
      <c r="G769" s="1277" t="s">
        <v>19</v>
      </c>
      <c r="H769" s="1218">
        <v>65</v>
      </c>
      <c r="V769" s="1192">
        <v>58</v>
      </c>
    </row>
    <row r="770" spans="1:22" s="1192" customFormat="1" ht="14.4" x14ac:dyDescent="0.3">
      <c r="A770" s="1192" t="s">
        <v>193</v>
      </c>
      <c r="E770" s="1942" t="s">
        <v>6079</v>
      </c>
      <c r="F770" s="1942"/>
      <c r="G770" s="1277" t="s">
        <v>19</v>
      </c>
      <c r="H770" s="1218">
        <v>185</v>
      </c>
      <c r="V770" s="1192">
        <v>58</v>
      </c>
    </row>
    <row r="771" spans="1:22" s="1192" customFormat="1" ht="14.4" x14ac:dyDescent="0.3">
      <c r="A771" s="1192" t="s">
        <v>193</v>
      </c>
      <c r="E771" s="1942" t="s">
        <v>6080</v>
      </c>
      <c r="F771" s="1942"/>
      <c r="G771" s="1277" t="s">
        <v>19</v>
      </c>
      <c r="H771" s="1218">
        <v>185</v>
      </c>
      <c r="V771" s="1192">
        <v>57</v>
      </c>
    </row>
    <row r="772" spans="1:22" s="1192" customFormat="1" ht="14.4" x14ac:dyDescent="0.3">
      <c r="A772" s="1192" t="s">
        <v>193</v>
      </c>
      <c r="E772" s="1942" t="s">
        <v>6081</v>
      </c>
      <c r="F772" s="1942"/>
      <c r="G772" s="1277" t="s">
        <v>19</v>
      </c>
      <c r="H772" s="1218">
        <v>415</v>
      </c>
      <c r="V772" s="1192">
        <v>56</v>
      </c>
    </row>
    <row r="773" spans="1:22" s="1192" customFormat="1" ht="14.4" x14ac:dyDescent="0.3">
      <c r="A773" s="1192" t="s">
        <v>193</v>
      </c>
      <c r="E773" s="1258" t="s">
        <v>2474</v>
      </c>
      <c r="F773" s="3"/>
      <c r="G773" s="3"/>
      <c r="H773" s="897"/>
      <c r="V773" s="1192">
        <v>5</v>
      </c>
    </row>
    <row r="774" spans="1:22" s="1192" customFormat="1" ht="14.4" x14ac:dyDescent="0.3">
      <c r="A774" s="1192" t="s">
        <v>193</v>
      </c>
      <c r="E774" s="1942" t="s">
        <v>3016</v>
      </c>
      <c r="F774" s="1942"/>
      <c r="G774" s="1277" t="s">
        <v>19</v>
      </c>
      <c r="H774" s="1218">
        <v>30</v>
      </c>
      <c r="V774" s="1192">
        <v>44</v>
      </c>
    </row>
    <row r="775" spans="1:22" s="1192" customFormat="1" ht="14.4" x14ac:dyDescent="0.3">
      <c r="A775" s="1192" t="s">
        <v>193</v>
      </c>
      <c r="E775" s="1942" t="s">
        <v>4521</v>
      </c>
      <c r="F775" s="1942"/>
      <c r="G775" s="1277" t="s">
        <v>19</v>
      </c>
      <c r="H775" s="1218">
        <v>165</v>
      </c>
      <c r="V775" s="1192">
        <v>39</v>
      </c>
    </row>
    <row r="776" spans="1:22" s="1192" customFormat="1" ht="14.4" x14ac:dyDescent="0.3">
      <c r="A776" s="1192" t="s">
        <v>193</v>
      </c>
      <c r="E776" s="1942" t="s">
        <v>4585</v>
      </c>
      <c r="F776" s="1942"/>
      <c r="G776" s="1277" t="s">
        <v>19</v>
      </c>
      <c r="H776" s="1218">
        <v>500</v>
      </c>
      <c r="V776" s="1192">
        <v>69</v>
      </c>
    </row>
    <row r="777" spans="1:22" s="1192" customFormat="1" ht="14.4" x14ac:dyDescent="0.3">
      <c r="A777" s="1192" t="s">
        <v>193</v>
      </c>
      <c r="E777" s="1942" t="s">
        <v>4586</v>
      </c>
      <c r="F777" s="1942"/>
      <c r="G777" s="1277" t="s">
        <v>19</v>
      </c>
      <c r="H777" s="1218">
        <v>300</v>
      </c>
      <c r="V777" s="1192">
        <v>72</v>
      </c>
    </row>
    <row r="778" spans="1:22" s="1192" customFormat="1" ht="14.4" x14ac:dyDescent="0.3">
      <c r="A778" s="1192" t="s">
        <v>193</v>
      </c>
      <c r="E778" s="1942" t="s">
        <v>4587</v>
      </c>
      <c r="F778" s="1942"/>
      <c r="G778" s="1277" t="s">
        <v>19</v>
      </c>
      <c r="H778" s="1218">
        <v>1000</v>
      </c>
      <c r="V778" s="1192">
        <v>71</v>
      </c>
    </row>
    <row r="779" spans="1:22" s="1192" customFormat="1" ht="14.4" x14ac:dyDescent="0.3">
      <c r="A779" s="1192" t="s">
        <v>193</v>
      </c>
      <c r="E779" s="1942" t="s">
        <v>4588</v>
      </c>
      <c r="F779" s="1942"/>
      <c r="G779" s="1277"/>
      <c r="H779" s="837"/>
      <c r="V779" s="1192">
        <v>64</v>
      </c>
    </row>
    <row r="780" spans="1:22" s="1192" customFormat="1" ht="14.4" x14ac:dyDescent="0.3">
      <c r="A780" s="1192" t="s">
        <v>193</v>
      </c>
      <c r="E780" s="1942" t="s">
        <v>3022</v>
      </c>
      <c r="F780" s="1942"/>
      <c r="G780" s="1277" t="s">
        <v>19</v>
      </c>
      <c r="H780" s="1218">
        <v>44.5</v>
      </c>
      <c r="V780" s="1192">
        <v>49</v>
      </c>
    </row>
    <row r="781" spans="1:22" s="1192" customFormat="1" ht="34.799999999999997" x14ac:dyDescent="0.35">
      <c r="A781" s="1192" t="s">
        <v>193</v>
      </c>
      <c r="E781" s="1260" t="s">
        <v>73</v>
      </c>
      <c r="F781" s="550"/>
      <c r="G781" s="550"/>
      <c r="H781" s="881"/>
      <c r="K781" s="1192" t="s">
        <v>4440</v>
      </c>
      <c r="V781" s="1192">
        <v>38</v>
      </c>
    </row>
    <row r="782" spans="1:22" s="1192" customFormat="1" ht="14.4" x14ac:dyDescent="0.3">
      <c r="A782" s="1192" t="s">
        <v>193</v>
      </c>
      <c r="E782" s="1743" t="s">
        <v>2391</v>
      </c>
      <c r="F782" s="1743"/>
      <c r="G782" s="1743"/>
      <c r="H782" s="1743"/>
      <c r="V782" s="1192">
        <v>280</v>
      </c>
    </row>
    <row r="783" spans="1:22" s="1192" customFormat="1" ht="14.4" x14ac:dyDescent="0.3">
      <c r="A783" s="1192" t="s">
        <v>193</v>
      </c>
      <c r="E783" s="1743" t="s">
        <v>2392</v>
      </c>
      <c r="F783" s="1743"/>
      <c r="G783" s="1743"/>
      <c r="H783" s="1743"/>
      <c r="V783" s="1192">
        <v>411</v>
      </c>
    </row>
    <row r="784" spans="1:22" s="1192" customFormat="1" ht="14.4" x14ac:dyDescent="0.3">
      <c r="A784" s="1192" t="s">
        <v>193</v>
      </c>
      <c r="E784" s="1743" t="s">
        <v>2445</v>
      </c>
      <c r="F784" s="1743"/>
      <c r="G784" s="1743"/>
      <c r="H784" s="1743"/>
      <c r="V784" s="1192">
        <v>211</v>
      </c>
    </row>
    <row r="785" spans="1:22" s="1192" customFormat="1" ht="14.4" x14ac:dyDescent="0.3">
      <c r="A785" s="1192" t="s">
        <v>193</v>
      </c>
      <c r="E785" s="1743" t="s">
        <v>6082</v>
      </c>
      <c r="F785" s="1743"/>
      <c r="G785" s="1743"/>
      <c r="H785" s="1743"/>
      <c r="V785" s="1192">
        <v>248</v>
      </c>
    </row>
    <row r="786" spans="1:22" s="1192" customFormat="1" ht="14.4" x14ac:dyDescent="0.3">
      <c r="A786" s="1192" t="s">
        <v>193</v>
      </c>
      <c r="E786" s="1743" t="s">
        <v>2595</v>
      </c>
      <c r="F786" s="1743"/>
      <c r="G786" s="1743"/>
      <c r="H786" s="1743"/>
      <c r="V786" s="1192">
        <v>142</v>
      </c>
    </row>
    <row r="787" spans="1:22" s="1192" customFormat="1" ht="14.4" x14ac:dyDescent="0.3">
      <c r="A787" s="1192" t="s">
        <v>193</v>
      </c>
      <c r="E787" s="1741" t="s">
        <v>2485</v>
      </c>
      <c r="F787" s="1741"/>
      <c r="G787" s="360" t="s">
        <v>19</v>
      </c>
      <c r="H787" s="1218">
        <v>102</v>
      </c>
      <c r="V787" s="1192">
        <v>106</v>
      </c>
    </row>
    <row r="788" spans="1:22" s="1192" customFormat="1" ht="14.4" x14ac:dyDescent="0.3">
      <c r="A788" s="1192" t="s">
        <v>193</v>
      </c>
      <c r="E788" s="1741" t="s">
        <v>3919</v>
      </c>
      <c r="F788" s="1741"/>
      <c r="G788" s="360" t="s">
        <v>19</v>
      </c>
      <c r="H788" s="1218">
        <v>40.799999999999997</v>
      </c>
      <c r="V788" s="1192">
        <v>34</v>
      </c>
    </row>
    <row r="789" spans="1:22" s="1192" customFormat="1" ht="14.4" x14ac:dyDescent="0.3">
      <c r="A789" s="1192" t="s">
        <v>193</v>
      </c>
      <c r="E789" s="1741" t="s">
        <v>3920</v>
      </c>
      <c r="F789" s="1741"/>
      <c r="G789" s="360" t="s">
        <v>2488</v>
      </c>
      <c r="H789" s="1218">
        <v>1.02</v>
      </c>
      <c r="V789" s="1192">
        <v>51</v>
      </c>
    </row>
    <row r="790" spans="1:22" s="1192" customFormat="1" ht="14.4" x14ac:dyDescent="0.3">
      <c r="A790" s="1192" t="s">
        <v>193</v>
      </c>
      <c r="E790" s="1741" t="s">
        <v>2489</v>
      </c>
      <c r="F790" s="1741"/>
      <c r="G790" s="360" t="s">
        <v>2488</v>
      </c>
      <c r="H790" s="1218">
        <v>0.61</v>
      </c>
      <c r="V790" s="1192">
        <v>75</v>
      </c>
    </row>
    <row r="791" spans="1:22" s="1192" customFormat="1" ht="14.4" x14ac:dyDescent="0.3">
      <c r="A791" s="1192" t="s">
        <v>193</v>
      </c>
      <c r="E791" s="1741" t="s">
        <v>2490</v>
      </c>
      <c r="F791" s="1741"/>
      <c r="G791" s="360" t="s">
        <v>2488</v>
      </c>
      <c r="H791" s="1218">
        <v>-0.61</v>
      </c>
      <c r="V791" s="1192">
        <v>72</v>
      </c>
    </row>
    <row r="792" spans="1:22" s="1192" customFormat="1" ht="14.4" x14ac:dyDescent="0.3">
      <c r="A792" s="1192" t="s">
        <v>193</v>
      </c>
      <c r="E792" s="1741" t="s">
        <v>2596</v>
      </c>
      <c r="F792" s="1741"/>
      <c r="G792" s="360"/>
      <c r="H792" s="837"/>
      <c r="V792" s="1192">
        <v>34</v>
      </c>
    </row>
    <row r="793" spans="1:22" s="1192" customFormat="1" ht="14.4" x14ac:dyDescent="0.3">
      <c r="A793" s="1192" t="s">
        <v>193</v>
      </c>
      <c r="E793" s="1941" t="s">
        <v>2492</v>
      </c>
      <c r="F793" s="1941"/>
      <c r="G793" s="360" t="s">
        <v>19</v>
      </c>
      <c r="H793" s="1218">
        <v>0.51</v>
      </c>
      <c r="V793" s="1192">
        <v>57</v>
      </c>
    </row>
    <row r="794" spans="1:22" s="1192" customFormat="1" ht="14.4" x14ac:dyDescent="0.3">
      <c r="A794" s="1192" t="s">
        <v>193</v>
      </c>
      <c r="E794" s="1941" t="s">
        <v>2493</v>
      </c>
      <c r="F794" s="1941"/>
      <c r="G794" s="360" t="s">
        <v>19</v>
      </c>
      <c r="H794" s="1218">
        <v>1.02</v>
      </c>
      <c r="V794" s="1192">
        <v>60</v>
      </c>
    </row>
    <row r="795" spans="1:22" s="1192" customFormat="1" ht="14.4" x14ac:dyDescent="0.3">
      <c r="A795" s="1192" t="s">
        <v>193</v>
      </c>
      <c r="E795" s="1741" t="s">
        <v>2494</v>
      </c>
      <c r="F795" s="1741"/>
      <c r="G795" s="360"/>
      <c r="H795" s="837"/>
      <c r="V795" s="1192">
        <v>91</v>
      </c>
    </row>
    <row r="796" spans="1:22" s="1192" customFormat="1" ht="14.4" x14ac:dyDescent="0.3">
      <c r="A796" s="1192" t="s">
        <v>193</v>
      </c>
      <c r="E796" s="1741" t="s">
        <v>2495</v>
      </c>
      <c r="F796" s="1741"/>
      <c r="G796" s="360"/>
      <c r="H796" s="837"/>
      <c r="V796" s="1192">
        <v>96</v>
      </c>
    </row>
    <row r="797" spans="1:22" s="1192" customFormat="1" ht="14.4" x14ac:dyDescent="0.3">
      <c r="A797" s="1192" t="s">
        <v>193</v>
      </c>
      <c r="E797" s="1741" t="s">
        <v>2597</v>
      </c>
      <c r="F797" s="1741"/>
      <c r="G797" s="360"/>
      <c r="H797" s="837"/>
      <c r="V797" s="1192">
        <v>77</v>
      </c>
    </row>
    <row r="798" spans="1:22" s="1192" customFormat="1" ht="14.4" x14ac:dyDescent="0.3">
      <c r="A798" s="1192" t="s">
        <v>193</v>
      </c>
      <c r="E798" s="1941" t="s">
        <v>2497</v>
      </c>
      <c r="F798" s="1941"/>
      <c r="G798" s="360" t="s">
        <v>19</v>
      </c>
      <c r="H798" s="837" t="s">
        <v>2498</v>
      </c>
      <c r="V798" s="1192">
        <v>18</v>
      </c>
    </row>
    <row r="799" spans="1:22" s="1192" customFormat="1" ht="14.4" x14ac:dyDescent="0.3">
      <c r="A799" s="1192" t="s">
        <v>193</v>
      </c>
      <c r="E799" s="1941" t="s">
        <v>2499</v>
      </c>
      <c r="F799" s="1941"/>
      <c r="G799" s="360" t="s">
        <v>19</v>
      </c>
      <c r="H799" s="1218">
        <v>4.08</v>
      </c>
      <c r="V799" s="1192">
        <v>69</v>
      </c>
    </row>
    <row r="800" spans="1:22" s="1192" customFormat="1" ht="14.4" x14ac:dyDescent="0.3">
      <c r="A800" s="1192" t="s">
        <v>193</v>
      </c>
      <c r="E800" s="2100" t="s">
        <v>4608</v>
      </c>
      <c r="F800" s="2100"/>
      <c r="G800" s="452" t="s">
        <v>19</v>
      </c>
      <c r="H800" s="1218">
        <v>2.04</v>
      </c>
      <c r="V800" s="1192">
        <v>199</v>
      </c>
    </row>
    <row r="801" spans="1:22" s="1192" customFormat="1" x14ac:dyDescent="0.3">
      <c r="A801" s="1192" t="s">
        <v>193</v>
      </c>
      <c r="E801" s="1264" t="s">
        <v>143</v>
      </c>
      <c r="F801" s="823"/>
      <c r="G801" s="823"/>
      <c r="H801" s="878"/>
      <c r="K801" s="1192" t="s">
        <v>4441</v>
      </c>
      <c r="V801" s="1192">
        <v>12</v>
      </c>
    </row>
    <row r="802" spans="1:22" s="1192" customFormat="1" ht="14.4" x14ac:dyDescent="0.3">
      <c r="A802" s="1192" t="s">
        <v>193</v>
      </c>
      <c r="E802" s="1741" t="s">
        <v>2501</v>
      </c>
      <c r="F802" s="1741"/>
      <c r="G802" s="1741"/>
      <c r="H802" s="1741"/>
      <c r="V802" s="1192">
        <v>203</v>
      </c>
    </row>
    <row r="803" spans="1:22" s="1192" customFormat="1" ht="14.4" x14ac:dyDescent="0.3">
      <c r="A803" s="1192" t="s">
        <v>193</v>
      </c>
      <c r="E803" s="1740" t="s">
        <v>2599</v>
      </c>
      <c r="F803" s="1740"/>
      <c r="G803" s="1277"/>
      <c r="H803" s="837">
        <v>1.0712999999999999</v>
      </c>
      <c r="V803" s="1192">
        <v>57</v>
      </c>
    </row>
    <row r="804" spans="1:22" s="1192" customFormat="1" ht="14.4" x14ac:dyDescent="0.3">
      <c r="A804" s="1192" t="s">
        <v>193</v>
      </c>
      <c r="E804" s="1741" t="s">
        <v>2601</v>
      </c>
      <c r="F804" s="1741"/>
      <c r="G804" s="1277"/>
      <c r="H804" s="837">
        <v>1.0607</v>
      </c>
      <c r="J804" s="1192" t="s">
        <v>4442</v>
      </c>
      <c r="V804" s="1192">
        <v>55</v>
      </c>
    </row>
    <row r="805" spans="1:22" s="1192" customFormat="1" ht="22.8" x14ac:dyDescent="0.3">
      <c r="A805" s="1192" t="s">
        <v>158</v>
      </c>
      <c r="C805" s="1192" t="s">
        <v>2378</v>
      </c>
      <c r="E805" s="2074" t="s">
        <v>158</v>
      </c>
      <c r="F805" s="2074"/>
      <c r="G805" s="2074"/>
      <c r="H805" s="2074"/>
      <c r="I805" s="1192" t="s">
        <v>603</v>
      </c>
      <c r="J805" s="1192" t="s">
        <v>2379</v>
      </c>
      <c r="K805" s="1192" t="s">
        <v>158</v>
      </c>
      <c r="M805" s="1192">
        <v>5</v>
      </c>
      <c r="V805" s="1192">
        <v>17</v>
      </c>
    </row>
    <row r="806" spans="1:22" s="1192" customFormat="1" ht="17.399999999999999" x14ac:dyDescent="0.3">
      <c r="A806" s="1192" t="s">
        <v>158</v>
      </c>
      <c r="C806" s="1192" t="s">
        <v>2380</v>
      </c>
      <c r="E806" s="2076" t="s">
        <v>2381</v>
      </c>
      <c r="F806" s="2076"/>
      <c r="G806" s="2076"/>
      <c r="H806" s="2076"/>
      <c r="V806" s="1192">
        <v>27</v>
      </c>
    </row>
    <row r="807" spans="1:22" s="1192" customFormat="1" ht="15.6" x14ac:dyDescent="0.3">
      <c r="A807" s="1192" t="s">
        <v>158</v>
      </c>
      <c r="C807" s="1192" t="s">
        <v>2382</v>
      </c>
      <c r="E807" s="2077" t="s">
        <v>5937</v>
      </c>
      <c r="F807" s="2077"/>
      <c r="G807" s="2077"/>
      <c r="H807" s="2077"/>
      <c r="S807" s="1192">
        <v>43831</v>
      </c>
      <c r="V807" s="1192">
        <v>49</v>
      </c>
    </row>
    <row r="808" spans="1:22" s="1192" customFormat="1" ht="14.4" x14ac:dyDescent="0.3">
      <c r="A808" s="1192" t="s">
        <v>158</v>
      </c>
      <c r="C808" s="1192" t="s">
        <v>2383</v>
      </c>
      <c r="E808" s="2078" t="s">
        <v>2384</v>
      </c>
      <c r="F808" s="2078"/>
      <c r="G808" s="2078"/>
      <c r="H808" s="2078"/>
      <c r="V808" s="1192">
        <v>52</v>
      </c>
    </row>
    <row r="809" spans="1:22" s="1192" customFormat="1" ht="14.4" x14ac:dyDescent="0.3">
      <c r="A809" s="1192" t="s">
        <v>158</v>
      </c>
      <c r="E809" s="2078" t="s">
        <v>2385</v>
      </c>
      <c r="F809" s="2078"/>
      <c r="G809" s="2078"/>
      <c r="H809" s="2078"/>
      <c r="V809" s="1192">
        <v>53</v>
      </c>
    </row>
    <row r="810" spans="1:22" s="1192" customFormat="1" ht="14.4" x14ac:dyDescent="0.3">
      <c r="A810" s="1192" t="s">
        <v>158</v>
      </c>
      <c r="E810" s="2065" t="s">
        <v>6083</v>
      </c>
      <c r="F810" s="2065"/>
      <c r="G810" s="2065"/>
      <c r="H810" s="2065"/>
      <c r="K810" s="1192" t="s">
        <v>6083</v>
      </c>
      <c r="V810" s="1192">
        <v>12</v>
      </c>
    </row>
    <row r="811" spans="1:22" s="1192" customFormat="1" ht="14.4" x14ac:dyDescent="0.3">
      <c r="A811" s="1192" t="s">
        <v>158</v>
      </c>
      <c r="E811" s="2051" t="s">
        <v>2322</v>
      </c>
      <c r="F811" s="2052"/>
      <c r="G811" s="2052"/>
      <c r="H811" s="2052"/>
      <c r="K811" s="1192" t="s">
        <v>2386</v>
      </c>
      <c r="V811" s="1192">
        <v>37</v>
      </c>
    </row>
    <row r="812" spans="1:22" s="1192" customFormat="1" ht="14.4" x14ac:dyDescent="0.3">
      <c r="A812" s="1192" t="s">
        <v>158</v>
      </c>
      <c r="E812" s="2053" t="s">
        <v>2387</v>
      </c>
      <c r="F812" s="2053"/>
      <c r="G812" s="2053"/>
      <c r="H812" s="2053"/>
      <c r="K812" s="1192" t="s">
        <v>2386</v>
      </c>
      <c r="V812" s="1192">
        <v>592</v>
      </c>
    </row>
    <row r="813" spans="1:22" s="1192" customFormat="1" ht="14.4" x14ac:dyDescent="0.3">
      <c r="A813" s="1192" t="s">
        <v>158</v>
      </c>
      <c r="E813" s="2053" t="s">
        <v>2388</v>
      </c>
      <c r="F813" s="1743"/>
      <c r="G813" s="1743"/>
      <c r="H813" s="1743"/>
      <c r="K813" s="1192" t="s">
        <v>2386</v>
      </c>
      <c r="V813" s="1192">
        <v>310</v>
      </c>
    </row>
    <row r="814" spans="1:22" s="1192" customFormat="1" ht="14.4" x14ac:dyDescent="0.3">
      <c r="A814" s="1192" t="s">
        <v>158</v>
      </c>
      <c r="E814" s="2111" t="s">
        <v>2389</v>
      </c>
      <c r="F814" s="1988"/>
      <c r="G814" s="1988"/>
      <c r="H814" s="1988"/>
      <c r="K814" s="1192" t="s">
        <v>2390</v>
      </c>
      <c r="V814" s="1192">
        <v>11</v>
      </c>
    </row>
    <row r="815" spans="1:22" s="1192" customFormat="1" ht="14.4" x14ac:dyDescent="0.3">
      <c r="A815" s="1192" t="s">
        <v>158</v>
      </c>
      <c r="E815" s="2053" t="s">
        <v>2391</v>
      </c>
      <c r="F815" s="2053"/>
      <c r="G815" s="2053"/>
      <c r="H815" s="2053"/>
      <c r="K815" s="1192" t="s">
        <v>2386</v>
      </c>
      <c r="V815" s="1192">
        <v>280</v>
      </c>
    </row>
    <row r="816" spans="1:22" s="1192" customFormat="1" ht="14.4" x14ac:dyDescent="0.3">
      <c r="A816" s="1192" t="s">
        <v>158</v>
      </c>
      <c r="E816" s="2053" t="s">
        <v>2392</v>
      </c>
      <c r="F816" s="2053"/>
      <c r="G816" s="2053"/>
      <c r="H816" s="2053"/>
      <c r="K816" s="1192" t="s">
        <v>2386</v>
      </c>
      <c r="V816" s="1192">
        <v>411</v>
      </c>
    </row>
    <row r="817" spans="1:22" s="1192" customFormat="1" ht="14.4" x14ac:dyDescent="0.3">
      <c r="A817" s="1192" t="s">
        <v>158</v>
      </c>
      <c r="E817" s="2053" t="s">
        <v>2393</v>
      </c>
      <c r="F817" s="2053"/>
      <c r="G817" s="2053"/>
      <c r="H817" s="2053"/>
      <c r="K817" s="1192" t="s">
        <v>2386</v>
      </c>
      <c r="V817" s="1192">
        <v>387</v>
      </c>
    </row>
    <row r="818" spans="1:22" s="1192" customFormat="1" ht="14.4" x14ac:dyDescent="0.3">
      <c r="A818" s="1192" t="s">
        <v>158</v>
      </c>
      <c r="E818" s="2053" t="s">
        <v>2986</v>
      </c>
      <c r="F818" s="2053"/>
      <c r="G818" s="2053"/>
      <c r="H818" s="2053"/>
      <c r="K818" s="1192" t="s">
        <v>2386</v>
      </c>
      <c r="V818" s="1192">
        <v>246</v>
      </c>
    </row>
    <row r="819" spans="1:22" s="1192" customFormat="1" ht="14.4" x14ac:dyDescent="0.3">
      <c r="A819" s="1192" t="s">
        <v>158</v>
      </c>
      <c r="E819" s="2108" t="s">
        <v>2394</v>
      </c>
      <c r="F819" s="2109"/>
      <c r="G819" s="2109"/>
      <c r="H819" s="2109"/>
      <c r="K819" s="1192" t="s">
        <v>2395</v>
      </c>
      <c r="V819" s="1192">
        <v>46</v>
      </c>
    </row>
    <row r="820" spans="1:22" s="1192" customFormat="1" ht="14.4" x14ac:dyDescent="0.3">
      <c r="A820" s="1192" t="s">
        <v>158</v>
      </c>
      <c r="E820" s="2101" t="s">
        <v>2396</v>
      </c>
      <c r="F820" s="2101"/>
      <c r="G820" s="1282" t="s">
        <v>19</v>
      </c>
      <c r="H820" s="1218">
        <v>46.72</v>
      </c>
      <c r="K820" s="1192" t="s">
        <v>2386</v>
      </c>
      <c r="L820" s="1192" t="s">
        <v>430</v>
      </c>
      <c r="P820" s="1192" t="s">
        <v>2397</v>
      </c>
      <c r="V820" s="1192">
        <v>74</v>
      </c>
    </row>
    <row r="821" spans="1:22" s="1192" customFormat="1" ht="14.4" x14ac:dyDescent="0.3">
      <c r="A821" s="1192" t="s">
        <v>158</v>
      </c>
      <c r="E821" s="2101" t="s">
        <v>2398</v>
      </c>
      <c r="F821" s="2101"/>
      <c r="G821" s="1282" t="s">
        <v>19</v>
      </c>
      <c r="H821" s="1293">
        <v>25.94</v>
      </c>
      <c r="K821" s="1192" t="s">
        <v>2386</v>
      </c>
      <c r="L821" s="1192" t="s">
        <v>430</v>
      </c>
      <c r="P821" s="1192" t="s">
        <v>2397</v>
      </c>
      <c r="V821" s="1192">
        <v>75</v>
      </c>
    </row>
    <row r="822" spans="1:22" s="1192" customFormat="1" ht="14.4" x14ac:dyDescent="0.3">
      <c r="A822" s="1192" t="s">
        <v>158</v>
      </c>
      <c r="E822" s="2101" t="s">
        <v>4012</v>
      </c>
      <c r="F822" s="2101"/>
      <c r="G822" s="1282" t="s">
        <v>19</v>
      </c>
      <c r="H822" s="565">
        <v>0.56999999999999995</v>
      </c>
      <c r="K822" s="1192" t="s">
        <v>2386</v>
      </c>
      <c r="L822" s="1192" t="s">
        <v>431</v>
      </c>
      <c r="P822" s="1192" t="s">
        <v>2399</v>
      </c>
      <c r="T822" s="1192">
        <v>44926</v>
      </c>
      <c r="V822" s="1192">
        <v>79</v>
      </c>
    </row>
    <row r="823" spans="1:22" s="1192" customFormat="1" ht="14.4" x14ac:dyDescent="0.3">
      <c r="A823" s="1192" t="s">
        <v>158</v>
      </c>
      <c r="E823" s="2101" t="s">
        <v>6084</v>
      </c>
      <c r="F823" s="1989"/>
      <c r="G823" s="1282" t="s">
        <v>19</v>
      </c>
      <c r="H823" s="565">
        <v>-1.25</v>
      </c>
      <c r="K823" s="1192" t="s">
        <v>2386</v>
      </c>
      <c r="L823" s="1192" t="s">
        <v>430</v>
      </c>
      <c r="P823" s="1192" t="s">
        <v>2403</v>
      </c>
      <c r="T823" s="1192">
        <v>44196</v>
      </c>
      <c r="V823" s="1192">
        <v>107</v>
      </c>
    </row>
    <row r="824" spans="1:22" s="1192" customFormat="1" ht="14.4" x14ac:dyDescent="0.3">
      <c r="A824" s="1192" t="s">
        <v>158</v>
      </c>
      <c r="E824" s="2101" t="s">
        <v>6085</v>
      </c>
      <c r="F824" s="1989"/>
      <c r="G824" s="1282" t="s">
        <v>19</v>
      </c>
      <c r="H824" s="1218">
        <v>11.16</v>
      </c>
      <c r="K824" s="1192" t="s">
        <v>2386</v>
      </c>
      <c r="L824" s="1192" t="s">
        <v>431</v>
      </c>
      <c r="P824" s="1192" t="s">
        <v>6086</v>
      </c>
      <c r="T824" s="1192">
        <v>45657</v>
      </c>
      <c r="V824" s="1192">
        <v>176</v>
      </c>
    </row>
    <row r="825" spans="1:22" s="1192" customFormat="1" ht="14.4" x14ac:dyDescent="0.3">
      <c r="A825" s="1192" t="s">
        <v>158</v>
      </c>
      <c r="E825" s="2101" t="s">
        <v>2400</v>
      </c>
      <c r="F825" s="2101"/>
      <c r="G825" s="1282" t="s">
        <v>20</v>
      </c>
      <c r="H825" s="1294">
        <v>1.2800000000000001E-2</v>
      </c>
      <c r="K825" s="1192" t="s">
        <v>2386</v>
      </c>
      <c r="L825" s="1192" t="s">
        <v>430</v>
      </c>
      <c r="P825" s="1192" t="s">
        <v>2401</v>
      </c>
      <c r="V825" s="1192">
        <v>88</v>
      </c>
    </row>
    <row r="826" spans="1:22" s="1192" customFormat="1" ht="14.4" x14ac:dyDescent="0.3">
      <c r="A826" s="1192" t="s">
        <v>158</v>
      </c>
      <c r="E826" s="2101" t="s">
        <v>2402</v>
      </c>
      <c r="F826" s="2101"/>
      <c r="G826" s="1282" t="s">
        <v>20</v>
      </c>
      <c r="H826" s="885">
        <v>3.6499999999999998E-2</v>
      </c>
      <c r="K826" s="1192" t="s">
        <v>2386</v>
      </c>
      <c r="L826" s="1192" t="s">
        <v>430</v>
      </c>
      <c r="P826" s="1192" t="s">
        <v>2401</v>
      </c>
      <c r="V826" s="1192">
        <v>89</v>
      </c>
    </row>
    <row r="827" spans="1:22" s="1192" customFormat="1" ht="14.4" x14ac:dyDescent="0.3">
      <c r="A827" s="1192" t="s">
        <v>158</v>
      </c>
      <c r="E827" s="2101" t="s">
        <v>6087</v>
      </c>
      <c r="F827" s="1989"/>
      <c r="G827" s="1282" t="s">
        <v>20</v>
      </c>
      <c r="H827" s="1219">
        <v>1.1999999999999999E-3</v>
      </c>
      <c r="K827" s="1192" t="s">
        <v>2386</v>
      </c>
      <c r="L827" s="1192" t="s">
        <v>431</v>
      </c>
      <c r="P827" s="1192" t="s">
        <v>2403</v>
      </c>
      <c r="T827" s="1192">
        <v>44196</v>
      </c>
      <c r="V827" s="1192">
        <v>99</v>
      </c>
    </row>
    <row r="828" spans="1:22" s="1192" customFormat="1" ht="14.4" x14ac:dyDescent="0.3">
      <c r="A828" s="1192" t="s">
        <v>158</v>
      </c>
      <c r="E828" s="2101" t="s">
        <v>6088</v>
      </c>
      <c r="F828" s="2101"/>
      <c r="G828" s="1282" t="s">
        <v>20</v>
      </c>
      <c r="H828" s="1219">
        <v>5.9999999999999995E-4</v>
      </c>
      <c r="K828" s="1192" t="s">
        <v>2386</v>
      </c>
      <c r="L828" s="1192" t="s">
        <v>430</v>
      </c>
      <c r="P828" s="1192" t="s">
        <v>6089</v>
      </c>
      <c r="T828" s="1192">
        <v>45291</v>
      </c>
      <c r="V828" s="1192">
        <v>139</v>
      </c>
    </row>
    <row r="829" spans="1:22" s="1192" customFormat="1" ht="14.4" x14ac:dyDescent="0.3">
      <c r="A829" s="1192" t="s">
        <v>158</v>
      </c>
      <c r="E829" s="2101" t="s">
        <v>6090</v>
      </c>
      <c r="F829" s="1989"/>
      <c r="G829" s="1282" t="s">
        <v>20</v>
      </c>
      <c r="H829" s="1219">
        <v>-2.7000000000000001E-3</v>
      </c>
      <c r="K829" s="1192" t="s">
        <v>2386</v>
      </c>
      <c r="L829" s="1192" t="s">
        <v>431</v>
      </c>
      <c r="P829" s="1192" t="s">
        <v>2404</v>
      </c>
      <c r="T829" s="1192">
        <v>44196</v>
      </c>
      <c r="V829" s="1192">
        <v>142</v>
      </c>
    </row>
    <row r="830" spans="1:22" s="1192" customFormat="1" ht="14.4" x14ac:dyDescent="0.3">
      <c r="A830" s="1192" t="s">
        <v>158</v>
      </c>
      <c r="E830" s="2101" t="s">
        <v>213</v>
      </c>
      <c r="F830" s="2101"/>
      <c r="G830" s="1282" t="s">
        <v>20</v>
      </c>
      <c r="H830" s="1219">
        <v>7.1000000000000004E-3</v>
      </c>
      <c r="K830" s="1192" t="s">
        <v>2386</v>
      </c>
      <c r="L830" s="1192" t="s">
        <v>432</v>
      </c>
      <c r="P830" s="1192" t="s">
        <v>3921</v>
      </c>
      <c r="V830" s="1192">
        <v>47</v>
      </c>
    </row>
    <row r="831" spans="1:22" s="1192" customFormat="1" ht="14.4" x14ac:dyDescent="0.3">
      <c r="A831" s="1192" t="s">
        <v>158</v>
      </c>
      <c r="E831" s="2101" t="s">
        <v>209</v>
      </c>
      <c r="F831" s="2101"/>
      <c r="G831" s="1282" t="s">
        <v>20</v>
      </c>
      <c r="H831" s="1219">
        <v>6.0000000000000001E-3</v>
      </c>
      <c r="K831" s="1192" t="s">
        <v>2386</v>
      </c>
      <c r="L831" s="1192" t="s">
        <v>432</v>
      </c>
      <c r="P831" s="1192" t="s">
        <v>3922</v>
      </c>
      <c r="V831" s="1192">
        <v>74</v>
      </c>
    </row>
    <row r="832" spans="1:22" s="1192" customFormat="1" ht="14.4" x14ac:dyDescent="0.3">
      <c r="A832" s="1192" t="s">
        <v>158</v>
      </c>
      <c r="E832" s="2110" t="s">
        <v>2405</v>
      </c>
      <c r="F832" s="1740"/>
      <c r="G832" s="1273"/>
      <c r="H832" s="867"/>
      <c r="K832" s="1192" t="s">
        <v>2406</v>
      </c>
      <c r="V832" s="1192">
        <v>48</v>
      </c>
    </row>
    <row r="833" spans="1:22" s="1192" customFormat="1" ht="14.4" x14ac:dyDescent="0.3">
      <c r="A833" s="1192" t="s">
        <v>158</v>
      </c>
      <c r="E833" s="2101" t="s">
        <v>2033</v>
      </c>
      <c r="F833" s="2101"/>
      <c r="G833" s="578" t="s">
        <v>20</v>
      </c>
      <c r="H833" s="564">
        <v>3.0000000000000001E-3</v>
      </c>
      <c r="K833" s="1192" t="s">
        <v>2386</v>
      </c>
      <c r="L833" s="1192" t="s">
        <v>2374</v>
      </c>
      <c r="P833" s="1192" t="s">
        <v>2407</v>
      </c>
      <c r="V833" s="1192">
        <v>55</v>
      </c>
    </row>
    <row r="834" spans="1:22" s="1192" customFormat="1" ht="14.4" x14ac:dyDescent="0.3">
      <c r="A834" s="1192" t="s">
        <v>158</v>
      </c>
      <c r="E834" s="2101" t="s">
        <v>2034</v>
      </c>
      <c r="F834" s="2101"/>
      <c r="G834" s="578" t="s">
        <v>20</v>
      </c>
      <c r="H834" s="564">
        <v>4.0000000000000002E-4</v>
      </c>
      <c r="K834" s="1192" t="s">
        <v>2386</v>
      </c>
      <c r="L834" s="1192" t="s">
        <v>2374</v>
      </c>
      <c r="P834" s="1192" t="s">
        <v>2407</v>
      </c>
      <c r="V834" s="1192">
        <v>65</v>
      </c>
    </row>
    <row r="835" spans="1:22" s="1192" customFormat="1" ht="14.4" x14ac:dyDescent="0.3">
      <c r="A835" s="1192" t="s">
        <v>158</v>
      </c>
      <c r="E835" s="2101" t="s">
        <v>428</v>
      </c>
      <c r="F835" s="2101"/>
      <c r="G835" s="578" t="s">
        <v>20</v>
      </c>
      <c r="H835" s="564">
        <v>5.0000000000000001E-4</v>
      </c>
      <c r="K835" s="1192" t="s">
        <v>2386</v>
      </c>
      <c r="L835" s="1192" t="s">
        <v>2374</v>
      </c>
      <c r="P835" s="1192" t="s">
        <v>2408</v>
      </c>
      <c r="V835" s="1192">
        <v>57</v>
      </c>
    </row>
    <row r="836" spans="1:22" s="1192" customFormat="1" ht="14.4" x14ac:dyDescent="0.3">
      <c r="A836" s="1192" t="s">
        <v>158</v>
      </c>
      <c r="E836" s="2101" t="s">
        <v>28</v>
      </c>
      <c r="F836" s="2101"/>
      <c r="G836" s="578" t="s">
        <v>19</v>
      </c>
      <c r="H836" s="579">
        <v>0.25</v>
      </c>
      <c r="K836" s="1192" t="s">
        <v>2386</v>
      </c>
      <c r="L836" s="1192" t="s">
        <v>2374</v>
      </c>
      <c r="P836" s="1192" t="s">
        <v>2409</v>
      </c>
      <c r="V836" s="1192">
        <v>63</v>
      </c>
    </row>
    <row r="837" spans="1:22" s="1192" customFormat="1" ht="17.399999999999999" x14ac:dyDescent="0.3">
      <c r="A837" s="1192" t="s">
        <v>158</v>
      </c>
      <c r="E837" s="2051" t="s">
        <v>2323</v>
      </c>
      <c r="F837" s="2051"/>
      <c r="G837" s="2051"/>
      <c r="H837" s="2051"/>
      <c r="K837" s="1192" t="s">
        <v>2410</v>
      </c>
      <c r="V837" s="1192">
        <v>37</v>
      </c>
    </row>
    <row r="838" spans="1:22" s="1192" customFormat="1" ht="14.4" x14ac:dyDescent="0.3">
      <c r="A838" s="1192" t="s">
        <v>158</v>
      </c>
      <c r="E838" s="2053" t="s">
        <v>2411</v>
      </c>
      <c r="F838" s="2053"/>
      <c r="G838" s="2053"/>
      <c r="H838" s="2056"/>
      <c r="K838" s="1192" t="s">
        <v>2410</v>
      </c>
      <c r="V838" s="1192">
        <v>353</v>
      </c>
    </row>
    <row r="839" spans="1:22" s="1192" customFormat="1" ht="14.4" x14ac:dyDescent="0.3">
      <c r="A839" s="1192" t="s">
        <v>158</v>
      </c>
      <c r="E839" s="2111" t="s">
        <v>2389</v>
      </c>
      <c r="F839" s="1988"/>
      <c r="G839" s="1988"/>
      <c r="H839" s="1988"/>
      <c r="K839" s="1192" t="s">
        <v>2412</v>
      </c>
      <c r="V839" s="1192">
        <v>11</v>
      </c>
    </row>
    <row r="840" spans="1:22" s="1192" customFormat="1" ht="14.4" x14ac:dyDescent="0.3">
      <c r="A840" s="1192" t="s">
        <v>158</v>
      </c>
      <c r="E840" s="2053" t="s">
        <v>2391</v>
      </c>
      <c r="F840" s="2053"/>
      <c r="G840" s="2053"/>
      <c r="H840" s="2053"/>
      <c r="K840" s="1192" t="s">
        <v>2410</v>
      </c>
      <c r="V840" s="1192">
        <v>280</v>
      </c>
    </row>
    <row r="841" spans="1:22" s="1192" customFormat="1" ht="14.4" x14ac:dyDescent="0.3">
      <c r="A841" s="1192" t="s">
        <v>158</v>
      </c>
      <c r="E841" s="2053" t="s">
        <v>2392</v>
      </c>
      <c r="F841" s="2053"/>
      <c r="G841" s="2053"/>
      <c r="H841" s="2053"/>
      <c r="K841" s="1192" t="s">
        <v>2410</v>
      </c>
      <c r="V841" s="1192">
        <v>411</v>
      </c>
    </row>
    <row r="842" spans="1:22" s="1192" customFormat="1" ht="14.4" x14ac:dyDescent="0.3">
      <c r="A842" s="1192" t="s">
        <v>158</v>
      </c>
      <c r="E842" s="2053" t="s">
        <v>2393</v>
      </c>
      <c r="F842" s="2053"/>
      <c r="G842" s="2053"/>
      <c r="H842" s="2053"/>
      <c r="K842" s="1192" t="s">
        <v>2410</v>
      </c>
      <c r="V842" s="1192">
        <v>387</v>
      </c>
    </row>
    <row r="843" spans="1:22" s="1192" customFormat="1" ht="14.4" x14ac:dyDescent="0.3">
      <c r="A843" s="1192" t="s">
        <v>158</v>
      </c>
      <c r="E843" s="2053" t="s">
        <v>4503</v>
      </c>
      <c r="F843" s="2053"/>
      <c r="G843" s="2053"/>
      <c r="H843" s="2053"/>
      <c r="K843" s="1192" t="s">
        <v>2410</v>
      </c>
      <c r="V843" s="1192">
        <v>677</v>
      </c>
    </row>
    <row r="844" spans="1:22" s="1192" customFormat="1" ht="14.4" x14ac:dyDescent="0.3">
      <c r="A844" s="1192" t="s">
        <v>158</v>
      </c>
      <c r="E844" s="2053" t="s">
        <v>4644</v>
      </c>
      <c r="F844" s="2053"/>
      <c r="G844" s="2053"/>
      <c r="H844" s="2053"/>
      <c r="K844" s="1192" t="s">
        <v>2410</v>
      </c>
      <c r="V844" s="1192">
        <v>693</v>
      </c>
    </row>
    <row r="845" spans="1:22" s="1192" customFormat="1" ht="14.4" x14ac:dyDescent="0.3">
      <c r="A845" s="1192" t="s">
        <v>158</v>
      </c>
      <c r="E845" s="2053" t="s">
        <v>2986</v>
      </c>
      <c r="F845" s="2053"/>
      <c r="G845" s="2053"/>
      <c r="H845" s="2053"/>
      <c r="K845" s="1192" t="s">
        <v>2410</v>
      </c>
      <c r="V845" s="1192">
        <v>246</v>
      </c>
    </row>
    <row r="846" spans="1:22" s="1192" customFormat="1" ht="14.4" x14ac:dyDescent="0.3">
      <c r="A846" s="1192" t="s">
        <v>158</v>
      </c>
      <c r="E846" s="2108" t="s">
        <v>2394</v>
      </c>
      <c r="F846" s="2109"/>
      <c r="G846" s="2109"/>
      <c r="H846" s="2109"/>
      <c r="K846" s="1192" t="s">
        <v>2413</v>
      </c>
      <c r="V846" s="1192">
        <v>46</v>
      </c>
    </row>
    <row r="847" spans="1:22" s="1192" customFormat="1" ht="14.4" x14ac:dyDescent="0.3">
      <c r="A847" s="1192" t="s">
        <v>158</v>
      </c>
      <c r="E847" s="1740" t="s">
        <v>7</v>
      </c>
      <c r="F847" s="1740"/>
      <c r="G847" s="799" t="s">
        <v>19</v>
      </c>
      <c r="H847" s="1218">
        <v>667.66</v>
      </c>
      <c r="K847" s="1192" t="s">
        <v>2410</v>
      </c>
      <c r="L847" s="1192" t="s">
        <v>430</v>
      </c>
      <c r="P847" s="1192" t="s">
        <v>2414</v>
      </c>
      <c r="V847" s="1192">
        <v>14</v>
      </c>
    </row>
    <row r="848" spans="1:22" s="1192" customFormat="1" ht="42" x14ac:dyDescent="0.3">
      <c r="A848" s="1192" t="s">
        <v>158</v>
      </c>
      <c r="E848" s="1261" t="s">
        <v>6085</v>
      </c>
      <c r="F848" s="1261"/>
      <c r="G848" s="1282" t="s">
        <v>19</v>
      </c>
      <c r="H848" s="1293">
        <v>11.16</v>
      </c>
      <c r="K848" s="1192" t="s">
        <v>2410</v>
      </c>
      <c r="L848" s="1192" t="s">
        <v>431</v>
      </c>
      <c r="P848" s="1192" t="s">
        <v>6091</v>
      </c>
      <c r="T848" s="1192">
        <v>45657</v>
      </c>
      <c r="V848" s="1192">
        <v>176</v>
      </c>
    </row>
    <row r="849" spans="1:22" s="1192" customFormat="1" ht="14.4" x14ac:dyDescent="0.3">
      <c r="A849" s="1192" t="s">
        <v>158</v>
      </c>
      <c r="E849" s="1740" t="s">
        <v>80</v>
      </c>
      <c r="F849" s="1740"/>
      <c r="G849" s="799" t="s">
        <v>29</v>
      </c>
      <c r="H849" s="1219">
        <v>3.4594</v>
      </c>
      <c r="K849" s="1192" t="s">
        <v>2410</v>
      </c>
      <c r="L849" s="1192" t="s">
        <v>430</v>
      </c>
      <c r="P849" s="1192" t="s">
        <v>2415</v>
      </c>
      <c r="V849" s="1192">
        <v>28</v>
      </c>
    </row>
    <row r="850" spans="1:22" s="1192" customFormat="1" ht="14.4" x14ac:dyDescent="0.3">
      <c r="A850" s="1192" t="s">
        <v>158</v>
      </c>
      <c r="E850" s="2101" t="s">
        <v>6087</v>
      </c>
      <c r="F850" s="1989"/>
      <c r="G850" s="799" t="s">
        <v>29</v>
      </c>
      <c r="H850" s="1219">
        <v>0.38440000000000002</v>
      </c>
      <c r="K850" s="1192" t="s">
        <v>2410</v>
      </c>
      <c r="L850" s="1192" t="s">
        <v>431</v>
      </c>
      <c r="P850" s="1192" t="s">
        <v>2416</v>
      </c>
      <c r="T850" s="1192">
        <v>44196</v>
      </c>
      <c r="V850" s="1192">
        <v>99</v>
      </c>
    </row>
    <row r="851" spans="1:22" s="1192" customFormat="1" ht="14.4" x14ac:dyDescent="0.3">
      <c r="A851" s="1192" t="s">
        <v>158</v>
      </c>
      <c r="E851" s="2101" t="s">
        <v>6084</v>
      </c>
      <c r="F851" s="1989"/>
      <c r="G851" s="799" t="s">
        <v>29</v>
      </c>
      <c r="H851" s="1219">
        <v>-0.52359999999999995</v>
      </c>
      <c r="K851" s="1192" t="s">
        <v>2410</v>
      </c>
      <c r="L851" s="1192" t="s">
        <v>430</v>
      </c>
      <c r="P851" s="1192" t="s">
        <v>2416</v>
      </c>
      <c r="T851" s="1192">
        <v>44196</v>
      </c>
      <c r="V851" s="1192">
        <v>107</v>
      </c>
    </row>
    <row r="852" spans="1:22" s="1192" customFormat="1" ht="14.4" x14ac:dyDescent="0.3">
      <c r="A852" s="1192" t="s">
        <v>158</v>
      </c>
      <c r="E852" s="2101" t="s">
        <v>6088</v>
      </c>
      <c r="F852" s="2101"/>
      <c r="G852" s="799" t="s">
        <v>29</v>
      </c>
      <c r="H852" s="1219">
        <v>-3.5000000000000001E-3</v>
      </c>
      <c r="K852" s="1192" t="s">
        <v>2410</v>
      </c>
      <c r="L852" s="1192" t="s">
        <v>430</v>
      </c>
      <c r="P852" s="1192" t="s">
        <v>6092</v>
      </c>
      <c r="T852" s="1192">
        <v>45291</v>
      </c>
      <c r="V852" s="1192">
        <v>139</v>
      </c>
    </row>
    <row r="853" spans="1:22" s="1192" customFormat="1" ht="14.4" x14ac:dyDescent="0.3">
      <c r="A853" s="1192" t="s">
        <v>158</v>
      </c>
      <c r="E853" s="2101" t="s">
        <v>6090</v>
      </c>
      <c r="F853" s="1989"/>
      <c r="G853" s="799" t="s">
        <v>20</v>
      </c>
      <c r="H853" s="1219">
        <v>-2.7000000000000001E-3</v>
      </c>
      <c r="K853" s="1192" t="s">
        <v>2410</v>
      </c>
      <c r="L853" s="1192" t="s">
        <v>431</v>
      </c>
      <c r="P853" s="1192" t="s">
        <v>2417</v>
      </c>
      <c r="T853" s="1192">
        <v>44196</v>
      </c>
      <c r="V853" s="1192">
        <v>142</v>
      </c>
    </row>
    <row r="854" spans="1:22" s="1192" customFormat="1" ht="14.4" x14ac:dyDescent="0.3">
      <c r="A854" s="1192" t="s">
        <v>158</v>
      </c>
      <c r="E854" s="1740" t="s">
        <v>213</v>
      </c>
      <c r="F854" s="1740"/>
      <c r="G854" s="799" t="s">
        <v>29</v>
      </c>
      <c r="H854" s="1219">
        <v>2.6970000000000001</v>
      </c>
      <c r="K854" s="1192" t="s">
        <v>2410</v>
      </c>
      <c r="L854" s="1192" t="s">
        <v>432</v>
      </c>
      <c r="P854" s="1192" t="s">
        <v>3923</v>
      </c>
      <c r="V854" s="1192">
        <v>47</v>
      </c>
    </row>
    <row r="855" spans="1:22" s="1192" customFormat="1" ht="14.4" x14ac:dyDescent="0.3">
      <c r="A855" s="1192" t="s">
        <v>158</v>
      </c>
      <c r="E855" s="1740" t="s">
        <v>209</v>
      </c>
      <c r="F855" s="1740"/>
      <c r="G855" s="799" t="s">
        <v>29</v>
      </c>
      <c r="H855" s="1219">
        <v>2.2827999999999999</v>
      </c>
      <c r="K855" s="1192" t="s">
        <v>2410</v>
      </c>
      <c r="L855" s="1192" t="s">
        <v>432</v>
      </c>
      <c r="P855" s="1192" t="s">
        <v>3924</v>
      </c>
      <c r="V855" s="1192">
        <v>74</v>
      </c>
    </row>
    <row r="856" spans="1:22" s="1192" customFormat="1" ht="14.4" x14ac:dyDescent="0.3">
      <c r="A856" s="1192" t="s">
        <v>158</v>
      </c>
      <c r="E856" s="2110" t="s">
        <v>2405</v>
      </c>
      <c r="F856" s="1740"/>
      <c r="G856" s="1273"/>
      <c r="H856" s="867"/>
      <c r="K856" s="1192" t="s">
        <v>2418</v>
      </c>
      <c r="V856" s="1192">
        <v>48</v>
      </c>
    </row>
    <row r="857" spans="1:22" s="1192" customFormat="1" ht="14.4" x14ac:dyDescent="0.3">
      <c r="A857" s="1192" t="s">
        <v>158</v>
      </c>
      <c r="E857" s="2101" t="s">
        <v>2033</v>
      </c>
      <c r="F857" s="2101"/>
      <c r="G857" s="578" t="s">
        <v>20</v>
      </c>
      <c r="H857" s="564">
        <v>3.0000000000000001E-3</v>
      </c>
      <c r="K857" s="1192" t="s">
        <v>2410</v>
      </c>
      <c r="L857" s="1192" t="s">
        <v>2374</v>
      </c>
      <c r="P857" s="1192" t="s">
        <v>2419</v>
      </c>
      <c r="V857" s="1192">
        <v>55</v>
      </c>
    </row>
    <row r="858" spans="1:22" s="1192" customFormat="1" ht="14.4" x14ac:dyDescent="0.3">
      <c r="A858" s="1192" t="s">
        <v>158</v>
      </c>
      <c r="E858" s="2101" t="s">
        <v>2034</v>
      </c>
      <c r="F858" s="2101"/>
      <c r="G858" s="578" t="s">
        <v>20</v>
      </c>
      <c r="H858" s="564">
        <v>4.0000000000000002E-4</v>
      </c>
      <c r="K858" s="1192" t="s">
        <v>2410</v>
      </c>
      <c r="L858" s="1192" t="s">
        <v>2374</v>
      </c>
      <c r="P858" s="1192" t="s">
        <v>2419</v>
      </c>
      <c r="V858" s="1192">
        <v>65</v>
      </c>
    </row>
    <row r="859" spans="1:22" s="1192" customFormat="1" ht="14.4" x14ac:dyDescent="0.3">
      <c r="A859" s="1192" t="s">
        <v>158</v>
      </c>
      <c r="E859" s="2101" t="s">
        <v>428</v>
      </c>
      <c r="F859" s="2101"/>
      <c r="G859" s="578" t="s">
        <v>20</v>
      </c>
      <c r="H859" s="564">
        <v>5.0000000000000001E-4</v>
      </c>
      <c r="K859" s="1192" t="s">
        <v>2410</v>
      </c>
      <c r="L859" s="1192" t="s">
        <v>2374</v>
      </c>
      <c r="P859" s="1192" t="s">
        <v>2420</v>
      </c>
      <c r="V859" s="1192">
        <v>57</v>
      </c>
    </row>
    <row r="860" spans="1:22" s="1192" customFormat="1" ht="14.4" x14ac:dyDescent="0.3">
      <c r="A860" s="1192" t="s">
        <v>158</v>
      </c>
      <c r="E860" s="2101" t="s">
        <v>28</v>
      </c>
      <c r="F860" s="2101"/>
      <c r="G860" s="578" t="s">
        <v>19</v>
      </c>
      <c r="H860" s="579">
        <v>0.25</v>
      </c>
      <c r="K860" s="1192" t="s">
        <v>2410</v>
      </c>
      <c r="L860" s="1192" t="s">
        <v>2374</v>
      </c>
      <c r="P860" s="1192" t="s">
        <v>2421</v>
      </c>
      <c r="V860" s="1192">
        <v>63</v>
      </c>
    </row>
    <row r="861" spans="1:22" s="1192" customFormat="1" ht="17.399999999999999" x14ac:dyDescent="0.3">
      <c r="A861" s="1192" t="s">
        <v>158</v>
      </c>
      <c r="E861" s="2051" t="s">
        <v>2014</v>
      </c>
      <c r="F861" s="2051"/>
      <c r="G861" s="2051"/>
      <c r="H861" s="2057"/>
      <c r="K861" s="1192" t="s">
        <v>3925</v>
      </c>
      <c r="V861" s="1192">
        <v>41</v>
      </c>
    </row>
    <row r="862" spans="1:22" s="1192" customFormat="1" ht="14.4" x14ac:dyDescent="0.3">
      <c r="A862" s="1192" t="s">
        <v>158</v>
      </c>
      <c r="E862" s="2053" t="s">
        <v>6093</v>
      </c>
      <c r="F862" s="2053"/>
      <c r="G862" s="2053"/>
      <c r="H862" s="2056"/>
      <c r="K862" s="1192" t="s">
        <v>3925</v>
      </c>
      <c r="V862" s="1192">
        <v>408</v>
      </c>
    </row>
    <row r="863" spans="1:22" s="1192" customFormat="1" ht="14.4" x14ac:dyDescent="0.3">
      <c r="A863" s="1192" t="s">
        <v>158</v>
      </c>
      <c r="E863" s="2111" t="s">
        <v>2389</v>
      </c>
      <c r="F863" s="1988"/>
      <c r="G863" s="1988"/>
      <c r="H863" s="1988"/>
      <c r="K863" s="1192" t="s">
        <v>2422</v>
      </c>
      <c r="V863" s="1192">
        <v>11</v>
      </c>
    </row>
    <row r="864" spans="1:22" s="1192" customFormat="1" ht="14.4" x14ac:dyDescent="0.3">
      <c r="A864" s="1192" t="s">
        <v>158</v>
      </c>
      <c r="E864" s="2053" t="s">
        <v>2391</v>
      </c>
      <c r="F864" s="2053"/>
      <c r="G864" s="2053"/>
      <c r="H864" s="2053"/>
      <c r="K864" s="1192" t="s">
        <v>3925</v>
      </c>
      <c r="V864" s="1192">
        <v>280</v>
      </c>
    </row>
    <row r="865" spans="1:22" s="1192" customFormat="1" ht="14.4" x14ac:dyDescent="0.3">
      <c r="A865" s="1192" t="s">
        <v>158</v>
      </c>
      <c r="E865" s="2053" t="s">
        <v>2392</v>
      </c>
      <c r="F865" s="2053"/>
      <c r="G865" s="2053"/>
      <c r="H865" s="2053"/>
      <c r="K865" s="1192" t="s">
        <v>3925</v>
      </c>
      <c r="V865" s="1192">
        <v>411</v>
      </c>
    </row>
    <row r="866" spans="1:22" s="1192" customFormat="1" ht="14.4" x14ac:dyDescent="0.3">
      <c r="A866" s="1192" t="s">
        <v>158</v>
      </c>
      <c r="E866" s="2053" t="s">
        <v>2393</v>
      </c>
      <c r="F866" s="2053"/>
      <c r="G866" s="2053"/>
      <c r="H866" s="2053"/>
      <c r="K866" s="1192" t="s">
        <v>3925</v>
      </c>
      <c r="V866" s="1192">
        <v>387</v>
      </c>
    </row>
    <row r="867" spans="1:22" s="1192" customFormat="1" ht="14.4" x14ac:dyDescent="0.3">
      <c r="A867" s="1192" t="s">
        <v>158</v>
      </c>
      <c r="E867" s="2053" t="s">
        <v>2986</v>
      </c>
      <c r="F867" s="2053"/>
      <c r="G867" s="2053"/>
      <c r="H867" s="2053"/>
      <c r="K867" s="1192" t="s">
        <v>3925</v>
      </c>
      <c r="V867" s="1192">
        <v>246</v>
      </c>
    </row>
    <row r="868" spans="1:22" s="1192" customFormat="1" ht="14.4" x14ac:dyDescent="0.3">
      <c r="A868" s="1192" t="s">
        <v>158</v>
      </c>
      <c r="E868" s="2108" t="s">
        <v>2394</v>
      </c>
      <c r="F868" s="2109"/>
      <c r="G868" s="2109"/>
      <c r="H868" s="2109"/>
      <c r="K868" s="1192" t="s">
        <v>2423</v>
      </c>
      <c r="V868" s="1192">
        <v>46</v>
      </c>
    </row>
    <row r="869" spans="1:22" s="1192" customFormat="1" ht="14.4" x14ac:dyDescent="0.3">
      <c r="A869" s="1192" t="s">
        <v>158</v>
      </c>
      <c r="E869" s="2101" t="s">
        <v>7</v>
      </c>
      <c r="F869" s="2101"/>
      <c r="G869" s="578" t="s">
        <v>19</v>
      </c>
      <c r="H869" s="1136">
        <v>58.8</v>
      </c>
      <c r="K869" s="1192" t="s">
        <v>3925</v>
      </c>
      <c r="L869" s="1192" t="s">
        <v>430</v>
      </c>
      <c r="P869" s="1192" t="s">
        <v>3926</v>
      </c>
      <c r="V869" s="1192">
        <v>14</v>
      </c>
    </row>
    <row r="870" spans="1:22" s="1192" customFormat="1" ht="14.4" x14ac:dyDescent="0.3">
      <c r="A870" s="1192" t="s">
        <v>158</v>
      </c>
      <c r="E870" s="2101" t="s">
        <v>4012</v>
      </c>
      <c r="F870" s="2101"/>
      <c r="G870" s="578" t="s">
        <v>19</v>
      </c>
      <c r="H870" s="1218">
        <v>0.56999999999999995</v>
      </c>
      <c r="K870" s="1192" t="s">
        <v>3925</v>
      </c>
      <c r="L870" s="1192" t="s">
        <v>431</v>
      </c>
      <c r="P870" s="1192" t="s">
        <v>3927</v>
      </c>
      <c r="T870" s="1192">
        <v>44926</v>
      </c>
      <c r="V870" s="1192">
        <v>79</v>
      </c>
    </row>
    <row r="871" spans="1:22" s="1192" customFormat="1" ht="14.4" x14ac:dyDescent="0.3">
      <c r="A871" s="1192" t="s">
        <v>158</v>
      </c>
      <c r="E871" s="2101" t="s">
        <v>6084</v>
      </c>
      <c r="F871" s="1989"/>
      <c r="G871" s="1282" t="s">
        <v>19</v>
      </c>
      <c r="H871" s="565">
        <v>-0.2</v>
      </c>
      <c r="K871" s="1192" t="s">
        <v>3925</v>
      </c>
      <c r="L871" s="1192" t="s">
        <v>430</v>
      </c>
      <c r="P871" s="1192" t="s">
        <v>3930</v>
      </c>
      <c r="T871" s="1192">
        <v>44196</v>
      </c>
      <c r="V871" s="1192">
        <v>107</v>
      </c>
    </row>
    <row r="872" spans="1:22" s="1192" customFormat="1" ht="14.4" x14ac:dyDescent="0.3">
      <c r="A872" s="1192" t="s">
        <v>158</v>
      </c>
      <c r="E872" s="2101" t="s">
        <v>2426</v>
      </c>
      <c r="F872" s="2101"/>
      <c r="G872" s="578" t="s">
        <v>20</v>
      </c>
      <c r="H872" s="814">
        <v>0.12540000000000001</v>
      </c>
      <c r="K872" s="1192" t="s">
        <v>3925</v>
      </c>
      <c r="L872" s="1192" t="s">
        <v>430</v>
      </c>
      <c r="P872" s="1192" t="s">
        <v>3928</v>
      </c>
      <c r="V872" s="1192">
        <v>29</v>
      </c>
    </row>
    <row r="873" spans="1:22" s="1192" customFormat="1" ht="14.4" x14ac:dyDescent="0.3">
      <c r="A873" s="1192" t="s">
        <v>158</v>
      </c>
      <c r="E873" s="2101" t="s">
        <v>6088</v>
      </c>
      <c r="F873" s="2101"/>
      <c r="G873" s="578" t="s">
        <v>20</v>
      </c>
      <c r="H873" s="1219">
        <v>2E-3</v>
      </c>
      <c r="K873" s="1192" t="s">
        <v>3925</v>
      </c>
      <c r="L873" s="1192" t="s">
        <v>430</v>
      </c>
      <c r="P873" s="1192" t="s">
        <v>6094</v>
      </c>
      <c r="T873" s="1192">
        <v>45291</v>
      </c>
      <c r="V873" s="1192">
        <v>139</v>
      </c>
    </row>
    <row r="874" spans="1:22" s="1192" customFormat="1" ht="14.4" x14ac:dyDescent="0.3">
      <c r="A874" s="1192" t="s">
        <v>158</v>
      </c>
      <c r="E874" s="2101" t="s">
        <v>6090</v>
      </c>
      <c r="F874" s="1989"/>
      <c r="G874" s="578" t="s">
        <v>20</v>
      </c>
      <c r="H874" s="1219">
        <v>-2.7000000000000001E-3</v>
      </c>
      <c r="K874" s="1192" t="s">
        <v>3925</v>
      </c>
      <c r="L874" s="1192" t="s">
        <v>431</v>
      </c>
      <c r="P874" s="1192" t="s">
        <v>3929</v>
      </c>
      <c r="T874" s="1192">
        <v>44196</v>
      </c>
      <c r="V874" s="1192">
        <v>142</v>
      </c>
    </row>
    <row r="875" spans="1:22" s="1192" customFormat="1" ht="14.4" x14ac:dyDescent="0.3">
      <c r="A875" s="1192" t="s">
        <v>158</v>
      </c>
      <c r="E875" s="2101" t="s">
        <v>6087</v>
      </c>
      <c r="F875" s="1989"/>
      <c r="G875" s="578" t="s">
        <v>20</v>
      </c>
      <c r="H875" s="1219">
        <v>1.1999999999999999E-3</v>
      </c>
      <c r="K875" s="1192" t="s">
        <v>3925</v>
      </c>
      <c r="L875" s="1192" t="s">
        <v>431</v>
      </c>
      <c r="P875" s="1192" t="s">
        <v>3930</v>
      </c>
      <c r="T875" s="1192">
        <v>44196</v>
      </c>
      <c r="V875" s="1192">
        <v>99</v>
      </c>
    </row>
    <row r="876" spans="1:22" s="1192" customFormat="1" ht="14.4" x14ac:dyDescent="0.3">
      <c r="A876" s="1192" t="s">
        <v>158</v>
      </c>
      <c r="E876" s="2101" t="s">
        <v>6095</v>
      </c>
      <c r="F876" s="2101"/>
      <c r="G876" s="578" t="s">
        <v>20</v>
      </c>
      <c r="H876" s="1219">
        <v>3.0700000000000002E-2</v>
      </c>
      <c r="K876" s="1192" t="s">
        <v>3925</v>
      </c>
      <c r="L876" s="1192" t="s">
        <v>430</v>
      </c>
      <c r="P876" s="1192" t="s">
        <v>3931</v>
      </c>
      <c r="T876" s="1192">
        <v>45291</v>
      </c>
      <c r="V876" s="1192">
        <v>78</v>
      </c>
    </row>
    <row r="877" spans="1:22" s="1192" customFormat="1" ht="14.4" x14ac:dyDescent="0.3">
      <c r="A877" s="1192" t="s">
        <v>158</v>
      </c>
      <c r="E877" s="2101" t="s">
        <v>213</v>
      </c>
      <c r="F877" s="2101"/>
      <c r="G877" s="578" t="s">
        <v>20</v>
      </c>
      <c r="H877" s="1219">
        <v>7.1000000000000004E-3</v>
      </c>
      <c r="K877" s="1192" t="s">
        <v>3925</v>
      </c>
      <c r="L877" s="1192" t="s">
        <v>432</v>
      </c>
      <c r="P877" s="1192" t="s">
        <v>3932</v>
      </c>
      <c r="V877" s="1192">
        <v>47</v>
      </c>
    </row>
    <row r="878" spans="1:22" s="1192" customFormat="1" ht="14.4" x14ac:dyDescent="0.3">
      <c r="A878" s="1192" t="s">
        <v>158</v>
      </c>
      <c r="E878" s="2101" t="s">
        <v>209</v>
      </c>
      <c r="F878" s="2101"/>
      <c r="G878" s="578" t="s">
        <v>20</v>
      </c>
      <c r="H878" s="1219">
        <v>6.0000000000000001E-3</v>
      </c>
      <c r="K878" s="1192" t="s">
        <v>3925</v>
      </c>
      <c r="L878" s="1192" t="s">
        <v>432</v>
      </c>
      <c r="P878" s="1192" t="s">
        <v>3933</v>
      </c>
      <c r="V878" s="1192">
        <v>74</v>
      </c>
    </row>
    <row r="879" spans="1:22" s="1192" customFormat="1" ht="14.4" x14ac:dyDescent="0.3">
      <c r="A879" s="1192" t="s">
        <v>158</v>
      </c>
      <c r="E879" s="2110" t="s">
        <v>2405</v>
      </c>
      <c r="F879" s="1740"/>
      <c r="G879" s="1273"/>
      <c r="H879" s="867"/>
      <c r="K879" s="1192" t="s">
        <v>2526</v>
      </c>
      <c r="V879" s="1192">
        <v>48</v>
      </c>
    </row>
    <row r="880" spans="1:22" s="1192" customFormat="1" ht="14.4" x14ac:dyDescent="0.3">
      <c r="A880" s="1192" t="s">
        <v>158</v>
      </c>
      <c r="E880" s="2101" t="s">
        <v>2033</v>
      </c>
      <c r="F880" s="2101"/>
      <c r="G880" s="578" t="s">
        <v>20</v>
      </c>
      <c r="H880" s="564">
        <v>3.0000000000000001E-3</v>
      </c>
      <c r="K880" s="1192" t="s">
        <v>3925</v>
      </c>
      <c r="L880" s="1192" t="s">
        <v>2374</v>
      </c>
      <c r="P880" s="1192" t="s">
        <v>3934</v>
      </c>
      <c r="V880" s="1192">
        <v>55</v>
      </c>
    </row>
    <row r="881" spans="1:22" s="1192" customFormat="1" ht="14.4" x14ac:dyDescent="0.3">
      <c r="A881" s="1192" t="s">
        <v>158</v>
      </c>
      <c r="E881" s="2101" t="s">
        <v>2034</v>
      </c>
      <c r="F881" s="2101"/>
      <c r="G881" s="578" t="s">
        <v>20</v>
      </c>
      <c r="H881" s="564">
        <v>4.0000000000000002E-4</v>
      </c>
      <c r="K881" s="1192" t="s">
        <v>3925</v>
      </c>
      <c r="L881" s="1192" t="s">
        <v>2374</v>
      </c>
      <c r="P881" s="1192" t="s">
        <v>3934</v>
      </c>
      <c r="V881" s="1192">
        <v>65</v>
      </c>
    </row>
    <row r="882" spans="1:22" s="1192" customFormat="1" ht="14.4" x14ac:dyDescent="0.3">
      <c r="A882" s="1192" t="s">
        <v>158</v>
      </c>
      <c r="E882" s="2101" t="s">
        <v>428</v>
      </c>
      <c r="F882" s="2101"/>
      <c r="G882" s="578" t="s">
        <v>20</v>
      </c>
      <c r="H882" s="564">
        <v>5.0000000000000001E-4</v>
      </c>
      <c r="K882" s="1192" t="s">
        <v>3925</v>
      </c>
      <c r="L882" s="1192" t="s">
        <v>2374</v>
      </c>
      <c r="P882" s="1192" t="s">
        <v>3935</v>
      </c>
      <c r="V882" s="1192">
        <v>57</v>
      </c>
    </row>
    <row r="883" spans="1:22" s="1192" customFormat="1" ht="14.4" x14ac:dyDescent="0.3">
      <c r="A883" s="1192" t="s">
        <v>158</v>
      </c>
      <c r="E883" s="2101" t="s">
        <v>28</v>
      </c>
      <c r="F883" s="2101"/>
      <c r="G883" s="578" t="s">
        <v>19</v>
      </c>
      <c r="H883" s="579">
        <v>0.25</v>
      </c>
      <c r="K883" s="1192" t="s">
        <v>3925</v>
      </c>
      <c r="L883" s="1192" t="s">
        <v>2374</v>
      </c>
      <c r="P883" s="1192" t="s">
        <v>3936</v>
      </c>
      <c r="V883" s="1192">
        <v>63</v>
      </c>
    </row>
    <row r="884" spans="1:22" s="1192" customFormat="1" ht="17.399999999999999" x14ac:dyDescent="0.3">
      <c r="A884" s="1192" t="s">
        <v>158</v>
      </c>
      <c r="E884" s="2051" t="s">
        <v>590</v>
      </c>
      <c r="F884" s="2051"/>
      <c r="G884" s="2051"/>
      <c r="H884" s="2057"/>
      <c r="K884" s="1192" t="s">
        <v>3465</v>
      </c>
      <c r="V884" s="1192">
        <v>38</v>
      </c>
    </row>
    <row r="885" spans="1:22" s="1192" customFormat="1" ht="14.4" x14ac:dyDescent="0.3">
      <c r="A885" s="1192" t="s">
        <v>158</v>
      </c>
      <c r="E885" s="2053" t="s">
        <v>2429</v>
      </c>
      <c r="F885" s="2053"/>
      <c r="G885" s="2053"/>
      <c r="H885" s="2056"/>
      <c r="K885" s="1192" t="s">
        <v>3465</v>
      </c>
      <c r="V885" s="1192">
        <v>424</v>
      </c>
    </row>
    <row r="886" spans="1:22" s="1192" customFormat="1" ht="14.4" x14ac:dyDescent="0.3">
      <c r="A886" s="1192" t="s">
        <v>158</v>
      </c>
      <c r="E886" s="2111" t="s">
        <v>2389</v>
      </c>
      <c r="F886" s="1988"/>
      <c r="G886" s="1988"/>
      <c r="H886" s="1988"/>
      <c r="K886" s="1192" t="s">
        <v>2529</v>
      </c>
      <c r="V886" s="1192">
        <v>11</v>
      </c>
    </row>
    <row r="887" spans="1:22" s="1192" customFormat="1" ht="14.4" x14ac:dyDescent="0.3">
      <c r="A887" s="1192" t="s">
        <v>158</v>
      </c>
      <c r="E887" s="2053" t="s">
        <v>2391</v>
      </c>
      <c r="F887" s="2053"/>
      <c r="G887" s="2053"/>
      <c r="H887" s="2053"/>
      <c r="K887" s="1192" t="s">
        <v>3465</v>
      </c>
      <c r="V887" s="1192">
        <v>280</v>
      </c>
    </row>
    <row r="888" spans="1:22" s="1192" customFormat="1" ht="14.4" x14ac:dyDescent="0.3">
      <c r="A888" s="1192" t="s">
        <v>158</v>
      </c>
      <c r="E888" s="2053" t="s">
        <v>2392</v>
      </c>
      <c r="F888" s="2053"/>
      <c r="G888" s="2053"/>
      <c r="H888" s="2053"/>
      <c r="K888" s="1192" t="s">
        <v>3465</v>
      </c>
      <c r="V888" s="1192">
        <v>411</v>
      </c>
    </row>
    <row r="889" spans="1:22" s="1192" customFormat="1" ht="14.4" x14ac:dyDescent="0.3">
      <c r="A889" s="1192" t="s">
        <v>158</v>
      </c>
      <c r="E889" s="2053" t="s">
        <v>2393</v>
      </c>
      <c r="F889" s="2053"/>
      <c r="G889" s="2053"/>
      <c r="H889" s="2053"/>
      <c r="K889" s="1192" t="s">
        <v>3465</v>
      </c>
      <c r="V889" s="1192">
        <v>387</v>
      </c>
    </row>
    <row r="890" spans="1:22" s="1192" customFormat="1" ht="14.4" x14ac:dyDescent="0.3">
      <c r="A890" s="1192" t="s">
        <v>158</v>
      </c>
      <c r="E890" s="2053" t="s">
        <v>2986</v>
      </c>
      <c r="F890" s="2053"/>
      <c r="G890" s="2053"/>
      <c r="H890" s="2053"/>
      <c r="K890" s="1192" t="s">
        <v>3465</v>
      </c>
      <c r="V890" s="1192">
        <v>246</v>
      </c>
    </row>
    <row r="891" spans="1:22" s="1192" customFormat="1" ht="14.4" x14ac:dyDescent="0.3">
      <c r="A891" s="1192" t="s">
        <v>158</v>
      </c>
      <c r="E891" s="2108" t="s">
        <v>2394</v>
      </c>
      <c r="F891" s="2109"/>
      <c r="G891" s="2109"/>
      <c r="H891" s="2109"/>
      <c r="K891" s="1192" t="s">
        <v>2531</v>
      </c>
      <c r="V891" s="1192">
        <v>46</v>
      </c>
    </row>
    <row r="892" spans="1:22" s="1192" customFormat="1" ht="14.4" x14ac:dyDescent="0.3">
      <c r="A892" s="1192" t="s">
        <v>158</v>
      </c>
      <c r="E892" s="2101" t="s">
        <v>8</v>
      </c>
      <c r="F892" s="2101"/>
      <c r="G892" s="1282" t="s">
        <v>19</v>
      </c>
      <c r="H892" s="1218">
        <v>1.86</v>
      </c>
      <c r="K892" s="1192" t="s">
        <v>3465</v>
      </c>
      <c r="L892" s="1192" t="s">
        <v>430</v>
      </c>
      <c r="P892" s="1192" t="s">
        <v>3466</v>
      </c>
      <c r="V892" s="1192">
        <v>31</v>
      </c>
    </row>
    <row r="893" spans="1:22" s="1192" customFormat="1" ht="14.4" x14ac:dyDescent="0.3">
      <c r="A893" s="1192" t="s">
        <v>158</v>
      </c>
      <c r="E893" s="2101" t="s">
        <v>80</v>
      </c>
      <c r="F893" s="2101"/>
      <c r="G893" s="1282" t="s">
        <v>20</v>
      </c>
      <c r="H893" s="1219">
        <v>0.2999</v>
      </c>
      <c r="K893" s="1192" t="s">
        <v>3465</v>
      </c>
      <c r="L893" s="1192" t="s">
        <v>430</v>
      </c>
      <c r="P893" s="1192" t="s">
        <v>3467</v>
      </c>
      <c r="V893" s="1192">
        <v>28</v>
      </c>
    </row>
    <row r="894" spans="1:22" s="1192" customFormat="1" ht="14.4" x14ac:dyDescent="0.3">
      <c r="A894" s="1192" t="s">
        <v>158</v>
      </c>
      <c r="E894" s="2101" t="s">
        <v>6087</v>
      </c>
      <c r="F894" s="1989"/>
      <c r="G894" s="1282" t="s">
        <v>20</v>
      </c>
      <c r="H894" s="1219">
        <v>-5.0000000000000001E-4</v>
      </c>
      <c r="K894" s="1192" t="s">
        <v>3465</v>
      </c>
      <c r="L894" s="1192" t="s">
        <v>431</v>
      </c>
      <c r="P894" s="1192" t="s">
        <v>3915</v>
      </c>
      <c r="T894" s="1192">
        <v>44196</v>
      </c>
      <c r="V894" s="1192">
        <v>99</v>
      </c>
    </row>
    <row r="895" spans="1:22" s="1192" customFormat="1" ht="14.4" x14ac:dyDescent="0.3">
      <c r="A895" s="1192" t="s">
        <v>158</v>
      </c>
      <c r="E895" s="2101" t="s">
        <v>6084</v>
      </c>
      <c r="F895" s="1989"/>
      <c r="G895" s="799" t="s">
        <v>29</v>
      </c>
      <c r="H895" s="1219">
        <v>-1.1999999999999999E-3</v>
      </c>
      <c r="K895" s="1192" t="s">
        <v>3465</v>
      </c>
      <c r="L895" s="1192" t="s">
        <v>430</v>
      </c>
      <c r="P895" s="1192" t="s">
        <v>3915</v>
      </c>
      <c r="T895" s="1192">
        <v>44196</v>
      </c>
      <c r="V895" s="1192">
        <v>107</v>
      </c>
    </row>
    <row r="896" spans="1:22" s="1192" customFormat="1" ht="14.4" x14ac:dyDescent="0.3">
      <c r="A896" s="1192" t="s">
        <v>158</v>
      </c>
      <c r="E896" s="2101" t="s">
        <v>6088</v>
      </c>
      <c r="F896" s="2101"/>
      <c r="G896" s="578" t="s">
        <v>20</v>
      </c>
      <c r="H896" s="1219">
        <v>5.45E-2</v>
      </c>
      <c r="K896" s="1192" t="s">
        <v>3465</v>
      </c>
      <c r="L896" s="1192" t="s">
        <v>430</v>
      </c>
      <c r="P896" s="1192" t="s">
        <v>4733</v>
      </c>
      <c r="T896" s="1192">
        <v>45291</v>
      </c>
      <c r="V896" s="1192">
        <v>139</v>
      </c>
    </row>
    <row r="897" spans="1:22" s="1192" customFormat="1" ht="14.4" x14ac:dyDescent="0.3">
      <c r="A897" s="1192" t="s">
        <v>158</v>
      </c>
      <c r="E897" s="2101" t="s">
        <v>6090</v>
      </c>
      <c r="F897" s="1989"/>
      <c r="G897" s="1282" t="s">
        <v>20</v>
      </c>
      <c r="H897" s="1219">
        <v>-2.7000000000000001E-3</v>
      </c>
      <c r="K897" s="1192" t="s">
        <v>3465</v>
      </c>
      <c r="L897" s="1192" t="s">
        <v>431</v>
      </c>
      <c r="P897" s="1192" t="s">
        <v>3914</v>
      </c>
      <c r="T897" s="1192">
        <v>44196</v>
      </c>
      <c r="V897" s="1192">
        <v>142</v>
      </c>
    </row>
    <row r="898" spans="1:22" s="1192" customFormat="1" ht="14.4" x14ac:dyDescent="0.3">
      <c r="A898" s="1192" t="s">
        <v>158</v>
      </c>
      <c r="E898" s="2101" t="s">
        <v>213</v>
      </c>
      <c r="F898" s="1989"/>
      <c r="G898" s="1282" t="s">
        <v>29</v>
      </c>
      <c r="H898" s="1219">
        <v>1.9529000000000001</v>
      </c>
      <c r="K898" s="1192" t="s">
        <v>3465</v>
      </c>
      <c r="L898" s="1192" t="s">
        <v>432</v>
      </c>
      <c r="P898" s="1192" t="s">
        <v>3468</v>
      </c>
      <c r="V898" s="1192">
        <v>47</v>
      </c>
    </row>
    <row r="899" spans="1:22" s="1192" customFormat="1" ht="14.4" x14ac:dyDescent="0.3">
      <c r="A899" s="1192" t="s">
        <v>158</v>
      </c>
      <c r="E899" s="2101" t="s">
        <v>209</v>
      </c>
      <c r="F899" s="1989"/>
      <c r="G899" s="1282" t="s">
        <v>29</v>
      </c>
      <c r="H899" s="1219">
        <v>1.6468</v>
      </c>
      <c r="K899" s="1192" t="s">
        <v>3465</v>
      </c>
      <c r="L899" s="1192" t="s">
        <v>432</v>
      </c>
      <c r="P899" s="1192" t="s">
        <v>3469</v>
      </c>
      <c r="V899" s="1192">
        <v>74</v>
      </c>
    </row>
    <row r="900" spans="1:22" s="1192" customFormat="1" ht="14.4" x14ac:dyDescent="0.3">
      <c r="A900" s="1192" t="s">
        <v>158</v>
      </c>
      <c r="E900" s="2110" t="s">
        <v>2405</v>
      </c>
      <c r="F900" s="1740"/>
      <c r="G900" s="1273"/>
      <c r="H900" s="867"/>
      <c r="K900" s="1192" t="s">
        <v>2532</v>
      </c>
      <c r="V900" s="1192">
        <v>48</v>
      </c>
    </row>
    <row r="901" spans="1:22" s="1192" customFormat="1" ht="14.4" x14ac:dyDescent="0.3">
      <c r="A901" s="1192" t="s">
        <v>158</v>
      </c>
      <c r="E901" s="2101" t="s">
        <v>2033</v>
      </c>
      <c r="F901" s="2101"/>
      <c r="G901" s="578" t="s">
        <v>20</v>
      </c>
      <c r="H901" s="564">
        <v>3.0000000000000001E-3</v>
      </c>
      <c r="K901" s="1192" t="s">
        <v>3465</v>
      </c>
      <c r="L901" s="1192" t="s">
        <v>2374</v>
      </c>
      <c r="P901" s="1192" t="s">
        <v>3470</v>
      </c>
      <c r="V901" s="1192">
        <v>55</v>
      </c>
    </row>
    <row r="902" spans="1:22" s="1192" customFormat="1" ht="14.4" x14ac:dyDescent="0.3">
      <c r="A902" s="1192" t="s">
        <v>158</v>
      </c>
      <c r="E902" s="2101" t="s">
        <v>2034</v>
      </c>
      <c r="F902" s="2101"/>
      <c r="G902" s="578" t="s">
        <v>20</v>
      </c>
      <c r="H902" s="564">
        <v>4.0000000000000002E-4</v>
      </c>
      <c r="K902" s="1192" t="s">
        <v>3465</v>
      </c>
      <c r="L902" s="1192" t="s">
        <v>2374</v>
      </c>
      <c r="P902" s="1192" t="s">
        <v>3470</v>
      </c>
      <c r="V902" s="1192">
        <v>65</v>
      </c>
    </row>
    <row r="903" spans="1:22" s="1192" customFormat="1" ht="14.4" x14ac:dyDescent="0.3">
      <c r="A903" s="1192" t="s">
        <v>158</v>
      </c>
      <c r="E903" s="2101" t="s">
        <v>428</v>
      </c>
      <c r="F903" s="1740"/>
      <c r="G903" s="578" t="s">
        <v>20</v>
      </c>
      <c r="H903" s="564">
        <v>5.0000000000000001E-4</v>
      </c>
      <c r="K903" s="1192" t="s">
        <v>3465</v>
      </c>
      <c r="L903" s="1192" t="s">
        <v>2374</v>
      </c>
      <c r="P903" s="1192" t="s">
        <v>3471</v>
      </c>
      <c r="V903" s="1192">
        <v>57</v>
      </c>
    </row>
    <row r="904" spans="1:22" s="1192" customFormat="1" ht="14.4" x14ac:dyDescent="0.3">
      <c r="A904" s="1192" t="s">
        <v>158</v>
      </c>
      <c r="E904" s="2101" t="s">
        <v>28</v>
      </c>
      <c r="F904" s="2101"/>
      <c r="G904" s="578" t="s">
        <v>19</v>
      </c>
      <c r="H904" s="579">
        <v>0.25</v>
      </c>
      <c r="K904" s="1192" t="s">
        <v>3465</v>
      </c>
      <c r="L904" s="1192" t="s">
        <v>2374</v>
      </c>
      <c r="P904" s="1192" t="s">
        <v>3472</v>
      </c>
      <c r="V904" s="1192">
        <v>63</v>
      </c>
    </row>
    <row r="905" spans="1:22" s="1192" customFormat="1" ht="17.399999999999999" x14ac:dyDescent="0.3">
      <c r="A905" s="1192" t="s">
        <v>158</v>
      </c>
      <c r="E905" s="2051" t="s">
        <v>593</v>
      </c>
      <c r="F905" s="2051"/>
      <c r="G905" s="2051"/>
      <c r="H905" s="2057"/>
      <c r="K905" s="1192" t="s">
        <v>3916</v>
      </c>
      <c r="V905" s="1192">
        <v>31</v>
      </c>
    </row>
    <row r="906" spans="1:22" s="1192" customFormat="1" ht="14.4" x14ac:dyDescent="0.3">
      <c r="A906" s="1192" t="s">
        <v>158</v>
      </c>
      <c r="E906" s="2053" t="s">
        <v>2443</v>
      </c>
      <c r="F906" s="2053"/>
      <c r="G906" s="2053"/>
      <c r="H906" s="2056"/>
      <c r="K906" s="1192" t="s">
        <v>3916</v>
      </c>
      <c r="V906" s="1192">
        <v>286</v>
      </c>
    </row>
    <row r="907" spans="1:22" s="1192" customFormat="1" ht="14.4" x14ac:dyDescent="0.3">
      <c r="A907" s="1192" t="s">
        <v>158</v>
      </c>
      <c r="E907" s="2111" t="s">
        <v>2389</v>
      </c>
      <c r="F907" s="1988"/>
      <c r="G907" s="1988"/>
      <c r="H907" s="1988"/>
      <c r="K907" s="1192" t="s">
        <v>2424</v>
      </c>
      <c r="V907" s="1192">
        <v>11</v>
      </c>
    </row>
    <row r="908" spans="1:22" s="1192" customFormat="1" ht="14.4" x14ac:dyDescent="0.3">
      <c r="A908" s="1192" t="s">
        <v>158</v>
      </c>
      <c r="E908" s="2053" t="s">
        <v>2391</v>
      </c>
      <c r="F908" s="2053"/>
      <c r="G908" s="2053"/>
      <c r="H908" s="2053"/>
      <c r="K908" s="1192" t="s">
        <v>3916</v>
      </c>
      <c r="V908" s="1192">
        <v>280</v>
      </c>
    </row>
    <row r="909" spans="1:22" s="1192" customFormat="1" ht="14.4" x14ac:dyDescent="0.3">
      <c r="A909" s="1192" t="s">
        <v>158</v>
      </c>
      <c r="E909" s="2053" t="s">
        <v>2392</v>
      </c>
      <c r="F909" s="2053"/>
      <c r="G909" s="2053"/>
      <c r="H909" s="2053"/>
      <c r="K909" s="1192" t="s">
        <v>3916</v>
      </c>
      <c r="V909" s="1192">
        <v>411</v>
      </c>
    </row>
    <row r="910" spans="1:22" s="1192" customFormat="1" ht="14.4" x14ac:dyDescent="0.3">
      <c r="A910" s="1192" t="s">
        <v>158</v>
      </c>
      <c r="E910" s="2053" t="s">
        <v>2445</v>
      </c>
      <c r="F910" s="2053"/>
      <c r="G910" s="2053"/>
      <c r="H910" s="2053"/>
      <c r="K910" s="1192" t="s">
        <v>3916</v>
      </c>
      <c r="V910" s="1192">
        <v>211</v>
      </c>
    </row>
    <row r="911" spans="1:22" s="1192" customFormat="1" ht="14.4" x14ac:dyDescent="0.3">
      <c r="A911" s="1192" t="s">
        <v>158</v>
      </c>
      <c r="E911" s="2053" t="s">
        <v>2986</v>
      </c>
      <c r="F911" s="2053"/>
      <c r="G911" s="2053"/>
      <c r="H911" s="2053"/>
      <c r="K911" s="1192" t="s">
        <v>3916</v>
      </c>
      <c r="V911" s="1192">
        <v>246</v>
      </c>
    </row>
    <row r="912" spans="1:22" s="1192" customFormat="1" ht="14.4" x14ac:dyDescent="0.3">
      <c r="A912" s="1192" t="s">
        <v>158</v>
      </c>
      <c r="E912" s="2108" t="s">
        <v>2394</v>
      </c>
      <c r="F912" s="2109"/>
      <c r="G912" s="2109"/>
      <c r="H912" s="2109"/>
      <c r="K912" s="1192" t="s">
        <v>2425</v>
      </c>
      <c r="V912" s="1192">
        <v>46</v>
      </c>
    </row>
    <row r="913" spans="1:22" s="1192" customFormat="1" ht="14.4" x14ac:dyDescent="0.3">
      <c r="A913" s="1192" t="s">
        <v>158</v>
      </c>
      <c r="E913" s="2101" t="s">
        <v>7</v>
      </c>
      <c r="F913" s="2101"/>
      <c r="G913" s="1282" t="s">
        <v>19</v>
      </c>
      <c r="H913" s="1218">
        <v>5.4</v>
      </c>
      <c r="K913" s="1192" t="s">
        <v>3916</v>
      </c>
      <c r="L913" s="1192" t="s">
        <v>430</v>
      </c>
      <c r="P913" s="1192" t="s">
        <v>3917</v>
      </c>
      <c r="V913" s="1192">
        <v>14</v>
      </c>
    </row>
    <row r="914" spans="1:22" s="1192" customFormat="1" x14ac:dyDescent="0.3">
      <c r="A914" s="1192" t="s">
        <v>158</v>
      </c>
      <c r="E914" s="868" t="s">
        <v>81</v>
      </c>
      <c r="F914" s="800"/>
      <c r="G914" s="800"/>
      <c r="H914" s="869"/>
      <c r="K914" s="1192" t="s">
        <v>2448</v>
      </c>
      <c r="V914" s="1192">
        <v>10</v>
      </c>
    </row>
    <row r="915" spans="1:22" s="1192" customFormat="1" ht="14.4" x14ac:dyDescent="0.3">
      <c r="A915" s="1192" t="s">
        <v>158</v>
      </c>
      <c r="E915" s="2101" t="s">
        <v>2449</v>
      </c>
      <c r="F915" s="2101"/>
      <c r="G915" s="1282" t="s">
        <v>29</v>
      </c>
      <c r="H915" s="1219">
        <v>-0.6</v>
      </c>
      <c r="V915" s="1192">
        <v>68</v>
      </c>
    </row>
    <row r="916" spans="1:22" s="1192" customFormat="1" ht="14.4" x14ac:dyDescent="0.3">
      <c r="A916" s="1192" t="s">
        <v>158</v>
      </c>
      <c r="E916" s="2101" t="s">
        <v>2450</v>
      </c>
      <c r="F916" s="2101"/>
      <c r="G916" s="1282" t="s">
        <v>82</v>
      </c>
      <c r="H916" s="1218">
        <v>-1</v>
      </c>
      <c r="V916" s="1192">
        <v>87</v>
      </c>
    </row>
    <row r="917" spans="1:22" s="1192" customFormat="1" ht="17.399999999999999" x14ac:dyDescent="0.3">
      <c r="A917" s="1192" t="s">
        <v>158</v>
      </c>
      <c r="E917" s="1284" t="s">
        <v>83</v>
      </c>
      <c r="F917" s="801"/>
      <c r="G917" s="801"/>
      <c r="H917" s="870"/>
      <c r="K917" s="1192" t="s">
        <v>2451</v>
      </c>
      <c r="V917" s="1192">
        <v>24</v>
      </c>
    </row>
    <row r="918" spans="1:22" s="1192" customFormat="1" ht="14.4" x14ac:dyDescent="0.3">
      <c r="A918" s="1192" t="s">
        <v>158</v>
      </c>
      <c r="E918" s="2067" t="s">
        <v>2391</v>
      </c>
      <c r="F918" s="2067"/>
      <c r="G918" s="2067"/>
      <c r="H918" s="2128"/>
      <c r="V918" s="1192">
        <v>280</v>
      </c>
    </row>
    <row r="919" spans="1:22" s="1192" customFormat="1" ht="14.4" x14ac:dyDescent="0.3">
      <c r="A919" s="1192" t="s">
        <v>158</v>
      </c>
      <c r="E919" s="2067" t="s">
        <v>2452</v>
      </c>
      <c r="F919" s="2067"/>
      <c r="G919" s="2067"/>
      <c r="H919" s="2128"/>
      <c r="V919" s="1192">
        <v>353</v>
      </c>
    </row>
    <row r="920" spans="1:22" s="1192" customFormat="1" ht="14.4" x14ac:dyDescent="0.3">
      <c r="A920" s="1192" t="s">
        <v>158</v>
      </c>
      <c r="E920" s="2067" t="s">
        <v>4728</v>
      </c>
      <c r="F920" s="2067"/>
      <c r="G920" s="2067"/>
      <c r="H920" s="2128"/>
      <c r="V920" s="1192">
        <v>247</v>
      </c>
    </row>
    <row r="921" spans="1:22" s="1192" customFormat="1" ht="14.4" x14ac:dyDescent="0.3">
      <c r="A921" s="1192" t="s">
        <v>158</v>
      </c>
      <c r="E921" s="802" t="s">
        <v>2453</v>
      </c>
      <c r="F921" s="566"/>
      <c r="G921" s="566"/>
      <c r="H921" s="871"/>
      <c r="K921" s="1192" t="s">
        <v>2454</v>
      </c>
      <c r="V921" s="1192">
        <v>23</v>
      </c>
    </row>
    <row r="922" spans="1:22" s="1192" customFormat="1" ht="14.4" x14ac:dyDescent="0.3">
      <c r="A922" s="1192" t="s">
        <v>158</v>
      </c>
      <c r="E922" s="2086" t="s">
        <v>2455</v>
      </c>
      <c r="F922" s="2086"/>
      <c r="G922" s="1282" t="s">
        <v>19</v>
      </c>
      <c r="H922" s="565">
        <v>15</v>
      </c>
      <c r="V922" s="1192">
        <v>39</v>
      </c>
    </row>
    <row r="923" spans="1:22" s="1192" customFormat="1" ht="14.4" x14ac:dyDescent="0.3">
      <c r="A923" s="1192" t="s">
        <v>158</v>
      </c>
      <c r="E923" s="2086" t="s">
        <v>2456</v>
      </c>
      <c r="F923" s="2086"/>
      <c r="G923" s="1282" t="s">
        <v>19</v>
      </c>
      <c r="H923" s="565">
        <v>15</v>
      </c>
      <c r="V923" s="1192">
        <v>20</v>
      </c>
    </row>
    <row r="924" spans="1:22" s="1192" customFormat="1" ht="14.4" x14ac:dyDescent="0.3">
      <c r="A924" s="1192" t="s">
        <v>158</v>
      </c>
      <c r="E924" s="2086" t="s">
        <v>2457</v>
      </c>
      <c r="F924" s="2086"/>
      <c r="G924" s="1282" t="s">
        <v>19</v>
      </c>
      <c r="H924" s="565">
        <v>15</v>
      </c>
      <c r="V924" s="1192">
        <v>26</v>
      </c>
    </row>
    <row r="925" spans="1:22" s="1192" customFormat="1" ht="14.4" x14ac:dyDescent="0.3">
      <c r="A925" s="1192" t="s">
        <v>158</v>
      </c>
      <c r="E925" s="2086" t="s">
        <v>2458</v>
      </c>
      <c r="F925" s="2086"/>
      <c r="G925" s="1282" t="s">
        <v>19</v>
      </c>
      <c r="H925" s="565">
        <v>15</v>
      </c>
      <c r="V925" s="1192">
        <v>39</v>
      </c>
    </row>
    <row r="926" spans="1:22" s="1192" customFormat="1" ht="14.4" x14ac:dyDescent="0.3">
      <c r="A926" s="1192" t="s">
        <v>158</v>
      </c>
      <c r="E926" s="2086" t="s">
        <v>2459</v>
      </c>
      <c r="F926" s="2086"/>
      <c r="G926" s="1282" t="s">
        <v>19</v>
      </c>
      <c r="H926" s="565">
        <v>15</v>
      </c>
      <c r="V926" s="1192">
        <v>37</v>
      </c>
    </row>
    <row r="927" spans="1:22" s="1192" customFormat="1" ht="14.4" x14ac:dyDescent="0.3">
      <c r="A927" s="1192" t="s">
        <v>158</v>
      </c>
      <c r="E927" s="2086" t="s">
        <v>3663</v>
      </c>
      <c r="F927" s="2086"/>
      <c r="G927" s="1282" t="s">
        <v>19</v>
      </c>
      <c r="H927" s="565">
        <v>15</v>
      </c>
      <c r="V927" s="1192">
        <v>15</v>
      </c>
    </row>
    <row r="928" spans="1:22" s="1192" customFormat="1" ht="14.4" x14ac:dyDescent="0.3">
      <c r="A928" s="1192" t="s">
        <v>158</v>
      </c>
      <c r="E928" s="2086" t="s">
        <v>2461</v>
      </c>
      <c r="F928" s="2086"/>
      <c r="G928" s="1282" t="s">
        <v>19</v>
      </c>
      <c r="H928" s="565">
        <v>15</v>
      </c>
      <c r="V928" s="1192">
        <v>17</v>
      </c>
    </row>
    <row r="929" spans="1:22" s="1192" customFormat="1" ht="14.4" x14ac:dyDescent="0.3">
      <c r="A929" s="1192" t="s">
        <v>158</v>
      </c>
      <c r="E929" s="2086" t="s">
        <v>2462</v>
      </c>
      <c r="F929" s="2086"/>
      <c r="G929" s="1282" t="s">
        <v>19</v>
      </c>
      <c r="H929" s="565">
        <v>15</v>
      </c>
      <c r="V929" s="1192">
        <v>19</v>
      </c>
    </row>
    <row r="930" spans="1:22" s="1192" customFormat="1" ht="14.4" x14ac:dyDescent="0.3">
      <c r="A930" s="1192" t="s">
        <v>158</v>
      </c>
      <c r="E930" s="2086" t="s">
        <v>2463</v>
      </c>
      <c r="F930" s="2086"/>
      <c r="G930" s="1282" t="s">
        <v>19</v>
      </c>
      <c r="H930" s="565">
        <v>15</v>
      </c>
      <c r="V930" s="1192">
        <v>15</v>
      </c>
    </row>
    <row r="931" spans="1:22" s="1192" customFormat="1" ht="14.4" x14ac:dyDescent="0.3">
      <c r="A931" s="1192" t="s">
        <v>158</v>
      </c>
      <c r="E931" s="2086" t="s">
        <v>2464</v>
      </c>
      <c r="F931" s="2086"/>
      <c r="G931" s="1282" t="s">
        <v>19</v>
      </c>
      <c r="H931" s="565">
        <v>15</v>
      </c>
      <c r="V931" s="1192">
        <v>56</v>
      </c>
    </row>
    <row r="932" spans="1:22" s="1192" customFormat="1" ht="14.4" x14ac:dyDescent="0.3">
      <c r="A932" s="1192" t="s">
        <v>158</v>
      </c>
      <c r="E932" s="2086" t="s">
        <v>84</v>
      </c>
      <c r="F932" s="2086"/>
      <c r="G932" s="1282" t="s">
        <v>19</v>
      </c>
      <c r="H932" s="565">
        <v>30</v>
      </c>
      <c r="V932" s="1192">
        <v>89</v>
      </c>
    </row>
    <row r="933" spans="1:22" s="1192" customFormat="1" ht="14.4" x14ac:dyDescent="0.3">
      <c r="A933" s="1192" t="s">
        <v>158</v>
      </c>
      <c r="E933" s="2086" t="s">
        <v>119</v>
      </c>
      <c r="F933" s="2086"/>
      <c r="G933" s="1282" t="s">
        <v>19</v>
      </c>
      <c r="H933" s="565">
        <v>15</v>
      </c>
      <c r="V933" s="1192">
        <v>35</v>
      </c>
    </row>
    <row r="934" spans="1:22" s="1192" customFormat="1" ht="14.4" x14ac:dyDescent="0.3">
      <c r="A934" s="1192" t="s">
        <v>158</v>
      </c>
      <c r="E934" s="2086" t="s">
        <v>2466</v>
      </c>
      <c r="F934" s="2086"/>
      <c r="G934" s="1282" t="s">
        <v>19</v>
      </c>
      <c r="H934" s="565">
        <v>15</v>
      </c>
      <c r="V934" s="1192">
        <v>24</v>
      </c>
    </row>
    <row r="935" spans="1:22" s="1192" customFormat="1" ht="14.4" x14ac:dyDescent="0.3">
      <c r="A935" s="1192" t="s">
        <v>158</v>
      </c>
      <c r="E935" s="2086" t="s">
        <v>2467</v>
      </c>
      <c r="F935" s="2086"/>
      <c r="G935" s="1282" t="s">
        <v>19</v>
      </c>
      <c r="H935" s="565">
        <v>15</v>
      </c>
      <c r="V935" s="1192">
        <v>19</v>
      </c>
    </row>
    <row r="936" spans="1:22" s="1192" customFormat="1" ht="14.4" x14ac:dyDescent="0.3">
      <c r="A936" s="1192" t="s">
        <v>158</v>
      </c>
      <c r="E936" s="2086" t="s">
        <v>90</v>
      </c>
      <c r="F936" s="1745"/>
      <c r="G936" s="1282" t="s">
        <v>19</v>
      </c>
      <c r="H936" s="565">
        <v>30</v>
      </c>
      <c r="V936" s="1192">
        <v>19</v>
      </c>
    </row>
    <row r="937" spans="1:22" s="1192" customFormat="1" ht="14.4" x14ac:dyDescent="0.3">
      <c r="A937" s="1192" t="s">
        <v>158</v>
      </c>
      <c r="E937" s="2086" t="s">
        <v>88</v>
      </c>
      <c r="F937" s="2086"/>
      <c r="G937" s="1282" t="s">
        <v>19</v>
      </c>
      <c r="H937" s="565">
        <v>30</v>
      </c>
      <c r="V937" s="1192">
        <v>74</v>
      </c>
    </row>
    <row r="938" spans="1:22" s="1192" customFormat="1" ht="14.4" x14ac:dyDescent="0.3">
      <c r="A938" s="1192" t="s">
        <v>158</v>
      </c>
      <c r="E938" s="802" t="s">
        <v>2468</v>
      </c>
      <c r="F938" s="567"/>
      <c r="G938" s="567"/>
      <c r="H938" s="872"/>
      <c r="K938" s="1192" t="s">
        <v>2469</v>
      </c>
      <c r="V938" s="1192">
        <v>22</v>
      </c>
    </row>
    <row r="939" spans="1:22" s="1192" customFormat="1" ht="14.4" x14ac:dyDescent="0.3">
      <c r="A939" s="1192" t="s">
        <v>158</v>
      </c>
      <c r="E939" s="2086" t="s">
        <v>6096</v>
      </c>
      <c r="F939" s="2086"/>
      <c r="G939" s="1282" t="s">
        <v>82</v>
      </c>
      <c r="H939" s="565">
        <v>1.5</v>
      </c>
      <c r="V939" s="1192">
        <v>102</v>
      </c>
    </row>
    <row r="940" spans="1:22" s="1192" customFormat="1" ht="14.4" x14ac:dyDescent="0.3">
      <c r="A940" s="1192" t="s">
        <v>158</v>
      </c>
      <c r="E940" s="2086" t="s">
        <v>6097</v>
      </c>
      <c r="F940" s="2086"/>
      <c r="G940" s="1282" t="s">
        <v>19</v>
      </c>
      <c r="H940" s="565">
        <v>65</v>
      </c>
      <c r="V940" s="1192">
        <v>45</v>
      </c>
    </row>
    <row r="941" spans="1:22" s="1192" customFormat="1" ht="14.4" x14ac:dyDescent="0.3">
      <c r="A941" s="1192" t="s">
        <v>158</v>
      </c>
      <c r="E941" s="2086" t="s">
        <v>6098</v>
      </c>
      <c r="F941" s="2086"/>
      <c r="G941" s="1282" t="s">
        <v>19</v>
      </c>
      <c r="H941" s="565">
        <v>185</v>
      </c>
      <c r="V941" s="1192">
        <v>44</v>
      </c>
    </row>
    <row r="942" spans="1:22" s="1192" customFormat="1" ht="14.4" x14ac:dyDescent="0.3">
      <c r="A942" s="1192" t="s">
        <v>158</v>
      </c>
      <c r="E942" s="2086" t="s">
        <v>6099</v>
      </c>
      <c r="F942" s="2086"/>
      <c r="G942" s="1282" t="s">
        <v>19</v>
      </c>
      <c r="H942" s="565">
        <v>185</v>
      </c>
      <c r="V942" s="1192">
        <v>44</v>
      </c>
    </row>
    <row r="943" spans="1:22" s="1192" customFormat="1" ht="14.4" x14ac:dyDescent="0.3">
      <c r="A943" s="1192" t="s">
        <v>158</v>
      </c>
      <c r="E943" s="2086" t="s">
        <v>6100</v>
      </c>
      <c r="F943" s="2086"/>
      <c r="G943" s="1282" t="s">
        <v>19</v>
      </c>
      <c r="H943" s="565">
        <v>415</v>
      </c>
      <c r="V943" s="1192">
        <v>43</v>
      </c>
    </row>
    <row r="944" spans="1:22" s="1192" customFormat="1" ht="14.4" x14ac:dyDescent="0.3">
      <c r="A944" s="1192" t="s">
        <v>158</v>
      </c>
      <c r="E944" s="802" t="s">
        <v>2474</v>
      </c>
      <c r="F944" s="803"/>
      <c r="G944" s="804"/>
      <c r="H944" s="873"/>
      <c r="V944" s="1192">
        <v>5</v>
      </c>
    </row>
    <row r="945" spans="1:22" s="1192" customFormat="1" ht="14.4" x14ac:dyDescent="0.3">
      <c r="A945" s="1192" t="s">
        <v>158</v>
      </c>
      <c r="E945" s="2086" t="s">
        <v>2475</v>
      </c>
      <c r="F945" s="2086"/>
      <c r="G945" s="1282"/>
      <c r="H945" s="836"/>
      <c r="V945" s="1192">
        <v>62</v>
      </c>
    </row>
    <row r="946" spans="1:22" s="1192" customFormat="1" ht="14.4" x14ac:dyDescent="0.3">
      <c r="A946" s="1192" t="s">
        <v>158</v>
      </c>
      <c r="E946" s="2086" t="s">
        <v>2476</v>
      </c>
      <c r="F946" s="1745"/>
      <c r="G946" s="1282" t="s">
        <v>19</v>
      </c>
      <c r="H946" s="1293">
        <v>44.5</v>
      </c>
      <c r="V946" s="1192">
        <v>44</v>
      </c>
    </row>
    <row r="947" spans="1:22" s="1192" customFormat="1" ht="14.4" x14ac:dyDescent="0.3">
      <c r="A947" s="1192" t="s">
        <v>158</v>
      </c>
      <c r="E947" s="2086" t="s">
        <v>2477</v>
      </c>
      <c r="F947" s="2086"/>
      <c r="G947" s="1282" t="s">
        <v>19</v>
      </c>
      <c r="H947" s="565">
        <v>30</v>
      </c>
      <c r="V947" s="1192">
        <v>39</v>
      </c>
    </row>
    <row r="948" spans="1:22" s="1192" customFormat="1" ht="14.4" x14ac:dyDescent="0.3">
      <c r="A948" s="1192" t="s">
        <v>158</v>
      </c>
      <c r="E948" s="2086" t="s">
        <v>2478</v>
      </c>
      <c r="F948" s="2086"/>
      <c r="G948" s="1282" t="s">
        <v>19</v>
      </c>
      <c r="H948" s="565">
        <v>165</v>
      </c>
      <c r="V948" s="1192">
        <v>34</v>
      </c>
    </row>
    <row r="949" spans="1:22" s="1192" customFormat="1" ht="14.4" x14ac:dyDescent="0.3">
      <c r="A949" s="1192" t="s">
        <v>158</v>
      </c>
      <c r="E949" s="2086" t="s">
        <v>2479</v>
      </c>
      <c r="F949" s="2086"/>
      <c r="G949" s="1282" t="s">
        <v>19</v>
      </c>
      <c r="H949" s="565">
        <v>500</v>
      </c>
      <c r="V949" s="1192">
        <v>63</v>
      </c>
    </row>
    <row r="950" spans="1:22" s="1192" customFormat="1" ht="14.4" x14ac:dyDescent="0.3">
      <c r="A950" s="1192" t="s">
        <v>158</v>
      </c>
      <c r="E950" s="2086" t="s">
        <v>2480</v>
      </c>
      <c r="F950" s="2086"/>
      <c r="G950" s="1282" t="s">
        <v>19</v>
      </c>
      <c r="H950" s="565">
        <v>300</v>
      </c>
      <c r="V950" s="1192">
        <v>65</v>
      </c>
    </row>
    <row r="951" spans="1:22" s="1192" customFormat="1" ht="14.4" x14ac:dyDescent="0.3">
      <c r="A951" s="1192" t="s">
        <v>158</v>
      </c>
      <c r="E951" s="2086" t="s">
        <v>2481</v>
      </c>
      <c r="F951" s="2086"/>
      <c r="G951" s="1282" t="s">
        <v>19</v>
      </c>
      <c r="H951" s="565">
        <v>1000</v>
      </c>
      <c r="V951" s="1192">
        <v>64</v>
      </c>
    </row>
    <row r="952" spans="1:22" s="1192" customFormat="1" ht="17.399999999999999" x14ac:dyDescent="0.3">
      <c r="A952" s="1192" t="s">
        <v>158</v>
      </c>
      <c r="E952" s="805" t="s">
        <v>73</v>
      </c>
      <c r="F952" s="806"/>
      <c r="G952" s="806"/>
      <c r="H952" s="874"/>
      <c r="K952" s="1192" t="s">
        <v>2482</v>
      </c>
      <c r="V952" s="1192">
        <v>38</v>
      </c>
    </row>
    <row r="953" spans="1:22" s="1192" customFormat="1" ht="14.4" x14ac:dyDescent="0.3">
      <c r="A953" s="1192" t="s">
        <v>158</v>
      </c>
      <c r="E953" s="2067" t="s">
        <v>2391</v>
      </c>
      <c r="F953" s="2067"/>
      <c r="G953" s="2067"/>
      <c r="H953" s="2128"/>
      <c r="V953" s="1192">
        <v>280</v>
      </c>
    </row>
    <row r="954" spans="1:22" s="1192" customFormat="1" ht="14.4" x14ac:dyDescent="0.3">
      <c r="A954" s="1192" t="s">
        <v>158</v>
      </c>
      <c r="E954" s="2067" t="s">
        <v>2483</v>
      </c>
      <c r="F954" s="2067"/>
      <c r="G954" s="2067"/>
      <c r="H954" s="2128"/>
      <c r="V954" s="1192">
        <v>413</v>
      </c>
    </row>
    <row r="955" spans="1:22" s="1192" customFormat="1" ht="14.4" x14ac:dyDescent="0.3">
      <c r="A955" s="1192" t="s">
        <v>158</v>
      </c>
      <c r="E955" s="2067" t="s">
        <v>2445</v>
      </c>
      <c r="F955" s="2067"/>
      <c r="G955" s="2067"/>
      <c r="H955" s="2128"/>
      <c r="V955" s="1192">
        <v>211</v>
      </c>
    </row>
    <row r="956" spans="1:22" s="1192" customFormat="1" ht="14.4" x14ac:dyDescent="0.3">
      <c r="A956" s="1192" t="s">
        <v>158</v>
      </c>
      <c r="E956" s="2067" t="s">
        <v>6101</v>
      </c>
      <c r="F956" s="2067"/>
      <c r="G956" s="2067"/>
      <c r="H956" s="2128"/>
      <c r="V956" s="1192">
        <v>248</v>
      </c>
    </row>
    <row r="957" spans="1:22" s="1192" customFormat="1" ht="14.4" x14ac:dyDescent="0.3">
      <c r="A957" s="1192" t="s">
        <v>158</v>
      </c>
      <c r="E957" s="2067" t="s">
        <v>2484</v>
      </c>
      <c r="F957" s="2067"/>
      <c r="G957" s="2067"/>
      <c r="H957" s="2128"/>
      <c r="V957" s="1192">
        <v>213</v>
      </c>
    </row>
    <row r="958" spans="1:22" s="1192" customFormat="1" ht="14.4" x14ac:dyDescent="0.3">
      <c r="A958" s="1192" t="s">
        <v>158</v>
      </c>
      <c r="E958" s="2101" t="s">
        <v>2485</v>
      </c>
      <c r="F958" s="2101"/>
      <c r="G958" s="569" t="s">
        <v>19</v>
      </c>
      <c r="H958" s="1293">
        <v>102</v>
      </c>
      <c r="V958" s="1192">
        <v>106</v>
      </c>
    </row>
    <row r="959" spans="1:22" s="1192" customFormat="1" ht="14.4" x14ac:dyDescent="0.3">
      <c r="A959" s="1192" t="s">
        <v>158</v>
      </c>
      <c r="E959" s="2101" t="s">
        <v>3919</v>
      </c>
      <c r="F959" s="2101"/>
      <c r="G959" s="569" t="s">
        <v>19</v>
      </c>
      <c r="H959" s="565">
        <v>40.799999999999997</v>
      </c>
      <c r="V959" s="1192">
        <v>34</v>
      </c>
    </row>
    <row r="960" spans="1:22" s="1192" customFormat="1" ht="14.4" x14ac:dyDescent="0.3">
      <c r="A960" s="1192" t="s">
        <v>158</v>
      </c>
      <c r="E960" s="2101" t="s">
        <v>3920</v>
      </c>
      <c r="F960" s="2101"/>
      <c r="G960" s="569" t="s">
        <v>2488</v>
      </c>
      <c r="H960" s="565">
        <v>1.02</v>
      </c>
      <c r="V960" s="1192">
        <v>51</v>
      </c>
    </row>
    <row r="961" spans="1:22" s="1192" customFormat="1" ht="14.4" x14ac:dyDescent="0.3">
      <c r="A961" s="1192" t="s">
        <v>158</v>
      </c>
      <c r="E961" s="2101" t="s">
        <v>2489</v>
      </c>
      <c r="F961" s="2101"/>
      <c r="G961" s="569" t="s">
        <v>2488</v>
      </c>
      <c r="H961" s="565">
        <v>0.61</v>
      </c>
      <c r="V961" s="1192">
        <v>75</v>
      </c>
    </row>
    <row r="962" spans="1:22" s="1192" customFormat="1" ht="14.4" x14ac:dyDescent="0.3">
      <c r="A962" s="1192" t="s">
        <v>158</v>
      </c>
      <c r="E962" s="2101" t="s">
        <v>2490</v>
      </c>
      <c r="F962" s="2101"/>
      <c r="G962" s="569" t="s">
        <v>2488</v>
      </c>
      <c r="H962" s="565">
        <v>-0.61</v>
      </c>
      <c r="V962" s="1192">
        <v>72</v>
      </c>
    </row>
    <row r="963" spans="1:22" s="1192" customFormat="1" ht="14.4" x14ac:dyDescent="0.3">
      <c r="A963" s="1192" t="s">
        <v>158</v>
      </c>
      <c r="E963" s="2101" t="s">
        <v>2491</v>
      </c>
      <c r="F963" s="2101"/>
      <c r="G963" s="571"/>
      <c r="H963" s="836"/>
      <c r="V963" s="1192">
        <v>35</v>
      </c>
    </row>
    <row r="964" spans="1:22" s="1192" customFormat="1" ht="14.4" x14ac:dyDescent="0.3">
      <c r="A964" s="1192" t="s">
        <v>158</v>
      </c>
      <c r="E964" s="2208" t="s">
        <v>2492</v>
      </c>
      <c r="F964" s="2208"/>
      <c r="G964" s="569" t="s">
        <v>19</v>
      </c>
      <c r="H964" s="1293">
        <v>0.51</v>
      </c>
      <c r="V964" s="1192">
        <v>57</v>
      </c>
    </row>
    <row r="965" spans="1:22" s="1192" customFormat="1" ht="14.4" x14ac:dyDescent="0.3">
      <c r="A965" s="1192" t="s">
        <v>158</v>
      </c>
      <c r="E965" s="2208" t="s">
        <v>2493</v>
      </c>
      <c r="F965" s="2208"/>
      <c r="G965" s="569" t="s">
        <v>19</v>
      </c>
      <c r="H965" s="565">
        <v>1.02</v>
      </c>
      <c r="V965" s="1192">
        <v>60</v>
      </c>
    </row>
    <row r="966" spans="1:22" s="1192" customFormat="1" ht="14.4" x14ac:dyDescent="0.3">
      <c r="A966" s="1192" t="s">
        <v>158</v>
      </c>
      <c r="E966" s="2101" t="s">
        <v>2494</v>
      </c>
      <c r="F966" s="2101"/>
      <c r="G966" s="571"/>
      <c r="H966" s="836"/>
      <c r="V966" s="1192">
        <v>91</v>
      </c>
    </row>
    <row r="967" spans="1:22" s="1192" customFormat="1" ht="14.4" x14ac:dyDescent="0.3">
      <c r="A967" s="1192" t="s">
        <v>158</v>
      </c>
      <c r="E967" s="2101" t="s">
        <v>2495</v>
      </c>
      <c r="F967" s="2101"/>
      <c r="G967" s="571"/>
      <c r="H967" s="836"/>
      <c r="V967" s="1192">
        <v>96</v>
      </c>
    </row>
    <row r="968" spans="1:22" s="1192" customFormat="1" ht="14.4" x14ac:dyDescent="0.3">
      <c r="A968" s="1192" t="s">
        <v>158</v>
      </c>
      <c r="E968" s="2101" t="s">
        <v>2496</v>
      </c>
      <c r="F968" s="2101"/>
      <c r="G968" s="571"/>
      <c r="H968" s="836"/>
      <c r="V968" s="1192">
        <v>78</v>
      </c>
    </row>
    <row r="969" spans="1:22" s="1192" customFormat="1" ht="14.4" x14ac:dyDescent="0.3">
      <c r="A969" s="1192" t="s">
        <v>158</v>
      </c>
      <c r="E969" s="2208" t="s">
        <v>2497</v>
      </c>
      <c r="F969" s="2208"/>
      <c r="G969" s="569" t="s">
        <v>19</v>
      </c>
      <c r="H969" s="836" t="s">
        <v>2498</v>
      </c>
      <c r="V969" s="1192">
        <v>18</v>
      </c>
    </row>
    <row r="970" spans="1:22" s="1192" customFormat="1" ht="14.4" x14ac:dyDescent="0.3">
      <c r="A970" s="1192" t="s">
        <v>158</v>
      </c>
      <c r="E970" s="2208" t="s">
        <v>2499</v>
      </c>
      <c r="F970" s="2208"/>
      <c r="G970" s="569" t="s">
        <v>19</v>
      </c>
      <c r="H970" s="1295">
        <v>4.08</v>
      </c>
      <c r="V970" s="1192">
        <v>69</v>
      </c>
    </row>
    <row r="971" spans="1:22" s="1192" customFormat="1" ht="14.4" x14ac:dyDescent="0.3">
      <c r="A971" s="1192" t="s">
        <v>158</v>
      </c>
      <c r="E971" s="2094" t="s">
        <v>4608</v>
      </c>
      <c r="F971" s="2094"/>
      <c r="G971" s="957" t="s">
        <v>19</v>
      </c>
      <c r="H971" s="565">
        <v>2.04</v>
      </c>
      <c r="V971" s="1192">
        <v>199</v>
      </c>
    </row>
    <row r="972" spans="1:22" s="1192" customFormat="1" ht="17.399999999999999" x14ac:dyDescent="0.3">
      <c r="A972" s="1192" t="s">
        <v>158</v>
      </c>
      <c r="E972" s="1296" t="s">
        <v>143</v>
      </c>
      <c r="F972" s="801"/>
      <c r="G972" s="801"/>
      <c r="H972" s="870"/>
      <c r="K972" s="1192" t="s">
        <v>2500</v>
      </c>
      <c r="V972" s="1192">
        <v>12</v>
      </c>
    </row>
    <row r="973" spans="1:22" s="1192" customFormat="1" ht="14.4" x14ac:dyDescent="0.3">
      <c r="A973" s="1192" t="s">
        <v>158</v>
      </c>
      <c r="E973" s="2059" t="s">
        <v>2501</v>
      </c>
      <c r="F973" s="2059"/>
      <c r="G973" s="2059"/>
      <c r="H973" s="2120"/>
      <c r="V973" s="1192">
        <v>203</v>
      </c>
    </row>
    <row r="974" spans="1:22" s="1192" customFormat="1" ht="14.4" x14ac:dyDescent="0.3">
      <c r="A974" s="1192" t="s">
        <v>158</v>
      </c>
      <c r="E974" s="2101" t="s">
        <v>2502</v>
      </c>
      <c r="F974" s="2101"/>
      <c r="G974" s="572"/>
      <c r="H974" s="836">
        <v>1.0829</v>
      </c>
      <c r="V974" s="1192">
        <v>46</v>
      </c>
    </row>
    <row r="975" spans="1:22" s="1192" customFormat="1" ht="14.4" x14ac:dyDescent="0.3">
      <c r="A975" s="1192" t="s">
        <v>158</v>
      </c>
      <c r="E975" s="2101" t="s">
        <v>2503</v>
      </c>
      <c r="F975" s="2101"/>
      <c r="G975" s="572"/>
      <c r="H975" s="836">
        <v>1.0721000000000001</v>
      </c>
      <c r="J975" s="1192" t="s">
        <v>2504</v>
      </c>
      <c r="V975" s="1192">
        <v>45</v>
      </c>
    </row>
    <row r="976" spans="1:22" s="1192" customFormat="1" ht="22.8" x14ac:dyDescent="0.3">
      <c r="A976" s="1192" t="s">
        <v>172</v>
      </c>
      <c r="C976" s="1192" t="s">
        <v>2378</v>
      </c>
      <c r="E976" s="1752" t="s">
        <v>172</v>
      </c>
      <c r="F976" s="1752"/>
      <c r="G976" s="1752"/>
      <c r="H976" s="1752"/>
      <c r="I976" s="1192" t="s">
        <v>603</v>
      </c>
      <c r="J976" s="1192" t="s">
        <v>4483</v>
      </c>
      <c r="K976" s="1192" t="s">
        <v>172</v>
      </c>
      <c r="M976" s="1192">
        <v>6</v>
      </c>
      <c r="V976" s="1192">
        <v>29</v>
      </c>
    </row>
    <row r="977" spans="1:22" s="1192" customFormat="1" ht="17.399999999999999" x14ac:dyDescent="0.3">
      <c r="A977" s="1192" t="s">
        <v>172</v>
      </c>
      <c r="C977" s="1192" t="s">
        <v>2380</v>
      </c>
      <c r="E977" s="1753" t="s">
        <v>2381</v>
      </c>
      <c r="F977" s="1753"/>
      <c r="G977" s="1753"/>
      <c r="H977" s="1753"/>
      <c r="V977" s="1192">
        <v>27</v>
      </c>
    </row>
    <row r="978" spans="1:22" s="1192" customFormat="1" ht="15.6" x14ac:dyDescent="0.3">
      <c r="A978" s="1192" t="s">
        <v>172</v>
      </c>
      <c r="C978" s="1192" t="s">
        <v>2382</v>
      </c>
      <c r="E978" s="1754" t="s">
        <v>5937</v>
      </c>
      <c r="F978" s="1754"/>
      <c r="G978" s="1754"/>
      <c r="H978" s="1754"/>
      <c r="S978" s="1192">
        <v>43831</v>
      </c>
      <c r="V978" s="1192">
        <v>49</v>
      </c>
    </row>
    <row r="979" spans="1:22" s="1192" customFormat="1" ht="14.4" x14ac:dyDescent="0.3">
      <c r="A979" s="1192" t="s">
        <v>172</v>
      </c>
      <c r="C979" s="1192" t="s">
        <v>2383</v>
      </c>
      <c r="E979" s="1755" t="s">
        <v>2384</v>
      </c>
      <c r="F979" s="1755"/>
      <c r="G979" s="1755"/>
      <c r="H979" s="1755"/>
      <c r="V979" s="1192">
        <v>52</v>
      </c>
    </row>
    <row r="980" spans="1:22" s="1192" customFormat="1" ht="14.4" x14ac:dyDescent="0.3">
      <c r="A980" s="1192" t="s">
        <v>172</v>
      </c>
      <c r="E980" s="1755" t="s">
        <v>2385</v>
      </c>
      <c r="F980" s="1755"/>
      <c r="G980" s="1755"/>
      <c r="H980" s="1755"/>
      <c r="V980" s="1192">
        <v>53</v>
      </c>
    </row>
    <row r="981" spans="1:22" s="1192" customFormat="1" ht="14.4" x14ac:dyDescent="0.3">
      <c r="A981" s="1192" t="s">
        <v>172</v>
      </c>
      <c r="E981" s="2209" t="s">
        <v>6102</v>
      </c>
      <c r="F981" s="1907"/>
      <c r="G981" s="1907"/>
      <c r="H981" s="1907"/>
      <c r="K981" s="1192" t="s">
        <v>6102</v>
      </c>
      <c r="V981" s="1192">
        <v>12</v>
      </c>
    </row>
    <row r="982" spans="1:22" s="1192" customFormat="1" ht="14.4" x14ac:dyDescent="0.3">
      <c r="A982" s="1192" t="s">
        <v>172</v>
      </c>
      <c r="E982" s="1746" t="s">
        <v>427</v>
      </c>
      <c r="F982" s="1988"/>
      <c r="G982" s="1988"/>
      <c r="H982" s="1988"/>
      <c r="K982" s="1192" t="s">
        <v>2506</v>
      </c>
      <c r="V982" s="1192">
        <v>34</v>
      </c>
    </row>
    <row r="983" spans="1:22" s="1192" customFormat="1" ht="14.4" x14ac:dyDescent="0.3">
      <c r="A983" s="1192" t="s">
        <v>172</v>
      </c>
      <c r="E983" s="1743" t="s">
        <v>4484</v>
      </c>
      <c r="F983" s="1743"/>
      <c r="G983" s="1743"/>
      <c r="H983" s="1743"/>
      <c r="K983" s="1192" t="s">
        <v>2506</v>
      </c>
      <c r="V983" s="1192">
        <v>649</v>
      </c>
    </row>
    <row r="984" spans="1:22" s="1192" customFormat="1" ht="14.4" x14ac:dyDescent="0.3">
      <c r="A984" s="1192" t="s">
        <v>172</v>
      </c>
      <c r="E984" s="1750" t="s">
        <v>2389</v>
      </c>
      <c r="F984" s="1743"/>
      <c r="G984" s="1743"/>
      <c r="H984" s="1743"/>
      <c r="K984" s="1192" t="s">
        <v>2390</v>
      </c>
      <c r="V984" s="1192">
        <v>11</v>
      </c>
    </row>
    <row r="985" spans="1:22" s="1192" customFormat="1" ht="14.4" x14ac:dyDescent="0.3">
      <c r="A985" s="1192" t="s">
        <v>172</v>
      </c>
      <c r="E985" s="1743" t="s">
        <v>2762</v>
      </c>
      <c r="F985" s="1743"/>
      <c r="G985" s="1743"/>
      <c r="H985" s="1743"/>
      <c r="K985" s="1192" t="s">
        <v>2506</v>
      </c>
      <c r="V985" s="1192">
        <v>272</v>
      </c>
    </row>
    <row r="986" spans="1:22" s="1192" customFormat="1" ht="14.4" x14ac:dyDescent="0.3">
      <c r="A986" s="1192" t="s">
        <v>172</v>
      </c>
      <c r="E986" s="1743" t="s">
        <v>2763</v>
      </c>
      <c r="F986" s="1743"/>
      <c r="G986" s="1743"/>
      <c r="H986" s="1743"/>
      <c r="K986" s="1192" t="s">
        <v>2506</v>
      </c>
      <c r="V986" s="1192">
        <v>403</v>
      </c>
    </row>
    <row r="987" spans="1:22" s="1192" customFormat="1" ht="14.4" x14ac:dyDescent="0.3">
      <c r="A987" s="1192" t="s">
        <v>172</v>
      </c>
      <c r="E987" s="1743" t="s">
        <v>2508</v>
      </c>
      <c r="F987" s="1743"/>
      <c r="G987" s="1743"/>
      <c r="H987" s="1743"/>
      <c r="K987" s="1192" t="s">
        <v>2506</v>
      </c>
      <c r="V987" s="1192">
        <v>386</v>
      </c>
    </row>
    <row r="988" spans="1:22" s="1192" customFormat="1" ht="14.4" x14ac:dyDescent="0.3">
      <c r="A988" s="1192" t="s">
        <v>172</v>
      </c>
      <c r="E988" s="1743" t="s">
        <v>4500</v>
      </c>
      <c r="F988" s="1743"/>
      <c r="G988" s="1743"/>
      <c r="H988" s="1743"/>
      <c r="K988" s="1192" t="s">
        <v>2506</v>
      </c>
      <c r="V988" s="1192">
        <v>247</v>
      </c>
    </row>
    <row r="989" spans="1:22" s="1192" customFormat="1" ht="14.4" x14ac:dyDescent="0.3">
      <c r="A989" s="1192" t="s">
        <v>172</v>
      </c>
      <c r="E989" s="1750" t="s">
        <v>2394</v>
      </c>
      <c r="F989" s="1743"/>
      <c r="G989" s="1743"/>
      <c r="H989" s="1743"/>
      <c r="K989" s="1192" t="s">
        <v>2395</v>
      </c>
      <c r="V989" s="1192">
        <v>46</v>
      </c>
    </row>
    <row r="990" spans="1:22" s="1192" customFormat="1" ht="14.4" x14ac:dyDescent="0.3">
      <c r="A990" s="1192" t="s">
        <v>172</v>
      </c>
      <c r="E990" s="1741" t="s">
        <v>7</v>
      </c>
      <c r="F990" s="1741"/>
      <c r="G990" s="524" t="s">
        <v>19</v>
      </c>
      <c r="H990" s="1218">
        <v>36.630000000000003</v>
      </c>
      <c r="K990" s="1192" t="s">
        <v>2506</v>
      </c>
      <c r="L990" s="1192" t="s">
        <v>430</v>
      </c>
      <c r="P990" s="1192" t="s">
        <v>2510</v>
      </c>
      <c r="V990" s="1192">
        <v>14</v>
      </c>
    </row>
    <row r="991" spans="1:22" s="1192" customFormat="1" ht="14.4" x14ac:dyDescent="0.3">
      <c r="A991" s="1192" t="s">
        <v>172</v>
      </c>
      <c r="E991" s="1741" t="s">
        <v>3900</v>
      </c>
      <c r="F991" s="1741"/>
      <c r="G991" s="524" t="s">
        <v>19</v>
      </c>
      <c r="H991" s="1218">
        <v>0.56999999999999995</v>
      </c>
      <c r="K991" s="1192" t="s">
        <v>2506</v>
      </c>
      <c r="L991" s="1192" t="s">
        <v>431</v>
      </c>
      <c r="P991" s="1192" t="s">
        <v>2511</v>
      </c>
      <c r="T991" s="1192">
        <v>44926</v>
      </c>
      <c r="V991" s="1192">
        <v>64</v>
      </c>
    </row>
    <row r="992" spans="1:22" s="1192" customFormat="1" ht="14.4" x14ac:dyDescent="0.3">
      <c r="A992" s="1192" t="s">
        <v>172</v>
      </c>
      <c r="E992" s="1741" t="s">
        <v>4485</v>
      </c>
      <c r="F992" s="1741"/>
      <c r="G992" s="524" t="s">
        <v>19</v>
      </c>
      <c r="H992" s="1218">
        <v>0.21</v>
      </c>
      <c r="K992" s="1192" t="s">
        <v>2506</v>
      </c>
      <c r="L992" s="1192" t="s">
        <v>430</v>
      </c>
      <c r="P992" s="1192" t="s">
        <v>2516</v>
      </c>
      <c r="T992" s="1192">
        <v>44196</v>
      </c>
      <c r="V992" s="1192">
        <v>107</v>
      </c>
    </row>
    <row r="993" spans="1:22" s="1192" customFormat="1" ht="14.4" x14ac:dyDescent="0.3">
      <c r="A993" s="1192" t="s">
        <v>172</v>
      </c>
      <c r="E993" s="1741" t="s">
        <v>14</v>
      </c>
      <c r="F993" s="1741"/>
      <c r="G993" s="524" t="s">
        <v>20</v>
      </c>
      <c r="H993" s="1219">
        <v>3.3E-3</v>
      </c>
      <c r="K993" s="1192" t="s">
        <v>2506</v>
      </c>
      <c r="L993" s="1192" t="s">
        <v>431</v>
      </c>
      <c r="P993" s="1192" t="s">
        <v>2513</v>
      </c>
      <c r="V993" s="1192">
        <v>24</v>
      </c>
    </row>
    <row r="994" spans="1:22" s="1192" customFormat="1" ht="14.4" x14ac:dyDescent="0.3">
      <c r="A994" s="1192" t="s">
        <v>172</v>
      </c>
      <c r="E994" s="1741" t="s">
        <v>4486</v>
      </c>
      <c r="F994" s="1741"/>
      <c r="G994" s="524" t="s">
        <v>20</v>
      </c>
      <c r="H994" s="1219">
        <v>2.0999999999999999E-3</v>
      </c>
      <c r="K994" s="1192" t="s">
        <v>2506</v>
      </c>
      <c r="L994" s="1192" t="s">
        <v>431</v>
      </c>
      <c r="P994" s="1192" t="s">
        <v>2516</v>
      </c>
      <c r="T994" s="1192">
        <v>44196</v>
      </c>
      <c r="V994" s="1192">
        <v>99</v>
      </c>
    </row>
    <row r="995" spans="1:22" s="1192" customFormat="1" ht="14.4" x14ac:dyDescent="0.3">
      <c r="A995" s="1192" t="s">
        <v>172</v>
      </c>
      <c r="E995" s="1741" t="s">
        <v>4487</v>
      </c>
      <c r="F995" s="1741"/>
      <c r="G995" s="524" t="s">
        <v>20</v>
      </c>
      <c r="H995" s="1219">
        <v>-8.0000000000000004E-4</v>
      </c>
      <c r="K995" s="1192" t="s">
        <v>2506</v>
      </c>
      <c r="L995" s="1192" t="s">
        <v>431</v>
      </c>
      <c r="P995" s="1192" t="s">
        <v>2514</v>
      </c>
      <c r="T995" s="1192">
        <v>44196</v>
      </c>
      <c r="V995" s="1192">
        <v>141</v>
      </c>
    </row>
    <row r="996" spans="1:22" s="1192" customFormat="1" ht="14.4" x14ac:dyDescent="0.3">
      <c r="A996" s="1192" t="s">
        <v>172</v>
      </c>
      <c r="E996" s="1741" t="s">
        <v>4560</v>
      </c>
      <c r="F996" s="1741"/>
      <c r="G996" s="524" t="s">
        <v>20</v>
      </c>
      <c r="H996" s="1219">
        <v>1E-4</v>
      </c>
      <c r="K996" s="1192" t="s">
        <v>2506</v>
      </c>
      <c r="L996" s="1192" t="s">
        <v>430</v>
      </c>
      <c r="P996" s="1192" t="s">
        <v>2515</v>
      </c>
      <c r="T996" s="1192">
        <v>44196</v>
      </c>
      <c r="V996" s="1192">
        <v>138</v>
      </c>
    </row>
    <row r="997" spans="1:22" s="1192" customFormat="1" ht="14.4" x14ac:dyDescent="0.3">
      <c r="A997" s="1192" t="s">
        <v>172</v>
      </c>
      <c r="E997" s="1741" t="s">
        <v>6103</v>
      </c>
      <c r="F997" s="1998"/>
      <c r="G997" s="524" t="s">
        <v>20</v>
      </c>
      <c r="H997" s="1219">
        <v>4.0000000000000002E-4</v>
      </c>
      <c r="K997" s="1192" t="s">
        <v>2506</v>
      </c>
      <c r="L997" s="1192" t="s">
        <v>430</v>
      </c>
      <c r="P997" s="1192" t="s">
        <v>2515</v>
      </c>
      <c r="T997" s="1192">
        <v>44196</v>
      </c>
      <c r="V997" s="1192">
        <v>137</v>
      </c>
    </row>
    <row r="998" spans="1:22" s="1192" customFormat="1" ht="14.4" x14ac:dyDescent="0.3">
      <c r="A998" s="1192" t="s">
        <v>172</v>
      </c>
      <c r="E998" s="1741" t="s">
        <v>213</v>
      </c>
      <c r="F998" s="1741"/>
      <c r="G998" s="524" t="s">
        <v>20</v>
      </c>
      <c r="H998" s="1219">
        <v>7.4999999999999997E-3</v>
      </c>
      <c r="K998" s="1192" t="s">
        <v>2506</v>
      </c>
      <c r="L998" s="1192" t="s">
        <v>432</v>
      </c>
      <c r="P998" s="1192" t="s">
        <v>2517</v>
      </c>
      <c r="V998" s="1192">
        <v>47</v>
      </c>
    </row>
    <row r="999" spans="1:22" s="1192" customFormat="1" ht="14.4" x14ac:dyDescent="0.3">
      <c r="A999" s="1192" t="s">
        <v>172</v>
      </c>
      <c r="E999" s="1741" t="s">
        <v>209</v>
      </c>
      <c r="F999" s="1741"/>
      <c r="G999" s="524" t="s">
        <v>20</v>
      </c>
      <c r="H999" s="1219">
        <v>6.4999999999999997E-3</v>
      </c>
      <c r="K999" s="1192" t="s">
        <v>2506</v>
      </c>
      <c r="L999" s="1192" t="s">
        <v>432</v>
      </c>
      <c r="P999" s="1192" t="s">
        <v>2518</v>
      </c>
      <c r="V999" s="1192">
        <v>74</v>
      </c>
    </row>
    <row r="1000" spans="1:22" s="1192" customFormat="1" ht="14.4" x14ac:dyDescent="0.3">
      <c r="A1000" s="1192" t="s">
        <v>172</v>
      </c>
      <c r="E1000" s="1750" t="s">
        <v>2405</v>
      </c>
      <c r="F1000" s="1741"/>
      <c r="G1000" s="1277"/>
      <c r="H1000" s="896"/>
      <c r="K1000" s="1192" t="s">
        <v>2406</v>
      </c>
      <c r="V1000" s="1192">
        <v>48</v>
      </c>
    </row>
    <row r="1001" spans="1:22" s="1192" customFormat="1" ht="14.4" x14ac:dyDescent="0.3">
      <c r="A1001" s="1192" t="s">
        <v>172</v>
      </c>
      <c r="E1001" s="1741" t="s">
        <v>2033</v>
      </c>
      <c r="F1001" s="1741"/>
      <c r="G1001" s="524" t="s">
        <v>20</v>
      </c>
      <c r="H1001" s="1219">
        <v>3.0000000000000001E-3</v>
      </c>
      <c r="K1001" s="1192" t="s">
        <v>2506</v>
      </c>
      <c r="L1001" s="1192" t="s">
        <v>2374</v>
      </c>
      <c r="P1001" s="1192" t="s">
        <v>2519</v>
      </c>
      <c r="V1001" s="1192">
        <v>55</v>
      </c>
    </row>
    <row r="1002" spans="1:22" s="1192" customFormat="1" ht="14.4" x14ac:dyDescent="0.3">
      <c r="A1002" s="1192" t="s">
        <v>172</v>
      </c>
      <c r="E1002" s="1741" t="s">
        <v>2034</v>
      </c>
      <c r="F1002" s="1741"/>
      <c r="G1002" s="524" t="s">
        <v>20</v>
      </c>
      <c r="H1002" s="1219">
        <v>4.0000000000000002E-4</v>
      </c>
      <c r="K1002" s="1192" t="s">
        <v>2506</v>
      </c>
      <c r="L1002" s="1192" t="s">
        <v>2374</v>
      </c>
      <c r="P1002" s="1192" t="s">
        <v>2519</v>
      </c>
      <c r="V1002" s="1192">
        <v>65</v>
      </c>
    </row>
    <row r="1003" spans="1:22" s="1192" customFormat="1" ht="14.4" x14ac:dyDescent="0.3">
      <c r="A1003" s="1192" t="s">
        <v>172</v>
      </c>
      <c r="E1003" s="1741" t="s">
        <v>428</v>
      </c>
      <c r="F1003" s="1741"/>
      <c r="G1003" s="524" t="s">
        <v>20</v>
      </c>
      <c r="H1003" s="1219">
        <v>5.0000000000000001E-4</v>
      </c>
      <c r="K1003" s="1192" t="s">
        <v>2506</v>
      </c>
      <c r="L1003" s="1192" t="s">
        <v>2374</v>
      </c>
      <c r="P1003" s="1192" t="s">
        <v>2520</v>
      </c>
      <c r="V1003" s="1192">
        <v>57</v>
      </c>
    </row>
    <row r="1004" spans="1:22" s="1192" customFormat="1" ht="14.4" x14ac:dyDescent="0.3">
      <c r="A1004" s="1192" t="s">
        <v>172</v>
      </c>
      <c r="E1004" s="1741" t="s">
        <v>28</v>
      </c>
      <c r="F1004" s="1741"/>
      <c r="G1004" s="524" t="s">
        <v>19</v>
      </c>
      <c r="H1004" s="1218">
        <v>0.25</v>
      </c>
      <c r="K1004" s="1192" t="s">
        <v>2506</v>
      </c>
      <c r="L1004" s="1192" t="s">
        <v>2374</v>
      </c>
      <c r="P1004" s="1192" t="s">
        <v>2521</v>
      </c>
      <c r="V1004" s="1192">
        <v>63</v>
      </c>
    </row>
    <row r="1005" spans="1:22" s="1192" customFormat="1" ht="17.399999999999999" x14ac:dyDescent="0.3">
      <c r="A1005" s="1192" t="s">
        <v>172</v>
      </c>
      <c r="E1005" s="1746" t="s">
        <v>2522</v>
      </c>
      <c r="F1005" s="1747"/>
      <c r="G1005" s="1747"/>
      <c r="H1005" s="1747"/>
      <c r="K1005" s="1192" t="s">
        <v>3901</v>
      </c>
      <c r="V1005" s="1192">
        <v>54</v>
      </c>
    </row>
    <row r="1006" spans="1:22" s="1192" customFormat="1" ht="14.4" x14ac:dyDescent="0.3">
      <c r="A1006" s="1192" t="s">
        <v>172</v>
      </c>
      <c r="E1006" s="1743" t="s">
        <v>4488</v>
      </c>
      <c r="F1006" s="1743"/>
      <c r="G1006" s="1743"/>
      <c r="H1006" s="1743"/>
      <c r="K1006" s="1192" t="s">
        <v>3901</v>
      </c>
      <c r="V1006" s="1192">
        <v>336</v>
      </c>
    </row>
    <row r="1007" spans="1:22" s="1192" customFormat="1" ht="14.4" x14ac:dyDescent="0.3">
      <c r="A1007" s="1192" t="s">
        <v>172</v>
      </c>
      <c r="E1007" s="1750" t="s">
        <v>2389</v>
      </c>
      <c r="F1007" s="1743"/>
      <c r="G1007" s="1743"/>
      <c r="H1007" s="1743"/>
      <c r="K1007" s="1192" t="s">
        <v>2412</v>
      </c>
      <c r="V1007" s="1192">
        <v>11</v>
      </c>
    </row>
    <row r="1008" spans="1:22" s="1192" customFormat="1" ht="14.4" x14ac:dyDescent="0.3">
      <c r="A1008" s="1192" t="s">
        <v>172</v>
      </c>
      <c r="E1008" s="1743" t="s">
        <v>2762</v>
      </c>
      <c r="F1008" s="1743"/>
      <c r="G1008" s="1743"/>
      <c r="H1008" s="1743"/>
      <c r="K1008" s="1192" t="s">
        <v>3901</v>
      </c>
      <c r="V1008" s="1192">
        <v>272</v>
      </c>
    </row>
    <row r="1009" spans="1:22" s="1192" customFormat="1" ht="14.4" x14ac:dyDescent="0.3">
      <c r="A1009" s="1192" t="s">
        <v>172</v>
      </c>
      <c r="E1009" s="1743" t="s">
        <v>2763</v>
      </c>
      <c r="F1009" s="1743"/>
      <c r="G1009" s="1743"/>
      <c r="H1009" s="1743"/>
      <c r="K1009" s="1192" t="s">
        <v>3901</v>
      </c>
      <c r="V1009" s="1192">
        <v>403</v>
      </c>
    </row>
    <row r="1010" spans="1:22" s="1192" customFormat="1" ht="14.4" x14ac:dyDescent="0.3">
      <c r="A1010" s="1192" t="s">
        <v>172</v>
      </c>
      <c r="E1010" s="1743" t="s">
        <v>2508</v>
      </c>
      <c r="F1010" s="1743"/>
      <c r="G1010" s="1743"/>
      <c r="H1010" s="1743"/>
      <c r="K1010" s="1192" t="s">
        <v>3901</v>
      </c>
      <c r="V1010" s="1192">
        <v>386</v>
      </c>
    </row>
    <row r="1011" spans="1:22" s="1192" customFormat="1" ht="14.4" x14ac:dyDescent="0.3">
      <c r="A1011" s="1192" t="s">
        <v>172</v>
      </c>
      <c r="E1011" s="1743" t="s">
        <v>4500</v>
      </c>
      <c r="F1011" s="1743"/>
      <c r="G1011" s="1743"/>
      <c r="H1011" s="1743"/>
      <c r="K1011" s="1192" t="s">
        <v>3901</v>
      </c>
      <c r="V1011" s="1192">
        <v>247</v>
      </c>
    </row>
    <row r="1012" spans="1:22" s="1192" customFormat="1" ht="14.4" x14ac:dyDescent="0.3">
      <c r="A1012" s="1192" t="s">
        <v>172</v>
      </c>
      <c r="E1012" s="1750" t="s">
        <v>2394</v>
      </c>
      <c r="F1012" s="1743"/>
      <c r="G1012" s="1743"/>
      <c r="H1012" s="1743"/>
      <c r="K1012" s="1192" t="s">
        <v>2413</v>
      </c>
      <c r="V1012" s="1192">
        <v>46</v>
      </c>
    </row>
    <row r="1013" spans="1:22" s="1192" customFormat="1" ht="14.4" x14ac:dyDescent="0.3">
      <c r="A1013" s="1192" t="s">
        <v>172</v>
      </c>
      <c r="E1013" s="1741" t="s">
        <v>7</v>
      </c>
      <c r="F1013" s="1741"/>
      <c r="G1013" s="524" t="s">
        <v>19</v>
      </c>
      <c r="H1013" s="1218">
        <v>21.86</v>
      </c>
      <c r="K1013" s="1192" t="s">
        <v>3901</v>
      </c>
      <c r="L1013" s="1192" t="s">
        <v>430</v>
      </c>
      <c r="P1013" s="1192" t="s">
        <v>3902</v>
      </c>
      <c r="V1013" s="1192">
        <v>14</v>
      </c>
    </row>
    <row r="1014" spans="1:22" s="1192" customFormat="1" ht="14.4" x14ac:dyDescent="0.3">
      <c r="A1014" s="1192" t="s">
        <v>172</v>
      </c>
      <c r="E1014" s="1741" t="s">
        <v>3900</v>
      </c>
      <c r="F1014" s="1741"/>
      <c r="G1014" s="524" t="s">
        <v>19</v>
      </c>
      <c r="H1014" s="1218">
        <v>0.56999999999999995</v>
      </c>
      <c r="K1014" s="1192" t="s">
        <v>3901</v>
      </c>
      <c r="L1014" s="1192" t="s">
        <v>431</v>
      </c>
      <c r="P1014" s="1192" t="s">
        <v>3903</v>
      </c>
      <c r="T1014" s="1192">
        <v>44926</v>
      </c>
      <c r="V1014" s="1192">
        <v>64</v>
      </c>
    </row>
    <row r="1015" spans="1:22" s="1192" customFormat="1" ht="14.4" x14ac:dyDescent="0.3">
      <c r="A1015" s="1192" t="s">
        <v>172</v>
      </c>
      <c r="E1015" s="1741" t="s">
        <v>80</v>
      </c>
      <c r="F1015" s="1741"/>
      <c r="G1015" s="524" t="s">
        <v>20</v>
      </c>
      <c r="H1015" s="1219">
        <v>1.83E-2</v>
      </c>
      <c r="K1015" s="1192" t="s">
        <v>3901</v>
      </c>
      <c r="L1015" s="1192" t="s">
        <v>430</v>
      </c>
      <c r="P1015" s="1192" t="s">
        <v>3904</v>
      </c>
      <c r="V1015" s="1192">
        <v>28</v>
      </c>
    </row>
    <row r="1016" spans="1:22" s="1192" customFormat="1" ht="14.4" x14ac:dyDescent="0.3">
      <c r="A1016" s="1192" t="s">
        <v>172</v>
      </c>
      <c r="E1016" s="1741" t="s">
        <v>14</v>
      </c>
      <c r="F1016" s="1741"/>
      <c r="G1016" s="524" t="s">
        <v>20</v>
      </c>
      <c r="H1016" s="1219">
        <v>2.8999999999999998E-3</v>
      </c>
      <c r="K1016" s="1192" t="s">
        <v>3901</v>
      </c>
      <c r="L1016" s="1192" t="s">
        <v>431</v>
      </c>
      <c r="P1016" s="1192" t="s">
        <v>3905</v>
      </c>
      <c r="V1016" s="1192">
        <v>24</v>
      </c>
    </row>
    <row r="1017" spans="1:22" s="1192" customFormat="1" ht="14.4" x14ac:dyDescent="0.3">
      <c r="A1017" s="1192" t="s">
        <v>172</v>
      </c>
      <c r="E1017" s="1741" t="s">
        <v>4486</v>
      </c>
      <c r="F1017" s="1741"/>
      <c r="G1017" s="524" t="s">
        <v>20</v>
      </c>
      <c r="H1017" s="1219">
        <v>2.3E-3</v>
      </c>
      <c r="K1017" s="1192" t="s">
        <v>3901</v>
      </c>
      <c r="L1017" s="1192" t="s">
        <v>431</v>
      </c>
      <c r="P1017" s="1192" t="s">
        <v>3911</v>
      </c>
      <c r="T1017" s="1192">
        <v>44196</v>
      </c>
      <c r="V1017" s="1192">
        <v>99</v>
      </c>
    </row>
    <row r="1018" spans="1:22" s="1192" customFormat="1" ht="14.4" x14ac:dyDescent="0.3">
      <c r="A1018" s="1192" t="s">
        <v>172</v>
      </c>
      <c r="E1018" s="1741" t="s">
        <v>4487</v>
      </c>
      <c r="F1018" s="1741"/>
      <c r="G1018" s="524" t="s">
        <v>20</v>
      </c>
      <c r="H1018" s="1219">
        <v>-8.0000000000000004E-4</v>
      </c>
      <c r="K1018" s="1192" t="s">
        <v>3901</v>
      </c>
      <c r="L1018" s="1192" t="s">
        <v>431</v>
      </c>
      <c r="P1018" s="1192" t="s">
        <v>3700</v>
      </c>
      <c r="T1018" s="1192">
        <v>44196</v>
      </c>
      <c r="V1018" s="1192">
        <v>141</v>
      </c>
    </row>
    <row r="1019" spans="1:22" s="1192" customFormat="1" ht="14.4" x14ac:dyDescent="0.3">
      <c r="A1019" s="1192" t="s">
        <v>172</v>
      </c>
      <c r="E1019" s="2011" t="s">
        <v>4485</v>
      </c>
      <c r="F1019" s="2011"/>
      <c r="G1019" s="770" t="s">
        <v>20</v>
      </c>
      <c r="H1019" s="514">
        <v>2.0000000000000001E-4</v>
      </c>
      <c r="K1019" s="1192" t="s">
        <v>3901</v>
      </c>
      <c r="L1019" s="1192" t="s">
        <v>430</v>
      </c>
      <c r="P1019" s="1192" t="s">
        <v>3911</v>
      </c>
      <c r="T1019" s="1192">
        <v>44196</v>
      </c>
      <c r="V1019" s="1192">
        <v>107</v>
      </c>
    </row>
    <row r="1020" spans="1:22" s="1192" customFormat="1" ht="14.4" x14ac:dyDescent="0.3">
      <c r="A1020" s="1192" t="s">
        <v>172</v>
      </c>
      <c r="E1020" s="1741" t="s">
        <v>4563</v>
      </c>
      <c r="F1020" s="1741"/>
      <c r="G1020" s="524" t="s">
        <v>20</v>
      </c>
      <c r="H1020" s="1219">
        <v>1E-3</v>
      </c>
      <c r="K1020" s="1192" t="s">
        <v>3901</v>
      </c>
      <c r="L1020" s="1192" t="s">
        <v>430</v>
      </c>
      <c r="P1020" s="1192" t="s">
        <v>4000</v>
      </c>
      <c r="T1020" s="1192">
        <v>44196</v>
      </c>
      <c r="V1020" s="1192">
        <v>137</v>
      </c>
    </row>
    <row r="1021" spans="1:22" s="1192" customFormat="1" ht="14.4" x14ac:dyDescent="0.3">
      <c r="A1021" s="1192" t="s">
        <v>172</v>
      </c>
      <c r="E1021" s="1741" t="s">
        <v>6104</v>
      </c>
      <c r="F1021" s="1998"/>
      <c r="G1021" s="524" t="s">
        <v>20</v>
      </c>
      <c r="H1021" s="1219">
        <v>2.9999999999999997E-4</v>
      </c>
      <c r="K1021" s="1192" t="s">
        <v>3901</v>
      </c>
      <c r="L1021" s="1192" t="s">
        <v>430</v>
      </c>
      <c r="P1021" s="1192" t="s">
        <v>4000</v>
      </c>
      <c r="T1021" s="1192">
        <v>44196</v>
      </c>
      <c r="V1021" s="1192">
        <v>137</v>
      </c>
    </row>
    <row r="1022" spans="1:22" s="1192" customFormat="1" ht="14.4" x14ac:dyDescent="0.3">
      <c r="A1022" s="1192" t="s">
        <v>172</v>
      </c>
      <c r="E1022" s="1741" t="s">
        <v>213</v>
      </c>
      <c r="F1022" s="1741"/>
      <c r="G1022" s="524" t="s">
        <v>20</v>
      </c>
      <c r="H1022" s="1219">
        <v>6.8999999999999999E-3</v>
      </c>
      <c r="K1022" s="1192" t="s">
        <v>3901</v>
      </c>
      <c r="L1022" s="1192" t="s">
        <v>432</v>
      </c>
      <c r="P1022" s="1192" t="s">
        <v>3906</v>
      </c>
      <c r="V1022" s="1192">
        <v>47</v>
      </c>
    </row>
    <row r="1023" spans="1:22" s="1192" customFormat="1" ht="14.4" x14ac:dyDescent="0.3">
      <c r="A1023" s="1192" t="s">
        <v>172</v>
      </c>
      <c r="E1023" s="1741" t="s">
        <v>209</v>
      </c>
      <c r="F1023" s="1741"/>
      <c r="G1023" s="524" t="s">
        <v>20</v>
      </c>
      <c r="H1023" s="1219">
        <v>5.5999999999999999E-3</v>
      </c>
      <c r="K1023" s="1192" t="s">
        <v>3901</v>
      </c>
      <c r="L1023" s="1192" t="s">
        <v>432</v>
      </c>
      <c r="P1023" s="1192" t="s">
        <v>3907</v>
      </c>
      <c r="V1023" s="1192">
        <v>74</v>
      </c>
    </row>
    <row r="1024" spans="1:22" s="1192" customFormat="1" ht="14.4" x14ac:dyDescent="0.3">
      <c r="A1024" s="1192" t="s">
        <v>172</v>
      </c>
      <c r="E1024" s="1750" t="s">
        <v>2405</v>
      </c>
      <c r="F1024" s="1741"/>
      <c r="G1024" s="1277"/>
      <c r="H1024" s="896"/>
      <c r="K1024" s="1192" t="s">
        <v>2418</v>
      </c>
      <c r="V1024" s="1192">
        <v>48</v>
      </c>
    </row>
    <row r="1025" spans="1:22" s="1192" customFormat="1" ht="14.4" x14ac:dyDescent="0.3">
      <c r="A1025" s="1192" t="s">
        <v>172</v>
      </c>
      <c r="E1025" s="1741" t="s">
        <v>2033</v>
      </c>
      <c r="F1025" s="1741"/>
      <c r="G1025" s="524" t="s">
        <v>20</v>
      </c>
      <c r="H1025" s="1219">
        <v>3.0000000000000001E-3</v>
      </c>
      <c r="K1025" s="1192" t="s">
        <v>3901</v>
      </c>
      <c r="L1025" s="1192" t="s">
        <v>2374</v>
      </c>
      <c r="P1025" s="1192" t="s">
        <v>3908</v>
      </c>
      <c r="V1025" s="1192">
        <v>55</v>
      </c>
    </row>
    <row r="1026" spans="1:22" s="1192" customFormat="1" ht="14.4" x14ac:dyDescent="0.3">
      <c r="A1026" s="1192" t="s">
        <v>172</v>
      </c>
      <c r="E1026" s="1741" t="s">
        <v>2034</v>
      </c>
      <c r="F1026" s="1741"/>
      <c r="G1026" s="524" t="s">
        <v>20</v>
      </c>
      <c r="H1026" s="1219">
        <v>4.0000000000000002E-4</v>
      </c>
      <c r="K1026" s="1192" t="s">
        <v>3901</v>
      </c>
      <c r="L1026" s="1192" t="s">
        <v>2374</v>
      </c>
      <c r="P1026" s="1192" t="s">
        <v>3908</v>
      </c>
      <c r="V1026" s="1192">
        <v>65</v>
      </c>
    </row>
    <row r="1027" spans="1:22" s="1192" customFormat="1" ht="14.4" x14ac:dyDescent="0.3">
      <c r="A1027" s="1192" t="s">
        <v>172</v>
      </c>
      <c r="E1027" s="1741" t="s">
        <v>428</v>
      </c>
      <c r="F1027" s="1741"/>
      <c r="G1027" s="524" t="s">
        <v>20</v>
      </c>
      <c r="H1027" s="1219">
        <v>5.0000000000000001E-4</v>
      </c>
      <c r="K1027" s="1192" t="s">
        <v>3901</v>
      </c>
      <c r="L1027" s="1192" t="s">
        <v>2374</v>
      </c>
      <c r="P1027" s="1192" t="s">
        <v>3909</v>
      </c>
      <c r="V1027" s="1192">
        <v>57</v>
      </c>
    </row>
    <row r="1028" spans="1:22" s="1192" customFormat="1" ht="14.4" x14ac:dyDescent="0.3">
      <c r="A1028" s="1192" t="s">
        <v>172</v>
      </c>
      <c r="E1028" s="1741" t="s">
        <v>28</v>
      </c>
      <c r="F1028" s="1741"/>
      <c r="G1028" s="524" t="s">
        <v>19</v>
      </c>
      <c r="H1028" s="1218">
        <v>0.25</v>
      </c>
      <c r="K1028" s="1192" t="s">
        <v>3901</v>
      </c>
      <c r="L1028" s="1192" t="s">
        <v>2374</v>
      </c>
      <c r="P1028" s="1192" t="s">
        <v>3910</v>
      </c>
      <c r="V1028" s="1192">
        <v>63</v>
      </c>
    </row>
    <row r="1029" spans="1:22" s="1192" customFormat="1" ht="17.399999999999999" x14ac:dyDescent="0.3">
      <c r="A1029" s="1192" t="s">
        <v>172</v>
      </c>
      <c r="E1029" s="1746" t="s">
        <v>591</v>
      </c>
      <c r="F1029" s="1747"/>
      <c r="G1029" s="1747"/>
      <c r="H1029" s="1747"/>
      <c r="K1029" s="1192" t="s">
        <v>4388</v>
      </c>
      <c r="V1029" s="1192">
        <v>53</v>
      </c>
    </row>
    <row r="1030" spans="1:22" s="1192" customFormat="1" ht="14.4" x14ac:dyDescent="0.3">
      <c r="A1030" s="1192" t="s">
        <v>172</v>
      </c>
      <c r="E1030" s="1743" t="s">
        <v>4489</v>
      </c>
      <c r="F1030" s="1743"/>
      <c r="G1030" s="1743"/>
      <c r="H1030" s="1743"/>
      <c r="K1030" s="1192" t="s">
        <v>4388</v>
      </c>
      <c r="V1030" s="1192">
        <v>387</v>
      </c>
    </row>
    <row r="1031" spans="1:22" s="1192" customFormat="1" ht="14.4" x14ac:dyDescent="0.3">
      <c r="A1031" s="1192" t="s">
        <v>172</v>
      </c>
      <c r="E1031" s="1750" t="s">
        <v>2389</v>
      </c>
      <c r="F1031" s="1743"/>
      <c r="G1031" s="1743"/>
      <c r="H1031" s="1743"/>
      <c r="K1031" s="1192" t="s">
        <v>2422</v>
      </c>
      <c r="V1031" s="1192">
        <v>11</v>
      </c>
    </row>
    <row r="1032" spans="1:22" s="1192" customFormat="1" ht="14.4" x14ac:dyDescent="0.3">
      <c r="A1032" s="1192" t="s">
        <v>172</v>
      </c>
      <c r="E1032" s="1743" t="s">
        <v>2762</v>
      </c>
      <c r="F1032" s="1743"/>
      <c r="G1032" s="1743"/>
      <c r="H1032" s="1743"/>
      <c r="K1032" s="1192" t="s">
        <v>4388</v>
      </c>
      <c r="V1032" s="1192">
        <v>272</v>
      </c>
    </row>
    <row r="1033" spans="1:22" s="1192" customFormat="1" ht="14.4" x14ac:dyDescent="0.3">
      <c r="A1033" s="1192" t="s">
        <v>172</v>
      </c>
      <c r="E1033" s="1743" t="s">
        <v>2763</v>
      </c>
      <c r="F1033" s="1743"/>
      <c r="G1033" s="1743"/>
      <c r="H1033" s="1743"/>
      <c r="K1033" s="1192" t="s">
        <v>4388</v>
      </c>
      <c r="V1033" s="1192">
        <v>403</v>
      </c>
    </row>
    <row r="1034" spans="1:22" s="1192" customFormat="1" ht="14.4" x14ac:dyDescent="0.3">
      <c r="A1034" s="1192" t="s">
        <v>172</v>
      </c>
      <c r="E1034" s="1743" t="s">
        <v>2508</v>
      </c>
      <c r="F1034" s="1743"/>
      <c r="G1034" s="1743"/>
      <c r="H1034" s="1743"/>
      <c r="K1034" s="1192" t="s">
        <v>4388</v>
      </c>
      <c r="V1034" s="1192">
        <v>386</v>
      </c>
    </row>
    <row r="1035" spans="1:22" s="1192" customFormat="1" ht="14.4" x14ac:dyDescent="0.3">
      <c r="A1035" s="1192" t="s">
        <v>172</v>
      </c>
      <c r="E1035" s="1743" t="s">
        <v>4503</v>
      </c>
      <c r="F1035" s="1743"/>
      <c r="G1035" s="1743"/>
      <c r="H1035" s="1743"/>
      <c r="K1035" s="1192" t="s">
        <v>4388</v>
      </c>
      <c r="V1035" s="1192">
        <v>677</v>
      </c>
    </row>
    <row r="1036" spans="1:22" s="1192" customFormat="1" ht="14.4" x14ac:dyDescent="0.3">
      <c r="A1036" s="1192" t="s">
        <v>172</v>
      </c>
      <c r="E1036" s="1743" t="s">
        <v>4644</v>
      </c>
      <c r="F1036" s="1743"/>
      <c r="G1036" s="1743"/>
      <c r="H1036" s="1743"/>
      <c r="K1036" s="1192" t="s">
        <v>4388</v>
      </c>
      <c r="V1036" s="1192">
        <v>693</v>
      </c>
    </row>
    <row r="1037" spans="1:22" s="1192" customFormat="1" ht="14.4" x14ac:dyDescent="0.3">
      <c r="A1037" s="1192" t="s">
        <v>172</v>
      </c>
      <c r="E1037" s="1743" t="s">
        <v>4500</v>
      </c>
      <c r="F1037" s="1743"/>
      <c r="G1037" s="1743"/>
      <c r="H1037" s="1743"/>
      <c r="K1037" s="1192" t="s">
        <v>4388</v>
      </c>
      <c r="V1037" s="1192">
        <v>247</v>
      </c>
    </row>
    <row r="1038" spans="1:22" s="1192" customFormat="1" ht="14.4" x14ac:dyDescent="0.3">
      <c r="A1038" s="1192" t="s">
        <v>172</v>
      </c>
      <c r="E1038" s="1750" t="s">
        <v>2394</v>
      </c>
      <c r="F1038" s="1743"/>
      <c r="G1038" s="1743"/>
      <c r="H1038" s="1743"/>
      <c r="K1038" s="1192" t="s">
        <v>2423</v>
      </c>
      <c r="V1038" s="1192">
        <v>46</v>
      </c>
    </row>
    <row r="1039" spans="1:22" s="1192" customFormat="1" ht="14.4" x14ac:dyDescent="0.3">
      <c r="A1039" s="1192" t="s">
        <v>172</v>
      </c>
      <c r="E1039" s="1741" t="s">
        <v>7</v>
      </c>
      <c r="F1039" s="1741"/>
      <c r="G1039" s="524" t="s">
        <v>19</v>
      </c>
      <c r="H1039" s="1218">
        <v>190.51</v>
      </c>
      <c r="K1039" s="1192" t="s">
        <v>4388</v>
      </c>
      <c r="L1039" s="1192" t="s">
        <v>430</v>
      </c>
      <c r="P1039" s="1192" t="s">
        <v>4389</v>
      </c>
      <c r="V1039" s="1192">
        <v>14</v>
      </c>
    </row>
    <row r="1040" spans="1:22" s="1192" customFormat="1" ht="14.4" x14ac:dyDescent="0.3">
      <c r="A1040" s="1192" t="s">
        <v>172</v>
      </c>
      <c r="E1040" s="1741" t="s">
        <v>80</v>
      </c>
      <c r="F1040" s="1741"/>
      <c r="G1040" s="524" t="s">
        <v>29</v>
      </c>
      <c r="H1040" s="1219">
        <v>4.0488</v>
      </c>
      <c r="K1040" s="1192" t="s">
        <v>4388</v>
      </c>
      <c r="L1040" s="1192" t="s">
        <v>430</v>
      </c>
      <c r="P1040" s="1192" t="s">
        <v>4390</v>
      </c>
      <c r="V1040" s="1192">
        <v>28</v>
      </c>
    </row>
    <row r="1041" spans="1:22" s="1192" customFormat="1" ht="14.4" x14ac:dyDescent="0.3">
      <c r="A1041" s="1192" t="s">
        <v>172</v>
      </c>
      <c r="E1041" s="1741" t="s">
        <v>14</v>
      </c>
      <c r="F1041" s="1741"/>
      <c r="G1041" s="524" t="s">
        <v>29</v>
      </c>
      <c r="H1041" s="1219">
        <v>1.0823</v>
      </c>
      <c r="K1041" s="1192" t="s">
        <v>4388</v>
      </c>
      <c r="L1041" s="1192" t="s">
        <v>431</v>
      </c>
      <c r="P1041" s="1192" t="s">
        <v>4391</v>
      </c>
      <c r="V1041" s="1192">
        <v>24</v>
      </c>
    </row>
    <row r="1042" spans="1:22" s="1192" customFormat="1" ht="14.4" x14ac:dyDescent="0.3">
      <c r="A1042" s="1192" t="s">
        <v>172</v>
      </c>
      <c r="E1042" s="1741" t="s">
        <v>4486</v>
      </c>
      <c r="F1042" s="1741"/>
      <c r="G1042" s="524" t="s">
        <v>29</v>
      </c>
      <c r="H1042" s="1219">
        <v>0.23089999999999999</v>
      </c>
      <c r="K1042" s="1192" t="s">
        <v>4388</v>
      </c>
      <c r="L1042" s="1192" t="s">
        <v>431</v>
      </c>
      <c r="P1042" s="1192" t="s">
        <v>4398</v>
      </c>
      <c r="T1042" s="1192">
        <v>44196</v>
      </c>
      <c r="V1042" s="1192">
        <v>99</v>
      </c>
    </row>
    <row r="1043" spans="1:22" s="1192" customFormat="1" ht="14.4" x14ac:dyDescent="0.3">
      <c r="A1043" s="1192" t="s">
        <v>172</v>
      </c>
      <c r="E1043" s="1741" t="s">
        <v>4487</v>
      </c>
      <c r="F1043" s="1741"/>
      <c r="G1043" s="524" t="s">
        <v>20</v>
      </c>
      <c r="H1043" s="1219">
        <v>-8.0000000000000004E-4</v>
      </c>
      <c r="K1043" s="1192" t="s">
        <v>4388</v>
      </c>
      <c r="L1043" s="1192" t="s">
        <v>431</v>
      </c>
      <c r="P1043" s="1192" t="s">
        <v>4397</v>
      </c>
      <c r="T1043" s="1192">
        <v>44196</v>
      </c>
      <c r="V1043" s="1192">
        <v>141</v>
      </c>
    </row>
    <row r="1044" spans="1:22" s="1192" customFormat="1" ht="14.4" x14ac:dyDescent="0.3">
      <c r="A1044" s="1192" t="s">
        <v>172</v>
      </c>
      <c r="E1044" s="2011" t="s">
        <v>4485</v>
      </c>
      <c r="F1044" s="2011"/>
      <c r="G1044" s="770" t="s">
        <v>29</v>
      </c>
      <c r="H1044" s="514">
        <v>6.9599999999999995E-2</v>
      </c>
      <c r="K1044" s="1192" t="s">
        <v>4388</v>
      </c>
      <c r="L1044" s="1192" t="s">
        <v>430</v>
      </c>
      <c r="P1044" s="1192" t="s">
        <v>4398</v>
      </c>
      <c r="T1044" s="1192">
        <v>44196</v>
      </c>
      <c r="V1044" s="1192">
        <v>107</v>
      </c>
    </row>
    <row r="1045" spans="1:22" s="1192" customFormat="1" ht="14.4" x14ac:dyDescent="0.3">
      <c r="A1045" s="1192" t="s">
        <v>172</v>
      </c>
      <c r="E1045" s="1741" t="s">
        <v>4561</v>
      </c>
      <c r="F1045" s="1741"/>
      <c r="G1045" s="524" t="s">
        <v>29</v>
      </c>
      <c r="H1045" s="1219">
        <v>-3.1800000000000002E-2</v>
      </c>
      <c r="K1045" s="1192" t="s">
        <v>4388</v>
      </c>
      <c r="L1045" s="1192" t="s">
        <v>430</v>
      </c>
      <c r="P1045" s="1192" t="s">
        <v>4400</v>
      </c>
      <c r="T1045" s="1192">
        <v>44196</v>
      </c>
      <c r="V1045" s="1192">
        <v>137</v>
      </c>
    </row>
    <row r="1046" spans="1:22" s="1192" customFormat="1" ht="14.4" x14ac:dyDescent="0.3">
      <c r="A1046" s="1192" t="s">
        <v>172</v>
      </c>
      <c r="E1046" s="1741" t="s">
        <v>6104</v>
      </c>
      <c r="F1046" s="1998"/>
      <c r="G1046" s="524" t="s">
        <v>29</v>
      </c>
      <c r="H1046" s="1219">
        <v>-5.96E-2</v>
      </c>
      <c r="K1046" s="1192" t="s">
        <v>4388</v>
      </c>
      <c r="L1046" s="1192" t="s">
        <v>430</v>
      </c>
      <c r="P1046" s="1192" t="s">
        <v>4400</v>
      </c>
      <c r="T1046" s="1192">
        <v>44196</v>
      </c>
      <c r="V1046" s="1192">
        <v>137</v>
      </c>
    </row>
    <row r="1047" spans="1:22" s="1192" customFormat="1" ht="14.4" x14ac:dyDescent="0.3">
      <c r="A1047" s="1192" t="s">
        <v>172</v>
      </c>
      <c r="E1047" s="1741" t="s">
        <v>213</v>
      </c>
      <c r="F1047" s="1741"/>
      <c r="G1047" s="524" t="s">
        <v>29</v>
      </c>
      <c r="H1047" s="1219">
        <v>2.7848999999999999</v>
      </c>
      <c r="K1047" s="1192" t="s">
        <v>4388</v>
      </c>
      <c r="L1047" s="1192" t="s">
        <v>432</v>
      </c>
      <c r="P1047" s="1192" t="s">
        <v>4392</v>
      </c>
      <c r="V1047" s="1192">
        <v>47</v>
      </c>
    </row>
    <row r="1048" spans="1:22" s="1192" customFormat="1" ht="14.4" x14ac:dyDescent="0.3">
      <c r="A1048" s="1192" t="s">
        <v>172</v>
      </c>
      <c r="E1048" s="1741" t="s">
        <v>209</v>
      </c>
      <c r="F1048" s="1741"/>
      <c r="G1048" s="524" t="s">
        <v>29</v>
      </c>
      <c r="H1048" s="1219">
        <v>2.2761</v>
      </c>
      <c r="K1048" s="1192" t="s">
        <v>4388</v>
      </c>
      <c r="L1048" s="1192" t="s">
        <v>432</v>
      </c>
      <c r="P1048" s="1192" t="s">
        <v>4393</v>
      </c>
      <c r="V1048" s="1192">
        <v>74</v>
      </c>
    </row>
    <row r="1049" spans="1:22" s="1192" customFormat="1" ht="14.4" x14ac:dyDescent="0.3">
      <c r="A1049" s="1192" t="s">
        <v>172</v>
      </c>
      <c r="E1049" s="1750" t="s">
        <v>2405</v>
      </c>
      <c r="F1049" s="1741"/>
      <c r="G1049" s="1277"/>
      <c r="H1049" s="896"/>
      <c r="K1049" s="1192" t="s">
        <v>2526</v>
      </c>
      <c r="V1049" s="1192">
        <v>48</v>
      </c>
    </row>
    <row r="1050" spans="1:22" s="1192" customFormat="1" ht="14.4" x14ac:dyDescent="0.3">
      <c r="A1050" s="1192" t="s">
        <v>172</v>
      </c>
      <c r="E1050" s="1741" t="s">
        <v>2033</v>
      </c>
      <c r="F1050" s="1741"/>
      <c r="G1050" s="524" t="s">
        <v>20</v>
      </c>
      <c r="H1050" s="1219">
        <v>3.0000000000000001E-3</v>
      </c>
      <c r="K1050" s="1192" t="s">
        <v>4388</v>
      </c>
      <c r="L1050" s="1192" t="s">
        <v>2374</v>
      </c>
      <c r="P1050" s="1192" t="s">
        <v>4394</v>
      </c>
      <c r="V1050" s="1192">
        <v>55</v>
      </c>
    </row>
    <row r="1051" spans="1:22" s="1192" customFormat="1" ht="14.4" x14ac:dyDescent="0.3">
      <c r="A1051" s="1192" t="s">
        <v>172</v>
      </c>
      <c r="E1051" s="1741" t="s">
        <v>2034</v>
      </c>
      <c r="F1051" s="1741"/>
      <c r="G1051" s="524" t="s">
        <v>20</v>
      </c>
      <c r="H1051" s="1219">
        <v>4.0000000000000002E-4</v>
      </c>
      <c r="K1051" s="1192" t="s">
        <v>4388</v>
      </c>
      <c r="L1051" s="1192" t="s">
        <v>2374</v>
      </c>
      <c r="P1051" s="1192" t="s">
        <v>4394</v>
      </c>
      <c r="V1051" s="1192">
        <v>65</v>
      </c>
    </row>
    <row r="1052" spans="1:22" s="1192" customFormat="1" ht="14.4" x14ac:dyDescent="0.3">
      <c r="A1052" s="1192" t="s">
        <v>172</v>
      </c>
      <c r="E1052" s="1741" t="s">
        <v>428</v>
      </c>
      <c r="F1052" s="1741"/>
      <c r="G1052" s="524" t="s">
        <v>20</v>
      </c>
      <c r="H1052" s="1219">
        <v>5.0000000000000001E-4</v>
      </c>
      <c r="K1052" s="1192" t="s">
        <v>4388</v>
      </c>
      <c r="L1052" s="1192" t="s">
        <v>2374</v>
      </c>
      <c r="P1052" s="1192" t="s">
        <v>4395</v>
      </c>
      <c r="V1052" s="1192">
        <v>57</v>
      </c>
    </row>
    <row r="1053" spans="1:22" s="1192" customFormat="1" ht="14.4" x14ac:dyDescent="0.3">
      <c r="A1053" s="1192" t="s">
        <v>172</v>
      </c>
      <c r="E1053" s="1741" t="s">
        <v>28</v>
      </c>
      <c r="F1053" s="1741"/>
      <c r="G1053" s="524" t="s">
        <v>19</v>
      </c>
      <c r="H1053" s="1218">
        <v>0.25</v>
      </c>
      <c r="K1053" s="1192" t="s">
        <v>4388</v>
      </c>
      <c r="L1053" s="1192" t="s">
        <v>2374</v>
      </c>
      <c r="P1053" s="1192" t="s">
        <v>4396</v>
      </c>
      <c r="V1053" s="1192">
        <v>63</v>
      </c>
    </row>
    <row r="1054" spans="1:22" s="1192" customFormat="1" ht="17.399999999999999" x14ac:dyDescent="0.3">
      <c r="A1054" s="1192" t="s">
        <v>172</v>
      </c>
      <c r="E1054" s="1746" t="s">
        <v>592</v>
      </c>
      <c r="F1054" s="1747"/>
      <c r="G1054" s="1747"/>
      <c r="H1054" s="1747"/>
      <c r="K1054" s="1192" t="s">
        <v>2676</v>
      </c>
      <c r="V1054" s="1192">
        <v>47</v>
      </c>
    </row>
    <row r="1055" spans="1:22" s="1192" customFormat="1" ht="14.4" x14ac:dyDescent="0.3">
      <c r="A1055" s="1192" t="s">
        <v>172</v>
      </c>
      <c r="E1055" s="1743" t="s">
        <v>4490</v>
      </c>
      <c r="F1055" s="1743"/>
      <c r="G1055" s="1743"/>
      <c r="H1055" s="1743"/>
      <c r="K1055" s="1192" t="s">
        <v>2676</v>
      </c>
      <c r="V1055" s="1192">
        <v>721</v>
      </c>
    </row>
    <row r="1056" spans="1:22" s="1192" customFormat="1" ht="14.4" x14ac:dyDescent="0.3">
      <c r="A1056" s="1192" t="s">
        <v>172</v>
      </c>
      <c r="E1056" s="1750" t="s">
        <v>2389</v>
      </c>
      <c r="F1056" s="1743"/>
      <c r="G1056" s="1743"/>
      <c r="H1056" s="1743"/>
      <c r="K1056" s="1192" t="s">
        <v>2529</v>
      </c>
      <c r="V1056" s="1192">
        <v>11</v>
      </c>
    </row>
    <row r="1057" spans="1:22" s="1192" customFormat="1" ht="14.4" x14ac:dyDescent="0.3">
      <c r="A1057" s="1192" t="s">
        <v>172</v>
      </c>
      <c r="E1057" s="1743" t="s">
        <v>2762</v>
      </c>
      <c r="F1057" s="1743"/>
      <c r="G1057" s="1743"/>
      <c r="H1057" s="1743"/>
      <c r="K1057" s="1192" t="s">
        <v>2676</v>
      </c>
      <c r="V1057" s="1192">
        <v>272</v>
      </c>
    </row>
    <row r="1058" spans="1:22" s="1192" customFormat="1" ht="14.4" x14ac:dyDescent="0.3">
      <c r="A1058" s="1192" t="s">
        <v>172</v>
      </c>
      <c r="E1058" s="1743" t="s">
        <v>2763</v>
      </c>
      <c r="F1058" s="1743"/>
      <c r="G1058" s="1743"/>
      <c r="H1058" s="1743"/>
      <c r="K1058" s="1192" t="s">
        <v>2676</v>
      </c>
      <c r="V1058" s="1192">
        <v>403</v>
      </c>
    </row>
    <row r="1059" spans="1:22" s="1192" customFormat="1" ht="14.4" x14ac:dyDescent="0.3">
      <c r="A1059" s="1192" t="s">
        <v>172</v>
      </c>
      <c r="E1059" s="1743" t="s">
        <v>4491</v>
      </c>
      <c r="F1059" s="1743"/>
      <c r="G1059" s="1743"/>
      <c r="H1059" s="1743"/>
      <c r="K1059" s="1192" t="s">
        <v>2676</v>
      </c>
      <c r="V1059" s="1192">
        <v>385</v>
      </c>
    </row>
    <row r="1060" spans="1:22" s="1192" customFormat="1" ht="14.4" x14ac:dyDescent="0.3">
      <c r="A1060" s="1192" t="s">
        <v>172</v>
      </c>
      <c r="E1060" s="1743" t="s">
        <v>4500</v>
      </c>
      <c r="F1060" s="1743"/>
      <c r="G1060" s="1743"/>
      <c r="H1060" s="1743"/>
      <c r="K1060" s="1192" t="s">
        <v>2676</v>
      </c>
      <c r="V1060" s="1192">
        <v>247</v>
      </c>
    </row>
    <row r="1061" spans="1:22" s="1192" customFormat="1" ht="14.4" x14ac:dyDescent="0.3">
      <c r="A1061" s="1192" t="s">
        <v>172</v>
      </c>
      <c r="E1061" s="1750" t="s">
        <v>2394</v>
      </c>
      <c r="F1061" s="1743"/>
      <c r="G1061" s="1743"/>
      <c r="H1061" s="1743"/>
      <c r="K1061" s="1192" t="s">
        <v>2531</v>
      </c>
      <c r="V1061" s="1192">
        <v>46</v>
      </c>
    </row>
    <row r="1062" spans="1:22" s="1192" customFormat="1" ht="14.4" x14ac:dyDescent="0.3">
      <c r="A1062" s="1192" t="s">
        <v>172</v>
      </c>
      <c r="E1062" s="1741" t="s">
        <v>9</v>
      </c>
      <c r="F1062" s="1741"/>
      <c r="G1062" s="524" t="s">
        <v>19</v>
      </c>
      <c r="H1062" s="1218">
        <v>21.91</v>
      </c>
      <c r="K1062" s="1192" t="s">
        <v>2676</v>
      </c>
      <c r="L1062" s="1192" t="s">
        <v>430</v>
      </c>
      <c r="P1062" s="1192" t="s">
        <v>2678</v>
      </c>
      <c r="V1062" s="1192">
        <v>29</v>
      </c>
    </row>
    <row r="1063" spans="1:22" s="1192" customFormat="1" ht="14.4" x14ac:dyDescent="0.3">
      <c r="A1063" s="1192" t="s">
        <v>172</v>
      </c>
      <c r="E1063" s="1741" t="s">
        <v>80</v>
      </c>
      <c r="F1063" s="1741"/>
      <c r="G1063" s="524" t="s">
        <v>20</v>
      </c>
      <c r="H1063" s="1219">
        <v>1.4999999999999999E-2</v>
      </c>
      <c r="K1063" s="1192" t="s">
        <v>2676</v>
      </c>
      <c r="L1063" s="1192" t="s">
        <v>430</v>
      </c>
      <c r="P1063" s="1192" t="s">
        <v>2679</v>
      </c>
      <c r="V1063" s="1192">
        <v>28</v>
      </c>
    </row>
    <row r="1064" spans="1:22" s="1192" customFormat="1" ht="14.4" x14ac:dyDescent="0.3">
      <c r="A1064" s="1192" t="s">
        <v>172</v>
      </c>
      <c r="E1064" s="1741" t="s">
        <v>14</v>
      </c>
      <c r="F1064" s="1741"/>
      <c r="G1064" s="524" t="s">
        <v>20</v>
      </c>
      <c r="H1064" s="1219">
        <v>2.8999999999999998E-3</v>
      </c>
      <c r="K1064" s="1192" t="s">
        <v>2676</v>
      </c>
      <c r="L1064" s="1192" t="s">
        <v>431</v>
      </c>
      <c r="P1064" s="1192" t="s">
        <v>2809</v>
      </c>
      <c r="V1064" s="1192">
        <v>24</v>
      </c>
    </row>
    <row r="1065" spans="1:22" s="1192" customFormat="1" ht="14.4" x14ac:dyDescent="0.3">
      <c r="A1065" s="1192" t="s">
        <v>172</v>
      </c>
      <c r="E1065" s="1741" t="s">
        <v>4486</v>
      </c>
      <c r="F1065" s="1741"/>
      <c r="G1065" s="524" t="s">
        <v>20</v>
      </c>
      <c r="H1065" s="1219">
        <v>2.3999999999999998E-3</v>
      </c>
      <c r="K1065" s="1192" t="s">
        <v>2676</v>
      </c>
      <c r="L1065" s="1192" t="s">
        <v>431</v>
      </c>
      <c r="P1065" s="1192" t="s">
        <v>2681</v>
      </c>
      <c r="T1065" s="1192">
        <v>44196</v>
      </c>
      <c r="V1065" s="1192">
        <v>99</v>
      </c>
    </row>
    <row r="1066" spans="1:22" s="1192" customFormat="1" ht="14.4" x14ac:dyDescent="0.3">
      <c r="A1066" s="1192" t="s">
        <v>172</v>
      </c>
      <c r="E1066" s="2011" t="s">
        <v>4485</v>
      </c>
      <c r="F1066" s="2011"/>
      <c r="G1066" s="770" t="s">
        <v>20</v>
      </c>
      <c r="H1066" s="514">
        <v>2.0000000000000001E-4</v>
      </c>
      <c r="K1066" s="1192" t="s">
        <v>2676</v>
      </c>
      <c r="L1066" s="1192" t="s">
        <v>430</v>
      </c>
      <c r="P1066" s="1192" t="s">
        <v>2681</v>
      </c>
      <c r="T1066" s="1192">
        <v>44196</v>
      </c>
      <c r="V1066" s="1192">
        <v>107</v>
      </c>
    </row>
    <row r="1067" spans="1:22" s="1192" customFormat="1" ht="14.4" x14ac:dyDescent="0.3">
      <c r="A1067" s="1192" t="s">
        <v>172</v>
      </c>
      <c r="E1067" s="1741" t="s">
        <v>4562</v>
      </c>
      <c r="F1067" s="1741"/>
      <c r="G1067" s="524" t="s">
        <v>20</v>
      </c>
      <c r="H1067" s="1219">
        <v>-1E-4</v>
      </c>
      <c r="K1067" s="1192" t="s">
        <v>2676</v>
      </c>
      <c r="L1067" s="1192" t="s">
        <v>430</v>
      </c>
      <c r="P1067" s="1192" t="s">
        <v>2680</v>
      </c>
      <c r="T1067" s="1192">
        <v>44196</v>
      </c>
      <c r="V1067" s="1192">
        <v>136</v>
      </c>
    </row>
    <row r="1068" spans="1:22" s="1192" customFormat="1" ht="14.4" x14ac:dyDescent="0.3">
      <c r="A1068" s="1192" t="s">
        <v>172</v>
      </c>
      <c r="E1068" s="1741" t="s">
        <v>6104</v>
      </c>
      <c r="F1068" s="1998"/>
      <c r="G1068" s="524" t="s">
        <v>20</v>
      </c>
      <c r="H1068" s="1219">
        <v>-1E-4</v>
      </c>
      <c r="K1068" s="1192" t="s">
        <v>2676</v>
      </c>
      <c r="L1068" s="1192" t="s">
        <v>430</v>
      </c>
      <c r="P1068" s="1192" t="s">
        <v>2680</v>
      </c>
      <c r="T1068" s="1192">
        <v>44196</v>
      </c>
      <c r="V1068" s="1192">
        <v>137</v>
      </c>
    </row>
    <row r="1069" spans="1:22" s="1192" customFormat="1" ht="14.4" x14ac:dyDescent="0.3">
      <c r="A1069" s="1192" t="s">
        <v>172</v>
      </c>
      <c r="E1069" s="1741" t="s">
        <v>213</v>
      </c>
      <c r="F1069" s="1741"/>
      <c r="G1069" s="524" t="s">
        <v>20</v>
      </c>
      <c r="H1069" s="1219">
        <v>6.8999999999999999E-3</v>
      </c>
      <c r="K1069" s="1192" t="s">
        <v>2676</v>
      </c>
      <c r="L1069" s="1192" t="s">
        <v>432</v>
      </c>
      <c r="P1069" s="1192" t="s">
        <v>2682</v>
      </c>
      <c r="V1069" s="1192">
        <v>47</v>
      </c>
    </row>
    <row r="1070" spans="1:22" s="1192" customFormat="1" ht="14.4" x14ac:dyDescent="0.3">
      <c r="A1070" s="1192" t="s">
        <v>172</v>
      </c>
      <c r="E1070" s="1741" t="s">
        <v>209</v>
      </c>
      <c r="F1070" s="1741"/>
      <c r="G1070" s="524" t="s">
        <v>20</v>
      </c>
      <c r="H1070" s="1219">
        <v>5.5999999999999999E-3</v>
      </c>
      <c r="K1070" s="1192" t="s">
        <v>2676</v>
      </c>
      <c r="L1070" s="1192" t="s">
        <v>432</v>
      </c>
      <c r="P1070" s="1192" t="s">
        <v>2683</v>
      </c>
      <c r="V1070" s="1192">
        <v>74</v>
      </c>
    </row>
    <row r="1071" spans="1:22" s="1192" customFormat="1" ht="14.4" x14ac:dyDescent="0.3">
      <c r="A1071" s="1192" t="s">
        <v>172</v>
      </c>
      <c r="E1071" s="1750" t="s">
        <v>2405</v>
      </c>
      <c r="F1071" s="1741"/>
      <c r="G1071" s="1277"/>
      <c r="H1071" s="896"/>
      <c r="K1071" s="1192" t="s">
        <v>2532</v>
      </c>
      <c r="V1071" s="1192">
        <v>48</v>
      </c>
    </row>
    <row r="1072" spans="1:22" s="1192" customFormat="1" ht="14.4" x14ac:dyDescent="0.3">
      <c r="A1072" s="1192" t="s">
        <v>172</v>
      </c>
      <c r="E1072" s="1741" t="s">
        <v>2033</v>
      </c>
      <c r="F1072" s="1741"/>
      <c r="G1072" s="524" t="s">
        <v>20</v>
      </c>
      <c r="H1072" s="1219">
        <v>3.0000000000000001E-3</v>
      </c>
      <c r="K1072" s="1192" t="s">
        <v>2676</v>
      </c>
      <c r="L1072" s="1192" t="s">
        <v>2374</v>
      </c>
      <c r="P1072" s="1192" t="s">
        <v>2684</v>
      </c>
      <c r="V1072" s="1192">
        <v>55</v>
      </c>
    </row>
    <row r="1073" spans="1:22" s="1192" customFormat="1" ht="14.4" x14ac:dyDescent="0.3">
      <c r="A1073" s="1192" t="s">
        <v>172</v>
      </c>
      <c r="E1073" s="1741" t="s">
        <v>2034</v>
      </c>
      <c r="F1073" s="1741"/>
      <c r="G1073" s="524" t="s">
        <v>20</v>
      </c>
      <c r="H1073" s="1219">
        <v>4.0000000000000002E-4</v>
      </c>
      <c r="K1073" s="1192" t="s">
        <v>2676</v>
      </c>
      <c r="L1073" s="1192" t="s">
        <v>2374</v>
      </c>
      <c r="P1073" s="1192" t="s">
        <v>2684</v>
      </c>
      <c r="V1073" s="1192">
        <v>65</v>
      </c>
    </row>
    <row r="1074" spans="1:22" s="1192" customFormat="1" ht="14.4" x14ac:dyDescent="0.3">
      <c r="A1074" s="1192" t="s">
        <v>172</v>
      </c>
      <c r="E1074" s="1741" t="s">
        <v>428</v>
      </c>
      <c r="F1074" s="1741"/>
      <c r="G1074" s="524" t="s">
        <v>20</v>
      </c>
      <c r="H1074" s="1219">
        <v>5.0000000000000001E-4</v>
      </c>
      <c r="K1074" s="1192" t="s">
        <v>2676</v>
      </c>
      <c r="L1074" s="1192" t="s">
        <v>2374</v>
      </c>
      <c r="P1074" s="1192" t="s">
        <v>2685</v>
      </c>
      <c r="V1074" s="1192">
        <v>57</v>
      </c>
    </row>
    <row r="1075" spans="1:22" s="1192" customFormat="1" ht="14.4" x14ac:dyDescent="0.3">
      <c r="A1075" s="1192" t="s">
        <v>172</v>
      </c>
      <c r="E1075" s="1741" t="s">
        <v>28</v>
      </c>
      <c r="F1075" s="1741"/>
      <c r="G1075" s="524" t="s">
        <v>19</v>
      </c>
      <c r="H1075" s="1218">
        <v>0.25</v>
      </c>
      <c r="K1075" s="1192" t="s">
        <v>2676</v>
      </c>
      <c r="L1075" s="1192" t="s">
        <v>2374</v>
      </c>
      <c r="P1075" s="1192" t="s">
        <v>2686</v>
      </c>
      <c r="V1075" s="1192">
        <v>63</v>
      </c>
    </row>
    <row r="1076" spans="1:22" s="1192" customFormat="1" ht="17.399999999999999" x14ac:dyDescent="0.3">
      <c r="A1076" s="1192" t="s">
        <v>172</v>
      </c>
      <c r="E1076" s="1746" t="s">
        <v>590</v>
      </c>
      <c r="F1076" s="1747"/>
      <c r="G1076" s="1747"/>
      <c r="H1076" s="1747"/>
      <c r="K1076" s="1192" t="s">
        <v>2687</v>
      </c>
      <c r="V1076" s="1192">
        <v>38</v>
      </c>
    </row>
    <row r="1077" spans="1:22" s="1192" customFormat="1" ht="14.4" x14ac:dyDescent="0.3">
      <c r="A1077" s="1192" t="s">
        <v>172</v>
      </c>
      <c r="E1077" s="1743" t="s">
        <v>2570</v>
      </c>
      <c r="F1077" s="1743"/>
      <c r="G1077" s="1743"/>
      <c r="H1077" s="1743"/>
      <c r="K1077" s="1192" t="s">
        <v>2687</v>
      </c>
      <c r="V1077" s="1192">
        <v>543</v>
      </c>
    </row>
    <row r="1078" spans="1:22" s="1192" customFormat="1" ht="14.4" x14ac:dyDescent="0.3">
      <c r="A1078" s="1192" t="s">
        <v>172</v>
      </c>
      <c r="E1078" s="1750" t="s">
        <v>2389</v>
      </c>
      <c r="F1078" s="1743"/>
      <c r="G1078" s="1743"/>
      <c r="H1078" s="1743"/>
      <c r="K1078" s="1192" t="s">
        <v>2424</v>
      </c>
      <c r="V1078" s="1192">
        <v>11</v>
      </c>
    </row>
    <row r="1079" spans="1:22" s="1192" customFormat="1" ht="14.4" x14ac:dyDescent="0.3">
      <c r="A1079" s="1192" t="s">
        <v>172</v>
      </c>
      <c r="E1079" s="1743" t="s">
        <v>2762</v>
      </c>
      <c r="F1079" s="1743"/>
      <c r="G1079" s="1743"/>
      <c r="H1079" s="1743"/>
      <c r="K1079" s="1192" t="s">
        <v>2687</v>
      </c>
      <c r="V1079" s="1192">
        <v>272</v>
      </c>
    </row>
    <row r="1080" spans="1:22" s="1192" customFormat="1" ht="14.4" x14ac:dyDescent="0.3">
      <c r="A1080" s="1192" t="s">
        <v>172</v>
      </c>
      <c r="E1080" s="1743" t="s">
        <v>2763</v>
      </c>
      <c r="F1080" s="1743"/>
      <c r="G1080" s="1743"/>
      <c r="H1080" s="1743"/>
      <c r="K1080" s="1192" t="s">
        <v>2687</v>
      </c>
      <c r="V1080" s="1192">
        <v>403</v>
      </c>
    </row>
    <row r="1081" spans="1:22" s="1192" customFormat="1" ht="14.4" x14ac:dyDescent="0.3">
      <c r="A1081" s="1192" t="s">
        <v>172</v>
      </c>
      <c r="E1081" s="1743" t="s">
        <v>2508</v>
      </c>
      <c r="F1081" s="1743"/>
      <c r="G1081" s="1743"/>
      <c r="H1081" s="1743"/>
      <c r="K1081" s="1192" t="s">
        <v>2687</v>
      </c>
      <c r="V1081" s="1192">
        <v>386</v>
      </c>
    </row>
    <row r="1082" spans="1:22" s="1192" customFormat="1" ht="14.4" x14ac:dyDescent="0.3">
      <c r="A1082" s="1192" t="s">
        <v>172</v>
      </c>
      <c r="E1082" s="1743" t="s">
        <v>4500</v>
      </c>
      <c r="F1082" s="1743"/>
      <c r="G1082" s="1743"/>
      <c r="H1082" s="1743"/>
      <c r="K1082" s="1192" t="s">
        <v>2687</v>
      </c>
      <c r="V1082" s="1192">
        <v>247</v>
      </c>
    </row>
    <row r="1083" spans="1:22" s="1192" customFormat="1" ht="14.4" x14ac:dyDescent="0.3">
      <c r="A1083" s="1192" t="s">
        <v>172</v>
      </c>
      <c r="E1083" s="1750" t="s">
        <v>2394</v>
      </c>
      <c r="F1083" s="1743"/>
      <c r="G1083" s="1743"/>
      <c r="H1083" s="1743"/>
      <c r="K1083" s="1192" t="s">
        <v>2425</v>
      </c>
      <c r="V1083" s="1192">
        <v>46</v>
      </c>
    </row>
    <row r="1084" spans="1:22" s="1192" customFormat="1" ht="14.4" x14ac:dyDescent="0.3">
      <c r="A1084" s="1192" t="s">
        <v>172</v>
      </c>
      <c r="E1084" s="1741" t="s">
        <v>8</v>
      </c>
      <c r="F1084" s="1741"/>
      <c r="G1084" s="524" t="s">
        <v>19</v>
      </c>
      <c r="H1084" s="1218">
        <v>2.31</v>
      </c>
      <c r="K1084" s="1192" t="s">
        <v>2687</v>
      </c>
      <c r="L1084" s="1192" t="s">
        <v>430</v>
      </c>
      <c r="P1084" s="1192" t="s">
        <v>2689</v>
      </c>
      <c r="V1084" s="1192">
        <v>31</v>
      </c>
    </row>
    <row r="1085" spans="1:22" s="1192" customFormat="1" ht="14.4" x14ac:dyDescent="0.3">
      <c r="A1085" s="1192" t="s">
        <v>172</v>
      </c>
      <c r="E1085" s="1741" t="s">
        <v>80</v>
      </c>
      <c r="F1085" s="1741"/>
      <c r="G1085" s="524" t="s">
        <v>29</v>
      </c>
      <c r="H1085" s="1219">
        <v>20.956499999999998</v>
      </c>
      <c r="K1085" s="1192" t="s">
        <v>2687</v>
      </c>
      <c r="L1085" s="1192" t="s">
        <v>430</v>
      </c>
      <c r="P1085" s="1192" t="s">
        <v>2690</v>
      </c>
      <c r="V1085" s="1192">
        <v>28</v>
      </c>
    </row>
    <row r="1086" spans="1:22" s="1192" customFormat="1" ht="14.4" x14ac:dyDescent="0.3">
      <c r="A1086" s="1192" t="s">
        <v>172</v>
      </c>
      <c r="E1086" s="1741" t="s">
        <v>14</v>
      </c>
      <c r="F1086" s="1741"/>
      <c r="G1086" s="524" t="s">
        <v>29</v>
      </c>
      <c r="H1086" s="1219">
        <v>0.8367</v>
      </c>
      <c r="K1086" s="1192" t="s">
        <v>2687</v>
      </c>
      <c r="L1086" s="1192" t="s">
        <v>431</v>
      </c>
      <c r="P1086" s="1192" t="s">
        <v>2812</v>
      </c>
      <c r="V1086" s="1192">
        <v>24</v>
      </c>
    </row>
    <row r="1087" spans="1:22" s="1192" customFormat="1" ht="14.4" x14ac:dyDescent="0.3">
      <c r="A1087" s="1192" t="s">
        <v>172</v>
      </c>
      <c r="E1087" s="1741" t="s">
        <v>4486</v>
      </c>
      <c r="F1087" s="1741"/>
      <c r="G1087" s="524" t="s">
        <v>29</v>
      </c>
      <c r="H1087" s="1219">
        <v>0.30680000000000002</v>
      </c>
      <c r="K1087" s="1192" t="s">
        <v>2687</v>
      </c>
      <c r="L1087" s="1192" t="s">
        <v>431</v>
      </c>
      <c r="P1087" s="1192" t="s">
        <v>2693</v>
      </c>
      <c r="T1087" s="1192">
        <v>44196</v>
      </c>
      <c r="V1087" s="1192">
        <v>99</v>
      </c>
    </row>
    <row r="1088" spans="1:22" s="1192" customFormat="1" ht="14.4" x14ac:dyDescent="0.3">
      <c r="A1088" s="1192" t="s">
        <v>172</v>
      </c>
      <c r="E1088" s="1741" t="s">
        <v>4487</v>
      </c>
      <c r="F1088" s="1741"/>
      <c r="G1088" s="524" t="s">
        <v>20</v>
      </c>
      <c r="H1088" s="1219">
        <v>-8.0000000000000004E-4</v>
      </c>
      <c r="K1088" s="1192" t="s">
        <v>2687</v>
      </c>
      <c r="L1088" s="1192" t="s">
        <v>431</v>
      </c>
      <c r="P1088" s="1192" t="s">
        <v>2691</v>
      </c>
      <c r="T1088" s="1192">
        <v>44196</v>
      </c>
      <c r="V1088" s="1192">
        <v>141</v>
      </c>
    </row>
    <row r="1089" spans="1:22" s="1192" customFormat="1" ht="14.4" x14ac:dyDescent="0.3">
      <c r="A1089" s="1192" t="s">
        <v>172</v>
      </c>
      <c r="E1089" s="2011" t="s">
        <v>4485</v>
      </c>
      <c r="F1089" s="2011"/>
      <c r="G1089" s="770" t="s">
        <v>29</v>
      </c>
      <c r="H1089" s="514">
        <v>8.3199999999999996E-2</v>
      </c>
      <c r="K1089" s="1192" t="s">
        <v>2687</v>
      </c>
      <c r="L1089" s="1192" t="s">
        <v>430</v>
      </c>
      <c r="P1089" s="1192" t="s">
        <v>2693</v>
      </c>
      <c r="T1089" s="1192">
        <v>44196</v>
      </c>
      <c r="V1089" s="1192">
        <v>107</v>
      </c>
    </row>
    <row r="1090" spans="1:22" s="1192" customFormat="1" ht="14.4" x14ac:dyDescent="0.3">
      <c r="A1090" s="1192" t="s">
        <v>172</v>
      </c>
      <c r="E1090" s="1741" t="s">
        <v>4563</v>
      </c>
      <c r="F1090" s="1741"/>
      <c r="G1090" s="524" t="s">
        <v>29</v>
      </c>
      <c r="H1090" s="1219">
        <v>-0.1225</v>
      </c>
      <c r="K1090" s="1192" t="s">
        <v>2687</v>
      </c>
      <c r="L1090" s="1192" t="s">
        <v>430</v>
      </c>
      <c r="P1090" s="1192" t="s">
        <v>2692</v>
      </c>
      <c r="T1090" s="1192">
        <v>44196</v>
      </c>
      <c r="V1090" s="1192">
        <v>137</v>
      </c>
    </row>
    <row r="1091" spans="1:22" s="1192" customFormat="1" ht="14.4" x14ac:dyDescent="0.3">
      <c r="A1091" s="1192" t="s">
        <v>172</v>
      </c>
      <c r="E1091" s="1741" t="s">
        <v>6104</v>
      </c>
      <c r="F1091" s="1998"/>
      <c r="G1091" s="524" t="s">
        <v>29</v>
      </c>
      <c r="H1091" s="1219">
        <v>-0.2041</v>
      </c>
      <c r="K1091" s="1192" t="s">
        <v>2687</v>
      </c>
      <c r="L1091" s="1192" t="s">
        <v>430</v>
      </c>
      <c r="P1091" s="1192" t="s">
        <v>2692</v>
      </c>
      <c r="T1091" s="1192">
        <v>44196</v>
      </c>
      <c r="V1091" s="1192">
        <v>137</v>
      </c>
    </row>
    <row r="1092" spans="1:22" s="1192" customFormat="1" ht="14.4" x14ac:dyDescent="0.3">
      <c r="A1092" s="1192" t="s">
        <v>172</v>
      </c>
      <c r="E1092" s="1741" t="s">
        <v>213</v>
      </c>
      <c r="F1092" s="1741"/>
      <c r="G1092" s="524" t="s">
        <v>29</v>
      </c>
      <c r="H1092" s="1219">
        <v>2.1004</v>
      </c>
      <c r="K1092" s="1192" t="s">
        <v>2687</v>
      </c>
      <c r="L1092" s="1192" t="s">
        <v>432</v>
      </c>
      <c r="P1092" s="1192" t="s">
        <v>2694</v>
      </c>
      <c r="V1092" s="1192">
        <v>47</v>
      </c>
    </row>
    <row r="1093" spans="1:22" s="1192" customFormat="1" ht="14.4" x14ac:dyDescent="0.3">
      <c r="A1093" s="1192" t="s">
        <v>172</v>
      </c>
      <c r="E1093" s="1741" t="s">
        <v>209</v>
      </c>
      <c r="F1093" s="1741"/>
      <c r="G1093" s="524" t="s">
        <v>29</v>
      </c>
      <c r="H1093" s="1219">
        <v>1.7596000000000001</v>
      </c>
      <c r="K1093" s="1192" t="s">
        <v>2687</v>
      </c>
      <c r="L1093" s="1192" t="s">
        <v>432</v>
      </c>
      <c r="P1093" s="1192" t="s">
        <v>2813</v>
      </c>
      <c r="V1093" s="1192">
        <v>74</v>
      </c>
    </row>
    <row r="1094" spans="1:22" s="1192" customFormat="1" ht="14.4" x14ac:dyDescent="0.3">
      <c r="A1094" s="1192" t="s">
        <v>172</v>
      </c>
      <c r="E1094" s="1750" t="s">
        <v>2405</v>
      </c>
      <c r="F1094" s="1741"/>
      <c r="G1094" s="1277"/>
      <c r="H1094" s="896"/>
      <c r="K1094" s="1192" t="s">
        <v>2427</v>
      </c>
      <c r="V1094" s="1192">
        <v>48</v>
      </c>
    </row>
    <row r="1095" spans="1:22" s="1192" customFormat="1" ht="14.4" x14ac:dyDescent="0.3">
      <c r="A1095" s="1192" t="s">
        <v>172</v>
      </c>
      <c r="E1095" s="1741" t="s">
        <v>2033</v>
      </c>
      <c r="F1095" s="1741"/>
      <c r="G1095" s="524" t="s">
        <v>20</v>
      </c>
      <c r="H1095" s="1219">
        <v>3.0000000000000001E-3</v>
      </c>
      <c r="K1095" s="1192" t="s">
        <v>2687</v>
      </c>
      <c r="L1095" s="1192" t="s">
        <v>2374</v>
      </c>
      <c r="P1095" s="1192" t="s">
        <v>2696</v>
      </c>
      <c r="V1095" s="1192">
        <v>55</v>
      </c>
    </row>
    <row r="1096" spans="1:22" s="1192" customFormat="1" ht="14.4" x14ac:dyDescent="0.3">
      <c r="A1096" s="1192" t="s">
        <v>172</v>
      </c>
      <c r="E1096" s="1741" t="s">
        <v>2034</v>
      </c>
      <c r="F1096" s="1741"/>
      <c r="G1096" s="524" t="s">
        <v>20</v>
      </c>
      <c r="H1096" s="1219">
        <v>4.0000000000000002E-4</v>
      </c>
      <c r="K1096" s="1192" t="s">
        <v>2687</v>
      </c>
      <c r="L1096" s="1192" t="s">
        <v>2374</v>
      </c>
      <c r="P1096" s="1192" t="s">
        <v>2696</v>
      </c>
      <c r="V1096" s="1192">
        <v>65</v>
      </c>
    </row>
    <row r="1097" spans="1:22" s="1192" customFormat="1" ht="14.4" x14ac:dyDescent="0.3">
      <c r="A1097" s="1192" t="s">
        <v>172</v>
      </c>
      <c r="E1097" s="1741" t="s">
        <v>428</v>
      </c>
      <c r="F1097" s="1741"/>
      <c r="G1097" s="524" t="s">
        <v>20</v>
      </c>
      <c r="H1097" s="1219">
        <v>5.0000000000000001E-4</v>
      </c>
      <c r="K1097" s="1192" t="s">
        <v>2687</v>
      </c>
      <c r="L1097" s="1192" t="s">
        <v>2374</v>
      </c>
      <c r="P1097" s="1192" t="s">
        <v>2697</v>
      </c>
      <c r="V1097" s="1192">
        <v>57</v>
      </c>
    </row>
    <row r="1098" spans="1:22" s="1192" customFormat="1" ht="14.4" x14ac:dyDescent="0.3">
      <c r="A1098" s="1192" t="s">
        <v>172</v>
      </c>
      <c r="E1098" s="1741" t="s">
        <v>28</v>
      </c>
      <c r="F1098" s="1741"/>
      <c r="G1098" s="524" t="s">
        <v>19</v>
      </c>
      <c r="H1098" s="1218">
        <v>0.25</v>
      </c>
      <c r="K1098" s="1192" t="s">
        <v>2687</v>
      </c>
      <c r="L1098" s="1192" t="s">
        <v>2374</v>
      </c>
      <c r="P1098" s="1192" t="s">
        <v>2698</v>
      </c>
      <c r="V1098" s="1192">
        <v>63</v>
      </c>
    </row>
    <row r="1099" spans="1:22" s="1192" customFormat="1" ht="17.399999999999999" x14ac:dyDescent="0.3">
      <c r="A1099" s="1192" t="s">
        <v>172</v>
      </c>
      <c r="E1099" s="1746" t="s">
        <v>593</v>
      </c>
      <c r="F1099" s="1747"/>
      <c r="G1099" s="1747"/>
      <c r="H1099" s="1747"/>
      <c r="K1099" s="1192" t="s">
        <v>2651</v>
      </c>
      <c r="V1099" s="1192">
        <v>31</v>
      </c>
    </row>
    <row r="1100" spans="1:22" s="1192" customFormat="1" ht="14.4" x14ac:dyDescent="0.3">
      <c r="A1100" s="1192" t="s">
        <v>172</v>
      </c>
      <c r="E1100" s="1743" t="s">
        <v>2699</v>
      </c>
      <c r="F1100" s="1743"/>
      <c r="G1100" s="1743"/>
      <c r="H1100" s="1743"/>
      <c r="K1100" s="1192" t="s">
        <v>2651</v>
      </c>
      <c r="V1100" s="1192">
        <v>285</v>
      </c>
    </row>
    <row r="1101" spans="1:22" s="1192" customFormat="1" ht="14.4" x14ac:dyDescent="0.3">
      <c r="A1101" s="1192" t="s">
        <v>172</v>
      </c>
      <c r="E1101" s="1750" t="s">
        <v>2389</v>
      </c>
      <c r="F1101" s="1743"/>
      <c r="G1101" s="1743"/>
      <c r="H1101" s="1743"/>
      <c r="K1101" s="1192" t="s">
        <v>2430</v>
      </c>
      <c r="V1101" s="1192">
        <v>11</v>
      </c>
    </row>
    <row r="1102" spans="1:22" s="1192" customFormat="1" ht="14.4" x14ac:dyDescent="0.3">
      <c r="A1102" s="1192" t="s">
        <v>172</v>
      </c>
      <c r="E1102" s="1743" t="s">
        <v>2762</v>
      </c>
      <c r="F1102" s="1743"/>
      <c r="G1102" s="1743"/>
      <c r="H1102" s="1743"/>
      <c r="K1102" s="1192" t="s">
        <v>2651</v>
      </c>
      <c r="V1102" s="1192">
        <v>272</v>
      </c>
    </row>
    <row r="1103" spans="1:22" s="1192" customFormat="1" ht="14.4" x14ac:dyDescent="0.3">
      <c r="A1103" s="1192" t="s">
        <v>172</v>
      </c>
      <c r="E1103" s="1743" t="s">
        <v>2763</v>
      </c>
      <c r="F1103" s="1743"/>
      <c r="G1103" s="1743"/>
      <c r="H1103" s="1743"/>
      <c r="K1103" s="1192" t="s">
        <v>2651</v>
      </c>
      <c r="V1103" s="1192">
        <v>403</v>
      </c>
    </row>
    <row r="1104" spans="1:22" s="1192" customFormat="1" ht="14.4" x14ac:dyDescent="0.3">
      <c r="A1104" s="1192" t="s">
        <v>172</v>
      </c>
      <c r="E1104" s="1743" t="s">
        <v>2508</v>
      </c>
      <c r="F1104" s="1743"/>
      <c r="G1104" s="1743"/>
      <c r="H1104" s="1743"/>
      <c r="K1104" s="1192" t="s">
        <v>2651</v>
      </c>
      <c r="V1104" s="1192">
        <v>386</v>
      </c>
    </row>
    <row r="1105" spans="1:22" s="1192" customFormat="1" ht="14.4" x14ac:dyDescent="0.3">
      <c r="A1105" s="1192" t="s">
        <v>172</v>
      </c>
      <c r="E1105" s="1743" t="s">
        <v>4500</v>
      </c>
      <c r="F1105" s="1743"/>
      <c r="G1105" s="1743"/>
      <c r="H1105" s="1743"/>
      <c r="K1105" s="1192" t="s">
        <v>2651</v>
      </c>
      <c r="V1105" s="1192">
        <v>247</v>
      </c>
    </row>
    <row r="1106" spans="1:22" s="1192" customFormat="1" ht="14.4" x14ac:dyDescent="0.3">
      <c r="A1106" s="1192" t="s">
        <v>172</v>
      </c>
      <c r="E1106" s="1750" t="s">
        <v>2394</v>
      </c>
      <c r="F1106" s="1743"/>
      <c r="G1106" s="1743"/>
      <c r="H1106" s="1743"/>
      <c r="K1106" s="1192" t="s">
        <v>2431</v>
      </c>
      <c r="V1106" s="1192">
        <v>46</v>
      </c>
    </row>
    <row r="1107" spans="1:22" s="1192" customFormat="1" ht="14.4" x14ac:dyDescent="0.3">
      <c r="A1107" s="1192" t="s">
        <v>172</v>
      </c>
      <c r="E1107" s="1741" t="s">
        <v>7</v>
      </c>
      <c r="F1107" s="1741"/>
      <c r="G1107" s="524" t="s">
        <v>19</v>
      </c>
      <c r="H1107" s="1218">
        <v>10</v>
      </c>
      <c r="K1107" s="1192" t="s">
        <v>2651</v>
      </c>
      <c r="L1107" s="1192" t="s">
        <v>430</v>
      </c>
      <c r="P1107" s="1192" t="s">
        <v>2653</v>
      </c>
      <c r="V1107" s="1192">
        <v>14</v>
      </c>
    </row>
    <row r="1108" spans="1:22" s="1192" customFormat="1" x14ac:dyDescent="0.35">
      <c r="A1108" s="1192" t="s">
        <v>172</v>
      </c>
      <c r="E1108" s="1260" t="s">
        <v>81</v>
      </c>
      <c r="F1108" s="550"/>
      <c r="G1108" s="823"/>
      <c r="H1108" s="878"/>
      <c r="K1108" s="1192" t="s">
        <v>4492</v>
      </c>
      <c r="V1108" s="1192">
        <v>10</v>
      </c>
    </row>
    <row r="1109" spans="1:22" s="1192" customFormat="1" ht="14.4" x14ac:dyDescent="0.3">
      <c r="A1109" s="1192" t="s">
        <v>172</v>
      </c>
      <c r="E1109" s="1741" t="s">
        <v>2449</v>
      </c>
      <c r="F1109" s="1741"/>
      <c r="G1109" s="1277" t="s">
        <v>29</v>
      </c>
      <c r="H1109" s="564">
        <v>-0.6</v>
      </c>
      <c r="V1109" s="1192">
        <v>68</v>
      </c>
    </row>
    <row r="1110" spans="1:22" s="1192" customFormat="1" ht="14.4" x14ac:dyDescent="0.3">
      <c r="A1110" s="1192" t="s">
        <v>172</v>
      </c>
      <c r="E1110" s="1741" t="s">
        <v>2450</v>
      </c>
      <c r="F1110" s="1741"/>
      <c r="G1110" s="1277" t="s">
        <v>82</v>
      </c>
      <c r="H1110" s="511">
        <v>-1</v>
      </c>
      <c r="V1110" s="1192">
        <v>87</v>
      </c>
    </row>
    <row r="1111" spans="1:22" s="1192" customFormat="1" x14ac:dyDescent="0.35">
      <c r="A1111" s="1192" t="s">
        <v>172</v>
      </c>
      <c r="E1111" s="1260" t="s">
        <v>83</v>
      </c>
      <c r="F1111" s="550"/>
      <c r="G1111" s="823"/>
      <c r="H1111" s="878"/>
      <c r="K1111" s="1192" t="s">
        <v>4493</v>
      </c>
      <c r="V1111" s="1192">
        <v>24</v>
      </c>
    </row>
    <row r="1112" spans="1:22" s="1192" customFormat="1" ht="14.4" x14ac:dyDescent="0.3">
      <c r="A1112" s="1192" t="s">
        <v>172</v>
      </c>
      <c r="E1112" s="1743" t="s">
        <v>2762</v>
      </c>
      <c r="F1112" s="1743"/>
      <c r="G1112" s="1743"/>
      <c r="H1112" s="1743"/>
      <c r="V1112" s="1192">
        <v>272</v>
      </c>
    </row>
    <row r="1113" spans="1:22" s="1192" customFormat="1" ht="14.4" x14ac:dyDescent="0.3">
      <c r="A1113" s="1192" t="s">
        <v>172</v>
      </c>
      <c r="E1113" s="1743" t="s">
        <v>2765</v>
      </c>
      <c r="F1113" s="1743"/>
      <c r="G1113" s="1743"/>
      <c r="H1113" s="1743"/>
      <c r="V1113" s="1192">
        <v>345</v>
      </c>
    </row>
    <row r="1114" spans="1:22" s="1192" customFormat="1" ht="14.4" x14ac:dyDescent="0.3">
      <c r="A1114" s="1192" t="s">
        <v>172</v>
      </c>
      <c r="E1114" s="1743" t="s">
        <v>4500</v>
      </c>
      <c r="F1114" s="1743"/>
      <c r="G1114" s="1743"/>
      <c r="H1114" s="1743"/>
      <c r="V1114" s="1192">
        <v>247</v>
      </c>
    </row>
    <row r="1115" spans="1:22" s="1192" customFormat="1" ht="14.4" x14ac:dyDescent="0.3">
      <c r="A1115" s="1192" t="s">
        <v>172</v>
      </c>
      <c r="E1115" s="1253" t="s">
        <v>2453</v>
      </c>
      <c r="F1115" s="1287"/>
      <c r="G1115" s="1287"/>
      <c r="H1115" s="879"/>
      <c r="K1115" s="1192" t="s">
        <v>4494</v>
      </c>
      <c r="V1115" s="1192">
        <v>23</v>
      </c>
    </row>
    <row r="1116" spans="1:22" s="1192" customFormat="1" ht="14.4" x14ac:dyDescent="0.3">
      <c r="A1116" s="1192" t="s">
        <v>172</v>
      </c>
      <c r="E1116" s="1942" t="s">
        <v>2639</v>
      </c>
      <c r="F1116" s="1942"/>
      <c r="G1116" s="1277" t="s">
        <v>19</v>
      </c>
      <c r="H1116" s="1218">
        <v>15</v>
      </c>
      <c r="V1116" s="1192">
        <v>19</v>
      </c>
    </row>
    <row r="1117" spans="1:22" s="1192" customFormat="1" ht="14.4" x14ac:dyDescent="0.3">
      <c r="A1117" s="1192" t="s">
        <v>172</v>
      </c>
      <c r="E1117" s="1942" t="s">
        <v>2456</v>
      </c>
      <c r="F1117" s="1942"/>
      <c r="G1117" s="1277" t="s">
        <v>19</v>
      </c>
      <c r="H1117" s="1218">
        <v>15</v>
      </c>
      <c r="V1117" s="1192">
        <v>20</v>
      </c>
    </row>
    <row r="1118" spans="1:22" s="1192" customFormat="1" ht="14.4" x14ac:dyDescent="0.3">
      <c r="A1118" s="1192" t="s">
        <v>172</v>
      </c>
      <c r="E1118" s="1942" t="s">
        <v>2458</v>
      </c>
      <c r="F1118" s="1942"/>
      <c r="G1118" s="1277" t="s">
        <v>19</v>
      </c>
      <c r="H1118" s="1218">
        <v>15</v>
      </c>
      <c r="V1118" s="1192">
        <v>39</v>
      </c>
    </row>
    <row r="1119" spans="1:22" s="1192" customFormat="1" ht="14.4" x14ac:dyDescent="0.3">
      <c r="A1119" s="1192" t="s">
        <v>172</v>
      </c>
      <c r="E1119" s="1942" t="s">
        <v>2459</v>
      </c>
      <c r="F1119" s="1942"/>
      <c r="G1119" s="1277" t="s">
        <v>19</v>
      </c>
      <c r="H1119" s="1218">
        <v>15</v>
      </c>
      <c r="V1119" s="1192">
        <v>37</v>
      </c>
    </row>
    <row r="1120" spans="1:22" s="1192" customFormat="1" ht="14.4" x14ac:dyDescent="0.3">
      <c r="A1120" s="1192" t="s">
        <v>172</v>
      </c>
      <c r="E1120" s="1942" t="s">
        <v>2461</v>
      </c>
      <c r="F1120" s="1942"/>
      <c r="G1120" s="1277" t="s">
        <v>19</v>
      </c>
      <c r="H1120" s="1218">
        <v>15</v>
      </c>
      <c r="V1120" s="1192">
        <v>17</v>
      </c>
    </row>
    <row r="1121" spans="1:22" s="1192" customFormat="1" ht="14.4" x14ac:dyDescent="0.3">
      <c r="A1121" s="1192" t="s">
        <v>172</v>
      </c>
      <c r="E1121" s="1942" t="s">
        <v>2463</v>
      </c>
      <c r="F1121" s="1942"/>
      <c r="G1121" s="1277" t="s">
        <v>19</v>
      </c>
      <c r="H1121" s="1218">
        <v>15</v>
      </c>
      <c r="V1121" s="1192">
        <v>15</v>
      </c>
    </row>
    <row r="1122" spans="1:22" s="1192" customFormat="1" ht="14.4" x14ac:dyDescent="0.3">
      <c r="A1122" s="1192" t="s">
        <v>172</v>
      </c>
      <c r="E1122" s="1942" t="s">
        <v>4189</v>
      </c>
      <c r="F1122" s="1942"/>
      <c r="G1122" s="1277" t="s">
        <v>19</v>
      </c>
      <c r="H1122" s="1218">
        <v>25</v>
      </c>
      <c r="V1122" s="1192">
        <v>39</v>
      </c>
    </row>
    <row r="1123" spans="1:22" s="1192" customFormat="1" ht="14.4" x14ac:dyDescent="0.3">
      <c r="A1123" s="1192" t="s">
        <v>172</v>
      </c>
      <c r="E1123" s="1942" t="s">
        <v>119</v>
      </c>
      <c r="F1123" s="1942"/>
      <c r="G1123" s="1277" t="s">
        <v>19</v>
      </c>
      <c r="H1123" s="1218">
        <v>15</v>
      </c>
      <c r="V1123" s="1192">
        <v>35</v>
      </c>
    </row>
    <row r="1124" spans="1:22" s="1192" customFormat="1" ht="14.4" x14ac:dyDescent="0.3">
      <c r="A1124" s="1192" t="s">
        <v>172</v>
      </c>
      <c r="E1124" s="1942" t="s">
        <v>2467</v>
      </c>
      <c r="F1124" s="1942"/>
      <c r="G1124" s="1277" t="s">
        <v>19</v>
      </c>
      <c r="H1124" s="1218">
        <v>15</v>
      </c>
      <c r="V1124" s="1192">
        <v>19</v>
      </c>
    </row>
    <row r="1125" spans="1:22" s="1192" customFormat="1" ht="14.4" x14ac:dyDescent="0.3">
      <c r="A1125" s="1192" t="s">
        <v>172</v>
      </c>
      <c r="E1125" s="1942" t="s">
        <v>84</v>
      </c>
      <c r="F1125" s="1942"/>
      <c r="G1125" s="1277" t="s">
        <v>19</v>
      </c>
      <c r="H1125" s="1218">
        <v>15</v>
      </c>
      <c r="V1125" s="1192">
        <v>89</v>
      </c>
    </row>
    <row r="1126" spans="1:22" s="1192" customFormat="1" ht="14.4" x14ac:dyDescent="0.3">
      <c r="A1126" s="1192" t="s">
        <v>172</v>
      </c>
      <c r="E1126" s="1942" t="s">
        <v>88</v>
      </c>
      <c r="F1126" s="1942"/>
      <c r="G1126" s="1277" t="s">
        <v>19</v>
      </c>
      <c r="H1126" s="1218">
        <v>30</v>
      </c>
      <c r="V1126" s="1192">
        <v>74</v>
      </c>
    </row>
    <row r="1127" spans="1:22" s="1192" customFormat="1" ht="14.4" x14ac:dyDescent="0.3">
      <c r="A1127" s="1192" t="s">
        <v>172</v>
      </c>
      <c r="E1127" s="1253" t="s">
        <v>2468</v>
      </c>
      <c r="F1127" s="1287"/>
      <c r="G1127" s="1287"/>
      <c r="H1127" s="879"/>
      <c r="K1127" s="1192" t="s">
        <v>4495</v>
      </c>
      <c r="V1127" s="1192">
        <v>22</v>
      </c>
    </row>
    <row r="1128" spans="1:22" s="1192" customFormat="1" ht="14.4" x14ac:dyDescent="0.3">
      <c r="A1128" s="1192" t="s">
        <v>172</v>
      </c>
      <c r="E1128" s="1942" t="s">
        <v>6105</v>
      </c>
      <c r="F1128" s="1942"/>
      <c r="G1128" s="1277" t="s">
        <v>82</v>
      </c>
      <c r="H1128" s="1218">
        <v>1.5</v>
      </c>
      <c r="V1128" s="1192">
        <v>101</v>
      </c>
    </row>
    <row r="1129" spans="1:22" s="1192" customFormat="1" ht="14.4" x14ac:dyDescent="0.3">
      <c r="A1129" s="1192" t="s">
        <v>172</v>
      </c>
      <c r="E1129" s="1942" t="s">
        <v>6106</v>
      </c>
      <c r="F1129" s="1942"/>
      <c r="G1129" s="1277" t="s">
        <v>19</v>
      </c>
      <c r="H1129" s="1218">
        <v>25</v>
      </c>
      <c r="V1129" s="1192">
        <v>44</v>
      </c>
    </row>
    <row r="1130" spans="1:22" s="1192" customFormat="1" ht="14.4" x14ac:dyDescent="0.3">
      <c r="A1130" s="1192" t="s">
        <v>172</v>
      </c>
      <c r="E1130" s="1942" t="s">
        <v>6107</v>
      </c>
      <c r="F1130" s="1942"/>
      <c r="G1130" s="1277" t="s">
        <v>19</v>
      </c>
      <c r="H1130" s="1218">
        <v>50</v>
      </c>
      <c r="V1130" s="1192">
        <v>43</v>
      </c>
    </row>
    <row r="1131" spans="1:22" s="1192" customFormat="1" ht="14.4" x14ac:dyDescent="0.3">
      <c r="A1131" s="1192" t="s">
        <v>172</v>
      </c>
      <c r="E1131" s="1942" t="s">
        <v>6108</v>
      </c>
      <c r="F1131" s="1942"/>
      <c r="G1131" s="1277" t="s">
        <v>19</v>
      </c>
      <c r="H1131" s="1218">
        <v>185</v>
      </c>
      <c r="V1131" s="1192">
        <v>43</v>
      </c>
    </row>
    <row r="1132" spans="1:22" s="1192" customFormat="1" ht="14.4" x14ac:dyDescent="0.3">
      <c r="A1132" s="1192" t="s">
        <v>172</v>
      </c>
      <c r="E1132" s="1942" t="s">
        <v>6109</v>
      </c>
      <c r="F1132" s="1942"/>
      <c r="G1132" s="1277" t="s">
        <v>19</v>
      </c>
      <c r="H1132" s="1218">
        <v>415</v>
      </c>
      <c r="V1132" s="1192">
        <v>34</v>
      </c>
    </row>
    <row r="1133" spans="1:22" s="1192" customFormat="1" ht="14.4" x14ac:dyDescent="0.3">
      <c r="A1133" s="1192" t="s">
        <v>172</v>
      </c>
      <c r="E1133" s="1253" t="s">
        <v>2474</v>
      </c>
      <c r="F1133" s="1287"/>
      <c r="G1133" s="1287"/>
      <c r="H1133" s="879"/>
      <c r="V1133" s="1192">
        <v>5</v>
      </c>
    </row>
    <row r="1134" spans="1:22" s="1192" customFormat="1" ht="14.4" x14ac:dyDescent="0.3">
      <c r="A1134" s="1192" t="s">
        <v>172</v>
      </c>
      <c r="E1134" s="1942" t="s">
        <v>90</v>
      </c>
      <c r="F1134" s="1942"/>
      <c r="G1134" s="1277" t="s">
        <v>19</v>
      </c>
      <c r="H1134" s="1218">
        <v>20</v>
      </c>
      <c r="V1134" s="1192">
        <v>19</v>
      </c>
    </row>
    <row r="1135" spans="1:22" s="1192" customFormat="1" ht="14.4" x14ac:dyDescent="0.3">
      <c r="A1135" s="1192" t="s">
        <v>172</v>
      </c>
      <c r="E1135" s="1942" t="s">
        <v>2477</v>
      </c>
      <c r="F1135" s="1942"/>
      <c r="G1135" s="1277" t="s">
        <v>19</v>
      </c>
      <c r="H1135" s="1218">
        <v>30</v>
      </c>
      <c r="V1135" s="1192">
        <v>39</v>
      </c>
    </row>
    <row r="1136" spans="1:22" s="1192" customFormat="1" ht="14.4" x14ac:dyDescent="0.3">
      <c r="A1136" s="1192" t="s">
        <v>172</v>
      </c>
      <c r="E1136" s="1942" t="s">
        <v>2478</v>
      </c>
      <c r="F1136" s="1942"/>
      <c r="G1136" s="1277" t="s">
        <v>19</v>
      </c>
      <c r="H1136" s="1218">
        <v>165</v>
      </c>
      <c r="V1136" s="1192">
        <v>34</v>
      </c>
    </row>
    <row r="1137" spans="1:22" s="1192" customFormat="1" ht="14.4" x14ac:dyDescent="0.3">
      <c r="A1137" s="1192" t="s">
        <v>172</v>
      </c>
      <c r="E1137" s="1942" t="s">
        <v>4496</v>
      </c>
      <c r="F1137" s="1942"/>
      <c r="G1137" s="1277" t="s">
        <v>19</v>
      </c>
      <c r="H1137" s="1218">
        <v>500</v>
      </c>
      <c r="V1137" s="1192">
        <v>72</v>
      </c>
    </row>
    <row r="1138" spans="1:22" s="1192" customFormat="1" ht="14.4" x14ac:dyDescent="0.3">
      <c r="A1138" s="1192" t="s">
        <v>172</v>
      </c>
      <c r="E1138" s="1942" t="s">
        <v>2766</v>
      </c>
      <c r="F1138" s="1942"/>
      <c r="G1138" s="1277" t="s">
        <v>19</v>
      </c>
      <c r="H1138" s="1218">
        <v>300</v>
      </c>
      <c r="V1138" s="1192">
        <v>75</v>
      </c>
    </row>
    <row r="1139" spans="1:22" s="1192" customFormat="1" ht="14.4" x14ac:dyDescent="0.3">
      <c r="A1139" s="1192" t="s">
        <v>172</v>
      </c>
      <c r="E1139" s="1942" t="s">
        <v>2767</v>
      </c>
      <c r="F1139" s="1942"/>
      <c r="G1139" s="1277" t="s">
        <v>19</v>
      </c>
      <c r="H1139" s="1218">
        <v>1000</v>
      </c>
      <c r="V1139" s="1192">
        <v>74</v>
      </c>
    </row>
    <row r="1140" spans="1:22" s="1192" customFormat="1" ht="14.4" x14ac:dyDescent="0.3">
      <c r="A1140" s="1192" t="s">
        <v>172</v>
      </c>
      <c r="E1140" s="1942" t="s">
        <v>2768</v>
      </c>
      <c r="F1140" s="1942"/>
      <c r="G1140" s="558" t="s">
        <v>19</v>
      </c>
      <c r="H1140" s="560">
        <v>44.5</v>
      </c>
      <c r="V1140" s="1192">
        <v>104</v>
      </c>
    </row>
    <row r="1141" spans="1:22" s="1192" customFormat="1" ht="34.799999999999997" x14ac:dyDescent="0.35">
      <c r="A1141" s="1192" t="s">
        <v>172</v>
      </c>
      <c r="E1141" s="1260" t="s">
        <v>73</v>
      </c>
      <c r="F1141" s="550"/>
      <c r="G1141" s="823"/>
      <c r="H1141" s="878"/>
      <c r="K1141" s="1192" t="s">
        <v>4497</v>
      </c>
      <c r="V1141" s="1192">
        <v>38</v>
      </c>
    </row>
    <row r="1142" spans="1:22" s="1192" customFormat="1" ht="14.4" x14ac:dyDescent="0.3">
      <c r="A1142" s="1192" t="s">
        <v>172</v>
      </c>
      <c r="E1142" s="1743" t="s">
        <v>2762</v>
      </c>
      <c r="F1142" s="1743"/>
      <c r="G1142" s="1743"/>
      <c r="H1142" s="1743"/>
      <c r="V1142" s="1192">
        <v>272</v>
      </c>
    </row>
    <row r="1143" spans="1:22" s="1192" customFormat="1" ht="14.4" x14ac:dyDescent="0.3">
      <c r="A1143" s="1192" t="s">
        <v>172</v>
      </c>
      <c r="E1143" s="1743" t="s">
        <v>2763</v>
      </c>
      <c r="F1143" s="1743"/>
      <c r="G1143" s="1743"/>
      <c r="H1143" s="1743"/>
      <c r="V1143" s="1192">
        <v>403</v>
      </c>
    </row>
    <row r="1144" spans="1:22" s="1192" customFormat="1" ht="14.4" x14ac:dyDescent="0.3">
      <c r="A1144" s="1192" t="s">
        <v>172</v>
      </c>
      <c r="E1144" s="1743" t="s">
        <v>2445</v>
      </c>
      <c r="F1144" s="1743"/>
      <c r="G1144" s="1743"/>
      <c r="H1144" s="1743"/>
      <c r="V1144" s="1192">
        <v>211</v>
      </c>
    </row>
    <row r="1145" spans="1:22" s="1192" customFormat="1" ht="14.4" x14ac:dyDescent="0.3">
      <c r="A1145" s="1192" t="s">
        <v>172</v>
      </c>
      <c r="E1145" s="1743" t="s">
        <v>4500</v>
      </c>
      <c r="F1145" s="1743"/>
      <c r="G1145" s="1743"/>
      <c r="H1145" s="1743"/>
      <c r="V1145" s="1192">
        <v>247</v>
      </c>
    </row>
    <row r="1146" spans="1:22" s="1192" customFormat="1" ht="14.4" x14ac:dyDescent="0.3">
      <c r="A1146" s="1192" t="s">
        <v>172</v>
      </c>
      <c r="E1146" s="1743" t="s">
        <v>2595</v>
      </c>
      <c r="F1146" s="1743"/>
      <c r="G1146" s="1743"/>
      <c r="H1146" s="1743"/>
      <c r="V1146" s="1192">
        <v>142</v>
      </c>
    </row>
    <row r="1147" spans="1:22" s="1192" customFormat="1" ht="14.4" x14ac:dyDescent="0.3">
      <c r="A1147" s="1192" t="s">
        <v>172</v>
      </c>
      <c r="E1147" s="1741" t="s">
        <v>2485</v>
      </c>
      <c r="F1147" s="1741"/>
      <c r="G1147" s="1280" t="s">
        <v>19</v>
      </c>
      <c r="H1147" s="509">
        <v>102</v>
      </c>
      <c r="V1147" s="1192">
        <v>106</v>
      </c>
    </row>
    <row r="1148" spans="1:22" s="1192" customFormat="1" ht="14.4" x14ac:dyDescent="0.3">
      <c r="A1148" s="1192" t="s">
        <v>172</v>
      </c>
      <c r="E1148" s="1741" t="s">
        <v>3919</v>
      </c>
      <c r="F1148" s="1741"/>
      <c r="G1148" s="1280" t="s">
        <v>19</v>
      </c>
      <c r="H1148" s="509">
        <v>40.799999999999997</v>
      </c>
      <c r="V1148" s="1192">
        <v>34</v>
      </c>
    </row>
    <row r="1149" spans="1:22" s="1192" customFormat="1" ht="14.4" x14ac:dyDescent="0.3">
      <c r="A1149" s="1192" t="s">
        <v>172</v>
      </c>
      <c r="E1149" s="1741" t="s">
        <v>3920</v>
      </c>
      <c r="F1149" s="1741"/>
      <c r="G1149" s="1280" t="s">
        <v>2488</v>
      </c>
      <c r="H1149" s="509">
        <v>1.02</v>
      </c>
      <c r="V1149" s="1192">
        <v>51</v>
      </c>
    </row>
    <row r="1150" spans="1:22" s="1192" customFormat="1" ht="14.4" x14ac:dyDescent="0.3">
      <c r="A1150" s="1192" t="s">
        <v>172</v>
      </c>
      <c r="E1150" s="1741" t="s">
        <v>2489</v>
      </c>
      <c r="F1150" s="1741"/>
      <c r="G1150" s="1280" t="s">
        <v>2488</v>
      </c>
      <c r="H1150" s="509">
        <v>0.61</v>
      </c>
      <c r="V1150" s="1192">
        <v>75</v>
      </c>
    </row>
    <row r="1151" spans="1:22" s="1192" customFormat="1" ht="14.4" x14ac:dyDescent="0.3">
      <c r="A1151" s="1192" t="s">
        <v>172</v>
      </c>
      <c r="E1151" s="1741" t="s">
        <v>2490</v>
      </c>
      <c r="F1151" s="1741"/>
      <c r="G1151" s="1280" t="s">
        <v>2488</v>
      </c>
      <c r="H1151" s="509">
        <v>-0.61</v>
      </c>
      <c r="V1151" s="1192">
        <v>72</v>
      </c>
    </row>
    <row r="1152" spans="1:22" s="1192" customFormat="1" ht="14.4" x14ac:dyDescent="0.3">
      <c r="A1152" s="1192" t="s">
        <v>172</v>
      </c>
      <c r="E1152" s="1741" t="s">
        <v>2596</v>
      </c>
      <c r="F1152" s="1741"/>
      <c r="G1152" s="1280"/>
      <c r="H1152" s="840"/>
      <c r="V1152" s="1192">
        <v>34</v>
      </c>
    </row>
    <row r="1153" spans="1:22" s="1192" customFormat="1" ht="14.4" x14ac:dyDescent="0.3">
      <c r="A1153" s="1192" t="s">
        <v>172</v>
      </c>
      <c r="E1153" s="1941" t="s">
        <v>2492</v>
      </c>
      <c r="F1153" s="1941"/>
      <c r="G1153" s="1280" t="s">
        <v>19</v>
      </c>
      <c r="H1153" s="509">
        <v>0.51</v>
      </c>
      <c r="V1153" s="1192">
        <v>57</v>
      </c>
    </row>
    <row r="1154" spans="1:22" s="1192" customFormat="1" ht="14.4" x14ac:dyDescent="0.3">
      <c r="A1154" s="1192" t="s">
        <v>172</v>
      </c>
      <c r="E1154" s="1941" t="s">
        <v>2493</v>
      </c>
      <c r="F1154" s="1941"/>
      <c r="G1154" s="1280" t="s">
        <v>19</v>
      </c>
      <c r="H1154" s="509">
        <v>1.02</v>
      </c>
      <c r="V1154" s="1192">
        <v>60</v>
      </c>
    </row>
    <row r="1155" spans="1:22" s="1192" customFormat="1" ht="14.4" x14ac:dyDescent="0.3">
      <c r="A1155" s="1192" t="s">
        <v>172</v>
      </c>
      <c r="E1155" s="1741" t="s">
        <v>2494</v>
      </c>
      <c r="F1155" s="1741"/>
      <c r="G1155" s="1280"/>
      <c r="H1155" s="840"/>
      <c r="V1155" s="1192">
        <v>91</v>
      </c>
    </row>
    <row r="1156" spans="1:22" s="1192" customFormat="1" ht="14.4" x14ac:dyDescent="0.3">
      <c r="A1156" s="1192" t="s">
        <v>172</v>
      </c>
      <c r="E1156" s="1741" t="s">
        <v>2495</v>
      </c>
      <c r="F1156" s="1741"/>
      <c r="G1156" s="1280"/>
      <c r="H1156" s="840"/>
      <c r="V1156" s="1192">
        <v>96</v>
      </c>
    </row>
    <row r="1157" spans="1:22" s="1192" customFormat="1" ht="14.4" x14ac:dyDescent="0.3">
      <c r="A1157" s="1192" t="s">
        <v>172</v>
      </c>
      <c r="E1157" s="1741" t="s">
        <v>2597</v>
      </c>
      <c r="F1157" s="1741"/>
      <c r="G1157" s="1280"/>
      <c r="H1157" s="840"/>
      <c r="V1157" s="1192">
        <v>77</v>
      </c>
    </row>
    <row r="1158" spans="1:22" s="1192" customFormat="1" ht="14.4" x14ac:dyDescent="0.3">
      <c r="A1158" s="1192" t="s">
        <v>172</v>
      </c>
      <c r="E1158" s="1941" t="s">
        <v>2497</v>
      </c>
      <c r="F1158" s="1941"/>
      <c r="G1158" s="1280" t="s">
        <v>19</v>
      </c>
      <c r="H1158" s="840" t="s">
        <v>2498</v>
      </c>
      <c r="V1158" s="1192">
        <v>18</v>
      </c>
    </row>
    <row r="1159" spans="1:22" s="1192" customFormat="1" ht="14.4" x14ac:dyDescent="0.3">
      <c r="A1159" s="1192" t="s">
        <v>172</v>
      </c>
      <c r="E1159" s="1941" t="s">
        <v>2499</v>
      </c>
      <c r="F1159" s="1941"/>
      <c r="G1159" s="1280" t="s">
        <v>19</v>
      </c>
      <c r="H1159" s="509">
        <v>4.08</v>
      </c>
      <c r="V1159" s="1192">
        <v>69</v>
      </c>
    </row>
    <row r="1160" spans="1:22" s="1192" customFormat="1" ht="14.4" x14ac:dyDescent="0.3">
      <c r="A1160" s="1192" t="s">
        <v>172</v>
      </c>
      <c r="E1160" s="2093" t="s">
        <v>4608</v>
      </c>
      <c r="F1160" s="2093"/>
      <c r="G1160" s="1255" t="s">
        <v>19</v>
      </c>
      <c r="H1160" s="595">
        <v>2.04</v>
      </c>
      <c r="V1160" s="1192">
        <v>199</v>
      </c>
    </row>
    <row r="1161" spans="1:22" s="1192" customFormat="1" x14ac:dyDescent="0.3">
      <c r="A1161" s="1192" t="s">
        <v>172</v>
      </c>
      <c r="E1161" s="1252" t="s">
        <v>143</v>
      </c>
      <c r="F1161" s="823"/>
      <c r="G1161" s="823"/>
      <c r="H1161" s="878"/>
      <c r="K1161" s="1192" t="s">
        <v>4498</v>
      </c>
      <c r="V1161" s="1192">
        <v>12</v>
      </c>
    </row>
    <row r="1162" spans="1:22" s="1192" customFormat="1" ht="14.4" x14ac:dyDescent="0.3">
      <c r="A1162" s="1192" t="s">
        <v>172</v>
      </c>
      <c r="E1162" s="1741" t="s">
        <v>2501</v>
      </c>
      <c r="F1162" s="1741"/>
      <c r="G1162" s="1741"/>
      <c r="H1162" s="1741"/>
      <c r="V1162" s="1192">
        <v>203</v>
      </c>
    </row>
    <row r="1163" spans="1:22" s="1192" customFormat="1" ht="14.4" x14ac:dyDescent="0.3">
      <c r="A1163" s="1192" t="s">
        <v>172</v>
      </c>
      <c r="E1163" s="1741" t="s">
        <v>2599</v>
      </c>
      <c r="F1163" s="1741"/>
      <c r="G1163" s="1277"/>
      <c r="H1163" s="837">
        <v>1.0749</v>
      </c>
      <c r="V1163" s="1192">
        <v>57</v>
      </c>
    </row>
    <row r="1164" spans="1:22" s="1192" customFormat="1" ht="14.4" x14ac:dyDescent="0.3">
      <c r="A1164" s="1192" t="s">
        <v>172</v>
      </c>
      <c r="E1164" s="1741" t="s">
        <v>2601</v>
      </c>
      <c r="F1164" s="1741"/>
      <c r="G1164" s="1277"/>
      <c r="H1164" s="837">
        <v>1.0649999999999999</v>
      </c>
      <c r="J1164" s="1192" t="s">
        <v>4499</v>
      </c>
      <c r="V1164" s="1192">
        <v>55</v>
      </c>
    </row>
    <row r="1165" spans="1:22" s="1192" customFormat="1" ht="22.8" x14ac:dyDescent="0.3">
      <c r="A1165" s="1192" t="s">
        <v>415</v>
      </c>
      <c r="C1165" s="1192" t="s">
        <v>2378</v>
      </c>
      <c r="E1165" s="2074" t="s">
        <v>415</v>
      </c>
      <c r="F1165" s="2074"/>
      <c r="G1165" s="2074"/>
      <c r="H1165" s="2074"/>
      <c r="I1165" s="1192" t="s">
        <v>603</v>
      </c>
      <c r="J1165" s="1192" t="s">
        <v>2769</v>
      </c>
      <c r="K1165" s="1192" t="s">
        <v>415</v>
      </c>
      <c r="M1165" s="1192">
        <v>9</v>
      </c>
      <c r="V1165" s="1192">
        <v>27</v>
      </c>
    </row>
    <row r="1166" spans="1:22" s="1192" customFormat="1" ht="17.399999999999999" x14ac:dyDescent="0.3">
      <c r="A1166" s="1192" t="s">
        <v>415</v>
      </c>
      <c r="C1166" s="1192" t="s">
        <v>2380</v>
      </c>
      <c r="E1166" s="2076" t="s">
        <v>2381</v>
      </c>
      <c r="F1166" s="2076"/>
      <c r="G1166" s="2076"/>
      <c r="H1166" s="2076"/>
      <c r="V1166" s="1192">
        <v>27</v>
      </c>
    </row>
    <row r="1167" spans="1:22" s="1192" customFormat="1" ht="15.6" x14ac:dyDescent="0.3">
      <c r="A1167" s="1192" t="s">
        <v>415</v>
      </c>
      <c r="C1167" s="1192" t="s">
        <v>2382</v>
      </c>
      <c r="E1167" s="2077" t="s">
        <v>5937</v>
      </c>
      <c r="F1167" s="2077"/>
      <c r="G1167" s="2077"/>
      <c r="H1167" s="2077"/>
      <c r="S1167" s="1192">
        <v>43831</v>
      </c>
      <c r="V1167" s="1192">
        <v>49</v>
      </c>
    </row>
    <row r="1168" spans="1:22" s="1192" customFormat="1" ht="14.4" x14ac:dyDescent="0.3">
      <c r="A1168" s="1192" t="s">
        <v>415</v>
      </c>
      <c r="C1168" s="1192" t="s">
        <v>2383</v>
      </c>
      <c r="E1168" s="2078" t="s">
        <v>2384</v>
      </c>
      <c r="F1168" s="2078"/>
      <c r="G1168" s="2078"/>
      <c r="H1168" s="2078"/>
      <c r="V1168" s="1192">
        <v>52</v>
      </c>
    </row>
    <row r="1169" spans="1:22" s="1192" customFormat="1" ht="14.4" x14ac:dyDescent="0.3">
      <c r="A1169" s="1192" t="s">
        <v>415</v>
      </c>
      <c r="E1169" s="2078" t="s">
        <v>2385</v>
      </c>
      <c r="F1169" s="2078"/>
      <c r="G1169" s="2078"/>
      <c r="H1169" s="2078"/>
      <c r="V1169" s="1192">
        <v>53</v>
      </c>
    </row>
    <row r="1170" spans="1:22" s="1192" customFormat="1" ht="14.4" x14ac:dyDescent="0.3">
      <c r="A1170" s="1192" t="s">
        <v>415</v>
      </c>
      <c r="E1170" s="2073" t="s">
        <v>6110</v>
      </c>
      <c r="F1170" s="2073"/>
      <c r="G1170" s="2073"/>
      <c r="H1170" s="2073"/>
      <c r="K1170" s="1192" t="s">
        <v>6110</v>
      </c>
      <c r="V1170" s="1192">
        <v>12</v>
      </c>
    </row>
    <row r="1171" spans="1:22" s="1192" customFormat="1" ht="14.4" x14ac:dyDescent="0.3">
      <c r="A1171" s="1192" t="s">
        <v>415</v>
      </c>
      <c r="E1171" s="2051" t="s">
        <v>427</v>
      </c>
      <c r="F1171" s="2052"/>
      <c r="G1171" s="2052"/>
      <c r="H1171" s="2052"/>
      <c r="K1171" s="1192" t="s">
        <v>2506</v>
      </c>
      <c r="V1171" s="1192">
        <v>34</v>
      </c>
    </row>
    <row r="1172" spans="1:22" s="1192" customFormat="1" ht="14.4" x14ac:dyDescent="0.3">
      <c r="A1172" s="1192" t="s">
        <v>415</v>
      </c>
      <c r="E1172" s="2053" t="s">
        <v>6111</v>
      </c>
      <c r="F1172" s="2053"/>
      <c r="G1172" s="2053"/>
      <c r="H1172" s="2053"/>
      <c r="K1172" s="1192" t="s">
        <v>2506</v>
      </c>
      <c r="V1172" s="1192">
        <v>727</v>
      </c>
    </row>
    <row r="1173" spans="1:22" s="1192" customFormat="1" ht="14.4" x14ac:dyDescent="0.3">
      <c r="A1173" s="1192" t="s">
        <v>415</v>
      </c>
      <c r="E1173" s="2018" t="s">
        <v>2389</v>
      </c>
      <c r="F1173" s="1988"/>
      <c r="G1173" s="1988"/>
      <c r="H1173" s="1988"/>
      <c r="K1173" s="1192" t="s">
        <v>2390</v>
      </c>
      <c r="V1173" s="1192">
        <v>11</v>
      </c>
    </row>
    <row r="1174" spans="1:22" s="1192" customFormat="1" ht="14.4" x14ac:dyDescent="0.3">
      <c r="A1174" s="1192" t="s">
        <v>415</v>
      </c>
      <c r="E1174" s="1743" t="s">
        <v>2391</v>
      </c>
      <c r="F1174" s="1743"/>
      <c r="G1174" s="1743"/>
      <c r="H1174" s="1743"/>
      <c r="K1174" s="1192" t="s">
        <v>2506</v>
      </c>
      <c r="V1174" s="1192">
        <v>280</v>
      </c>
    </row>
    <row r="1175" spans="1:22" s="1192" customFormat="1" ht="14.4" x14ac:dyDescent="0.3">
      <c r="A1175" s="1192" t="s">
        <v>415</v>
      </c>
      <c r="E1175" s="1743" t="s">
        <v>2392</v>
      </c>
      <c r="F1175" s="1743"/>
      <c r="G1175" s="1743"/>
      <c r="H1175" s="1743"/>
      <c r="K1175" s="1192" t="s">
        <v>2506</v>
      </c>
      <c r="V1175" s="1192">
        <v>411</v>
      </c>
    </row>
    <row r="1176" spans="1:22" s="1192" customFormat="1" ht="14.4" x14ac:dyDescent="0.3">
      <c r="A1176" s="1192" t="s">
        <v>415</v>
      </c>
      <c r="E1176" s="1743" t="s">
        <v>2393</v>
      </c>
      <c r="F1176" s="1743"/>
      <c r="G1176" s="1743"/>
      <c r="H1176" s="1743"/>
      <c r="K1176" s="1192" t="s">
        <v>2506</v>
      </c>
      <c r="V1176" s="1192">
        <v>387</v>
      </c>
    </row>
    <row r="1177" spans="1:22" s="1192" customFormat="1" ht="14.4" x14ac:dyDescent="0.3">
      <c r="A1177" s="1192" t="s">
        <v>415</v>
      </c>
      <c r="E1177" s="1743" t="s">
        <v>2986</v>
      </c>
      <c r="F1177" s="1743"/>
      <c r="G1177" s="1743"/>
      <c r="H1177" s="1743"/>
      <c r="K1177" s="1192" t="s">
        <v>2506</v>
      </c>
      <c r="V1177" s="1192">
        <v>246</v>
      </c>
    </row>
    <row r="1178" spans="1:22" s="1192" customFormat="1" ht="14.4" x14ac:dyDescent="0.3">
      <c r="A1178" s="1192" t="s">
        <v>415</v>
      </c>
      <c r="E1178" s="2111" t="s">
        <v>2394</v>
      </c>
      <c r="F1178" s="1988"/>
      <c r="G1178" s="1988"/>
      <c r="H1178" s="1988"/>
      <c r="K1178" s="1192" t="s">
        <v>2395</v>
      </c>
      <c r="V1178" s="1192">
        <v>46</v>
      </c>
    </row>
    <row r="1179" spans="1:22" s="1192" customFormat="1" ht="14.4" x14ac:dyDescent="0.3">
      <c r="A1179" s="1192" t="s">
        <v>415</v>
      </c>
      <c r="E1179" s="2007" t="s">
        <v>7</v>
      </c>
      <c r="F1179" s="2007"/>
      <c r="G1179" s="1273" t="s">
        <v>19</v>
      </c>
      <c r="H1179" s="1218">
        <v>36.76</v>
      </c>
      <c r="K1179" s="1192" t="s">
        <v>2506</v>
      </c>
      <c r="L1179" s="1192" t="s">
        <v>430</v>
      </c>
      <c r="P1179" s="1192" t="s">
        <v>2510</v>
      </c>
      <c r="V1179" s="1192">
        <v>14</v>
      </c>
    </row>
    <row r="1180" spans="1:22" s="1192" customFormat="1" ht="15" thickBot="1" x14ac:dyDescent="0.35">
      <c r="A1180" s="1192" t="s">
        <v>415</v>
      </c>
      <c r="E1180" s="2122" t="s">
        <v>3900</v>
      </c>
      <c r="F1180" s="2210"/>
      <c r="G1180" s="1273" t="s">
        <v>19</v>
      </c>
      <c r="H1180" s="577">
        <v>0.56999999999999995</v>
      </c>
      <c r="K1180" s="1192" t="s">
        <v>2506</v>
      </c>
      <c r="L1180" s="1192" t="s">
        <v>431</v>
      </c>
      <c r="P1180" s="1192" t="s">
        <v>2511</v>
      </c>
      <c r="T1180" s="1192">
        <v>44926</v>
      </c>
      <c r="V1180" s="1192">
        <v>64</v>
      </c>
    </row>
    <row r="1181" spans="1:22" s="1192" customFormat="1" ht="15.6" thickTop="1" thickBot="1" x14ac:dyDescent="0.35">
      <c r="A1181" s="1192" t="s">
        <v>415</v>
      </c>
      <c r="E1181" s="2211" t="s">
        <v>14</v>
      </c>
      <c r="F1181" s="2211"/>
      <c r="G1181" s="882" t="s">
        <v>20</v>
      </c>
      <c r="H1181" s="1219">
        <v>2.9999999999999997E-4</v>
      </c>
      <c r="K1181" s="1192" t="s">
        <v>2506</v>
      </c>
      <c r="L1181" s="1192" t="s">
        <v>431</v>
      </c>
      <c r="P1181" s="1192" t="s">
        <v>2513</v>
      </c>
      <c r="V1181" s="1192">
        <v>24</v>
      </c>
    </row>
    <row r="1182" spans="1:22" s="1192" customFormat="1" ht="15.6" thickTop="1" thickBot="1" x14ac:dyDescent="0.35">
      <c r="A1182" s="1192" t="s">
        <v>415</v>
      </c>
      <c r="E1182" s="2124" t="s">
        <v>6090</v>
      </c>
      <c r="F1182" s="2125"/>
      <c r="G1182" s="882" t="s">
        <v>20</v>
      </c>
      <c r="H1182" s="1219">
        <v>1.1000000000000001E-3</v>
      </c>
      <c r="K1182" s="1192" t="s">
        <v>2506</v>
      </c>
      <c r="L1182" s="1192" t="s">
        <v>431</v>
      </c>
      <c r="P1182" s="1192" t="s">
        <v>2514</v>
      </c>
      <c r="T1182" s="1192">
        <v>44196</v>
      </c>
      <c r="V1182" s="1192">
        <v>142</v>
      </c>
    </row>
    <row r="1183" spans="1:22" s="1192" customFormat="1" ht="15.6" thickTop="1" thickBot="1" x14ac:dyDescent="0.35">
      <c r="A1183" s="1192" t="s">
        <v>415</v>
      </c>
      <c r="E1183" s="2211" t="s">
        <v>6087</v>
      </c>
      <c r="F1183" s="2211"/>
      <c r="G1183" s="882" t="s">
        <v>20</v>
      </c>
      <c r="H1183" s="1219">
        <v>1.5E-3</v>
      </c>
      <c r="K1183" s="1192" t="s">
        <v>2506</v>
      </c>
      <c r="L1183" s="1192" t="s">
        <v>431</v>
      </c>
      <c r="P1183" s="1192" t="s">
        <v>2516</v>
      </c>
      <c r="T1183" s="1192">
        <v>44196</v>
      </c>
      <c r="V1183" s="1192">
        <v>99</v>
      </c>
    </row>
    <row r="1184" spans="1:22" s="1192" customFormat="1" ht="15.6" thickTop="1" thickBot="1" x14ac:dyDescent="0.35">
      <c r="A1184" s="1192" t="s">
        <v>415</v>
      </c>
      <c r="E1184" s="2124" t="s">
        <v>6112</v>
      </c>
      <c r="F1184" s="2125"/>
      <c r="G1184" s="882" t="s">
        <v>20</v>
      </c>
      <c r="H1184" s="1219">
        <v>2.0000000000000001E-4</v>
      </c>
      <c r="K1184" s="1192" t="s">
        <v>2506</v>
      </c>
      <c r="L1184" s="1192" t="s">
        <v>431</v>
      </c>
      <c r="P1184" s="1192" t="s">
        <v>3897</v>
      </c>
      <c r="T1184" s="1192">
        <v>44196</v>
      </c>
      <c r="V1184" s="1192">
        <v>148</v>
      </c>
    </row>
    <row r="1185" spans="1:22" s="1192" customFormat="1" ht="15" thickTop="1" x14ac:dyDescent="0.3">
      <c r="A1185" s="1192" t="s">
        <v>415</v>
      </c>
      <c r="E1185" s="2126" t="s">
        <v>213</v>
      </c>
      <c r="F1185" s="2126"/>
      <c r="G1185" s="882" t="s">
        <v>20</v>
      </c>
      <c r="H1185" s="1219">
        <v>7.3000000000000001E-3</v>
      </c>
      <c r="K1185" s="1192" t="s">
        <v>2506</v>
      </c>
      <c r="L1185" s="1192" t="s">
        <v>432</v>
      </c>
      <c r="P1185" s="1192" t="s">
        <v>2517</v>
      </c>
      <c r="V1185" s="1192">
        <v>47</v>
      </c>
    </row>
    <row r="1186" spans="1:22" s="1192" customFormat="1" ht="14.4" x14ac:dyDescent="0.3">
      <c r="A1186" s="1192" t="s">
        <v>415</v>
      </c>
      <c r="E1186" s="2007" t="s">
        <v>209</v>
      </c>
      <c r="F1186" s="2007"/>
      <c r="G1186" s="882" t="s">
        <v>20</v>
      </c>
      <c r="H1186" s="1219">
        <v>6.7999999999999996E-3</v>
      </c>
      <c r="K1186" s="1192" t="s">
        <v>2506</v>
      </c>
      <c r="L1186" s="1192" t="s">
        <v>432</v>
      </c>
      <c r="P1186" s="1192" t="s">
        <v>2518</v>
      </c>
      <c r="V1186" s="1192">
        <v>74</v>
      </c>
    </row>
    <row r="1187" spans="1:22" s="1192" customFormat="1" ht="14.4" x14ac:dyDescent="0.3">
      <c r="A1187" s="1192" t="s">
        <v>415</v>
      </c>
      <c r="E1187" s="2054" t="s">
        <v>2405</v>
      </c>
      <c r="F1187" s="1741"/>
      <c r="G1187" s="1273"/>
      <c r="H1187" s="867"/>
      <c r="K1187" s="1192" t="s">
        <v>2406</v>
      </c>
      <c r="V1187" s="1192">
        <v>48</v>
      </c>
    </row>
    <row r="1188" spans="1:22" s="1192" customFormat="1" ht="14.4" x14ac:dyDescent="0.3">
      <c r="A1188" s="1192" t="s">
        <v>415</v>
      </c>
      <c r="E1188" s="2007" t="s">
        <v>2033</v>
      </c>
      <c r="F1188" s="2007"/>
      <c r="G1188" s="578" t="s">
        <v>20</v>
      </c>
      <c r="H1188" s="564">
        <v>3.0000000000000001E-3</v>
      </c>
      <c r="K1188" s="1192" t="s">
        <v>2506</v>
      </c>
      <c r="L1188" s="1192" t="s">
        <v>2374</v>
      </c>
      <c r="P1188" s="1192" t="s">
        <v>2519</v>
      </c>
      <c r="V1188" s="1192">
        <v>55</v>
      </c>
    </row>
    <row r="1189" spans="1:22" s="1192" customFormat="1" ht="14.4" x14ac:dyDescent="0.3">
      <c r="A1189" s="1192" t="s">
        <v>415</v>
      </c>
      <c r="E1189" s="2007" t="s">
        <v>2034</v>
      </c>
      <c r="F1189" s="2007"/>
      <c r="G1189" s="578" t="s">
        <v>20</v>
      </c>
      <c r="H1189" s="564">
        <v>4.0000000000000002E-4</v>
      </c>
      <c r="K1189" s="1192" t="s">
        <v>2506</v>
      </c>
      <c r="L1189" s="1192" t="s">
        <v>2374</v>
      </c>
      <c r="P1189" s="1192" t="s">
        <v>2519</v>
      </c>
      <c r="V1189" s="1192">
        <v>65</v>
      </c>
    </row>
    <row r="1190" spans="1:22" s="1192" customFormat="1" ht="14.4" x14ac:dyDescent="0.3">
      <c r="A1190" s="1192" t="s">
        <v>415</v>
      </c>
      <c r="E1190" s="2007" t="s">
        <v>428</v>
      </c>
      <c r="F1190" s="2007"/>
      <c r="G1190" s="578" t="s">
        <v>20</v>
      </c>
      <c r="H1190" s="564">
        <v>5.0000000000000001E-4</v>
      </c>
      <c r="K1190" s="1192" t="s">
        <v>2506</v>
      </c>
      <c r="L1190" s="1192" t="s">
        <v>2374</v>
      </c>
      <c r="P1190" s="1192" t="s">
        <v>2520</v>
      </c>
      <c r="V1190" s="1192">
        <v>57</v>
      </c>
    </row>
    <row r="1191" spans="1:22" s="1192" customFormat="1" ht="14.4" x14ac:dyDescent="0.3">
      <c r="A1191" s="1192" t="s">
        <v>415</v>
      </c>
      <c r="E1191" s="2007" t="s">
        <v>28</v>
      </c>
      <c r="F1191" s="2007"/>
      <c r="G1191" s="578" t="s">
        <v>19</v>
      </c>
      <c r="H1191" s="579">
        <v>0.25</v>
      </c>
      <c r="K1191" s="1192" t="s">
        <v>2506</v>
      </c>
      <c r="L1191" s="1192" t="s">
        <v>2374</v>
      </c>
      <c r="P1191" s="1192" t="s">
        <v>2521</v>
      </c>
      <c r="V1191" s="1192">
        <v>63</v>
      </c>
    </row>
    <row r="1192" spans="1:22" s="1192" customFormat="1" ht="17.399999999999999" x14ac:dyDescent="0.3">
      <c r="A1192" s="1192" t="s">
        <v>415</v>
      </c>
      <c r="E1192" s="2051" t="s">
        <v>2522</v>
      </c>
      <c r="F1192" s="2051"/>
      <c r="G1192" s="2051"/>
      <c r="H1192" s="2057"/>
      <c r="K1192" s="1192" t="s">
        <v>3901</v>
      </c>
      <c r="V1192" s="1192">
        <v>54</v>
      </c>
    </row>
    <row r="1193" spans="1:22" s="1192" customFormat="1" ht="14.4" x14ac:dyDescent="0.3">
      <c r="A1193" s="1192" t="s">
        <v>415</v>
      </c>
      <c r="E1193" s="2053" t="s">
        <v>2770</v>
      </c>
      <c r="F1193" s="2053"/>
      <c r="G1193" s="2053"/>
      <c r="H1193" s="2056"/>
      <c r="K1193" s="1192" t="s">
        <v>3901</v>
      </c>
      <c r="V1193" s="1192">
        <v>780</v>
      </c>
    </row>
    <row r="1194" spans="1:22" s="1192" customFormat="1" ht="14.4" x14ac:dyDescent="0.3">
      <c r="A1194" s="1192" t="s">
        <v>415</v>
      </c>
      <c r="E1194" s="2018" t="s">
        <v>2389</v>
      </c>
      <c r="F1194" s="1988"/>
      <c r="G1194" s="1988"/>
      <c r="H1194" s="1988"/>
      <c r="K1194" s="1192" t="s">
        <v>2412</v>
      </c>
      <c r="V1194" s="1192">
        <v>11</v>
      </c>
    </row>
    <row r="1195" spans="1:22" s="1192" customFormat="1" ht="14.4" x14ac:dyDescent="0.3">
      <c r="A1195" s="1192" t="s">
        <v>415</v>
      </c>
      <c r="E1195" s="1743" t="s">
        <v>2391</v>
      </c>
      <c r="F1195" s="1743"/>
      <c r="G1195" s="1743"/>
      <c r="H1195" s="1743"/>
      <c r="K1195" s="1192" t="s">
        <v>3901</v>
      </c>
      <c r="V1195" s="1192">
        <v>280</v>
      </c>
    </row>
    <row r="1196" spans="1:22" s="1192" customFormat="1" ht="14.4" x14ac:dyDescent="0.3">
      <c r="A1196" s="1192" t="s">
        <v>415</v>
      </c>
      <c r="E1196" s="1743" t="s">
        <v>2392</v>
      </c>
      <c r="F1196" s="1743"/>
      <c r="G1196" s="1743"/>
      <c r="H1196" s="1743"/>
      <c r="K1196" s="1192" t="s">
        <v>3901</v>
      </c>
      <c r="V1196" s="1192">
        <v>411</v>
      </c>
    </row>
    <row r="1197" spans="1:22" s="1192" customFormat="1" ht="14.4" x14ac:dyDescent="0.3">
      <c r="A1197" s="1192" t="s">
        <v>415</v>
      </c>
      <c r="E1197" s="1743" t="s">
        <v>2393</v>
      </c>
      <c r="F1197" s="1743"/>
      <c r="G1197" s="1743"/>
      <c r="H1197" s="1743"/>
      <c r="K1197" s="1192" t="s">
        <v>3901</v>
      </c>
      <c r="V1197" s="1192">
        <v>387</v>
      </c>
    </row>
    <row r="1198" spans="1:22" s="1192" customFormat="1" ht="14.4" x14ac:dyDescent="0.3">
      <c r="A1198" s="1192" t="s">
        <v>415</v>
      </c>
      <c r="E1198" s="1743" t="s">
        <v>2986</v>
      </c>
      <c r="F1198" s="1743"/>
      <c r="G1198" s="1743"/>
      <c r="H1198" s="1743"/>
      <c r="K1198" s="1192" t="s">
        <v>3901</v>
      </c>
      <c r="V1198" s="1192">
        <v>246</v>
      </c>
    </row>
    <row r="1199" spans="1:22" s="1192" customFormat="1" ht="14.4" x14ac:dyDescent="0.3">
      <c r="A1199" s="1192" t="s">
        <v>415</v>
      </c>
      <c r="E1199" s="2111" t="s">
        <v>2394</v>
      </c>
      <c r="F1199" s="1988"/>
      <c r="G1199" s="1988"/>
      <c r="H1199" s="1988"/>
      <c r="K1199" s="1192" t="s">
        <v>2413</v>
      </c>
      <c r="V1199" s="1192">
        <v>46</v>
      </c>
    </row>
    <row r="1200" spans="1:22" s="1192" customFormat="1" ht="14.4" x14ac:dyDescent="0.3">
      <c r="A1200" s="1192" t="s">
        <v>415</v>
      </c>
      <c r="E1200" s="2007" t="s">
        <v>7</v>
      </c>
      <c r="F1200" s="2007"/>
      <c r="G1200" s="1273" t="s">
        <v>19</v>
      </c>
      <c r="H1200" s="1218">
        <v>31.04</v>
      </c>
      <c r="K1200" s="1192" t="s">
        <v>3901</v>
      </c>
      <c r="L1200" s="1192" t="s">
        <v>430</v>
      </c>
      <c r="P1200" s="1192" t="s">
        <v>3902</v>
      </c>
      <c r="V1200" s="1192">
        <v>14</v>
      </c>
    </row>
    <row r="1201" spans="1:22" s="1192" customFormat="1" ht="14.4" x14ac:dyDescent="0.3">
      <c r="A1201" s="1192" t="s">
        <v>415</v>
      </c>
      <c r="E1201" s="2007" t="s">
        <v>3900</v>
      </c>
      <c r="F1201" s="1741"/>
      <c r="G1201" s="1273" t="s">
        <v>19</v>
      </c>
      <c r="H1201" s="577">
        <v>0.56999999999999995</v>
      </c>
      <c r="K1201" s="1192" t="s">
        <v>3901</v>
      </c>
      <c r="L1201" s="1192" t="s">
        <v>431</v>
      </c>
      <c r="P1201" s="1192" t="s">
        <v>3903</v>
      </c>
      <c r="T1201" s="1192">
        <v>44926</v>
      </c>
      <c r="V1201" s="1192">
        <v>64</v>
      </c>
    </row>
    <row r="1202" spans="1:22" s="1192" customFormat="1" ht="14.4" x14ac:dyDescent="0.3">
      <c r="A1202" s="1192" t="s">
        <v>415</v>
      </c>
      <c r="E1202" s="2007" t="s">
        <v>2426</v>
      </c>
      <c r="F1202" s="2007"/>
      <c r="G1202" s="882" t="s">
        <v>20</v>
      </c>
      <c r="H1202" s="1219">
        <v>2.53E-2</v>
      </c>
      <c r="K1202" s="1192" t="s">
        <v>3901</v>
      </c>
      <c r="L1202" s="1192" t="s">
        <v>430</v>
      </c>
      <c r="P1202" s="1192" t="s">
        <v>3904</v>
      </c>
      <c r="V1202" s="1192">
        <v>29</v>
      </c>
    </row>
    <row r="1203" spans="1:22" s="1192" customFormat="1" ht="14.4" x14ac:dyDescent="0.3">
      <c r="A1203" s="1192" t="s">
        <v>415</v>
      </c>
      <c r="E1203" s="2007" t="s">
        <v>14</v>
      </c>
      <c r="F1203" s="2007"/>
      <c r="G1203" s="882" t="s">
        <v>20</v>
      </c>
      <c r="H1203" s="562">
        <v>2.0000000000000001E-4</v>
      </c>
      <c r="K1203" s="1192" t="s">
        <v>3901</v>
      </c>
      <c r="L1203" s="1192" t="s">
        <v>431</v>
      </c>
      <c r="P1203" s="1192" t="s">
        <v>3905</v>
      </c>
      <c r="V1203" s="1192">
        <v>24</v>
      </c>
    </row>
    <row r="1204" spans="1:22" s="1192" customFormat="1" ht="15" thickBot="1" x14ac:dyDescent="0.35">
      <c r="A1204" s="1192" t="s">
        <v>415</v>
      </c>
      <c r="E1204" s="2122" t="s">
        <v>6090</v>
      </c>
      <c r="F1204" s="2123"/>
      <c r="G1204" s="882" t="s">
        <v>20</v>
      </c>
      <c r="H1204" s="562">
        <v>1.1000000000000001E-3</v>
      </c>
      <c r="K1204" s="1192" t="s">
        <v>3901</v>
      </c>
      <c r="L1204" s="1192" t="s">
        <v>431</v>
      </c>
      <c r="P1204" s="1192" t="s">
        <v>3700</v>
      </c>
      <c r="T1204" s="1192">
        <v>44196</v>
      </c>
      <c r="V1204" s="1192">
        <v>142</v>
      </c>
    </row>
    <row r="1205" spans="1:22" s="1192" customFormat="1" ht="15.6" thickTop="1" thickBot="1" x14ac:dyDescent="0.35">
      <c r="A1205" s="1192" t="s">
        <v>415</v>
      </c>
      <c r="E1205" s="2124" t="s">
        <v>6087</v>
      </c>
      <c r="F1205" s="2125"/>
      <c r="G1205" s="882" t="s">
        <v>20</v>
      </c>
      <c r="H1205" s="562">
        <v>1.6000000000000001E-3</v>
      </c>
      <c r="K1205" s="1192" t="s">
        <v>3901</v>
      </c>
      <c r="L1205" s="1192" t="s">
        <v>431</v>
      </c>
      <c r="P1205" s="1192" t="s">
        <v>3911</v>
      </c>
      <c r="T1205" s="1192">
        <v>44196</v>
      </c>
      <c r="V1205" s="1192">
        <v>99</v>
      </c>
    </row>
    <row r="1206" spans="1:22" s="1192" customFormat="1" ht="15.6" thickTop="1" thickBot="1" x14ac:dyDescent="0.35">
      <c r="A1206" s="1192" t="s">
        <v>415</v>
      </c>
      <c r="E1206" s="2124" t="s">
        <v>6113</v>
      </c>
      <c r="F1206" s="2125"/>
      <c r="G1206" s="882" t="s">
        <v>20</v>
      </c>
      <c r="H1206" s="562">
        <v>2.0000000000000001E-4</v>
      </c>
      <c r="K1206" s="1192" t="s">
        <v>3901</v>
      </c>
      <c r="L1206" s="1192" t="s">
        <v>431</v>
      </c>
      <c r="P1206" s="1192" t="s">
        <v>4001</v>
      </c>
      <c r="T1206" s="1192">
        <v>44196</v>
      </c>
      <c r="V1206" s="1192">
        <v>147</v>
      </c>
    </row>
    <row r="1207" spans="1:22" s="1192" customFormat="1" ht="15" thickTop="1" x14ac:dyDescent="0.3">
      <c r="A1207" s="1192" t="s">
        <v>415</v>
      </c>
      <c r="E1207" s="2126" t="s">
        <v>213</v>
      </c>
      <c r="F1207" s="2126"/>
      <c r="G1207" s="882" t="s">
        <v>20</v>
      </c>
      <c r="H1207" s="1219">
        <v>6.3E-3</v>
      </c>
      <c r="K1207" s="1192" t="s">
        <v>3901</v>
      </c>
      <c r="L1207" s="1192" t="s">
        <v>432</v>
      </c>
      <c r="P1207" s="1192" t="s">
        <v>3906</v>
      </c>
      <c r="V1207" s="1192">
        <v>47</v>
      </c>
    </row>
    <row r="1208" spans="1:22" s="1192" customFormat="1" ht="14.4" x14ac:dyDescent="0.3">
      <c r="A1208" s="1192" t="s">
        <v>415</v>
      </c>
      <c r="E1208" s="2007" t="s">
        <v>209</v>
      </c>
      <c r="F1208" s="2007"/>
      <c r="G1208" s="882" t="s">
        <v>20</v>
      </c>
      <c r="H1208" s="1219">
        <v>5.8999999999999999E-3</v>
      </c>
      <c r="K1208" s="1192" t="s">
        <v>3901</v>
      </c>
      <c r="L1208" s="1192" t="s">
        <v>432</v>
      </c>
      <c r="P1208" s="1192" t="s">
        <v>3907</v>
      </c>
      <c r="V1208" s="1192">
        <v>74</v>
      </c>
    </row>
    <row r="1209" spans="1:22" s="1192" customFormat="1" ht="14.4" x14ac:dyDescent="0.3">
      <c r="A1209" s="1192" t="s">
        <v>415</v>
      </c>
      <c r="E1209" s="2054" t="s">
        <v>2405</v>
      </c>
      <c r="F1209" s="1741"/>
      <c r="G1209" s="1273"/>
      <c r="H1209" s="867"/>
      <c r="K1209" s="1192" t="s">
        <v>2418</v>
      </c>
      <c r="V1209" s="1192">
        <v>48</v>
      </c>
    </row>
    <row r="1210" spans="1:22" s="1192" customFormat="1" ht="14.4" x14ac:dyDescent="0.3">
      <c r="A1210" s="1192" t="s">
        <v>415</v>
      </c>
      <c r="E1210" s="2007" t="s">
        <v>2033</v>
      </c>
      <c r="F1210" s="2007"/>
      <c r="G1210" s="578" t="s">
        <v>20</v>
      </c>
      <c r="H1210" s="564">
        <v>3.0000000000000001E-3</v>
      </c>
      <c r="K1210" s="1192" t="s">
        <v>3901</v>
      </c>
      <c r="L1210" s="1192" t="s">
        <v>2374</v>
      </c>
      <c r="P1210" s="1192" t="s">
        <v>3908</v>
      </c>
      <c r="V1210" s="1192">
        <v>55</v>
      </c>
    </row>
    <row r="1211" spans="1:22" s="1192" customFormat="1" ht="14.4" x14ac:dyDescent="0.3">
      <c r="A1211" s="1192" t="s">
        <v>415</v>
      </c>
      <c r="E1211" s="2007" t="s">
        <v>2034</v>
      </c>
      <c r="F1211" s="2007"/>
      <c r="G1211" s="578" t="s">
        <v>20</v>
      </c>
      <c r="H1211" s="564">
        <v>4.0000000000000002E-4</v>
      </c>
      <c r="K1211" s="1192" t="s">
        <v>3901</v>
      </c>
      <c r="L1211" s="1192" t="s">
        <v>2374</v>
      </c>
      <c r="P1211" s="1192" t="s">
        <v>3908</v>
      </c>
      <c r="V1211" s="1192">
        <v>65</v>
      </c>
    </row>
    <row r="1212" spans="1:22" s="1192" customFormat="1" ht="14.4" x14ac:dyDescent="0.3">
      <c r="A1212" s="1192" t="s">
        <v>415</v>
      </c>
      <c r="E1212" s="2007" t="s">
        <v>428</v>
      </c>
      <c r="F1212" s="2007"/>
      <c r="G1212" s="578" t="s">
        <v>20</v>
      </c>
      <c r="H1212" s="564">
        <v>5.0000000000000001E-4</v>
      </c>
      <c r="K1212" s="1192" t="s">
        <v>3901</v>
      </c>
      <c r="L1212" s="1192" t="s">
        <v>2374</v>
      </c>
      <c r="P1212" s="1192" t="s">
        <v>3909</v>
      </c>
      <c r="V1212" s="1192">
        <v>57</v>
      </c>
    </row>
    <row r="1213" spans="1:22" s="1192" customFormat="1" ht="14.4" x14ac:dyDescent="0.3">
      <c r="A1213" s="1192" t="s">
        <v>415</v>
      </c>
      <c r="E1213" s="2007" t="s">
        <v>28</v>
      </c>
      <c r="F1213" s="2007"/>
      <c r="G1213" s="578" t="s">
        <v>19</v>
      </c>
      <c r="H1213" s="579">
        <v>0.25</v>
      </c>
      <c r="K1213" s="1192" t="s">
        <v>3901</v>
      </c>
      <c r="L1213" s="1192" t="s">
        <v>2374</v>
      </c>
      <c r="P1213" s="1192" t="s">
        <v>3910</v>
      </c>
      <c r="V1213" s="1192">
        <v>63</v>
      </c>
    </row>
    <row r="1214" spans="1:22" s="1192" customFormat="1" ht="17.399999999999999" x14ac:dyDescent="0.3">
      <c r="A1214" s="1192" t="s">
        <v>415</v>
      </c>
      <c r="E1214" s="2051" t="s">
        <v>591</v>
      </c>
      <c r="F1214" s="2051"/>
      <c r="G1214" s="2051"/>
      <c r="H1214" s="2057"/>
      <c r="K1214" s="1192" t="s">
        <v>4388</v>
      </c>
      <c r="V1214" s="1192">
        <v>53</v>
      </c>
    </row>
    <row r="1215" spans="1:22" s="1192" customFormat="1" ht="14.4" x14ac:dyDescent="0.3">
      <c r="A1215" s="1192" t="s">
        <v>415</v>
      </c>
      <c r="E1215" s="2053" t="s">
        <v>2771</v>
      </c>
      <c r="F1215" s="2053"/>
      <c r="G1215" s="2053"/>
      <c r="H1215" s="2056"/>
      <c r="K1215" s="1192" t="s">
        <v>4388</v>
      </c>
      <c r="V1215" s="1192">
        <v>520</v>
      </c>
    </row>
    <row r="1216" spans="1:22" s="1192" customFormat="1" ht="14.4" x14ac:dyDescent="0.3">
      <c r="A1216" s="1192" t="s">
        <v>415</v>
      </c>
      <c r="E1216" s="2018" t="s">
        <v>2389</v>
      </c>
      <c r="F1216" s="1988"/>
      <c r="G1216" s="1988"/>
      <c r="H1216" s="1988"/>
      <c r="K1216" s="1192" t="s">
        <v>2422</v>
      </c>
      <c r="V1216" s="1192">
        <v>11</v>
      </c>
    </row>
    <row r="1217" spans="1:22" s="1192" customFormat="1" ht="14.4" x14ac:dyDescent="0.3">
      <c r="A1217" s="1192" t="s">
        <v>415</v>
      </c>
      <c r="E1217" s="1743" t="s">
        <v>2391</v>
      </c>
      <c r="F1217" s="1743"/>
      <c r="G1217" s="1743"/>
      <c r="H1217" s="1743"/>
      <c r="K1217" s="1192" t="s">
        <v>4388</v>
      </c>
      <c r="V1217" s="1192">
        <v>280</v>
      </c>
    </row>
    <row r="1218" spans="1:22" s="1192" customFormat="1" ht="14.4" x14ac:dyDescent="0.3">
      <c r="A1218" s="1192" t="s">
        <v>415</v>
      </c>
      <c r="E1218" s="1743" t="s">
        <v>2392</v>
      </c>
      <c r="F1218" s="1743"/>
      <c r="G1218" s="1743"/>
      <c r="H1218" s="1743"/>
      <c r="K1218" s="1192" t="s">
        <v>4388</v>
      </c>
      <c r="V1218" s="1192">
        <v>411</v>
      </c>
    </row>
    <row r="1219" spans="1:22" s="1192" customFormat="1" ht="14.4" x14ac:dyDescent="0.3">
      <c r="A1219" s="1192" t="s">
        <v>415</v>
      </c>
      <c r="E1219" s="1743" t="s">
        <v>2393</v>
      </c>
      <c r="F1219" s="1743"/>
      <c r="G1219" s="1743"/>
      <c r="H1219" s="1743"/>
      <c r="K1219" s="1192" t="s">
        <v>4388</v>
      </c>
      <c r="V1219" s="1192">
        <v>387</v>
      </c>
    </row>
    <row r="1220" spans="1:22" s="1192" customFormat="1" ht="14.4" x14ac:dyDescent="0.3">
      <c r="A1220" s="1192" t="s">
        <v>415</v>
      </c>
      <c r="E1220" s="1743" t="s">
        <v>4503</v>
      </c>
      <c r="F1220" s="1743"/>
      <c r="G1220" s="1743"/>
      <c r="H1220" s="1743"/>
      <c r="K1220" s="1192" t="s">
        <v>4388</v>
      </c>
      <c r="V1220" s="1192">
        <v>677</v>
      </c>
    </row>
    <row r="1221" spans="1:22" s="1192" customFormat="1" ht="14.4" x14ac:dyDescent="0.3">
      <c r="A1221" s="1192" t="s">
        <v>415</v>
      </c>
      <c r="E1221" s="1743" t="s">
        <v>4644</v>
      </c>
      <c r="F1221" s="1743"/>
      <c r="G1221" s="1743"/>
      <c r="H1221" s="1743"/>
      <c r="K1221" s="1192" t="s">
        <v>4388</v>
      </c>
      <c r="V1221" s="1192">
        <v>693</v>
      </c>
    </row>
    <row r="1222" spans="1:22" s="1192" customFormat="1" ht="14.4" x14ac:dyDescent="0.3">
      <c r="A1222" s="1192" t="s">
        <v>415</v>
      </c>
      <c r="E1222" s="1743" t="s">
        <v>2986</v>
      </c>
      <c r="F1222" s="1743"/>
      <c r="G1222" s="1743"/>
      <c r="H1222" s="1743"/>
      <c r="K1222" s="1192" t="s">
        <v>4388</v>
      </c>
      <c r="V1222" s="1192">
        <v>246</v>
      </c>
    </row>
    <row r="1223" spans="1:22" s="1192" customFormat="1" ht="14.4" x14ac:dyDescent="0.3">
      <c r="A1223" s="1192" t="s">
        <v>415</v>
      </c>
      <c r="E1223" s="2111" t="s">
        <v>2394</v>
      </c>
      <c r="F1223" s="1988"/>
      <c r="G1223" s="1988"/>
      <c r="H1223" s="1988"/>
      <c r="K1223" s="1192" t="s">
        <v>2423</v>
      </c>
      <c r="V1223" s="1192">
        <v>46</v>
      </c>
    </row>
    <row r="1224" spans="1:22" s="1192" customFormat="1" ht="14.4" x14ac:dyDescent="0.3">
      <c r="A1224" s="1192" t="s">
        <v>415</v>
      </c>
      <c r="E1224" s="2007" t="s">
        <v>7</v>
      </c>
      <c r="F1224" s="2007"/>
      <c r="G1224" s="1273" t="s">
        <v>19</v>
      </c>
      <c r="H1224" s="1218">
        <v>166.78</v>
      </c>
      <c r="K1224" s="1192" t="s">
        <v>4388</v>
      </c>
      <c r="L1224" s="1192" t="s">
        <v>430</v>
      </c>
      <c r="P1224" s="1192" t="s">
        <v>4389</v>
      </c>
      <c r="V1224" s="1192">
        <v>14</v>
      </c>
    </row>
    <row r="1225" spans="1:22" s="1192" customFormat="1" ht="14.4" x14ac:dyDescent="0.3">
      <c r="A1225" s="1192" t="s">
        <v>415</v>
      </c>
      <c r="E1225" s="2007" t="s">
        <v>2772</v>
      </c>
      <c r="F1225" s="2007"/>
      <c r="G1225" s="1273" t="s">
        <v>19</v>
      </c>
      <c r="H1225" s="1218">
        <v>7.55</v>
      </c>
      <c r="K1225" s="1192" t="s">
        <v>4388</v>
      </c>
      <c r="L1225" s="1192" t="s">
        <v>430</v>
      </c>
      <c r="P1225" s="1192" t="s">
        <v>6114</v>
      </c>
      <c r="T1225" s="1192">
        <v>44561</v>
      </c>
      <c r="V1225" s="1192">
        <v>84</v>
      </c>
    </row>
    <row r="1226" spans="1:22" s="1192" customFormat="1" ht="14.4" x14ac:dyDescent="0.3">
      <c r="A1226" s="1192" t="s">
        <v>415</v>
      </c>
      <c r="E1226" s="2007" t="s">
        <v>2773</v>
      </c>
      <c r="F1226" s="2007"/>
      <c r="G1226" s="1273" t="s">
        <v>19</v>
      </c>
      <c r="H1226" s="1218">
        <v>3.86</v>
      </c>
      <c r="K1226" s="1192" t="s">
        <v>4388</v>
      </c>
      <c r="L1226" s="1192" t="s">
        <v>430</v>
      </c>
      <c r="P1226" s="1192" t="s">
        <v>4399</v>
      </c>
      <c r="T1226" s="1192">
        <v>44561</v>
      </c>
      <c r="V1226" s="1192">
        <v>88</v>
      </c>
    </row>
    <row r="1227" spans="1:22" s="1192" customFormat="1" ht="14.4" x14ac:dyDescent="0.3">
      <c r="A1227" s="1192" t="s">
        <v>415</v>
      </c>
      <c r="E1227" s="2007" t="s">
        <v>2774</v>
      </c>
      <c r="F1227" s="2007"/>
      <c r="G1227" s="882" t="s">
        <v>29</v>
      </c>
      <c r="H1227" s="1219">
        <v>7.3253000000000004</v>
      </c>
      <c r="K1227" s="1192" t="s">
        <v>4388</v>
      </c>
      <c r="L1227" s="1192" t="s">
        <v>430</v>
      </c>
      <c r="P1227" s="1192" t="s">
        <v>4390</v>
      </c>
      <c r="V1227" s="1192">
        <v>30</v>
      </c>
    </row>
    <row r="1228" spans="1:22" s="1192" customFormat="1" ht="15" thickBot="1" x14ac:dyDescent="0.35">
      <c r="A1228" s="1192" t="s">
        <v>415</v>
      </c>
      <c r="E1228" s="2007" t="s">
        <v>14</v>
      </c>
      <c r="F1228" s="2007"/>
      <c r="G1228" s="882" t="s">
        <v>29</v>
      </c>
      <c r="H1228" s="1219">
        <v>0.1011</v>
      </c>
      <c r="K1228" s="1192" t="s">
        <v>4388</v>
      </c>
      <c r="L1228" s="1192" t="s">
        <v>431</v>
      </c>
      <c r="P1228" s="1192" t="s">
        <v>4391</v>
      </c>
      <c r="V1228" s="1192">
        <v>24</v>
      </c>
    </row>
    <row r="1229" spans="1:22" s="1192" customFormat="1" ht="15.6" thickTop="1" thickBot="1" x14ac:dyDescent="0.35">
      <c r="A1229" s="1192" t="s">
        <v>415</v>
      </c>
      <c r="E1229" s="2124" t="s">
        <v>6090</v>
      </c>
      <c r="F1229" s="2125"/>
      <c r="G1229" s="882" t="s">
        <v>20</v>
      </c>
      <c r="H1229" s="562">
        <v>1.1000000000000001E-3</v>
      </c>
      <c r="K1229" s="1192" t="s">
        <v>4388</v>
      </c>
      <c r="L1229" s="1192" t="s">
        <v>431</v>
      </c>
      <c r="P1229" s="1192" t="s">
        <v>4397</v>
      </c>
      <c r="T1229" s="1192">
        <v>44196</v>
      </c>
      <c r="V1229" s="1192">
        <v>142</v>
      </c>
    </row>
    <row r="1230" spans="1:22" s="1192" customFormat="1" ht="15.6" thickTop="1" thickBot="1" x14ac:dyDescent="0.35">
      <c r="A1230" s="1192" t="s">
        <v>415</v>
      </c>
      <c r="E1230" s="2007" t="s">
        <v>6087</v>
      </c>
      <c r="F1230" s="2007"/>
      <c r="G1230" s="882" t="s">
        <v>29</v>
      </c>
      <c r="H1230" s="1219">
        <v>0.68520000000000003</v>
      </c>
      <c r="K1230" s="1192" t="s">
        <v>4388</v>
      </c>
      <c r="L1230" s="1192" t="s">
        <v>431</v>
      </c>
      <c r="P1230" s="1192" t="s">
        <v>4398</v>
      </c>
      <c r="T1230" s="1192">
        <v>44196</v>
      </c>
      <c r="V1230" s="1192">
        <v>99</v>
      </c>
    </row>
    <row r="1231" spans="1:22" s="1192" customFormat="1" ht="15.6" thickTop="1" thickBot="1" x14ac:dyDescent="0.35">
      <c r="A1231" s="1192" t="s">
        <v>415</v>
      </c>
      <c r="E1231" s="2124" t="s">
        <v>6113</v>
      </c>
      <c r="F1231" s="2125"/>
      <c r="G1231" s="882" t="s">
        <v>29</v>
      </c>
      <c r="H1231" s="562">
        <v>6.9800000000000001E-2</v>
      </c>
      <c r="K1231" s="1192" t="s">
        <v>4388</v>
      </c>
      <c r="L1231" s="1192" t="s">
        <v>431</v>
      </c>
      <c r="P1231" s="1192" t="s">
        <v>4401</v>
      </c>
      <c r="T1231" s="1192">
        <v>44196</v>
      </c>
      <c r="V1231" s="1192">
        <v>147</v>
      </c>
    </row>
    <row r="1232" spans="1:22" s="1192" customFormat="1" ht="15" thickTop="1" x14ac:dyDescent="0.3">
      <c r="A1232" s="1192" t="s">
        <v>415</v>
      </c>
      <c r="E1232" s="2007" t="s">
        <v>213</v>
      </c>
      <c r="F1232" s="2007"/>
      <c r="G1232" s="882" t="s">
        <v>29</v>
      </c>
      <c r="H1232" s="1219">
        <v>2.653</v>
      </c>
      <c r="K1232" s="1192" t="s">
        <v>4388</v>
      </c>
      <c r="L1232" s="1192" t="s">
        <v>432</v>
      </c>
      <c r="P1232" s="1192" t="s">
        <v>4392</v>
      </c>
      <c r="V1232" s="1192">
        <v>47</v>
      </c>
    </row>
    <row r="1233" spans="1:22" s="1192" customFormat="1" ht="15" thickBot="1" x14ac:dyDescent="0.35">
      <c r="A1233" s="1192" t="s">
        <v>415</v>
      </c>
      <c r="E1233" s="2007" t="s">
        <v>209</v>
      </c>
      <c r="F1233" s="2007"/>
      <c r="G1233" s="882" t="s">
        <v>29</v>
      </c>
      <c r="H1233" s="1219">
        <v>2.4333</v>
      </c>
      <c r="K1233" s="1192" t="s">
        <v>4388</v>
      </c>
      <c r="L1233" s="1192" t="s">
        <v>432</v>
      </c>
      <c r="P1233" s="1192" t="s">
        <v>4393</v>
      </c>
      <c r="V1233" s="1192">
        <v>74</v>
      </c>
    </row>
    <row r="1234" spans="1:22" s="1192" customFormat="1" ht="15" thickTop="1" x14ac:dyDescent="0.3">
      <c r="A1234" s="1192" t="s">
        <v>415</v>
      </c>
      <c r="E1234" s="2130" t="s">
        <v>2405</v>
      </c>
      <c r="F1234" s="2127"/>
      <c r="G1234" s="1273"/>
      <c r="H1234" s="867"/>
      <c r="K1234" s="1192" t="s">
        <v>2526</v>
      </c>
      <c r="V1234" s="1192">
        <v>48</v>
      </c>
    </row>
    <row r="1235" spans="1:22" s="1192" customFormat="1" ht="14.4" x14ac:dyDescent="0.3">
      <c r="A1235" s="1192" t="s">
        <v>415</v>
      </c>
      <c r="E1235" s="2007" t="s">
        <v>2033</v>
      </c>
      <c r="F1235" s="2007"/>
      <c r="G1235" s="578" t="s">
        <v>20</v>
      </c>
      <c r="H1235" s="564">
        <v>3.0000000000000001E-3</v>
      </c>
      <c r="K1235" s="1192" t="s">
        <v>4388</v>
      </c>
      <c r="L1235" s="1192" t="s">
        <v>2374</v>
      </c>
      <c r="P1235" s="1192" t="s">
        <v>4394</v>
      </c>
      <c r="V1235" s="1192">
        <v>55</v>
      </c>
    </row>
    <row r="1236" spans="1:22" s="1192" customFormat="1" ht="14.4" x14ac:dyDescent="0.3">
      <c r="A1236" s="1192" t="s">
        <v>415</v>
      </c>
      <c r="E1236" s="2007" t="s">
        <v>2034</v>
      </c>
      <c r="F1236" s="2007"/>
      <c r="G1236" s="578" t="s">
        <v>20</v>
      </c>
      <c r="H1236" s="564">
        <v>4.0000000000000002E-4</v>
      </c>
      <c r="K1236" s="1192" t="s">
        <v>4388</v>
      </c>
      <c r="L1236" s="1192" t="s">
        <v>2374</v>
      </c>
      <c r="P1236" s="1192" t="s">
        <v>4394</v>
      </c>
      <c r="V1236" s="1192">
        <v>65</v>
      </c>
    </row>
    <row r="1237" spans="1:22" s="1192" customFormat="1" ht="14.4" x14ac:dyDescent="0.3">
      <c r="A1237" s="1192" t="s">
        <v>415</v>
      </c>
      <c r="E1237" s="2007" t="s">
        <v>428</v>
      </c>
      <c r="F1237" s="2007"/>
      <c r="G1237" s="578" t="s">
        <v>20</v>
      </c>
      <c r="H1237" s="564">
        <v>5.0000000000000001E-4</v>
      </c>
      <c r="K1237" s="1192" t="s">
        <v>4388</v>
      </c>
      <c r="L1237" s="1192" t="s">
        <v>2374</v>
      </c>
      <c r="P1237" s="1192" t="s">
        <v>4395</v>
      </c>
      <c r="V1237" s="1192">
        <v>57</v>
      </c>
    </row>
    <row r="1238" spans="1:22" s="1192" customFormat="1" ht="14.4" x14ac:dyDescent="0.3">
      <c r="A1238" s="1192" t="s">
        <v>415</v>
      </c>
      <c r="E1238" s="2007" t="s">
        <v>28</v>
      </c>
      <c r="F1238" s="2007"/>
      <c r="G1238" s="578" t="s">
        <v>19</v>
      </c>
      <c r="H1238" s="579">
        <v>0.25</v>
      </c>
      <c r="K1238" s="1192" t="s">
        <v>4388</v>
      </c>
      <c r="L1238" s="1192" t="s">
        <v>2374</v>
      </c>
      <c r="P1238" s="1192" t="s">
        <v>4396</v>
      </c>
      <c r="V1238" s="1192">
        <v>63</v>
      </c>
    </row>
    <row r="1239" spans="1:22" s="1192" customFormat="1" ht="17.399999999999999" x14ac:dyDescent="0.3">
      <c r="A1239" s="1192" t="s">
        <v>415</v>
      </c>
      <c r="E1239" s="2132" t="s">
        <v>597</v>
      </c>
      <c r="F1239" s="2132"/>
      <c r="G1239" s="2132"/>
      <c r="H1239" s="2132"/>
      <c r="K1239" s="1192" t="s">
        <v>2775</v>
      </c>
      <c r="V1239" s="1192">
        <v>43</v>
      </c>
    </row>
    <row r="1240" spans="1:22" s="1192" customFormat="1" ht="14.4" x14ac:dyDescent="0.3">
      <c r="A1240" s="1192" t="s">
        <v>415</v>
      </c>
      <c r="E1240" s="2053" t="s">
        <v>2776</v>
      </c>
      <c r="F1240" s="2053"/>
      <c r="G1240" s="2053"/>
      <c r="H1240" s="2056"/>
      <c r="K1240" s="1192" t="s">
        <v>2775</v>
      </c>
      <c r="V1240" s="1192">
        <v>237</v>
      </c>
    </row>
    <row r="1241" spans="1:22" s="1192" customFormat="1" ht="14.4" x14ac:dyDescent="0.3">
      <c r="A1241" s="1192" t="s">
        <v>415</v>
      </c>
      <c r="E1241" s="2121" t="s">
        <v>2389</v>
      </c>
      <c r="F1241" s="2131"/>
      <c r="G1241" s="2131"/>
      <c r="H1241" s="2131"/>
      <c r="K1241" s="1192" t="s">
        <v>2529</v>
      </c>
      <c r="V1241" s="1192">
        <v>11</v>
      </c>
    </row>
    <row r="1242" spans="1:22" s="1192" customFormat="1" ht="14.4" x14ac:dyDescent="0.3">
      <c r="A1242" s="1192" t="s">
        <v>415</v>
      </c>
      <c r="E1242" s="2053" t="s">
        <v>2391</v>
      </c>
      <c r="F1242" s="2053"/>
      <c r="G1242" s="2053"/>
      <c r="H1242" s="2056"/>
      <c r="K1242" s="1192" t="s">
        <v>2775</v>
      </c>
      <c r="V1242" s="1192">
        <v>280</v>
      </c>
    </row>
    <row r="1243" spans="1:22" s="1192" customFormat="1" ht="14.4" x14ac:dyDescent="0.3">
      <c r="A1243" s="1192" t="s">
        <v>415</v>
      </c>
      <c r="E1243" s="2053" t="s">
        <v>2392</v>
      </c>
      <c r="F1243" s="2053"/>
      <c r="G1243" s="2053"/>
      <c r="H1243" s="2056"/>
      <c r="K1243" s="1192" t="s">
        <v>2775</v>
      </c>
      <c r="V1243" s="1192">
        <v>411</v>
      </c>
    </row>
    <row r="1244" spans="1:22" s="1192" customFormat="1" ht="14.4" x14ac:dyDescent="0.3">
      <c r="A1244" s="1192" t="s">
        <v>415</v>
      </c>
      <c r="E1244" s="2053" t="s">
        <v>2393</v>
      </c>
      <c r="F1244" s="2053"/>
      <c r="G1244" s="2053"/>
      <c r="H1244" s="2056"/>
      <c r="K1244" s="1192" t="s">
        <v>2775</v>
      </c>
      <c r="V1244" s="1192">
        <v>387</v>
      </c>
    </row>
    <row r="1245" spans="1:22" s="1192" customFormat="1" ht="14.4" x14ac:dyDescent="0.3">
      <c r="A1245" s="1192" t="s">
        <v>415</v>
      </c>
      <c r="E1245" s="1743" t="s">
        <v>2986</v>
      </c>
      <c r="F1245" s="1743"/>
      <c r="G1245" s="1743"/>
      <c r="H1245" s="1743"/>
      <c r="K1245" s="1192" t="s">
        <v>2775</v>
      </c>
      <c r="V1245" s="1192">
        <v>246</v>
      </c>
    </row>
    <row r="1246" spans="1:22" s="1192" customFormat="1" ht="14.4" x14ac:dyDescent="0.3">
      <c r="A1246" s="1192" t="s">
        <v>415</v>
      </c>
      <c r="E1246" s="2121" t="s">
        <v>2394</v>
      </c>
      <c r="F1246" s="1988"/>
      <c r="G1246" s="1988"/>
      <c r="H1246" s="1988"/>
      <c r="K1246" s="1192" t="s">
        <v>2531</v>
      </c>
      <c r="V1246" s="1192">
        <v>46</v>
      </c>
    </row>
    <row r="1247" spans="1:22" s="1192" customFormat="1" ht="14.4" x14ac:dyDescent="0.3">
      <c r="A1247" s="1192" t="s">
        <v>415</v>
      </c>
      <c r="E1247" s="2007" t="s">
        <v>7</v>
      </c>
      <c r="F1247" s="2007"/>
      <c r="G1247" s="1273" t="s">
        <v>19</v>
      </c>
      <c r="H1247" s="1218">
        <v>600.13</v>
      </c>
      <c r="K1247" s="1192" t="s">
        <v>2775</v>
      </c>
      <c r="L1247" s="1192" t="s">
        <v>430</v>
      </c>
      <c r="P1247" s="1192" t="s">
        <v>2777</v>
      </c>
      <c r="V1247" s="1192">
        <v>14</v>
      </c>
    </row>
    <row r="1248" spans="1:22" s="1192" customFormat="1" ht="14.4" x14ac:dyDescent="0.3">
      <c r="A1248" s="1192" t="s">
        <v>415</v>
      </c>
      <c r="E1248" s="2007" t="s">
        <v>2774</v>
      </c>
      <c r="F1248" s="2007"/>
      <c r="G1248" s="882" t="s">
        <v>29</v>
      </c>
      <c r="H1248" s="1219">
        <v>8.4268000000000001</v>
      </c>
      <c r="K1248" s="1192" t="s">
        <v>2775</v>
      </c>
      <c r="L1248" s="1192" t="s">
        <v>430</v>
      </c>
      <c r="P1248" s="1192" t="s">
        <v>2778</v>
      </c>
      <c r="V1248" s="1192">
        <v>30</v>
      </c>
    </row>
    <row r="1249" spans="1:22" s="1192" customFormat="1" ht="14.4" x14ac:dyDescent="0.3">
      <c r="A1249" s="1192" t="s">
        <v>415</v>
      </c>
      <c r="E1249" s="2007" t="s">
        <v>14</v>
      </c>
      <c r="F1249" s="2007"/>
      <c r="G1249" s="882" t="s">
        <v>29</v>
      </c>
      <c r="H1249" s="1219">
        <v>0.1011</v>
      </c>
      <c r="K1249" s="1192" t="s">
        <v>2775</v>
      </c>
      <c r="L1249" s="1192" t="s">
        <v>431</v>
      </c>
      <c r="P1249" s="1192" t="s">
        <v>2779</v>
      </c>
      <c r="V1249" s="1192">
        <v>24</v>
      </c>
    </row>
    <row r="1250" spans="1:22" s="1192" customFormat="1" ht="15" thickBot="1" x14ac:dyDescent="0.35">
      <c r="A1250" s="1192" t="s">
        <v>415</v>
      </c>
      <c r="E1250" s="2122" t="s">
        <v>6090</v>
      </c>
      <c r="F1250" s="2123"/>
      <c r="G1250" s="882" t="s">
        <v>20</v>
      </c>
      <c r="H1250" s="562">
        <v>1.1000000000000001E-3</v>
      </c>
      <c r="K1250" s="1192" t="s">
        <v>2775</v>
      </c>
      <c r="L1250" s="1192" t="s">
        <v>431</v>
      </c>
      <c r="P1250" s="1192" t="s">
        <v>2780</v>
      </c>
      <c r="T1250" s="1192">
        <v>44196</v>
      </c>
      <c r="V1250" s="1192">
        <v>142</v>
      </c>
    </row>
    <row r="1251" spans="1:22" s="1192" customFormat="1" ht="15.6" thickTop="1" thickBot="1" x14ac:dyDescent="0.35">
      <c r="A1251" s="1192" t="s">
        <v>415</v>
      </c>
      <c r="E1251" s="2007" t="s">
        <v>6087</v>
      </c>
      <c r="F1251" s="2007"/>
      <c r="G1251" s="882" t="s">
        <v>29</v>
      </c>
      <c r="H1251" s="1219">
        <v>0.86009999999999998</v>
      </c>
      <c r="K1251" s="1192" t="s">
        <v>2775</v>
      </c>
      <c r="L1251" s="1192" t="s">
        <v>431</v>
      </c>
      <c r="P1251" s="1192" t="s">
        <v>2781</v>
      </c>
      <c r="T1251" s="1192">
        <v>44196</v>
      </c>
      <c r="V1251" s="1192">
        <v>99</v>
      </c>
    </row>
    <row r="1252" spans="1:22" s="1192" customFormat="1" ht="15.6" thickTop="1" thickBot="1" x14ac:dyDescent="0.35">
      <c r="A1252" s="1192" t="s">
        <v>415</v>
      </c>
      <c r="E1252" s="2124" t="s">
        <v>6112</v>
      </c>
      <c r="F1252" s="2125"/>
      <c r="G1252" s="882" t="s">
        <v>29</v>
      </c>
      <c r="H1252" s="562">
        <v>8.4400000000000003E-2</v>
      </c>
      <c r="K1252" s="1192" t="s">
        <v>2775</v>
      </c>
      <c r="L1252" s="1192" t="s">
        <v>431</v>
      </c>
      <c r="P1252" s="1192" t="s">
        <v>4002</v>
      </c>
      <c r="T1252" s="1192">
        <v>44196</v>
      </c>
      <c r="V1252" s="1192">
        <v>148</v>
      </c>
    </row>
    <row r="1253" spans="1:22" s="1192" customFormat="1" ht="15" thickTop="1" x14ac:dyDescent="0.3">
      <c r="A1253" s="1192" t="s">
        <v>415</v>
      </c>
      <c r="E1253" s="2007" t="s">
        <v>213</v>
      </c>
      <c r="F1253" s="2007"/>
      <c r="G1253" s="882" t="s">
        <v>29</v>
      </c>
      <c r="H1253" s="1219">
        <v>2.653</v>
      </c>
      <c r="K1253" s="1192" t="s">
        <v>2775</v>
      </c>
      <c r="L1253" s="1192" t="s">
        <v>432</v>
      </c>
      <c r="P1253" s="1192" t="s">
        <v>2782</v>
      </c>
      <c r="V1253" s="1192">
        <v>47</v>
      </c>
    </row>
    <row r="1254" spans="1:22" s="1192" customFormat="1" ht="15" thickBot="1" x14ac:dyDescent="0.35">
      <c r="A1254" s="1192" t="s">
        <v>415</v>
      </c>
      <c r="E1254" s="2007" t="s">
        <v>209</v>
      </c>
      <c r="F1254" s="2007"/>
      <c r="G1254" s="882" t="s">
        <v>29</v>
      </c>
      <c r="H1254" s="1219">
        <v>2.4333</v>
      </c>
      <c r="K1254" s="1192" t="s">
        <v>2775</v>
      </c>
      <c r="L1254" s="1192" t="s">
        <v>432</v>
      </c>
      <c r="P1254" s="1192" t="s">
        <v>2783</v>
      </c>
      <c r="V1254" s="1192">
        <v>74</v>
      </c>
    </row>
    <row r="1255" spans="1:22" s="1192" customFormat="1" ht="15" thickTop="1" x14ac:dyDescent="0.3">
      <c r="A1255" s="1192" t="s">
        <v>415</v>
      </c>
      <c r="E1255" s="2129" t="s">
        <v>2405</v>
      </c>
      <c r="F1255" s="2127"/>
      <c r="G1255" s="883"/>
      <c r="H1255" s="884"/>
      <c r="K1255" s="1192" t="s">
        <v>2532</v>
      </c>
      <c r="V1255" s="1192">
        <v>48</v>
      </c>
    </row>
    <row r="1256" spans="1:22" s="1192" customFormat="1" ht="14.4" x14ac:dyDescent="0.3">
      <c r="A1256" s="1192" t="s">
        <v>415</v>
      </c>
      <c r="E1256" s="2007" t="s">
        <v>2033</v>
      </c>
      <c r="F1256" s="2007"/>
      <c r="G1256" s="578" t="s">
        <v>20</v>
      </c>
      <c r="H1256" s="564">
        <v>3.0000000000000001E-3</v>
      </c>
      <c r="K1256" s="1192" t="s">
        <v>2775</v>
      </c>
      <c r="L1256" s="1192" t="s">
        <v>2374</v>
      </c>
      <c r="P1256" s="1192" t="s">
        <v>2784</v>
      </c>
      <c r="V1256" s="1192">
        <v>55</v>
      </c>
    </row>
    <row r="1257" spans="1:22" s="1192" customFormat="1" ht="14.4" x14ac:dyDescent="0.3">
      <c r="A1257" s="1192" t="s">
        <v>415</v>
      </c>
      <c r="E1257" s="2007" t="s">
        <v>2034</v>
      </c>
      <c r="F1257" s="2007"/>
      <c r="G1257" s="578" t="s">
        <v>20</v>
      </c>
      <c r="H1257" s="564">
        <v>4.0000000000000002E-4</v>
      </c>
      <c r="K1257" s="1192" t="s">
        <v>2775</v>
      </c>
      <c r="L1257" s="1192" t="s">
        <v>2374</v>
      </c>
      <c r="P1257" s="1192" t="s">
        <v>2784</v>
      </c>
      <c r="V1257" s="1192">
        <v>65</v>
      </c>
    </row>
    <row r="1258" spans="1:22" s="1192" customFormat="1" ht="14.4" x14ac:dyDescent="0.3">
      <c r="A1258" s="1192" t="s">
        <v>415</v>
      </c>
      <c r="E1258" s="2007" t="s">
        <v>428</v>
      </c>
      <c r="F1258" s="2007"/>
      <c r="G1258" s="578" t="s">
        <v>20</v>
      </c>
      <c r="H1258" s="564">
        <v>5.0000000000000001E-4</v>
      </c>
      <c r="K1258" s="1192" t="s">
        <v>2775</v>
      </c>
      <c r="L1258" s="1192" t="s">
        <v>2374</v>
      </c>
      <c r="P1258" s="1192" t="s">
        <v>2785</v>
      </c>
      <c r="V1258" s="1192">
        <v>57</v>
      </c>
    </row>
    <row r="1259" spans="1:22" s="1192" customFormat="1" ht="14.4" x14ac:dyDescent="0.3">
      <c r="A1259" s="1192" t="s">
        <v>415</v>
      </c>
      <c r="E1259" s="2007" t="s">
        <v>28</v>
      </c>
      <c r="F1259" s="2007"/>
      <c r="G1259" s="578" t="s">
        <v>19</v>
      </c>
      <c r="H1259" s="579">
        <v>0.25</v>
      </c>
      <c r="K1259" s="1192" t="s">
        <v>2775</v>
      </c>
      <c r="L1259" s="1192" t="s">
        <v>2374</v>
      </c>
      <c r="P1259" s="1192" t="s">
        <v>2786</v>
      </c>
      <c r="V1259" s="1192">
        <v>63</v>
      </c>
    </row>
    <row r="1260" spans="1:22" s="1192" customFormat="1" ht="17.399999999999999" x14ac:dyDescent="0.3">
      <c r="A1260" s="1192" t="s">
        <v>415</v>
      </c>
      <c r="E1260" s="2051" t="s">
        <v>592</v>
      </c>
      <c r="F1260" s="2051"/>
      <c r="G1260" s="2051"/>
      <c r="H1260" s="2057"/>
      <c r="K1260" s="1192" t="s">
        <v>2726</v>
      </c>
      <c r="V1260" s="1192">
        <v>47</v>
      </c>
    </row>
    <row r="1261" spans="1:22" s="1192" customFormat="1" ht="14.4" x14ac:dyDescent="0.3">
      <c r="A1261" s="1192" t="s">
        <v>415</v>
      </c>
      <c r="E1261" s="2053" t="s">
        <v>2787</v>
      </c>
      <c r="F1261" s="2053"/>
      <c r="G1261" s="2053"/>
      <c r="H1261" s="2056"/>
      <c r="K1261" s="1192" t="s">
        <v>2726</v>
      </c>
      <c r="V1261" s="1192">
        <v>479</v>
      </c>
    </row>
    <row r="1262" spans="1:22" s="1192" customFormat="1" ht="14.4" x14ac:dyDescent="0.3">
      <c r="A1262" s="1192" t="s">
        <v>415</v>
      </c>
      <c r="E1262" s="2018" t="s">
        <v>2389</v>
      </c>
      <c r="F1262" s="1988"/>
      <c r="G1262" s="1988"/>
      <c r="H1262" s="1988"/>
      <c r="K1262" s="1192" t="s">
        <v>2424</v>
      </c>
      <c r="V1262" s="1192">
        <v>11</v>
      </c>
    </row>
    <row r="1263" spans="1:22" s="1192" customFormat="1" ht="14.4" x14ac:dyDescent="0.3">
      <c r="A1263" s="1192" t="s">
        <v>415</v>
      </c>
      <c r="E1263" s="1743" t="s">
        <v>2391</v>
      </c>
      <c r="F1263" s="1743"/>
      <c r="G1263" s="1743"/>
      <c r="H1263" s="1743"/>
      <c r="K1263" s="1192" t="s">
        <v>2726</v>
      </c>
      <c r="V1263" s="1192">
        <v>280</v>
      </c>
    </row>
    <row r="1264" spans="1:22" s="1192" customFormat="1" ht="14.4" x14ac:dyDescent="0.3">
      <c r="A1264" s="1192" t="s">
        <v>415</v>
      </c>
      <c r="E1264" s="1743" t="s">
        <v>2392</v>
      </c>
      <c r="F1264" s="1743"/>
      <c r="G1264" s="1743"/>
      <c r="H1264" s="1743"/>
      <c r="K1264" s="1192" t="s">
        <v>2726</v>
      </c>
      <c r="V1264" s="1192">
        <v>411</v>
      </c>
    </row>
    <row r="1265" spans="1:22" s="1192" customFormat="1" ht="14.4" x14ac:dyDescent="0.3">
      <c r="A1265" s="1192" t="s">
        <v>415</v>
      </c>
      <c r="E1265" s="1743" t="s">
        <v>2393</v>
      </c>
      <c r="F1265" s="1743"/>
      <c r="G1265" s="1743"/>
      <c r="H1265" s="1743"/>
      <c r="K1265" s="1192" t="s">
        <v>2726</v>
      </c>
      <c r="V1265" s="1192">
        <v>387</v>
      </c>
    </row>
    <row r="1266" spans="1:22" s="1192" customFormat="1" ht="14.4" x14ac:dyDescent="0.3">
      <c r="A1266" s="1192" t="s">
        <v>415</v>
      </c>
      <c r="E1266" s="1743" t="s">
        <v>2986</v>
      </c>
      <c r="F1266" s="1743"/>
      <c r="G1266" s="1743"/>
      <c r="H1266" s="1743"/>
      <c r="K1266" s="1192" t="s">
        <v>2726</v>
      </c>
      <c r="V1266" s="1192">
        <v>246</v>
      </c>
    </row>
    <row r="1267" spans="1:22" s="1192" customFormat="1" ht="14.4" x14ac:dyDescent="0.3">
      <c r="A1267" s="1192" t="s">
        <v>415</v>
      </c>
      <c r="E1267" s="2111" t="s">
        <v>2394</v>
      </c>
      <c r="F1267" s="1988"/>
      <c r="G1267" s="1988"/>
      <c r="H1267" s="1988"/>
      <c r="K1267" s="1192" t="s">
        <v>2425</v>
      </c>
      <c r="V1267" s="1192">
        <v>46</v>
      </c>
    </row>
    <row r="1268" spans="1:22" s="1192" customFormat="1" ht="14.4" x14ac:dyDescent="0.3">
      <c r="A1268" s="1192" t="s">
        <v>415</v>
      </c>
      <c r="E1268" s="2007" t="s">
        <v>9</v>
      </c>
      <c r="F1268" s="2007"/>
      <c r="G1268" s="1273" t="s">
        <v>19</v>
      </c>
      <c r="H1268" s="1218">
        <v>48.93</v>
      </c>
      <c r="K1268" s="1192" t="s">
        <v>2726</v>
      </c>
      <c r="L1268" s="1192" t="s">
        <v>430</v>
      </c>
      <c r="P1268" s="1192" t="s">
        <v>2727</v>
      </c>
      <c r="V1268" s="1192">
        <v>29</v>
      </c>
    </row>
    <row r="1269" spans="1:22" s="1192" customFormat="1" ht="14.4" x14ac:dyDescent="0.3">
      <c r="A1269" s="1192" t="s">
        <v>415</v>
      </c>
      <c r="E1269" s="2007" t="s">
        <v>80</v>
      </c>
      <c r="F1269" s="2007"/>
      <c r="G1269" s="578" t="s">
        <v>20</v>
      </c>
      <c r="H1269" s="1219">
        <v>2.6599999999999999E-2</v>
      </c>
      <c r="K1269" s="1192" t="s">
        <v>2726</v>
      </c>
      <c r="L1269" s="1192" t="s">
        <v>430</v>
      </c>
      <c r="P1269" s="1192" t="s">
        <v>2728</v>
      </c>
      <c r="V1269" s="1192">
        <v>28</v>
      </c>
    </row>
    <row r="1270" spans="1:22" s="1192" customFormat="1" ht="14.4" x14ac:dyDescent="0.3">
      <c r="A1270" s="1192" t="s">
        <v>415</v>
      </c>
      <c r="E1270" s="2007" t="s">
        <v>14</v>
      </c>
      <c r="F1270" s="2007"/>
      <c r="G1270" s="578" t="s">
        <v>20</v>
      </c>
      <c r="H1270" s="564">
        <v>2.0000000000000001E-4</v>
      </c>
      <c r="K1270" s="1192" t="s">
        <v>2726</v>
      </c>
      <c r="L1270" s="1192" t="s">
        <v>431</v>
      </c>
      <c r="P1270" s="1192" t="s">
        <v>2729</v>
      </c>
      <c r="V1270" s="1192">
        <v>24</v>
      </c>
    </row>
    <row r="1271" spans="1:22" s="1192" customFormat="1" ht="15" thickBot="1" x14ac:dyDescent="0.35">
      <c r="A1271" s="1192" t="s">
        <v>415</v>
      </c>
      <c r="E1271" s="2122" t="s">
        <v>6090</v>
      </c>
      <c r="F1271" s="2123"/>
      <c r="G1271" s="578" t="s">
        <v>20</v>
      </c>
      <c r="H1271" s="564">
        <v>1.1000000000000001E-3</v>
      </c>
      <c r="K1271" s="1192" t="s">
        <v>2726</v>
      </c>
      <c r="L1271" s="1192" t="s">
        <v>431</v>
      </c>
      <c r="P1271" s="1192" t="s">
        <v>2788</v>
      </c>
      <c r="T1271" s="1192">
        <v>44196</v>
      </c>
      <c r="V1271" s="1192">
        <v>142</v>
      </c>
    </row>
    <row r="1272" spans="1:22" s="1192" customFormat="1" ht="15.6" thickTop="1" thickBot="1" x14ac:dyDescent="0.35">
      <c r="A1272" s="1192" t="s">
        <v>415</v>
      </c>
      <c r="E1272" s="2124" t="s">
        <v>6087</v>
      </c>
      <c r="F1272" s="2125"/>
      <c r="G1272" s="578" t="s">
        <v>20</v>
      </c>
      <c r="H1272" s="564">
        <v>1.5E-3</v>
      </c>
      <c r="K1272" s="1192" t="s">
        <v>2726</v>
      </c>
      <c r="L1272" s="1192" t="s">
        <v>431</v>
      </c>
      <c r="P1272" s="1192" t="s">
        <v>2789</v>
      </c>
      <c r="T1272" s="1192">
        <v>44196</v>
      </c>
      <c r="V1272" s="1192">
        <v>99</v>
      </c>
    </row>
    <row r="1273" spans="1:22" s="1192" customFormat="1" ht="15.6" thickTop="1" thickBot="1" x14ac:dyDescent="0.35">
      <c r="A1273" s="1192" t="s">
        <v>415</v>
      </c>
      <c r="E1273" s="2122" t="s">
        <v>6112</v>
      </c>
      <c r="F1273" s="2123"/>
      <c r="G1273" s="578" t="s">
        <v>20</v>
      </c>
      <c r="H1273" s="564">
        <v>2.0000000000000001E-4</v>
      </c>
      <c r="K1273" s="1192" t="s">
        <v>2726</v>
      </c>
      <c r="L1273" s="1192" t="s">
        <v>431</v>
      </c>
      <c r="P1273" s="1192" t="s">
        <v>4003</v>
      </c>
      <c r="T1273" s="1192">
        <v>44196</v>
      </c>
      <c r="V1273" s="1192">
        <v>148</v>
      </c>
    </row>
    <row r="1274" spans="1:22" s="1192" customFormat="1" ht="15" thickTop="1" x14ac:dyDescent="0.3">
      <c r="A1274" s="1192" t="s">
        <v>415</v>
      </c>
      <c r="E1274" s="2126" t="s">
        <v>213</v>
      </c>
      <c r="F1274" s="2127"/>
      <c r="G1274" s="578" t="s">
        <v>20</v>
      </c>
      <c r="H1274" s="1219">
        <v>6.4999999999999997E-3</v>
      </c>
      <c r="K1274" s="1192" t="s">
        <v>2726</v>
      </c>
      <c r="L1274" s="1192" t="s">
        <v>432</v>
      </c>
      <c r="P1274" s="1192" t="s">
        <v>2731</v>
      </c>
      <c r="V1274" s="1192">
        <v>47</v>
      </c>
    </row>
    <row r="1275" spans="1:22" s="1192" customFormat="1" ht="14.4" x14ac:dyDescent="0.3">
      <c r="A1275" s="1192" t="s">
        <v>415</v>
      </c>
      <c r="E1275" s="2007" t="s">
        <v>209</v>
      </c>
      <c r="F1275" s="1741"/>
      <c r="G1275" s="578" t="s">
        <v>20</v>
      </c>
      <c r="H1275" s="1219">
        <v>6.0000000000000001E-3</v>
      </c>
      <c r="K1275" s="1192" t="s">
        <v>2726</v>
      </c>
      <c r="L1275" s="1192" t="s">
        <v>432</v>
      </c>
      <c r="P1275" s="1192" t="s">
        <v>2732</v>
      </c>
      <c r="V1275" s="1192">
        <v>74</v>
      </c>
    </row>
    <row r="1276" spans="1:22" s="1192" customFormat="1" ht="14.4" x14ac:dyDescent="0.3">
      <c r="A1276" s="1192" t="s">
        <v>415</v>
      </c>
      <c r="E1276" s="2054" t="s">
        <v>2405</v>
      </c>
      <c r="F1276" s="1741"/>
      <c r="G1276" s="1273"/>
      <c r="H1276" s="867"/>
      <c r="K1276" s="1192" t="s">
        <v>2427</v>
      </c>
      <c r="V1276" s="1192">
        <v>48</v>
      </c>
    </row>
    <row r="1277" spans="1:22" s="1192" customFormat="1" ht="14.4" x14ac:dyDescent="0.3">
      <c r="A1277" s="1192" t="s">
        <v>415</v>
      </c>
      <c r="E1277" s="2007" t="s">
        <v>2033</v>
      </c>
      <c r="F1277" s="2007"/>
      <c r="G1277" s="578" t="s">
        <v>20</v>
      </c>
      <c r="H1277" s="564">
        <v>3.0000000000000001E-3</v>
      </c>
      <c r="K1277" s="1192" t="s">
        <v>2726</v>
      </c>
      <c r="L1277" s="1192" t="s">
        <v>2374</v>
      </c>
      <c r="P1277" s="1192" t="s">
        <v>2733</v>
      </c>
      <c r="V1277" s="1192">
        <v>55</v>
      </c>
    </row>
    <row r="1278" spans="1:22" s="1192" customFormat="1" ht="14.4" x14ac:dyDescent="0.3">
      <c r="A1278" s="1192" t="s">
        <v>415</v>
      </c>
      <c r="E1278" s="2007" t="s">
        <v>2034</v>
      </c>
      <c r="F1278" s="2007"/>
      <c r="G1278" s="578" t="s">
        <v>20</v>
      </c>
      <c r="H1278" s="564">
        <v>4.0000000000000002E-4</v>
      </c>
      <c r="K1278" s="1192" t="s">
        <v>2726</v>
      </c>
      <c r="L1278" s="1192" t="s">
        <v>2374</v>
      </c>
      <c r="P1278" s="1192" t="s">
        <v>2733</v>
      </c>
      <c r="V1278" s="1192">
        <v>65</v>
      </c>
    </row>
    <row r="1279" spans="1:22" s="1192" customFormat="1" ht="14.4" x14ac:dyDescent="0.3">
      <c r="A1279" s="1192" t="s">
        <v>415</v>
      </c>
      <c r="E1279" s="2007" t="s">
        <v>428</v>
      </c>
      <c r="F1279" s="2007"/>
      <c r="G1279" s="578" t="s">
        <v>20</v>
      </c>
      <c r="H1279" s="564">
        <v>5.0000000000000001E-4</v>
      </c>
      <c r="K1279" s="1192" t="s">
        <v>2726</v>
      </c>
      <c r="L1279" s="1192" t="s">
        <v>2374</v>
      </c>
      <c r="P1279" s="1192" t="s">
        <v>2734</v>
      </c>
      <c r="V1279" s="1192">
        <v>57</v>
      </c>
    </row>
    <row r="1280" spans="1:22" s="1192" customFormat="1" ht="14.4" x14ac:dyDescent="0.3">
      <c r="A1280" s="1192" t="s">
        <v>415</v>
      </c>
      <c r="E1280" s="2007" t="s">
        <v>28</v>
      </c>
      <c r="F1280" s="2007"/>
      <c r="G1280" s="578" t="s">
        <v>19</v>
      </c>
      <c r="H1280" s="579">
        <v>0.25</v>
      </c>
      <c r="K1280" s="1192" t="s">
        <v>2726</v>
      </c>
      <c r="L1280" s="1192" t="s">
        <v>2374</v>
      </c>
      <c r="P1280" s="1192" t="s">
        <v>2735</v>
      </c>
      <c r="V1280" s="1192">
        <v>63</v>
      </c>
    </row>
    <row r="1281" spans="1:22" s="1192" customFormat="1" ht="17.399999999999999" x14ac:dyDescent="0.3">
      <c r="A1281" s="1192" t="s">
        <v>415</v>
      </c>
      <c r="E1281" s="2051" t="s">
        <v>606</v>
      </c>
      <c r="F1281" s="2051"/>
      <c r="G1281" s="2051"/>
      <c r="H1281" s="2057"/>
      <c r="K1281" s="1192" t="s">
        <v>2790</v>
      </c>
      <c r="V1281" s="1192">
        <v>36</v>
      </c>
    </row>
    <row r="1282" spans="1:22" s="1192" customFormat="1" ht="14.4" x14ac:dyDescent="0.3">
      <c r="A1282" s="1192" t="s">
        <v>415</v>
      </c>
      <c r="E1282" s="2053" t="s">
        <v>2791</v>
      </c>
      <c r="F1282" s="2053"/>
      <c r="G1282" s="2053"/>
      <c r="H1282" s="2056"/>
      <c r="K1282" s="1192" t="s">
        <v>2790</v>
      </c>
      <c r="V1282" s="1192">
        <v>504</v>
      </c>
    </row>
    <row r="1283" spans="1:22" s="1192" customFormat="1" ht="14.4" x14ac:dyDescent="0.3">
      <c r="A1283" s="1192" t="s">
        <v>415</v>
      </c>
      <c r="E1283" s="2018" t="s">
        <v>2389</v>
      </c>
      <c r="F1283" s="1988"/>
      <c r="G1283" s="1988"/>
      <c r="H1283" s="1988"/>
      <c r="K1283" s="1192" t="s">
        <v>2430</v>
      </c>
      <c r="V1283" s="1192">
        <v>11</v>
      </c>
    </row>
    <row r="1284" spans="1:22" s="1192" customFormat="1" ht="14.4" x14ac:dyDescent="0.3">
      <c r="A1284" s="1192" t="s">
        <v>415</v>
      </c>
      <c r="E1284" s="1743" t="s">
        <v>2391</v>
      </c>
      <c r="F1284" s="1743"/>
      <c r="G1284" s="1743"/>
      <c r="H1284" s="1743"/>
      <c r="K1284" s="1192" t="s">
        <v>2790</v>
      </c>
      <c r="V1284" s="1192">
        <v>280</v>
      </c>
    </row>
    <row r="1285" spans="1:22" s="1192" customFormat="1" ht="14.4" x14ac:dyDescent="0.3">
      <c r="A1285" s="1192" t="s">
        <v>415</v>
      </c>
      <c r="E1285" s="1743" t="s">
        <v>2483</v>
      </c>
      <c r="F1285" s="1743"/>
      <c r="G1285" s="1743"/>
      <c r="H1285" s="1743"/>
      <c r="K1285" s="1192" t="s">
        <v>2790</v>
      </c>
      <c r="V1285" s="1192">
        <v>413</v>
      </c>
    </row>
    <row r="1286" spans="1:22" s="1192" customFormat="1" ht="14.4" x14ac:dyDescent="0.3">
      <c r="A1286" s="1192" t="s">
        <v>415</v>
      </c>
      <c r="E1286" s="1743" t="s">
        <v>2792</v>
      </c>
      <c r="F1286" s="1743"/>
      <c r="G1286" s="1743"/>
      <c r="H1286" s="1743"/>
      <c r="K1286" s="1192" t="s">
        <v>2790</v>
      </c>
      <c r="V1286" s="1192">
        <v>213</v>
      </c>
    </row>
    <row r="1287" spans="1:22" s="1192" customFormat="1" ht="14.4" x14ac:dyDescent="0.3">
      <c r="A1287" s="1192" t="s">
        <v>415</v>
      </c>
      <c r="E1287" s="1743" t="s">
        <v>2986</v>
      </c>
      <c r="F1287" s="1743"/>
      <c r="G1287" s="1743"/>
      <c r="H1287" s="1743"/>
      <c r="K1287" s="1192" t="s">
        <v>2790</v>
      </c>
      <c r="V1287" s="1192">
        <v>246</v>
      </c>
    </row>
    <row r="1288" spans="1:22" s="1192" customFormat="1" ht="14.4" x14ac:dyDescent="0.3">
      <c r="A1288" s="1192" t="s">
        <v>415</v>
      </c>
      <c r="E1288" s="2111" t="s">
        <v>2793</v>
      </c>
      <c r="F1288" s="1988"/>
      <c r="G1288" s="1988"/>
      <c r="H1288" s="1988"/>
      <c r="K1288" s="1192" t="s">
        <v>2431</v>
      </c>
      <c r="V1288" s="1192">
        <v>56</v>
      </c>
    </row>
    <row r="1289" spans="1:22" s="1192" customFormat="1" ht="14.4" x14ac:dyDescent="0.3">
      <c r="A1289" s="1192" t="s">
        <v>415</v>
      </c>
      <c r="E1289" s="2007" t="s">
        <v>4004</v>
      </c>
      <c r="F1289" s="2007"/>
      <c r="G1289" s="578" t="s">
        <v>29</v>
      </c>
      <c r="H1289" s="885">
        <v>1.2072000000000001</v>
      </c>
      <c r="K1289" s="1192" t="s">
        <v>2790</v>
      </c>
      <c r="L1289" s="1192" t="s">
        <v>430</v>
      </c>
      <c r="P1289" s="1192" t="s">
        <v>4402</v>
      </c>
      <c r="V1289" s="1192">
        <v>161</v>
      </c>
    </row>
    <row r="1290" spans="1:22" s="1192" customFormat="1" ht="17.399999999999999" x14ac:dyDescent="0.3">
      <c r="A1290" s="1192" t="s">
        <v>415</v>
      </c>
      <c r="E1290" s="2051" t="s">
        <v>604</v>
      </c>
      <c r="F1290" s="2051"/>
      <c r="G1290" s="2051"/>
      <c r="H1290" s="2057"/>
      <c r="K1290" s="1192" t="s">
        <v>2555</v>
      </c>
      <c r="V1290" s="1192">
        <v>40</v>
      </c>
    </row>
    <row r="1291" spans="1:22" s="1192" customFormat="1" ht="14.4" x14ac:dyDescent="0.3">
      <c r="A1291" s="1192" t="s">
        <v>415</v>
      </c>
      <c r="E1291" s="2053" t="s">
        <v>2794</v>
      </c>
      <c r="F1291" s="2053"/>
      <c r="G1291" s="2053"/>
      <c r="H1291" s="2056"/>
      <c r="K1291" s="1192" t="s">
        <v>2555</v>
      </c>
      <c r="V1291" s="1192">
        <v>175</v>
      </c>
    </row>
    <row r="1292" spans="1:22" s="1192" customFormat="1" ht="14.4" x14ac:dyDescent="0.3">
      <c r="A1292" s="1192" t="s">
        <v>415</v>
      </c>
      <c r="E1292" s="2018" t="s">
        <v>2389</v>
      </c>
      <c r="F1292" s="1988"/>
      <c r="G1292" s="1988"/>
      <c r="H1292" s="1988"/>
      <c r="K1292" s="1192" t="s">
        <v>2444</v>
      </c>
      <c r="V1292" s="1192">
        <v>11</v>
      </c>
    </row>
    <row r="1293" spans="1:22" s="1192" customFormat="1" ht="14.4" x14ac:dyDescent="0.3">
      <c r="A1293" s="1192" t="s">
        <v>415</v>
      </c>
      <c r="E1293" s="1743" t="s">
        <v>2391</v>
      </c>
      <c r="F1293" s="1743"/>
      <c r="G1293" s="1743"/>
      <c r="H1293" s="1743"/>
      <c r="K1293" s="1192" t="s">
        <v>2555</v>
      </c>
      <c r="V1293" s="1192">
        <v>280</v>
      </c>
    </row>
    <row r="1294" spans="1:22" s="1192" customFormat="1" ht="14.4" x14ac:dyDescent="0.3">
      <c r="A1294" s="1192" t="s">
        <v>415</v>
      </c>
      <c r="E1294" s="1743" t="s">
        <v>2392</v>
      </c>
      <c r="F1294" s="1743"/>
      <c r="G1294" s="1743"/>
      <c r="H1294" s="1743"/>
      <c r="K1294" s="1192" t="s">
        <v>2555</v>
      </c>
      <c r="V1294" s="1192">
        <v>411</v>
      </c>
    </row>
    <row r="1295" spans="1:22" s="1192" customFormat="1" ht="14.4" x14ac:dyDescent="0.3">
      <c r="A1295" s="1192" t="s">
        <v>415</v>
      </c>
      <c r="E1295" s="1743" t="s">
        <v>2393</v>
      </c>
      <c r="F1295" s="1743"/>
      <c r="G1295" s="1743"/>
      <c r="H1295" s="1743"/>
      <c r="K1295" s="1192" t="s">
        <v>2555</v>
      </c>
      <c r="V1295" s="1192">
        <v>387</v>
      </c>
    </row>
    <row r="1296" spans="1:22" s="1192" customFormat="1" ht="14.4" x14ac:dyDescent="0.3">
      <c r="A1296" s="1192" t="s">
        <v>415</v>
      </c>
      <c r="E1296" s="1743" t="s">
        <v>2986</v>
      </c>
      <c r="F1296" s="1743"/>
      <c r="G1296" s="1743"/>
      <c r="H1296" s="1743"/>
      <c r="K1296" s="1192" t="s">
        <v>2555</v>
      </c>
      <c r="V1296" s="1192">
        <v>246</v>
      </c>
    </row>
    <row r="1297" spans="1:22" s="1192" customFormat="1" ht="14.4" x14ac:dyDescent="0.3">
      <c r="A1297" s="1192" t="s">
        <v>415</v>
      </c>
      <c r="E1297" s="2111" t="s">
        <v>2394</v>
      </c>
      <c r="F1297" s="1988"/>
      <c r="G1297" s="1988"/>
      <c r="H1297" s="1988"/>
      <c r="K1297" s="1192" t="s">
        <v>2446</v>
      </c>
      <c r="V1297" s="1192">
        <v>46</v>
      </c>
    </row>
    <row r="1298" spans="1:22" s="1192" customFormat="1" ht="14.4" x14ac:dyDescent="0.3">
      <c r="A1298" s="1192" t="s">
        <v>415</v>
      </c>
      <c r="E1298" s="2007" t="s">
        <v>8</v>
      </c>
      <c r="F1298" s="2007"/>
      <c r="G1298" s="578" t="s">
        <v>19</v>
      </c>
      <c r="H1298" s="1218">
        <v>5.6</v>
      </c>
      <c r="K1298" s="1192" t="s">
        <v>2555</v>
      </c>
      <c r="L1298" s="1192" t="s">
        <v>430</v>
      </c>
      <c r="P1298" s="1192" t="s">
        <v>2557</v>
      </c>
      <c r="V1298" s="1192">
        <v>31</v>
      </c>
    </row>
    <row r="1299" spans="1:22" s="1192" customFormat="1" ht="14.4" x14ac:dyDescent="0.3">
      <c r="A1299" s="1192" t="s">
        <v>415</v>
      </c>
      <c r="E1299" s="2007" t="s">
        <v>80</v>
      </c>
      <c r="F1299" s="2007"/>
      <c r="G1299" s="882" t="s">
        <v>29</v>
      </c>
      <c r="H1299" s="1219">
        <v>6.4817</v>
      </c>
      <c r="K1299" s="1192" t="s">
        <v>2555</v>
      </c>
      <c r="L1299" s="1192" t="s">
        <v>430</v>
      </c>
      <c r="P1299" s="1192" t="s">
        <v>2558</v>
      </c>
      <c r="V1299" s="1192">
        <v>28</v>
      </c>
    </row>
    <row r="1300" spans="1:22" s="1192" customFormat="1" ht="14.4" x14ac:dyDescent="0.3">
      <c r="A1300" s="1192" t="s">
        <v>415</v>
      </c>
      <c r="E1300" s="2007" t="s">
        <v>14</v>
      </c>
      <c r="F1300" s="2007"/>
      <c r="G1300" s="882" t="s">
        <v>29</v>
      </c>
      <c r="H1300" s="564">
        <v>8.2500000000000004E-2</v>
      </c>
      <c r="K1300" s="1192" t="s">
        <v>2555</v>
      </c>
      <c r="L1300" s="1192" t="s">
        <v>431</v>
      </c>
      <c r="P1300" s="1192" t="s">
        <v>2559</v>
      </c>
      <c r="V1300" s="1192">
        <v>24</v>
      </c>
    </row>
    <row r="1301" spans="1:22" s="1192" customFormat="1" ht="15" thickBot="1" x14ac:dyDescent="0.35">
      <c r="A1301" s="1192" t="s">
        <v>415</v>
      </c>
      <c r="E1301" s="2122" t="s">
        <v>6112</v>
      </c>
      <c r="F1301" s="2123"/>
      <c r="G1301" s="882" t="s">
        <v>29</v>
      </c>
      <c r="H1301" s="564">
        <v>6.8199999999999997E-2</v>
      </c>
      <c r="K1301" s="1192" t="s">
        <v>2555</v>
      </c>
      <c r="L1301" s="1192" t="s">
        <v>431</v>
      </c>
      <c r="P1301" s="1192" t="s">
        <v>4005</v>
      </c>
      <c r="T1301" s="1192">
        <v>44196</v>
      </c>
      <c r="V1301" s="1192">
        <v>148</v>
      </c>
    </row>
    <row r="1302" spans="1:22" s="1192" customFormat="1" ht="15.6" thickTop="1" thickBot="1" x14ac:dyDescent="0.35">
      <c r="A1302" s="1192" t="s">
        <v>415</v>
      </c>
      <c r="E1302" s="2007" t="s">
        <v>6087</v>
      </c>
      <c r="F1302" s="2007"/>
      <c r="G1302" s="882" t="s">
        <v>29</v>
      </c>
      <c r="H1302" s="564">
        <v>0.4914</v>
      </c>
      <c r="K1302" s="1192" t="s">
        <v>2555</v>
      </c>
      <c r="L1302" s="1192" t="s">
        <v>431</v>
      </c>
      <c r="P1302" s="1192" t="s">
        <v>2562</v>
      </c>
      <c r="T1302" s="1192">
        <v>44196</v>
      </c>
      <c r="V1302" s="1192">
        <v>99</v>
      </c>
    </row>
    <row r="1303" spans="1:22" s="1192" customFormat="1" ht="15" thickTop="1" x14ac:dyDescent="0.3">
      <c r="A1303" s="1192" t="s">
        <v>415</v>
      </c>
      <c r="E1303" s="2126" t="s">
        <v>213</v>
      </c>
      <c r="F1303" s="2127"/>
      <c r="G1303" s="882" t="s">
        <v>29</v>
      </c>
      <c r="H1303" s="1219">
        <v>2.2608999999999999</v>
      </c>
      <c r="K1303" s="1192" t="s">
        <v>2555</v>
      </c>
      <c r="L1303" s="1192" t="s">
        <v>432</v>
      </c>
      <c r="P1303" s="1192" t="s">
        <v>2563</v>
      </c>
      <c r="V1303" s="1192">
        <v>47</v>
      </c>
    </row>
    <row r="1304" spans="1:22" s="1192" customFormat="1" ht="14.4" x14ac:dyDescent="0.3">
      <c r="A1304" s="1192" t="s">
        <v>415</v>
      </c>
      <c r="E1304" s="2007" t="s">
        <v>209</v>
      </c>
      <c r="F1304" s="1741"/>
      <c r="G1304" s="882" t="s">
        <v>29</v>
      </c>
      <c r="H1304" s="1219">
        <v>1.9858</v>
      </c>
      <c r="K1304" s="1192" t="s">
        <v>2555</v>
      </c>
      <c r="L1304" s="1192" t="s">
        <v>432</v>
      </c>
      <c r="P1304" s="1192" t="s">
        <v>2564</v>
      </c>
      <c r="V1304" s="1192">
        <v>74</v>
      </c>
    </row>
    <row r="1305" spans="1:22" s="1192" customFormat="1" ht="14.4" x14ac:dyDescent="0.3">
      <c r="A1305" s="1192" t="s">
        <v>415</v>
      </c>
      <c r="E1305" s="2054" t="s">
        <v>2405</v>
      </c>
      <c r="F1305" s="1741"/>
      <c r="G1305" s="1273"/>
      <c r="H1305" s="867"/>
      <c r="K1305" s="1192" t="s">
        <v>2565</v>
      </c>
      <c r="V1305" s="1192">
        <v>48</v>
      </c>
    </row>
    <row r="1306" spans="1:22" s="1192" customFormat="1" ht="14.4" x14ac:dyDescent="0.3">
      <c r="A1306" s="1192" t="s">
        <v>415</v>
      </c>
      <c r="E1306" s="2007" t="s">
        <v>2033</v>
      </c>
      <c r="F1306" s="2007"/>
      <c r="G1306" s="578" t="s">
        <v>20</v>
      </c>
      <c r="H1306" s="564">
        <v>3.0000000000000001E-3</v>
      </c>
      <c r="K1306" s="1192" t="s">
        <v>2555</v>
      </c>
      <c r="L1306" s="1192" t="s">
        <v>2374</v>
      </c>
      <c r="P1306" s="1192" t="s">
        <v>2566</v>
      </c>
      <c r="V1306" s="1192">
        <v>55</v>
      </c>
    </row>
    <row r="1307" spans="1:22" s="1192" customFormat="1" ht="14.4" x14ac:dyDescent="0.3">
      <c r="A1307" s="1192" t="s">
        <v>415</v>
      </c>
      <c r="E1307" s="2007" t="s">
        <v>2034</v>
      </c>
      <c r="F1307" s="2007"/>
      <c r="G1307" s="578" t="s">
        <v>20</v>
      </c>
      <c r="H1307" s="564">
        <v>4.0000000000000002E-4</v>
      </c>
      <c r="K1307" s="1192" t="s">
        <v>2555</v>
      </c>
      <c r="L1307" s="1192" t="s">
        <v>2374</v>
      </c>
      <c r="P1307" s="1192" t="s">
        <v>2566</v>
      </c>
      <c r="V1307" s="1192">
        <v>65</v>
      </c>
    </row>
    <row r="1308" spans="1:22" s="1192" customFormat="1" ht="14.4" x14ac:dyDescent="0.3">
      <c r="A1308" s="1192" t="s">
        <v>415</v>
      </c>
      <c r="E1308" s="2007" t="s">
        <v>428</v>
      </c>
      <c r="F1308" s="2007"/>
      <c r="G1308" s="578" t="s">
        <v>20</v>
      </c>
      <c r="H1308" s="564">
        <v>5.0000000000000001E-4</v>
      </c>
      <c r="K1308" s="1192" t="s">
        <v>2555</v>
      </c>
      <c r="L1308" s="1192" t="s">
        <v>2374</v>
      </c>
      <c r="P1308" s="1192" t="s">
        <v>2567</v>
      </c>
      <c r="V1308" s="1192">
        <v>57</v>
      </c>
    </row>
    <row r="1309" spans="1:22" s="1192" customFormat="1" ht="14.4" x14ac:dyDescent="0.3">
      <c r="A1309" s="1192" t="s">
        <v>415</v>
      </c>
      <c r="E1309" s="2007" t="s">
        <v>28</v>
      </c>
      <c r="F1309" s="2007"/>
      <c r="G1309" s="578" t="s">
        <v>19</v>
      </c>
      <c r="H1309" s="579">
        <v>0.25</v>
      </c>
      <c r="K1309" s="1192" t="s">
        <v>2555</v>
      </c>
      <c r="L1309" s="1192" t="s">
        <v>2374</v>
      </c>
      <c r="P1309" s="1192" t="s">
        <v>2568</v>
      </c>
      <c r="V1309" s="1192">
        <v>63</v>
      </c>
    </row>
    <row r="1310" spans="1:22" s="1192" customFormat="1" ht="17.399999999999999" x14ac:dyDescent="0.3">
      <c r="A1310" s="1192" t="s">
        <v>415</v>
      </c>
      <c r="E1310" s="2051" t="s">
        <v>590</v>
      </c>
      <c r="F1310" s="2051"/>
      <c r="G1310" s="2051"/>
      <c r="H1310" s="2057"/>
      <c r="K1310" s="1192" t="s">
        <v>2569</v>
      </c>
      <c r="V1310" s="1192">
        <v>38</v>
      </c>
    </row>
    <row r="1311" spans="1:22" s="1192" customFormat="1" ht="14.4" x14ac:dyDescent="0.3">
      <c r="A1311" s="1192" t="s">
        <v>415</v>
      </c>
      <c r="E1311" s="2053" t="s">
        <v>2795</v>
      </c>
      <c r="F1311" s="2053"/>
      <c r="G1311" s="2053"/>
      <c r="H1311" s="2056"/>
      <c r="K1311" s="1192" t="s">
        <v>2569</v>
      </c>
      <c r="V1311" s="1192">
        <v>329</v>
      </c>
    </row>
    <row r="1312" spans="1:22" s="1192" customFormat="1" ht="14.4" x14ac:dyDescent="0.3">
      <c r="A1312" s="1192" t="s">
        <v>415</v>
      </c>
      <c r="E1312" s="2018" t="s">
        <v>2389</v>
      </c>
      <c r="F1312" s="1988"/>
      <c r="G1312" s="1988"/>
      <c r="H1312" s="1988"/>
      <c r="K1312" s="1192" t="s">
        <v>2571</v>
      </c>
      <c r="V1312" s="1192">
        <v>11</v>
      </c>
    </row>
    <row r="1313" spans="1:22" s="1192" customFormat="1" ht="14.4" x14ac:dyDescent="0.3">
      <c r="A1313" s="1192" t="s">
        <v>415</v>
      </c>
      <c r="E1313" s="1743" t="s">
        <v>2391</v>
      </c>
      <c r="F1313" s="1743"/>
      <c r="G1313" s="1743"/>
      <c r="H1313" s="1743"/>
      <c r="K1313" s="1192" t="s">
        <v>2569</v>
      </c>
      <c r="V1313" s="1192">
        <v>280</v>
      </c>
    </row>
    <row r="1314" spans="1:22" s="1192" customFormat="1" ht="14.4" x14ac:dyDescent="0.3">
      <c r="A1314" s="1192" t="s">
        <v>415</v>
      </c>
      <c r="E1314" s="1743" t="s">
        <v>2392</v>
      </c>
      <c r="F1314" s="1743"/>
      <c r="G1314" s="1743"/>
      <c r="H1314" s="1743"/>
      <c r="K1314" s="1192" t="s">
        <v>2569</v>
      </c>
      <c r="V1314" s="1192">
        <v>411</v>
      </c>
    </row>
    <row r="1315" spans="1:22" s="1192" customFormat="1" ht="14.4" x14ac:dyDescent="0.3">
      <c r="A1315" s="1192" t="s">
        <v>415</v>
      </c>
      <c r="E1315" s="1743" t="s">
        <v>2393</v>
      </c>
      <c r="F1315" s="1743"/>
      <c r="G1315" s="1743"/>
      <c r="H1315" s="1743"/>
      <c r="K1315" s="1192" t="s">
        <v>2569</v>
      </c>
      <c r="V1315" s="1192">
        <v>387</v>
      </c>
    </row>
    <row r="1316" spans="1:22" s="1192" customFormat="1" ht="14.4" x14ac:dyDescent="0.3">
      <c r="A1316" s="1192" t="s">
        <v>415</v>
      </c>
      <c r="E1316" s="1743" t="s">
        <v>2986</v>
      </c>
      <c r="F1316" s="1743"/>
      <c r="G1316" s="1743"/>
      <c r="H1316" s="1743"/>
      <c r="K1316" s="1192" t="s">
        <v>2569</v>
      </c>
      <c r="V1316" s="1192">
        <v>246</v>
      </c>
    </row>
    <row r="1317" spans="1:22" s="1192" customFormat="1" ht="14.4" x14ac:dyDescent="0.3">
      <c r="A1317" s="1192" t="s">
        <v>415</v>
      </c>
      <c r="E1317" s="2111" t="s">
        <v>2394</v>
      </c>
      <c r="F1317" s="1988"/>
      <c r="G1317" s="1988"/>
      <c r="H1317" s="1988"/>
      <c r="K1317" s="1192" t="s">
        <v>2572</v>
      </c>
      <c r="V1317" s="1192">
        <v>46</v>
      </c>
    </row>
    <row r="1318" spans="1:22" s="1192" customFormat="1" ht="14.4" x14ac:dyDescent="0.3">
      <c r="A1318" s="1192" t="s">
        <v>415</v>
      </c>
      <c r="E1318" s="2007" t="s">
        <v>8</v>
      </c>
      <c r="F1318" s="2007"/>
      <c r="G1318" s="578" t="s">
        <v>19</v>
      </c>
      <c r="H1318" s="1218">
        <v>4.0199999999999996</v>
      </c>
      <c r="K1318" s="1192" t="s">
        <v>2569</v>
      </c>
      <c r="L1318" s="1192" t="s">
        <v>430</v>
      </c>
      <c r="P1318" s="1192" t="s">
        <v>2573</v>
      </c>
      <c r="V1318" s="1192">
        <v>31</v>
      </c>
    </row>
    <row r="1319" spans="1:22" s="1192" customFormat="1" ht="14.4" x14ac:dyDescent="0.3">
      <c r="A1319" s="1192" t="s">
        <v>415</v>
      </c>
      <c r="E1319" s="2007" t="s">
        <v>80</v>
      </c>
      <c r="F1319" s="2007"/>
      <c r="G1319" s="882" t="s">
        <v>29</v>
      </c>
      <c r="H1319" s="1219">
        <v>8.7452000000000005</v>
      </c>
      <c r="K1319" s="1192" t="s">
        <v>2569</v>
      </c>
      <c r="L1319" s="1192" t="s">
        <v>430</v>
      </c>
      <c r="P1319" s="1192" t="s">
        <v>2574</v>
      </c>
      <c r="V1319" s="1192">
        <v>28</v>
      </c>
    </row>
    <row r="1320" spans="1:22" s="1192" customFormat="1" ht="14.4" x14ac:dyDescent="0.3">
      <c r="A1320" s="1192" t="s">
        <v>415</v>
      </c>
      <c r="E1320" s="2007" t="s">
        <v>14</v>
      </c>
      <c r="F1320" s="2007"/>
      <c r="G1320" s="882" t="s">
        <v>29</v>
      </c>
      <c r="H1320" s="562">
        <v>7.7100000000000002E-2</v>
      </c>
      <c r="K1320" s="1192" t="s">
        <v>2569</v>
      </c>
      <c r="L1320" s="1192" t="s">
        <v>431</v>
      </c>
      <c r="P1320" s="1192" t="s">
        <v>2575</v>
      </c>
      <c r="V1320" s="1192">
        <v>24</v>
      </c>
    </row>
    <row r="1321" spans="1:22" s="1192" customFormat="1" ht="15" thickBot="1" x14ac:dyDescent="0.35">
      <c r="A1321" s="1192" t="s">
        <v>415</v>
      </c>
      <c r="E1321" s="2122" t="s">
        <v>6090</v>
      </c>
      <c r="F1321" s="2123"/>
      <c r="G1321" s="882" t="s">
        <v>20</v>
      </c>
      <c r="H1321" s="562">
        <v>1.1000000000000001E-3</v>
      </c>
      <c r="K1321" s="1192" t="s">
        <v>2569</v>
      </c>
      <c r="L1321" s="1192" t="s">
        <v>431</v>
      </c>
      <c r="P1321" s="1192" t="s">
        <v>2576</v>
      </c>
      <c r="T1321" s="1192">
        <v>44196</v>
      </c>
      <c r="V1321" s="1192">
        <v>142</v>
      </c>
    </row>
    <row r="1322" spans="1:22" s="1192" customFormat="1" ht="15.6" thickTop="1" thickBot="1" x14ac:dyDescent="0.35">
      <c r="A1322" s="1192" t="s">
        <v>415</v>
      </c>
      <c r="E1322" s="2007" t="s">
        <v>6087</v>
      </c>
      <c r="F1322" s="2007"/>
      <c r="G1322" s="882" t="s">
        <v>29</v>
      </c>
      <c r="H1322" s="562">
        <v>1.0697000000000001</v>
      </c>
      <c r="K1322" s="1192" t="s">
        <v>2569</v>
      </c>
      <c r="L1322" s="1192" t="s">
        <v>431</v>
      </c>
      <c r="P1322" s="1192" t="s">
        <v>2578</v>
      </c>
      <c r="T1322" s="1192">
        <v>44196</v>
      </c>
      <c r="V1322" s="1192">
        <v>99</v>
      </c>
    </row>
    <row r="1323" spans="1:22" s="1192" customFormat="1" ht="15.6" thickTop="1" thickBot="1" x14ac:dyDescent="0.35">
      <c r="A1323" s="1192" t="s">
        <v>415</v>
      </c>
      <c r="E1323" s="2124" t="s">
        <v>6112</v>
      </c>
      <c r="F1323" s="2125"/>
      <c r="G1323" s="882" t="s">
        <v>29</v>
      </c>
      <c r="H1323" s="562">
        <v>7.1499999999999994E-2</v>
      </c>
      <c r="K1323" s="1192" t="s">
        <v>2569</v>
      </c>
      <c r="L1323" s="1192" t="s">
        <v>431</v>
      </c>
      <c r="P1323" s="1192" t="s">
        <v>4006</v>
      </c>
      <c r="T1323" s="1192">
        <v>44196</v>
      </c>
      <c r="V1323" s="1192">
        <v>148</v>
      </c>
    </row>
    <row r="1324" spans="1:22" s="1192" customFormat="1" ht="15" thickTop="1" x14ac:dyDescent="0.3">
      <c r="A1324" s="1192" t="s">
        <v>415</v>
      </c>
      <c r="E1324" s="2126" t="s">
        <v>213</v>
      </c>
      <c r="F1324" s="2127"/>
      <c r="G1324" s="882" t="s">
        <v>29</v>
      </c>
      <c r="H1324" s="1219">
        <v>1.9637</v>
      </c>
      <c r="K1324" s="1192" t="s">
        <v>2569</v>
      </c>
      <c r="L1324" s="1192" t="s">
        <v>432</v>
      </c>
      <c r="P1324" s="1192" t="s">
        <v>2579</v>
      </c>
      <c r="V1324" s="1192">
        <v>47</v>
      </c>
    </row>
    <row r="1325" spans="1:22" s="1192" customFormat="1" ht="14.4" x14ac:dyDescent="0.3">
      <c r="A1325" s="1192" t="s">
        <v>415</v>
      </c>
      <c r="E1325" s="2007" t="s">
        <v>209</v>
      </c>
      <c r="F1325" s="1741"/>
      <c r="G1325" s="882" t="s">
        <v>29</v>
      </c>
      <c r="H1325" s="1219">
        <v>1.8566</v>
      </c>
      <c r="K1325" s="1192" t="s">
        <v>2569</v>
      </c>
      <c r="L1325" s="1192" t="s">
        <v>432</v>
      </c>
      <c r="P1325" s="1192" t="s">
        <v>2580</v>
      </c>
      <c r="V1325" s="1192">
        <v>74</v>
      </c>
    </row>
    <row r="1326" spans="1:22" s="1192" customFormat="1" ht="14.4" x14ac:dyDescent="0.3">
      <c r="A1326" s="1192" t="s">
        <v>415</v>
      </c>
      <c r="E1326" s="2054" t="s">
        <v>2405</v>
      </c>
      <c r="F1326" s="1741"/>
      <c r="G1326" s="1273"/>
      <c r="H1326" s="867"/>
      <c r="K1326" s="1192" t="s">
        <v>2581</v>
      </c>
      <c r="V1326" s="1192">
        <v>48</v>
      </c>
    </row>
    <row r="1327" spans="1:22" s="1192" customFormat="1" ht="14.4" x14ac:dyDescent="0.3">
      <c r="A1327" s="1192" t="s">
        <v>415</v>
      </c>
      <c r="E1327" s="2007" t="s">
        <v>2033</v>
      </c>
      <c r="F1327" s="2007"/>
      <c r="G1327" s="578" t="s">
        <v>20</v>
      </c>
      <c r="H1327" s="564">
        <v>3.0000000000000001E-3</v>
      </c>
      <c r="K1327" s="1192" t="s">
        <v>2569</v>
      </c>
      <c r="L1327" s="1192" t="s">
        <v>2374</v>
      </c>
      <c r="P1327" s="1192" t="s">
        <v>2582</v>
      </c>
      <c r="V1327" s="1192">
        <v>55</v>
      </c>
    </row>
    <row r="1328" spans="1:22" s="1192" customFormat="1" ht="14.4" x14ac:dyDescent="0.3">
      <c r="A1328" s="1192" t="s">
        <v>415</v>
      </c>
      <c r="E1328" s="2007" t="s">
        <v>2034</v>
      </c>
      <c r="F1328" s="2007"/>
      <c r="G1328" s="578" t="s">
        <v>20</v>
      </c>
      <c r="H1328" s="564">
        <v>4.0000000000000002E-4</v>
      </c>
      <c r="K1328" s="1192" t="s">
        <v>2569</v>
      </c>
      <c r="L1328" s="1192" t="s">
        <v>2374</v>
      </c>
      <c r="P1328" s="1192" t="s">
        <v>2582</v>
      </c>
      <c r="V1328" s="1192">
        <v>65</v>
      </c>
    </row>
    <row r="1329" spans="1:22" s="1192" customFormat="1" ht="14.4" x14ac:dyDescent="0.3">
      <c r="A1329" s="1192" t="s">
        <v>415</v>
      </c>
      <c r="E1329" s="2007" t="s">
        <v>428</v>
      </c>
      <c r="F1329" s="2007"/>
      <c r="G1329" s="578" t="s">
        <v>20</v>
      </c>
      <c r="H1329" s="564">
        <v>5.0000000000000001E-4</v>
      </c>
      <c r="K1329" s="1192" t="s">
        <v>2569</v>
      </c>
      <c r="L1329" s="1192" t="s">
        <v>2374</v>
      </c>
      <c r="P1329" s="1192" t="s">
        <v>2583</v>
      </c>
      <c r="V1329" s="1192">
        <v>57</v>
      </c>
    </row>
    <row r="1330" spans="1:22" s="1192" customFormat="1" ht="14.4" x14ac:dyDescent="0.3">
      <c r="A1330" s="1192" t="s">
        <v>415</v>
      </c>
      <c r="E1330" s="2007" t="s">
        <v>28</v>
      </c>
      <c r="F1330" s="2007"/>
      <c r="G1330" s="578" t="s">
        <v>19</v>
      </c>
      <c r="H1330" s="579">
        <v>0.25</v>
      </c>
      <c r="K1330" s="1192" t="s">
        <v>2569</v>
      </c>
      <c r="L1330" s="1192" t="s">
        <v>2374</v>
      </c>
      <c r="P1330" s="1192" t="s">
        <v>2584</v>
      </c>
      <c r="V1330" s="1192">
        <v>63</v>
      </c>
    </row>
    <row r="1331" spans="1:22" s="1192" customFormat="1" ht="17.399999999999999" x14ac:dyDescent="0.3">
      <c r="A1331" s="1192" t="s">
        <v>415</v>
      </c>
      <c r="E1331" s="2017" t="s">
        <v>593</v>
      </c>
      <c r="F1331" s="1987"/>
      <c r="G1331" s="1987"/>
      <c r="H1331" s="1987"/>
      <c r="K1331" s="1192" t="s">
        <v>2585</v>
      </c>
      <c r="V1331" s="1192">
        <v>31</v>
      </c>
    </row>
    <row r="1332" spans="1:22" s="1192" customFormat="1" ht="14.4" x14ac:dyDescent="0.3">
      <c r="A1332" s="1192" t="s">
        <v>415</v>
      </c>
      <c r="E1332" s="1743" t="s">
        <v>2652</v>
      </c>
      <c r="F1332" s="1743"/>
      <c r="G1332" s="1743"/>
      <c r="H1332" s="1743"/>
      <c r="K1332" s="1192" t="s">
        <v>2585</v>
      </c>
      <c r="V1332" s="1192">
        <v>285</v>
      </c>
    </row>
    <row r="1333" spans="1:22" s="1192" customFormat="1" ht="14.4" x14ac:dyDescent="0.3">
      <c r="A1333" s="1192" t="s">
        <v>415</v>
      </c>
      <c r="E1333" s="2018" t="s">
        <v>2389</v>
      </c>
      <c r="F1333" s="1988"/>
      <c r="G1333" s="1988"/>
      <c r="H1333" s="1988"/>
      <c r="K1333" s="1192" t="s">
        <v>2586</v>
      </c>
      <c r="V1333" s="1192">
        <v>11</v>
      </c>
    </row>
    <row r="1334" spans="1:22" s="1192" customFormat="1" ht="14.4" x14ac:dyDescent="0.3">
      <c r="A1334" s="1192" t="s">
        <v>415</v>
      </c>
      <c r="E1334" s="1743" t="s">
        <v>2391</v>
      </c>
      <c r="F1334" s="1743"/>
      <c r="G1334" s="1743"/>
      <c r="H1334" s="1743"/>
      <c r="K1334" s="1192" t="s">
        <v>2585</v>
      </c>
      <c r="V1334" s="1192">
        <v>280</v>
      </c>
    </row>
    <row r="1335" spans="1:22" s="1192" customFormat="1" ht="14.4" x14ac:dyDescent="0.3">
      <c r="A1335" s="1192" t="s">
        <v>415</v>
      </c>
      <c r="E1335" s="1743" t="s">
        <v>2392</v>
      </c>
      <c r="F1335" s="1743"/>
      <c r="G1335" s="1743"/>
      <c r="H1335" s="1743"/>
      <c r="K1335" s="1192" t="s">
        <v>2585</v>
      </c>
      <c r="V1335" s="1192">
        <v>411</v>
      </c>
    </row>
    <row r="1336" spans="1:22" s="1192" customFormat="1" ht="14.4" x14ac:dyDescent="0.3">
      <c r="A1336" s="1192" t="s">
        <v>415</v>
      </c>
      <c r="E1336" s="1743" t="s">
        <v>2445</v>
      </c>
      <c r="F1336" s="1743"/>
      <c r="G1336" s="1743"/>
      <c r="H1336" s="1743"/>
      <c r="K1336" s="1192" t="s">
        <v>2585</v>
      </c>
      <c r="V1336" s="1192">
        <v>211</v>
      </c>
    </row>
    <row r="1337" spans="1:22" s="1192" customFormat="1" ht="14.4" x14ac:dyDescent="0.3">
      <c r="A1337" s="1192" t="s">
        <v>415</v>
      </c>
      <c r="E1337" s="1743" t="s">
        <v>2986</v>
      </c>
      <c r="F1337" s="1743"/>
      <c r="G1337" s="1743"/>
      <c r="H1337" s="1743"/>
      <c r="K1337" s="1192" t="s">
        <v>2585</v>
      </c>
      <c r="V1337" s="1192">
        <v>246</v>
      </c>
    </row>
    <row r="1338" spans="1:22" s="1192" customFormat="1" ht="14.4" x14ac:dyDescent="0.3">
      <c r="A1338" s="1192" t="s">
        <v>415</v>
      </c>
      <c r="E1338" s="2018" t="s">
        <v>2394</v>
      </c>
      <c r="F1338" s="1988"/>
      <c r="G1338" s="1988"/>
      <c r="H1338" s="1988"/>
      <c r="K1338" s="1192" t="s">
        <v>2587</v>
      </c>
      <c r="V1338" s="1192">
        <v>46</v>
      </c>
    </row>
    <row r="1339" spans="1:22" s="1192" customFormat="1" ht="14.4" x14ac:dyDescent="0.3">
      <c r="A1339" s="1192" t="s">
        <v>415</v>
      </c>
      <c r="E1339" s="1741" t="s">
        <v>7</v>
      </c>
      <c r="F1339" s="1741"/>
      <c r="G1339" s="524" t="s">
        <v>19</v>
      </c>
      <c r="H1339" s="1218">
        <v>5.4</v>
      </c>
      <c r="K1339" s="1192" t="s">
        <v>2585</v>
      </c>
      <c r="L1339" s="1192" t="s">
        <v>430</v>
      </c>
      <c r="P1339" s="1192" t="s">
        <v>2588</v>
      </c>
      <c r="V1339" s="1192">
        <v>14</v>
      </c>
    </row>
    <row r="1340" spans="1:22" s="1192" customFormat="1" ht="17.399999999999999" x14ac:dyDescent="0.3">
      <c r="A1340" s="1192" t="s">
        <v>415</v>
      </c>
      <c r="E1340" s="1281" t="s">
        <v>81</v>
      </c>
      <c r="F1340" s="808"/>
      <c r="G1340" s="809"/>
      <c r="H1340" s="886"/>
      <c r="K1340" s="1192" t="s">
        <v>2796</v>
      </c>
      <c r="V1340" s="1192">
        <v>10</v>
      </c>
    </row>
    <row r="1341" spans="1:22" s="1192" customFormat="1" ht="14.4" x14ac:dyDescent="0.3">
      <c r="A1341" s="1192" t="s">
        <v>415</v>
      </c>
      <c r="E1341" s="2059" t="s">
        <v>2449</v>
      </c>
      <c r="F1341" s="1741"/>
      <c r="G1341" s="1282" t="s">
        <v>29</v>
      </c>
      <c r="H1341" s="564">
        <v>-0.6</v>
      </c>
      <c r="V1341" s="1192">
        <v>68</v>
      </c>
    </row>
    <row r="1342" spans="1:22" s="1192" customFormat="1" ht="14.4" x14ac:dyDescent="0.3">
      <c r="A1342" s="1192" t="s">
        <v>415</v>
      </c>
      <c r="E1342" s="2059" t="s">
        <v>2450</v>
      </c>
      <c r="F1342" s="1741"/>
      <c r="G1342" s="1282" t="s">
        <v>82</v>
      </c>
      <c r="H1342" s="565">
        <v>-1</v>
      </c>
      <c r="V1342" s="1192">
        <v>87</v>
      </c>
    </row>
    <row r="1343" spans="1:22" s="1192" customFormat="1" ht="17.399999999999999" x14ac:dyDescent="0.3">
      <c r="A1343" s="1192" t="s">
        <v>415</v>
      </c>
      <c r="E1343" s="1297" t="s">
        <v>83</v>
      </c>
      <c r="F1343" s="801"/>
      <c r="G1343" s="801"/>
      <c r="H1343" s="870"/>
      <c r="K1343" s="1192" t="s">
        <v>2797</v>
      </c>
      <c r="V1343" s="1192">
        <v>24</v>
      </c>
    </row>
    <row r="1344" spans="1:22" s="1192" customFormat="1" ht="14.4" x14ac:dyDescent="0.3">
      <c r="A1344" s="1192" t="s">
        <v>415</v>
      </c>
      <c r="E1344" s="2067" t="s">
        <v>2391</v>
      </c>
      <c r="F1344" s="2067"/>
      <c r="G1344" s="2067"/>
      <c r="H1344" s="2128"/>
      <c r="V1344" s="1192">
        <v>280</v>
      </c>
    </row>
    <row r="1345" spans="1:22" s="1192" customFormat="1" ht="14.4" x14ac:dyDescent="0.3">
      <c r="A1345" s="1192" t="s">
        <v>415</v>
      </c>
      <c r="E1345" s="2067" t="s">
        <v>2452</v>
      </c>
      <c r="F1345" s="2067"/>
      <c r="G1345" s="2067"/>
      <c r="H1345" s="2128"/>
      <c r="V1345" s="1192">
        <v>353</v>
      </c>
    </row>
    <row r="1346" spans="1:22" s="1192" customFormat="1" ht="14.4" x14ac:dyDescent="0.3">
      <c r="A1346" s="1192" t="s">
        <v>415</v>
      </c>
      <c r="E1346" s="1743" t="s">
        <v>2986</v>
      </c>
      <c r="F1346" s="1743"/>
      <c r="G1346" s="1743"/>
      <c r="H1346" s="1743"/>
      <c r="V1346" s="1192">
        <v>246</v>
      </c>
    </row>
    <row r="1347" spans="1:22" s="1192" customFormat="1" ht="14.4" x14ac:dyDescent="0.3">
      <c r="A1347" s="1192" t="s">
        <v>415</v>
      </c>
      <c r="E1347" s="1298" t="s">
        <v>2453</v>
      </c>
      <c r="F1347" s="567"/>
      <c r="G1347" s="566"/>
      <c r="H1347" s="871"/>
      <c r="K1347" s="1192" t="s">
        <v>2798</v>
      </c>
      <c r="V1347" s="1192">
        <v>23</v>
      </c>
    </row>
    <row r="1348" spans="1:22" s="1192" customFormat="1" ht="14.4" x14ac:dyDescent="0.3">
      <c r="A1348" s="1192" t="s">
        <v>415</v>
      </c>
      <c r="E1348" s="2031" t="s">
        <v>2455</v>
      </c>
      <c r="F1348" s="2031"/>
      <c r="G1348" s="1282" t="s">
        <v>19</v>
      </c>
      <c r="H1348" s="565">
        <v>15</v>
      </c>
      <c r="V1348" s="1192">
        <v>39</v>
      </c>
    </row>
    <row r="1349" spans="1:22" s="1192" customFormat="1" ht="14.4" x14ac:dyDescent="0.3">
      <c r="A1349" s="1192" t="s">
        <v>415</v>
      </c>
      <c r="E1349" s="2031" t="s">
        <v>2456</v>
      </c>
      <c r="F1349" s="2031"/>
      <c r="G1349" s="1282" t="s">
        <v>19</v>
      </c>
      <c r="H1349" s="565">
        <v>15</v>
      </c>
      <c r="V1349" s="1192">
        <v>20</v>
      </c>
    </row>
    <row r="1350" spans="1:22" s="1192" customFormat="1" ht="14.4" x14ac:dyDescent="0.3">
      <c r="A1350" s="1192" t="s">
        <v>415</v>
      </c>
      <c r="E1350" s="2031" t="s">
        <v>2457</v>
      </c>
      <c r="F1350" s="2031"/>
      <c r="G1350" s="1282" t="s">
        <v>19</v>
      </c>
      <c r="H1350" s="565">
        <v>15</v>
      </c>
      <c r="V1350" s="1192">
        <v>26</v>
      </c>
    </row>
    <row r="1351" spans="1:22" s="1192" customFormat="1" ht="14.4" x14ac:dyDescent="0.3">
      <c r="A1351" s="1192" t="s">
        <v>415</v>
      </c>
      <c r="E1351" s="2031" t="s">
        <v>2458</v>
      </c>
      <c r="F1351" s="2031"/>
      <c r="G1351" s="1282" t="s">
        <v>19</v>
      </c>
      <c r="H1351" s="565">
        <v>15</v>
      </c>
      <c r="V1351" s="1192">
        <v>39</v>
      </c>
    </row>
    <row r="1352" spans="1:22" s="1192" customFormat="1" ht="14.4" x14ac:dyDescent="0.3">
      <c r="A1352" s="1192" t="s">
        <v>415</v>
      </c>
      <c r="E1352" s="2031" t="s">
        <v>2459</v>
      </c>
      <c r="F1352" s="2031"/>
      <c r="G1352" s="1282" t="s">
        <v>19</v>
      </c>
      <c r="H1352" s="565">
        <v>15</v>
      </c>
      <c r="V1352" s="1192">
        <v>37</v>
      </c>
    </row>
    <row r="1353" spans="1:22" s="1192" customFormat="1" ht="14.4" x14ac:dyDescent="0.3">
      <c r="A1353" s="1192" t="s">
        <v>415</v>
      </c>
      <c r="E1353" s="2031" t="s">
        <v>3663</v>
      </c>
      <c r="F1353" s="2031"/>
      <c r="G1353" s="1282" t="s">
        <v>19</v>
      </c>
      <c r="H1353" s="565">
        <v>15</v>
      </c>
      <c r="V1353" s="1192">
        <v>15</v>
      </c>
    </row>
    <row r="1354" spans="1:22" s="1192" customFormat="1" ht="14.4" x14ac:dyDescent="0.3">
      <c r="A1354" s="1192" t="s">
        <v>415</v>
      </c>
      <c r="E1354" s="2031" t="s">
        <v>2461</v>
      </c>
      <c r="F1354" s="2031"/>
      <c r="G1354" s="1282" t="s">
        <v>19</v>
      </c>
      <c r="H1354" s="565">
        <v>15</v>
      </c>
      <c r="V1354" s="1192">
        <v>17</v>
      </c>
    </row>
    <row r="1355" spans="1:22" s="1192" customFormat="1" ht="14.4" x14ac:dyDescent="0.3">
      <c r="A1355" s="1192" t="s">
        <v>415</v>
      </c>
      <c r="E1355" s="2031" t="s">
        <v>2462</v>
      </c>
      <c r="F1355" s="2031"/>
      <c r="G1355" s="1282" t="s">
        <v>19</v>
      </c>
      <c r="H1355" s="565">
        <v>15</v>
      </c>
      <c r="V1355" s="1192">
        <v>19</v>
      </c>
    </row>
    <row r="1356" spans="1:22" s="1192" customFormat="1" ht="14.4" x14ac:dyDescent="0.3">
      <c r="A1356" s="1192" t="s">
        <v>415</v>
      </c>
      <c r="E1356" s="2031" t="s">
        <v>2463</v>
      </c>
      <c r="F1356" s="2031"/>
      <c r="G1356" s="1282" t="s">
        <v>19</v>
      </c>
      <c r="H1356" s="565">
        <v>15</v>
      </c>
      <c r="V1356" s="1192">
        <v>15</v>
      </c>
    </row>
    <row r="1357" spans="1:22" s="1192" customFormat="1" ht="14.4" x14ac:dyDescent="0.3">
      <c r="A1357" s="1192" t="s">
        <v>415</v>
      </c>
      <c r="E1357" s="2031" t="s">
        <v>2464</v>
      </c>
      <c r="F1357" s="2031"/>
      <c r="G1357" s="1282" t="s">
        <v>19</v>
      </c>
      <c r="H1357" s="565">
        <v>15</v>
      </c>
      <c r="V1357" s="1192">
        <v>56</v>
      </c>
    </row>
    <row r="1358" spans="1:22" s="1192" customFormat="1" ht="14.4" x14ac:dyDescent="0.3">
      <c r="A1358" s="1192" t="s">
        <v>415</v>
      </c>
      <c r="E1358" s="2031" t="s">
        <v>84</v>
      </c>
      <c r="F1358" s="2031"/>
      <c r="G1358" s="1282" t="s">
        <v>19</v>
      </c>
      <c r="H1358" s="565">
        <v>30</v>
      </c>
      <c r="V1358" s="1192">
        <v>89</v>
      </c>
    </row>
    <row r="1359" spans="1:22" s="1192" customFormat="1" ht="14.4" x14ac:dyDescent="0.3">
      <c r="A1359" s="1192" t="s">
        <v>415</v>
      </c>
      <c r="E1359" s="2031" t="s">
        <v>119</v>
      </c>
      <c r="F1359" s="2031"/>
      <c r="G1359" s="1282" t="s">
        <v>19</v>
      </c>
      <c r="H1359" s="565">
        <v>15</v>
      </c>
      <c r="V1359" s="1192">
        <v>35</v>
      </c>
    </row>
    <row r="1360" spans="1:22" s="1192" customFormat="1" ht="14.4" x14ac:dyDescent="0.3">
      <c r="A1360" s="1192" t="s">
        <v>415</v>
      </c>
      <c r="E1360" s="2031" t="s">
        <v>2466</v>
      </c>
      <c r="F1360" s="2031"/>
      <c r="G1360" s="1282" t="s">
        <v>19</v>
      </c>
      <c r="H1360" s="565">
        <v>15</v>
      </c>
      <c r="V1360" s="1192">
        <v>24</v>
      </c>
    </row>
    <row r="1361" spans="1:22" s="1192" customFormat="1" ht="14.4" x14ac:dyDescent="0.3">
      <c r="A1361" s="1192" t="s">
        <v>415</v>
      </c>
      <c r="E1361" s="2031" t="s">
        <v>2467</v>
      </c>
      <c r="F1361" s="2031"/>
      <c r="G1361" s="1282" t="s">
        <v>19</v>
      </c>
      <c r="H1361" s="565">
        <v>15</v>
      </c>
      <c r="V1361" s="1192">
        <v>19</v>
      </c>
    </row>
    <row r="1362" spans="1:22" s="1192" customFormat="1" ht="14.4" x14ac:dyDescent="0.3">
      <c r="A1362" s="1192" t="s">
        <v>415</v>
      </c>
      <c r="E1362" s="2031" t="s">
        <v>88</v>
      </c>
      <c r="F1362" s="2031"/>
      <c r="G1362" s="1282" t="s">
        <v>19</v>
      </c>
      <c r="H1362" s="565">
        <v>30</v>
      </c>
      <c r="V1362" s="1192">
        <v>74</v>
      </c>
    </row>
    <row r="1363" spans="1:22" s="1192" customFormat="1" ht="14.4" x14ac:dyDescent="0.3">
      <c r="A1363" s="1192" t="s">
        <v>415</v>
      </c>
      <c r="E1363" s="1298" t="s">
        <v>2468</v>
      </c>
      <c r="F1363" s="567"/>
      <c r="G1363" s="566"/>
      <c r="H1363" s="871"/>
      <c r="K1363" s="1192" t="s">
        <v>2799</v>
      </c>
      <c r="V1363" s="1192">
        <v>22</v>
      </c>
    </row>
    <row r="1364" spans="1:22" s="1192" customFormat="1" ht="14.4" x14ac:dyDescent="0.3">
      <c r="A1364" s="1192" t="s">
        <v>415</v>
      </c>
      <c r="E1364" s="1942" t="s">
        <v>5940</v>
      </c>
      <c r="F1364" s="1942"/>
      <c r="G1364" s="887" t="s">
        <v>82</v>
      </c>
      <c r="H1364" s="565">
        <v>1.5</v>
      </c>
      <c r="V1364" s="1192">
        <v>99</v>
      </c>
    </row>
    <row r="1365" spans="1:22" s="1192" customFormat="1" ht="14.4" x14ac:dyDescent="0.3">
      <c r="A1365" s="1192" t="s">
        <v>415</v>
      </c>
      <c r="E1365" s="2031" t="s">
        <v>6106</v>
      </c>
      <c r="F1365" s="2031"/>
      <c r="G1365" s="1282" t="s">
        <v>19</v>
      </c>
      <c r="H1365" s="565">
        <v>65</v>
      </c>
      <c r="V1365" s="1192">
        <v>44</v>
      </c>
    </row>
    <row r="1366" spans="1:22" s="1192" customFormat="1" ht="14.4" x14ac:dyDescent="0.3">
      <c r="A1366" s="1192" t="s">
        <v>415</v>
      </c>
      <c r="E1366" s="2031" t="s">
        <v>6107</v>
      </c>
      <c r="F1366" s="2031"/>
      <c r="G1366" s="1282" t="s">
        <v>19</v>
      </c>
      <c r="H1366" s="565">
        <v>185</v>
      </c>
      <c r="V1366" s="1192">
        <v>43</v>
      </c>
    </row>
    <row r="1367" spans="1:22" s="1192" customFormat="1" ht="14.4" x14ac:dyDescent="0.3">
      <c r="A1367" s="1192" t="s">
        <v>415</v>
      </c>
      <c r="E1367" s="2031" t="s">
        <v>6108</v>
      </c>
      <c r="F1367" s="2031"/>
      <c r="G1367" s="1282" t="s">
        <v>19</v>
      </c>
      <c r="H1367" s="565">
        <v>185</v>
      </c>
      <c r="V1367" s="1192">
        <v>43</v>
      </c>
    </row>
    <row r="1368" spans="1:22" s="1192" customFormat="1" ht="14.4" x14ac:dyDescent="0.3">
      <c r="A1368" s="1192" t="s">
        <v>415</v>
      </c>
      <c r="E1368" s="2031" t="s">
        <v>6115</v>
      </c>
      <c r="F1368" s="2031"/>
      <c r="G1368" s="1282" t="s">
        <v>19</v>
      </c>
      <c r="H1368" s="565">
        <v>415</v>
      </c>
      <c r="V1368" s="1192">
        <v>42</v>
      </c>
    </row>
    <row r="1369" spans="1:22" s="1192" customFormat="1" ht="14.4" x14ac:dyDescent="0.3">
      <c r="A1369" s="1192" t="s">
        <v>415</v>
      </c>
      <c r="E1369" s="1298" t="s">
        <v>2474</v>
      </c>
      <c r="F1369" s="568"/>
      <c r="G1369" s="804"/>
      <c r="H1369" s="873"/>
      <c r="V1369" s="1192">
        <v>5</v>
      </c>
    </row>
    <row r="1370" spans="1:22" s="1192" customFormat="1" ht="14.4" x14ac:dyDescent="0.3">
      <c r="A1370" s="1192" t="s">
        <v>415</v>
      </c>
      <c r="E1370" s="2031" t="s">
        <v>90</v>
      </c>
      <c r="F1370" s="2031"/>
      <c r="G1370" s="1282" t="s">
        <v>19</v>
      </c>
      <c r="H1370" s="565">
        <v>30</v>
      </c>
      <c r="V1370" s="1192">
        <v>19</v>
      </c>
    </row>
    <row r="1371" spans="1:22" s="1192" customFormat="1" ht="14.4" x14ac:dyDescent="0.3">
      <c r="A1371" s="1192" t="s">
        <v>415</v>
      </c>
      <c r="E1371" s="2031" t="s">
        <v>2477</v>
      </c>
      <c r="F1371" s="2031"/>
      <c r="G1371" s="1282" t="s">
        <v>19</v>
      </c>
      <c r="H1371" s="565">
        <v>30</v>
      </c>
      <c r="V1371" s="1192">
        <v>39</v>
      </c>
    </row>
    <row r="1372" spans="1:22" s="1192" customFormat="1" ht="14.4" x14ac:dyDescent="0.3">
      <c r="A1372" s="1192" t="s">
        <v>415</v>
      </c>
      <c r="E1372" s="2031" t="s">
        <v>2478</v>
      </c>
      <c r="F1372" s="2031"/>
      <c r="G1372" s="1282" t="s">
        <v>19</v>
      </c>
      <c r="H1372" s="565">
        <v>165</v>
      </c>
      <c r="V1372" s="1192">
        <v>34</v>
      </c>
    </row>
    <row r="1373" spans="1:22" s="1192" customFormat="1" ht="14.4" x14ac:dyDescent="0.3">
      <c r="A1373" s="1192" t="s">
        <v>415</v>
      </c>
      <c r="E1373" s="2031" t="s">
        <v>2479</v>
      </c>
      <c r="F1373" s="2031"/>
      <c r="G1373" s="1282" t="s">
        <v>19</v>
      </c>
      <c r="H1373" s="565">
        <v>500</v>
      </c>
      <c r="V1373" s="1192">
        <v>63</v>
      </c>
    </row>
    <row r="1374" spans="1:22" s="1192" customFormat="1" ht="14.4" x14ac:dyDescent="0.3">
      <c r="A1374" s="1192" t="s">
        <v>415</v>
      </c>
      <c r="E1374" s="2031" t="s">
        <v>2480</v>
      </c>
      <c r="F1374" s="2031"/>
      <c r="G1374" s="1282" t="s">
        <v>19</v>
      </c>
      <c r="H1374" s="565">
        <v>300</v>
      </c>
      <c r="V1374" s="1192">
        <v>65</v>
      </c>
    </row>
    <row r="1375" spans="1:22" s="1192" customFormat="1" ht="14.4" x14ac:dyDescent="0.3">
      <c r="A1375" s="1192" t="s">
        <v>415</v>
      </c>
      <c r="E1375" s="2031" t="s">
        <v>2481</v>
      </c>
      <c r="F1375" s="2031"/>
      <c r="G1375" s="1282" t="s">
        <v>19</v>
      </c>
      <c r="H1375" s="565">
        <v>1000</v>
      </c>
      <c r="V1375" s="1192">
        <v>64</v>
      </c>
    </row>
    <row r="1376" spans="1:22" s="1192" customFormat="1" ht="14.4" x14ac:dyDescent="0.3">
      <c r="A1376" s="1192" t="s">
        <v>415</v>
      </c>
      <c r="E1376" s="2031" t="s">
        <v>2800</v>
      </c>
      <c r="F1376" s="2031"/>
      <c r="G1376" s="1282" t="s">
        <v>19</v>
      </c>
      <c r="H1376" s="565">
        <v>44.5</v>
      </c>
      <c r="V1376" s="1192">
        <v>454</v>
      </c>
    </row>
    <row r="1377" spans="1:22" s="1192" customFormat="1" ht="17.399999999999999" x14ac:dyDescent="0.3">
      <c r="A1377" s="1192" t="s">
        <v>415</v>
      </c>
      <c r="E1377" s="1297" t="s">
        <v>73</v>
      </c>
      <c r="F1377" s="806"/>
      <c r="G1377" s="801"/>
      <c r="H1377" s="870"/>
      <c r="K1377" s="1192" t="s">
        <v>2801</v>
      </c>
      <c r="V1377" s="1192">
        <v>38</v>
      </c>
    </row>
    <row r="1378" spans="1:22" s="1192" customFormat="1" ht="14.4" x14ac:dyDescent="0.3">
      <c r="A1378" s="1192" t="s">
        <v>415</v>
      </c>
      <c r="E1378" s="2067" t="s">
        <v>2391</v>
      </c>
      <c r="F1378" s="2067"/>
      <c r="G1378" s="2067"/>
      <c r="H1378" s="2128"/>
      <c r="V1378" s="1192">
        <v>280</v>
      </c>
    </row>
    <row r="1379" spans="1:22" s="1192" customFormat="1" ht="14.4" x14ac:dyDescent="0.3">
      <c r="A1379" s="1192" t="s">
        <v>415</v>
      </c>
      <c r="E1379" s="2067" t="s">
        <v>2392</v>
      </c>
      <c r="F1379" s="2067"/>
      <c r="G1379" s="2067"/>
      <c r="H1379" s="2128"/>
      <c r="V1379" s="1192">
        <v>411</v>
      </c>
    </row>
    <row r="1380" spans="1:22" s="1192" customFormat="1" ht="14.4" x14ac:dyDescent="0.3">
      <c r="A1380" s="1192" t="s">
        <v>415</v>
      </c>
      <c r="E1380" s="2067" t="s">
        <v>2445</v>
      </c>
      <c r="F1380" s="2067"/>
      <c r="G1380" s="2067"/>
      <c r="H1380" s="2128"/>
      <c r="V1380" s="1192">
        <v>211</v>
      </c>
    </row>
    <row r="1381" spans="1:22" s="1192" customFormat="1" ht="14.4" x14ac:dyDescent="0.3">
      <c r="A1381" s="1192" t="s">
        <v>415</v>
      </c>
      <c r="E1381" s="1743" t="s">
        <v>2986</v>
      </c>
      <c r="F1381" s="1743"/>
      <c r="G1381" s="1743"/>
      <c r="H1381" s="1743"/>
      <c r="V1381" s="1192">
        <v>246</v>
      </c>
    </row>
    <row r="1382" spans="1:22" s="1192" customFormat="1" ht="14.4" x14ac:dyDescent="0.3">
      <c r="A1382" s="1192" t="s">
        <v>415</v>
      </c>
      <c r="E1382" s="2067" t="s">
        <v>2595</v>
      </c>
      <c r="F1382" s="2067"/>
      <c r="G1382" s="2067"/>
      <c r="H1382" s="2128"/>
      <c r="V1382" s="1192">
        <v>142</v>
      </c>
    </row>
    <row r="1383" spans="1:22" s="1192" customFormat="1" ht="14.4" x14ac:dyDescent="0.3">
      <c r="A1383" s="1192" t="s">
        <v>415</v>
      </c>
      <c r="E1383" s="2007" t="s">
        <v>2485</v>
      </c>
      <c r="F1383" s="2007"/>
      <c r="G1383" s="588" t="s">
        <v>19</v>
      </c>
      <c r="H1383" s="589">
        <v>102</v>
      </c>
      <c r="V1383" s="1192">
        <v>106</v>
      </c>
    </row>
    <row r="1384" spans="1:22" s="1192" customFormat="1" ht="14.4" x14ac:dyDescent="0.3">
      <c r="A1384" s="1192" t="s">
        <v>415</v>
      </c>
      <c r="E1384" s="2007" t="s">
        <v>3919</v>
      </c>
      <c r="F1384" s="2007"/>
      <c r="G1384" s="588" t="s">
        <v>19</v>
      </c>
      <c r="H1384" s="589">
        <v>40.799999999999997</v>
      </c>
      <c r="V1384" s="1192">
        <v>34</v>
      </c>
    </row>
    <row r="1385" spans="1:22" s="1192" customFormat="1" ht="14.4" x14ac:dyDescent="0.3">
      <c r="A1385" s="1192" t="s">
        <v>415</v>
      </c>
      <c r="E1385" s="2007" t="s">
        <v>3920</v>
      </c>
      <c r="F1385" s="2007"/>
      <c r="G1385" s="588" t="s">
        <v>2488</v>
      </c>
      <c r="H1385" s="589">
        <v>1.02</v>
      </c>
      <c r="V1385" s="1192">
        <v>51</v>
      </c>
    </row>
    <row r="1386" spans="1:22" s="1192" customFormat="1" ht="14.4" x14ac:dyDescent="0.3">
      <c r="A1386" s="1192" t="s">
        <v>415</v>
      </c>
      <c r="E1386" s="2007" t="s">
        <v>2489</v>
      </c>
      <c r="F1386" s="2007"/>
      <c r="G1386" s="588" t="s">
        <v>2488</v>
      </c>
      <c r="H1386" s="589">
        <v>0.61</v>
      </c>
      <c r="V1386" s="1192">
        <v>75</v>
      </c>
    </row>
    <row r="1387" spans="1:22" s="1192" customFormat="1" ht="14.4" x14ac:dyDescent="0.3">
      <c r="A1387" s="1192" t="s">
        <v>415</v>
      </c>
      <c r="E1387" s="2007" t="s">
        <v>2490</v>
      </c>
      <c r="F1387" s="2007"/>
      <c r="G1387" s="588" t="s">
        <v>2488</v>
      </c>
      <c r="H1387" s="589">
        <v>-0.61</v>
      </c>
      <c r="V1387" s="1192">
        <v>72</v>
      </c>
    </row>
    <row r="1388" spans="1:22" s="1192" customFormat="1" ht="14.4" x14ac:dyDescent="0.3">
      <c r="A1388" s="1192" t="s">
        <v>415</v>
      </c>
      <c r="E1388" s="2007" t="s">
        <v>2491</v>
      </c>
      <c r="F1388" s="2007"/>
      <c r="G1388" s="810"/>
      <c r="H1388" s="888"/>
      <c r="V1388" s="1192">
        <v>35</v>
      </c>
    </row>
    <row r="1389" spans="1:22" s="1192" customFormat="1" ht="14.4" x14ac:dyDescent="0.3">
      <c r="A1389" s="1192" t="s">
        <v>415</v>
      </c>
      <c r="E1389" s="2119" t="s">
        <v>2492</v>
      </c>
      <c r="F1389" s="2119"/>
      <c r="G1389" s="588" t="s">
        <v>19</v>
      </c>
      <c r="H1389" s="589">
        <v>0.51</v>
      </c>
      <c r="V1389" s="1192">
        <v>57</v>
      </c>
    </row>
    <row r="1390" spans="1:22" s="1192" customFormat="1" ht="14.4" x14ac:dyDescent="0.3">
      <c r="A1390" s="1192" t="s">
        <v>415</v>
      </c>
      <c r="E1390" s="2119" t="s">
        <v>2493</v>
      </c>
      <c r="F1390" s="2119"/>
      <c r="G1390" s="588" t="s">
        <v>19</v>
      </c>
      <c r="H1390" s="589">
        <v>1.02</v>
      </c>
      <c r="V1390" s="1192">
        <v>60</v>
      </c>
    </row>
    <row r="1391" spans="1:22" s="1192" customFormat="1" ht="14.4" x14ac:dyDescent="0.3">
      <c r="A1391" s="1192" t="s">
        <v>415</v>
      </c>
      <c r="E1391" s="2007" t="s">
        <v>2494</v>
      </c>
      <c r="F1391" s="2007"/>
      <c r="G1391" s="810"/>
      <c r="H1391" s="888"/>
      <c r="V1391" s="1192">
        <v>91</v>
      </c>
    </row>
    <row r="1392" spans="1:22" s="1192" customFormat="1" ht="14.4" x14ac:dyDescent="0.3">
      <c r="A1392" s="1192" t="s">
        <v>415</v>
      </c>
      <c r="E1392" s="2007" t="s">
        <v>2495</v>
      </c>
      <c r="F1392" s="2007"/>
      <c r="G1392" s="810"/>
      <c r="H1392" s="888"/>
      <c r="V1392" s="1192">
        <v>96</v>
      </c>
    </row>
    <row r="1393" spans="1:22" s="1192" customFormat="1" ht="14.4" x14ac:dyDescent="0.3">
      <c r="A1393" s="1192" t="s">
        <v>415</v>
      </c>
      <c r="E1393" s="2007" t="s">
        <v>2496</v>
      </c>
      <c r="F1393" s="2007"/>
      <c r="G1393" s="810"/>
      <c r="H1393" s="888"/>
      <c r="V1393" s="1192">
        <v>78</v>
      </c>
    </row>
    <row r="1394" spans="1:22" s="1192" customFormat="1" ht="14.4" x14ac:dyDescent="0.3">
      <c r="A1394" s="1192" t="s">
        <v>415</v>
      </c>
      <c r="E1394" s="2119" t="s">
        <v>2497</v>
      </c>
      <c r="F1394" s="2119"/>
      <c r="G1394" s="588" t="s">
        <v>19</v>
      </c>
      <c r="H1394" s="889" t="s">
        <v>2498</v>
      </c>
      <c r="V1394" s="1192">
        <v>18</v>
      </c>
    </row>
    <row r="1395" spans="1:22" s="1192" customFormat="1" ht="14.4" x14ac:dyDescent="0.3">
      <c r="A1395" s="1192" t="s">
        <v>415</v>
      </c>
      <c r="E1395" s="2119" t="s">
        <v>2499</v>
      </c>
      <c r="F1395" s="2119"/>
      <c r="G1395" s="588" t="s">
        <v>19</v>
      </c>
      <c r="H1395" s="589">
        <v>4.08</v>
      </c>
      <c r="V1395" s="1192">
        <v>69</v>
      </c>
    </row>
    <row r="1396" spans="1:22" s="1192" customFormat="1" ht="14.4" x14ac:dyDescent="0.3">
      <c r="A1396" s="1192" t="s">
        <v>415</v>
      </c>
      <c r="E1396" s="2093" t="s">
        <v>4608</v>
      </c>
      <c r="F1396" s="2093"/>
      <c r="G1396" s="1255" t="s">
        <v>19</v>
      </c>
      <c r="H1396" s="595">
        <v>2.04</v>
      </c>
      <c r="V1396" s="1192">
        <v>199</v>
      </c>
    </row>
    <row r="1397" spans="1:22" s="1192" customFormat="1" ht="17.399999999999999" x14ac:dyDescent="0.3">
      <c r="A1397" s="1192" t="s">
        <v>415</v>
      </c>
      <c r="E1397" s="1296" t="s">
        <v>143</v>
      </c>
      <c r="F1397" s="801"/>
      <c r="G1397" s="801"/>
      <c r="H1397" s="870"/>
      <c r="K1397" s="1192" t="s">
        <v>2802</v>
      </c>
      <c r="V1397" s="1192">
        <v>12</v>
      </c>
    </row>
    <row r="1398" spans="1:22" s="1192" customFormat="1" ht="14.4" x14ac:dyDescent="0.3">
      <c r="A1398" s="1192" t="s">
        <v>415</v>
      </c>
      <c r="E1398" s="2059" t="s">
        <v>2501</v>
      </c>
      <c r="F1398" s="2059"/>
      <c r="G1398" s="2059"/>
      <c r="H1398" s="2120"/>
      <c r="V1398" s="1192">
        <v>203</v>
      </c>
    </row>
    <row r="1399" spans="1:22" s="1192" customFormat="1" ht="14.4" x14ac:dyDescent="0.3">
      <c r="A1399" s="1192" t="s">
        <v>415</v>
      </c>
      <c r="E1399" s="2007" t="s">
        <v>2599</v>
      </c>
      <c r="F1399" s="2007"/>
      <c r="G1399" s="572"/>
      <c r="H1399" s="890">
        <v>1.0529999999999999</v>
      </c>
      <c r="V1399" s="1192">
        <v>57</v>
      </c>
    </row>
    <row r="1400" spans="1:22" s="1192" customFormat="1" ht="14.4" x14ac:dyDescent="0.3">
      <c r="A1400" s="1192" t="s">
        <v>415</v>
      </c>
      <c r="E1400" s="2007" t="s">
        <v>2601</v>
      </c>
      <c r="F1400" s="2007"/>
      <c r="G1400" s="572"/>
      <c r="H1400" s="891">
        <v>1.0425</v>
      </c>
      <c r="J1400" s="1192" t="s">
        <v>2803</v>
      </c>
      <c r="V1400" s="1192">
        <v>55</v>
      </c>
    </row>
    <row r="1401" spans="1:22" s="1192" customFormat="1" ht="22.8" x14ac:dyDescent="0.3">
      <c r="A1401" s="1192" t="s">
        <v>171</v>
      </c>
      <c r="C1401" s="1192" t="s">
        <v>2378</v>
      </c>
      <c r="E1401" s="1752" t="s">
        <v>171</v>
      </c>
      <c r="F1401" s="1752"/>
      <c r="G1401" s="1752"/>
      <c r="H1401" s="1752"/>
      <c r="I1401" s="1192" t="s">
        <v>603</v>
      </c>
      <c r="J1401" s="1192" t="s">
        <v>4403</v>
      </c>
      <c r="K1401" s="1192" t="s">
        <v>171</v>
      </c>
      <c r="M1401" s="1192">
        <v>8</v>
      </c>
      <c r="V1401" s="1192">
        <v>28</v>
      </c>
    </row>
    <row r="1402" spans="1:22" s="1192" customFormat="1" ht="17.399999999999999" x14ac:dyDescent="0.3">
      <c r="A1402" s="1192" t="s">
        <v>171</v>
      </c>
      <c r="C1402" s="1192" t="s">
        <v>2380</v>
      </c>
      <c r="E1402" s="1753" t="s">
        <v>2381</v>
      </c>
      <c r="F1402" s="1753"/>
      <c r="G1402" s="1753"/>
      <c r="H1402" s="1753"/>
      <c r="V1402" s="1192">
        <v>27</v>
      </c>
    </row>
    <row r="1403" spans="1:22" s="1192" customFormat="1" ht="15.6" x14ac:dyDescent="0.3">
      <c r="A1403" s="1192" t="s">
        <v>171</v>
      </c>
      <c r="C1403" s="1192" t="s">
        <v>2382</v>
      </c>
      <c r="E1403" s="1754" t="s">
        <v>5937</v>
      </c>
      <c r="F1403" s="1754"/>
      <c r="G1403" s="1754"/>
      <c r="H1403" s="1754"/>
      <c r="S1403" s="1192">
        <v>43831</v>
      </c>
      <c r="V1403" s="1192">
        <v>49</v>
      </c>
    </row>
    <row r="1404" spans="1:22" s="1192" customFormat="1" ht="14.4" x14ac:dyDescent="0.3">
      <c r="A1404" s="1192" t="s">
        <v>171</v>
      </c>
      <c r="C1404" s="1192" t="s">
        <v>2383</v>
      </c>
      <c r="E1404" s="1755" t="s">
        <v>2384</v>
      </c>
      <c r="F1404" s="1755"/>
      <c r="G1404" s="1755"/>
      <c r="H1404" s="1755"/>
      <c r="V1404" s="1192">
        <v>52</v>
      </c>
    </row>
    <row r="1405" spans="1:22" s="1192" customFormat="1" ht="14.4" x14ac:dyDescent="0.3">
      <c r="A1405" s="1192" t="s">
        <v>171</v>
      </c>
      <c r="E1405" s="1755" t="s">
        <v>2385</v>
      </c>
      <c r="F1405" s="1755"/>
      <c r="G1405" s="1755"/>
      <c r="H1405" s="1755"/>
      <c r="V1405" s="1192">
        <v>53</v>
      </c>
    </row>
    <row r="1406" spans="1:22" s="1192" customFormat="1" ht="14.4" x14ac:dyDescent="0.3">
      <c r="A1406" s="1192" t="s">
        <v>171</v>
      </c>
      <c r="E1406" s="1772" t="s">
        <v>6116</v>
      </c>
      <c r="F1406" s="1772"/>
      <c r="G1406" s="1772"/>
      <c r="H1406" s="1772"/>
      <c r="K1406" s="1192" t="s">
        <v>6116</v>
      </c>
      <c r="V1406" s="1192">
        <v>12</v>
      </c>
    </row>
    <row r="1407" spans="1:22" s="1192" customFormat="1" ht="14.4" x14ac:dyDescent="0.3">
      <c r="A1407" s="1192" t="s">
        <v>171</v>
      </c>
      <c r="E1407" s="1746" t="s">
        <v>427</v>
      </c>
      <c r="F1407" s="1743"/>
      <c r="G1407" s="1743"/>
      <c r="H1407" s="1743"/>
      <c r="K1407" s="1192" t="s">
        <v>2506</v>
      </c>
      <c r="V1407" s="1192">
        <v>34</v>
      </c>
    </row>
    <row r="1408" spans="1:22" s="1192" customFormat="1" ht="14.4" x14ac:dyDescent="0.3">
      <c r="A1408" s="1192" t="s">
        <v>171</v>
      </c>
      <c r="E1408" s="1743" t="s">
        <v>4404</v>
      </c>
      <c r="F1408" s="1743"/>
      <c r="G1408" s="1743"/>
      <c r="H1408" s="1743"/>
      <c r="K1408" s="1192" t="s">
        <v>2506</v>
      </c>
      <c r="V1408" s="1192">
        <v>260</v>
      </c>
    </row>
    <row r="1409" spans="1:22" s="1192" customFormat="1" ht="14.4" x14ac:dyDescent="0.3">
      <c r="A1409" s="1192" t="s">
        <v>171</v>
      </c>
      <c r="E1409" s="1750" t="s">
        <v>2389</v>
      </c>
      <c r="F1409" s="1743"/>
      <c r="G1409" s="1743"/>
      <c r="H1409" s="1743"/>
      <c r="K1409" s="1192" t="s">
        <v>2390</v>
      </c>
      <c r="V1409" s="1192">
        <v>11</v>
      </c>
    </row>
    <row r="1410" spans="1:22" s="1192" customFormat="1" ht="14.4" x14ac:dyDescent="0.3">
      <c r="A1410" s="1192" t="s">
        <v>171</v>
      </c>
      <c r="E1410" s="1743" t="s">
        <v>2391</v>
      </c>
      <c r="F1410" s="1743"/>
      <c r="G1410" s="1743"/>
      <c r="H1410" s="1743"/>
      <c r="K1410" s="1192" t="s">
        <v>2506</v>
      </c>
      <c r="V1410" s="1192">
        <v>280</v>
      </c>
    </row>
    <row r="1411" spans="1:22" s="1192" customFormat="1" ht="14.4" x14ac:dyDescent="0.3">
      <c r="A1411" s="1192" t="s">
        <v>171</v>
      </c>
      <c r="E1411" s="1743" t="s">
        <v>2392</v>
      </c>
      <c r="F1411" s="1743"/>
      <c r="G1411" s="1743"/>
      <c r="H1411" s="1743"/>
      <c r="K1411" s="1192" t="s">
        <v>2506</v>
      </c>
      <c r="V1411" s="1192">
        <v>411</v>
      </c>
    </row>
    <row r="1412" spans="1:22" s="1192" customFormat="1" ht="14.4" x14ac:dyDescent="0.3">
      <c r="A1412" s="1192" t="s">
        <v>171</v>
      </c>
      <c r="E1412" s="1743" t="s">
        <v>2508</v>
      </c>
      <c r="F1412" s="1743"/>
      <c r="G1412" s="1743"/>
      <c r="H1412" s="1743"/>
      <c r="K1412" s="1192" t="s">
        <v>2506</v>
      </c>
      <c r="V1412" s="1192">
        <v>386</v>
      </c>
    </row>
    <row r="1413" spans="1:22" s="1192" customFormat="1" ht="14.4" x14ac:dyDescent="0.3">
      <c r="A1413" s="1192" t="s">
        <v>171</v>
      </c>
      <c r="E1413" s="1743" t="s">
        <v>6117</v>
      </c>
      <c r="F1413" s="1743"/>
      <c r="G1413" s="1743"/>
      <c r="H1413" s="1743"/>
      <c r="K1413" s="1192" t="s">
        <v>2506</v>
      </c>
      <c r="V1413" s="1192">
        <v>243</v>
      </c>
    </row>
    <row r="1414" spans="1:22" s="1192" customFormat="1" ht="14.4" x14ac:dyDescent="0.3">
      <c r="A1414" s="1192" t="s">
        <v>171</v>
      </c>
      <c r="E1414" s="1750" t="s">
        <v>2394</v>
      </c>
      <c r="F1414" s="1743"/>
      <c r="G1414" s="1743"/>
      <c r="H1414" s="1743"/>
      <c r="K1414" s="1192" t="s">
        <v>2395</v>
      </c>
      <c r="V1414" s="1192">
        <v>46</v>
      </c>
    </row>
    <row r="1415" spans="1:22" s="1192" customFormat="1" ht="14.4" x14ac:dyDescent="0.3">
      <c r="A1415" s="1192" t="s">
        <v>171</v>
      </c>
      <c r="E1415" s="1741" t="s">
        <v>7</v>
      </c>
      <c r="F1415" s="1741"/>
      <c r="G1415" s="524" t="s">
        <v>19</v>
      </c>
      <c r="H1415" s="1218">
        <v>29.75</v>
      </c>
      <c r="K1415" s="1192" t="s">
        <v>2506</v>
      </c>
      <c r="L1415" s="1192" t="s">
        <v>430</v>
      </c>
      <c r="P1415" s="1192" t="s">
        <v>2510</v>
      </c>
      <c r="V1415" s="1192">
        <v>14</v>
      </c>
    </row>
    <row r="1416" spans="1:22" s="1192" customFormat="1" ht="14.4" x14ac:dyDescent="0.3">
      <c r="A1416" s="1192" t="s">
        <v>171</v>
      </c>
      <c r="E1416" s="1741" t="s">
        <v>3900</v>
      </c>
      <c r="F1416" s="1741"/>
      <c r="G1416" s="524" t="s">
        <v>19</v>
      </c>
      <c r="H1416" s="1218">
        <v>0.56999999999999995</v>
      </c>
      <c r="K1416" s="1192" t="s">
        <v>2506</v>
      </c>
      <c r="L1416" s="1192" t="s">
        <v>431</v>
      </c>
      <c r="P1416" s="1192" t="s">
        <v>2511</v>
      </c>
      <c r="T1416" s="1192">
        <v>44926</v>
      </c>
      <c r="V1416" s="1192">
        <v>64</v>
      </c>
    </row>
    <row r="1417" spans="1:22" s="1192" customFormat="1" ht="14.4" x14ac:dyDescent="0.3">
      <c r="A1417" s="1192" t="s">
        <v>171</v>
      </c>
      <c r="E1417" s="1741" t="s">
        <v>4535</v>
      </c>
      <c r="F1417" s="1741"/>
      <c r="G1417" s="524" t="s">
        <v>19</v>
      </c>
      <c r="H1417" s="1218">
        <v>-0.48</v>
      </c>
      <c r="K1417" s="1192" t="s">
        <v>2506</v>
      </c>
      <c r="L1417" s="1192" t="s">
        <v>430</v>
      </c>
      <c r="P1417" s="1192" t="s">
        <v>6118</v>
      </c>
      <c r="T1417" s="1192">
        <v>44196</v>
      </c>
      <c r="V1417" s="1192">
        <v>103</v>
      </c>
    </row>
    <row r="1418" spans="1:22" s="1192" customFormat="1" ht="14.4" x14ac:dyDescent="0.3">
      <c r="A1418" s="1192" t="s">
        <v>171</v>
      </c>
      <c r="E1418" s="1741" t="s">
        <v>4536</v>
      </c>
      <c r="F1418" s="1741"/>
      <c r="G1418" s="524" t="s">
        <v>19</v>
      </c>
      <c r="H1418" s="1218">
        <v>-0.64</v>
      </c>
      <c r="J1418" s="1192" t="s">
        <v>603</v>
      </c>
      <c r="K1418" s="1192" t="s">
        <v>2506</v>
      </c>
      <c r="L1418" s="1192" t="s">
        <v>430</v>
      </c>
      <c r="P1418" s="1192" t="s">
        <v>6119</v>
      </c>
      <c r="T1418" s="1192">
        <v>44561</v>
      </c>
      <c r="V1418" s="1192">
        <v>103</v>
      </c>
    </row>
    <row r="1419" spans="1:22" s="1192" customFormat="1" ht="14.4" x14ac:dyDescent="0.3">
      <c r="A1419" s="1192" t="s">
        <v>171</v>
      </c>
      <c r="E1419" s="1741" t="s">
        <v>6120</v>
      </c>
      <c r="F1419" s="1741"/>
      <c r="G1419" s="524" t="s">
        <v>19</v>
      </c>
      <c r="H1419" s="1218">
        <v>-0.33</v>
      </c>
      <c r="J1419" s="1192" t="s">
        <v>7382</v>
      </c>
      <c r="K1419" s="1192" t="s">
        <v>2506</v>
      </c>
      <c r="L1419" s="1192" t="s">
        <v>430</v>
      </c>
      <c r="P1419" s="1192" t="s">
        <v>6121</v>
      </c>
      <c r="V1419" s="1192">
        <v>158</v>
      </c>
    </row>
    <row r="1420" spans="1:22" s="1192" customFormat="1" ht="14.4" x14ac:dyDescent="0.3">
      <c r="A1420" s="1192" t="s">
        <v>171</v>
      </c>
      <c r="E1420" s="1741" t="s">
        <v>14</v>
      </c>
      <c r="F1420" s="1741"/>
      <c r="G1420" s="524" t="s">
        <v>20</v>
      </c>
      <c r="H1420" s="1219">
        <v>3.0000000000000001E-3</v>
      </c>
      <c r="K1420" s="1192" t="s">
        <v>2506</v>
      </c>
      <c r="L1420" s="1192" t="s">
        <v>431</v>
      </c>
      <c r="P1420" s="1192" t="s">
        <v>2513</v>
      </c>
      <c r="V1420" s="1192">
        <v>24</v>
      </c>
    </row>
    <row r="1421" spans="1:22" s="1192" customFormat="1" ht="14.4" x14ac:dyDescent="0.3">
      <c r="A1421" s="1192" t="s">
        <v>171</v>
      </c>
      <c r="E1421" s="1741" t="s">
        <v>6122</v>
      </c>
      <c r="F1421" s="1998"/>
      <c r="G1421" s="524" t="s">
        <v>20</v>
      </c>
      <c r="H1421" s="1219">
        <v>1E-4</v>
      </c>
      <c r="K1421" s="1192" t="s">
        <v>2506</v>
      </c>
      <c r="L1421" s="1192" t="s">
        <v>430</v>
      </c>
      <c r="P1421" s="1192" t="s">
        <v>2515</v>
      </c>
      <c r="T1421" s="1192">
        <v>44196</v>
      </c>
      <c r="V1421" s="1192">
        <v>139</v>
      </c>
    </row>
    <row r="1422" spans="1:22" s="1192" customFormat="1" ht="14.4" x14ac:dyDescent="0.3">
      <c r="A1422" s="1192" t="s">
        <v>171</v>
      </c>
      <c r="E1422" s="1741" t="s">
        <v>4538</v>
      </c>
      <c r="F1422" s="1741"/>
      <c r="G1422" s="524" t="s">
        <v>20</v>
      </c>
      <c r="H1422" s="1219">
        <v>1E-4</v>
      </c>
      <c r="K1422" s="1192" t="s">
        <v>2506</v>
      </c>
      <c r="L1422" s="1192" t="s">
        <v>430</v>
      </c>
      <c r="P1422" s="1192" t="s">
        <v>2515</v>
      </c>
      <c r="T1422" s="1192">
        <v>44561</v>
      </c>
      <c r="V1422" s="1192">
        <v>139</v>
      </c>
    </row>
    <row r="1423" spans="1:22" s="1192" customFormat="1" ht="14.4" x14ac:dyDescent="0.3">
      <c r="A1423" s="1192" t="s">
        <v>171</v>
      </c>
      <c r="E1423" s="1741" t="s">
        <v>213</v>
      </c>
      <c r="F1423" s="1741"/>
      <c r="G1423" s="524" t="s">
        <v>20</v>
      </c>
      <c r="H1423" s="1219">
        <v>6.6E-3</v>
      </c>
      <c r="K1423" s="1192" t="s">
        <v>2506</v>
      </c>
      <c r="L1423" s="1192" t="s">
        <v>432</v>
      </c>
      <c r="P1423" s="1192" t="s">
        <v>2517</v>
      </c>
      <c r="V1423" s="1192">
        <v>47</v>
      </c>
    </row>
    <row r="1424" spans="1:22" s="1192" customFormat="1" ht="14.4" x14ac:dyDescent="0.3">
      <c r="A1424" s="1192" t="s">
        <v>171</v>
      </c>
      <c r="E1424" s="1741" t="s">
        <v>209</v>
      </c>
      <c r="F1424" s="1741"/>
      <c r="G1424" s="524" t="s">
        <v>20</v>
      </c>
      <c r="H1424" s="1219">
        <v>5.5999999999999999E-3</v>
      </c>
      <c r="K1424" s="1192" t="s">
        <v>2506</v>
      </c>
      <c r="L1424" s="1192" t="s">
        <v>432</v>
      </c>
      <c r="P1424" s="1192" t="s">
        <v>2518</v>
      </c>
      <c r="V1424" s="1192">
        <v>74</v>
      </c>
    </row>
    <row r="1425" spans="1:22" s="1192" customFormat="1" ht="14.4" x14ac:dyDescent="0.3">
      <c r="A1425" s="1192" t="s">
        <v>171</v>
      </c>
      <c r="E1425" s="1750" t="s">
        <v>2405</v>
      </c>
      <c r="F1425" s="1741"/>
      <c r="G1425" s="1277"/>
      <c r="H1425" s="896"/>
      <c r="K1425" s="1192" t="s">
        <v>2406</v>
      </c>
      <c r="V1425" s="1192">
        <v>48</v>
      </c>
    </row>
    <row r="1426" spans="1:22" s="1192" customFormat="1" ht="14.4" x14ac:dyDescent="0.3">
      <c r="A1426" s="1192" t="s">
        <v>171</v>
      </c>
      <c r="E1426" s="1741" t="s">
        <v>2033</v>
      </c>
      <c r="F1426" s="1741"/>
      <c r="G1426" s="524" t="s">
        <v>20</v>
      </c>
      <c r="H1426" s="1219">
        <v>3.0000000000000001E-3</v>
      </c>
      <c r="K1426" s="1192" t="s">
        <v>2506</v>
      </c>
      <c r="L1426" s="1192" t="s">
        <v>2374</v>
      </c>
      <c r="P1426" s="1192" t="s">
        <v>2519</v>
      </c>
      <c r="V1426" s="1192">
        <v>55</v>
      </c>
    </row>
    <row r="1427" spans="1:22" s="1192" customFormat="1" ht="14.4" x14ac:dyDescent="0.3">
      <c r="A1427" s="1192" t="s">
        <v>171</v>
      </c>
      <c r="E1427" s="1741" t="s">
        <v>2034</v>
      </c>
      <c r="F1427" s="1741"/>
      <c r="G1427" s="524" t="s">
        <v>20</v>
      </c>
      <c r="H1427" s="1219">
        <v>4.0000000000000002E-4</v>
      </c>
      <c r="K1427" s="1192" t="s">
        <v>2506</v>
      </c>
      <c r="L1427" s="1192" t="s">
        <v>2374</v>
      </c>
      <c r="P1427" s="1192" t="s">
        <v>2519</v>
      </c>
      <c r="V1427" s="1192">
        <v>65</v>
      </c>
    </row>
    <row r="1428" spans="1:22" s="1192" customFormat="1" ht="14.4" x14ac:dyDescent="0.3">
      <c r="A1428" s="1192" t="s">
        <v>171</v>
      </c>
      <c r="E1428" s="1741" t="s">
        <v>428</v>
      </c>
      <c r="F1428" s="1741"/>
      <c r="G1428" s="524" t="s">
        <v>20</v>
      </c>
      <c r="H1428" s="1219">
        <v>5.0000000000000001E-4</v>
      </c>
      <c r="K1428" s="1192" t="s">
        <v>2506</v>
      </c>
      <c r="L1428" s="1192" t="s">
        <v>2374</v>
      </c>
      <c r="P1428" s="1192" t="s">
        <v>2520</v>
      </c>
      <c r="V1428" s="1192">
        <v>57</v>
      </c>
    </row>
    <row r="1429" spans="1:22" s="1192" customFormat="1" ht="14.4" x14ac:dyDescent="0.3">
      <c r="A1429" s="1192" t="s">
        <v>171</v>
      </c>
      <c r="E1429" s="1741" t="s">
        <v>28</v>
      </c>
      <c r="F1429" s="1741"/>
      <c r="G1429" s="524" t="s">
        <v>19</v>
      </c>
      <c r="H1429" s="1218">
        <v>0.25</v>
      </c>
      <c r="K1429" s="1192" t="s">
        <v>2506</v>
      </c>
      <c r="L1429" s="1192" t="s">
        <v>2374</v>
      </c>
      <c r="P1429" s="1192" t="s">
        <v>2521</v>
      </c>
      <c r="V1429" s="1192">
        <v>63</v>
      </c>
    </row>
    <row r="1430" spans="1:22" s="1192" customFormat="1" ht="17.399999999999999" x14ac:dyDescent="0.3">
      <c r="A1430" s="1192" t="s">
        <v>171</v>
      </c>
      <c r="E1430" s="1746" t="s">
        <v>2522</v>
      </c>
      <c r="F1430" s="1747"/>
      <c r="G1430" s="1747"/>
      <c r="H1430" s="1747"/>
      <c r="K1430" s="1192" t="s">
        <v>3901</v>
      </c>
      <c r="V1430" s="1192">
        <v>54</v>
      </c>
    </row>
    <row r="1431" spans="1:22" s="1192" customFormat="1" ht="14.4" x14ac:dyDescent="0.3">
      <c r="A1431" s="1192" t="s">
        <v>171</v>
      </c>
      <c r="E1431" s="1743" t="s">
        <v>4405</v>
      </c>
      <c r="F1431" s="1743"/>
      <c r="G1431" s="1743"/>
      <c r="H1431" s="1743"/>
      <c r="K1431" s="1192" t="s">
        <v>3901</v>
      </c>
      <c r="V1431" s="1192">
        <v>336</v>
      </c>
    </row>
    <row r="1432" spans="1:22" s="1192" customFormat="1" ht="14.4" x14ac:dyDescent="0.3">
      <c r="A1432" s="1192" t="s">
        <v>171</v>
      </c>
      <c r="E1432" s="1750" t="s">
        <v>2389</v>
      </c>
      <c r="F1432" s="1743"/>
      <c r="G1432" s="1743"/>
      <c r="H1432" s="1743"/>
      <c r="K1432" s="1192" t="s">
        <v>2412</v>
      </c>
      <c r="V1432" s="1192">
        <v>11</v>
      </c>
    </row>
    <row r="1433" spans="1:22" s="1192" customFormat="1" ht="14.4" x14ac:dyDescent="0.3">
      <c r="A1433" s="1192" t="s">
        <v>171</v>
      </c>
      <c r="E1433" s="1743" t="s">
        <v>2391</v>
      </c>
      <c r="F1433" s="1743"/>
      <c r="G1433" s="1743"/>
      <c r="H1433" s="1743"/>
      <c r="K1433" s="1192" t="s">
        <v>3901</v>
      </c>
      <c r="V1433" s="1192">
        <v>280</v>
      </c>
    </row>
    <row r="1434" spans="1:22" s="1192" customFormat="1" ht="14.4" x14ac:dyDescent="0.3">
      <c r="A1434" s="1192" t="s">
        <v>171</v>
      </c>
      <c r="E1434" s="1743" t="s">
        <v>2392</v>
      </c>
      <c r="F1434" s="1743"/>
      <c r="G1434" s="1743"/>
      <c r="H1434" s="1743"/>
      <c r="K1434" s="1192" t="s">
        <v>3901</v>
      </c>
      <c r="V1434" s="1192">
        <v>411</v>
      </c>
    </row>
    <row r="1435" spans="1:22" s="1192" customFormat="1" ht="14.4" x14ac:dyDescent="0.3">
      <c r="A1435" s="1192" t="s">
        <v>171</v>
      </c>
      <c r="E1435" s="1743" t="s">
        <v>2508</v>
      </c>
      <c r="F1435" s="1743"/>
      <c r="G1435" s="1743"/>
      <c r="H1435" s="1743"/>
      <c r="K1435" s="1192" t="s">
        <v>3901</v>
      </c>
      <c r="V1435" s="1192">
        <v>386</v>
      </c>
    </row>
    <row r="1436" spans="1:22" s="1192" customFormat="1" ht="14.4" x14ac:dyDescent="0.3">
      <c r="A1436" s="1192" t="s">
        <v>171</v>
      </c>
      <c r="E1436" s="1743" t="s">
        <v>4500</v>
      </c>
      <c r="F1436" s="1743"/>
      <c r="G1436" s="1743"/>
      <c r="H1436" s="1743"/>
      <c r="K1436" s="1192" t="s">
        <v>3901</v>
      </c>
      <c r="V1436" s="1192">
        <v>247</v>
      </c>
    </row>
    <row r="1437" spans="1:22" s="1192" customFormat="1" ht="14.4" x14ac:dyDescent="0.3">
      <c r="A1437" s="1192" t="s">
        <v>171</v>
      </c>
      <c r="E1437" s="1750" t="s">
        <v>2394</v>
      </c>
      <c r="F1437" s="1743"/>
      <c r="G1437" s="1743"/>
      <c r="H1437" s="1743"/>
      <c r="K1437" s="1192" t="s">
        <v>2413</v>
      </c>
      <c r="V1437" s="1192">
        <v>46</v>
      </c>
    </row>
    <row r="1438" spans="1:22" s="1192" customFormat="1" ht="14.4" x14ac:dyDescent="0.3">
      <c r="A1438" s="1192" t="s">
        <v>171</v>
      </c>
      <c r="E1438" s="1741" t="s">
        <v>7</v>
      </c>
      <c r="F1438" s="1741"/>
      <c r="G1438" s="524" t="s">
        <v>19</v>
      </c>
      <c r="H1438" s="1218">
        <v>21.46</v>
      </c>
      <c r="K1438" s="1192" t="s">
        <v>3901</v>
      </c>
      <c r="L1438" s="1192" t="s">
        <v>430</v>
      </c>
      <c r="P1438" s="1192" t="s">
        <v>3902</v>
      </c>
      <c r="V1438" s="1192">
        <v>14</v>
      </c>
    </row>
    <row r="1439" spans="1:22" s="1192" customFormat="1" ht="14.4" x14ac:dyDescent="0.3">
      <c r="A1439" s="1192" t="s">
        <v>171</v>
      </c>
      <c r="E1439" s="1741" t="s">
        <v>3900</v>
      </c>
      <c r="F1439" s="1741"/>
      <c r="G1439" s="524" t="s">
        <v>19</v>
      </c>
      <c r="H1439" s="1218">
        <v>0.56999999999999995</v>
      </c>
      <c r="K1439" s="1192" t="s">
        <v>3901</v>
      </c>
      <c r="L1439" s="1192" t="s">
        <v>431</v>
      </c>
      <c r="P1439" s="1192" t="s">
        <v>3903</v>
      </c>
      <c r="T1439" s="1192">
        <v>44926</v>
      </c>
      <c r="V1439" s="1192">
        <v>64</v>
      </c>
    </row>
    <row r="1440" spans="1:22" s="1192" customFormat="1" ht="14.4" x14ac:dyDescent="0.3">
      <c r="A1440" s="1192" t="s">
        <v>171</v>
      </c>
      <c r="E1440" s="1741" t="s">
        <v>80</v>
      </c>
      <c r="F1440" s="1741"/>
      <c r="G1440" s="524" t="s">
        <v>20</v>
      </c>
      <c r="H1440" s="1219">
        <v>2.24E-2</v>
      </c>
      <c r="K1440" s="1192" t="s">
        <v>3901</v>
      </c>
      <c r="L1440" s="1192" t="s">
        <v>430</v>
      </c>
      <c r="P1440" s="1192" t="s">
        <v>3904</v>
      </c>
      <c r="V1440" s="1192">
        <v>28</v>
      </c>
    </row>
    <row r="1441" spans="1:22" s="1192" customFormat="1" ht="14.4" x14ac:dyDescent="0.3">
      <c r="A1441" s="1192" t="s">
        <v>171</v>
      </c>
      <c r="E1441" s="1741" t="s">
        <v>14</v>
      </c>
      <c r="F1441" s="1741"/>
      <c r="G1441" s="524" t="s">
        <v>20</v>
      </c>
      <c r="H1441" s="1219">
        <v>2.7000000000000001E-3</v>
      </c>
      <c r="K1441" s="1192" t="s">
        <v>3901</v>
      </c>
      <c r="L1441" s="1192" t="s">
        <v>431</v>
      </c>
      <c r="P1441" s="1192" t="s">
        <v>3905</v>
      </c>
      <c r="V1441" s="1192">
        <v>24</v>
      </c>
    </row>
    <row r="1442" spans="1:22" s="1192" customFormat="1" ht="14.4" x14ac:dyDescent="0.3">
      <c r="A1442" s="1192" t="s">
        <v>171</v>
      </c>
      <c r="E1442" s="1741" t="s">
        <v>6123</v>
      </c>
      <c r="F1442" s="1998"/>
      <c r="G1442" s="524" t="s">
        <v>20</v>
      </c>
      <c r="H1442" s="1219">
        <v>1.1000000000000001E-3</v>
      </c>
      <c r="K1442" s="1192" t="s">
        <v>3901</v>
      </c>
      <c r="L1442" s="1192" t="s">
        <v>430</v>
      </c>
      <c r="P1442" s="1192" t="s">
        <v>4000</v>
      </c>
      <c r="T1442" s="1192">
        <v>44196</v>
      </c>
      <c r="V1442" s="1192">
        <v>132</v>
      </c>
    </row>
    <row r="1443" spans="1:22" s="1192" customFormat="1" ht="14.4" x14ac:dyDescent="0.3">
      <c r="A1443" s="1192" t="s">
        <v>171</v>
      </c>
      <c r="E1443" s="1741" t="s">
        <v>4538</v>
      </c>
      <c r="F1443" s="1741"/>
      <c r="G1443" s="524" t="s">
        <v>20</v>
      </c>
      <c r="H1443" s="1219">
        <v>1E-3</v>
      </c>
      <c r="K1443" s="1192" t="s">
        <v>3901</v>
      </c>
      <c r="L1443" s="1192" t="s">
        <v>430</v>
      </c>
      <c r="P1443" s="1192" t="s">
        <v>4000</v>
      </c>
      <c r="T1443" s="1192">
        <v>44561</v>
      </c>
      <c r="V1443" s="1192">
        <v>139</v>
      </c>
    </row>
    <row r="1444" spans="1:22" s="1192" customFormat="1" ht="14.4" x14ac:dyDescent="0.3">
      <c r="A1444" s="1192" t="s">
        <v>171</v>
      </c>
      <c r="E1444" s="1741" t="s">
        <v>4535</v>
      </c>
      <c r="F1444" s="1741"/>
      <c r="G1444" s="524" t="s">
        <v>20</v>
      </c>
      <c r="H1444" s="1219">
        <v>-5.0000000000000001E-4</v>
      </c>
      <c r="K1444" s="1192" t="s">
        <v>3901</v>
      </c>
      <c r="L1444" s="1192" t="s">
        <v>430</v>
      </c>
      <c r="P1444" s="1192" t="s">
        <v>6124</v>
      </c>
      <c r="T1444" s="1192">
        <v>44196</v>
      </c>
      <c r="V1444" s="1192">
        <v>103</v>
      </c>
    </row>
    <row r="1445" spans="1:22" s="1192" customFormat="1" ht="14.4" x14ac:dyDescent="0.3">
      <c r="A1445" s="1192" t="s">
        <v>171</v>
      </c>
      <c r="E1445" s="1741" t="s">
        <v>4536</v>
      </c>
      <c r="F1445" s="1741"/>
      <c r="G1445" s="524" t="s">
        <v>20</v>
      </c>
      <c r="H1445" s="1219">
        <v>-6.9999999999999999E-4</v>
      </c>
      <c r="J1445" s="1192" t="s">
        <v>603</v>
      </c>
      <c r="K1445" s="1192" t="s">
        <v>3901</v>
      </c>
      <c r="L1445" s="1192" t="s">
        <v>430</v>
      </c>
      <c r="P1445" s="1192" t="s">
        <v>6125</v>
      </c>
      <c r="T1445" s="1192">
        <v>44561</v>
      </c>
      <c r="V1445" s="1192">
        <v>103</v>
      </c>
    </row>
    <row r="1446" spans="1:22" s="1192" customFormat="1" ht="14.4" x14ac:dyDescent="0.3">
      <c r="A1446" s="1192" t="s">
        <v>171</v>
      </c>
      <c r="E1446" s="1741" t="s">
        <v>4537</v>
      </c>
      <c r="F1446" s="1741"/>
      <c r="G1446" s="524" t="s">
        <v>20</v>
      </c>
      <c r="H1446" s="1219">
        <v>-4.0000000000000002E-4</v>
      </c>
      <c r="J1446" s="1192" t="s">
        <v>7382</v>
      </c>
      <c r="K1446" s="1192" t="s">
        <v>3901</v>
      </c>
      <c r="L1446" s="1192" t="s">
        <v>430</v>
      </c>
      <c r="P1446" s="1192" t="s">
        <v>6126</v>
      </c>
      <c r="V1446" s="1192">
        <v>159</v>
      </c>
    </row>
    <row r="1447" spans="1:22" s="1192" customFormat="1" ht="14.4" x14ac:dyDescent="0.3">
      <c r="A1447" s="1192" t="s">
        <v>171</v>
      </c>
      <c r="E1447" s="1741" t="s">
        <v>213</v>
      </c>
      <c r="F1447" s="1741"/>
      <c r="G1447" s="524" t="s">
        <v>20</v>
      </c>
      <c r="H1447" s="1219">
        <v>6.1000000000000004E-3</v>
      </c>
      <c r="K1447" s="1192" t="s">
        <v>3901</v>
      </c>
      <c r="L1447" s="1192" t="s">
        <v>432</v>
      </c>
      <c r="P1447" s="1192" t="s">
        <v>3906</v>
      </c>
      <c r="V1447" s="1192">
        <v>47</v>
      </c>
    </row>
    <row r="1448" spans="1:22" s="1192" customFormat="1" ht="14.4" x14ac:dyDescent="0.3">
      <c r="A1448" s="1192" t="s">
        <v>171</v>
      </c>
      <c r="E1448" s="1741" t="s">
        <v>209</v>
      </c>
      <c r="F1448" s="1741"/>
      <c r="G1448" s="524" t="s">
        <v>20</v>
      </c>
      <c r="H1448" s="1219">
        <v>5.1000000000000004E-3</v>
      </c>
      <c r="K1448" s="1192" t="s">
        <v>3901</v>
      </c>
      <c r="L1448" s="1192" t="s">
        <v>432</v>
      </c>
      <c r="P1448" s="1192" t="s">
        <v>3907</v>
      </c>
      <c r="V1448" s="1192">
        <v>74</v>
      </c>
    </row>
    <row r="1449" spans="1:22" s="1192" customFormat="1" ht="14.4" x14ac:dyDescent="0.3">
      <c r="A1449" s="1192" t="s">
        <v>171</v>
      </c>
      <c r="E1449" s="1750" t="s">
        <v>2405</v>
      </c>
      <c r="F1449" s="1741"/>
      <c r="G1449" s="1277"/>
      <c r="H1449" s="896"/>
      <c r="K1449" s="1192" t="s">
        <v>2418</v>
      </c>
      <c r="V1449" s="1192">
        <v>48</v>
      </c>
    </row>
    <row r="1450" spans="1:22" s="1192" customFormat="1" ht="14.4" x14ac:dyDescent="0.3">
      <c r="A1450" s="1192" t="s">
        <v>171</v>
      </c>
      <c r="E1450" s="1741" t="s">
        <v>2033</v>
      </c>
      <c r="F1450" s="1741"/>
      <c r="G1450" s="524" t="s">
        <v>20</v>
      </c>
      <c r="H1450" s="1219">
        <v>3.0000000000000001E-3</v>
      </c>
      <c r="K1450" s="1192" t="s">
        <v>3901</v>
      </c>
      <c r="L1450" s="1192" t="s">
        <v>2374</v>
      </c>
      <c r="P1450" s="1192" t="s">
        <v>3908</v>
      </c>
      <c r="V1450" s="1192">
        <v>55</v>
      </c>
    </row>
    <row r="1451" spans="1:22" s="1192" customFormat="1" ht="14.4" x14ac:dyDescent="0.3">
      <c r="A1451" s="1192" t="s">
        <v>171</v>
      </c>
      <c r="E1451" s="1741" t="s">
        <v>2034</v>
      </c>
      <c r="F1451" s="1741"/>
      <c r="G1451" s="524" t="s">
        <v>20</v>
      </c>
      <c r="H1451" s="1219">
        <v>4.0000000000000002E-4</v>
      </c>
      <c r="K1451" s="1192" t="s">
        <v>3901</v>
      </c>
      <c r="L1451" s="1192" t="s">
        <v>2374</v>
      </c>
      <c r="P1451" s="1192" t="s">
        <v>3908</v>
      </c>
      <c r="V1451" s="1192">
        <v>65</v>
      </c>
    </row>
    <row r="1452" spans="1:22" s="1192" customFormat="1" ht="14.4" x14ac:dyDescent="0.3">
      <c r="A1452" s="1192" t="s">
        <v>171</v>
      </c>
      <c r="E1452" s="1741" t="s">
        <v>428</v>
      </c>
      <c r="F1452" s="1741"/>
      <c r="G1452" s="524" t="s">
        <v>20</v>
      </c>
      <c r="H1452" s="1219">
        <v>5.0000000000000001E-4</v>
      </c>
      <c r="K1452" s="1192" t="s">
        <v>3901</v>
      </c>
      <c r="L1452" s="1192" t="s">
        <v>2374</v>
      </c>
      <c r="P1452" s="1192" t="s">
        <v>3909</v>
      </c>
      <c r="V1452" s="1192">
        <v>57</v>
      </c>
    </row>
    <row r="1453" spans="1:22" s="1192" customFormat="1" ht="14.4" x14ac:dyDescent="0.3">
      <c r="A1453" s="1192" t="s">
        <v>171</v>
      </c>
      <c r="E1453" s="1741" t="s">
        <v>28</v>
      </c>
      <c r="F1453" s="1741"/>
      <c r="G1453" s="524" t="s">
        <v>19</v>
      </c>
      <c r="H1453" s="1218">
        <v>0.25</v>
      </c>
      <c r="K1453" s="1192" t="s">
        <v>3901</v>
      </c>
      <c r="L1453" s="1192" t="s">
        <v>2374</v>
      </c>
      <c r="P1453" s="1192" t="s">
        <v>3910</v>
      </c>
      <c r="V1453" s="1192">
        <v>63</v>
      </c>
    </row>
    <row r="1454" spans="1:22" s="1192" customFormat="1" ht="17.399999999999999" x14ac:dyDescent="0.3">
      <c r="A1454" s="1192" t="s">
        <v>171</v>
      </c>
      <c r="E1454" s="1746" t="s">
        <v>611</v>
      </c>
      <c r="F1454" s="1747"/>
      <c r="G1454" s="1747"/>
      <c r="H1454" s="1747"/>
      <c r="K1454" s="1192" t="s">
        <v>2708</v>
      </c>
      <c r="V1454" s="1192">
        <v>53</v>
      </c>
    </row>
    <row r="1455" spans="1:22" s="1192" customFormat="1" ht="14.4" x14ac:dyDescent="0.3">
      <c r="A1455" s="1192" t="s">
        <v>171</v>
      </c>
      <c r="E1455" s="1743" t="s">
        <v>4406</v>
      </c>
      <c r="F1455" s="1743"/>
      <c r="G1455" s="1743"/>
      <c r="H1455" s="1743"/>
      <c r="K1455" s="1192" t="s">
        <v>2708</v>
      </c>
      <c r="V1455" s="1192">
        <v>388</v>
      </c>
    </row>
    <row r="1456" spans="1:22" s="1192" customFormat="1" ht="14.4" x14ac:dyDescent="0.3">
      <c r="A1456" s="1192" t="s">
        <v>171</v>
      </c>
      <c r="E1456" s="1750" t="s">
        <v>2389</v>
      </c>
      <c r="F1456" s="1743"/>
      <c r="G1456" s="1743"/>
      <c r="H1456" s="1743"/>
      <c r="K1456" s="1192" t="s">
        <v>2422</v>
      </c>
      <c r="V1456" s="1192">
        <v>11</v>
      </c>
    </row>
    <row r="1457" spans="1:22" s="1192" customFormat="1" ht="14.4" x14ac:dyDescent="0.3">
      <c r="A1457" s="1192" t="s">
        <v>171</v>
      </c>
      <c r="E1457" s="1743" t="s">
        <v>2391</v>
      </c>
      <c r="F1457" s="1743"/>
      <c r="G1457" s="1743"/>
      <c r="H1457" s="1743"/>
      <c r="K1457" s="1192" t="s">
        <v>2708</v>
      </c>
      <c r="V1457" s="1192">
        <v>280</v>
      </c>
    </row>
    <row r="1458" spans="1:22" s="1192" customFormat="1" ht="14.4" x14ac:dyDescent="0.3">
      <c r="A1458" s="1192" t="s">
        <v>171</v>
      </c>
      <c r="E1458" s="1743" t="s">
        <v>2392</v>
      </c>
      <c r="F1458" s="1743"/>
      <c r="G1458" s="1743"/>
      <c r="H1458" s="1743"/>
      <c r="K1458" s="1192" t="s">
        <v>2708</v>
      </c>
      <c r="V1458" s="1192">
        <v>411</v>
      </c>
    </row>
    <row r="1459" spans="1:22" s="1192" customFormat="1" ht="14.4" x14ac:dyDescent="0.3">
      <c r="A1459" s="1192" t="s">
        <v>171</v>
      </c>
      <c r="E1459" s="1743" t="s">
        <v>2508</v>
      </c>
      <c r="F1459" s="1743"/>
      <c r="G1459" s="1743"/>
      <c r="H1459" s="1743"/>
      <c r="K1459" s="1192" t="s">
        <v>2708</v>
      </c>
      <c r="V1459" s="1192">
        <v>386</v>
      </c>
    </row>
    <row r="1460" spans="1:22" s="1192" customFormat="1" ht="14.4" x14ac:dyDescent="0.3">
      <c r="A1460" s="1192" t="s">
        <v>171</v>
      </c>
      <c r="E1460" s="1751" t="s">
        <v>4503</v>
      </c>
      <c r="F1460" s="1751"/>
      <c r="G1460" s="1751"/>
      <c r="H1460" s="1751"/>
      <c r="K1460" s="1192" t="s">
        <v>2708</v>
      </c>
      <c r="V1460" s="1192">
        <v>677</v>
      </c>
    </row>
    <row r="1461" spans="1:22" s="1192" customFormat="1" ht="14.4" x14ac:dyDescent="0.3">
      <c r="A1461" s="1192" t="s">
        <v>171</v>
      </c>
      <c r="E1461" s="1743" t="s">
        <v>4644</v>
      </c>
      <c r="F1461" s="1743"/>
      <c r="G1461" s="1743"/>
      <c r="H1461" s="1743"/>
      <c r="K1461" s="1192" t="s">
        <v>2708</v>
      </c>
      <c r="V1461" s="1192">
        <v>693</v>
      </c>
    </row>
    <row r="1462" spans="1:22" s="1192" customFormat="1" ht="14.4" x14ac:dyDescent="0.3">
      <c r="A1462" s="1192" t="s">
        <v>171</v>
      </c>
      <c r="E1462" s="1743" t="s">
        <v>4500</v>
      </c>
      <c r="F1462" s="1743"/>
      <c r="G1462" s="1743"/>
      <c r="H1462" s="1743"/>
      <c r="K1462" s="1192" t="s">
        <v>2708</v>
      </c>
      <c r="V1462" s="1192">
        <v>247</v>
      </c>
    </row>
    <row r="1463" spans="1:22" s="1192" customFormat="1" ht="14.4" x14ac:dyDescent="0.3">
      <c r="A1463" s="1192" t="s">
        <v>171</v>
      </c>
      <c r="E1463" s="1750" t="s">
        <v>2394</v>
      </c>
      <c r="F1463" s="1743"/>
      <c r="G1463" s="1743"/>
      <c r="H1463" s="1743"/>
      <c r="K1463" s="1192" t="s">
        <v>2423</v>
      </c>
      <c r="V1463" s="1192">
        <v>46</v>
      </c>
    </row>
    <row r="1464" spans="1:22" s="1192" customFormat="1" ht="14.4" x14ac:dyDescent="0.3">
      <c r="A1464" s="1192" t="s">
        <v>171</v>
      </c>
      <c r="E1464" s="1741" t="s">
        <v>7</v>
      </c>
      <c r="F1464" s="1741"/>
      <c r="G1464" s="524" t="s">
        <v>19</v>
      </c>
      <c r="H1464" s="1218">
        <v>175.16</v>
      </c>
      <c r="K1464" s="1192" t="s">
        <v>2708</v>
      </c>
      <c r="L1464" s="1192" t="s">
        <v>430</v>
      </c>
      <c r="P1464" s="1192" t="s">
        <v>2709</v>
      </c>
      <c r="V1464" s="1192">
        <v>14</v>
      </c>
    </row>
    <row r="1465" spans="1:22" s="1192" customFormat="1" ht="14.4" x14ac:dyDescent="0.3">
      <c r="A1465" s="1192" t="s">
        <v>171</v>
      </c>
      <c r="E1465" s="1741" t="s">
        <v>80</v>
      </c>
      <c r="F1465" s="1741"/>
      <c r="G1465" s="524" t="s">
        <v>29</v>
      </c>
      <c r="H1465" s="1219">
        <v>4.3140999999999998</v>
      </c>
      <c r="K1465" s="1192" t="s">
        <v>2708</v>
      </c>
      <c r="L1465" s="1192" t="s">
        <v>430</v>
      </c>
      <c r="P1465" s="1192" t="s">
        <v>2710</v>
      </c>
      <c r="V1465" s="1192">
        <v>28</v>
      </c>
    </row>
    <row r="1466" spans="1:22" s="1192" customFormat="1" ht="14.4" x14ac:dyDescent="0.3">
      <c r="A1466" s="1192" t="s">
        <v>171</v>
      </c>
      <c r="E1466" s="1741" t="s">
        <v>14</v>
      </c>
      <c r="F1466" s="1741"/>
      <c r="G1466" s="524" t="s">
        <v>29</v>
      </c>
      <c r="H1466" s="1219">
        <v>0.99870000000000003</v>
      </c>
      <c r="K1466" s="1192" t="s">
        <v>2708</v>
      </c>
      <c r="L1466" s="1192" t="s">
        <v>431</v>
      </c>
      <c r="P1466" s="1192" t="s">
        <v>2711</v>
      </c>
      <c r="V1466" s="1192">
        <v>24</v>
      </c>
    </row>
    <row r="1467" spans="1:22" s="1192" customFormat="1" ht="14.4" x14ac:dyDescent="0.3">
      <c r="A1467" s="1192" t="s">
        <v>171</v>
      </c>
      <c r="E1467" s="1741" t="s">
        <v>6122</v>
      </c>
      <c r="F1467" s="1998"/>
      <c r="G1467" s="524" t="s">
        <v>29</v>
      </c>
      <c r="H1467" s="1219">
        <v>0.17879999999999999</v>
      </c>
      <c r="K1467" s="1192" t="s">
        <v>2708</v>
      </c>
      <c r="L1467" s="1192" t="s">
        <v>430</v>
      </c>
      <c r="P1467" s="1192" t="s">
        <v>4407</v>
      </c>
      <c r="T1467" s="1192">
        <v>44196</v>
      </c>
      <c r="V1467" s="1192">
        <v>139</v>
      </c>
    </row>
    <row r="1468" spans="1:22" s="1192" customFormat="1" ht="14.4" x14ac:dyDescent="0.3">
      <c r="A1468" s="1192" t="s">
        <v>171</v>
      </c>
      <c r="E1468" s="1741" t="s">
        <v>6127</v>
      </c>
      <c r="F1468" s="1741"/>
      <c r="G1468" s="524" t="s">
        <v>29</v>
      </c>
      <c r="H1468" s="1219">
        <v>1.12E-2</v>
      </c>
      <c r="K1468" s="1192" t="s">
        <v>2708</v>
      </c>
      <c r="L1468" s="1192" t="s">
        <v>430</v>
      </c>
      <c r="P1468" s="1192" t="s">
        <v>4407</v>
      </c>
      <c r="T1468" s="1192">
        <v>44561</v>
      </c>
      <c r="V1468" s="1192">
        <v>140</v>
      </c>
    </row>
    <row r="1469" spans="1:22" s="1192" customFormat="1" ht="14.4" x14ac:dyDescent="0.3">
      <c r="A1469" s="1192" t="s">
        <v>171</v>
      </c>
      <c r="E1469" s="1741" t="s">
        <v>4535</v>
      </c>
      <c r="F1469" s="1741"/>
      <c r="G1469" s="524" t="s">
        <v>29</v>
      </c>
      <c r="H1469" s="1219">
        <v>-7.4999999999999997E-2</v>
      </c>
      <c r="K1469" s="1192" t="s">
        <v>2708</v>
      </c>
      <c r="L1469" s="1192" t="s">
        <v>430</v>
      </c>
      <c r="P1469" s="1192" t="s">
        <v>6128</v>
      </c>
      <c r="T1469" s="1192">
        <v>44196</v>
      </c>
      <c r="V1469" s="1192">
        <v>103</v>
      </c>
    </row>
    <row r="1470" spans="1:22" s="1192" customFormat="1" ht="14.4" x14ac:dyDescent="0.3">
      <c r="A1470" s="1192" t="s">
        <v>171</v>
      </c>
      <c r="E1470" s="1741" t="s">
        <v>4536</v>
      </c>
      <c r="F1470" s="1741"/>
      <c r="G1470" s="524" t="s">
        <v>29</v>
      </c>
      <c r="H1470" s="1219">
        <v>-9.9900000000000003E-2</v>
      </c>
      <c r="J1470" s="1192" t="s">
        <v>603</v>
      </c>
      <c r="K1470" s="1192" t="s">
        <v>2708</v>
      </c>
      <c r="L1470" s="1192" t="s">
        <v>430</v>
      </c>
      <c r="P1470" s="1192" t="s">
        <v>6129</v>
      </c>
      <c r="T1470" s="1192">
        <v>44561</v>
      </c>
      <c r="V1470" s="1192">
        <v>103</v>
      </c>
    </row>
    <row r="1471" spans="1:22" s="1192" customFormat="1" ht="14.4" x14ac:dyDescent="0.3">
      <c r="A1471" s="1192" t="s">
        <v>171</v>
      </c>
      <c r="E1471" s="1741" t="s">
        <v>4539</v>
      </c>
      <c r="F1471" s="1741"/>
      <c r="G1471" s="524" t="s">
        <v>29</v>
      </c>
      <c r="H1471" s="1219">
        <v>-5.1900000000000002E-2</v>
      </c>
      <c r="J1471" s="1192" t="s">
        <v>7382</v>
      </c>
      <c r="K1471" s="1192" t="s">
        <v>2708</v>
      </c>
      <c r="L1471" s="1192" t="s">
        <v>430</v>
      </c>
      <c r="P1471" s="1192" t="s">
        <v>6130</v>
      </c>
      <c r="V1471" s="1192">
        <v>158</v>
      </c>
    </row>
    <row r="1472" spans="1:22" s="1192" customFormat="1" ht="14.4" x14ac:dyDescent="0.3">
      <c r="A1472" s="1192" t="s">
        <v>171</v>
      </c>
      <c r="E1472" s="1741" t="s">
        <v>213</v>
      </c>
      <c r="F1472" s="1741"/>
      <c r="G1472" s="524" t="s">
        <v>29</v>
      </c>
      <c r="H1472" s="1219">
        <v>2.4415</v>
      </c>
      <c r="K1472" s="1192" t="s">
        <v>2708</v>
      </c>
      <c r="L1472" s="1192" t="s">
        <v>432</v>
      </c>
      <c r="P1472" s="1192" t="s">
        <v>2712</v>
      </c>
      <c r="V1472" s="1192">
        <v>47</v>
      </c>
    </row>
    <row r="1473" spans="1:22" s="1192" customFormat="1" ht="14.4" x14ac:dyDescent="0.3">
      <c r="A1473" s="1192" t="s">
        <v>171</v>
      </c>
      <c r="E1473" s="1741" t="s">
        <v>209</v>
      </c>
      <c r="F1473" s="1741"/>
      <c r="G1473" s="524" t="s">
        <v>29</v>
      </c>
      <c r="H1473" s="1219">
        <v>2.0007000000000001</v>
      </c>
      <c r="K1473" s="1192" t="s">
        <v>2708</v>
      </c>
      <c r="L1473" s="1192" t="s">
        <v>432</v>
      </c>
      <c r="P1473" s="1192" t="s">
        <v>2713</v>
      </c>
      <c r="V1473" s="1192">
        <v>74</v>
      </c>
    </row>
    <row r="1474" spans="1:22" s="1192" customFormat="1" ht="14.4" x14ac:dyDescent="0.3">
      <c r="A1474" s="1192" t="s">
        <v>171</v>
      </c>
      <c r="E1474" s="1750" t="s">
        <v>2405</v>
      </c>
      <c r="F1474" s="1741"/>
      <c r="G1474" s="1277"/>
      <c r="H1474" s="896"/>
      <c r="K1474" s="1192" t="s">
        <v>2526</v>
      </c>
      <c r="V1474" s="1192">
        <v>48</v>
      </c>
    </row>
    <row r="1475" spans="1:22" s="1192" customFormat="1" ht="14.4" x14ac:dyDescent="0.3">
      <c r="A1475" s="1192" t="s">
        <v>171</v>
      </c>
      <c r="E1475" s="1741" t="s">
        <v>2033</v>
      </c>
      <c r="F1475" s="1741"/>
      <c r="G1475" s="524" t="s">
        <v>20</v>
      </c>
      <c r="H1475" s="1219">
        <v>3.0000000000000001E-3</v>
      </c>
      <c r="K1475" s="1192" t="s">
        <v>2708</v>
      </c>
      <c r="L1475" s="1192" t="s">
        <v>2374</v>
      </c>
      <c r="P1475" s="1192" t="s">
        <v>2714</v>
      </c>
      <c r="V1475" s="1192">
        <v>55</v>
      </c>
    </row>
    <row r="1476" spans="1:22" s="1192" customFormat="1" ht="14.4" x14ac:dyDescent="0.3">
      <c r="A1476" s="1192" t="s">
        <v>171</v>
      </c>
      <c r="E1476" s="1741" t="s">
        <v>2034</v>
      </c>
      <c r="F1476" s="1741"/>
      <c r="G1476" s="524" t="s">
        <v>20</v>
      </c>
      <c r="H1476" s="1219">
        <v>4.0000000000000002E-4</v>
      </c>
      <c r="K1476" s="1192" t="s">
        <v>2708</v>
      </c>
      <c r="L1476" s="1192" t="s">
        <v>2374</v>
      </c>
      <c r="P1476" s="1192" t="s">
        <v>2714</v>
      </c>
      <c r="V1476" s="1192">
        <v>65</v>
      </c>
    </row>
    <row r="1477" spans="1:22" s="1192" customFormat="1" ht="14.4" x14ac:dyDescent="0.3">
      <c r="A1477" s="1192" t="s">
        <v>171</v>
      </c>
      <c r="E1477" s="1741" t="s">
        <v>428</v>
      </c>
      <c r="F1477" s="1741"/>
      <c r="G1477" s="524" t="s">
        <v>20</v>
      </c>
      <c r="H1477" s="1219">
        <v>5.0000000000000001E-4</v>
      </c>
      <c r="K1477" s="1192" t="s">
        <v>2708</v>
      </c>
      <c r="L1477" s="1192" t="s">
        <v>2374</v>
      </c>
      <c r="P1477" s="1192" t="s">
        <v>2715</v>
      </c>
      <c r="V1477" s="1192">
        <v>57</v>
      </c>
    </row>
    <row r="1478" spans="1:22" s="1192" customFormat="1" ht="14.4" x14ac:dyDescent="0.3">
      <c r="A1478" s="1192" t="s">
        <v>171</v>
      </c>
      <c r="E1478" s="1741" t="s">
        <v>28</v>
      </c>
      <c r="F1478" s="1741"/>
      <c r="G1478" s="524" t="s">
        <v>19</v>
      </c>
      <c r="H1478" s="1218">
        <v>0.25</v>
      </c>
      <c r="K1478" s="1192" t="s">
        <v>2708</v>
      </c>
      <c r="L1478" s="1192" t="s">
        <v>2374</v>
      </c>
      <c r="P1478" s="1192" t="s">
        <v>2716</v>
      </c>
      <c r="V1478" s="1192">
        <v>63</v>
      </c>
    </row>
    <row r="1479" spans="1:22" s="1192" customFormat="1" ht="17.399999999999999" x14ac:dyDescent="0.3">
      <c r="A1479" s="1192" t="s">
        <v>171</v>
      </c>
      <c r="E1479" s="1746" t="s">
        <v>612</v>
      </c>
      <c r="F1479" s="1747"/>
      <c r="G1479" s="1747"/>
      <c r="H1479" s="1747"/>
      <c r="K1479" s="1192" t="s">
        <v>2717</v>
      </c>
      <c r="V1479" s="1192">
        <v>56</v>
      </c>
    </row>
    <row r="1480" spans="1:22" s="1192" customFormat="1" ht="14.4" x14ac:dyDescent="0.3">
      <c r="A1480" s="1192" t="s">
        <v>171</v>
      </c>
      <c r="E1480" s="1743" t="s">
        <v>4408</v>
      </c>
      <c r="F1480" s="1743"/>
      <c r="G1480" s="1743"/>
      <c r="H1480" s="1743"/>
      <c r="K1480" s="1192" t="s">
        <v>2717</v>
      </c>
      <c r="V1480" s="1192">
        <v>382</v>
      </c>
    </row>
    <row r="1481" spans="1:22" s="1192" customFormat="1" ht="14.4" x14ac:dyDescent="0.3">
      <c r="A1481" s="1192" t="s">
        <v>171</v>
      </c>
      <c r="E1481" s="1750" t="s">
        <v>2389</v>
      </c>
      <c r="F1481" s="1743"/>
      <c r="G1481" s="1743"/>
      <c r="H1481" s="1743"/>
      <c r="K1481" s="1192" t="s">
        <v>2529</v>
      </c>
      <c r="V1481" s="1192">
        <v>11</v>
      </c>
    </row>
    <row r="1482" spans="1:22" s="1192" customFormat="1" ht="14.4" x14ac:dyDescent="0.3">
      <c r="A1482" s="1192" t="s">
        <v>171</v>
      </c>
      <c r="E1482" s="1743" t="s">
        <v>2391</v>
      </c>
      <c r="F1482" s="1743"/>
      <c r="G1482" s="1743"/>
      <c r="H1482" s="1743"/>
      <c r="K1482" s="1192" t="s">
        <v>2717</v>
      </c>
      <c r="V1482" s="1192">
        <v>280</v>
      </c>
    </row>
    <row r="1483" spans="1:22" s="1192" customFormat="1" ht="14.4" x14ac:dyDescent="0.3">
      <c r="A1483" s="1192" t="s">
        <v>171</v>
      </c>
      <c r="E1483" s="1743" t="s">
        <v>2392</v>
      </c>
      <c r="F1483" s="1743"/>
      <c r="G1483" s="1743"/>
      <c r="H1483" s="1743"/>
      <c r="K1483" s="1192" t="s">
        <v>2717</v>
      </c>
      <c r="V1483" s="1192">
        <v>411</v>
      </c>
    </row>
    <row r="1484" spans="1:22" s="1192" customFormat="1" ht="14.4" x14ac:dyDescent="0.3">
      <c r="A1484" s="1192" t="s">
        <v>171</v>
      </c>
      <c r="E1484" s="1743" t="s">
        <v>4409</v>
      </c>
      <c r="F1484" s="1743"/>
      <c r="G1484" s="1743"/>
      <c r="H1484" s="1743"/>
      <c r="K1484" s="1192" t="s">
        <v>2717</v>
      </c>
      <c r="V1484" s="1192">
        <v>386</v>
      </c>
    </row>
    <row r="1485" spans="1:22" s="1192" customFormat="1" ht="14.4" x14ac:dyDescent="0.3">
      <c r="A1485" s="1192" t="s">
        <v>171</v>
      </c>
      <c r="E1485" s="1751" t="s">
        <v>4503</v>
      </c>
      <c r="F1485" s="1751"/>
      <c r="G1485" s="1751"/>
      <c r="H1485" s="1751"/>
      <c r="K1485" s="1192" t="s">
        <v>2717</v>
      </c>
      <c r="V1485" s="1192">
        <v>677</v>
      </c>
    </row>
    <row r="1486" spans="1:22" s="1192" customFormat="1" ht="14.4" x14ac:dyDescent="0.3">
      <c r="A1486" s="1192" t="s">
        <v>171</v>
      </c>
      <c r="E1486" s="1751" t="s">
        <v>4644</v>
      </c>
      <c r="F1486" s="1751"/>
      <c r="G1486" s="1751"/>
      <c r="H1486" s="1751"/>
      <c r="K1486" s="1192" t="s">
        <v>2717</v>
      </c>
      <c r="V1486" s="1192">
        <v>693</v>
      </c>
    </row>
    <row r="1487" spans="1:22" s="1192" customFormat="1" ht="14.4" x14ac:dyDescent="0.3">
      <c r="A1487" s="1192" t="s">
        <v>171</v>
      </c>
      <c r="E1487" s="1743" t="s">
        <v>4500</v>
      </c>
      <c r="F1487" s="1743"/>
      <c r="G1487" s="1743"/>
      <c r="H1487" s="1743"/>
      <c r="K1487" s="1192" t="s">
        <v>2717</v>
      </c>
      <c r="V1487" s="1192">
        <v>247</v>
      </c>
    </row>
    <row r="1488" spans="1:22" s="1192" customFormat="1" ht="14.4" x14ac:dyDescent="0.3">
      <c r="A1488" s="1192" t="s">
        <v>171</v>
      </c>
      <c r="E1488" s="1750" t="s">
        <v>2394</v>
      </c>
      <c r="F1488" s="1743"/>
      <c r="G1488" s="1743"/>
      <c r="H1488" s="1743"/>
      <c r="K1488" s="1192" t="s">
        <v>2531</v>
      </c>
      <c r="V1488" s="1192">
        <v>46</v>
      </c>
    </row>
    <row r="1489" spans="1:22" s="1192" customFormat="1" ht="14.4" x14ac:dyDescent="0.3">
      <c r="A1489" s="1192" t="s">
        <v>171</v>
      </c>
      <c r="E1489" s="1741" t="s">
        <v>7</v>
      </c>
      <c r="F1489" s="1741"/>
      <c r="G1489" s="524" t="s">
        <v>19</v>
      </c>
      <c r="H1489" s="1218">
        <v>705.89</v>
      </c>
      <c r="K1489" s="1192" t="s">
        <v>2717</v>
      </c>
      <c r="L1489" s="1192" t="s">
        <v>430</v>
      </c>
      <c r="P1489" s="1192" t="s">
        <v>2718</v>
      </c>
      <c r="V1489" s="1192">
        <v>14</v>
      </c>
    </row>
    <row r="1490" spans="1:22" s="1192" customFormat="1" ht="14.4" x14ac:dyDescent="0.3">
      <c r="A1490" s="1192" t="s">
        <v>171</v>
      </c>
      <c r="E1490" s="1741" t="s">
        <v>80</v>
      </c>
      <c r="F1490" s="1741"/>
      <c r="G1490" s="524" t="s">
        <v>29</v>
      </c>
      <c r="H1490" s="1219">
        <v>3.2704</v>
      </c>
      <c r="K1490" s="1192" t="s">
        <v>2717</v>
      </c>
      <c r="L1490" s="1192" t="s">
        <v>430</v>
      </c>
      <c r="P1490" s="1192" t="s">
        <v>2719</v>
      </c>
      <c r="V1490" s="1192">
        <v>28</v>
      </c>
    </row>
    <row r="1491" spans="1:22" s="1192" customFormat="1" ht="14.4" x14ac:dyDescent="0.3">
      <c r="A1491" s="1192" t="s">
        <v>171</v>
      </c>
      <c r="E1491" s="1741" t="s">
        <v>14</v>
      </c>
      <c r="F1491" s="1741"/>
      <c r="G1491" s="524" t="s">
        <v>29</v>
      </c>
      <c r="H1491" s="1219">
        <v>1.1778</v>
      </c>
      <c r="K1491" s="1192" t="s">
        <v>2717</v>
      </c>
      <c r="L1491" s="1192" t="s">
        <v>431</v>
      </c>
      <c r="P1491" s="1192" t="s">
        <v>2720</v>
      </c>
      <c r="V1491" s="1192">
        <v>24</v>
      </c>
    </row>
    <row r="1492" spans="1:22" s="1192" customFormat="1" ht="14.4" x14ac:dyDescent="0.3">
      <c r="A1492" s="1192" t="s">
        <v>171</v>
      </c>
      <c r="E1492" s="1741" t="s">
        <v>6122</v>
      </c>
      <c r="F1492" s="1998"/>
      <c r="G1492" s="524" t="s">
        <v>29</v>
      </c>
      <c r="H1492" s="1219">
        <v>-0.318</v>
      </c>
      <c r="K1492" s="1192" t="s">
        <v>2717</v>
      </c>
      <c r="L1492" s="1192" t="s">
        <v>430</v>
      </c>
      <c r="P1492" s="1192" t="s">
        <v>4410</v>
      </c>
      <c r="T1492" s="1192">
        <v>44196</v>
      </c>
      <c r="V1492" s="1192">
        <v>139</v>
      </c>
    </row>
    <row r="1493" spans="1:22" s="1192" customFormat="1" ht="14.4" x14ac:dyDescent="0.3">
      <c r="A1493" s="1192" t="s">
        <v>171</v>
      </c>
      <c r="E1493" s="1741" t="s">
        <v>4538</v>
      </c>
      <c r="F1493" s="1741"/>
      <c r="G1493" s="524" t="s">
        <v>29</v>
      </c>
      <c r="H1493" s="1219">
        <v>-1.95E-2</v>
      </c>
      <c r="K1493" s="1192" t="s">
        <v>2717</v>
      </c>
      <c r="L1493" s="1192" t="s">
        <v>430</v>
      </c>
      <c r="P1493" s="1192" t="s">
        <v>4410</v>
      </c>
      <c r="T1493" s="1192">
        <v>44561</v>
      </c>
      <c r="V1493" s="1192">
        <v>139</v>
      </c>
    </row>
    <row r="1494" spans="1:22" s="1192" customFormat="1" ht="14.4" x14ac:dyDescent="0.3">
      <c r="A1494" s="1192" t="s">
        <v>171</v>
      </c>
      <c r="E1494" s="1741" t="s">
        <v>4535</v>
      </c>
      <c r="F1494" s="1741"/>
      <c r="G1494" s="524" t="s">
        <v>29</v>
      </c>
      <c r="H1494" s="1219">
        <v>-4.7699999999999999E-2</v>
      </c>
      <c r="K1494" s="1192" t="s">
        <v>2717</v>
      </c>
      <c r="L1494" s="1192" t="s">
        <v>430</v>
      </c>
      <c r="P1494" s="1192" t="s">
        <v>6131</v>
      </c>
      <c r="T1494" s="1192">
        <v>44196</v>
      </c>
      <c r="V1494" s="1192">
        <v>103</v>
      </c>
    </row>
    <row r="1495" spans="1:22" s="1192" customFormat="1" ht="14.4" x14ac:dyDescent="0.3">
      <c r="A1495" s="1192" t="s">
        <v>171</v>
      </c>
      <c r="E1495" s="1741" t="s">
        <v>4536</v>
      </c>
      <c r="F1495" s="1741"/>
      <c r="G1495" s="524" t="s">
        <v>29</v>
      </c>
      <c r="H1495" s="1219">
        <v>-6.3600000000000004E-2</v>
      </c>
      <c r="J1495" s="1192" t="s">
        <v>603</v>
      </c>
      <c r="K1495" s="1192" t="s">
        <v>2717</v>
      </c>
      <c r="L1495" s="1192" t="s">
        <v>430</v>
      </c>
      <c r="P1495" s="1192" t="s">
        <v>6132</v>
      </c>
      <c r="T1495" s="1192">
        <v>44561</v>
      </c>
      <c r="V1495" s="1192">
        <v>103</v>
      </c>
    </row>
    <row r="1496" spans="1:22" s="1192" customFormat="1" ht="14.4" x14ac:dyDescent="0.3">
      <c r="A1496" s="1192" t="s">
        <v>171</v>
      </c>
      <c r="E1496" s="1741" t="s">
        <v>4537</v>
      </c>
      <c r="F1496" s="1741"/>
      <c r="G1496" s="524" t="s">
        <v>29</v>
      </c>
      <c r="H1496" s="1219">
        <v>-3.3000000000000002E-2</v>
      </c>
      <c r="J1496" s="1192" t="s">
        <v>7382</v>
      </c>
      <c r="K1496" s="1192" t="s">
        <v>2717</v>
      </c>
      <c r="L1496" s="1192" t="s">
        <v>430</v>
      </c>
      <c r="P1496" s="1192" t="s">
        <v>6133</v>
      </c>
      <c r="V1496" s="1192">
        <v>159</v>
      </c>
    </row>
    <row r="1497" spans="1:22" s="1192" customFormat="1" ht="14.4" x14ac:dyDescent="0.3">
      <c r="A1497" s="1192" t="s">
        <v>171</v>
      </c>
      <c r="E1497" s="1741" t="s">
        <v>213</v>
      </c>
      <c r="F1497" s="1741"/>
      <c r="G1497" s="524" t="s">
        <v>29</v>
      </c>
      <c r="H1497" s="1219">
        <v>2.7305000000000001</v>
      </c>
      <c r="K1497" s="1192" t="s">
        <v>2717</v>
      </c>
      <c r="L1497" s="1192" t="s">
        <v>432</v>
      </c>
      <c r="P1497" s="1192" t="s">
        <v>2721</v>
      </c>
      <c r="V1497" s="1192">
        <v>47</v>
      </c>
    </row>
    <row r="1498" spans="1:22" s="1192" customFormat="1" ht="14.4" x14ac:dyDescent="0.3">
      <c r="A1498" s="1192" t="s">
        <v>171</v>
      </c>
      <c r="E1498" s="1741" t="s">
        <v>209</v>
      </c>
      <c r="F1498" s="1741"/>
      <c r="G1498" s="524" t="s">
        <v>29</v>
      </c>
      <c r="H1498" s="1219">
        <v>2.3595000000000002</v>
      </c>
      <c r="K1498" s="1192" t="s">
        <v>2717</v>
      </c>
      <c r="L1498" s="1192" t="s">
        <v>432</v>
      </c>
      <c r="P1498" s="1192" t="s">
        <v>2722</v>
      </c>
      <c r="V1498" s="1192">
        <v>74</v>
      </c>
    </row>
    <row r="1499" spans="1:22" s="1192" customFormat="1" ht="14.4" x14ac:dyDescent="0.3">
      <c r="A1499" s="1192" t="s">
        <v>171</v>
      </c>
      <c r="E1499" s="1750" t="s">
        <v>2405</v>
      </c>
      <c r="F1499" s="1741"/>
      <c r="G1499" s="1277"/>
      <c r="H1499" s="896"/>
      <c r="K1499" s="1192" t="s">
        <v>2532</v>
      </c>
      <c r="V1499" s="1192">
        <v>48</v>
      </c>
    </row>
    <row r="1500" spans="1:22" s="1192" customFormat="1" ht="14.4" x14ac:dyDescent="0.3">
      <c r="A1500" s="1192" t="s">
        <v>171</v>
      </c>
      <c r="E1500" s="1741" t="s">
        <v>2033</v>
      </c>
      <c r="F1500" s="1741"/>
      <c r="G1500" s="524" t="s">
        <v>20</v>
      </c>
      <c r="H1500" s="1219">
        <v>3.0000000000000001E-3</v>
      </c>
      <c r="K1500" s="1192" t="s">
        <v>2717</v>
      </c>
      <c r="L1500" s="1192" t="s">
        <v>2374</v>
      </c>
      <c r="P1500" s="1192" t="s">
        <v>2723</v>
      </c>
      <c r="V1500" s="1192">
        <v>55</v>
      </c>
    </row>
    <row r="1501" spans="1:22" s="1192" customFormat="1" ht="14.4" x14ac:dyDescent="0.3">
      <c r="A1501" s="1192" t="s">
        <v>171</v>
      </c>
      <c r="E1501" s="1741" t="s">
        <v>2034</v>
      </c>
      <c r="F1501" s="1741"/>
      <c r="G1501" s="524" t="s">
        <v>20</v>
      </c>
      <c r="H1501" s="1219">
        <v>4.0000000000000002E-4</v>
      </c>
      <c r="K1501" s="1192" t="s">
        <v>2717</v>
      </c>
      <c r="L1501" s="1192" t="s">
        <v>2374</v>
      </c>
      <c r="P1501" s="1192" t="s">
        <v>2723</v>
      </c>
      <c r="V1501" s="1192">
        <v>65</v>
      </c>
    </row>
    <row r="1502" spans="1:22" s="1192" customFormat="1" ht="14.4" x14ac:dyDescent="0.3">
      <c r="A1502" s="1192" t="s">
        <v>171</v>
      </c>
      <c r="E1502" s="1741" t="s">
        <v>428</v>
      </c>
      <c r="F1502" s="1741"/>
      <c r="G1502" s="524" t="s">
        <v>20</v>
      </c>
      <c r="H1502" s="1219">
        <v>5.0000000000000001E-4</v>
      </c>
      <c r="K1502" s="1192" t="s">
        <v>2717</v>
      </c>
      <c r="L1502" s="1192" t="s">
        <v>2374</v>
      </c>
      <c r="P1502" s="1192" t="s">
        <v>2724</v>
      </c>
      <c r="V1502" s="1192">
        <v>57</v>
      </c>
    </row>
    <row r="1503" spans="1:22" s="1192" customFormat="1" ht="14.4" x14ac:dyDescent="0.3">
      <c r="A1503" s="1192" t="s">
        <v>171</v>
      </c>
      <c r="E1503" s="1741" t="s">
        <v>28</v>
      </c>
      <c r="F1503" s="1741"/>
      <c r="G1503" s="524" t="s">
        <v>19</v>
      </c>
      <c r="H1503" s="1218">
        <v>0.25</v>
      </c>
      <c r="K1503" s="1192" t="s">
        <v>2717</v>
      </c>
      <c r="L1503" s="1192" t="s">
        <v>2374</v>
      </c>
      <c r="P1503" s="1192" t="s">
        <v>2725</v>
      </c>
      <c r="V1503" s="1192">
        <v>63</v>
      </c>
    </row>
    <row r="1504" spans="1:22" s="1192" customFormat="1" ht="17.399999999999999" x14ac:dyDescent="0.3">
      <c r="A1504" s="1192" t="s">
        <v>171</v>
      </c>
      <c r="E1504" s="1746" t="s">
        <v>592</v>
      </c>
      <c r="F1504" s="1747"/>
      <c r="G1504" s="1747"/>
      <c r="H1504" s="1747"/>
      <c r="K1504" s="1192" t="s">
        <v>2726</v>
      </c>
      <c r="V1504" s="1192">
        <v>47</v>
      </c>
    </row>
    <row r="1505" spans="1:22" s="1192" customFormat="1" ht="14.4" x14ac:dyDescent="0.3">
      <c r="A1505" s="1192" t="s">
        <v>171</v>
      </c>
      <c r="E1505" s="1743" t="s">
        <v>4411</v>
      </c>
      <c r="F1505" s="1743"/>
      <c r="G1505" s="1743"/>
      <c r="H1505" s="1743"/>
      <c r="K1505" s="1192" t="s">
        <v>2726</v>
      </c>
      <c r="V1505" s="1192">
        <v>736</v>
      </c>
    </row>
    <row r="1506" spans="1:22" s="1192" customFormat="1" ht="14.4" x14ac:dyDescent="0.3">
      <c r="A1506" s="1192" t="s">
        <v>171</v>
      </c>
      <c r="E1506" s="1750" t="s">
        <v>2389</v>
      </c>
      <c r="F1506" s="1743"/>
      <c r="G1506" s="1743"/>
      <c r="H1506" s="1743"/>
      <c r="K1506" s="1192" t="s">
        <v>2424</v>
      </c>
      <c r="V1506" s="1192">
        <v>11</v>
      </c>
    </row>
    <row r="1507" spans="1:22" s="1192" customFormat="1" ht="14.4" x14ac:dyDescent="0.3">
      <c r="A1507" s="1192" t="s">
        <v>171</v>
      </c>
      <c r="E1507" s="1743" t="s">
        <v>2391</v>
      </c>
      <c r="F1507" s="1743"/>
      <c r="G1507" s="1743"/>
      <c r="H1507" s="1743"/>
      <c r="K1507" s="1192" t="s">
        <v>2726</v>
      </c>
      <c r="V1507" s="1192">
        <v>280</v>
      </c>
    </row>
    <row r="1508" spans="1:22" s="1192" customFormat="1" ht="14.4" x14ac:dyDescent="0.3">
      <c r="A1508" s="1192" t="s">
        <v>171</v>
      </c>
      <c r="E1508" s="1743" t="s">
        <v>2392</v>
      </c>
      <c r="F1508" s="1743"/>
      <c r="G1508" s="1743"/>
      <c r="H1508" s="1743"/>
      <c r="K1508" s="1192" t="s">
        <v>2726</v>
      </c>
      <c r="V1508" s="1192">
        <v>411</v>
      </c>
    </row>
    <row r="1509" spans="1:22" s="1192" customFormat="1" ht="14.4" x14ac:dyDescent="0.3">
      <c r="A1509" s="1192" t="s">
        <v>171</v>
      </c>
      <c r="E1509" s="1743" t="s">
        <v>2508</v>
      </c>
      <c r="F1509" s="1743"/>
      <c r="G1509" s="1743"/>
      <c r="H1509" s="1743"/>
      <c r="K1509" s="1192" t="s">
        <v>2726</v>
      </c>
      <c r="V1509" s="1192">
        <v>386</v>
      </c>
    </row>
    <row r="1510" spans="1:22" s="1192" customFormat="1" ht="14.4" x14ac:dyDescent="0.3">
      <c r="A1510" s="1192" t="s">
        <v>171</v>
      </c>
      <c r="E1510" s="1743" t="s">
        <v>4500</v>
      </c>
      <c r="F1510" s="1743"/>
      <c r="G1510" s="1743"/>
      <c r="H1510" s="1743"/>
      <c r="K1510" s="1192" t="s">
        <v>2726</v>
      </c>
      <c r="V1510" s="1192">
        <v>247</v>
      </c>
    </row>
    <row r="1511" spans="1:22" s="1192" customFormat="1" ht="14.4" x14ac:dyDescent="0.3">
      <c r="A1511" s="1192" t="s">
        <v>171</v>
      </c>
      <c r="E1511" s="1750" t="s">
        <v>2394</v>
      </c>
      <c r="F1511" s="1743"/>
      <c r="G1511" s="1743"/>
      <c r="H1511" s="1743"/>
      <c r="K1511" s="1192" t="s">
        <v>2425</v>
      </c>
      <c r="V1511" s="1192">
        <v>46</v>
      </c>
    </row>
    <row r="1512" spans="1:22" s="1192" customFormat="1" ht="14.4" x14ac:dyDescent="0.3">
      <c r="A1512" s="1192" t="s">
        <v>171</v>
      </c>
      <c r="E1512" s="1741" t="s">
        <v>9</v>
      </c>
      <c r="F1512" s="1741"/>
      <c r="G1512" s="524" t="s">
        <v>19</v>
      </c>
      <c r="H1512" s="1218">
        <v>8.0500000000000007</v>
      </c>
      <c r="K1512" s="1192" t="s">
        <v>2726</v>
      </c>
      <c r="L1512" s="1192" t="s">
        <v>430</v>
      </c>
      <c r="P1512" s="1192" t="s">
        <v>2727</v>
      </c>
      <c r="V1512" s="1192">
        <v>29</v>
      </c>
    </row>
    <row r="1513" spans="1:22" s="1192" customFormat="1" ht="14.4" x14ac:dyDescent="0.3">
      <c r="A1513" s="1192" t="s">
        <v>171</v>
      </c>
      <c r="E1513" s="1741" t="s">
        <v>80</v>
      </c>
      <c r="F1513" s="1741"/>
      <c r="G1513" s="524" t="s">
        <v>20</v>
      </c>
      <c r="H1513" s="1219">
        <v>1.26E-2</v>
      </c>
      <c r="K1513" s="1192" t="s">
        <v>2726</v>
      </c>
      <c r="L1513" s="1192" t="s">
        <v>430</v>
      </c>
      <c r="P1513" s="1192" t="s">
        <v>2728</v>
      </c>
      <c r="V1513" s="1192">
        <v>28</v>
      </c>
    </row>
    <row r="1514" spans="1:22" s="1192" customFormat="1" ht="14.4" x14ac:dyDescent="0.3">
      <c r="A1514" s="1192" t="s">
        <v>171</v>
      </c>
      <c r="E1514" s="1741" t="s">
        <v>14</v>
      </c>
      <c r="F1514" s="1741"/>
      <c r="G1514" s="524" t="s">
        <v>20</v>
      </c>
      <c r="H1514" s="1219">
        <v>2.7000000000000001E-3</v>
      </c>
      <c r="K1514" s="1192" t="s">
        <v>2726</v>
      </c>
      <c r="L1514" s="1192" t="s">
        <v>431</v>
      </c>
      <c r="P1514" s="1192" t="s">
        <v>2729</v>
      </c>
      <c r="V1514" s="1192">
        <v>24</v>
      </c>
    </row>
    <row r="1515" spans="1:22" s="1192" customFormat="1" ht="14.4" x14ac:dyDescent="0.3">
      <c r="A1515" s="1192" t="s">
        <v>171</v>
      </c>
      <c r="E1515" s="1741" t="s">
        <v>4538</v>
      </c>
      <c r="F1515" s="1741"/>
      <c r="G1515" s="524" t="s">
        <v>20</v>
      </c>
      <c r="H1515" s="1219">
        <v>-1E-4</v>
      </c>
      <c r="K1515" s="1192" t="s">
        <v>2726</v>
      </c>
      <c r="L1515" s="1192" t="s">
        <v>430</v>
      </c>
      <c r="P1515" s="1192" t="s">
        <v>2730</v>
      </c>
      <c r="T1515" s="1192">
        <v>44561</v>
      </c>
      <c r="V1515" s="1192">
        <v>139</v>
      </c>
    </row>
    <row r="1516" spans="1:22" s="1192" customFormat="1" ht="14.4" x14ac:dyDescent="0.3">
      <c r="A1516" s="1192" t="s">
        <v>171</v>
      </c>
      <c r="E1516" s="1741" t="s">
        <v>4535</v>
      </c>
      <c r="F1516" s="1741"/>
      <c r="G1516" s="524" t="s">
        <v>20</v>
      </c>
      <c r="H1516" s="1219">
        <v>-2.0000000000000001E-4</v>
      </c>
      <c r="K1516" s="1192" t="s">
        <v>2726</v>
      </c>
      <c r="L1516" s="1192" t="s">
        <v>430</v>
      </c>
      <c r="P1516" s="1192" t="s">
        <v>6134</v>
      </c>
      <c r="T1516" s="1192">
        <v>44196</v>
      </c>
      <c r="V1516" s="1192">
        <v>103</v>
      </c>
    </row>
    <row r="1517" spans="1:22" s="1192" customFormat="1" ht="14.4" x14ac:dyDescent="0.3">
      <c r="A1517" s="1192" t="s">
        <v>171</v>
      </c>
      <c r="E1517" s="1741" t="s">
        <v>4536</v>
      </c>
      <c r="F1517" s="1741"/>
      <c r="G1517" s="524" t="s">
        <v>20</v>
      </c>
      <c r="H1517" s="1219">
        <v>-2.9999999999999997E-4</v>
      </c>
      <c r="J1517" s="1192" t="s">
        <v>603</v>
      </c>
      <c r="K1517" s="1192" t="s">
        <v>2726</v>
      </c>
      <c r="L1517" s="1192" t="s">
        <v>430</v>
      </c>
      <c r="P1517" s="1192" t="s">
        <v>6135</v>
      </c>
      <c r="T1517" s="1192">
        <v>44561</v>
      </c>
      <c r="V1517" s="1192">
        <v>103</v>
      </c>
    </row>
    <row r="1518" spans="1:22" s="1192" customFormat="1" ht="14.4" x14ac:dyDescent="0.3">
      <c r="A1518" s="1192" t="s">
        <v>171</v>
      </c>
      <c r="E1518" s="1741" t="s">
        <v>4537</v>
      </c>
      <c r="F1518" s="1741"/>
      <c r="G1518" s="524" t="s">
        <v>20</v>
      </c>
      <c r="H1518" s="1219">
        <v>-2.0000000000000001E-4</v>
      </c>
      <c r="J1518" s="1192" t="s">
        <v>7382</v>
      </c>
      <c r="K1518" s="1192" t="s">
        <v>2726</v>
      </c>
      <c r="L1518" s="1192" t="s">
        <v>430</v>
      </c>
      <c r="P1518" s="1192" t="s">
        <v>6136</v>
      </c>
      <c r="V1518" s="1192">
        <v>159</v>
      </c>
    </row>
    <row r="1519" spans="1:22" s="1192" customFormat="1" ht="14.4" x14ac:dyDescent="0.3">
      <c r="A1519" s="1192" t="s">
        <v>171</v>
      </c>
      <c r="E1519" s="1741" t="s">
        <v>213</v>
      </c>
      <c r="F1519" s="1741"/>
      <c r="G1519" s="524" t="s">
        <v>20</v>
      </c>
      <c r="H1519" s="1219">
        <v>6.1000000000000004E-3</v>
      </c>
      <c r="K1519" s="1192" t="s">
        <v>2726</v>
      </c>
      <c r="L1519" s="1192" t="s">
        <v>432</v>
      </c>
      <c r="P1519" s="1192" t="s">
        <v>2731</v>
      </c>
      <c r="V1519" s="1192">
        <v>47</v>
      </c>
    </row>
    <row r="1520" spans="1:22" s="1192" customFormat="1" ht="14.4" x14ac:dyDescent="0.3">
      <c r="A1520" s="1192" t="s">
        <v>171</v>
      </c>
      <c r="E1520" s="1741" t="s">
        <v>209</v>
      </c>
      <c r="F1520" s="1741"/>
      <c r="G1520" s="524" t="s">
        <v>20</v>
      </c>
      <c r="H1520" s="1219">
        <v>5.1000000000000004E-3</v>
      </c>
      <c r="K1520" s="1192" t="s">
        <v>2726</v>
      </c>
      <c r="L1520" s="1192" t="s">
        <v>432</v>
      </c>
      <c r="P1520" s="1192" t="s">
        <v>2732</v>
      </c>
      <c r="V1520" s="1192">
        <v>74</v>
      </c>
    </row>
    <row r="1521" spans="1:22" s="1192" customFormat="1" ht="14.4" x14ac:dyDescent="0.3">
      <c r="A1521" s="1192" t="s">
        <v>171</v>
      </c>
      <c r="E1521" s="1750" t="s">
        <v>2405</v>
      </c>
      <c r="F1521" s="1741"/>
      <c r="G1521" s="1277"/>
      <c r="H1521" s="896"/>
      <c r="K1521" s="1192" t="s">
        <v>2427</v>
      </c>
      <c r="V1521" s="1192">
        <v>48</v>
      </c>
    </row>
    <row r="1522" spans="1:22" s="1192" customFormat="1" ht="14.4" x14ac:dyDescent="0.3">
      <c r="A1522" s="1192" t="s">
        <v>171</v>
      </c>
      <c r="E1522" s="1741" t="s">
        <v>2033</v>
      </c>
      <c r="F1522" s="1741"/>
      <c r="G1522" s="524" t="s">
        <v>20</v>
      </c>
      <c r="H1522" s="1219">
        <v>3.0000000000000001E-3</v>
      </c>
      <c r="K1522" s="1192" t="s">
        <v>2726</v>
      </c>
      <c r="L1522" s="1192" t="s">
        <v>2374</v>
      </c>
      <c r="P1522" s="1192" t="s">
        <v>2733</v>
      </c>
      <c r="V1522" s="1192">
        <v>55</v>
      </c>
    </row>
    <row r="1523" spans="1:22" s="1192" customFormat="1" ht="14.4" x14ac:dyDescent="0.3">
      <c r="A1523" s="1192" t="s">
        <v>171</v>
      </c>
      <c r="E1523" s="1741" t="s">
        <v>2034</v>
      </c>
      <c r="F1523" s="1741"/>
      <c r="G1523" s="524" t="s">
        <v>20</v>
      </c>
      <c r="H1523" s="1219">
        <v>4.0000000000000002E-4</v>
      </c>
      <c r="K1523" s="1192" t="s">
        <v>2726</v>
      </c>
      <c r="L1523" s="1192" t="s">
        <v>2374</v>
      </c>
      <c r="P1523" s="1192" t="s">
        <v>2733</v>
      </c>
      <c r="V1523" s="1192">
        <v>65</v>
      </c>
    </row>
    <row r="1524" spans="1:22" s="1192" customFormat="1" ht="14.4" x14ac:dyDescent="0.3">
      <c r="A1524" s="1192" t="s">
        <v>171</v>
      </c>
      <c r="E1524" s="1741" t="s">
        <v>428</v>
      </c>
      <c r="F1524" s="1741"/>
      <c r="G1524" s="524" t="s">
        <v>20</v>
      </c>
      <c r="H1524" s="1219">
        <v>5.0000000000000001E-4</v>
      </c>
      <c r="K1524" s="1192" t="s">
        <v>2726</v>
      </c>
      <c r="L1524" s="1192" t="s">
        <v>2374</v>
      </c>
      <c r="P1524" s="1192" t="s">
        <v>2734</v>
      </c>
      <c r="V1524" s="1192">
        <v>57</v>
      </c>
    </row>
    <row r="1525" spans="1:22" s="1192" customFormat="1" ht="14.4" x14ac:dyDescent="0.3">
      <c r="A1525" s="1192" t="s">
        <v>171</v>
      </c>
      <c r="E1525" s="1741" t="s">
        <v>28</v>
      </c>
      <c r="F1525" s="1741"/>
      <c r="G1525" s="524" t="s">
        <v>19</v>
      </c>
      <c r="H1525" s="1218">
        <v>0.25</v>
      </c>
      <c r="K1525" s="1192" t="s">
        <v>2726</v>
      </c>
      <c r="L1525" s="1192" t="s">
        <v>2374</v>
      </c>
      <c r="P1525" s="1192" t="s">
        <v>2735</v>
      </c>
      <c r="V1525" s="1192">
        <v>63</v>
      </c>
    </row>
    <row r="1526" spans="1:22" s="1192" customFormat="1" ht="17.399999999999999" x14ac:dyDescent="0.3">
      <c r="A1526" s="1192" t="s">
        <v>171</v>
      </c>
      <c r="E1526" s="1746" t="s">
        <v>604</v>
      </c>
      <c r="F1526" s="1747"/>
      <c r="G1526" s="1747"/>
      <c r="H1526" s="1747"/>
      <c r="K1526" s="1192" t="s">
        <v>2736</v>
      </c>
      <c r="V1526" s="1192">
        <v>40</v>
      </c>
    </row>
    <row r="1527" spans="1:22" s="1192" customFormat="1" ht="14.4" x14ac:dyDescent="0.3">
      <c r="A1527" s="1192" t="s">
        <v>171</v>
      </c>
      <c r="E1527" s="1743" t="s">
        <v>4412</v>
      </c>
      <c r="F1527" s="1743"/>
      <c r="G1527" s="1743"/>
      <c r="H1527" s="1743"/>
      <c r="K1527" s="1192" t="s">
        <v>2736</v>
      </c>
      <c r="V1527" s="1192">
        <v>298</v>
      </c>
    </row>
    <row r="1528" spans="1:22" s="1192" customFormat="1" ht="14.4" x14ac:dyDescent="0.3">
      <c r="A1528" s="1192" t="s">
        <v>171</v>
      </c>
      <c r="E1528" s="1750" t="s">
        <v>2389</v>
      </c>
      <c r="F1528" s="1743"/>
      <c r="G1528" s="1743"/>
      <c r="H1528" s="1743"/>
      <c r="K1528" s="1192" t="s">
        <v>2430</v>
      </c>
      <c r="V1528" s="1192">
        <v>11</v>
      </c>
    </row>
    <row r="1529" spans="1:22" s="1192" customFormat="1" ht="14.4" x14ac:dyDescent="0.3">
      <c r="A1529" s="1192" t="s">
        <v>171</v>
      </c>
      <c r="E1529" s="1743" t="s">
        <v>2391</v>
      </c>
      <c r="F1529" s="1743"/>
      <c r="G1529" s="1743"/>
      <c r="H1529" s="1743"/>
      <c r="K1529" s="1192" t="s">
        <v>2736</v>
      </c>
      <c r="V1529" s="1192">
        <v>280</v>
      </c>
    </row>
    <row r="1530" spans="1:22" s="1192" customFormat="1" ht="14.4" x14ac:dyDescent="0.3">
      <c r="A1530" s="1192" t="s">
        <v>171</v>
      </c>
      <c r="E1530" s="1743" t="s">
        <v>2392</v>
      </c>
      <c r="F1530" s="1743"/>
      <c r="G1530" s="1743"/>
      <c r="H1530" s="1743"/>
      <c r="K1530" s="1192" t="s">
        <v>2736</v>
      </c>
      <c r="V1530" s="1192">
        <v>411</v>
      </c>
    </row>
    <row r="1531" spans="1:22" s="1192" customFormat="1" ht="14.4" x14ac:dyDescent="0.3">
      <c r="A1531" s="1192" t="s">
        <v>171</v>
      </c>
      <c r="E1531" s="1743" t="s">
        <v>2508</v>
      </c>
      <c r="F1531" s="1743"/>
      <c r="G1531" s="1743"/>
      <c r="H1531" s="1743"/>
      <c r="K1531" s="1192" t="s">
        <v>2736</v>
      </c>
      <c r="V1531" s="1192">
        <v>386</v>
      </c>
    </row>
    <row r="1532" spans="1:22" s="1192" customFormat="1" ht="14.4" x14ac:dyDescent="0.3">
      <c r="A1532" s="1192" t="s">
        <v>171</v>
      </c>
      <c r="E1532" s="1743" t="s">
        <v>4500</v>
      </c>
      <c r="F1532" s="1743"/>
      <c r="G1532" s="1743"/>
      <c r="H1532" s="1743"/>
      <c r="K1532" s="1192" t="s">
        <v>2736</v>
      </c>
      <c r="V1532" s="1192">
        <v>247</v>
      </c>
    </row>
    <row r="1533" spans="1:22" s="1192" customFormat="1" ht="14.4" x14ac:dyDescent="0.3">
      <c r="A1533" s="1192" t="s">
        <v>171</v>
      </c>
      <c r="E1533" s="1750" t="s">
        <v>2394</v>
      </c>
      <c r="F1533" s="1743"/>
      <c r="G1533" s="1743"/>
      <c r="H1533" s="1743"/>
      <c r="K1533" s="1192" t="s">
        <v>2431</v>
      </c>
      <c r="V1533" s="1192">
        <v>46</v>
      </c>
    </row>
    <row r="1534" spans="1:22" s="1192" customFormat="1" ht="14.4" x14ac:dyDescent="0.3">
      <c r="A1534" s="1192" t="s">
        <v>171</v>
      </c>
      <c r="E1534" s="1741" t="s">
        <v>8</v>
      </c>
      <c r="F1534" s="1741"/>
      <c r="G1534" s="524" t="s">
        <v>19</v>
      </c>
      <c r="H1534" s="1218">
        <v>5.95</v>
      </c>
      <c r="K1534" s="1192" t="s">
        <v>2736</v>
      </c>
      <c r="L1534" s="1192" t="s">
        <v>430</v>
      </c>
      <c r="P1534" s="1192" t="s">
        <v>2737</v>
      </c>
      <c r="V1534" s="1192">
        <v>31</v>
      </c>
    </row>
    <row r="1535" spans="1:22" s="1192" customFormat="1" ht="14.4" x14ac:dyDescent="0.3">
      <c r="A1535" s="1192" t="s">
        <v>171</v>
      </c>
      <c r="E1535" s="1741" t="s">
        <v>80</v>
      </c>
      <c r="F1535" s="1741"/>
      <c r="G1535" s="524" t="s">
        <v>29</v>
      </c>
      <c r="H1535" s="1219">
        <v>15.737399999999999</v>
      </c>
      <c r="K1535" s="1192" t="s">
        <v>2736</v>
      </c>
      <c r="L1535" s="1192" t="s">
        <v>430</v>
      </c>
      <c r="P1535" s="1192" t="s">
        <v>2738</v>
      </c>
      <c r="V1535" s="1192">
        <v>28</v>
      </c>
    </row>
    <row r="1536" spans="1:22" s="1192" customFormat="1" ht="14.4" x14ac:dyDescent="0.3">
      <c r="A1536" s="1192" t="s">
        <v>171</v>
      </c>
      <c r="E1536" s="1741" t="s">
        <v>14</v>
      </c>
      <c r="F1536" s="1741"/>
      <c r="G1536" s="524" t="s">
        <v>29</v>
      </c>
      <c r="H1536" s="1219">
        <v>0.78820000000000001</v>
      </c>
      <c r="K1536" s="1192" t="s">
        <v>2736</v>
      </c>
      <c r="L1536" s="1192" t="s">
        <v>431</v>
      </c>
      <c r="P1536" s="1192" t="s">
        <v>2739</v>
      </c>
      <c r="V1536" s="1192">
        <v>24</v>
      </c>
    </row>
    <row r="1537" spans="1:22" s="1192" customFormat="1" ht="14.4" x14ac:dyDescent="0.3">
      <c r="A1537" s="1192" t="s">
        <v>171</v>
      </c>
      <c r="E1537" s="1741" t="s">
        <v>4538</v>
      </c>
      <c r="F1537" s="1741"/>
      <c r="G1537" s="524" t="s">
        <v>29</v>
      </c>
      <c r="H1537" s="1219">
        <v>-9.5100000000000004E-2</v>
      </c>
      <c r="K1537" s="1192" t="s">
        <v>2736</v>
      </c>
      <c r="L1537" s="1192" t="s">
        <v>430</v>
      </c>
      <c r="P1537" s="1192" t="s">
        <v>2740</v>
      </c>
      <c r="T1537" s="1192">
        <v>44561</v>
      </c>
      <c r="V1537" s="1192">
        <v>139</v>
      </c>
    </row>
    <row r="1538" spans="1:22" s="1192" customFormat="1" ht="14.4" x14ac:dyDescent="0.3">
      <c r="A1538" s="1192" t="s">
        <v>171</v>
      </c>
      <c r="E1538" s="1741" t="s">
        <v>4535</v>
      </c>
      <c r="F1538" s="1741"/>
      <c r="G1538" s="524" t="s">
        <v>29</v>
      </c>
      <c r="H1538" s="1219">
        <v>-0.57079999999999997</v>
      </c>
      <c r="K1538" s="1192" t="s">
        <v>2736</v>
      </c>
      <c r="L1538" s="1192" t="s">
        <v>430</v>
      </c>
      <c r="P1538" s="1192" t="s">
        <v>6137</v>
      </c>
      <c r="T1538" s="1192">
        <v>44196</v>
      </c>
      <c r="V1538" s="1192">
        <v>103</v>
      </c>
    </row>
    <row r="1539" spans="1:22" s="1192" customFormat="1" ht="14.4" x14ac:dyDescent="0.3">
      <c r="A1539" s="1192" t="s">
        <v>171</v>
      </c>
      <c r="E1539" s="1741" t="s">
        <v>4536</v>
      </c>
      <c r="F1539" s="1741"/>
      <c r="G1539" s="524" t="s">
        <v>29</v>
      </c>
      <c r="H1539" s="1219">
        <v>-0.76100000000000001</v>
      </c>
      <c r="J1539" s="1192" t="s">
        <v>603</v>
      </c>
      <c r="K1539" s="1192" t="s">
        <v>2736</v>
      </c>
      <c r="L1539" s="1192" t="s">
        <v>430</v>
      </c>
      <c r="P1539" s="1192" t="s">
        <v>6138</v>
      </c>
      <c r="T1539" s="1192">
        <v>44561</v>
      </c>
      <c r="V1539" s="1192">
        <v>103</v>
      </c>
    </row>
    <row r="1540" spans="1:22" s="1192" customFormat="1" ht="14.4" x14ac:dyDescent="0.3">
      <c r="A1540" s="1192" t="s">
        <v>171</v>
      </c>
      <c r="E1540" s="1741" t="s">
        <v>4537</v>
      </c>
      <c r="F1540" s="1741"/>
      <c r="G1540" s="524" t="s">
        <v>29</v>
      </c>
      <c r="H1540" s="1219">
        <v>-0.39489999999999997</v>
      </c>
      <c r="J1540" s="1192" t="s">
        <v>7382</v>
      </c>
      <c r="K1540" s="1192" t="s">
        <v>2736</v>
      </c>
      <c r="L1540" s="1192" t="s">
        <v>430</v>
      </c>
      <c r="P1540" s="1192" t="s">
        <v>6139</v>
      </c>
      <c r="V1540" s="1192">
        <v>159</v>
      </c>
    </row>
    <row r="1541" spans="1:22" s="1192" customFormat="1" ht="14.4" x14ac:dyDescent="0.3">
      <c r="A1541" s="1192" t="s">
        <v>171</v>
      </c>
      <c r="E1541" s="1741" t="s">
        <v>213</v>
      </c>
      <c r="F1541" s="1741"/>
      <c r="G1541" s="524" t="s">
        <v>29</v>
      </c>
      <c r="H1541" s="1219">
        <v>1.8505</v>
      </c>
      <c r="K1541" s="1192" t="s">
        <v>2736</v>
      </c>
      <c r="L1541" s="1192" t="s">
        <v>432</v>
      </c>
      <c r="P1541" s="1192" t="s">
        <v>2741</v>
      </c>
      <c r="V1541" s="1192">
        <v>47</v>
      </c>
    </row>
    <row r="1542" spans="1:22" s="1192" customFormat="1" ht="14.4" x14ac:dyDescent="0.3">
      <c r="A1542" s="1192" t="s">
        <v>171</v>
      </c>
      <c r="E1542" s="1741" t="s">
        <v>209</v>
      </c>
      <c r="F1542" s="1741"/>
      <c r="G1542" s="524" t="s">
        <v>29</v>
      </c>
      <c r="H1542" s="1219">
        <v>1.5789</v>
      </c>
      <c r="K1542" s="1192" t="s">
        <v>2736</v>
      </c>
      <c r="L1542" s="1192" t="s">
        <v>432</v>
      </c>
      <c r="P1542" s="1192" t="s">
        <v>2742</v>
      </c>
      <c r="V1542" s="1192">
        <v>74</v>
      </c>
    </row>
    <row r="1543" spans="1:22" s="1192" customFormat="1" ht="14.4" x14ac:dyDescent="0.3">
      <c r="A1543" s="1192" t="s">
        <v>171</v>
      </c>
      <c r="E1543" s="1750" t="s">
        <v>2405</v>
      </c>
      <c r="F1543" s="1741"/>
      <c r="G1543" s="1277"/>
      <c r="H1543" s="896"/>
      <c r="K1543" s="1192" t="s">
        <v>2438</v>
      </c>
      <c r="V1543" s="1192">
        <v>48</v>
      </c>
    </row>
    <row r="1544" spans="1:22" s="1192" customFormat="1" ht="14.4" x14ac:dyDescent="0.3">
      <c r="A1544" s="1192" t="s">
        <v>171</v>
      </c>
      <c r="E1544" s="1741" t="s">
        <v>2033</v>
      </c>
      <c r="F1544" s="1741"/>
      <c r="G1544" s="524" t="s">
        <v>20</v>
      </c>
      <c r="H1544" s="1219">
        <v>3.0000000000000001E-3</v>
      </c>
      <c r="K1544" s="1192" t="s">
        <v>2736</v>
      </c>
      <c r="L1544" s="1192" t="s">
        <v>2374</v>
      </c>
      <c r="P1544" s="1192" t="s">
        <v>2743</v>
      </c>
      <c r="V1544" s="1192">
        <v>55</v>
      </c>
    </row>
    <row r="1545" spans="1:22" s="1192" customFormat="1" ht="14.4" x14ac:dyDescent="0.3">
      <c r="A1545" s="1192" t="s">
        <v>171</v>
      </c>
      <c r="E1545" s="1741" t="s">
        <v>2034</v>
      </c>
      <c r="F1545" s="1741"/>
      <c r="G1545" s="524" t="s">
        <v>20</v>
      </c>
      <c r="H1545" s="1219">
        <v>4.0000000000000002E-4</v>
      </c>
      <c r="K1545" s="1192" t="s">
        <v>2736</v>
      </c>
      <c r="L1545" s="1192" t="s">
        <v>2374</v>
      </c>
      <c r="P1545" s="1192" t="s">
        <v>2743</v>
      </c>
      <c r="V1545" s="1192">
        <v>65</v>
      </c>
    </row>
    <row r="1546" spans="1:22" s="1192" customFormat="1" ht="14.4" x14ac:dyDescent="0.3">
      <c r="A1546" s="1192" t="s">
        <v>171</v>
      </c>
      <c r="E1546" s="1741" t="s">
        <v>428</v>
      </c>
      <c r="F1546" s="1741"/>
      <c r="G1546" s="524" t="s">
        <v>20</v>
      </c>
      <c r="H1546" s="1219">
        <v>5.0000000000000001E-4</v>
      </c>
      <c r="K1546" s="1192" t="s">
        <v>2736</v>
      </c>
      <c r="L1546" s="1192" t="s">
        <v>2374</v>
      </c>
      <c r="P1546" s="1192" t="s">
        <v>2744</v>
      </c>
      <c r="V1546" s="1192">
        <v>57</v>
      </c>
    </row>
    <row r="1547" spans="1:22" s="1192" customFormat="1" ht="14.4" x14ac:dyDescent="0.3">
      <c r="A1547" s="1192" t="s">
        <v>171</v>
      </c>
      <c r="E1547" s="1741" t="s">
        <v>28</v>
      </c>
      <c r="F1547" s="1741"/>
      <c r="G1547" s="524" t="s">
        <v>19</v>
      </c>
      <c r="H1547" s="1218">
        <v>0.25</v>
      </c>
      <c r="K1547" s="1192" t="s">
        <v>2736</v>
      </c>
      <c r="L1547" s="1192" t="s">
        <v>2374</v>
      </c>
      <c r="P1547" s="1192" t="s">
        <v>2745</v>
      </c>
      <c r="V1547" s="1192">
        <v>63</v>
      </c>
    </row>
    <row r="1548" spans="1:22" s="1192" customFormat="1" ht="17.399999999999999" x14ac:dyDescent="0.3">
      <c r="A1548" s="1192" t="s">
        <v>171</v>
      </c>
      <c r="E1548" s="1746" t="s">
        <v>590</v>
      </c>
      <c r="F1548" s="1747"/>
      <c r="G1548" s="1747"/>
      <c r="H1548" s="1747"/>
      <c r="K1548" s="1192" t="s">
        <v>2746</v>
      </c>
      <c r="V1548" s="1192">
        <v>38</v>
      </c>
    </row>
    <row r="1549" spans="1:22" s="1192" customFormat="1" ht="14.4" x14ac:dyDescent="0.3">
      <c r="A1549" s="1192" t="s">
        <v>171</v>
      </c>
      <c r="E1549" s="1743" t="s">
        <v>4413</v>
      </c>
      <c r="F1549" s="1743"/>
      <c r="G1549" s="1743"/>
      <c r="H1549" s="1743"/>
      <c r="K1549" s="1192" t="s">
        <v>2746</v>
      </c>
      <c r="V1549" s="1192">
        <v>542</v>
      </c>
    </row>
    <row r="1550" spans="1:22" s="1192" customFormat="1" ht="14.4" x14ac:dyDescent="0.3">
      <c r="A1550" s="1192" t="s">
        <v>171</v>
      </c>
      <c r="E1550" s="1750" t="s">
        <v>2389</v>
      </c>
      <c r="F1550" s="1743"/>
      <c r="G1550" s="1743"/>
      <c r="H1550" s="1743"/>
      <c r="K1550" s="1192" t="s">
        <v>2444</v>
      </c>
      <c r="V1550" s="1192">
        <v>11</v>
      </c>
    </row>
    <row r="1551" spans="1:22" s="1192" customFormat="1" ht="14.4" x14ac:dyDescent="0.3">
      <c r="A1551" s="1192" t="s">
        <v>171</v>
      </c>
      <c r="E1551" s="1743" t="s">
        <v>2391</v>
      </c>
      <c r="F1551" s="1743"/>
      <c r="G1551" s="1743"/>
      <c r="H1551" s="1743"/>
      <c r="K1551" s="1192" t="s">
        <v>2746</v>
      </c>
      <c r="V1551" s="1192">
        <v>280</v>
      </c>
    </row>
    <row r="1552" spans="1:22" s="1192" customFormat="1" ht="14.4" x14ac:dyDescent="0.3">
      <c r="A1552" s="1192" t="s">
        <v>171</v>
      </c>
      <c r="E1552" s="1743" t="s">
        <v>2392</v>
      </c>
      <c r="F1552" s="1743"/>
      <c r="G1552" s="1743"/>
      <c r="H1552" s="1743"/>
      <c r="K1552" s="1192" t="s">
        <v>2746</v>
      </c>
      <c r="V1552" s="1192">
        <v>411</v>
      </c>
    </row>
    <row r="1553" spans="1:22" s="1192" customFormat="1" ht="14.4" x14ac:dyDescent="0.3">
      <c r="A1553" s="1192" t="s">
        <v>171</v>
      </c>
      <c r="E1553" s="1743" t="s">
        <v>2508</v>
      </c>
      <c r="F1553" s="1743"/>
      <c r="G1553" s="1743"/>
      <c r="H1553" s="1743"/>
      <c r="K1553" s="1192" t="s">
        <v>2746</v>
      </c>
      <c r="V1553" s="1192">
        <v>386</v>
      </c>
    </row>
    <row r="1554" spans="1:22" s="1192" customFormat="1" ht="14.4" x14ac:dyDescent="0.3">
      <c r="A1554" s="1192" t="s">
        <v>171</v>
      </c>
      <c r="E1554" s="1743" t="s">
        <v>4500</v>
      </c>
      <c r="F1554" s="1743"/>
      <c r="G1554" s="1743"/>
      <c r="H1554" s="1743"/>
      <c r="K1554" s="1192" t="s">
        <v>2746</v>
      </c>
      <c r="V1554" s="1192">
        <v>247</v>
      </c>
    </row>
    <row r="1555" spans="1:22" s="1192" customFormat="1" ht="14.4" x14ac:dyDescent="0.3">
      <c r="A1555" s="1192" t="s">
        <v>171</v>
      </c>
      <c r="E1555" s="1750" t="s">
        <v>2394</v>
      </c>
      <c r="F1555" s="1743"/>
      <c r="G1555" s="1743"/>
      <c r="H1555" s="1743"/>
      <c r="K1555" s="1192" t="s">
        <v>2446</v>
      </c>
      <c r="V1555" s="1192">
        <v>46</v>
      </c>
    </row>
    <row r="1556" spans="1:22" s="1192" customFormat="1" ht="14.4" x14ac:dyDescent="0.3">
      <c r="A1556" s="1192" t="s">
        <v>171</v>
      </c>
      <c r="E1556" s="1741" t="s">
        <v>8</v>
      </c>
      <c r="F1556" s="1741"/>
      <c r="G1556" s="524" t="s">
        <v>19</v>
      </c>
      <c r="H1556" s="1218">
        <v>2.25</v>
      </c>
      <c r="K1556" s="1192" t="s">
        <v>2746</v>
      </c>
      <c r="L1556" s="1192" t="s">
        <v>430</v>
      </c>
      <c r="P1556" s="1192" t="s">
        <v>2747</v>
      </c>
      <c r="V1556" s="1192">
        <v>31</v>
      </c>
    </row>
    <row r="1557" spans="1:22" s="1192" customFormat="1" ht="14.4" x14ac:dyDescent="0.3">
      <c r="A1557" s="1192" t="s">
        <v>171</v>
      </c>
      <c r="E1557" s="1741" t="s">
        <v>80</v>
      </c>
      <c r="F1557" s="1741"/>
      <c r="G1557" s="524" t="s">
        <v>29</v>
      </c>
      <c r="H1557" s="1219">
        <v>10.8757</v>
      </c>
      <c r="K1557" s="1192" t="s">
        <v>2746</v>
      </c>
      <c r="L1557" s="1192" t="s">
        <v>430</v>
      </c>
      <c r="P1557" s="1192" t="s">
        <v>2748</v>
      </c>
      <c r="V1557" s="1192">
        <v>28</v>
      </c>
    </row>
    <row r="1558" spans="1:22" s="1192" customFormat="1" ht="14.4" x14ac:dyDescent="0.3">
      <c r="A1558" s="1192" t="s">
        <v>171</v>
      </c>
      <c r="E1558" s="1741" t="s">
        <v>14</v>
      </c>
      <c r="F1558" s="1741"/>
      <c r="G1558" s="524" t="s">
        <v>29</v>
      </c>
      <c r="H1558" s="1219">
        <v>0.77200000000000002</v>
      </c>
      <c r="K1558" s="1192" t="s">
        <v>2746</v>
      </c>
      <c r="L1558" s="1192" t="s">
        <v>431</v>
      </c>
      <c r="P1558" s="1192" t="s">
        <v>2749</v>
      </c>
      <c r="V1558" s="1192">
        <v>24</v>
      </c>
    </row>
    <row r="1559" spans="1:22" s="1192" customFormat="1" ht="14.4" x14ac:dyDescent="0.3">
      <c r="A1559" s="1192" t="s">
        <v>171</v>
      </c>
      <c r="E1559" s="1741" t="s">
        <v>6122</v>
      </c>
      <c r="F1559" s="1998"/>
      <c r="G1559" s="524" t="s">
        <v>29</v>
      </c>
      <c r="H1559" s="1219">
        <v>-5.5548000000000002</v>
      </c>
      <c r="K1559" s="1192" t="s">
        <v>2746</v>
      </c>
      <c r="L1559" s="1192" t="s">
        <v>430</v>
      </c>
      <c r="P1559" s="1192" t="s">
        <v>2750</v>
      </c>
      <c r="T1559" s="1192">
        <v>44196</v>
      </c>
      <c r="V1559" s="1192">
        <v>139</v>
      </c>
    </row>
    <row r="1560" spans="1:22" s="1192" customFormat="1" ht="14.4" x14ac:dyDescent="0.3">
      <c r="A1560" s="1192" t="s">
        <v>171</v>
      </c>
      <c r="E1560" s="1741" t="s">
        <v>4538</v>
      </c>
      <c r="F1560" s="1741"/>
      <c r="G1560" s="524" t="s">
        <v>29</v>
      </c>
      <c r="H1560" s="1219">
        <v>3.0914999999999999</v>
      </c>
      <c r="K1560" s="1192" t="s">
        <v>2746</v>
      </c>
      <c r="L1560" s="1192" t="s">
        <v>430</v>
      </c>
      <c r="P1560" s="1192" t="s">
        <v>2750</v>
      </c>
      <c r="T1560" s="1192">
        <v>44561</v>
      </c>
      <c r="V1560" s="1192">
        <v>139</v>
      </c>
    </row>
    <row r="1561" spans="1:22" s="1192" customFormat="1" ht="14.4" x14ac:dyDescent="0.3">
      <c r="A1561" s="1192" t="s">
        <v>171</v>
      </c>
      <c r="E1561" s="1741" t="s">
        <v>4535</v>
      </c>
      <c r="F1561" s="1741"/>
      <c r="G1561" s="524" t="s">
        <v>29</v>
      </c>
      <c r="H1561" s="1219">
        <v>-0.67130000000000001</v>
      </c>
      <c r="K1561" s="1192" t="s">
        <v>2746</v>
      </c>
      <c r="L1561" s="1192" t="s">
        <v>430</v>
      </c>
      <c r="P1561" s="1192" t="s">
        <v>6140</v>
      </c>
      <c r="T1561" s="1192">
        <v>44196</v>
      </c>
      <c r="V1561" s="1192">
        <v>103</v>
      </c>
    </row>
    <row r="1562" spans="1:22" s="1192" customFormat="1" ht="14.4" x14ac:dyDescent="0.3">
      <c r="A1562" s="1192" t="s">
        <v>171</v>
      </c>
      <c r="E1562" s="1741" t="s">
        <v>4536</v>
      </c>
      <c r="F1562" s="1741"/>
      <c r="G1562" s="524" t="s">
        <v>29</v>
      </c>
      <c r="H1562" s="1219">
        <v>-0.89510000000000001</v>
      </c>
      <c r="J1562" s="1192" t="s">
        <v>603</v>
      </c>
      <c r="K1562" s="1192" t="s">
        <v>2746</v>
      </c>
      <c r="L1562" s="1192" t="s">
        <v>430</v>
      </c>
      <c r="P1562" s="1192" t="s">
        <v>6141</v>
      </c>
      <c r="T1562" s="1192">
        <v>44561</v>
      </c>
      <c r="V1562" s="1192">
        <v>103</v>
      </c>
    </row>
    <row r="1563" spans="1:22" s="1192" customFormat="1" ht="14.4" x14ac:dyDescent="0.3">
      <c r="A1563" s="1192" t="s">
        <v>171</v>
      </c>
      <c r="E1563" s="1741" t="s">
        <v>4537</v>
      </c>
      <c r="F1563" s="1741"/>
      <c r="G1563" s="524" t="s">
        <v>29</v>
      </c>
      <c r="H1563" s="1219">
        <v>-0.46450000000000002</v>
      </c>
      <c r="J1563" s="1192" t="s">
        <v>7382</v>
      </c>
      <c r="K1563" s="1192" t="s">
        <v>2746</v>
      </c>
      <c r="L1563" s="1192" t="s">
        <v>430</v>
      </c>
      <c r="P1563" s="1192" t="s">
        <v>6142</v>
      </c>
      <c r="V1563" s="1192">
        <v>159</v>
      </c>
    </row>
    <row r="1564" spans="1:22" s="1192" customFormat="1" ht="14.4" x14ac:dyDescent="0.3">
      <c r="A1564" s="1192" t="s">
        <v>171</v>
      </c>
      <c r="E1564" s="1741" t="s">
        <v>213</v>
      </c>
      <c r="F1564" s="1741"/>
      <c r="G1564" s="524" t="s">
        <v>29</v>
      </c>
      <c r="H1564" s="1219">
        <v>1.8411999999999999</v>
      </c>
      <c r="K1564" s="1192" t="s">
        <v>2746</v>
      </c>
      <c r="L1564" s="1192" t="s">
        <v>432</v>
      </c>
      <c r="P1564" s="1192" t="s">
        <v>2751</v>
      </c>
      <c r="V1564" s="1192">
        <v>47</v>
      </c>
    </row>
    <row r="1565" spans="1:22" s="1192" customFormat="1" ht="14.4" x14ac:dyDescent="0.3">
      <c r="A1565" s="1192" t="s">
        <v>171</v>
      </c>
      <c r="E1565" s="1741" t="s">
        <v>209</v>
      </c>
      <c r="F1565" s="1741"/>
      <c r="G1565" s="524" t="s">
        <v>29</v>
      </c>
      <c r="H1565" s="1219">
        <v>1.5467</v>
      </c>
      <c r="K1565" s="1192" t="s">
        <v>2746</v>
      </c>
      <c r="L1565" s="1192" t="s">
        <v>432</v>
      </c>
      <c r="P1565" s="1192" t="s">
        <v>2752</v>
      </c>
      <c r="V1565" s="1192">
        <v>74</v>
      </c>
    </row>
    <row r="1566" spans="1:22" s="1192" customFormat="1" ht="14.4" x14ac:dyDescent="0.3">
      <c r="A1566" s="1192" t="s">
        <v>171</v>
      </c>
      <c r="E1566" s="1750" t="s">
        <v>2405</v>
      </c>
      <c r="F1566" s="1741"/>
      <c r="G1566" s="1277"/>
      <c r="H1566" s="896"/>
      <c r="K1566" s="1192" t="s">
        <v>2565</v>
      </c>
      <c r="V1566" s="1192">
        <v>48</v>
      </c>
    </row>
    <row r="1567" spans="1:22" s="1192" customFormat="1" ht="14.4" x14ac:dyDescent="0.3">
      <c r="A1567" s="1192" t="s">
        <v>171</v>
      </c>
      <c r="E1567" s="1741" t="s">
        <v>2033</v>
      </c>
      <c r="F1567" s="1741"/>
      <c r="G1567" s="524" t="s">
        <v>20</v>
      </c>
      <c r="H1567" s="1219">
        <v>3.0000000000000001E-3</v>
      </c>
      <c r="K1567" s="1192" t="s">
        <v>2746</v>
      </c>
      <c r="L1567" s="1192" t="s">
        <v>2374</v>
      </c>
      <c r="P1567" s="1192" t="s">
        <v>2753</v>
      </c>
      <c r="V1567" s="1192">
        <v>55</v>
      </c>
    </row>
    <row r="1568" spans="1:22" s="1192" customFormat="1" ht="14.4" x14ac:dyDescent="0.3">
      <c r="A1568" s="1192" t="s">
        <v>171</v>
      </c>
      <c r="E1568" s="1741" t="s">
        <v>2034</v>
      </c>
      <c r="F1568" s="1741"/>
      <c r="G1568" s="524" t="s">
        <v>20</v>
      </c>
      <c r="H1568" s="1219">
        <v>4.0000000000000002E-4</v>
      </c>
      <c r="K1568" s="1192" t="s">
        <v>2746</v>
      </c>
      <c r="L1568" s="1192" t="s">
        <v>2374</v>
      </c>
      <c r="P1568" s="1192" t="s">
        <v>2753</v>
      </c>
      <c r="V1568" s="1192">
        <v>65</v>
      </c>
    </row>
    <row r="1569" spans="1:22" s="1192" customFormat="1" ht="14.4" x14ac:dyDescent="0.3">
      <c r="A1569" s="1192" t="s">
        <v>171</v>
      </c>
      <c r="E1569" s="1741" t="s">
        <v>428</v>
      </c>
      <c r="F1569" s="1741"/>
      <c r="G1569" s="524" t="s">
        <v>20</v>
      </c>
      <c r="H1569" s="1219">
        <v>5.0000000000000001E-4</v>
      </c>
      <c r="K1569" s="1192" t="s">
        <v>2746</v>
      </c>
      <c r="L1569" s="1192" t="s">
        <v>2374</v>
      </c>
      <c r="P1569" s="1192" t="s">
        <v>2754</v>
      </c>
      <c r="V1569" s="1192">
        <v>57</v>
      </c>
    </row>
    <row r="1570" spans="1:22" s="1192" customFormat="1" ht="14.4" x14ac:dyDescent="0.3">
      <c r="A1570" s="1192" t="s">
        <v>171</v>
      </c>
      <c r="E1570" s="1741" t="s">
        <v>28</v>
      </c>
      <c r="F1570" s="1741"/>
      <c r="G1570" s="524" t="s">
        <v>19</v>
      </c>
      <c r="H1570" s="1218">
        <v>0.25</v>
      </c>
      <c r="K1570" s="1192" t="s">
        <v>2746</v>
      </c>
      <c r="L1570" s="1192" t="s">
        <v>2374</v>
      </c>
      <c r="P1570" s="1192" t="s">
        <v>2755</v>
      </c>
      <c r="V1570" s="1192">
        <v>63</v>
      </c>
    </row>
    <row r="1571" spans="1:22" s="1192" customFormat="1" ht="17.399999999999999" x14ac:dyDescent="0.3">
      <c r="A1571" s="1192" t="s">
        <v>171</v>
      </c>
      <c r="E1571" s="1746" t="s">
        <v>593</v>
      </c>
      <c r="F1571" s="1747"/>
      <c r="G1571" s="1747"/>
      <c r="H1571" s="1747"/>
      <c r="K1571" s="1192" t="s">
        <v>2756</v>
      </c>
      <c r="V1571" s="1192">
        <v>31</v>
      </c>
    </row>
    <row r="1572" spans="1:22" s="1192" customFormat="1" ht="14.4" x14ac:dyDescent="0.3">
      <c r="A1572" s="1192" t="s">
        <v>171</v>
      </c>
      <c r="E1572" s="1743" t="s">
        <v>4414</v>
      </c>
      <c r="F1572" s="1743"/>
      <c r="G1572" s="1743"/>
      <c r="H1572" s="1743"/>
      <c r="K1572" s="1192" t="s">
        <v>2756</v>
      </c>
      <c r="V1572" s="1192">
        <v>285</v>
      </c>
    </row>
    <row r="1573" spans="1:22" s="1192" customFormat="1" ht="14.4" x14ac:dyDescent="0.3">
      <c r="A1573" s="1192" t="s">
        <v>171</v>
      </c>
      <c r="E1573" s="1750" t="s">
        <v>2389</v>
      </c>
      <c r="F1573" s="1743"/>
      <c r="G1573" s="1743"/>
      <c r="H1573" s="1743"/>
      <c r="K1573" s="1192" t="s">
        <v>2571</v>
      </c>
      <c r="V1573" s="1192">
        <v>11</v>
      </c>
    </row>
    <row r="1574" spans="1:22" s="1192" customFormat="1" ht="14.4" x14ac:dyDescent="0.3">
      <c r="A1574" s="1192" t="s">
        <v>171</v>
      </c>
      <c r="E1574" s="1743" t="s">
        <v>2391</v>
      </c>
      <c r="F1574" s="1743"/>
      <c r="G1574" s="1743"/>
      <c r="H1574" s="1743"/>
      <c r="K1574" s="1192" t="s">
        <v>2756</v>
      </c>
      <c r="V1574" s="1192">
        <v>280</v>
      </c>
    </row>
    <row r="1575" spans="1:22" s="1192" customFormat="1" ht="14.4" x14ac:dyDescent="0.3">
      <c r="A1575" s="1192" t="s">
        <v>171</v>
      </c>
      <c r="E1575" s="1743" t="s">
        <v>2392</v>
      </c>
      <c r="F1575" s="1743"/>
      <c r="G1575" s="1743"/>
      <c r="H1575" s="1743"/>
      <c r="K1575" s="1192" t="s">
        <v>2756</v>
      </c>
      <c r="V1575" s="1192">
        <v>411</v>
      </c>
    </row>
    <row r="1576" spans="1:22" s="1192" customFormat="1" ht="14.4" x14ac:dyDescent="0.3">
      <c r="A1576" s="1192" t="s">
        <v>171</v>
      </c>
      <c r="E1576" s="1743" t="s">
        <v>2445</v>
      </c>
      <c r="F1576" s="1743"/>
      <c r="G1576" s="1743"/>
      <c r="H1576" s="1743"/>
      <c r="K1576" s="1192" t="s">
        <v>2756</v>
      </c>
      <c r="V1576" s="1192">
        <v>211</v>
      </c>
    </row>
    <row r="1577" spans="1:22" s="1192" customFormat="1" ht="14.4" x14ac:dyDescent="0.3">
      <c r="A1577" s="1192" t="s">
        <v>171</v>
      </c>
      <c r="E1577" s="1743" t="s">
        <v>4500</v>
      </c>
      <c r="F1577" s="1743"/>
      <c r="G1577" s="1743"/>
      <c r="H1577" s="1743"/>
      <c r="K1577" s="1192" t="s">
        <v>2756</v>
      </c>
      <c r="V1577" s="1192">
        <v>247</v>
      </c>
    </row>
    <row r="1578" spans="1:22" s="1192" customFormat="1" ht="14.4" x14ac:dyDescent="0.3">
      <c r="A1578" s="1192" t="s">
        <v>171</v>
      </c>
      <c r="E1578" s="1750" t="s">
        <v>2394</v>
      </c>
      <c r="F1578" s="1743"/>
      <c r="G1578" s="1743"/>
      <c r="H1578" s="1743"/>
      <c r="K1578" s="1192" t="s">
        <v>2572</v>
      </c>
      <c r="V1578" s="1192">
        <v>46</v>
      </c>
    </row>
    <row r="1579" spans="1:22" s="1192" customFormat="1" ht="14.4" x14ac:dyDescent="0.3">
      <c r="A1579" s="1192" t="s">
        <v>171</v>
      </c>
      <c r="E1579" s="1741" t="s">
        <v>7</v>
      </c>
      <c r="F1579" s="1741"/>
      <c r="G1579" s="524" t="s">
        <v>19</v>
      </c>
      <c r="H1579" s="1218">
        <v>10</v>
      </c>
      <c r="K1579" s="1192" t="s">
        <v>2756</v>
      </c>
      <c r="L1579" s="1192" t="s">
        <v>430</v>
      </c>
      <c r="P1579" s="1192" t="s">
        <v>2757</v>
      </c>
      <c r="V1579" s="1192">
        <v>14</v>
      </c>
    </row>
    <row r="1580" spans="1:22" s="1192" customFormat="1" x14ac:dyDescent="0.3">
      <c r="A1580" s="1192" t="s">
        <v>171</v>
      </c>
      <c r="E1580" s="1260" t="s">
        <v>81</v>
      </c>
      <c r="F1580" s="823"/>
      <c r="G1580" s="823"/>
      <c r="H1580" s="878"/>
      <c r="K1580" s="1192" t="s">
        <v>4415</v>
      </c>
      <c r="V1580" s="1192">
        <v>10</v>
      </c>
    </row>
    <row r="1581" spans="1:22" s="1192" customFormat="1" ht="14.4" x14ac:dyDescent="0.3">
      <c r="A1581" s="1192" t="s">
        <v>171</v>
      </c>
      <c r="E1581" s="1741" t="s">
        <v>2449</v>
      </c>
      <c r="F1581" s="1741"/>
      <c r="G1581" s="1277" t="s">
        <v>29</v>
      </c>
      <c r="H1581" s="564">
        <v>-0.6</v>
      </c>
      <c r="V1581" s="1192">
        <v>68</v>
      </c>
    </row>
    <row r="1582" spans="1:22" s="1192" customFormat="1" ht="14.4" x14ac:dyDescent="0.3">
      <c r="A1582" s="1192" t="s">
        <v>171</v>
      </c>
      <c r="E1582" s="1741" t="s">
        <v>2450</v>
      </c>
      <c r="F1582" s="1741"/>
      <c r="G1582" s="1277" t="s">
        <v>82</v>
      </c>
      <c r="H1582" s="1218">
        <v>-1</v>
      </c>
      <c r="V1582" s="1192">
        <v>87</v>
      </c>
    </row>
    <row r="1583" spans="1:22" s="1192" customFormat="1" x14ac:dyDescent="0.3">
      <c r="A1583" s="1192" t="s">
        <v>171</v>
      </c>
      <c r="E1583" s="1260" t="s">
        <v>83</v>
      </c>
      <c r="F1583" s="823"/>
      <c r="G1583" s="823"/>
      <c r="H1583" s="878"/>
      <c r="K1583" s="1192" t="s">
        <v>4416</v>
      </c>
      <c r="V1583" s="1192">
        <v>24</v>
      </c>
    </row>
    <row r="1584" spans="1:22" s="1192" customFormat="1" ht="14.4" x14ac:dyDescent="0.3">
      <c r="A1584" s="1192" t="s">
        <v>171</v>
      </c>
      <c r="E1584" s="1743" t="s">
        <v>2391</v>
      </c>
      <c r="F1584" s="1743"/>
      <c r="G1584" s="1743"/>
      <c r="H1584" s="1743"/>
      <c r="V1584" s="1192">
        <v>280</v>
      </c>
    </row>
    <row r="1585" spans="1:22" s="1192" customFormat="1" ht="14.4" x14ac:dyDescent="0.3">
      <c r="A1585" s="1192" t="s">
        <v>171</v>
      </c>
      <c r="E1585" s="1743" t="s">
        <v>2452</v>
      </c>
      <c r="F1585" s="1743"/>
      <c r="G1585" s="1743"/>
      <c r="H1585" s="1743"/>
      <c r="V1585" s="1192">
        <v>353</v>
      </c>
    </row>
    <row r="1586" spans="1:22" s="1192" customFormat="1" ht="14.4" x14ac:dyDescent="0.3">
      <c r="A1586" s="1192" t="s">
        <v>171</v>
      </c>
      <c r="E1586" s="1743" t="s">
        <v>4500</v>
      </c>
      <c r="F1586" s="1743"/>
      <c r="G1586" s="1743"/>
      <c r="H1586" s="1743"/>
      <c r="V1586" s="1192">
        <v>247</v>
      </c>
    </row>
    <row r="1587" spans="1:22" s="1192" customFormat="1" ht="14.4" x14ac:dyDescent="0.3">
      <c r="A1587" s="1192" t="s">
        <v>171</v>
      </c>
      <c r="E1587" s="1258" t="s">
        <v>2453</v>
      </c>
      <c r="F1587" s="1287"/>
      <c r="G1587" s="1287"/>
      <c r="H1587" s="879"/>
      <c r="K1587" s="1192" t="s">
        <v>4417</v>
      </c>
      <c r="V1587" s="1192">
        <v>23</v>
      </c>
    </row>
    <row r="1588" spans="1:22" s="1192" customFormat="1" ht="14.4" x14ac:dyDescent="0.3">
      <c r="A1588" s="1192" t="s">
        <v>171</v>
      </c>
      <c r="E1588" s="1942" t="s">
        <v>2639</v>
      </c>
      <c r="F1588" s="1942"/>
      <c r="G1588" s="1277" t="s">
        <v>19</v>
      </c>
      <c r="H1588" s="1218">
        <v>15</v>
      </c>
      <c r="V1588" s="1192">
        <v>19</v>
      </c>
    </row>
    <row r="1589" spans="1:22" s="1192" customFormat="1" ht="14.4" x14ac:dyDescent="0.3">
      <c r="A1589" s="1192" t="s">
        <v>171</v>
      </c>
      <c r="E1589" s="1942" t="s">
        <v>2456</v>
      </c>
      <c r="F1589" s="1942"/>
      <c r="G1589" s="1277" t="s">
        <v>19</v>
      </c>
      <c r="H1589" s="1218">
        <v>15</v>
      </c>
      <c r="V1589" s="1192">
        <v>20</v>
      </c>
    </row>
    <row r="1590" spans="1:22" s="1192" customFormat="1" ht="14.4" x14ac:dyDescent="0.3">
      <c r="A1590" s="1192" t="s">
        <v>171</v>
      </c>
      <c r="E1590" s="1942" t="s">
        <v>2457</v>
      </c>
      <c r="F1590" s="1942"/>
      <c r="G1590" s="1277" t="s">
        <v>19</v>
      </c>
      <c r="H1590" s="1218">
        <v>15</v>
      </c>
      <c r="V1590" s="1192">
        <v>26</v>
      </c>
    </row>
    <row r="1591" spans="1:22" s="1192" customFormat="1" ht="14.4" x14ac:dyDescent="0.3">
      <c r="A1591" s="1192" t="s">
        <v>171</v>
      </c>
      <c r="E1591" s="1942" t="s">
        <v>2458</v>
      </c>
      <c r="F1591" s="1942"/>
      <c r="G1591" s="1277" t="s">
        <v>19</v>
      </c>
      <c r="H1591" s="1218">
        <v>15</v>
      </c>
      <c r="V1591" s="1192">
        <v>39</v>
      </c>
    </row>
    <row r="1592" spans="1:22" s="1192" customFormat="1" ht="14.4" x14ac:dyDescent="0.3">
      <c r="A1592" s="1192" t="s">
        <v>171</v>
      </c>
      <c r="E1592" s="1942" t="s">
        <v>2459</v>
      </c>
      <c r="F1592" s="1942"/>
      <c r="G1592" s="1277" t="s">
        <v>19</v>
      </c>
      <c r="H1592" s="1218">
        <v>15</v>
      </c>
      <c r="V1592" s="1192">
        <v>37</v>
      </c>
    </row>
    <row r="1593" spans="1:22" s="1192" customFormat="1" ht="14.4" x14ac:dyDescent="0.3">
      <c r="A1593" s="1192" t="s">
        <v>171</v>
      </c>
      <c r="E1593" s="1942" t="s">
        <v>3663</v>
      </c>
      <c r="F1593" s="1942"/>
      <c r="G1593" s="1277" t="s">
        <v>19</v>
      </c>
      <c r="H1593" s="1218">
        <v>15</v>
      </c>
      <c r="V1593" s="1192">
        <v>15</v>
      </c>
    </row>
    <row r="1594" spans="1:22" s="1192" customFormat="1" ht="14.4" x14ac:dyDescent="0.3">
      <c r="A1594" s="1192" t="s">
        <v>171</v>
      </c>
      <c r="E1594" s="1942" t="s">
        <v>2461</v>
      </c>
      <c r="F1594" s="1942"/>
      <c r="G1594" s="1277" t="s">
        <v>19</v>
      </c>
      <c r="H1594" s="1218">
        <v>15</v>
      </c>
      <c r="V1594" s="1192">
        <v>17</v>
      </c>
    </row>
    <row r="1595" spans="1:22" s="1192" customFormat="1" ht="14.4" x14ac:dyDescent="0.3">
      <c r="A1595" s="1192" t="s">
        <v>171</v>
      </c>
      <c r="E1595" s="1942" t="s">
        <v>2462</v>
      </c>
      <c r="F1595" s="1942"/>
      <c r="G1595" s="1277" t="s">
        <v>19</v>
      </c>
      <c r="H1595" s="1218">
        <v>15</v>
      </c>
      <c r="V1595" s="1192">
        <v>19</v>
      </c>
    </row>
    <row r="1596" spans="1:22" s="1192" customFormat="1" ht="14.4" x14ac:dyDescent="0.3">
      <c r="A1596" s="1192" t="s">
        <v>171</v>
      </c>
      <c r="E1596" s="1942" t="s">
        <v>2463</v>
      </c>
      <c r="F1596" s="1942"/>
      <c r="G1596" s="1277" t="s">
        <v>19</v>
      </c>
      <c r="H1596" s="1218">
        <v>15</v>
      </c>
      <c r="V1596" s="1192">
        <v>15</v>
      </c>
    </row>
    <row r="1597" spans="1:22" s="1192" customFormat="1" ht="14.4" x14ac:dyDescent="0.3">
      <c r="A1597" s="1192" t="s">
        <v>171</v>
      </c>
      <c r="E1597" s="1942" t="s">
        <v>2464</v>
      </c>
      <c r="F1597" s="1942"/>
      <c r="G1597" s="1277" t="s">
        <v>19</v>
      </c>
      <c r="H1597" s="1218">
        <v>15</v>
      </c>
      <c r="V1597" s="1192">
        <v>56</v>
      </c>
    </row>
    <row r="1598" spans="1:22" s="1192" customFormat="1" ht="14.4" x14ac:dyDescent="0.3">
      <c r="A1598" s="1192" t="s">
        <v>171</v>
      </c>
      <c r="E1598" s="1942" t="s">
        <v>119</v>
      </c>
      <c r="F1598" s="1942"/>
      <c r="G1598" s="1277" t="s">
        <v>19</v>
      </c>
      <c r="H1598" s="1218">
        <v>15</v>
      </c>
      <c r="V1598" s="1192">
        <v>35</v>
      </c>
    </row>
    <row r="1599" spans="1:22" s="1192" customFormat="1" ht="14.4" x14ac:dyDescent="0.3">
      <c r="A1599" s="1192" t="s">
        <v>171</v>
      </c>
      <c r="E1599" s="1942" t="s">
        <v>2466</v>
      </c>
      <c r="F1599" s="1942"/>
      <c r="G1599" s="1277" t="s">
        <v>19</v>
      </c>
      <c r="H1599" s="1218">
        <v>15</v>
      </c>
      <c r="V1599" s="1192">
        <v>24</v>
      </c>
    </row>
    <row r="1600" spans="1:22" s="1192" customFormat="1" ht="14.4" x14ac:dyDescent="0.3">
      <c r="A1600" s="1192" t="s">
        <v>171</v>
      </c>
      <c r="E1600" s="1942" t="s">
        <v>2467</v>
      </c>
      <c r="F1600" s="1942"/>
      <c r="G1600" s="1277" t="s">
        <v>19</v>
      </c>
      <c r="H1600" s="1218">
        <v>15</v>
      </c>
      <c r="V1600" s="1192">
        <v>19</v>
      </c>
    </row>
    <row r="1601" spans="1:22" s="1192" customFormat="1" ht="14.4" x14ac:dyDescent="0.3">
      <c r="A1601" s="1192" t="s">
        <v>171</v>
      </c>
      <c r="E1601" s="1942" t="s">
        <v>84</v>
      </c>
      <c r="F1601" s="1942"/>
      <c r="G1601" s="1277" t="s">
        <v>19</v>
      </c>
      <c r="H1601" s="1218">
        <v>30</v>
      </c>
      <c r="V1601" s="1192">
        <v>89</v>
      </c>
    </row>
    <row r="1602" spans="1:22" s="1192" customFormat="1" ht="14.4" x14ac:dyDescent="0.3">
      <c r="A1602" s="1192" t="s">
        <v>171</v>
      </c>
      <c r="E1602" s="1942" t="s">
        <v>90</v>
      </c>
      <c r="F1602" s="1942"/>
      <c r="G1602" s="1277" t="s">
        <v>19</v>
      </c>
      <c r="H1602" s="1218">
        <v>30</v>
      </c>
      <c r="V1602" s="1192">
        <v>19</v>
      </c>
    </row>
    <row r="1603" spans="1:22" s="1192" customFormat="1" ht="14.4" x14ac:dyDescent="0.3">
      <c r="A1603" s="1192" t="s">
        <v>171</v>
      </c>
      <c r="E1603" s="1942" t="s">
        <v>88</v>
      </c>
      <c r="F1603" s="1942"/>
      <c r="G1603" s="1277" t="s">
        <v>19</v>
      </c>
      <c r="H1603" s="1218">
        <v>30</v>
      </c>
      <c r="V1603" s="1192">
        <v>74</v>
      </c>
    </row>
    <row r="1604" spans="1:22" s="1192" customFormat="1" ht="14.4" x14ac:dyDescent="0.3">
      <c r="A1604" s="1192" t="s">
        <v>171</v>
      </c>
      <c r="E1604" s="1258" t="s">
        <v>2468</v>
      </c>
      <c r="F1604" s="1287"/>
      <c r="G1604" s="1287"/>
      <c r="H1604" s="879"/>
      <c r="K1604" s="1192" t="s">
        <v>4418</v>
      </c>
      <c r="V1604" s="1192">
        <v>22</v>
      </c>
    </row>
    <row r="1605" spans="1:22" s="1192" customFormat="1" ht="14.4" x14ac:dyDescent="0.3">
      <c r="A1605" s="1192" t="s">
        <v>171</v>
      </c>
      <c r="E1605" s="1942" t="s">
        <v>5940</v>
      </c>
      <c r="F1605" s="1942"/>
      <c r="G1605" s="1277" t="s">
        <v>82</v>
      </c>
      <c r="H1605" s="1218">
        <v>1.5</v>
      </c>
      <c r="V1605" s="1192">
        <v>99</v>
      </c>
    </row>
    <row r="1606" spans="1:22" s="1192" customFormat="1" ht="14.4" x14ac:dyDescent="0.3">
      <c r="A1606" s="1192" t="s">
        <v>171</v>
      </c>
      <c r="E1606" s="1942" t="s">
        <v>6106</v>
      </c>
      <c r="F1606" s="1942"/>
      <c r="G1606" s="1277" t="s">
        <v>19</v>
      </c>
      <c r="H1606" s="1218">
        <v>65</v>
      </c>
      <c r="V1606" s="1192">
        <v>44</v>
      </c>
    </row>
    <row r="1607" spans="1:22" s="1192" customFormat="1" ht="14.4" x14ac:dyDescent="0.3">
      <c r="A1607" s="1192" t="s">
        <v>171</v>
      </c>
      <c r="E1607" s="1942" t="s">
        <v>6107</v>
      </c>
      <c r="F1607" s="1942"/>
      <c r="G1607" s="1277" t="s">
        <v>19</v>
      </c>
      <c r="H1607" s="1218">
        <v>185</v>
      </c>
      <c r="V1607" s="1192">
        <v>43</v>
      </c>
    </row>
    <row r="1608" spans="1:22" s="1192" customFormat="1" ht="14.4" x14ac:dyDescent="0.3">
      <c r="A1608" s="1192" t="s">
        <v>171</v>
      </c>
      <c r="E1608" s="1942" t="s">
        <v>6108</v>
      </c>
      <c r="F1608" s="1942"/>
      <c r="G1608" s="1277" t="s">
        <v>19</v>
      </c>
      <c r="H1608" s="1218">
        <v>185</v>
      </c>
      <c r="V1608" s="1192">
        <v>43</v>
      </c>
    </row>
    <row r="1609" spans="1:22" s="1192" customFormat="1" ht="14.4" x14ac:dyDescent="0.3">
      <c r="A1609" s="1192" t="s">
        <v>171</v>
      </c>
      <c r="E1609" s="1942" t="s">
        <v>6115</v>
      </c>
      <c r="F1609" s="1942"/>
      <c r="G1609" s="1277" t="s">
        <v>19</v>
      </c>
      <c r="H1609" s="1218">
        <v>415</v>
      </c>
      <c r="V1609" s="1192">
        <v>42</v>
      </c>
    </row>
    <row r="1610" spans="1:22" s="1192" customFormat="1" ht="14.4" x14ac:dyDescent="0.3">
      <c r="A1610" s="1192" t="s">
        <v>171</v>
      </c>
      <c r="E1610" s="1258" t="s">
        <v>2474</v>
      </c>
      <c r="F1610" s="843"/>
      <c r="G1610" s="1280"/>
      <c r="H1610" s="840"/>
      <c r="V1610" s="1192">
        <v>5</v>
      </c>
    </row>
    <row r="1611" spans="1:22" s="1192" customFormat="1" ht="14.4" x14ac:dyDescent="0.3">
      <c r="A1611" s="1192" t="s">
        <v>171</v>
      </c>
      <c r="E1611" s="1942" t="s">
        <v>2477</v>
      </c>
      <c r="F1611" s="1942"/>
      <c r="G1611" s="1277" t="s">
        <v>19</v>
      </c>
      <c r="H1611" s="1218">
        <v>30</v>
      </c>
      <c r="V1611" s="1192">
        <v>39</v>
      </c>
    </row>
    <row r="1612" spans="1:22" s="1192" customFormat="1" ht="14.4" x14ac:dyDescent="0.3">
      <c r="A1612" s="1192" t="s">
        <v>171</v>
      </c>
      <c r="E1612" s="1942" t="s">
        <v>2478</v>
      </c>
      <c r="F1612" s="1942"/>
      <c r="G1612" s="1277" t="s">
        <v>19</v>
      </c>
      <c r="H1612" s="1218">
        <v>160</v>
      </c>
      <c r="V1612" s="1192">
        <v>34</v>
      </c>
    </row>
    <row r="1613" spans="1:22" s="1192" customFormat="1" ht="14.4" x14ac:dyDescent="0.3">
      <c r="A1613" s="1192" t="s">
        <v>171</v>
      </c>
      <c r="E1613" s="1942" t="s">
        <v>2703</v>
      </c>
      <c r="F1613" s="1942"/>
      <c r="G1613" s="1277" t="s">
        <v>19</v>
      </c>
      <c r="H1613" s="1218">
        <v>500</v>
      </c>
      <c r="V1613" s="1192">
        <v>64</v>
      </c>
    </row>
    <row r="1614" spans="1:22" s="1192" customFormat="1" ht="14.4" x14ac:dyDescent="0.3">
      <c r="A1614" s="1192" t="s">
        <v>171</v>
      </c>
      <c r="E1614" s="1942" t="s">
        <v>2758</v>
      </c>
      <c r="F1614" s="1942"/>
      <c r="G1614" s="1277" t="s">
        <v>19</v>
      </c>
      <c r="H1614" s="1218">
        <v>300</v>
      </c>
      <c r="V1614" s="1192">
        <v>67</v>
      </c>
    </row>
    <row r="1615" spans="1:22" s="1192" customFormat="1" ht="14.4" x14ac:dyDescent="0.3">
      <c r="A1615" s="1192" t="s">
        <v>171</v>
      </c>
      <c r="E1615" s="1942" t="s">
        <v>2759</v>
      </c>
      <c r="F1615" s="1942"/>
      <c r="G1615" s="1277" t="s">
        <v>19</v>
      </c>
      <c r="H1615" s="1218">
        <v>1000</v>
      </c>
      <c r="V1615" s="1192">
        <v>66</v>
      </c>
    </row>
    <row r="1616" spans="1:22" s="1192" customFormat="1" ht="14.4" x14ac:dyDescent="0.3">
      <c r="A1616" s="1192" t="s">
        <v>171</v>
      </c>
      <c r="E1616" s="1942" t="s">
        <v>2760</v>
      </c>
      <c r="F1616" s="1942"/>
      <c r="G1616" s="1277"/>
      <c r="H1616" s="837"/>
      <c r="V1616" s="1192">
        <v>59</v>
      </c>
    </row>
    <row r="1617" spans="1:22" s="1192" customFormat="1" ht="14.4" x14ac:dyDescent="0.3">
      <c r="A1617" s="1192" t="s">
        <v>171</v>
      </c>
      <c r="E1617" s="1942" t="s">
        <v>2761</v>
      </c>
      <c r="F1617" s="1942"/>
      <c r="G1617" s="1277" t="s">
        <v>19</v>
      </c>
      <c r="H1617" s="1218">
        <v>44.5</v>
      </c>
      <c r="V1617" s="1192">
        <v>46</v>
      </c>
    </row>
    <row r="1618" spans="1:22" s="1192" customFormat="1" ht="17.399999999999999" x14ac:dyDescent="0.3">
      <c r="A1618" s="1192" t="s">
        <v>171</v>
      </c>
      <c r="E1618" s="1746" t="s">
        <v>73</v>
      </c>
      <c r="F1618" s="1746"/>
      <c r="G1618" s="1746"/>
      <c r="H1618" s="1746"/>
      <c r="K1618" s="1192" t="s">
        <v>4419</v>
      </c>
      <c r="V1618" s="1192">
        <v>38</v>
      </c>
    </row>
    <row r="1619" spans="1:22" s="1192" customFormat="1" ht="14.4" x14ac:dyDescent="0.3">
      <c r="A1619" s="1192" t="s">
        <v>171</v>
      </c>
      <c r="E1619" s="1743" t="s">
        <v>2391</v>
      </c>
      <c r="F1619" s="1743"/>
      <c r="G1619" s="1743"/>
      <c r="H1619" s="1743"/>
      <c r="V1619" s="1192">
        <v>280</v>
      </c>
    </row>
    <row r="1620" spans="1:22" s="1192" customFormat="1" ht="14.4" x14ac:dyDescent="0.3">
      <c r="A1620" s="1192" t="s">
        <v>171</v>
      </c>
      <c r="E1620" s="1743" t="s">
        <v>2392</v>
      </c>
      <c r="F1620" s="1743"/>
      <c r="G1620" s="1743"/>
      <c r="H1620" s="1743"/>
      <c r="V1620" s="1192">
        <v>411</v>
      </c>
    </row>
    <row r="1621" spans="1:22" s="1192" customFormat="1" ht="14.4" x14ac:dyDescent="0.3">
      <c r="A1621" s="1192" t="s">
        <v>171</v>
      </c>
      <c r="E1621" s="1743" t="s">
        <v>2445</v>
      </c>
      <c r="F1621" s="1743"/>
      <c r="G1621" s="1743"/>
      <c r="H1621" s="1743"/>
      <c r="V1621" s="1192">
        <v>211</v>
      </c>
    </row>
    <row r="1622" spans="1:22" s="1192" customFormat="1" ht="14.4" x14ac:dyDescent="0.3">
      <c r="A1622" s="1192" t="s">
        <v>171</v>
      </c>
      <c r="E1622" s="1743" t="s">
        <v>4500</v>
      </c>
      <c r="F1622" s="1743"/>
      <c r="G1622" s="1743"/>
      <c r="H1622" s="1743"/>
      <c r="V1622" s="1192">
        <v>247</v>
      </c>
    </row>
    <row r="1623" spans="1:22" s="1192" customFormat="1" ht="14.4" x14ac:dyDescent="0.3">
      <c r="A1623" s="1192" t="s">
        <v>171</v>
      </c>
      <c r="E1623" s="1743" t="s">
        <v>2595</v>
      </c>
      <c r="F1623" s="1743"/>
      <c r="G1623" s="1743"/>
      <c r="H1623" s="1743"/>
      <c r="V1623" s="1192">
        <v>142</v>
      </c>
    </row>
    <row r="1624" spans="1:22" s="1192" customFormat="1" ht="14.4" x14ac:dyDescent="0.3">
      <c r="A1624" s="1192" t="s">
        <v>171</v>
      </c>
      <c r="E1624" s="1741" t="s">
        <v>2485</v>
      </c>
      <c r="F1624" s="1741"/>
      <c r="G1624" s="360" t="s">
        <v>19</v>
      </c>
      <c r="H1624" s="1218">
        <v>102</v>
      </c>
      <c r="V1624" s="1192">
        <v>106</v>
      </c>
    </row>
    <row r="1625" spans="1:22" s="1192" customFormat="1" ht="14.4" x14ac:dyDescent="0.3">
      <c r="A1625" s="1192" t="s">
        <v>171</v>
      </c>
      <c r="E1625" s="1741" t="s">
        <v>3919</v>
      </c>
      <c r="F1625" s="1741"/>
      <c r="G1625" s="360" t="s">
        <v>19</v>
      </c>
      <c r="H1625" s="1218">
        <v>40.799999999999997</v>
      </c>
      <c r="V1625" s="1192">
        <v>34</v>
      </c>
    </row>
    <row r="1626" spans="1:22" s="1192" customFormat="1" ht="14.4" x14ac:dyDescent="0.3">
      <c r="A1626" s="1192" t="s">
        <v>171</v>
      </c>
      <c r="E1626" s="1741" t="s">
        <v>3920</v>
      </c>
      <c r="F1626" s="1741"/>
      <c r="G1626" s="360" t="s">
        <v>2488</v>
      </c>
      <c r="H1626" s="1218">
        <v>1.02</v>
      </c>
      <c r="V1626" s="1192">
        <v>51</v>
      </c>
    </row>
    <row r="1627" spans="1:22" s="1192" customFormat="1" ht="14.4" x14ac:dyDescent="0.3">
      <c r="A1627" s="1192" t="s">
        <v>171</v>
      </c>
      <c r="E1627" s="1741" t="s">
        <v>2489</v>
      </c>
      <c r="F1627" s="1741"/>
      <c r="G1627" s="360" t="s">
        <v>2488</v>
      </c>
      <c r="H1627" s="1218">
        <v>0.61</v>
      </c>
      <c r="V1627" s="1192">
        <v>75</v>
      </c>
    </row>
    <row r="1628" spans="1:22" s="1192" customFormat="1" ht="14.4" x14ac:dyDescent="0.3">
      <c r="A1628" s="1192" t="s">
        <v>171</v>
      </c>
      <c r="E1628" s="1741" t="s">
        <v>2490</v>
      </c>
      <c r="F1628" s="1741"/>
      <c r="G1628" s="360" t="s">
        <v>2488</v>
      </c>
      <c r="H1628" s="1218">
        <v>-0.61</v>
      </c>
      <c r="V1628" s="1192">
        <v>72</v>
      </c>
    </row>
    <row r="1629" spans="1:22" s="1192" customFormat="1" ht="14.4" x14ac:dyDescent="0.3">
      <c r="A1629" s="1192" t="s">
        <v>171</v>
      </c>
      <c r="E1629" s="1741" t="s">
        <v>2596</v>
      </c>
      <c r="F1629" s="1741"/>
      <c r="G1629" s="360"/>
      <c r="H1629" s="837"/>
      <c r="V1629" s="1192">
        <v>34</v>
      </c>
    </row>
    <row r="1630" spans="1:22" s="1192" customFormat="1" ht="14.4" x14ac:dyDescent="0.3">
      <c r="A1630" s="1192" t="s">
        <v>171</v>
      </c>
      <c r="E1630" s="1941" t="s">
        <v>2492</v>
      </c>
      <c r="F1630" s="1941"/>
      <c r="G1630" s="360" t="s">
        <v>19</v>
      </c>
      <c r="H1630" s="1218">
        <v>0.51</v>
      </c>
      <c r="V1630" s="1192">
        <v>57</v>
      </c>
    </row>
    <row r="1631" spans="1:22" s="1192" customFormat="1" ht="14.4" x14ac:dyDescent="0.3">
      <c r="A1631" s="1192" t="s">
        <v>171</v>
      </c>
      <c r="E1631" s="1941" t="s">
        <v>2493</v>
      </c>
      <c r="F1631" s="1941"/>
      <c r="G1631" s="360" t="s">
        <v>19</v>
      </c>
      <c r="H1631" s="1218">
        <v>1.02</v>
      </c>
      <c r="V1631" s="1192">
        <v>60</v>
      </c>
    </row>
    <row r="1632" spans="1:22" s="1192" customFormat="1" ht="14.4" x14ac:dyDescent="0.3">
      <c r="A1632" s="1192" t="s">
        <v>171</v>
      </c>
      <c r="E1632" s="1741" t="s">
        <v>2494</v>
      </c>
      <c r="F1632" s="1741"/>
      <c r="G1632" s="360"/>
      <c r="H1632" s="837"/>
      <c r="V1632" s="1192">
        <v>91</v>
      </c>
    </row>
    <row r="1633" spans="1:22" s="1192" customFormat="1" ht="14.4" x14ac:dyDescent="0.3">
      <c r="A1633" s="1192" t="s">
        <v>171</v>
      </c>
      <c r="E1633" s="1741" t="s">
        <v>2495</v>
      </c>
      <c r="F1633" s="1741"/>
      <c r="G1633" s="360"/>
      <c r="H1633" s="837"/>
      <c r="V1633" s="1192">
        <v>96</v>
      </c>
    </row>
    <row r="1634" spans="1:22" s="1192" customFormat="1" ht="14.4" x14ac:dyDescent="0.3">
      <c r="A1634" s="1192" t="s">
        <v>171</v>
      </c>
      <c r="E1634" s="1741" t="s">
        <v>2597</v>
      </c>
      <c r="F1634" s="1741"/>
      <c r="G1634" s="360"/>
      <c r="H1634" s="837"/>
      <c r="V1634" s="1192">
        <v>77</v>
      </c>
    </row>
    <row r="1635" spans="1:22" s="1192" customFormat="1" ht="14.4" x14ac:dyDescent="0.3">
      <c r="A1635" s="1192" t="s">
        <v>171</v>
      </c>
      <c r="E1635" s="1941" t="s">
        <v>2497</v>
      </c>
      <c r="F1635" s="1941"/>
      <c r="G1635" s="360" t="s">
        <v>19</v>
      </c>
      <c r="H1635" s="837" t="s">
        <v>2498</v>
      </c>
      <c r="V1635" s="1192">
        <v>18</v>
      </c>
    </row>
    <row r="1636" spans="1:22" s="1192" customFormat="1" ht="14.4" x14ac:dyDescent="0.3">
      <c r="A1636" s="1192" t="s">
        <v>171</v>
      </c>
      <c r="E1636" s="1941" t="s">
        <v>2499</v>
      </c>
      <c r="F1636" s="1941"/>
      <c r="G1636" s="360" t="s">
        <v>19</v>
      </c>
      <c r="H1636" s="1218">
        <v>4.08</v>
      </c>
      <c r="V1636" s="1192">
        <v>69</v>
      </c>
    </row>
    <row r="1637" spans="1:22" s="1192" customFormat="1" ht="14.4" x14ac:dyDescent="0.3">
      <c r="A1637" s="1192" t="s">
        <v>171</v>
      </c>
      <c r="E1637" s="1741" t="s">
        <v>4608</v>
      </c>
      <c r="F1637" s="1741"/>
      <c r="G1637" s="360" t="s">
        <v>19</v>
      </c>
      <c r="H1637" s="1218">
        <v>2.04</v>
      </c>
      <c r="V1637" s="1192">
        <v>199</v>
      </c>
    </row>
    <row r="1638" spans="1:22" s="1192" customFormat="1" x14ac:dyDescent="0.35">
      <c r="A1638" s="1192" t="s">
        <v>171</v>
      </c>
      <c r="E1638" s="1260" t="s">
        <v>143</v>
      </c>
      <c r="F1638" s="550"/>
      <c r="G1638" s="550"/>
      <c r="H1638" s="881"/>
      <c r="K1638" s="1192" t="s">
        <v>4420</v>
      </c>
      <c r="V1638" s="1192">
        <v>12</v>
      </c>
    </row>
    <row r="1639" spans="1:22" s="1192" customFormat="1" ht="14.4" x14ac:dyDescent="0.3">
      <c r="A1639" s="1192" t="s">
        <v>171</v>
      </c>
      <c r="E1639" s="1741" t="s">
        <v>2501</v>
      </c>
      <c r="F1639" s="1741"/>
      <c r="G1639" s="1741"/>
      <c r="H1639" s="1741"/>
      <c r="V1639" s="1192">
        <v>203</v>
      </c>
    </row>
    <row r="1640" spans="1:22" s="1192" customFormat="1" ht="14.4" x14ac:dyDescent="0.3">
      <c r="A1640" s="1192" t="s">
        <v>171</v>
      </c>
      <c r="E1640" s="1741" t="s">
        <v>2599</v>
      </c>
      <c r="F1640" s="1741"/>
      <c r="G1640" s="1277"/>
      <c r="H1640" s="837">
        <v>1.0452999999999999</v>
      </c>
      <c r="V1640" s="1192">
        <v>57</v>
      </c>
    </row>
    <row r="1641" spans="1:22" s="1192" customFormat="1" ht="14.4" x14ac:dyDescent="0.3">
      <c r="A1641" s="1192" t="s">
        <v>171</v>
      </c>
      <c r="E1641" s="1741" t="s">
        <v>2601</v>
      </c>
      <c r="F1641" s="1741"/>
      <c r="G1641" s="1277"/>
      <c r="H1641" s="837">
        <v>1.0348999999999999</v>
      </c>
      <c r="J1641" s="1192" t="s">
        <v>4421</v>
      </c>
      <c r="V1641" s="1192">
        <v>55</v>
      </c>
    </row>
    <row r="1642" spans="1:22" s="1192" customFormat="1" ht="22.8" x14ac:dyDescent="0.3">
      <c r="A1642" s="1192" t="s">
        <v>416</v>
      </c>
      <c r="B1642" s="1192" t="s">
        <v>4542</v>
      </c>
      <c r="C1642" s="1192" t="s">
        <v>2378</v>
      </c>
      <c r="E1642" s="1752" t="s">
        <v>416</v>
      </c>
      <c r="F1642" s="2039"/>
      <c r="G1642" s="2039"/>
      <c r="H1642" s="2039"/>
      <c r="I1642" s="1192" t="s">
        <v>603</v>
      </c>
      <c r="J1642" s="1192" t="s">
        <v>4543</v>
      </c>
      <c r="K1642" s="1192" t="s">
        <v>416</v>
      </c>
      <c r="M1642" s="1192">
        <v>6</v>
      </c>
      <c r="V1642" s="1192">
        <v>24</v>
      </c>
    </row>
    <row r="1643" spans="1:22" s="1192" customFormat="1" ht="22.8" x14ac:dyDescent="0.3">
      <c r="A1643" s="1192" t="s">
        <v>416</v>
      </c>
      <c r="B1643" s="1192" t="s">
        <v>4542</v>
      </c>
      <c r="C1643" s="1192" t="s">
        <v>2380</v>
      </c>
      <c r="E1643" s="1752" t="s">
        <v>4544</v>
      </c>
      <c r="F1643" s="2039"/>
      <c r="G1643" s="2039"/>
      <c r="H1643" s="2039"/>
      <c r="V1643" s="1192">
        <v>38</v>
      </c>
    </row>
    <row r="1644" spans="1:22" s="1192" customFormat="1" ht="17.399999999999999" x14ac:dyDescent="0.3">
      <c r="A1644" s="1192" t="s">
        <v>416</v>
      </c>
      <c r="B1644" s="1192" t="s">
        <v>4542</v>
      </c>
      <c r="C1644" s="1192" t="s">
        <v>2382</v>
      </c>
      <c r="E1644" s="1753" t="s">
        <v>2381</v>
      </c>
      <c r="F1644" s="2040"/>
      <c r="G1644" s="2040"/>
      <c r="H1644" s="2040"/>
      <c r="V1644" s="1192">
        <v>27</v>
      </c>
    </row>
    <row r="1645" spans="1:22" s="1192" customFormat="1" ht="15.6" x14ac:dyDescent="0.3">
      <c r="A1645" s="1192" t="s">
        <v>416</v>
      </c>
      <c r="B1645" s="1192" t="s">
        <v>4542</v>
      </c>
      <c r="C1645" s="1192" t="s">
        <v>2383</v>
      </c>
      <c r="E1645" s="1754" t="s">
        <v>5937</v>
      </c>
      <c r="F1645" s="2020"/>
      <c r="G1645" s="2020"/>
      <c r="H1645" s="2020"/>
      <c r="S1645" s="1192">
        <v>43831</v>
      </c>
      <c r="V1645" s="1192">
        <v>49</v>
      </c>
    </row>
    <row r="1646" spans="1:22" s="1192" customFormat="1" ht="14.4" x14ac:dyDescent="0.3">
      <c r="A1646" s="1192" t="s">
        <v>416</v>
      </c>
      <c r="B1646" s="1192" t="s">
        <v>4542</v>
      </c>
      <c r="E1646" s="1755" t="s">
        <v>2384</v>
      </c>
      <c r="F1646" s="2021"/>
      <c r="G1646" s="2021"/>
      <c r="H1646" s="2021"/>
      <c r="V1646" s="1192">
        <v>52</v>
      </c>
    </row>
    <row r="1647" spans="1:22" s="1192" customFormat="1" ht="14.4" x14ac:dyDescent="0.3">
      <c r="A1647" s="1192" t="s">
        <v>416</v>
      </c>
      <c r="B1647" s="1192" t="s">
        <v>4542</v>
      </c>
      <c r="E1647" s="1755" t="s">
        <v>2385</v>
      </c>
      <c r="F1647" s="2021"/>
      <c r="G1647" s="2021"/>
      <c r="H1647" s="2021"/>
      <c r="V1647" s="1192">
        <v>53</v>
      </c>
    </row>
    <row r="1648" spans="1:22" s="1192" customFormat="1" ht="14.4" x14ac:dyDescent="0.3">
      <c r="A1648" s="1192" t="s">
        <v>416</v>
      </c>
      <c r="B1648" s="1192" t="s">
        <v>4542</v>
      </c>
      <c r="E1648" s="1772" t="s">
        <v>6143</v>
      </c>
      <c r="F1648" s="1772"/>
      <c r="G1648" s="1772"/>
      <c r="H1648" s="1772"/>
      <c r="K1648" s="1192" t="s">
        <v>6143</v>
      </c>
      <c r="V1648" s="1192">
        <v>12</v>
      </c>
    </row>
    <row r="1649" spans="1:22" s="1192" customFormat="1" ht="14.4" x14ac:dyDescent="0.3">
      <c r="A1649" s="1192" t="s">
        <v>416</v>
      </c>
      <c r="B1649" s="1192" t="s">
        <v>4542</v>
      </c>
      <c r="E1649" s="1746" t="s">
        <v>427</v>
      </c>
      <c r="F1649" s="1743"/>
      <c r="G1649" s="1743"/>
      <c r="H1649" s="1743"/>
      <c r="K1649" s="1192" t="s">
        <v>2506</v>
      </c>
      <c r="V1649" s="1192">
        <v>34</v>
      </c>
    </row>
    <row r="1650" spans="1:22" s="1192" customFormat="1" ht="14.4" x14ac:dyDescent="0.3">
      <c r="A1650" s="1192" t="s">
        <v>416</v>
      </c>
      <c r="B1650" s="1192" t="s">
        <v>4542</v>
      </c>
      <c r="E1650" s="1743" t="s">
        <v>3358</v>
      </c>
      <c r="F1650" s="1743"/>
      <c r="G1650" s="1743"/>
      <c r="H1650" s="1743"/>
      <c r="K1650" s="1192" t="s">
        <v>2506</v>
      </c>
      <c r="V1650" s="1192">
        <v>617</v>
      </c>
    </row>
    <row r="1651" spans="1:22" s="1192" customFormat="1" ht="14.4" x14ac:dyDescent="0.3">
      <c r="A1651" s="1192" t="s">
        <v>416</v>
      </c>
      <c r="B1651" s="1192" t="s">
        <v>4542</v>
      </c>
      <c r="E1651" s="1750" t="s">
        <v>2389</v>
      </c>
      <c r="F1651" s="1743"/>
      <c r="G1651" s="1743"/>
      <c r="H1651" s="1743"/>
      <c r="K1651" s="1192" t="s">
        <v>2390</v>
      </c>
      <c r="V1651" s="1192">
        <v>11</v>
      </c>
    </row>
    <row r="1652" spans="1:22" s="1192" customFormat="1" ht="14.4" x14ac:dyDescent="0.3">
      <c r="A1652" s="1192" t="s">
        <v>416</v>
      </c>
      <c r="B1652" s="1192" t="s">
        <v>4542</v>
      </c>
      <c r="E1652" s="1743" t="s">
        <v>2391</v>
      </c>
      <c r="F1652" s="1743"/>
      <c r="G1652" s="1743"/>
      <c r="H1652" s="1743"/>
      <c r="K1652" s="1192" t="s">
        <v>2506</v>
      </c>
      <c r="V1652" s="1192">
        <v>280</v>
      </c>
    </row>
    <row r="1653" spans="1:22" s="1192" customFormat="1" ht="14.4" x14ac:dyDescent="0.3">
      <c r="A1653" s="1192" t="s">
        <v>416</v>
      </c>
      <c r="B1653" s="1192" t="s">
        <v>4542</v>
      </c>
      <c r="E1653" s="1743" t="s">
        <v>2392</v>
      </c>
      <c r="F1653" s="1743"/>
      <c r="G1653" s="1743"/>
      <c r="H1653" s="1743"/>
      <c r="K1653" s="1192" t="s">
        <v>2506</v>
      </c>
      <c r="V1653" s="1192">
        <v>411</v>
      </c>
    </row>
    <row r="1654" spans="1:22" s="1192" customFormat="1" ht="14.4" x14ac:dyDescent="0.3">
      <c r="A1654" s="1192" t="s">
        <v>416</v>
      </c>
      <c r="B1654" s="1192" t="s">
        <v>4542</v>
      </c>
      <c r="E1654" s="1743" t="s">
        <v>2508</v>
      </c>
      <c r="F1654" s="1743"/>
      <c r="G1654" s="1743"/>
      <c r="H1654" s="1743"/>
      <c r="K1654" s="1192" t="s">
        <v>2506</v>
      </c>
      <c r="V1654" s="1192">
        <v>386</v>
      </c>
    </row>
    <row r="1655" spans="1:22" s="1192" customFormat="1" ht="14.4" x14ac:dyDescent="0.3">
      <c r="A1655" s="1192" t="s">
        <v>416</v>
      </c>
      <c r="B1655" s="1192" t="s">
        <v>4542</v>
      </c>
      <c r="E1655" s="1743" t="s">
        <v>4500</v>
      </c>
      <c r="F1655" s="1743"/>
      <c r="G1655" s="1743"/>
      <c r="H1655" s="1743"/>
      <c r="K1655" s="1192" t="s">
        <v>2506</v>
      </c>
      <c r="V1655" s="1192">
        <v>247</v>
      </c>
    </row>
    <row r="1656" spans="1:22" s="1192" customFormat="1" ht="14.4" x14ac:dyDescent="0.3">
      <c r="A1656" s="1192" t="s">
        <v>416</v>
      </c>
      <c r="B1656" s="1192" t="s">
        <v>4542</v>
      </c>
      <c r="E1656" s="1750" t="s">
        <v>2394</v>
      </c>
      <c r="F1656" s="1743"/>
      <c r="G1656" s="1743"/>
      <c r="H1656" s="1743"/>
      <c r="K1656" s="1192" t="s">
        <v>2395</v>
      </c>
      <c r="V1656" s="1192">
        <v>46</v>
      </c>
    </row>
    <row r="1657" spans="1:22" s="1192" customFormat="1" ht="14.4" x14ac:dyDescent="0.3">
      <c r="A1657" s="1192" t="s">
        <v>416</v>
      </c>
      <c r="B1657" s="1192" t="s">
        <v>4542</v>
      </c>
      <c r="E1657" s="1741" t="s">
        <v>7</v>
      </c>
      <c r="F1657" s="1741"/>
      <c r="G1657" s="1277" t="s">
        <v>19</v>
      </c>
      <c r="H1657" s="1218">
        <v>27.26</v>
      </c>
      <c r="K1657" s="1192" t="s">
        <v>2506</v>
      </c>
      <c r="L1657" s="1192" t="s">
        <v>430</v>
      </c>
      <c r="P1657" s="1192" t="s">
        <v>2510</v>
      </c>
      <c r="V1657" s="1192">
        <v>14</v>
      </c>
    </row>
    <row r="1658" spans="1:22" s="1192" customFormat="1" ht="14.4" x14ac:dyDescent="0.3">
      <c r="A1658" s="1192" t="s">
        <v>416</v>
      </c>
      <c r="B1658" s="1192" t="s">
        <v>4542</v>
      </c>
      <c r="E1658" s="1741" t="s">
        <v>3900</v>
      </c>
      <c r="F1658" s="1741"/>
      <c r="G1658" s="1277" t="s">
        <v>19</v>
      </c>
      <c r="H1658" s="1218">
        <v>0.56999999999999995</v>
      </c>
      <c r="K1658" s="1192" t="s">
        <v>2506</v>
      </c>
      <c r="L1658" s="1192" t="s">
        <v>431</v>
      </c>
      <c r="P1658" s="1192" t="s">
        <v>2511</v>
      </c>
      <c r="T1658" s="1192">
        <v>44926</v>
      </c>
      <c r="V1658" s="1192">
        <v>64</v>
      </c>
    </row>
    <row r="1659" spans="1:22" s="1192" customFormat="1" ht="14.4" x14ac:dyDescent="0.3">
      <c r="A1659" s="1192" t="s">
        <v>416</v>
      </c>
      <c r="B1659" s="1192" t="s">
        <v>4542</v>
      </c>
      <c r="E1659" s="1741" t="s">
        <v>6090</v>
      </c>
      <c r="F1659" s="1998"/>
      <c r="G1659" s="1277" t="s">
        <v>20</v>
      </c>
      <c r="H1659" s="1219">
        <v>-2.2000000000000001E-3</v>
      </c>
      <c r="K1659" s="1192" t="s">
        <v>2506</v>
      </c>
      <c r="L1659" s="1192" t="s">
        <v>431</v>
      </c>
      <c r="P1659" s="1192" t="s">
        <v>2514</v>
      </c>
      <c r="T1659" s="1192">
        <v>44196</v>
      </c>
      <c r="V1659" s="1192">
        <v>142</v>
      </c>
    </row>
    <row r="1660" spans="1:22" s="1192" customFormat="1" ht="14.4" x14ac:dyDescent="0.3">
      <c r="A1660" s="1192" t="s">
        <v>416</v>
      </c>
      <c r="B1660" s="1192" t="s">
        <v>4542</v>
      </c>
      <c r="E1660" s="1741" t="s">
        <v>6144</v>
      </c>
      <c r="F1660" s="1998"/>
      <c r="G1660" s="1277" t="s">
        <v>20</v>
      </c>
      <c r="H1660" s="1219">
        <v>2.9999999999999997E-4</v>
      </c>
      <c r="K1660" s="1192" t="s">
        <v>2506</v>
      </c>
      <c r="L1660" s="1192" t="s">
        <v>430</v>
      </c>
      <c r="P1660" s="1192" t="s">
        <v>2515</v>
      </c>
      <c r="T1660" s="1192">
        <v>44196</v>
      </c>
      <c r="V1660" s="1192">
        <v>138</v>
      </c>
    </row>
    <row r="1661" spans="1:22" s="1192" customFormat="1" ht="14.4" x14ac:dyDescent="0.3">
      <c r="A1661" s="1192" t="s">
        <v>416</v>
      </c>
      <c r="B1661" s="1192" t="s">
        <v>4542</v>
      </c>
      <c r="E1661" s="1741" t="s">
        <v>6087</v>
      </c>
      <c r="F1661" s="1998"/>
      <c r="G1661" s="1277" t="s">
        <v>20</v>
      </c>
      <c r="H1661" s="1219">
        <v>-3.3E-3</v>
      </c>
      <c r="K1661" s="1192" t="s">
        <v>2506</v>
      </c>
      <c r="L1661" s="1192" t="s">
        <v>431</v>
      </c>
      <c r="P1661" s="1192" t="s">
        <v>2516</v>
      </c>
      <c r="T1661" s="1192">
        <v>44196</v>
      </c>
      <c r="V1661" s="1192">
        <v>99</v>
      </c>
    </row>
    <row r="1662" spans="1:22" s="1192" customFormat="1" ht="14.4" x14ac:dyDescent="0.3">
      <c r="A1662" s="1192" t="s">
        <v>416</v>
      </c>
      <c r="B1662" s="1192" t="s">
        <v>4542</v>
      </c>
      <c r="E1662" s="1741" t="s">
        <v>6112</v>
      </c>
      <c r="F1662" s="1998"/>
      <c r="G1662" s="1277" t="s">
        <v>20</v>
      </c>
      <c r="H1662" s="1219">
        <v>2.9999999999999997E-4</v>
      </c>
      <c r="K1662" s="1192" t="s">
        <v>2506</v>
      </c>
      <c r="L1662" s="1192" t="s">
        <v>431</v>
      </c>
      <c r="P1662" s="1192" t="s">
        <v>3897</v>
      </c>
      <c r="T1662" s="1192">
        <v>44196</v>
      </c>
      <c r="V1662" s="1192">
        <v>148</v>
      </c>
    </row>
    <row r="1663" spans="1:22" s="1192" customFormat="1" ht="14.4" x14ac:dyDescent="0.3">
      <c r="A1663" s="1192" t="s">
        <v>416</v>
      </c>
      <c r="B1663" s="1192" t="s">
        <v>4542</v>
      </c>
      <c r="E1663" s="1741" t="s">
        <v>213</v>
      </c>
      <c r="F1663" s="1741"/>
      <c r="G1663" s="1277" t="s">
        <v>20</v>
      </c>
      <c r="H1663" s="1219">
        <v>7.3000000000000001E-3</v>
      </c>
      <c r="K1663" s="1192" t="s">
        <v>2506</v>
      </c>
      <c r="L1663" s="1192" t="s">
        <v>432</v>
      </c>
      <c r="P1663" s="1192" t="s">
        <v>2517</v>
      </c>
      <c r="V1663" s="1192">
        <v>47</v>
      </c>
    </row>
    <row r="1664" spans="1:22" s="1192" customFormat="1" ht="14.4" x14ac:dyDescent="0.3">
      <c r="A1664" s="1192" t="s">
        <v>416</v>
      </c>
      <c r="B1664" s="1192" t="s">
        <v>4542</v>
      </c>
      <c r="E1664" s="1741" t="s">
        <v>209</v>
      </c>
      <c r="F1664" s="1741"/>
      <c r="G1664" s="1277" t="s">
        <v>20</v>
      </c>
      <c r="H1664" s="1219">
        <v>6.7000000000000002E-3</v>
      </c>
      <c r="K1664" s="1192" t="s">
        <v>2506</v>
      </c>
      <c r="L1664" s="1192" t="s">
        <v>432</v>
      </c>
      <c r="P1664" s="1192" t="s">
        <v>2518</v>
      </c>
      <c r="V1664" s="1192">
        <v>74</v>
      </c>
    </row>
    <row r="1665" spans="1:22" s="1192" customFormat="1" ht="14.4" x14ac:dyDescent="0.3">
      <c r="A1665" s="1192" t="s">
        <v>416</v>
      </c>
      <c r="B1665" s="1192" t="s">
        <v>4542</v>
      </c>
      <c r="E1665" s="1750" t="s">
        <v>2405</v>
      </c>
      <c r="F1665" s="1741"/>
      <c r="G1665" s="1277"/>
      <c r="H1665" s="896"/>
      <c r="K1665" s="1192" t="s">
        <v>2406</v>
      </c>
      <c r="V1665" s="1192">
        <v>48</v>
      </c>
    </row>
    <row r="1666" spans="1:22" s="1192" customFormat="1" ht="14.4" x14ac:dyDescent="0.3">
      <c r="A1666" s="1192" t="s">
        <v>416</v>
      </c>
      <c r="B1666" s="1192" t="s">
        <v>4542</v>
      </c>
      <c r="E1666" s="1741" t="s">
        <v>2033</v>
      </c>
      <c r="F1666" s="1741"/>
      <c r="G1666" s="1277" t="s">
        <v>20</v>
      </c>
      <c r="H1666" s="1219">
        <v>3.0000000000000001E-3</v>
      </c>
      <c r="K1666" s="1192" t="s">
        <v>2506</v>
      </c>
      <c r="L1666" s="1192" t="s">
        <v>2374</v>
      </c>
      <c r="P1666" s="1192" t="s">
        <v>2519</v>
      </c>
      <c r="V1666" s="1192">
        <v>55</v>
      </c>
    </row>
    <row r="1667" spans="1:22" s="1192" customFormat="1" ht="14.4" x14ac:dyDescent="0.3">
      <c r="A1667" s="1192" t="s">
        <v>416</v>
      </c>
      <c r="B1667" s="1192" t="s">
        <v>4542</v>
      </c>
      <c r="E1667" s="1741" t="s">
        <v>2034</v>
      </c>
      <c r="F1667" s="1741"/>
      <c r="G1667" s="1277" t="s">
        <v>20</v>
      </c>
      <c r="H1667" s="1219">
        <v>4.0000000000000002E-4</v>
      </c>
      <c r="K1667" s="1192" t="s">
        <v>2506</v>
      </c>
      <c r="L1667" s="1192" t="s">
        <v>2374</v>
      </c>
      <c r="P1667" s="1192" t="s">
        <v>2519</v>
      </c>
      <c r="V1667" s="1192">
        <v>65</v>
      </c>
    </row>
    <row r="1668" spans="1:22" s="1192" customFormat="1" ht="14.4" x14ac:dyDescent="0.3">
      <c r="A1668" s="1192" t="s">
        <v>416</v>
      </c>
      <c r="B1668" s="1192" t="s">
        <v>4542</v>
      </c>
      <c r="E1668" s="1741" t="s">
        <v>428</v>
      </c>
      <c r="F1668" s="1741"/>
      <c r="G1668" s="1277" t="s">
        <v>20</v>
      </c>
      <c r="H1668" s="1219">
        <v>5.0000000000000001E-4</v>
      </c>
      <c r="K1668" s="1192" t="s">
        <v>2506</v>
      </c>
      <c r="L1668" s="1192" t="s">
        <v>2374</v>
      </c>
      <c r="P1668" s="1192" t="s">
        <v>2520</v>
      </c>
      <c r="V1668" s="1192">
        <v>57</v>
      </c>
    </row>
    <row r="1669" spans="1:22" s="1192" customFormat="1" ht="14.4" x14ac:dyDescent="0.3">
      <c r="A1669" s="1192" t="s">
        <v>416</v>
      </c>
      <c r="B1669" s="1192" t="s">
        <v>4542</v>
      </c>
      <c r="E1669" s="1741" t="s">
        <v>28</v>
      </c>
      <c r="F1669" s="1741"/>
      <c r="G1669" s="1277" t="s">
        <v>19</v>
      </c>
      <c r="H1669" s="1218">
        <v>0.25</v>
      </c>
      <c r="K1669" s="1192" t="s">
        <v>2506</v>
      </c>
      <c r="L1669" s="1192" t="s">
        <v>2374</v>
      </c>
      <c r="P1669" s="1192" t="s">
        <v>2521</v>
      </c>
      <c r="V1669" s="1192">
        <v>63</v>
      </c>
    </row>
    <row r="1670" spans="1:22" s="1192" customFormat="1" ht="17.399999999999999" x14ac:dyDescent="0.3">
      <c r="A1670" s="1192" t="s">
        <v>416</v>
      </c>
      <c r="B1670" s="1192" t="s">
        <v>4542</v>
      </c>
      <c r="E1670" s="1746" t="s">
        <v>2522</v>
      </c>
      <c r="F1670" s="1747"/>
      <c r="G1670" s="1747"/>
      <c r="H1670" s="1747"/>
      <c r="K1670" s="1192" t="s">
        <v>3901</v>
      </c>
      <c r="V1670" s="1192">
        <v>54</v>
      </c>
    </row>
    <row r="1671" spans="1:22" s="1192" customFormat="1" ht="14.4" x14ac:dyDescent="0.3">
      <c r="A1671" s="1192" t="s">
        <v>416</v>
      </c>
      <c r="B1671" s="1192" t="s">
        <v>4542</v>
      </c>
      <c r="E1671" s="1743" t="s">
        <v>2806</v>
      </c>
      <c r="F1671" s="1743"/>
      <c r="G1671" s="1743"/>
      <c r="H1671" s="1743"/>
      <c r="K1671" s="1192" t="s">
        <v>3901</v>
      </c>
      <c r="V1671" s="1192">
        <v>331</v>
      </c>
    </row>
    <row r="1672" spans="1:22" s="1192" customFormat="1" ht="14.4" x14ac:dyDescent="0.3">
      <c r="A1672" s="1192" t="s">
        <v>416</v>
      </c>
      <c r="B1672" s="1192" t="s">
        <v>4542</v>
      </c>
      <c r="E1672" s="1750" t="s">
        <v>2389</v>
      </c>
      <c r="F1672" s="1743"/>
      <c r="G1672" s="1743"/>
      <c r="H1672" s="1743"/>
      <c r="K1672" s="1192" t="s">
        <v>2412</v>
      </c>
      <c r="V1672" s="1192">
        <v>11</v>
      </c>
    </row>
    <row r="1673" spans="1:22" s="1192" customFormat="1" ht="14.4" x14ac:dyDescent="0.3">
      <c r="A1673" s="1192" t="s">
        <v>416</v>
      </c>
      <c r="B1673" s="1192" t="s">
        <v>4542</v>
      </c>
      <c r="E1673" s="1743" t="s">
        <v>2391</v>
      </c>
      <c r="F1673" s="1743"/>
      <c r="G1673" s="1743"/>
      <c r="H1673" s="1743"/>
      <c r="K1673" s="1192" t="s">
        <v>3901</v>
      </c>
      <c r="V1673" s="1192">
        <v>280</v>
      </c>
    </row>
    <row r="1674" spans="1:22" s="1192" customFormat="1" ht="14.4" x14ac:dyDescent="0.3">
      <c r="A1674" s="1192" t="s">
        <v>416</v>
      </c>
      <c r="B1674" s="1192" t="s">
        <v>4542</v>
      </c>
      <c r="E1674" s="1743" t="s">
        <v>2392</v>
      </c>
      <c r="F1674" s="1743"/>
      <c r="G1674" s="1743"/>
      <c r="H1674" s="1743"/>
      <c r="K1674" s="1192" t="s">
        <v>3901</v>
      </c>
      <c r="V1674" s="1192">
        <v>411</v>
      </c>
    </row>
    <row r="1675" spans="1:22" s="1192" customFormat="1" ht="14.4" x14ac:dyDescent="0.3">
      <c r="A1675" s="1192" t="s">
        <v>416</v>
      </c>
      <c r="B1675" s="1192" t="s">
        <v>4542</v>
      </c>
      <c r="E1675" s="1743" t="s">
        <v>2508</v>
      </c>
      <c r="F1675" s="1743"/>
      <c r="G1675" s="1743"/>
      <c r="H1675" s="1743"/>
      <c r="K1675" s="1192" t="s">
        <v>3901</v>
      </c>
      <c r="V1675" s="1192">
        <v>386</v>
      </c>
    </row>
    <row r="1676" spans="1:22" s="1192" customFormat="1" ht="14.4" x14ac:dyDescent="0.3">
      <c r="A1676" s="1192" t="s">
        <v>416</v>
      </c>
      <c r="B1676" s="1192" t="s">
        <v>4542</v>
      </c>
      <c r="E1676" s="1743" t="s">
        <v>4500</v>
      </c>
      <c r="F1676" s="1743"/>
      <c r="G1676" s="1743"/>
      <c r="H1676" s="1743"/>
      <c r="K1676" s="1192" t="s">
        <v>3901</v>
      </c>
      <c r="V1676" s="1192">
        <v>247</v>
      </c>
    </row>
    <row r="1677" spans="1:22" s="1192" customFormat="1" ht="14.4" x14ac:dyDescent="0.3">
      <c r="A1677" s="1192" t="s">
        <v>416</v>
      </c>
      <c r="B1677" s="1192" t="s">
        <v>4542</v>
      </c>
      <c r="E1677" s="1750" t="s">
        <v>2394</v>
      </c>
      <c r="F1677" s="1743"/>
      <c r="G1677" s="1743"/>
      <c r="H1677" s="1743"/>
      <c r="K1677" s="1192" t="s">
        <v>2413</v>
      </c>
      <c r="V1677" s="1192">
        <v>46</v>
      </c>
    </row>
    <row r="1678" spans="1:22" s="1192" customFormat="1" ht="14.4" x14ac:dyDescent="0.3">
      <c r="A1678" s="1192" t="s">
        <v>416</v>
      </c>
      <c r="B1678" s="1192" t="s">
        <v>4542</v>
      </c>
      <c r="E1678" s="1741" t="s">
        <v>7</v>
      </c>
      <c r="F1678" s="1741"/>
      <c r="G1678" s="1277" t="s">
        <v>19</v>
      </c>
      <c r="H1678" s="1218">
        <v>25</v>
      </c>
      <c r="K1678" s="1192" t="s">
        <v>3901</v>
      </c>
      <c r="L1678" s="1192" t="s">
        <v>430</v>
      </c>
      <c r="P1678" s="1192" t="s">
        <v>3902</v>
      </c>
      <c r="V1678" s="1192">
        <v>14</v>
      </c>
    </row>
    <row r="1679" spans="1:22" s="1192" customFormat="1" ht="14.4" x14ac:dyDescent="0.3">
      <c r="A1679" s="1192" t="s">
        <v>416</v>
      </c>
      <c r="B1679" s="1192" t="s">
        <v>4542</v>
      </c>
      <c r="E1679" s="1741" t="s">
        <v>3900</v>
      </c>
      <c r="F1679" s="1741"/>
      <c r="G1679" s="1277" t="s">
        <v>19</v>
      </c>
      <c r="H1679" s="1218">
        <v>0.56999999999999995</v>
      </c>
      <c r="K1679" s="1192" t="s">
        <v>3901</v>
      </c>
      <c r="L1679" s="1192" t="s">
        <v>431</v>
      </c>
      <c r="P1679" s="1192" t="s">
        <v>3903</v>
      </c>
      <c r="T1679" s="1192">
        <v>44926</v>
      </c>
      <c r="V1679" s="1192">
        <v>64</v>
      </c>
    </row>
    <row r="1680" spans="1:22" s="1192" customFormat="1" ht="14.4" x14ac:dyDescent="0.3">
      <c r="A1680" s="1192" t="s">
        <v>416</v>
      </c>
      <c r="B1680" s="1192" t="s">
        <v>4542</v>
      </c>
      <c r="E1680" s="1741" t="s">
        <v>80</v>
      </c>
      <c r="F1680" s="1741"/>
      <c r="G1680" s="1277" t="s">
        <v>20</v>
      </c>
      <c r="H1680" s="1219">
        <v>1.7000000000000001E-2</v>
      </c>
      <c r="K1680" s="1192" t="s">
        <v>3901</v>
      </c>
      <c r="L1680" s="1192" t="s">
        <v>430</v>
      </c>
      <c r="P1680" s="1192" t="s">
        <v>3904</v>
      </c>
      <c r="V1680" s="1192">
        <v>28</v>
      </c>
    </row>
    <row r="1681" spans="1:22" s="1192" customFormat="1" ht="14.4" x14ac:dyDescent="0.3">
      <c r="A1681" s="1192" t="s">
        <v>416</v>
      </c>
      <c r="B1681" s="1192" t="s">
        <v>4542</v>
      </c>
      <c r="E1681" s="1741" t="s">
        <v>6090</v>
      </c>
      <c r="F1681" s="1998"/>
      <c r="G1681" s="1277" t="s">
        <v>20</v>
      </c>
      <c r="H1681" s="1219">
        <v>-2.2000000000000001E-3</v>
      </c>
      <c r="K1681" s="1192" t="s">
        <v>3901</v>
      </c>
      <c r="L1681" s="1192" t="s">
        <v>431</v>
      </c>
      <c r="P1681" s="1192" t="s">
        <v>3700</v>
      </c>
      <c r="T1681" s="1192">
        <v>44196</v>
      </c>
      <c r="V1681" s="1192">
        <v>142</v>
      </c>
    </row>
    <row r="1682" spans="1:22" s="1192" customFormat="1" ht="14.4" x14ac:dyDescent="0.3">
      <c r="A1682" s="1192" t="s">
        <v>416</v>
      </c>
      <c r="B1682" s="1192" t="s">
        <v>4542</v>
      </c>
      <c r="E1682" s="1741" t="s">
        <v>6145</v>
      </c>
      <c r="F1682" s="1998"/>
      <c r="G1682" s="1277" t="s">
        <v>20</v>
      </c>
      <c r="H1682" s="1219">
        <v>4.0000000000000002E-4</v>
      </c>
      <c r="K1682" s="1192" t="s">
        <v>3901</v>
      </c>
      <c r="L1682" s="1192" t="s">
        <v>430</v>
      </c>
      <c r="P1682" s="1192" t="s">
        <v>4000</v>
      </c>
      <c r="T1682" s="1192">
        <v>44196</v>
      </c>
      <c r="V1682" s="1192">
        <v>139</v>
      </c>
    </row>
    <row r="1683" spans="1:22" s="1192" customFormat="1" ht="14.4" x14ac:dyDescent="0.3">
      <c r="A1683" s="1192" t="s">
        <v>416</v>
      </c>
      <c r="B1683" s="1192" t="s">
        <v>4542</v>
      </c>
      <c r="E1683" s="1741" t="s">
        <v>6087</v>
      </c>
      <c r="F1683" s="1998"/>
      <c r="G1683" s="1277" t="s">
        <v>20</v>
      </c>
      <c r="H1683" s="1219">
        <v>-3.8999999999999998E-3</v>
      </c>
      <c r="K1683" s="1192" t="s">
        <v>3901</v>
      </c>
      <c r="L1683" s="1192" t="s">
        <v>431</v>
      </c>
      <c r="P1683" s="1192" t="s">
        <v>3911</v>
      </c>
      <c r="T1683" s="1192">
        <v>44196</v>
      </c>
      <c r="V1683" s="1192">
        <v>99</v>
      </c>
    </row>
    <row r="1684" spans="1:22" s="1192" customFormat="1" ht="14.4" x14ac:dyDescent="0.3">
      <c r="A1684" s="1192" t="s">
        <v>416</v>
      </c>
      <c r="B1684" s="1192" t="s">
        <v>4542</v>
      </c>
      <c r="E1684" s="1741" t="s">
        <v>6112</v>
      </c>
      <c r="F1684" s="1998"/>
      <c r="G1684" s="1277" t="s">
        <v>20</v>
      </c>
      <c r="H1684" s="1219">
        <v>2.9999999999999997E-4</v>
      </c>
      <c r="K1684" s="1192" t="s">
        <v>3901</v>
      </c>
      <c r="L1684" s="1192" t="s">
        <v>431</v>
      </c>
      <c r="P1684" s="1192" t="s">
        <v>4001</v>
      </c>
      <c r="T1684" s="1192">
        <v>44196</v>
      </c>
      <c r="V1684" s="1192">
        <v>148</v>
      </c>
    </row>
    <row r="1685" spans="1:22" s="1192" customFormat="1" ht="14.4" x14ac:dyDescent="0.3">
      <c r="A1685" s="1192" t="s">
        <v>416</v>
      </c>
      <c r="B1685" s="1192" t="s">
        <v>4542</v>
      </c>
      <c r="E1685" s="1741" t="s">
        <v>213</v>
      </c>
      <c r="F1685" s="1741"/>
      <c r="G1685" s="1277" t="s">
        <v>20</v>
      </c>
      <c r="H1685" s="1219">
        <v>7.3000000000000001E-3</v>
      </c>
      <c r="K1685" s="1192" t="s">
        <v>3901</v>
      </c>
      <c r="L1685" s="1192" t="s">
        <v>432</v>
      </c>
      <c r="P1685" s="1192" t="s">
        <v>3906</v>
      </c>
      <c r="V1685" s="1192">
        <v>47</v>
      </c>
    </row>
    <row r="1686" spans="1:22" s="1192" customFormat="1" ht="14.4" x14ac:dyDescent="0.3">
      <c r="A1686" s="1192" t="s">
        <v>416</v>
      </c>
      <c r="B1686" s="1192" t="s">
        <v>4542</v>
      </c>
      <c r="E1686" s="1741" t="s">
        <v>209</v>
      </c>
      <c r="F1686" s="1741"/>
      <c r="G1686" s="1277" t="s">
        <v>20</v>
      </c>
      <c r="H1686" s="1219">
        <v>6.1000000000000004E-3</v>
      </c>
      <c r="K1686" s="1192" t="s">
        <v>3901</v>
      </c>
      <c r="L1686" s="1192" t="s">
        <v>432</v>
      </c>
      <c r="P1686" s="1192" t="s">
        <v>3907</v>
      </c>
      <c r="V1686" s="1192">
        <v>74</v>
      </c>
    </row>
    <row r="1687" spans="1:22" s="1192" customFormat="1" ht="14.4" x14ac:dyDescent="0.3">
      <c r="A1687" s="1192" t="s">
        <v>416</v>
      </c>
      <c r="B1687" s="1192" t="s">
        <v>4542</v>
      </c>
      <c r="E1687" s="1750" t="s">
        <v>2405</v>
      </c>
      <c r="F1687" s="1741"/>
      <c r="G1687" s="1277"/>
      <c r="H1687" s="896"/>
      <c r="K1687" s="1192" t="s">
        <v>2418</v>
      </c>
      <c r="V1687" s="1192">
        <v>48</v>
      </c>
    </row>
    <row r="1688" spans="1:22" s="1192" customFormat="1" ht="14.4" x14ac:dyDescent="0.3">
      <c r="A1688" s="1192" t="s">
        <v>416</v>
      </c>
      <c r="B1688" s="1192" t="s">
        <v>4542</v>
      </c>
      <c r="E1688" s="1741" t="s">
        <v>2033</v>
      </c>
      <c r="F1688" s="1741"/>
      <c r="G1688" s="1277" t="s">
        <v>20</v>
      </c>
      <c r="H1688" s="1219">
        <v>3.0000000000000001E-3</v>
      </c>
      <c r="K1688" s="1192" t="s">
        <v>3901</v>
      </c>
      <c r="L1688" s="1192" t="s">
        <v>2374</v>
      </c>
      <c r="P1688" s="1192" t="s">
        <v>3908</v>
      </c>
      <c r="V1688" s="1192">
        <v>55</v>
      </c>
    </row>
    <row r="1689" spans="1:22" s="1192" customFormat="1" ht="14.4" x14ac:dyDescent="0.3">
      <c r="A1689" s="1192" t="s">
        <v>416</v>
      </c>
      <c r="B1689" s="1192" t="s">
        <v>4542</v>
      </c>
      <c r="E1689" s="1741" t="s">
        <v>2034</v>
      </c>
      <c r="F1689" s="1741"/>
      <c r="G1689" s="1277" t="s">
        <v>20</v>
      </c>
      <c r="H1689" s="1219">
        <v>4.0000000000000002E-4</v>
      </c>
      <c r="K1689" s="1192" t="s">
        <v>3901</v>
      </c>
      <c r="L1689" s="1192" t="s">
        <v>2374</v>
      </c>
      <c r="P1689" s="1192" t="s">
        <v>3908</v>
      </c>
      <c r="V1689" s="1192">
        <v>65</v>
      </c>
    </row>
    <row r="1690" spans="1:22" s="1192" customFormat="1" ht="14.4" x14ac:dyDescent="0.3">
      <c r="A1690" s="1192" t="s">
        <v>416</v>
      </c>
      <c r="B1690" s="1192" t="s">
        <v>4542</v>
      </c>
      <c r="E1690" s="1741" t="s">
        <v>428</v>
      </c>
      <c r="F1690" s="1741"/>
      <c r="G1690" s="1277" t="s">
        <v>20</v>
      </c>
      <c r="H1690" s="1219">
        <v>5.0000000000000001E-4</v>
      </c>
      <c r="K1690" s="1192" t="s">
        <v>3901</v>
      </c>
      <c r="L1690" s="1192" t="s">
        <v>2374</v>
      </c>
      <c r="P1690" s="1192" t="s">
        <v>3909</v>
      </c>
      <c r="V1690" s="1192">
        <v>57</v>
      </c>
    </row>
    <row r="1691" spans="1:22" s="1192" customFormat="1" ht="14.4" x14ac:dyDescent="0.3">
      <c r="A1691" s="1192" t="s">
        <v>416</v>
      </c>
      <c r="B1691" s="1192" t="s">
        <v>4542</v>
      </c>
      <c r="E1691" s="1741" t="s">
        <v>28</v>
      </c>
      <c r="F1691" s="1741"/>
      <c r="G1691" s="1277" t="s">
        <v>19</v>
      </c>
      <c r="H1691" s="1218">
        <v>0.25</v>
      </c>
      <c r="K1691" s="1192" t="s">
        <v>3901</v>
      </c>
      <c r="L1691" s="1192" t="s">
        <v>2374</v>
      </c>
      <c r="P1691" s="1192" t="s">
        <v>3910</v>
      </c>
      <c r="V1691" s="1192">
        <v>63</v>
      </c>
    </row>
    <row r="1692" spans="1:22" s="1192" customFormat="1" ht="17.399999999999999" x14ac:dyDescent="0.3">
      <c r="A1692" s="1192" t="s">
        <v>416</v>
      </c>
      <c r="B1692" s="1192" t="s">
        <v>4542</v>
      </c>
      <c r="E1692" s="1746" t="s">
        <v>591</v>
      </c>
      <c r="F1692" s="1747"/>
      <c r="G1692" s="1747"/>
      <c r="H1692" s="1747"/>
      <c r="K1692" s="1192" t="s">
        <v>4388</v>
      </c>
      <c r="V1692" s="1192">
        <v>53</v>
      </c>
    </row>
    <row r="1693" spans="1:22" s="1192" customFormat="1" ht="14.4" x14ac:dyDescent="0.3">
      <c r="A1693" s="1192" t="s">
        <v>416</v>
      </c>
      <c r="B1693" s="1192" t="s">
        <v>4542</v>
      </c>
      <c r="E1693" s="1743" t="s">
        <v>3359</v>
      </c>
      <c r="F1693" s="1743"/>
      <c r="G1693" s="1743"/>
      <c r="H1693" s="1743"/>
      <c r="K1693" s="1192" t="s">
        <v>4388</v>
      </c>
      <c r="V1693" s="1192">
        <v>355</v>
      </c>
    </row>
    <row r="1694" spans="1:22" s="1192" customFormat="1" ht="14.4" x14ac:dyDescent="0.3">
      <c r="A1694" s="1192" t="s">
        <v>416</v>
      </c>
      <c r="B1694" s="1192" t="s">
        <v>4542</v>
      </c>
      <c r="E1694" s="1750" t="s">
        <v>2389</v>
      </c>
      <c r="F1694" s="1743"/>
      <c r="G1694" s="1743"/>
      <c r="H1694" s="1743"/>
      <c r="K1694" s="1192" t="s">
        <v>2422</v>
      </c>
      <c r="V1694" s="1192">
        <v>11</v>
      </c>
    </row>
    <row r="1695" spans="1:22" s="1192" customFormat="1" ht="14.4" x14ac:dyDescent="0.3">
      <c r="A1695" s="1192" t="s">
        <v>416</v>
      </c>
      <c r="B1695" s="1192" t="s">
        <v>4542</v>
      </c>
      <c r="E1695" s="1743" t="s">
        <v>2391</v>
      </c>
      <c r="F1695" s="1743"/>
      <c r="G1695" s="1743"/>
      <c r="H1695" s="1743"/>
      <c r="K1695" s="1192" t="s">
        <v>4388</v>
      </c>
      <c r="V1695" s="1192">
        <v>280</v>
      </c>
    </row>
    <row r="1696" spans="1:22" s="1192" customFormat="1" ht="14.4" x14ac:dyDescent="0.3">
      <c r="A1696" s="1192" t="s">
        <v>416</v>
      </c>
      <c r="B1696" s="1192" t="s">
        <v>4542</v>
      </c>
      <c r="E1696" s="1743" t="s">
        <v>2392</v>
      </c>
      <c r="F1696" s="1743"/>
      <c r="G1696" s="1743"/>
      <c r="H1696" s="1743"/>
      <c r="K1696" s="1192" t="s">
        <v>4388</v>
      </c>
      <c r="V1696" s="1192">
        <v>411</v>
      </c>
    </row>
    <row r="1697" spans="1:22" s="1192" customFormat="1" ht="14.4" x14ac:dyDescent="0.3">
      <c r="A1697" s="1192" t="s">
        <v>416</v>
      </c>
      <c r="B1697" s="1192" t="s">
        <v>4542</v>
      </c>
      <c r="E1697" s="1743" t="s">
        <v>2508</v>
      </c>
      <c r="F1697" s="1743"/>
      <c r="G1697" s="1743"/>
      <c r="H1697" s="1743"/>
      <c r="K1697" s="1192" t="s">
        <v>4388</v>
      </c>
      <c r="V1697" s="1192">
        <v>386</v>
      </c>
    </row>
    <row r="1698" spans="1:22" s="1192" customFormat="1" ht="14.4" x14ac:dyDescent="0.3">
      <c r="A1698" s="1192" t="s">
        <v>416</v>
      </c>
      <c r="B1698" s="1192" t="s">
        <v>4542</v>
      </c>
      <c r="E1698" s="1743" t="s">
        <v>4503</v>
      </c>
      <c r="F1698" s="1743"/>
      <c r="G1698" s="1743"/>
      <c r="H1698" s="1743"/>
      <c r="K1698" s="1192" t="s">
        <v>4388</v>
      </c>
      <c r="V1698" s="1192">
        <v>677</v>
      </c>
    </row>
    <row r="1699" spans="1:22" s="1192" customFormat="1" ht="14.4" x14ac:dyDescent="0.3">
      <c r="A1699" s="1192" t="s">
        <v>416</v>
      </c>
      <c r="B1699" s="1192" t="s">
        <v>4542</v>
      </c>
      <c r="E1699" s="1743" t="s">
        <v>4644</v>
      </c>
      <c r="F1699" s="1743"/>
      <c r="G1699" s="1743"/>
      <c r="H1699" s="1743"/>
      <c r="K1699" s="1192" t="s">
        <v>4388</v>
      </c>
      <c r="V1699" s="1192">
        <v>693</v>
      </c>
    </row>
    <row r="1700" spans="1:22" s="1192" customFormat="1" ht="14.4" x14ac:dyDescent="0.3">
      <c r="A1700" s="1192" t="s">
        <v>416</v>
      </c>
      <c r="B1700" s="1192" t="s">
        <v>4542</v>
      </c>
      <c r="E1700" s="1743" t="s">
        <v>4500</v>
      </c>
      <c r="F1700" s="1743"/>
      <c r="G1700" s="1743"/>
      <c r="H1700" s="1743"/>
      <c r="K1700" s="1192" t="s">
        <v>4388</v>
      </c>
      <c r="V1700" s="1192">
        <v>247</v>
      </c>
    </row>
    <row r="1701" spans="1:22" s="1192" customFormat="1" ht="14.4" x14ac:dyDescent="0.3">
      <c r="A1701" s="1192" t="s">
        <v>416</v>
      </c>
      <c r="B1701" s="1192" t="s">
        <v>4542</v>
      </c>
      <c r="E1701" s="1750" t="s">
        <v>2394</v>
      </c>
      <c r="F1701" s="1743"/>
      <c r="G1701" s="1743"/>
      <c r="H1701" s="1743"/>
      <c r="K1701" s="1192" t="s">
        <v>2423</v>
      </c>
      <c r="V1701" s="1192">
        <v>46</v>
      </c>
    </row>
    <row r="1702" spans="1:22" s="1192" customFormat="1" ht="14.4" x14ac:dyDescent="0.3">
      <c r="A1702" s="1192" t="s">
        <v>416</v>
      </c>
      <c r="B1702" s="1192" t="s">
        <v>4542</v>
      </c>
      <c r="E1702" s="1741" t="s">
        <v>7</v>
      </c>
      <c r="F1702" s="1741"/>
      <c r="G1702" s="1277" t="s">
        <v>19</v>
      </c>
      <c r="H1702" s="1218">
        <v>77.89</v>
      </c>
      <c r="K1702" s="1192" t="s">
        <v>4388</v>
      </c>
      <c r="L1702" s="1192" t="s">
        <v>430</v>
      </c>
      <c r="P1702" s="1192" t="s">
        <v>4389</v>
      </c>
      <c r="V1702" s="1192">
        <v>14</v>
      </c>
    </row>
    <row r="1703" spans="1:22" s="1192" customFormat="1" ht="14.4" x14ac:dyDescent="0.3">
      <c r="A1703" s="1192" t="s">
        <v>416</v>
      </c>
      <c r="B1703" s="1192" t="s">
        <v>4542</v>
      </c>
      <c r="E1703" s="1741" t="s">
        <v>80</v>
      </c>
      <c r="F1703" s="1741"/>
      <c r="G1703" s="1277" t="s">
        <v>29</v>
      </c>
      <c r="H1703" s="1219">
        <v>3.7290000000000001</v>
      </c>
      <c r="K1703" s="1192" t="s">
        <v>4388</v>
      </c>
      <c r="L1703" s="1192" t="s">
        <v>430</v>
      </c>
      <c r="P1703" s="1192" t="s">
        <v>4390</v>
      </c>
      <c r="V1703" s="1192">
        <v>28</v>
      </c>
    </row>
    <row r="1704" spans="1:22" s="1192" customFormat="1" ht="14.4" x14ac:dyDescent="0.3">
      <c r="A1704" s="1192" t="s">
        <v>416</v>
      </c>
      <c r="B1704" s="1192" t="s">
        <v>4542</v>
      </c>
      <c r="E1704" s="1741" t="s">
        <v>6090</v>
      </c>
      <c r="F1704" s="1998"/>
      <c r="G1704" s="1277" t="s">
        <v>20</v>
      </c>
      <c r="H1704" s="1219">
        <v>-2.2000000000000001E-3</v>
      </c>
      <c r="K1704" s="1192" t="s">
        <v>4388</v>
      </c>
      <c r="L1704" s="1192" t="s">
        <v>431</v>
      </c>
      <c r="P1704" s="1192" t="s">
        <v>4397</v>
      </c>
      <c r="T1704" s="1192">
        <v>44196</v>
      </c>
      <c r="V1704" s="1192">
        <v>142</v>
      </c>
    </row>
    <row r="1705" spans="1:22" s="1192" customFormat="1" ht="14.4" x14ac:dyDescent="0.3">
      <c r="A1705" s="1192" t="s">
        <v>416</v>
      </c>
      <c r="B1705" s="1192" t="s">
        <v>4542</v>
      </c>
      <c r="E1705" s="1741" t="s">
        <v>6145</v>
      </c>
      <c r="F1705" s="1998"/>
      <c r="G1705" s="1277" t="s">
        <v>29</v>
      </c>
      <c r="H1705" s="1219">
        <v>8.5400000000000004E-2</v>
      </c>
      <c r="K1705" s="1192" t="s">
        <v>4388</v>
      </c>
      <c r="L1705" s="1192" t="s">
        <v>430</v>
      </c>
      <c r="P1705" s="1192" t="s">
        <v>4400</v>
      </c>
      <c r="T1705" s="1192">
        <v>44196</v>
      </c>
      <c r="V1705" s="1192">
        <v>139</v>
      </c>
    </row>
    <row r="1706" spans="1:22" s="1192" customFormat="1" ht="14.4" x14ac:dyDescent="0.3">
      <c r="A1706" s="1192" t="s">
        <v>416</v>
      </c>
      <c r="B1706" s="1192" t="s">
        <v>4542</v>
      </c>
      <c r="E1706" s="1741" t="s">
        <v>6146</v>
      </c>
      <c r="F1706" s="1998"/>
      <c r="G1706" s="1277" t="s">
        <v>29</v>
      </c>
      <c r="H1706" s="1219">
        <v>-2.4003999999999999</v>
      </c>
      <c r="K1706" s="1192" t="s">
        <v>4388</v>
      </c>
      <c r="L1706" s="1192" t="s">
        <v>431</v>
      </c>
      <c r="P1706" s="1192" t="s">
        <v>4398</v>
      </c>
      <c r="T1706" s="1192">
        <v>44196</v>
      </c>
      <c r="V1706" s="1192">
        <v>159</v>
      </c>
    </row>
    <row r="1707" spans="1:22" s="1192" customFormat="1" ht="14.4" x14ac:dyDescent="0.3">
      <c r="A1707" s="1192" t="s">
        <v>416</v>
      </c>
      <c r="B1707" s="1192" t="s">
        <v>4542</v>
      </c>
      <c r="E1707" s="1741" t="s">
        <v>6087</v>
      </c>
      <c r="F1707" s="1998"/>
      <c r="G1707" s="1277" t="s">
        <v>29</v>
      </c>
      <c r="H1707" s="1219">
        <v>-0.98499999999999999</v>
      </c>
      <c r="K1707" s="1192" t="s">
        <v>4388</v>
      </c>
      <c r="L1707" s="1192" t="s">
        <v>431</v>
      </c>
      <c r="P1707" s="1192" t="s">
        <v>4398</v>
      </c>
      <c r="T1707" s="1192">
        <v>44196</v>
      </c>
      <c r="V1707" s="1192">
        <v>99</v>
      </c>
    </row>
    <row r="1708" spans="1:22" s="1192" customFormat="1" ht="14.4" x14ac:dyDescent="0.3">
      <c r="A1708" s="1192" t="s">
        <v>416</v>
      </c>
      <c r="B1708" s="1192" t="s">
        <v>4542</v>
      </c>
      <c r="E1708" s="1741" t="s">
        <v>6112</v>
      </c>
      <c r="F1708" s="1998"/>
      <c r="G1708" s="1277" t="s">
        <v>29</v>
      </c>
      <c r="H1708" s="1219">
        <v>0.1232</v>
      </c>
      <c r="K1708" s="1192" t="s">
        <v>4388</v>
      </c>
      <c r="L1708" s="1192" t="s">
        <v>431</v>
      </c>
      <c r="P1708" s="1192" t="s">
        <v>4401</v>
      </c>
      <c r="T1708" s="1192">
        <v>44196</v>
      </c>
      <c r="V1708" s="1192">
        <v>148</v>
      </c>
    </row>
    <row r="1709" spans="1:22" s="1192" customFormat="1" ht="14.4" x14ac:dyDescent="0.3">
      <c r="A1709" s="1192" t="s">
        <v>416</v>
      </c>
      <c r="B1709" s="1192" t="s">
        <v>4542</v>
      </c>
      <c r="E1709" s="1741" t="s">
        <v>213</v>
      </c>
      <c r="F1709" s="1741"/>
      <c r="G1709" s="1277" t="s">
        <v>29</v>
      </c>
      <c r="H1709" s="1219">
        <v>2.9247000000000001</v>
      </c>
      <c r="K1709" s="1192" t="s">
        <v>4388</v>
      </c>
      <c r="L1709" s="1192" t="s">
        <v>432</v>
      </c>
      <c r="P1709" s="1192" t="s">
        <v>4392</v>
      </c>
      <c r="V1709" s="1192">
        <v>47</v>
      </c>
    </row>
    <row r="1710" spans="1:22" s="1192" customFormat="1" ht="14.4" x14ac:dyDescent="0.3">
      <c r="A1710" s="1192" t="s">
        <v>416</v>
      </c>
      <c r="B1710" s="1192" t="s">
        <v>4542</v>
      </c>
      <c r="E1710" s="1741" t="s">
        <v>209</v>
      </c>
      <c r="F1710" s="1741"/>
      <c r="G1710" s="1277" t="s">
        <v>29</v>
      </c>
      <c r="H1710" s="1219">
        <v>2.5137999999999998</v>
      </c>
      <c r="K1710" s="1192" t="s">
        <v>4388</v>
      </c>
      <c r="L1710" s="1192" t="s">
        <v>432</v>
      </c>
      <c r="P1710" s="1192" t="s">
        <v>4393</v>
      </c>
      <c r="V1710" s="1192">
        <v>74</v>
      </c>
    </row>
    <row r="1711" spans="1:22" s="1192" customFormat="1" ht="14.4" x14ac:dyDescent="0.3">
      <c r="A1711" s="1192" t="s">
        <v>416</v>
      </c>
      <c r="B1711" s="1192" t="s">
        <v>4542</v>
      </c>
      <c r="E1711" s="1750" t="s">
        <v>2405</v>
      </c>
      <c r="F1711" s="1741"/>
      <c r="G1711" s="1277"/>
      <c r="H1711" s="896"/>
      <c r="K1711" s="1192" t="s">
        <v>2526</v>
      </c>
      <c r="V1711" s="1192">
        <v>48</v>
      </c>
    </row>
    <row r="1712" spans="1:22" s="1192" customFormat="1" ht="14.4" x14ac:dyDescent="0.3">
      <c r="A1712" s="1192" t="s">
        <v>416</v>
      </c>
      <c r="B1712" s="1192" t="s">
        <v>4542</v>
      </c>
      <c r="E1712" s="1741" t="s">
        <v>2033</v>
      </c>
      <c r="F1712" s="1741"/>
      <c r="G1712" s="1277" t="s">
        <v>20</v>
      </c>
      <c r="H1712" s="1219">
        <v>3.0000000000000001E-3</v>
      </c>
      <c r="K1712" s="1192" t="s">
        <v>4388</v>
      </c>
      <c r="L1712" s="1192" t="s">
        <v>2374</v>
      </c>
      <c r="P1712" s="1192" t="s">
        <v>4394</v>
      </c>
      <c r="V1712" s="1192">
        <v>55</v>
      </c>
    </row>
    <row r="1713" spans="1:22" s="1192" customFormat="1" ht="14.4" x14ac:dyDescent="0.3">
      <c r="A1713" s="1192" t="s">
        <v>416</v>
      </c>
      <c r="B1713" s="1192" t="s">
        <v>4542</v>
      </c>
      <c r="E1713" s="1741" t="s">
        <v>2034</v>
      </c>
      <c r="F1713" s="1741"/>
      <c r="G1713" s="1277" t="s">
        <v>20</v>
      </c>
      <c r="H1713" s="1219">
        <v>4.0000000000000002E-4</v>
      </c>
      <c r="K1713" s="1192" t="s">
        <v>4388</v>
      </c>
      <c r="L1713" s="1192" t="s">
        <v>2374</v>
      </c>
      <c r="P1713" s="1192" t="s">
        <v>4394</v>
      </c>
      <c r="V1713" s="1192">
        <v>65</v>
      </c>
    </row>
    <row r="1714" spans="1:22" s="1192" customFormat="1" ht="14.4" x14ac:dyDescent="0.3">
      <c r="A1714" s="1192" t="s">
        <v>416</v>
      </c>
      <c r="B1714" s="1192" t="s">
        <v>4542</v>
      </c>
      <c r="E1714" s="1741" t="s">
        <v>428</v>
      </c>
      <c r="F1714" s="1741"/>
      <c r="G1714" s="1277" t="s">
        <v>20</v>
      </c>
      <c r="H1714" s="1219">
        <v>5.0000000000000001E-4</v>
      </c>
      <c r="K1714" s="1192" t="s">
        <v>4388</v>
      </c>
      <c r="L1714" s="1192" t="s">
        <v>2374</v>
      </c>
      <c r="P1714" s="1192" t="s">
        <v>4395</v>
      </c>
      <c r="V1714" s="1192">
        <v>57</v>
      </c>
    </row>
    <row r="1715" spans="1:22" s="1192" customFormat="1" ht="14.4" x14ac:dyDescent="0.3">
      <c r="A1715" s="1192" t="s">
        <v>416</v>
      </c>
      <c r="B1715" s="1192" t="s">
        <v>4542</v>
      </c>
      <c r="E1715" s="1741" t="s">
        <v>28</v>
      </c>
      <c r="F1715" s="1741"/>
      <c r="G1715" s="1277" t="s">
        <v>19</v>
      </c>
      <c r="H1715" s="1218">
        <v>0.25</v>
      </c>
      <c r="K1715" s="1192" t="s">
        <v>4388</v>
      </c>
      <c r="L1715" s="1192" t="s">
        <v>2374</v>
      </c>
      <c r="P1715" s="1192" t="s">
        <v>4396</v>
      </c>
      <c r="V1715" s="1192">
        <v>63</v>
      </c>
    </row>
    <row r="1716" spans="1:22" s="1192" customFormat="1" ht="17.399999999999999" x14ac:dyDescent="0.3">
      <c r="A1716" s="1192" t="s">
        <v>416</v>
      </c>
      <c r="B1716" s="1192" t="s">
        <v>4542</v>
      </c>
      <c r="E1716" s="1746" t="s">
        <v>604</v>
      </c>
      <c r="F1716" s="1747"/>
      <c r="G1716" s="1747"/>
      <c r="H1716" s="1747"/>
      <c r="K1716" s="1192" t="s">
        <v>3294</v>
      </c>
      <c r="V1716" s="1192">
        <v>40</v>
      </c>
    </row>
    <row r="1717" spans="1:22" s="1192" customFormat="1" ht="14.4" x14ac:dyDescent="0.3">
      <c r="A1717" s="1192" t="s">
        <v>416</v>
      </c>
      <c r="B1717" s="1192" t="s">
        <v>4542</v>
      </c>
      <c r="E1717" s="1743" t="s">
        <v>3360</v>
      </c>
      <c r="F1717" s="1743"/>
      <c r="G1717" s="1743"/>
      <c r="H1717" s="1743"/>
      <c r="K1717" s="1192" t="s">
        <v>3294</v>
      </c>
      <c r="V1717" s="1192">
        <v>463</v>
      </c>
    </row>
    <row r="1718" spans="1:22" s="1192" customFormat="1" ht="14.4" x14ac:dyDescent="0.3">
      <c r="A1718" s="1192" t="s">
        <v>416</v>
      </c>
      <c r="B1718" s="1192" t="s">
        <v>4542</v>
      </c>
      <c r="E1718" s="1750" t="s">
        <v>2389</v>
      </c>
      <c r="F1718" s="1743"/>
      <c r="G1718" s="1743"/>
      <c r="H1718" s="1743"/>
      <c r="K1718" s="1192" t="s">
        <v>2529</v>
      </c>
      <c r="V1718" s="1192">
        <v>11</v>
      </c>
    </row>
    <row r="1719" spans="1:22" s="1192" customFormat="1" ht="14.4" x14ac:dyDescent="0.3">
      <c r="A1719" s="1192" t="s">
        <v>416</v>
      </c>
      <c r="B1719" s="1192" t="s">
        <v>4542</v>
      </c>
      <c r="E1719" s="1743" t="s">
        <v>2391</v>
      </c>
      <c r="F1719" s="1743"/>
      <c r="G1719" s="1743"/>
      <c r="H1719" s="1743"/>
      <c r="K1719" s="1192" t="s">
        <v>3294</v>
      </c>
      <c r="V1719" s="1192">
        <v>280</v>
      </c>
    </row>
    <row r="1720" spans="1:22" s="1192" customFormat="1" ht="14.4" x14ac:dyDescent="0.3">
      <c r="A1720" s="1192" t="s">
        <v>416</v>
      </c>
      <c r="B1720" s="1192" t="s">
        <v>4542</v>
      </c>
      <c r="E1720" s="1743" t="s">
        <v>2392</v>
      </c>
      <c r="F1720" s="1743"/>
      <c r="G1720" s="1743"/>
      <c r="H1720" s="1743"/>
      <c r="K1720" s="1192" t="s">
        <v>3294</v>
      </c>
      <c r="V1720" s="1192">
        <v>411</v>
      </c>
    </row>
    <row r="1721" spans="1:22" s="1192" customFormat="1" ht="14.4" x14ac:dyDescent="0.3">
      <c r="A1721" s="1192" t="s">
        <v>416</v>
      </c>
      <c r="B1721" s="1192" t="s">
        <v>4542</v>
      </c>
      <c r="E1721" s="1743" t="s">
        <v>2508</v>
      </c>
      <c r="F1721" s="1743"/>
      <c r="G1721" s="1743"/>
      <c r="H1721" s="1743"/>
      <c r="K1721" s="1192" t="s">
        <v>3294</v>
      </c>
      <c r="V1721" s="1192">
        <v>386</v>
      </c>
    </row>
    <row r="1722" spans="1:22" s="1192" customFormat="1" ht="14.4" x14ac:dyDescent="0.3">
      <c r="A1722" s="1192" t="s">
        <v>416</v>
      </c>
      <c r="B1722" s="1192" t="s">
        <v>4542</v>
      </c>
      <c r="E1722" s="1743" t="s">
        <v>4500</v>
      </c>
      <c r="F1722" s="1743"/>
      <c r="G1722" s="1743"/>
      <c r="H1722" s="1743"/>
      <c r="K1722" s="1192" t="s">
        <v>3294</v>
      </c>
      <c r="V1722" s="1192">
        <v>247</v>
      </c>
    </row>
    <row r="1723" spans="1:22" s="1192" customFormat="1" ht="14.4" x14ac:dyDescent="0.3">
      <c r="A1723" s="1192" t="s">
        <v>416</v>
      </c>
      <c r="B1723" s="1192" t="s">
        <v>4542</v>
      </c>
      <c r="E1723" s="1750" t="s">
        <v>2394</v>
      </c>
      <c r="F1723" s="1743"/>
      <c r="G1723" s="1743"/>
      <c r="H1723" s="1743"/>
      <c r="K1723" s="1192" t="s">
        <v>2531</v>
      </c>
      <c r="V1723" s="1192">
        <v>46</v>
      </c>
    </row>
    <row r="1724" spans="1:22" s="1192" customFormat="1" ht="14.4" x14ac:dyDescent="0.3">
      <c r="A1724" s="1192" t="s">
        <v>416</v>
      </c>
      <c r="B1724" s="1192" t="s">
        <v>4542</v>
      </c>
      <c r="E1724" s="1741" t="s">
        <v>8</v>
      </c>
      <c r="F1724" s="1741"/>
      <c r="G1724" s="1277" t="s">
        <v>19</v>
      </c>
      <c r="H1724" s="1218">
        <v>5.04</v>
      </c>
      <c r="K1724" s="1192" t="s">
        <v>3294</v>
      </c>
      <c r="L1724" s="1192" t="s">
        <v>430</v>
      </c>
      <c r="P1724" s="1192" t="s">
        <v>3295</v>
      </c>
      <c r="V1724" s="1192">
        <v>31</v>
      </c>
    </row>
    <row r="1725" spans="1:22" s="1192" customFormat="1" ht="14.4" x14ac:dyDescent="0.3">
      <c r="A1725" s="1192" t="s">
        <v>416</v>
      </c>
      <c r="B1725" s="1192" t="s">
        <v>4542</v>
      </c>
      <c r="E1725" s="1741" t="s">
        <v>80</v>
      </c>
      <c r="F1725" s="1741"/>
      <c r="G1725" s="1277" t="s">
        <v>29</v>
      </c>
      <c r="H1725" s="1219">
        <v>6.0983000000000001</v>
      </c>
      <c r="K1725" s="1192" t="s">
        <v>3294</v>
      </c>
      <c r="L1725" s="1192" t="s">
        <v>430</v>
      </c>
      <c r="P1725" s="1192" t="s">
        <v>3296</v>
      </c>
      <c r="V1725" s="1192">
        <v>28</v>
      </c>
    </row>
    <row r="1726" spans="1:22" s="1192" customFormat="1" ht="14.4" x14ac:dyDescent="0.3">
      <c r="A1726" s="1192" t="s">
        <v>416</v>
      </c>
      <c r="B1726" s="1192" t="s">
        <v>4542</v>
      </c>
      <c r="E1726" s="1741" t="s">
        <v>6090</v>
      </c>
      <c r="F1726" s="1998"/>
      <c r="G1726" s="1277" t="s">
        <v>20</v>
      </c>
      <c r="H1726" s="1219">
        <v>-2E-3</v>
      </c>
      <c r="K1726" s="1192" t="s">
        <v>3294</v>
      </c>
      <c r="L1726" s="1192" t="s">
        <v>431</v>
      </c>
      <c r="P1726" s="1192" t="s">
        <v>4723</v>
      </c>
      <c r="T1726" s="1192">
        <v>44196</v>
      </c>
      <c r="V1726" s="1192">
        <v>142</v>
      </c>
    </row>
    <row r="1727" spans="1:22" s="1192" customFormat="1" ht="14.4" x14ac:dyDescent="0.3">
      <c r="A1727" s="1192" t="s">
        <v>416</v>
      </c>
      <c r="B1727" s="1192" t="s">
        <v>4542</v>
      </c>
      <c r="E1727" s="1741" t="s">
        <v>6087</v>
      </c>
      <c r="F1727" s="1998"/>
      <c r="G1727" s="1277" t="s">
        <v>20</v>
      </c>
      <c r="H1727" s="1219">
        <v>-6.0000000000000001E-3</v>
      </c>
      <c r="K1727" s="1192" t="s">
        <v>3294</v>
      </c>
      <c r="L1727" s="1192" t="s">
        <v>431</v>
      </c>
      <c r="P1727" s="1192" t="s">
        <v>3298</v>
      </c>
      <c r="T1727" s="1192">
        <v>44196</v>
      </c>
      <c r="V1727" s="1192">
        <v>99</v>
      </c>
    </row>
    <row r="1728" spans="1:22" s="1192" customFormat="1" ht="14.4" x14ac:dyDescent="0.3">
      <c r="A1728" s="1192" t="s">
        <v>416</v>
      </c>
      <c r="B1728" s="1192" t="s">
        <v>4542</v>
      </c>
      <c r="E1728" s="1741" t="s">
        <v>6112</v>
      </c>
      <c r="F1728" s="1998"/>
      <c r="G1728" s="1277" t="s">
        <v>20</v>
      </c>
      <c r="H1728" s="1219">
        <v>2.9999999999999997E-4</v>
      </c>
      <c r="K1728" s="1192" t="s">
        <v>3294</v>
      </c>
      <c r="L1728" s="1192" t="s">
        <v>431</v>
      </c>
      <c r="P1728" s="1192" t="s">
        <v>6147</v>
      </c>
      <c r="T1728" s="1192">
        <v>44196</v>
      </c>
      <c r="V1728" s="1192">
        <v>148</v>
      </c>
    </row>
    <row r="1729" spans="1:22" s="1192" customFormat="1" ht="14.4" x14ac:dyDescent="0.3">
      <c r="A1729" s="1192" t="s">
        <v>416</v>
      </c>
      <c r="B1729" s="1192" t="s">
        <v>4542</v>
      </c>
      <c r="E1729" s="1741" t="s">
        <v>213</v>
      </c>
      <c r="F1729" s="1741"/>
      <c r="G1729" s="1277" t="s">
        <v>29</v>
      </c>
      <c r="H1729" s="1219">
        <v>1.8383</v>
      </c>
      <c r="K1729" s="1192" t="s">
        <v>3294</v>
      </c>
      <c r="L1729" s="1192" t="s">
        <v>432</v>
      </c>
      <c r="P1729" s="1192" t="s">
        <v>3300</v>
      </c>
      <c r="V1729" s="1192">
        <v>47</v>
      </c>
    </row>
    <row r="1730" spans="1:22" s="1192" customFormat="1" ht="14.4" x14ac:dyDescent="0.3">
      <c r="A1730" s="1192" t="s">
        <v>416</v>
      </c>
      <c r="B1730" s="1192" t="s">
        <v>4542</v>
      </c>
      <c r="E1730" s="1741" t="s">
        <v>209</v>
      </c>
      <c r="F1730" s="1741"/>
      <c r="G1730" s="1277" t="s">
        <v>29</v>
      </c>
      <c r="H1730" s="1219">
        <v>1.5789</v>
      </c>
      <c r="K1730" s="1192" t="s">
        <v>3294</v>
      </c>
      <c r="L1730" s="1192" t="s">
        <v>432</v>
      </c>
      <c r="P1730" s="1192" t="s">
        <v>3301</v>
      </c>
      <c r="V1730" s="1192">
        <v>74</v>
      </c>
    </row>
    <row r="1731" spans="1:22" s="1192" customFormat="1" ht="14.4" x14ac:dyDescent="0.3">
      <c r="A1731" s="1192" t="s">
        <v>416</v>
      </c>
      <c r="B1731" s="1192" t="s">
        <v>4542</v>
      </c>
      <c r="E1731" s="1750" t="s">
        <v>2405</v>
      </c>
      <c r="F1731" s="1741"/>
      <c r="G1731" s="1277"/>
      <c r="H1731" s="896"/>
      <c r="K1731" s="1192" t="s">
        <v>2532</v>
      </c>
      <c r="V1731" s="1192">
        <v>48</v>
      </c>
    </row>
    <row r="1732" spans="1:22" s="1192" customFormat="1" ht="14.4" x14ac:dyDescent="0.3">
      <c r="A1732" s="1192" t="s">
        <v>416</v>
      </c>
      <c r="B1732" s="1192" t="s">
        <v>4542</v>
      </c>
      <c r="E1732" s="1741" t="s">
        <v>2033</v>
      </c>
      <c r="F1732" s="1741"/>
      <c r="G1732" s="1277" t="s">
        <v>20</v>
      </c>
      <c r="H1732" s="1219">
        <v>3.0000000000000001E-3</v>
      </c>
      <c r="K1732" s="1192" t="s">
        <v>3294</v>
      </c>
      <c r="L1732" s="1192" t="s">
        <v>2374</v>
      </c>
      <c r="P1732" s="1192" t="s">
        <v>3302</v>
      </c>
      <c r="V1732" s="1192">
        <v>55</v>
      </c>
    </row>
    <row r="1733" spans="1:22" s="1192" customFormat="1" ht="14.4" x14ac:dyDescent="0.3">
      <c r="A1733" s="1192" t="s">
        <v>416</v>
      </c>
      <c r="B1733" s="1192" t="s">
        <v>4542</v>
      </c>
      <c r="E1733" s="1741" t="s">
        <v>2034</v>
      </c>
      <c r="F1733" s="1741"/>
      <c r="G1733" s="1277" t="s">
        <v>20</v>
      </c>
      <c r="H1733" s="1219">
        <v>4.0000000000000002E-4</v>
      </c>
      <c r="K1733" s="1192" t="s">
        <v>3294</v>
      </c>
      <c r="L1733" s="1192" t="s">
        <v>2374</v>
      </c>
      <c r="P1733" s="1192" t="s">
        <v>3302</v>
      </c>
      <c r="V1733" s="1192">
        <v>65</v>
      </c>
    </row>
    <row r="1734" spans="1:22" s="1192" customFormat="1" ht="14.4" x14ac:dyDescent="0.3">
      <c r="A1734" s="1192" t="s">
        <v>416</v>
      </c>
      <c r="B1734" s="1192" t="s">
        <v>4542</v>
      </c>
      <c r="E1734" s="1741" t="s">
        <v>428</v>
      </c>
      <c r="F1734" s="1741"/>
      <c r="G1734" s="1277" t="s">
        <v>20</v>
      </c>
      <c r="H1734" s="1219">
        <v>5.0000000000000001E-4</v>
      </c>
      <c r="K1734" s="1192" t="s">
        <v>3294</v>
      </c>
      <c r="L1734" s="1192" t="s">
        <v>2374</v>
      </c>
      <c r="P1734" s="1192" t="s">
        <v>3303</v>
      </c>
      <c r="V1734" s="1192">
        <v>57</v>
      </c>
    </row>
    <row r="1735" spans="1:22" s="1192" customFormat="1" ht="14.4" x14ac:dyDescent="0.3">
      <c r="A1735" s="1192" t="s">
        <v>416</v>
      </c>
      <c r="B1735" s="1192" t="s">
        <v>4542</v>
      </c>
      <c r="E1735" s="1741" t="s">
        <v>28</v>
      </c>
      <c r="F1735" s="1741"/>
      <c r="G1735" s="1277" t="s">
        <v>19</v>
      </c>
      <c r="H1735" s="1218">
        <v>0.25</v>
      </c>
      <c r="K1735" s="1192" t="s">
        <v>3294</v>
      </c>
      <c r="L1735" s="1192" t="s">
        <v>2374</v>
      </c>
      <c r="P1735" s="1192" t="s">
        <v>3304</v>
      </c>
      <c r="V1735" s="1192">
        <v>63</v>
      </c>
    </row>
    <row r="1736" spans="1:22" s="1192" customFormat="1" ht="17.399999999999999" x14ac:dyDescent="0.3">
      <c r="A1736" s="1192" t="s">
        <v>416</v>
      </c>
      <c r="B1736" s="1192" t="s">
        <v>4542</v>
      </c>
      <c r="E1736" s="1746" t="s">
        <v>590</v>
      </c>
      <c r="F1736" s="1747"/>
      <c r="G1736" s="1747"/>
      <c r="H1736" s="1747"/>
      <c r="K1736" s="1192" t="s">
        <v>2687</v>
      </c>
      <c r="V1736" s="1192">
        <v>38</v>
      </c>
    </row>
    <row r="1737" spans="1:22" s="1192" customFormat="1" ht="14.4" x14ac:dyDescent="0.3">
      <c r="A1737" s="1192" t="s">
        <v>416</v>
      </c>
      <c r="B1737" s="1192" t="s">
        <v>4542</v>
      </c>
      <c r="E1737" s="1743" t="s">
        <v>3361</v>
      </c>
      <c r="F1737" s="1743"/>
      <c r="G1737" s="1743"/>
      <c r="H1737" s="1743"/>
      <c r="K1737" s="1192" t="s">
        <v>2687</v>
      </c>
      <c r="V1737" s="1192">
        <v>546</v>
      </c>
    </row>
    <row r="1738" spans="1:22" s="1192" customFormat="1" ht="14.4" x14ac:dyDescent="0.3">
      <c r="A1738" s="1192" t="s">
        <v>416</v>
      </c>
      <c r="B1738" s="1192" t="s">
        <v>4542</v>
      </c>
      <c r="E1738" s="1750" t="s">
        <v>2389</v>
      </c>
      <c r="F1738" s="1743"/>
      <c r="G1738" s="1743"/>
      <c r="H1738" s="1743"/>
      <c r="K1738" s="1192" t="s">
        <v>2424</v>
      </c>
      <c r="V1738" s="1192">
        <v>11</v>
      </c>
    </row>
    <row r="1739" spans="1:22" s="1192" customFormat="1" ht="14.4" x14ac:dyDescent="0.3">
      <c r="A1739" s="1192" t="s">
        <v>416</v>
      </c>
      <c r="B1739" s="1192" t="s">
        <v>4542</v>
      </c>
      <c r="E1739" s="1743" t="s">
        <v>2391</v>
      </c>
      <c r="F1739" s="1743"/>
      <c r="G1739" s="1743"/>
      <c r="H1739" s="1743"/>
      <c r="K1739" s="1192" t="s">
        <v>2687</v>
      </c>
      <c r="V1739" s="1192">
        <v>280</v>
      </c>
    </row>
    <row r="1740" spans="1:22" s="1192" customFormat="1" ht="14.4" x14ac:dyDescent="0.3">
      <c r="A1740" s="1192" t="s">
        <v>416</v>
      </c>
      <c r="B1740" s="1192" t="s">
        <v>4542</v>
      </c>
      <c r="E1740" s="1743" t="s">
        <v>2392</v>
      </c>
      <c r="F1740" s="1743"/>
      <c r="G1740" s="1743"/>
      <c r="H1740" s="1743"/>
      <c r="K1740" s="1192" t="s">
        <v>2687</v>
      </c>
      <c r="V1740" s="1192">
        <v>411</v>
      </c>
    </row>
    <row r="1741" spans="1:22" s="1192" customFormat="1" ht="14.4" x14ac:dyDescent="0.3">
      <c r="A1741" s="1192" t="s">
        <v>416</v>
      </c>
      <c r="B1741" s="1192" t="s">
        <v>4542</v>
      </c>
      <c r="E1741" s="1743" t="s">
        <v>2508</v>
      </c>
      <c r="F1741" s="1743"/>
      <c r="G1741" s="1743"/>
      <c r="H1741" s="1743"/>
      <c r="K1741" s="1192" t="s">
        <v>2687</v>
      </c>
      <c r="V1741" s="1192">
        <v>386</v>
      </c>
    </row>
    <row r="1742" spans="1:22" s="1192" customFormat="1" ht="14.4" x14ac:dyDescent="0.3">
      <c r="A1742" s="1192" t="s">
        <v>416</v>
      </c>
      <c r="B1742" s="1192" t="s">
        <v>4542</v>
      </c>
      <c r="E1742" s="1743" t="s">
        <v>4500</v>
      </c>
      <c r="F1742" s="1743"/>
      <c r="G1742" s="1743"/>
      <c r="H1742" s="1743"/>
      <c r="K1742" s="1192" t="s">
        <v>2687</v>
      </c>
      <c r="V1742" s="1192">
        <v>247</v>
      </c>
    </row>
    <row r="1743" spans="1:22" s="1192" customFormat="1" ht="14.4" x14ac:dyDescent="0.3">
      <c r="A1743" s="1192" t="s">
        <v>416</v>
      </c>
      <c r="B1743" s="1192" t="s">
        <v>4542</v>
      </c>
      <c r="E1743" s="1750" t="s">
        <v>2394</v>
      </c>
      <c r="F1743" s="1743"/>
      <c r="G1743" s="1743"/>
      <c r="H1743" s="1743"/>
      <c r="K1743" s="1192" t="s">
        <v>2425</v>
      </c>
      <c r="V1743" s="1192">
        <v>46</v>
      </c>
    </row>
    <row r="1744" spans="1:22" s="1192" customFormat="1" ht="14.4" x14ac:dyDescent="0.3">
      <c r="A1744" s="1192" t="s">
        <v>416</v>
      </c>
      <c r="B1744" s="1192" t="s">
        <v>4542</v>
      </c>
      <c r="E1744" s="1741" t="s">
        <v>8</v>
      </c>
      <c r="F1744" s="1741"/>
      <c r="G1744" s="1277" t="s">
        <v>19</v>
      </c>
      <c r="H1744" s="1218">
        <v>3.85</v>
      </c>
      <c r="K1744" s="1192" t="s">
        <v>2687</v>
      </c>
      <c r="L1744" s="1192" t="s">
        <v>430</v>
      </c>
      <c r="P1744" s="1192" t="s">
        <v>2689</v>
      </c>
      <c r="V1744" s="1192">
        <v>31</v>
      </c>
    </row>
    <row r="1745" spans="1:22" s="1192" customFormat="1" ht="14.4" x14ac:dyDescent="0.3">
      <c r="A1745" s="1192" t="s">
        <v>416</v>
      </c>
      <c r="B1745" s="1192" t="s">
        <v>4542</v>
      </c>
      <c r="E1745" s="1741" t="s">
        <v>80</v>
      </c>
      <c r="F1745" s="1741"/>
      <c r="G1745" s="1277" t="s">
        <v>29</v>
      </c>
      <c r="H1745" s="1219">
        <v>3.7600000000000001E-2</v>
      </c>
      <c r="K1745" s="1192" t="s">
        <v>2687</v>
      </c>
      <c r="L1745" s="1192" t="s">
        <v>430</v>
      </c>
      <c r="P1745" s="1192" t="s">
        <v>2690</v>
      </c>
      <c r="V1745" s="1192">
        <v>28</v>
      </c>
    </row>
    <row r="1746" spans="1:22" s="1192" customFormat="1" ht="14.4" x14ac:dyDescent="0.3">
      <c r="A1746" s="1192" t="s">
        <v>416</v>
      </c>
      <c r="B1746" s="1192" t="s">
        <v>4542</v>
      </c>
      <c r="E1746" s="1741" t="s">
        <v>6090</v>
      </c>
      <c r="F1746" s="1998"/>
      <c r="G1746" s="1277" t="s">
        <v>20</v>
      </c>
      <c r="H1746" s="1219">
        <v>-2.2000000000000001E-3</v>
      </c>
      <c r="K1746" s="1192" t="s">
        <v>2687</v>
      </c>
      <c r="L1746" s="1192" t="s">
        <v>431</v>
      </c>
      <c r="P1746" s="1192" t="s">
        <v>2691</v>
      </c>
      <c r="T1746" s="1192">
        <v>44196</v>
      </c>
      <c r="V1746" s="1192">
        <v>142</v>
      </c>
    </row>
    <row r="1747" spans="1:22" s="1192" customFormat="1" ht="14.4" x14ac:dyDescent="0.3">
      <c r="A1747" s="1192" t="s">
        <v>416</v>
      </c>
      <c r="B1747" s="1192" t="s">
        <v>4542</v>
      </c>
      <c r="E1747" s="1741" t="s">
        <v>6145</v>
      </c>
      <c r="F1747" s="1998"/>
      <c r="G1747" s="1277" t="s">
        <v>29</v>
      </c>
      <c r="H1747" s="1219">
        <v>1.4800000000000001E-2</v>
      </c>
      <c r="K1747" s="1192" t="s">
        <v>2687</v>
      </c>
      <c r="L1747" s="1192" t="s">
        <v>430</v>
      </c>
      <c r="P1747" s="1192" t="s">
        <v>2692</v>
      </c>
      <c r="T1747" s="1192">
        <v>44196</v>
      </c>
      <c r="V1747" s="1192">
        <v>139</v>
      </c>
    </row>
    <row r="1748" spans="1:22" s="1192" customFormat="1" ht="14.4" x14ac:dyDescent="0.3">
      <c r="A1748" s="1192" t="s">
        <v>416</v>
      </c>
      <c r="B1748" s="1192" t="s">
        <v>4542</v>
      </c>
      <c r="E1748" s="1741" t="s">
        <v>6087</v>
      </c>
      <c r="F1748" s="1998"/>
      <c r="G1748" s="1277" t="s">
        <v>29</v>
      </c>
      <c r="H1748" s="1219">
        <v>-3.3731</v>
      </c>
      <c r="K1748" s="1192" t="s">
        <v>2687</v>
      </c>
      <c r="L1748" s="1192" t="s">
        <v>431</v>
      </c>
      <c r="P1748" s="1192" t="s">
        <v>2693</v>
      </c>
      <c r="T1748" s="1192">
        <v>44196</v>
      </c>
      <c r="V1748" s="1192">
        <v>99</v>
      </c>
    </row>
    <row r="1749" spans="1:22" s="1192" customFormat="1" ht="14.4" x14ac:dyDescent="0.3">
      <c r="A1749" s="1192" t="s">
        <v>416</v>
      </c>
      <c r="B1749" s="1192" t="s">
        <v>4542</v>
      </c>
      <c r="E1749" s="1741" t="s">
        <v>6112</v>
      </c>
      <c r="F1749" s="1998"/>
      <c r="G1749" s="1277" t="s">
        <v>29</v>
      </c>
      <c r="H1749" s="1219">
        <v>0.10539999999999999</v>
      </c>
      <c r="K1749" s="1192" t="s">
        <v>2687</v>
      </c>
      <c r="L1749" s="1192" t="s">
        <v>431</v>
      </c>
      <c r="P1749" s="1192" t="s">
        <v>3899</v>
      </c>
      <c r="T1749" s="1192">
        <v>44196</v>
      </c>
      <c r="V1749" s="1192">
        <v>148</v>
      </c>
    </row>
    <row r="1750" spans="1:22" s="1192" customFormat="1" ht="14.4" x14ac:dyDescent="0.3">
      <c r="A1750" s="1192" t="s">
        <v>416</v>
      </c>
      <c r="B1750" s="1192" t="s">
        <v>4542</v>
      </c>
      <c r="E1750" s="1741" t="s">
        <v>213</v>
      </c>
      <c r="F1750" s="1741"/>
      <c r="G1750" s="1277" t="s">
        <v>29</v>
      </c>
      <c r="H1750" s="1219">
        <v>2.2551999999999999</v>
      </c>
      <c r="K1750" s="1192" t="s">
        <v>2687</v>
      </c>
      <c r="L1750" s="1192" t="s">
        <v>432</v>
      </c>
      <c r="P1750" s="1192" t="s">
        <v>2694</v>
      </c>
      <c r="V1750" s="1192">
        <v>47</v>
      </c>
    </row>
    <row r="1751" spans="1:22" s="1192" customFormat="1" ht="14.4" x14ac:dyDescent="0.3">
      <c r="A1751" s="1192" t="s">
        <v>416</v>
      </c>
      <c r="B1751" s="1192" t="s">
        <v>4542</v>
      </c>
      <c r="E1751" s="1741" t="s">
        <v>209</v>
      </c>
      <c r="F1751" s="1741"/>
      <c r="G1751" s="1277" t="s">
        <v>29</v>
      </c>
      <c r="H1751" s="1219">
        <v>1.9382999999999999</v>
      </c>
      <c r="K1751" s="1192" t="s">
        <v>2687</v>
      </c>
      <c r="L1751" s="1192" t="s">
        <v>432</v>
      </c>
      <c r="P1751" s="1192" t="s">
        <v>2813</v>
      </c>
      <c r="V1751" s="1192">
        <v>74</v>
      </c>
    </row>
    <row r="1752" spans="1:22" s="1192" customFormat="1" ht="14.4" x14ac:dyDescent="0.3">
      <c r="A1752" s="1192" t="s">
        <v>416</v>
      </c>
      <c r="B1752" s="1192" t="s">
        <v>4542</v>
      </c>
      <c r="E1752" s="1750" t="s">
        <v>2405</v>
      </c>
      <c r="F1752" s="1741"/>
      <c r="G1752" s="1277"/>
      <c r="H1752" s="896"/>
      <c r="K1752" s="1192" t="s">
        <v>2427</v>
      </c>
      <c r="V1752" s="1192">
        <v>48</v>
      </c>
    </row>
    <row r="1753" spans="1:22" s="1192" customFormat="1" ht="14.4" x14ac:dyDescent="0.3">
      <c r="A1753" s="1192" t="s">
        <v>416</v>
      </c>
      <c r="B1753" s="1192" t="s">
        <v>4542</v>
      </c>
      <c r="E1753" s="1741" t="s">
        <v>2033</v>
      </c>
      <c r="F1753" s="1741"/>
      <c r="G1753" s="1277" t="s">
        <v>20</v>
      </c>
      <c r="H1753" s="1219">
        <v>3.0000000000000001E-3</v>
      </c>
      <c r="K1753" s="1192" t="s">
        <v>2687</v>
      </c>
      <c r="L1753" s="1192" t="s">
        <v>2374</v>
      </c>
      <c r="P1753" s="1192" t="s">
        <v>2696</v>
      </c>
      <c r="V1753" s="1192">
        <v>55</v>
      </c>
    </row>
    <row r="1754" spans="1:22" s="1192" customFormat="1" ht="14.4" x14ac:dyDescent="0.3">
      <c r="A1754" s="1192" t="s">
        <v>416</v>
      </c>
      <c r="B1754" s="1192" t="s">
        <v>4542</v>
      </c>
      <c r="E1754" s="1741" t="s">
        <v>2034</v>
      </c>
      <c r="F1754" s="1741"/>
      <c r="G1754" s="1277" t="s">
        <v>20</v>
      </c>
      <c r="H1754" s="1219">
        <v>4.0000000000000002E-4</v>
      </c>
      <c r="K1754" s="1192" t="s">
        <v>2687</v>
      </c>
      <c r="L1754" s="1192" t="s">
        <v>2374</v>
      </c>
      <c r="P1754" s="1192" t="s">
        <v>2696</v>
      </c>
      <c r="V1754" s="1192">
        <v>65</v>
      </c>
    </row>
    <row r="1755" spans="1:22" s="1192" customFormat="1" ht="14.4" x14ac:dyDescent="0.3">
      <c r="A1755" s="1192" t="s">
        <v>416</v>
      </c>
      <c r="B1755" s="1192" t="s">
        <v>4542</v>
      </c>
      <c r="E1755" s="1741" t="s">
        <v>428</v>
      </c>
      <c r="F1755" s="1741"/>
      <c r="G1755" s="1277" t="s">
        <v>20</v>
      </c>
      <c r="H1755" s="1219">
        <v>5.0000000000000001E-4</v>
      </c>
      <c r="K1755" s="1192" t="s">
        <v>2687</v>
      </c>
      <c r="L1755" s="1192" t="s">
        <v>2374</v>
      </c>
      <c r="P1755" s="1192" t="s">
        <v>2697</v>
      </c>
      <c r="V1755" s="1192">
        <v>57</v>
      </c>
    </row>
    <row r="1756" spans="1:22" s="1192" customFormat="1" ht="14.4" x14ac:dyDescent="0.3">
      <c r="A1756" s="1192" t="s">
        <v>416</v>
      </c>
      <c r="B1756" s="1192" t="s">
        <v>4542</v>
      </c>
      <c r="E1756" s="1741" t="s">
        <v>28</v>
      </c>
      <c r="F1756" s="1741"/>
      <c r="G1756" s="1277" t="s">
        <v>19</v>
      </c>
      <c r="H1756" s="1218">
        <v>0.25</v>
      </c>
      <c r="K1756" s="1192" t="s">
        <v>2687</v>
      </c>
      <c r="L1756" s="1192" t="s">
        <v>2374</v>
      </c>
      <c r="P1756" s="1192" t="s">
        <v>2698</v>
      </c>
      <c r="V1756" s="1192">
        <v>63</v>
      </c>
    </row>
    <row r="1757" spans="1:22" s="1192" customFormat="1" ht="17.399999999999999" x14ac:dyDescent="0.3">
      <c r="A1757" s="1192" t="s">
        <v>416</v>
      </c>
      <c r="B1757" s="1192" t="s">
        <v>4542</v>
      </c>
      <c r="E1757" s="1746" t="s">
        <v>593</v>
      </c>
      <c r="F1757" s="1747"/>
      <c r="G1757" s="1747"/>
      <c r="H1757" s="1747"/>
      <c r="K1757" s="1192" t="s">
        <v>2651</v>
      </c>
      <c r="V1757" s="1192">
        <v>31</v>
      </c>
    </row>
    <row r="1758" spans="1:22" s="1192" customFormat="1" ht="14.4" x14ac:dyDescent="0.3">
      <c r="A1758" s="1192" t="s">
        <v>416</v>
      </c>
      <c r="B1758" s="1192" t="s">
        <v>4542</v>
      </c>
      <c r="E1758" s="1743" t="s">
        <v>2652</v>
      </c>
      <c r="F1758" s="1743"/>
      <c r="G1758" s="1743"/>
      <c r="H1758" s="1743"/>
      <c r="K1758" s="1192" t="s">
        <v>2651</v>
      </c>
      <c r="V1758" s="1192">
        <v>285</v>
      </c>
    </row>
    <row r="1759" spans="1:22" s="1192" customFormat="1" ht="14.4" x14ac:dyDescent="0.3">
      <c r="A1759" s="1192" t="s">
        <v>416</v>
      </c>
      <c r="B1759" s="1192" t="s">
        <v>4542</v>
      </c>
      <c r="E1759" s="1750" t="s">
        <v>2389</v>
      </c>
      <c r="F1759" s="1743"/>
      <c r="G1759" s="1743"/>
      <c r="H1759" s="1743"/>
      <c r="K1759" s="1192" t="s">
        <v>2430</v>
      </c>
      <c r="V1759" s="1192">
        <v>11</v>
      </c>
    </row>
    <row r="1760" spans="1:22" s="1192" customFormat="1" ht="14.4" x14ac:dyDescent="0.3">
      <c r="A1760" s="1192" t="s">
        <v>416</v>
      </c>
      <c r="B1760" s="1192" t="s">
        <v>4542</v>
      </c>
      <c r="E1760" s="1743" t="s">
        <v>2391</v>
      </c>
      <c r="F1760" s="1743"/>
      <c r="G1760" s="1743"/>
      <c r="H1760" s="1743"/>
      <c r="K1760" s="1192" t="s">
        <v>2651</v>
      </c>
      <c r="V1760" s="1192">
        <v>280</v>
      </c>
    </row>
    <row r="1761" spans="1:22" s="1192" customFormat="1" ht="14.4" x14ac:dyDescent="0.3">
      <c r="A1761" s="1192" t="s">
        <v>416</v>
      </c>
      <c r="B1761" s="1192" t="s">
        <v>4542</v>
      </c>
      <c r="E1761" s="1743" t="s">
        <v>2392</v>
      </c>
      <c r="F1761" s="1743"/>
      <c r="G1761" s="1743"/>
      <c r="H1761" s="1743"/>
      <c r="K1761" s="1192" t="s">
        <v>2651</v>
      </c>
      <c r="V1761" s="1192">
        <v>411</v>
      </c>
    </row>
    <row r="1762" spans="1:22" s="1192" customFormat="1" ht="14.4" x14ac:dyDescent="0.3">
      <c r="A1762" s="1192" t="s">
        <v>416</v>
      </c>
      <c r="B1762" s="1192" t="s">
        <v>4542</v>
      </c>
      <c r="E1762" s="1743" t="s">
        <v>2445</v>
      </c>
      <c r="F1762" s="1743"/>
      <c r="G1762" s="1743"/>
      <c r="H1762" s="1743"/>
      <c r="K1762" s="1192" t="s">
        <v>2651</v>
      </c>
      <c r="V1762" s="1192">
        <v>211</v>
      </c>
    </row>
    <row r="1763" spans="1:22" s="1192" customFormat="1" ht="14.4" x14ac:dyDescent="0.3">
      <c r="A1763" s="1192" t="s">
        <v>416</v>
      </c>
      <c r="B1763" s="1192" t="s">
        <v>4542</v>
      </c>
      <c r="E1763" s="1743" t="s">
        <v>4500</v>
      </c>
      <c r="F1763" s="1743"/>
      <c r="G1763" s="1743"/>
      <c r="H1763" s="1743"/>
      <c r="K1763" s="1192" t="s">
        <v>2651</v>
      </c>
      <c r="V1763" s="1192">
        <v>247</v>
      </c>
    </row>
    <row r="1764" spans="1:22" s="1192" customFormat="1" ht="14.4" x14ac:dyDescent="0.3">
      <c r="A1764" s="1192" t="s">
        <v>416</v>
      </c>
      <c r="B1764" s="1192" t="s">
        <v>4542</v>
      </c>
      <c r="E1764" s="1750" t="s">
        <v>2394</v>
      </c>
      <c r="F1764" s="1743"/>
      <c r="G1764" s="1743"/>
      <c r="H1764" s="1743"/>
      <c r="K1764" s="1192" t="s">
        <v>2431</v>
      </c>
      <c r="V1764" s="1192">
        <v>46</v>
      </c>
    </row>
    <row r="1765" spans="1:22" s="1192" customFormat="1" ht="14.4" x14ac:dyDescent="0.3">
      <c r="A1765" s="1192" t="s">
        <v>416</v>
      </c>
      <c r="B1765" s="1192" t="s">
        <v>4542</v>
      </c>
      <c r="E1765" s="1741" t="s">
        <v>7</v>
      </c>
      <c r="F1765" s="1741"/>
      <c r="G1765" s="843" t="s">
        <v>19</v>
      </c>
      <c r="H1765" s="509">
        <v>10</v>
      </c>
      <c r="K1765" s="1192" t="s">
        <v>2651</v>
      </c>
      <c r="L1765" s="1192" t="s">
        <v>430</v>
      </c>
      <c r="P1765" s="1192" t="s">
        <v>2653</v>
      </c>
      <c r="V1765" s="1192">
        <v>14</v>
      </c>
    </row>
    <row r="1766" spans="1:22" s="1192" customFormat="1" x14ac:dyDescent="0.35">
      <c r="A1766" s="1192" t="s">
        <v>416</v>
      </c>
      <c r="B1766" s="1192" t="s">
        <v>4542</v>
      </c>
      <c r="E1766" s="1224" t="s">
        <v>81</v>
      </c>
      <c r="F1766" s="550"/>
      <c r="G1766" s="550"/>
      <c r="H1766" s="881"/>
      <c r="K1766" s="1192" t="s">
        <v>3424</v>
      </c>
      <c r="V1766" s="1192">
        <v>10</v>
      </c>
    </row>
    <row r="1767" spans="1:22" s="1192" customFormat="1" ht="14.4" x14ac:dyDescent="0.3">
      <c r="A1767" s="1192" t="s">
        <v>416</v>
      </c>
      <c r="B1767" s="1192" t="s">
        <v>4542</v>
      </c>
      <c r="E1767" s="1741" t="s">
        <v>3362</v>
      </c>
      <c r="F1767" s="1741"/>
      <c r="G1767" s="1277" t="s">
        <v>29</v>
      </c>
      <c r="H1767" s="513">
        <v>-0.6</v>
      </c>
      <c r="V1767" s="1192">
        <v>70</v>
      </c>
    </row>
    <row r="1768" spans="1:22" s="1192" customFormat="1" ht="14.4" x14ac:dyDescent="0.3">
      <c r="A1768" s="1192" t="s">
        <v>416</v>
      </c>
      <c r="B1768" s="1192" t="s">
        <v>4542</v>
      </c>
      <c r="E1768" s="1741" t="s">
        <v>2450</v>
      </c>
      <c r="F1768" s="1741"/>
      <c r="G1768" s="1277" t="s">
        <v>82</v>
      </c>
      <c r="H1768" s="511">
        <v>-1</v>
      </c>
      <c r="V1768" s="1192">
        <v>87</v>
      </c>
    </row>
    <row r="1769" spans="1:22" s="1192" customFormat="1" x14ac:dyDescent="0.35">
      <c r="A1769" s="1192" t="s">
        <v>416</v>
      </c>
      <c r="B1769" s="1192" t="s">
        <v>4542</v>
      </c>
      <c r="E1769" s="1260" t="s">
        <v>83</v>
      </c>
      <c r="F1769" s="550"/>
      <c r="G1769" s="550"/>
      <c r="H1769" s="881"/>
      <c r="K1769" s="1192" t="s">
        <v>3425</v>
      </c>
      <c r="V1769" s="1192">
        <v>24</v>
      </c>
    </row>
    <row r="1770" spans="1:22" s="1192" customFormat="1" ht="14.4" x14ac:dyDescent="0.3">
      <c r="A1770" s="1192" t="s">
        <v>416</v>
      </c>
      <c r="B1770" s="1192" t="s">
        <v>4542</v>
      </c>
      <c r="E1770" s="2037" t="s">
        <v>2389</v>
      </c>
      <c r="F1770" s="1743"/>
      <c r="G1770" s="1743"/>
      <c r="H1770" s="1743"/>
      <c r="V1770" s="1192">
        <v>11</v>
      </c>
    </row>
    <row r="1771" spans="1:22" s="1192" customFormat="1" ht="14.4" x14ac:dyDescent="0.3">
      <c r="A1771" s="1192" t="s">
        <v>416</v>
      </c>
      <c r="B1771" s="1192" t="s">
        <v>4542</v>
      </c>
      <c r="E1771" s="1743" t="s">
        <v>2391</v>
      </c>
      <c r="F1771" s="1743"/>
      <c r="G1771" s="1743"/>
      <c r="H1771" s="1743"/>
      <c r="V1771" s="1192">
        <v>280</v>
      </c>
    </row>
    <row r="1772" spans="1:22" s="1192" customFormat="1" ht="14.4" x14ac:dyDescent="0.3">
      <c r="A1772" s="1192" t="s">
        <v>416</v>
      </c>
      <c r="B1772" s="1192" t="s">
        <v>4542</v>
      </c>
      <c r="E1772" s="1743" t="s">
        <v>2452</v>
      </c>
      <c r="F1772" s="1743"/>
      <c r="G1772" s="1743"/>
      <c r="H1772" s="1743"/>
      <c r="V1772" s="1192">
        <v>353</v>
      </c>
    </row>
    <row r="1773" spans="1:22" s="1192" customFormat="1" ht="14.4" x14ac:dyDescent="0.3">
      <c r="A1773" s="1192" t="s">
        <v>416</v>
      </c>
      <c r="B1773" s="1192" t="s">
        <v>4542</v>
      </c>
      <c r="E1773" s="1743" t="s">
        <v>4500</v>
      </c>
      <c r="F1773" s="1743"/>
      <c r="G1773" s="1743"/>
      <c r="H1773" s="1743"/>
      <c r="V1773" s="1192">
        <v>247</v>
      </c>
    </row>
    <row r="1774" spans="1:22" s="1192" customFormat="1" ht="14.4" x14ac:dyDescent="0.3">
      <c r="A1774" s="1192" t="s">
        <v>416</v>
      </c>
      <c r="B1774" s="1192" t="s">
        <v>4542</v>
      </c>
      <c r="E1774" s="1258" t="s">
        <v>2453</v>
      </c>
      <c r="F1774" s="3"/>
      <c r="G1774" s="3"/>
      <c r="H1774" s="897"/>
      <c r="K1774" s="1192" t="s">
        <v>3426</v>
      </c>
      <c r="V1774" s="1192">
        <v>23</v>
      </c>
    </row>
    <row r="1775" spans="1:22" s="1192" customFormat="1" ht="14.4" x14ac:dyDescent="0.3">
      <c r="A1775" s="1192" t="s">
        <v>416</v>
      </c>
      <c r="B1775" s="1192" t="s">
        <v>4542</v>
      </c>
      <c r="E1775" s="1942" t="s">
        <v>2639</v>
      </c>
      <c r="F1775" s="1942"/>
      <c r="G1775" s="1277" t="s">
        <v>19</v>
      </c>
      <c r="H1775" s="1218">
        <v>15</v>
      </c>
      <c r="V1775" s="1192">
        <v>19</v>
      </c>
    </row>
    <row r="1776" spans="1:22" s="1192" customFormat="1" ht="14.4" x14ac:dyDescent="0.3">
      <c r="A1776" s="1192" t="s">
        <v>416</v>
      </c>
      <c r="B1776" s="1192" t="s">
        <v>4542</v>
      </c>
      <c r="E1776" s="1942" t="s">
        <v>2456</v>
      </c>
      <c r="F1776" s="1942"/>
      <c r="G1776" s="1277" t="s">
        <v>19</v>
      </c>
      <c r="H1776" s="1218">
        <v>15</v>
      </c>
      <c r="V1776" s="1192">
        <v>20</v>
      </c>
    </row>
    <row r="1777" spans="1:22" s="1192" customFormat="1" ht="14.4" x14ac:dyDescent="0.3">
      <c r="A1777" s="1192" t="s">
        <v>416</v>
      </c>
      <c r="B1777" s="1192" t="s">
        <v>4542</v>
      </c>
      <c r="E1777" s="1942" t="s">
        <v>2457</v>
      </c>
      <c r="F1777" s="1942"/>
      <c r="G1777" s="1277" t="s">
        <v>19</v>
      </c>
      <c r="H1777" s="1218">
        <v>15</v>
      </c>
      <c r="V1777" s="1192">
        <v>26</v>
      </c>
    </row>
    <row r="1778" spans="1:22" s="1192" customFormat="1" ht="14.4" x14ac:dyDescent="0.3">
      <c r="A1778" s="1192" t="s">
        <v>416</v>
      </c>
      <c r="B1778" s="1192" t="s">
        <v>4542</v>
      </c>
      <c r="E1778" s="1942" t="s">
        <v>2458</v>
      </c>
      <c r="F1778" s="1942"/>
      <c r="G1778" s="1277" t="s">
        <v>19</v>
      </c>
      <c r="H1778" s="1218">
        <v>15</v>
      </c>
      <c r="V1778" s="1192">
        <v>39</v>
      </c>
    </row>
    <row r="1779" spans="1:22" s="1192" customFormat="1" ht="14.4" x14ac:dyDescent="0.3">
      <c r="A1779" s="1192" t="s">
        <v>416</v>
      </c>
      <c r="B1779" s="1192" t="s">
        <v>4542</v>
      </c>
      <c r="E1779" s="1942" t="s">
        <v>2459</v>
      </c>
      <c r="F1779" s="1942"/>
      <c r="G1779" s="1277" t="s">
        <v>19</v>
      </c>
      <c r="H1779" s="1218">
        <v>15</v>
      </c>
      <c r="V1779" s="1192">
        <v>37</v>
      </c>
    </row>
    <row r="1780" spans="1:22" s="1192" customFormat="1" ht="14.4" x14ac:dyDescent="0.3">
      <c r="A1780" s="1192" t="s">
        <v>416</v>
      </c>
      <c r="B1780" s="1192" t="s">
        <v>4542</v>
      </c>
      <c r="E1780" s="1942" t="s">
        <v>2460</v>
      </c>
      <c r="F1780" s="1942"/>
      <c r="G1780" s="1277" t="s">
        <v>19</v>
      </c>
      <c r="H1780" s="1218">
        <v>15</v>
      </c>
      <c r="V1780" s="1192">
        <v>15</v>
      </c>
    </row>
    <row r="1781" spans="1:22" s="1192" customFormat="1" ht="14.4" x14ac:dyDescent="0.3">
      <c r="A1781" s="1192" t="s">
        <v>416</v>
      </c>
      <c r="B1781" s="1192" t="s">
        <v>4542</v>
      </c>
      <c r="E1781" s="1942" t="s">
        <v>2461</v>
      </c>
      <c r="F1781" s="1942"/>
      <c r="G1781" s="1277" t="s">
        <v>19</v>
      </c>
      <c r="H1781" s="1218">
        <v>15</v>
      </c>
      <c r="V1781" s="1192">
        <v>17</v>
      </c>
    </row>
    <row r="1782" spans="1:22" s="1192" customFormat="1" ht="14.4" x14ac:dyDescent="0.3">
      <c r="A1782" s="1192" t="s">
        <v>416</v>
      </c>
      <c r="B1782" s="1192" t="s">
        <v>4542</v>
      </c>
      <c r="E1782" s="1942" t="s">
        <v>2462</v>
      </c>
      <c r="F1782" s="1942"/>
      <c r="G1782" s="1277" t="s">
        <v>19</v>
      </c>
      <c r="H1782" s="1218">
        <v>15</v>
      </c>
      <c r="V1782" s="1192">
        <v>19</v>
      </c>
    </row>
    <row r="1783" spans="1:22" s="1192" customFormat="1" ht="14.4" x14ac:dyDescent="0.3">
      <c r="A1783" s="1192" t="s">
        <v>416</v>
      </c>
      <c r="B1783" s="1192" t="s">
        <v>4542</v>
      </c>
      <c r="E1783" s="1942" t="s">
        <v>2463</v>
      </c>
      <c r="F1783" s="1942"/>
      <c r="G1783" s="1277" t="s">
        <v>19</v>
      </c>
      <c r="H1783" s="1218">
        <v>15</v>
      </c>
      <c r="V1783" s="1192">
        <v>15</v>
      </c>
    </row>
    <row r="1784" spans="1:22" s="1192" customFormat="1" ht="14.4" x14ac:dyDescent="0.3">
      <c r="A1784" s="1192" t="s">
        <v>416</v>
      </c>
      <c r="B1784" s="1192" t="s">
        <v>4542</v>
      </c>
      <c r="E1784" s="1942" t="s">
        <v>2464</v>
      </c>
      <c r="F1784" s="1942"/>
      <c r="G1784" s="1277" t="s">
        <v>19</v>
      </c>
      <c r="H1784" s="1218">
        <v>15</v>
      </c>
      <c r="V1784" s="1192">
        <v>56</v>
      </c>
    </row>
    <row r="1785" spans="1:22" s="1192" customFormat="1" ht="14.4" x14ac:dyDescent="0.3">
      <c r="A1785" s="1192" t="s">
        <v>416</v>
      </c>
      <c r="B1785" s="1192" t="s">
        <v>4542</v>
      </c>
      <c r="E1785" s="1942" t="s">
        <v>119</v>
      </c>
      <c r="F1785" s="1942"/>
      <c r="G1785" s="1277" t="s">
        <v>19</v>
      </c>
      <c r="H1785" s="1218">
        <v>15</v>
      </c>
      <c r="V1785" s="1192">
        <v>35</v>
      </c>
    </row>
    <row r="1786" spans="1:22" s="1192" customFormat="1" ht="14.4" x14ac:dyDescent="0.3">
      <c r="A1786" s="1192" t="s">
        <v>416</v>
      </c>
      <c r="B1786" s="1192" t="s">
        <v>4542</v>
      </c>
      <c r="E1786" s="1942" t="s">
        <v>2466</v>
      </c>
      <c r="F1786" s="1942"/>
      <c r="G1786" s="1277" t="s">
        <v>19</v>
      </c>
      <c r="H1786" s="1218">
        <v>15</v>
      </c>
      <c r="V1786" s="1192">
        <v>24</v>
      </c>
    </row>
    <row r="1787" spans="1:22" s="1192" customFormat="1" ht="14.4" x14ac:dyDescent="0.3">
      <c r="A1787" s="1192" t="s">
        <v>416</v>
      </c>
      <c r="B1787" s="1192" t="s">
        <v>4542</v>
      </c>
      <c r="E1787" s="1942" t="s">
        <v>2467</v>
      </c>
      <c r="F1787" s="1942"/>
      <c r="G1787" s="1277" t="s">
        <v>19</v>
      </c>
      <c r="H1787" s="1218">
        <v>15</v>
      </c>
      <c r="V1787" s="1192">
        <v>19</v>
      </c>
    </row>
    <row r="1788" spans="1:22" s="1192" customFormat="1" ht="14.4" x14ac:dyDescent="0.3">
      <c r="A1788" s="1192" t="s">
        <v>416</v>
      </c>
      <c r="B1788" s="1192" t="s">
        <v>4542</v>
      </c>
      <c r="E1788" s="1942" t="s">
        <v>84</v>
      </c>
      <c r="F1788" s="1942"/>
      <c r="G1788" s="1277" t="s">
        <v>19</v>
      </c>
      <c r="H1788" s="1218">
        <v>30</v>
      </c>
      <c r="V1788" s="1192">
        <v>89</v>
      </c>
    </row>
    <row r="1789" spans="1:22" s="1192" customFormat="1" ht="14.4" x14ac:dyDescent="0.3">
      <c r="A1789" s="1192" t="s">
        <v>416</v>
      </c>
      <c r="B1789" s="1192" t="s">
        <v>4542</v>
      </c>
      <c r="E1789" s="1942" t="s">
        <v>90</v>
      </c>
      <c r="F1789" s="1942"/>
      <c r="G1789" s="1277" t="s">
        <v>19</v>
      </c>
      <c r="H1789" s="1218">
        <v>30</v>
      </c>
      <c r="V1789" s="1192">
        <v>19</v>
      </c>
    </row>
    <row r="1790" spans="1:22" s="1192" customFormat="1" ht="14.4" x14ac:dyDescent="0.3">
      <c r="A1790" s="1192" t="s">
        <v>416</v>
      </c>
      <c r="B1790" s="1192" t="s">
        <v>4542</v>
      </c>
      <c r="E1790" s="1942" t="s">
        <v>88</v>
      </c>
      <c r="F1790" s="1942"/>
      <c r="G1790" s="1277" t="s">
        <v>19</v>
      </c>
      <c r="H1790" s="1218">
        <v>30</v>
      </c>
      <c r="V1790" s="1192">
        <v>74</v>
      </c>
    </row>
    <row r="1791" spans="1:22" s="1192" customFormat="1" ht="14.4" x14ac:dyDescent="0.3">
      <c r="A1791" s="1192" t="s">
        <v>416</v>
      </c>
      <c r="B1791" s="1192" t="s">
        <v>4542</v>
      </c>
      <c r="E1791" s="1258" t="s">
        <v>2468</v>
      </c>
      <c r="F1791" s="3"/>
      <c r="G1791" s="3"/>
      <c r="H1791" s="897"/>
      <c r="K1791" s="1192" t="s">
        <v>3428</v>
      </c>
      <c r="V1791" s="1192">
        <v>22</v>
      </c>
    </row>
    <row r="1792" spans="1:22" s="1192" customFormat="1" ht="14.4" x14ac:dyDescent="0.3">
      <c r="A1792" s="1192" t="s">
        <v>416</v>
      </c>
      <c r="B1792" s="1192" t="s">
        <v>4542</v>
      </c>
      <c r="E1792" s="1942" t="s">
        <v>5940</v>
      </c>
      <c r="F1792" s="1942"/>
      <c r="G1792" s="1277" t="s">
        <v>82</v>
      </c>
      <c r="H1792" s="1218">
        <v>1.5</v>
      </c>
      <c r="V1792" s="1192">
        <v>99</v>
      </c>
    </row>
    <row r="1793" spans="1:22" s="1192" customFormat="1" ht="14.4" x14ac:dyDescent="0.3">
      <c r="A1793" s="1192" t="s">
        <v>416</v>
      </c>
      <c r="B1793" s="1192" t="s">
        <v>4542</v>
      </c>
      <c r="E1793" s="1942" t="s">
        <v>6106</v>
      </c>
      <c r="F1793" s="1942"/>
      <c r="G1793" s="1277" t="s">
        <v>19</v>
      </c>
      <c r="H1793" s="1218">
        <v>65</v>
      </c>
      <c r="V1793" s="1192">
        <v>44</v>
      </c>
    </row>
    <row r="1794" spans="1:22" s="1192" customFormat="1" ht="14.4" x14ac:dyDescent="0.3">
      <c r="A1794" s="1192" t="s">
        <v>416</v>
      </c>
      <c r="B1794" s="1192" t="s">
        <v>4542</v>
      </c>
      <c r="E1794" s="1942" t="s">
        <v>6107</v>
      </c>
      <c r="F1794" s="1942"/>
      <c r="G1794" s="1277" t="s">
        <v>19</v>
      </c>
      <c r="H1794" s="1218">
        <v>185</v>
      </c>
      <c r="V1794" s="1192">
        <v>43</v>
      </c>
    </row>
    <row r="1795" spans="1:22" s="1192" customFormat="1" ht="14.4" x14ac:dyDescent="0.3">
      <c r="A1795" s="1192" t="s">
        <v>416</v>
      </c>
      <c r="B1795" s="1192" t="s">
        <v>4542</v>
      </c>
      <c r="E1795" s="1942" t="s">
        <v>6108</v>
      </c>
      <c r="F1795" s="1942"/>
      <c r="G1795" s="1277" t="s">
        <v>19</v>
      </c>
      <c r="H1795" s="1218">
        <v>185</v>
      </c>
      <c r="V1795" s="1192">
        <v>43</v>
      </c>
    </row>
    <row r="1796" spans="1:22" s="1192" customFormat="1" ht="14.4" x14ac:dyDescent="0.3">
      <c r="A1796" s="1192" t="s">
        <v>416</v>
      </c>
      <c r="B1796" s="1192" t="s">
        <v>4542</v>
      </c>
      <c r="E1796" s="1942" t="s">
        <v>6115</v>
      </c>
      <c r="F1796" s="1942"/>
      <c r="G1796" s="1277" t="s">
        <v>19</v>
      </c>
      <c r="H1796" s="1218">
        <v>415</v>
      </c>
      <c r="V1796" s="1192">
        <v>42</v>
      </c>
    </row>
    <row r="1797" spans="1:22" s="1192" customFormat="1" ht="14.4" x14ac:dyDescent="0.3">
      <c r="A1797" s="1192" t="s">
        <v>416</v>
      </c>
      <c r="B1797" s="1192" t="s">
        <v>4542</v>
      </c>
      <c r="E1797" s="1258" t="s">
        <v>2474</v>
      </c>
      <c r="F1797" s="3"/>
      <c r="G1797" s="3"/>
      <c r="H1797" s="897"/>
      <c r="V1797" s="1192">
        <v>5</v>
      </c>
    </row>
    <row r="1798" spans="1:22" s="1192" customFormat="1" ht="14.4" x14ac:dyDescent="0.3">
      <c r="A1798" s="1192" t="s">
        <v>416</v>
      </c>
      <c r="B1798" s="1192" t="s">
        <v>4542</v>
      </c>
      <c r="E1798" s="1942" t="s">
        <v>2768</v>
      </c>
      <c r="F1798" s="1942"/>
      <c r="G1798" s="1277" t="s">
        <v>19</v>
      </c>
      <c r="H1798" s="1218">
        <v>44.5</v>
      </c>
      <c r="V1798" s="1192">
        <v>104</v>
      </c>
    </row>
    <row r="1799" spans="1:22" s="1192" customFormat="1" ht="14.4" x14ac:dyDescent="0.3">
      <c r="A1799" s="1192" t="s">
        <v>416</v>
      </c>
      <c r="B1799" s="1192" t="s">
        <v>4542</v>
      </c>
      <c r="E1799" s="1942" t="s">
        <v>3363</v>
      </c>
      <c r="F1799" s="1942"/>
      <c r="G1799" s="1277" t="s">
        <v>19</v>
      </c>
      <c r="H1799" s="1218">
        <v>65</v>
      </c>
      <c r="V1799" s="1192">
        <v>74</v>
      </c>
    </row>
    <row r="1800" spans="1:22" s="1192" customFormat="1" ht="34.799999999999997" x14ac:dyDescent="0.3">
      <c r="A1800" s="1192" t="s">
        <v>416</v>
      </c>
      <c r="B1800" s="1192" t="s">
        <v>4542</v>
      </c>
      <c r="E1800" s="1260" t="s">
        <v>73</v>
      </c>
      <c r="F1800" s="554"/>
      <c r="G1800" s="554"/>
      <c r="H1800" s="898"/>
      <c r="K1800" s="1192" t="s">
        <v>3432</v>
      </c>
      <c r="V1800" s="1192">
        <v>38</v>
      </c>
    </row>
    <row r="1801" spans="1:22" s="1192" customFormat="1" ht="14.4" x14ac:dyDescent="0.3">
      <c r="A1801" s="1192" t="s">
        <v>416</v>
      </c>
      <c r="B1801" s="1192" t="s">
        <v>4542</v>
      </c>
      <c r="E1801" s="1743" t="s">
        <v>2391</v>
      </c>
      <c r="F1801" s="1743"/>
      <c r="G1801" s="1743"/>
      <c r="H1801" s="1743"/>
      <c r="V1801" s="1192">
        <v>280</v>
      </c>
    </row>
    <row r="1802" spans="1:22" s="1192" customFormat="1" ht="14.4" x14ac:dyDescent="0.3">
      <c r="A1802" s="1192" t="s">
        <v>416</v>
      </c>
      <c r="B1802" s="1192" t="s">
        <v>4542</v>
      </c>
      <c r="E1802" s="1743" t="s">
        <v>2392</v>
      </c>
      <c r="F1802" s="1743"/>
      <c r="G1802" s="1743"/>
      <c r="H1802" s="1743"/>
      <c r="V1802" s="1192">
        <v>411</v>
      </c>
    </row>
    <row r="1803" spans="1:22" s="1192" customFormat="1" ht="14.4" x14ac:dyDescent="0.3">
      <c r="A1803" s="1192" t="s">
        <v>416</v>
      </c>
      <c r="B1803" s="1192" t="s">
        <v>4542</v>
      </c>
      <c r="E1803" s="1743" t="s">
        <v>2445</v>
      </c>
      <c r="F1803" s="1743"/>
      <c r="G1803" s="1743"/>
      <c r="H1803" s="1743"/>
      <c r="V1803" s="1192">
        <v>211</v>
      </c>
    </row>
    <row r="1804" spans="1:22" s="1192" customFormat="1" ht="14.4" x14ac:dyDescent="0.3">
      <c r="A1804" s="1192" t="s">
        <v>416</v>
      </c>
      <c r="B1804" s="1192" t="s">
        <v>4542</v>
      </c>
      <c r="E1804" s="1743" t="s">
        <v>4500</v>
      </c>
      <c r="F1804" s="1743"/>
      <c r="G1804" s="1743"/>
      <c r="H1804" s="1743"/>
      <c r="V1804" s="1192">
        <v>247</v>
      </c>
    </row>
    <row r="1805" spans="1:22" s="1192" customFormat="1" ht="14.4" x14ac:dyDescent="0.3">
      <c r="A1805" s="1192" t="s">
        <v>416</v>
      </c>
      <c r="B1805" s="1192" t="s">
        <v>4542</v>
      </c>
      <c r="E1805" s="1743" t="s">
        <v>2595</v>
      </c>
      <c r="F1805" s="1743"/>
      <c r="G1805" s="1743"/>
      <c r="H1805" s="1743"/>
      <c r="V1805" s="1192">
        <v>142</v>
      </c>
    </row>
    <row r="1806" spans="1:22" s="1192" customFormat="1" ht="14.4" x14ac:dyDescent="0.3">
      <c r="A1806" s="1192" t="s">
        <v>416</v>
      </c>
      <c r="B1806" s="1192" t="s">
        <v>4542</v>
      </c>
      <c r="E1806" s="1741" t="s">
        <v>2485</v>
      </c>
      <c r="F1806" s="1741"/>
      <c r="G1806" s="451" t="s">
        <v>19</v>
      </c>
      <c r="H1806" s="358">
        <v>102</v>
      </c>
      <c r="V1806" s="1192">
        <v>106</v>
      </c>
    </row>
    <row r="1807" spans="1:22" s="1192" customFormat="1" ht="14.4" x14ac:dyDescent="0.3">
      <c r="A1807" s="1192" t="s">
        <v>416</v>
      </c>
      <c r="B1807" s="1192" t="s">
        <v>4542</v>
      </c>
      <c r="E1807" s="1741" t="s">
        <v>2486</v>
      </c>
      <c r="F1807" s="1741"/>
      <c r="G1807" s="451" t="s">
        <v>19</v>
      </c>
      <c r="H1807" s="358">
        <v>40.799999999999997</v>
      </c>
      <c r="V1807" s="1192">
        <v>34</v>
      </c>
    </row>
    <row r="1808" spans="1:22" s="1192" customFormat="1" ht="14.4" x14ac:dyDescent="0.3">
      <c r="A1808" s="1192" t="s">
        <v>416</v>
      </c>
      <c r="B1808" s="1192" t="s">
        <v>4542</v>
      </c>
      <c r="E1808" s="1741" t="s">
        <v>2487</v>
      </c>
      <c r="F1808" s="1741"/>
      <c r="G1808" s="451" t="s">
        <v>2488</v>
      </c>
      <c r="H1808" s="358">
        <v>1.02</v>
      </c>
      <c r="V1808" s="1192">
        <v>51</v>
      </c>
    </row>
    <row r="1809" spans="1:22" s="1192" customFormat="1" ht="14.4" x14ac:dyDescent="0.3">
      <c r="A1809" s="1192" t="s">
        <v>416</v>
      </c>
      <c r="B1809" s="1192" t="s">
        <v>4542</v>
      </c>
      <c r="E1809" s="1741" t="s">
        <v>2489</v>
      </c>
      <c r="F1809" s="1741"/>
      <c r="G1809" s="451" t="s">
        <v>2488</v>
      </c>
      <c r="H1809" s="358">
        <v>0.61</v>
      </c>
      <c r="V1809" s="1192">
        <v>75</v>
      </c>
    </row>
    <row r="1810" spans="1:22" s="1192" customFormat="1" ht="14.4" x14ac:dyDescent="0.3">
      <c r="A1810" s="1192" t="s">
        <v>416</v>
      </c>
      <c r="B1810" s="1192" t="s">
        <v>4542</v>
      </c>
      <c r="E1810" s="1741" t="s">
        <v>2490</v>
      </c>
      <c r="F1810" s="1741"/>
      <c r="G1810" s="451" t="s">
        <v>2488</v>
      </c>
      <c r="H1810" s="512">
        <v>-0.61</v>
      </c>
      <c r="V1810" s="1192">
        <v>72</v>
      </c>
    </row>
    <row r="1811" spans="1:22" s="1192" customFormat="1" ht="14.4" x14ac:dyDescent="0.3">
      <c r="A1811" s="1192" t="s">
        <v>416</v>
      </c>
      <c r="B1811" s="1192" t="s">
        <v>4542</v>
      </c>
      <c r="E1811" s="1741" t="s">
        <v>2596</v>
      </c>
      <c r="F1811" s="1741"/>
      <c r="G1811" s="451"/>
      <c r="H1811" s="899"/>
      <c r="V1811" s="1192">
        <v>34</v>
      </c>
    </row>
    <row r="1812" spans="1:22" s="1192" customFormat="1" ht="14.4" x14ac:dyDescent="0.3">
      <c r="A1812" s="1192" t="s">
        <v>416</v>
      </c>
      <c r="B1812" s="1192" t="s">
        <v>4542</v>
      </c>
      <c r="E1812" s="1941" t="s">
        <v>2492</v>
      </c>
      <c r="F1812" s="1941"/>
      <c r="G1812" s="451" t="s">
        <v>19</v>
      </c>
      <c r="H1812" s="358">
        <v>0.51</v>
      </c>
      <c r="V1812" s="1192">
        <v>57</v>
      </c>
    </row>
    <row r="1813" spans="1:22" s="1192" customFormat="1" ht="14.4" x14ac:dyDescent="0.3">
      <c r="A1813" s="1192" t="s">
        <v>416</v>
      </c>
      <c r="B1813" s="1192" t="s">
        <v>4542</v>
      </c>
      <c r="E1813" s="1941" t="s">
        <v>2493</v>
      </c>
      <c r="F1813" s="1941"/>
      <c r="G1813" s="451" t="s">
        <v>19</v>
      </c>
      <c r="H1813" s="358">
        <v>1.02</v>
      </c>
      <c r="V1813" s="1192">
        <v>60</v>
      </c>
    </row>
    <row r="1814" spans="1:22" s="1192" customFormat="1" ht="14.4" x14ac:dyDescent="0.3">
      <c r="A1814" s="1192" t="s">
        <v>416</v>
      </c>
      <c r="B1814" s="1192" t="s">
        <v>4542</v>
      </c>
      <c r="E1814" s="1741" t="s">
        <v>2494</v>
      </c>
      <c r="F1814" s="1741"/>
      <c r="G1814" s="451"/>
      <c r="H1814" s="899"/>
      <c r="V1814" s="1192">
        <v>91</v>
      </c>
    </row>
    <row r="1815" spans="1:22" s="1192" customFormat="1" ht="14.4" x14ac:dyDescent="0.3">
      <c r="A1815" s="1192" t="s">
        <v>416</v>
      </c>
      <c r="B1815" s="1192" t="s">
        <v>4542</v>
      </c>
      <c r="E1815" s="1741" t="s">
        <v>2495</v>
      </c>
      <c r="F1815" s="1741"/>
      <c r="G1815" s="451"/>
      <c r="H1815" s="899"/>
      <c r="V1815" s="1192">
        <v>96</v>
      </c>
    </row>
    <row r="1816" spans="1:22" s="1192" customFormat="1" ht="14.4" x14ac:dyDescent="0.3">
      <c r="A1816" s="1192" t="s">
        <v>416</v>
      </c>
      <c r="B1816" s="1192" t="s">
        <v>4542</v>
      </c>
      <c r="E1816" s="1741" t="s">
        <v>2597</v>
      </c>
      <c r="F1816" s="1741"/>
      <c r="G1816" s="451"/>
      <c r="H1816" s="899"/>
      <c r="V1816" s="1192">
        <v>77</v>
      </c>
    </row>
    <row r="1817" spans="1:22" s="1192" customFormat="1" ht="14.4" x14ac:dyDescent="0.3">
      <c r="A1817" s="1192" t="s">
        <v>416</v>
      </c>
      <c r="B1817" s="1192" t="s">
        <v>4542</v>
      </c>
      <c r="E1817" s="1941" t="s">
        <v>2497</v>
      </c>
      <c r="F1817" s="1941"/>
      <c r="G1817" s="451" t="s">
        <v>19</v>
      </c>
      <c r="H1817" s="899" t="s">
        <v>2498</v>
      </c>
      <c r="V1817" s="1192">
        <v>18</v>
      </c>
    </row>
    <row r="1818" spans="1:22" s="1192" customFormat="1" ht="14.4" x14ac:dyDescent="0.3">
      <c r="A1818" s="1192" t="s">
        <v>416</v>
      </c>
      <c r="B1818" s="1192" t="s">
        <v>4542</v>
      </c>
      <c r="E1818" s="1941" t="s">
        <v>2499</v>
      </c>
      <c r="F1818" s="1941"/>
      <c r="G1818" s="451" t="s">
        <v>19</v>
      </c>
      <c r="H1818" s="358">
        <v>4.08</v>
      </c>
      <c r="V1818" s="1192">
        <v>69</v>
      </c>
    </row>
    <row r="1819" spans="1:22" s="1192" customFormat="1" ht="14.4" x14ac:dyDescent="0.3">
      <c r="A1819" s="1192" t="s">
        <v>416</v>
      </c>
      <c r="B1819" s="1192" t="s">
        <v>4542</v>
      </c>
      <c r="E1819" s="2093" t="s">
        <v>4608</v>
      </c>
      <c r="F1819" s="2093"/>
      <c r="G1819" s="452" t="s">
        <v>19</v>
      </c>
      <c r="H1819" s="1218">
        <v>2.04</v>
      </c>
      <c r="V1819" s="1192">
        <v>199</v>
      </c>
    </row>
    <row r="1820" spans="1:22" s="1192" customFormat="1" x14ac:dyDescent="0.35">
      <c r="A1820" s="1192" t="s">
        <v>416</v>
      </c>
      <c r="B1820" s="1192" t="s">
        <v>4542</v>
      </c>
      <c r="E1820" s="1260" t="s">
        <v>143</v>
      </c>
      <c r="F1820" s="550"/>
      <c r="G1820" s="550"/>
      <c r="H1820" s="881"/>
      <c r="K1820" s="1192" t="s">
        <v>3433</v>
      </c>
      <c r="V1820" s="1192">
        <v>12</v>
      </c>
    </row>
    <row r="1821" spans="1:22" s="1192" customFormat="1" ht="14.4" x14ac:dyDescent="0.3">
      <c r="A1821" s="1192" t="s">
        <v>416</v>
      </c>
      <c r="B1821" s="1192" t="s">
        <v>4542</v>
      </c>
      <c r="E1821" s="1741" t="s">
        <v>2501</v>
      </c>
      <c r="F1821" s="1741"/>
      <c r="G1821" s="1741"/>
      <c r="H1821" s="1741"/>
      <c r="V1821" s="1192">
        <v>203</v>
      </c>
    </row>
    <row r="1822" spans="1:22" s="1192" customFormat="1" ht="14.4" x14ac:dyDescent="0.3">
      <c r="A1822" s="1192" t="s">
        <v>416</v>
      </c>
      <c r="B1822" s="1192" t="s">
        <v>4542</v>
      </c>
      <c r="E1822" s="1741" t="s">
        <v>2599</v>
      </c>
      <c r="F1822" s="1741"/>
      <c r="G1822" s="1277"/>
      <c r="H1822" s="837">
        <v>1.0392999999999999</v>
      </c>
      <c r="V1822" s="1192">
        <v>57</v>
      </c>
    </row>
    <row r="1823" spans="1:22" s="1192" customFormat="1" ht="14.4" x14ac:dyDescent="0.3">
      <c r="A1823" s="1192" t="s">
        <v>416</v>
      </c>
      <c r="B1823" s="1192" t="s">
        <v>4542</v>
      </c>
      <c r="E1823" s="1741" t="s">
        <v>2601</v>
      </c>
      <c r="F1823" s="1741"/>
      <c r="G1823" s="1277"/>
      <c r="H1823" s="837">
        <v>1.0288999999999999</v>
      </c>
      <c r="J1823" s="1192" t="s">
        <v>4545</v>
      </c>
      <c r="V1823" s="1192">
        <v>55</v>
      </c>
    </row>
    <row r="1824" spans="1:22" s="1192" customFormat="1" ht="22.8" x14ac:dyDescent="0.3">
      <c r="A1824" s="1192" t="s">
        <v>4737</v>
      </c>
      <c r="C1824" s="1192" t="s">
        <v>2378</v>
      </c>
      <c r="E1824" s="1752" t="s">
        <v>4737</v>
      </c>
      <c r="F1824" s="1752"/>
      <c r="G1824" s="1752"/>
      <c r="H1824" s="1752"/>
      <c r="I1824" s="1192" t="s">
        <v>603</v>
      </c>
      <c r="J1824" s="1192" t="s">
        <v>4738</v>
      </c>
      <c r="K1824" s="1192" t="s">
        <v>4737</v>
      </c>
      <c r="M1824" s="1192">
        <v>9</v>
      </c>
      <c r="V1824" s="1192">
        <v>20</v>
      </c>
    </row>
    <row r="1825" spans="1:22" s="1192" customFormat="1" ht="17.399999999999999" x14ac:dyDescent="0.3">
      <c r="A1825" s="1192" t="s">
        <v>4737</v>
      </c>
      <c r="C1825" s="1192" t="s">
        <v>2380</v>
      </c>
      <c r="E1825" s="1753" t="s">
        <v>2381</v>
      </c>
      <c r="F1825" s="1753"/>
      <c r="G1825" s="1753"/>
      <c r="H1825" s="1753"/>
      <c r="V1825" s="1192">
        <v>27</v>
      </c>
    </row>
    <row r="1826" spans="1:22" s="1192" customFormat="1" ht="15.6" x14ac:dyDescent="0.3">
      <c r="A1826" s="1192" t="s">
        <v>4737</v>
      </c>
      <c r="C1826" s="1192" t="s">
        <v>2382</v>
      </c>
      <c r="E1826" s="1754" t="s">
        <v>5937</v>
      </c>
      <c r="F1826" s="1754"/>
      <c r="G1826" s="1754"/>
      <c r="H1826" s="1754"/>
      <c r="S1826" s="1192">
        <v>43831</v>
      </c>
      <c r="V1826" s="1192">
        <v>49</v>
      </c>
    </row>
    <row r="1827" spans="1:22" s="1192" customFormat="1" ht="14.4" x14ac:dyDescent="0.3">
      <c r="A1827" s="1192" t="s">
        <v>4737</v>
      </c>
      <c r="C1827" s="1192" t="s">
        <v>2383</v>
      </c>
      <c r="E1827" s="1755" t="s">
        <v>2384</v>
      </c>
      <c r="F1827" s="1755"/>
      <c r="G1827" s="1755"/>
      <c r="H1827" s="1755"/>
      <c r="V1827" s="1192">
        <v>52</v>
      </c>
    </row>
    <row r="1828" spans="1:22" s="1192" customFormat="1" ht="14.4" x14ac:dyDescent="0.3">
      <c r="A1828" s="1192" t="s">
        <v>4737</v>
      </c>
      <c r="E1828" s="1755" t="s">
        <v>2385</v>
      </c>
      <c r="F1828" s="1755"/>
      <c r="G1828" s="1755"/>
      <c r="H1828" s="1755"/>
      <c r="V1828" s="1192">
        <v>53</v>
      </c>
    </row>
    <row r="1829" spans="1:22" s="1192" customFormat="1" ht="14.4" x14ac:dyDescent="0.3">
      <c r="A1829" s="1192" t="s">
        <v>4737</v>
      </c>
      <c r="E1829" s="1772" t="s">
        <v>6148</v>
      </c>
      <c r="F1829" s="1772"/>
      <c r="G1829" s="1772"/>
      <c r="H1829" s="1772"/>
      <c r="K1829" s="1192" t="s">
        <v>6148</v>
      </c>
      <c r="V1829" s="1192">
        <v>12</v>
      </c>
    </row>
    <row r="1830" spans="1:22" s="1192" customFormat="1" ht="14.4" x14ac:dyDescent="0.3">
      <c r="A1830" s="1192" t="s">
        <v>4737</v>
      </c>
      <c r="E1830" s="1746" t="s">
        <v>427</v>
      </c>
      <c r="F1830" s="1988"/>
      <c r="G1830" s="1988"/>
      <c r="H1830" s="1988"/>
      <c r="K1830" s="1192" t="s">
        <v>2506</v>
      </c>
      <c r="V1830" s="1192">
        <v>34</v>
      </c>
    </row>
    <row r="1831" spans="1:22" s="1192" customFormat="1" ht="14.4" x14ac:dyDescent="0.3">
      <c r="A1831" s="1192" t="s">
        <v>4737</v>
      </c>
      <c r="E1831" s="1743" t="s">
        <v>3434</v>
      </c>
      <c r="F1831" s="1743"/>
      <c r="G1831" s="1743"/>
      <c r="H1831" s="1743"/>
      <c r="K1831" s="1192" t="s">
        <v>2506</v>
      </c>
      <c r="V1831" s="1192">
        <v>745</v>
      </c>
    </row>
    <row r="1832" spans="1:22" s="1192" customFormat="1" ht="14.4" x14ac:dyDescent="0.3">
      <c r="A1832" s="1192" t="s">
        <v>4737</v>
      </c>
      <c r="E1832" s="1750" t="s">
        <v>2389</v>
      </c>
      <c r="F1832" s="1988"/>
      <c r="G1832" s="1988"/>
      <c r="H1832" s="1988"/>
      <c r="K1832" s="1192" t="s">
        <v>2390</v>
      </c>
      <c r="V1832" s="1192">
        <v>11</v>
      </c>
    </row>
    <row r="1833" spans="1:22" s="1192" customFormat="1" ht="14.4" x14ac:dyDescent="0.3">
      <c r="A1833" s="1192" t="s">
        <v>4737</v>
      </c>
      <c r="E1833" s="1743" t="s">
        <v>2391</v>
      </c>
      <c r="F1833" s="1743"/>
      <c r="G1833" s="1743"/>
      <c r="H1833" s="1743"/>
      <c r="K1833" s="1192" t="s">
        <v>2506</v>
      </c>
      <c r="V1833" s="1192">
        <v>280</v>
      </c>
    </row>
    <row r="1834" spans="1:22" s="1192" customFormat="1" ht="14.4" x14ac:dyDescent="0.3">
      <c r="A1834" s="1192" t="s">
        <v>4737</v>
      </c>
      <c r="E1834" s="1743" t="s">
        <v>2392</v>
      </c>
      <c r="F1834" s="1743"/>
      <c r="G1834" s="1743"/>
      <c r="H1834" s="1743"/>
      <c r="K1834" s="1192" t="s">
        <v>2506</v>
      </c>
      <c r="V1834" s="1192">
        <v>411</v>
      </c>
    </row>
    <row r="1835" spans="1:22" s="1192" customFormat="1" ht="14.4" x14ac:dyDescent="0.3">
      <c r="A1835" s="1192" t="s">
        <v>4737</v>
      </c>
      <c r="E1835" s="1743" t="s">
        <v>3435</v>
      </c>
      <c r="F1835" s="1743"/>
      <c r="G1835" s="1743"/>
      <c r="H1835" s="1743"/>
      <c r="K1835" s="1192" t="s">
        <v>2506</v>
      </c>
      <c r="V1835" s="1192">
        <v>379</v>
      </c>
    </row>
    <row r="1836" spans="1:22" s="1192" customFormat="1" ht="14.4" x14ac:dyDescent="0.3">
      <c r="A1836" s="1192" t="s">
        <v>4737</v>
      </c>
      <c r="E1836" s="1743" t="s">
        <v>4500</v>
      </c>
      <c r="F1836" s="1743"/>
      <c r="G1836" s="1743"/>
      <c r="H1836" s="1743"/>
      <c r="K1836" s="1192" t="s">
        <v>2506</v>
      </c>
      <c r="V1836" s="1192">
        <v>247</v>
      </c>
    </row>
    <row r="1837" spans="1:22" s="1192" customFormat="1" ht="14.4" x14ac:dyDescent="0.3">
      <c r="A1837" s="1192" t="s">
        <v>4737</v>
      </c>
      <c r="E1837" s="1748" t="s">
        <v>2394</v>
      </c>
      <c r="F1837" s="1749"/>
      <c r="G1837" s="1749"/>
      <c r="H1837" s="1749"/>
      <c r="K1837" s="1192" t="s">
        <v>2395</v>
      </c>
      <c r="V1837" s="1192">
        <v>46</v>
      </c>
    </row>
    <row r="1838" spans="1:22" s="1192" customFormat="1" ht="14.4" x14ac:dyDescent="0.3">
      <c r="A1838" s="1192" t="s">
        <v>4737</v>
      </c>
      <c r="E1838" s="1740" t="s">
        <v>7</v>
      </c>
      <c r="F1838" s="1740"/>
      <c r="G1838" s="1277" t="s">
        <v>19</v>
      </c>
      <c r="H1838" s="1218">
        <v>26.25</v>
      </c>
      <c r="K1838" s="1192" t="s">
        <v>2506</v>
      </c>
      <c r="L1838" s="1192" t="s">
        <v>430</v>
      </c>
      <c r="P1838" s="1192" t="s">
        <v>2510</v>
      </c>
      <c r="V1838" s="1192">
        <v>14</v>
      </c>
    </row>
    <row r="1839" spans="1:22" s="1192" customFormat="1" ht="14.4" x14ac:dyDescent="0.3">
      <c r="A1839" s="1192" t="s">
        <v>4737</v>
      </c>
      <c r="E1839" s="1740" t="s">
        <v>6149</v>
      </c>
      <c r="F1839" s="1740"/>
      <c r="G1839" s="1277" t="s">
        <v>19</v>
      </c>
      <c r="H1839" s="1218">
        <v>-1.64</v>
      </c>
      <c r="K1839" s="1192" t="s">
        <v>2506</v>
      </c>
      <c r="L1839" s="1192" t="s">
        <v>430</v>
      </c>
      <c r="P1839" s="1192" t="s">
        <v>6150</v>
      </c>
      <c r="T1839" s="1192">
        <v>45657</v>
      </c>
      <c r="V1839" s="1192">
        <v>85</v>
      </c>
    </row>
    <row r="1840" spans="1:22" s="1192" customFormat="1" ht="14.4" x14ac:dyDescent="0.3">
      <c r="A1840" s="1192" t="s">
        <v>4737</v>
      </c>
      <c r="E1840" s="1740" t="s">
        <v>6151</v>
      </c>
      <c r="F1840" s="1740"/>
      <c r="G1840" s="1277" t="s">
        <v>19</v>
      </c>
      <c r="H1840" s="1218">
        <v>-0.98</v>
      </c>
      <c r="K1840" s="1192" t="s">
        <v>2506</v>
      </c>
      <c r="L1840" s="1192" t="s">
        <v>430</v>
      </c>
      <c r="P1840" s="1192" t="s">
        <v>2516</v>
      </c>
      <c r="T1840" s="1192">
        <v>44196</v>
      </c>
      <c r="V1840" s="1192">
        <v>108</v>
      </c>
    </row>
    <row r="1841" spans="1:22" s="1192" customFormat="1" ht="14.4" x14ac:dyDescent="0.3">
      <c r="A1841" s="1192" t="s">
        <v>4737</v>
      </c>
      <c r="E1841" s="1740" t="s">
        <v>3900</v>
      </c>
      <c r="F1841" s="1740"/>
      <c r="G1841" s="1277" t="s">
        <v>19</v>
      </c>
      <c r="H1841" s="1218">
        <v>0.56999999999999995</v>
      </c>
      <c r="K1841" s="1192" t="s">
        <v>2506</v>
      </c>
      <c r="L1841" s="1192" t="s">
        <v>431</v>
      </c>
      <c r="P1841" s="1192" t="s">
        <v>2511</v>
      </c>
      <c r="T1841" s="1192">
        <v>44926</v>
      </c>
      <c r="V1841" s="1192">
        <v>64</v>
      </c>
    </row>
    <row r="1842" spans="1:22" s="1192" customFormat="1" ht="14.4" x14ac:dyDescent="0.3">
      <c r="A1842" s="1192" t="s">
        <v>4737</v>
      </c>
      <c r="E1842" s="1740" t="s">
        <v>4058</v>
      </c>
      <c r="F1842" s="1740"/>
      <c r="G1842" s="1277" t="s">
        <v>20</v>
      </c>
      <c r="H1842" s="1219">
        <v>8.9999999999999998E-4</v>
      </c>
      <c r="K1842" s="1192" t="s">
        <v>2506</v>
      </c>
      <c r="L1842" s="1192" t="s">
        <v>430</v>
      </c>
      <c r="P1842" s="1192" t="s">
        <v>2515</v>
      </c>
      <c r="T1842" s="1192">
        <v>43951</v>
      </c>
      <c r="V1842" s="1192">
        <v>137</v>
      </c>
    </row>
    <row r="1843" spans="1:22" s="1192" customFormat="1" ht="14.4" x14ac:dyDescent="0.3">
      <c r="A1843" s="1192" t="s">
        <v>4737</v>
      </c>
      <c r="E1843" s="1740" t="s">
        <v>6152</v>
      </c>
      <c r="F1843" s="1740"/>
      <c r="G1843" s="1277" t="s">
        <v>20</v>
      </c>
      <c r="H1843" s="1219">
        <v>2.0000000000000001E-4</v>
      </c>
      <c r="K1843" s="1192" t="s">
        <v>2506</v>
      </c>
      <c r="L1843" s="1192" t="s">
        <v>431</v>
      </c>
      <c r="P1843" s="1192" t="s">
        <v>2516</v>
      </c>
      <c r="T1843" s="1192">
        <v>44196</v>
      </c>
      <c r="V1843" s="1192">
        <v>108</v>
      </c>
    </row>
    <row r="1844" spans="1:22" s="1192" customFormat="1" ht="14.4" x14ac:dyDescent="0.3">
      <c r="A1844" s="1192" t="s">
        <v>4737</v>
      </c>
      <c r="E1844" s="1740" t="s">
        <v>6123</v>
      </c>
      <c r="F1844" s="1740"/>
      <c r="G1844" s="1277" t="s">
        <v>20</v>
      </c>
      <c r="H1844" s="1219">
        <v>1.1999999999999999E-3</v>
      </c>
      <c r="K1844" s="1192" t="s">
        <v>2506</v>
      </c>
      <c r="L1844" s="1192" t="s">
        <v>430</v>
      </c>
      <c r="P1844" s="1192" t="s">
        <v>2515</v>
      </c>
      <c r="T1844" s="1192">
        <v>44196</v>
      </c>
      <c r="V1844" s="1192">
        <v>132</v>
      </c>
    </row>
    <row r="1845" spans="1:22" s="1192" customFormat="1" ht="14.4" x14ac:dyDescent="0.3">
      <c r="A1845" s="1192" t="s">
        <v>4737</v>
      </c>
      <c r="E1845" s="1740" t="s">
        <v>6153</v>
      </c>
      <c r="F1845" s="1740"/>
      <c r="G1845" s="1277" t="s">
        <v>20</v>
      </c>
      <c r="H1845" s="1219">
        <v>-3.3999999999999998E-3</v>
      </c>
      <c r="K1845" s="1192" t="s">
        <v>2506</v>
      </c>
      <c r="L1845" s="1192" t="s">
        <v>431</v>
      </c>
      <c r="P1845" s="1192" t="s">
        <v>2514</v>
      </c>
      <c r="T1845" s="1192">
        <v>44196</v>
      </c>
      <c r="V1845" s="1192">
        <v>136</v>
      </c>
    </row>
    <row r="1846" spans="1:22" s="1192" customFormat="1" ht="14.4" x14ac:dyDescent="0.3">
      <c r="A1846" s="1192" t="s">
        <v>4737</v>
      </c>
      <c r="E1846" s="1740" t="s">
        <v>213</v>
      </c>
      <c r="F1846" s="1740"/>
      <c r="G1846" s="1277" t="s">
        <v>20</v>
      </c>
      <c r="H1846" s="1219">
        <v>8.6999999999999994E-3</v>
      </c>
      <c r="K1846" s="1192" t="s">
        <v>2506</v>
      </c>
      <c r="L1846" s="1192" t="s">
        <v>432</v>
      </c>
      <c r="P1846" s="1192" t="s">
        <v>2517</v>
      </c>
      <c r="V1846" s="1192">
        <v>47</v>
      </c>
    </row>
    <row r="1847" spans="1:22" s="1192" customFormat="1" ht="14.4" x14ac:dyDescent="0.3">
      <c r="A1847" s="1192" t="s">
        <v>4737</v>
      </c>
      <c r="E1847" s="1740" t="s">
        <v>209</v>
      </c>
      <c r="F1847" s="1740"/>
      <c r="G1847" s="1277" t="s">
        <v>20</v>
      </c>
      <c r="H1847" s="1219">
        <v>5.8999999999999999E-3</v>
      </c>
      <c r="K1847" s="1192" t="s">
        <v>2506</v>
      </c>
      <c r="L1847" s="1192" t="s">
        <v>432</v>
      </c>
      <c r="P1847" s="1192" t="s">
        <v>2518</v>
      </c>
      <c r="V1847" s="1192">
        <v>74</v>
      </c>
    </row>
    <row r="1848" spans="1:22" s="1192" customFormat="1" ht="14.4" x14ac:dyDescent="0.3">
      <c r="A1848" s="1192" t="s">
        <v>4737</v>
      </c>
      <c r="E1848" s="1748" t="s">
        <v>2405</v>
      </c>
      <c r="F1848" s="1740"/>
      <c r="G1848" s="1277"/>
      <c r="H1848" s="896"/>
      <c r="K1848" s="1192" t="s">
        <v>2406</v>
      </c>
      <c r="V1848" s="1192">
        <v>48</v>
      </c>
    </row>
    <row r="1849" spans="1:22" s="1192" customFormat="1" ht="14.4" x14ac:dyDescent="0.3">
      <c r="A1849" s="1192" t="s">
        <v>4737</v>
      </c>
      <c r="E1849" s="1740" t="s">
        <v>2033</v>
      </c>
      <c r="F1849" s="1740"/>
      <c r="G1849" s="1277" t="s">
        <v>20</v>
      </c>
      <c r="H1849" s="1219">
        <v>3.0000000000000001E-3</v>
      </c>
      <c r="K1849" s="1192" t="s">
        <v>2506</v>
      </c>
      <c r="L1849" s="1192" t="s">
        <v>2374</v>
      </c>
      <c r="P1849" s="1192" t="s">
        <v>2519</v>
      </c>
      <c r="V1849" s="1192">
        <v>55</v>
      </c>
    </row>
    <row r="1850" spans="1:22" s="1192" customFormat="1" ht="14.4" x14ac:dyDescent="0.3">
      <c r="A1850" s="1192" t="s">
        <v>4737</v>
      </c>
      <c r="E1850" s="1740" t="s">
        <v>2034</v>
      </c>
      <c r="F1850" s="1740"/>
      <c r="G1850" s="1277" t="s">
        <v>20</v>
      </c>
      <c r="H1850" s="1219">
        <v>4.0000000000000002E-4</v>
      </c>
      <c r="K1850" s="1192" t="s">
        <v>2506</v>
      </c>
      <c r="L1850" s="1192" t="s">
        <v>2374</v>
      </c>
      <c r="P1850" s="1192" t="s">
        <v>2519</v>
      </c>
      <c r="V1850" s="1192">
        <v>65</v>
      </c>
    </row>
    <row r="1851" spans="1:22" s="1192" customFormat="1" ht="14.4" x14ac:dyDescent="0.3">
      <c r="A1851" s="1192" t="s">
        <v>4737</v>
      </c>
      <c r="E1851" s="1740" t="s">
        <v>428</v>
      </c>
      <c r="F1851" s="1740"/>
      <c r="G1851" s="1277" t="s">
        <v>20</v>
      </c>
      <c r="H1851" s="1219">
        <v>5.0000000000000001E-4</v>
      </c>
      <c r="K1851" s="1192" t="s">
        <v>2506</v>
      </c>
      <c r="L1851" s="1192" t="s">
        <v>2374</v>
      </c>
      <c r="P1851" s="1192" t="s">
        <v>2520</v>
      </c>
      <c r="V1851" s="1192">
        <v>57</v>
      </c>
    </row>
    <row r="1852" spans="1:22" s="1192" customFormat="1" ht="14.4" x14ac:dyDescent="0.3">
      <c r="A1852" s="1192" t="s">
        <v>4737</v>
      </c>
      <c r="E1852" s="1740" t="s">
        <v>28</v>
      </c>
      <c r="F1852" s="1740"/>
      <c r="G1852" s="1277" t="s">
        <v>19</v>
      </c>
      <c r="H1852" s="1218">
        <v>0.25</v>
      </c>
      <c r="K1852" s="1192" t="s">
        <v>2506</v>
      </c>
      <c r="L1852" s="1192" t="s">
        <v>2374</v>
      </c>
      <c r="P1852" s="1192" t="s">
        <v>2521</v>
      </c>
      <c r="V1852" s="1192">
        <v>63</v>
      </c>
    </row>
    <row r="1853" spans="1:22" s="1192" customFormat="1" ht="17.399999999999999" x14ac:dyDescent="0.3">
      <c r="A1853" s="1192" t="s">
        <v>4737</v>
      </c>
      <c r="E1853" s="1746" t="s">
        <v>2522</v>
      </c>
      <c r="F1853" s="1987"/>
      <c r="G1853" s="1987"/>
      <c r="H1853" s="1987"/>
      <c r="K1853" s="1192" t="s">
        <v>3901</v>
      </c>
      <c r="V1853" s="1192">
        <v>54</v>
      </c>
    </row>
    <row r="1854" spans="1:22" s="1192" customFormat="1" ht="14.4" x14ac:dyDescent="0.3">
      <c r="A1854" s="1192" t="s">
        <v>4737</v>
      </c>
      <c r="E1854" s="1751" t="s">
        <v>4059</v>
      </c>
      <c r="F1854" s="1751"/>
      <c r="G1854" s="1751"/>
      <c r="H1854" s="1751"/>
      <c r="K1854" s="1192" t="s">
        <v>3901</v>
      </c>
      <c r="V1854" s="1192">
        <v>390</v>
      </c>
    </row>
    <row r="1855" spans="1:22" s="1192" customFormat="1" ht="14.4" x14ac:dyDescent="0.3">
      <c r="A1855" s="1192" t="s">
        <v>4737</v>
      </c>
      <c r="E1855" s="1750" t="s">
        <v>2389</v>
      </c>
      <c r="F1855" s="1988"/>
      <c r="G1855" s="1988"/>
      <c r="H1855" s="1988"/>
      <c r="K1855" s="1192" t="s">
        <v>2412</v>
      </c>
      <c r="V1855" s="1192">
        <v>11</v>
      </c>
    </row>
    <row r="1856" spans="1:22" s="1192" customFormat="1" ht="14.4" x14ac:dyDescent="0.3">
      <c r="A1856" s="1192" t="s">
        <v>4737</v>
      </c>
      <c r="E1856" s="1743" t="s">
        <v>2391</v>
      </c>
      <c r="F1856" s="1743"/>
      <c r="G1856" s="1743"/>
      <c r="H1856" s="1743"/>
      <c r="K1856" s="1192" t="s">
        <v>3901</v>
      </c>
      <c r="V1856" s="1192">
        <v>280</v>
      </c>
    </row>
    <row r="1857" spans="1:22" s="1192" customFormat="1" ht="14.4" x14ac:dyDescent="0.3">
      <c r="A1857" s="1192" t="s">
        <v>4737</v>
      </c>
      <c r="E1857" s="1743" t="s">
        <v>2392</v>
      </c>
      <c r="F1857" s="1743"/>
      <c r="G1857" s="1743"/>
      <c r="H1857" s="1743"/>
      <c r="K1857" s="1192" t="s">
        <v>3901</v>
      </c>
      <c r="V1857" s="1192">
        <v>411</v>
      </c>
    </row>
    <row r="1858" spans="1:22" s="1192" customFormat="1" ht="14.4" x14ac:dyDescent="0.3">
      <c r="A1858" s="1192" t="s">
        <v>4737</v>
      </c>
      <c r="E1858" s="1743" t="s">
        <v>3435</v>
      </c>
      <c r="F1858" s="1743"/>
      <c r="G1858" s="1743"/>
      <c r="H1858" s="1743"/>
      <c r="K1858" s="1192" t="s">
        <v>3901</v>
      </c>
      <c r="V1858" s="1192">
        <v>379</v>
      </c>
    </row>
    <row r="1859" spans="1:22" s="1192" customFormat="1" ht="14.4" x14ac:dyDescent="0.3">
      <c r="A1859" s="1192" t="s">
        <v>4737</v>
      </c>
      <c r="E1859" s="1743" t="s">
        <v>4500</v>
      </c>
      <c r="F1859" s="1743"/>
      <c r="G1859" s="1743"/>
      <c r="H1859" s="1743"/>
      <c r="K1859" s="1192" t="s">
        <v>3901</v>
      </c>
      <c r="V1859" s="1192">
        <v>247</v>
      </c>
    </row>
    <row r="1860" spans="1:22" s="1192" customFormat="1" ht="14.4" x14ac:dyDescent="0.3">
      <c r="A1860" s="1192" t="s">
        <v>4737</v>
      </c>
      <c r="E1860" s="1748" t="s">
        <v>2394</v>
      </c>
      <c r="F1860" s="1749"/>
      <c r="G1860" s="1749"/>
      <c r="H1860" s="1749"/>
      <c r="K1860" s="1192" t="s">
        <v>2413</v>
      </c>
      <c r="V1860" s="1192">
        <v>46</v>
      </c>
    </row>
    <row r="1861" spans="1:22" s="1192" customFormat="1" ht="14.4" x14ac:dyDescent="0.3">
      <c r="A1861" s="1192" t="s">
        <v>4737</v>
      </c>
      <c r="E1861" s="1740" t="s">
        <v>7</v>
      </c>
      <c r="F1861" s="1740"/>
      <c r="G1861" s="1277" t="s">
        <v>19</v>
      </c>
      <c r="H1861" s="1218">
        <v>27.29</v>
      </c>
      <c r="K1861" s="1192" t="s">
        <v>3901</v>
      </c>
      <c r="L1861" s="1192" t="s">
        <v>430</v>
      </c>
      <c r="P1861" s="1192" t="s">
        <v>3902</v>
      </c>
      <c r="V1861" s="1192">
        <v>14</v>
      </c>
    </row>
    <row r="1862" spans="1:22" s="1192" customFormat="1" ht="14.4" x14ac:dyDescent="0.3">
      <c r="A1862" s="1192" t="s">
        <v>4737</v>
      </c>
      <c r="E1862" s="1740" t="s">
        <v>3900</v>
      </c>
      <c r="F1862" s="1740"/>
      <c r="G1862" s="1277" t="s">
        <v>19</v>
      </c>
      <c r="H1862" s="1218">
        <v>0.56999999999999995</v>
      </c>
      <c r="K1862" s="1192" t="s">
        <v>3901</v>
      </c>
      <c r="L1862" s="1192" t="s">
        <v>431</v>
      </c>
      <c r="P1862" s="1192" t="s">
        <v>3903</v>
      </c>
      <c r="T1862" s="1192">
        <v>44926</v>
      </c>
      <c r="V1862" s="1192">
        <v>64</v>
      </c>
    </row>
    <row r="1863" spans="1:22" s="1192" customFormat="1" ht="14.4" x14ac:dyDescent="0.3">
      <c r="A1863" s="1192" t="s">
        <v>4737</v>
      </c>
      <c r="E1863" s="1740" t="s">
        <v>80</v>
      </c>
      <c r="F1863" s="1740"/>
      <c r="G1863" s="1277" t="s">
        <v>20</v>
      </c>
      <c r="H1863" s="1219">
        <v>1.72E-2</v>
      </c>
      <c r="K1863" s="1192" t="s">
        <v>3901</v>
      </c>
      <c r="L1863" s="1192" t="s">
        <v>430</v>
      </c>
      <c r="P1863" s="1192" t="s">
        <v>3904</v>
      </c>
      <c r="V1863" s="1192">
        <v>28</v>
      </c>
    </row>
    <row r="1864" spans="1:22" s="1192" customFormat="1" ht="14.4" x14ac:dyDescent="0.3">
      <c r="A1864" s="1192" t="s">
        <v>4737</v>
      </c>
      <c r="E1864" s="1740" t="s">
        <v>4061</v>
      </c>
      <c r="F1864" s="1740"/>
      <c r="G1864" s="1277" t="s">
        <v>20</v>
      </c>
      <c r="H1864" s="1219">
        <v>1.1999999999999999E-3</v>
      </c>
      <c r="K1864" s="1192" t="s">
        <v>3901</v>
      </c>
      <c r="L1864" s="1192" t="s">
        <v>430</v>
      </c>
      <c r="P1864" s="1192" t="s">
        <v>4000</v>
      </c>
      <c r="T1864" s="1192">
        <v>43951</v>
      </c>
      <c r="V1864" s="1192">
        <v>136</v>
      </c>
    </row>
    <row r="1865" spans="1:22" s="1192" customFormat="1" ht="14.4" x14ac:dyDescent="0.3">
      <c r="A1865" s="1192" t="s">
        <v>4737</v>
      </c>
      <c r="E1865" s="1740" t="s">
        <v>6152</v>
      </c>
      <c r="F1865" s="1740"/>
      <c r="G1865" s="1277" t="s">
        <v>20</v>
      </c>
      <c r="H1865" s="1219">
        <v>2.9999999999999997E-4</v>
      </c>
      <c r="K1865" s="1192" t="s">
        <v>3901</v>
      </c>
      <c r="L1865" s="1192" t="s">
        <v>431</v>
      </c>
      <c r="P1865" s="1192" t="s">
        <v>3911</v>
      </c>
      <c r="T1865" s="1192">
        <v>44196</v>
      </c>
      <c r="V1865" s="1192">
        <v>108</v>
      </c>
    </row>
    <row r="1866" spans="1:22" s="1192" customFormat="1" ht="14.4" x14ac:dyDescent="0.3">
      <c r="A1866" s="1192" t="s">
        <v>4737</v>
      </c>
      <c r="E1866" s="1740" t="s">
        <v>6151</v>
      </c>
      <c r="F1866" s="1740"/>
      <c r="G1866" s="1277" t="s">
        <v>20</v>
      </c>
      <c r="H1866" s="1219">
        <v>-1.6000000000000001E-3</v>
      </c>
      <c r="K1866" s="1192" t="s">
        <v>3901</v>
      </c>
      <c r="L1866" s="1192" t="s">
        <v>430</v>
      </c>
      <c r="P1866" s="1192" t="s">
        <v>3911</v>
      </c>
      <c r="T1866" s="1192">
        <v>44196</v>
      </c>
      <c r="V1866" s="1192">
        <v>108</v>
      </c>
    </row>
    <row r="1867" spans="1:22" s="1192" customFormat="1" ht="14.4" x14ac:dyDescent="0.3">
      <c r="A1867" s="1192" t="s">
        <v>4737</v>
      </c>
      <c r="E1867" s="1740" t="s">
        <v>6149</v>
      </c>
      <c r="F1867" s="1740"/>
      <c r="G1867" s="1277" t="s">
        <v>20</v>
      </c>
      <c r="H1867" s="1219">
        <v>-2.7000000000000001E-3</v>
      </c>
      <c r="K1867" s="1192" t="s">
        <v>3901</v>
      </c>
      <c r="L1867" s="1192" t="s">
        <v>430</v>
      </c>
      <c r="P1867" s="1192" t="s">
        <v>6154</v>
      </c>
      <c r="T1867" s="1192">
        <v>45657</v>
      </c>
      <c r="V1867" s="1192">
        <v>85</v>
      </c>
    </row>
    <row r="1868" spans="1:22" s="1192" customFormat="1" ht="14.4" x14ac:dyDescent="0.3">
      <c r="A1868" s="1192" t="s">
        <v>4737</v>
      </c>
      <c r="E1868" s="1740" t="s">
        <v>6123</v>
      </c>
      <c r="F1868" s="1740"/>
      <c r="G1868" s="1277" t="s">
        <v>20</v>
      </c>
      <c r="H1868" s="1219">
        <v>1.6000000000000001E-3</v>
      </c>
      <c r="K1868" s="1192" t="s">
        <v>3901</v>
      </c>
      <c r="L1868" s="1192" t="s">
        <v>430</v>
      </c>
      <c r="P1868" s="1192" t="s">
        <v>4000</v>
      </c>
      <c r="T1868" s="1192">
        <v>44196</v>
      </c>
      <c r="V1868" s="1192">
        <v>132</v>
      </c>
    </row>
    <row r="1869" spans="1:22" s="1192" customFormat="1" ht="14.4" x14ac:dyDescent="0.3">
      <c r="A1869" s="1192" t="s">
        <v>4737</v>
      </c>
      <c r="E1869" s="1740" t="s">
        <v>6153</v>
      </c>
      <c r="F1869" s="1740"/>
      <c r="G1869" s="1277" t="s">
        <v>20</v>
      </c>
      <c r="H1869" s="1219">
        <v>-3.3999999999999998E-3</v>
      </c>
      <c r="K1869" s="1192" t="s">
        <v>3901</v>
      </c>
      <c r="L1869" s="1192" t="s">
        <v>431</v>
      </c>
      <c r="P1869" s="1192" t="s">
        <v>3700</v>
      </c>
      <c r="T1869" s="1192">
        <v>44196</v>
      </c>
      <c r="V1869" s="1192">
        <v>136</v>
      </c>
    </row>
    <row r="1870" spans="1:22" s="1192" customFormat="1" ht="14.4" x14ac:dyDescent="0.3">
      <c r="A1870" s="1192" t="s">
        <v>4737</v>
      </c>
      <c r="E1870" s="1740" t="s">
        <v>213</v>
      </c>
      <c r="F1870" s="1740"/>
      <c r="G1870" s="1277" t="s">
        <v>20</v>
      </c>
      <c r="H1870" s="1219">
        <v>8.0000000000000002E-3</v>
      </c>
      <c r="K1870" s="1192" t="s">
        <v>3901</v>
      </c>
      <c r="L1870" s="1192" t="s">
        <v>432</v>
      </c>
      <c r="P1870" s="1192" t="s">
        <v>3906</v>
      </c>
      <c r="V1870" s="1192">
        <v>47</v>
      </c>
    </row>
    <row r="1871" spans="1:22" s="1192" customFormat="1" ht="14.4" x14ac:dyDescent="0.3">
      <c r="A1871" s="1192" t="s">
        <v>4737</v>
      </c>
      <c r="E1871" s="1740" t="s">
        <v>209</v>
      </c>
      <c r="F1871" s="1740"/>
      <c r="G1871" s="1277" t="s">
        <v>20</v>
      </c>
      <c r="H1871" s="1219">
        <v>5.4999999999999997E-3</v>
      </c>
      <c r="K1871" s="1192" t="s">
        <v>3901</v>
      </c>
      <c r="L1871" s="1192" t="s">
        <v>432</v>
      </c>
      <c r="P1871" s="1192" t="s">
        <v>3907</v>
      </c>
      <c r="V1871" s="1192">
        <v>74</v>
      </c>
    </row>
    <row r="1872" spans="1:22" s="1192" customFormat="1" ht="14.4" x14ac:dyDescent="0.3">
      <c r="A1872" s="1192" t="s">
        <v>4737</v>
      </c>
      <c r="E1872" s="1748" t="s">
        <v>2405</v>
      </c>
      <c r="F1872" s="1740"/>
      <c r="G1872" s="1277"/>
      <c r="H1872" s="896"/>
      <c r="K1872" s="1192" t="s">
        <v>2418</v>
      </c>
      <c r="V1872" s="1192">
        <v>48</v>
      </c>
    </row>
    <row r="1873" spans="1:22" s="1192" customFormat="1" ht="14.4" x14ac:dyDescent="0.3">
      <c r="A1873" s="1192" t="s">
        <v>4737</v>
      </c>
      <c r="E1873" s="1740" t="s">
        <v>2033</v>
      </c>
      <c r="F1873" s="1740"/>
      <c r="G1873" s="1277" t="s">
        <v>20</v>
      </c>
      <c r="H1873" s="1219">
        <v>3.0000000000000001E-3</v>
      </c>
      <c r="K1873" s="1192" t="s">
        <v>3901</v>
      </c>
      <c r="L1873" s="1192" t="s">
        <v>2374</v>
      </c>
      <c r="P1873" s="1192" t="s">
        <v>3908</v>
      </c>
      <c r="V1873" s="1192">
        <v>55</v>
      </c>
    </row>
    <row r="1874" spans="1:22" s="1192" customFormat="1" ht="14.4" x14ac:dyDescent="0.3">
      <c r="A1874" s="1192" t="s">
        <v>4737</v>
      </c>
      <c r="E1874" s="1740" t="s">
        <v>2034</v>
      </c>
      <c r="F1874" s="1740"/>
      <c r="G1874" s="1277" t="s">
        <v>20</v>
      </c>
      <c r="H1874" s="1219">
        <v>4.0000000000000002E-4</v>
      </c>
      <c r="K1874" s="1192" t="s">
        <v>3901</v>
      </c>
      <c r="L1874" s="1192" t="s">
        <v>2374</v>
      </c>
      <c r="P1874" s="1192" t="s">
        <v>3908</v>
      </c>
      <c r="V1874" s="1192">
        <v>65</v>
      </c>
    </row>
    <row r="1875" spans="1:22" s="1192" customFormat="1" ht="14.4" x14ac:dyDescent="0.3">
      <c r="A1875" s="1192" t="s">
        <v>4737</v>
      </c>
      <c r="E1875" s="1740" t="s">
        <v>428</v>
      </c>
      <c r="F1875" s="1740"/>
      <c r="G1875" s="1277" t="s">
        <v>20</v>
      </c>
      <c r="H1875" s="1219">
        <v>5.0000000000000001E-4</v>
      </c>
      <c r="K1875" s="1192" t="s">
        <v>3901</v>
      </c>
      <c r="L1875" s="1192" t="s">
        <v>2374</v>
      </c>
      <c r="P1875" s="1192" t="s">
        <v>3909</v>
      </c>
      <c r="V1875" s="1192">
        <v>57</v>
      </c>
    </row>
    <row r="1876" spans="1:22" s="1192" customFormat="1" ht="14.4" x14ac:dyDescent="0.3">
      <c r="A1876" s="1192" t="s">
        <v>4737</v>
      </c>
      <c r="E1876" s="1740" t="s">
        <v>28</v>
      </c>
      <c r="F1876" s="1740"/>
      <c r="G1876" s="1277" t="s">
        <v>19</v>
      </c>
      <c r="H1876" s="1218">
        <v>0.25</v>
      </c>
      <c r="K1876" s="1192" t="s">
        <v>3901</v>
      </c>
      <c r="L1876" s="1192" t="s">
        <v>2374</v>
      </c>
      <c r="P1876" s="1192" t="s">
        <v>3910</v>
      </c>
      <c r="V1876" s="1192">
        <v>63</v>
      </c>
    </row>
    <row r="1877" spans="1:22" s="1192" customFormat="1" ht="17.399999999999999" x14ac:dyDescent="0.3">
      <c r="A1877" s="1192" t="s">
        <v>4737</v>
      </c>
      <c r="E1877" s="1746" t="s">
        <v>591</v>
      </c>
      <c r="F1877" s="1987"/>
      <c r="G1877" s="1987"/>
      <c r="H1877" s="1987"/>
      <c r="K1877" s="1192" t="s">
        <v>4388</v>
      </c>
      <c r="V1877" s="1192">
        <v>53</v>
      </c>
    </row>
    <row r="1878" spans="1:22" s="1192" customFormat="1" ht="14.4" x14ac:dyDescent="0.3">
      <c r="A1878" s="1192" t="s">
        <v>4737</v>
      </c>
      <c r="E1878" s="1751" t="s">
        <v>4063</v>
      </c>
      <c r="F1878" s="1751"/>
      <c r="G1878" s="1751"/>
      <c r="H1878" s="1751"/>
      <c r="K1878" s="1192" t="s">
        <v>4388</v>
      </c>
      <c r="V1878" s="1192">
        <v>439</v>
      </c>
    </row>
    <row r="1879" spans="1:22" s="1192" customFormat="1" ht="14.4" x14ac:dyDescent="0.3">
      <c r="A1879" s="1192" t="s">
        <v>4737</v>
      </c>
      <c r="E1879" s="1750" t="s">
        <v>2389</v>
      </c>
      <c r="F1879" s="1988"/>
      <c r="G1879" s="1988"/>
      <c r="H1879" s="1988"/>
      <c r="K1879" s="1192" t="s">
        <v>2422</v>
      </c>
      <c r="V1879" s="1192">
        <v>11</v>
      </c>
    </row>
    <row r="1880" spans="1:22" s="1192" customFormat="1" ht="14.4" x14ac:dyDescent="0.3">
      <c r="A1880" s="1192" t="s">
        <v>4737</v>
      </c>
      <c r="E1880" s="1743" t="s">
        <v>2391</v>
      </c>
      <c r="F1880" s="1743"/>
      <c r="G1880" s="1743"/>
      <c r="H1880" s="1743"/>
      <c r="K1880" s="1192" t="s">
        <v>4388</v>
      </c>
      <c r="V1880" s="1192">
        <v>280</v>
      </c>
    </row>
    <row r="1881" spans="1:22" s="1192" customFormat="1" ht="14.4" x14ac:dyDescent="0.3">
      <c r="A1881" s="1192" t="s">
        <v>4737</v>
      </c>
      <c r="E1881" s="1743" t="s">
        <v>2392</v>
      </c>
      <c r="F1881" s="1743"/>
      <c r="G1881" s="1743"/>
      <c r="H1881" s="1743"/>
      <c r="K1881" s="1192" t="s">
        <v>4388</v>
      </c>
      <c r="V1881" s="1192">
        <v>411</v>
      </c>
    </row>
    <row r="1882" spans="1:22" s="1192" customFormat="1" ht="14.4" x14ac:dyDescent="0.3">
      <c r="A1882" s="1192" t="s">
        <v>4737</v>
      </c>
      <c r="E1882" s="1743" t="s">
        <v>3435</v>
      </c>
      <c r="F1882" s="1743"/>
      <c r="G1882" s="1743"/>
      <c r="H1882" s="1743"/>
      <c r="K1882" s="1192" t="s">
        <v>4388</v>
      </c>
      <c r="V1882" s="1192">
        <v>379</v>
      </c>
    </row>
    <row r="1883" spans="1:22" s="1192" customFormat="1" ht="14.4" x14ac:dyDescent="0.3">
      <c r="A1883" s="1192" t="s">
        <v>4737</v>
      </c>
      <c r="E1883" s="1743" t="s">
        <v>4632</v>
      </c>
      <c r="F1883" s="1743"/>
      <c r="G1883" s="1743"/>
      <c r="H1883" s="1743"/>
      <c r="K1883" s="1192" t="s">
        <v>4388</v>
      </c>
      <c r="V1883" s="1192">
        <v>680</v>
      </c>
    </row>
    <row r="1884" spans="1:22" s="1192" customFormat="1" ht="14.4" x14ac:dyDescent="0.3">
      <c r="A1884" s="1192" t="s">
        <v>4737</v>
      </c>
      <c r="E1884" s="1743" t="s">
        <v>4644</v>
      </c>
      <c r="F1884" s="1743"/>
      <c r="G1884" s="1743"/>
      <c r="H1884" s="1743"/>
      <c r="K1884" s="1192" t="s">
        <v>4388</v>
      </c>
      <c r="V1884" s="1192">
        <v>693</v>
      </c>
    </row>
    <row r="1885" spans="1:22" s="1192" customFormat="1" ht="14.4" x14ac:dyDescent="0.3">
      <c r="A1885" s="1192" t="s">
        <v>4737</v>
      </c>
      <c r="E1885" s="1743" t="s">
        <v>4500</v>
      </c>
      <c r="F1885" s="1743"/>
      <c r="G1885" s="1743"/>
      <c r="H1885" s="1743"/>
      <c r="K1885" s="1192" t="s">
        <v>4388</v>
      </c>
      <c r="V1885" s="1192">
        <v>247</v>
      </c>
    </row>
    <row r="1886" spans="1:22" s="1192" customFormat="1" ht="14.4" x14ac:dyDescent="0.3">
      <c r="A1886" s="1192" t="s">
        <v>4737</v>
      </c>
      <c r="E1886" s="1748" t="s">
        <v>2394</v>
      </c>
      <c r="F1886" s="1749"/>
      <c r="G1886" s="1749"/>
      <c r="H1886" s="1749"/>
      <c r="K1886" s="1192" t="s">
        <v>2423</v>
      </c>
      <c r="V1886" s="1192">
        <v>46</v>
      </c>
    </row>
    <row r="1887" spans="1:22" s="1192" customFormat="1" ht="14.4" x14ac:dyDescent="0.3">
      <c r="A1887" s="1192" t="s">
        <v>4737</v>
      </c>
      <c r="E1887" s="1740" t="s">
        <v>7</v>
      </c>
      <c r="F1887" s="1740"/>
      <c r="G1887" s="1277" t="s">
        <v>19</v>
      </c>
      <c r="H1887" s="1218">
        <v>107.93</v>
      </c>
      <c r="K1887" s="1192" t="s">
        <v>4388</v>
      </c>
      <c r="L1887" s="1192" t="s">
        <v>430</v>
      </c>
      <c r="P1887" s="1192" t="s">
        <v>4389</v>
      </c>
      <c r="V1887" s="1192">
        <v>14</v>
      </c>
    </row>
    <row r="1888" spans="1:22" s="1192" customFormat="1" ht="14.4" x14ac:dyDescent="0.3">
      <c r="A1888" s="1192" t="s">
        <v>4737</v>
      </c>
      <c r="E1888" s="1740" t="s">
        <v>80</v>
      </c>
      <c r="F1888" s="1740"/>
      <c r="G1888" s="1277" t="s">
        <v>29</v>
      </c>
      <c r="H1888" s="1219">
        <v>4.8056000000000001</v>
      </c>
      <c r="K1888" s="1192" t="s">
        <v>4388</v>
      </c>
      <c r="L1888" s="1192" t="s">
        <v>430</v>
      </c>
      <c r="P1888" s="1192" t="s">
        <v>4390</v>
      </c>
      <c r="V1888" s="1192">
        <v>28</v>
      </c>
    </row>
    <row r="1889" spans="1:22" s="1192" customFormat="1" ht="14.4" x14ac:dyDescent="0.3">
      <c r="A1889" s="1192" t="s">
        <v>4737</v>
      </c>
      <c r="E1889" s="1740" t="s">
        <v>4061</v>
      </c>
      <c r="F1889" s="1740"/>
      <c r="G1889" s="1277" t="s">
        <v>29</v>
      </c>
      <c r="H1889" s="1219">
        <v>0.27150000000000002</v>
      </c>
      <c r="K1889" s="1192" t="s">
        <v>4388</v>
      </c>
      <c r="L1889" s="1192" t="s">
        <v>430</v>
      </c>
      <c r="P1889" s="1192" t="s">
        <v>4400</v>
      </c>
      <c r="T1889" s="1192">
        <v>43951</v>
      </c>
      <c r="V1889" s="1192">
        <v>136</v>
      </c>
    </row>
    <row r="1890" spans="1:22" s="1192" customFormat="1" ht="14.4" x14ac:dyDescent="0.3">
      <c r="A1890" s="1192" t="s">
        <v>4737</v>
      </c>
      <c r="E1890" s="1740" t="s">
        <v>6155</v>
      </c>
      <c r="F1890" s="1740"/>
      <c r="G1890" s="1277" t="s">
        <v>29</v>
      </c>
      <c r="H1890" s="1219">
        <v>-0.13450000000000001</v>
      </c>
      <c r="K1890" s="1192" t="s">
        <v>4388</v>
      </c>
      <c r="L1890" s="1192" t="s">
        <v>431</v>
      </c>
      <c r="P1890" s="1192" t="s">
        <v>4398</v>
      </c>
      <c r="T1890" s="1192">
        <v>44196</v>
      </c>
      <c r="V1890" s="1192">
        <v>162</v>
      </c>
    </row>
    <row r="1891" spans="1:22" s="1192" customFormat="1" ht="14.4" x14ac:dyDescent="0.3">
      <c r="A1891" s="1192" t="s">
        <v>4737</v>
      </c>
      <c r="E1891" s="1740" t="s">
        <v>6156</v>
      </c>
      <c r="F1891" s="1740"/>
      <c r="G1891" s="1277" t="s">
        <v>29</v>
      </c>
      <c r="H1891" s="1219">
        <v>0.25869999999999999</v>
      </c>
      <c r="K1891" s="1192" t="s">
        <v>4388</v>
      </c>
      <c r="L1891" s="1192" t="s">
        <v>431</v>
      </c>
      <c r="P1891" s="1192" t="s">
        <v>4398</v>
      </c>
      <c r="T1891" s="1192">
        <v>44196</v>
      </c>
      <c r="V1891" s="1192">
        <v>148</v>
      </c>
    </row>
    <row r="1892" spans="1:22" s="1192" customFormat="1" ht="14.4" x14ac:dyDescent="0.3">
      <c r="A1892" s="1192" t="s">
        <v>4737</v>
      </c>
      <c r="E1892" s="1740" t="s">
        <v>6151</v>
      </c>
      <c r="F1892" s="1740"/>
      <c r="G1892" s="1277" t="s">
        <v>29</v>
      </c>
      <c r="H1892" s="1219">
        <v>-0.62460000000000004</v>
      </c>
      <c r="K1892" s="1192" t="s">
        <v>4388</v>
      </c>
      <c r="L1892" s="1192" t="s">
        <v>430</v>
      </c>
      <c r="P1892" s="1192" t="s">
        <v>4398</v>
      </c>
      <c r="T1892" s="1192">
        <v>44196</v>
      </c>
      <c r="V1892" s="1192">
        <v>108</v>
      </c>
    </row>
    <row r="1893" spans="1:22" s="1192" customFormat="1" ht="14.4" x14ac:dyDescent="0.3">
      <c r="A1893" s="1192" t="s">
        <v>4737</v>
      </c>
      <c r="E1893" s="1740" t="s">
        <v>6149</v>
      </c>
      <c r="F1893" s="1740"/>
      <c r="G1893" s="1277" t="s">
        <v>29</v>
      </c>
      <c r="H1893" s="1219">
        <v>-1.0448</v>
      </c>
      <c r="K1893" s="1192" t="s">
        <v>4388</v>
      </c>
      <c r="L1893" s="1192" t="s">
        <v>430</v>
      </c>
      <c r="P1893" s="1192" t="s">
        <v>6157</v>
      </c>
      <c r="T1893" s="1192">
        <v>45657</v>
      </c>
      <c r="V1893" s="1192">
        <v>85</v>
      </c>
    </row>
    <row r="1894" spans="1:22" s="1192" customFormat="1" ht="14.4" x14ac:dyDescent="0.3">
      <c r="A1894" s="1192" t="s">
        <v>4737</v>
      </c>
      <c r="E1894" s="1740" t="s">
        <v>6123</v>
      </c>
      <c r="F1894" s="1740"/>
      <c r="G1894" s="1277" t="s">
        <v>29</v>
      </c>
      <c r="H1894" s="1219">
        <v>0.55559999999999998</v>
      </c>
      <c r="K1894" s="1192" t="s">
        <v>4388</v>
      </c>
      <c r="L1894" s="1192" t="s">
        <v>430</v>
      </c>
      <c r="P1894" s="1192" t="s">
        <v>4400</v>
      </c>
      <c r="T1894" s="1192">
        <v>44196</v>
      </c>
      <c r="V1894" s="1192">
        <v>132</v>
      </c>
    </row>
    <row r="1895" spans="1:22" s="1192" customFormat="1" ht="14.4" x14ac:dyDescent="0.3">
      <c r="A1895" s="1192" t="s">
        <v>4737</v>
      </c>
      <c r="E1895" s="1740" t="s">
        <v>6153</v>
      </c>
      <c r="F1895" s="1740"/>
      <c r="G1895" s="1277" t="s">
        <v>20</v>
      </c>
      <c r="H1895" s="1219">
        <v>-3.3999999999999998E-3</v>
      </c>
      <c r="K1895" s="1192" t="s">
        <v>4388</v>
      </c>
      <c r="L1895" s="1192" t="s">
        <v>431</v>
      </c>
      <c r="P1895" s="1192" t="s">
        <v>4397</v>
      </c>
      <c r="T1895" s="1192">
        <v>44196</v>
      </c>
      <c r="V1895" s="1192">
        <v>136</v>
      </c>
    </row>
    <row r="1896" spans="1:22" s="1192" customFormat="1" ht="14.4" x14ac:dyDescent="0.3">
      <c r="A1896" s="1192" t="s">
        <v>4737</v>
      </c>
      <c r="E1896" s="1740" t="s">
        <v>213</v>
      </c>
      <c r="F1896" s="1740"/>
      <c r="G1896" s="1277" t="s">
        <v>29</v>
      </c>
      <c r="H1896" s="1219">
        <v>2.7166000000000001</v>
      </c>
      <c r="K1896" s="1192" t="s">
        <v>4388</v>
      </c>
      <c r="L1896" s="1192" t="s">
        <v>432</v>
      </c>
      <c r="P1896" s="1192" t="s">
        <v>4392</v>
      </c>
      <c r="V1896" s="1192">
        <v>47</v>
      </c>
    </row>
    <row r="1897" spans="1:22" s="1192" customFormat="1" ht="14.4" x14ac:dyDescent="0.3">
      <c r="A1897" s="1192" t="s">
        <v>4737</v>
      </c>
      <c r="E1897" s="1740" t="s">
        <v>5833</v>
      </c>
      <c r="F1897" s="1740"/>
      <c r="G1897" s="1277" t="s">
        <v>29</v>
      </c>
      <c r="H1897" s="1219">
        <v>1.9</v>
      </c>
      <c r="K1897" s="1192" t="s">
        <v>4388</v>
      </c>
      <c r="L1897" s="1192" t="s">
        <v>432</v>
      </c>
      <c r="P1897" s="1192" t="s">
        <v>4393</v>
      </c>
      <c r="V1897" s="1192">
        <v>104</v>
      </c>
    </row>
    <row r="1898" spans="1:22" s="1192" customFormat="1" ht="14.4" x14ac:dyDescent="0.3">
      <c r="A1898" s="1192" t="s">
        <v>4737</v>
      </c>
      <c r="E1898" s="1748" t="s">
        <v>2405</v>
      </c>
      <c r="F1898" s="1740"/>
      <c r="G1898" s="1277"/>
      <c r="H1898" s="896"/>
      <c r="K1898" s="1192" t="s">
        <v>2526</v>
      </c>
      <c r="V1898" s="1192">
        <v>48</v>
      </c>
    </row>
    <row r="1899" spans="1:22" s="1192" customFormat="1" ht="14.4" x14ac:dyDescent="0.3">
      <c r="A1899" s="1192" t="s">
        <v>4737</v>
      </c>
      <c r="E1899" s="1740" t="s">
        <v>2033</v>
      </c>
      <c r="F1899" s="1740"/>
      <c r="G1899" s="1277" t="s">
        <v>20</v>
      </c>
      <c r="H1899" s="1219">
        <v>3.0000000000000001E-3</v>
      </c>
      <c r="K1899" s="1192" t="s">
        <v>4388</v>
      </c>
      <c r="L1899" s="1192" t="s">
        <v>2374</v>
      </c>
      <c r="P1899" s="1192" t="s">
        <v>4394</v>
      </c>
      <c r="V1899" s="1192">
        <v>55</v>
      </c>
    </row>
    <row r="1900" spans="1:22" s="1192" customFormat="1" ht="14.4" x14ac:dyDescent="0.3">
      <c r="A1900" s="1192" t="s">
        <v>4737</v>
      </c>
      <c r="E1900" s="1740" t="s">
        <v>2034</v>
      </c>
      <c r="F1900" s="1740"/>
      <c r="G1900" s="1277" t="s">
        <v>20</v>
      </c>
      <c r="H1900" s="1219">
        <v>4.0000000000000002E-4</v>
      </c>
      <c r="K1900" s="1192" t="s">
        <v>4388</v>
      </c>
      <c r="L1900" s="1192" t="s">
        <v>2374</v>
      </c>
      <c r="P1900" s="1192" t="s">
        <v>4394</v>
      </c>
      <c r="V1900" s="1192">
        <v>65</v>
      </c>
    </row>
    <row r="1901" spans="1:22" s="1192" customFormat="1" ht="14.4" x14ac:dyDescent="0.3">
      <c r="A1901" s="1192" t="s">
        <v>4737</v>
      </c>
      <c r="E1901" s="1740" t="s">
        <v>428</v>
      </c>
      <c r="F1901" s="1740"/>
      <c r="G1901" s="1277" t="s">
        <v>20</v>
      </c>
      <c r="H1901" s="1219">
        <v>5.0000000000000001E-4</v>
      </c>
      <c r="K1901" s="1192" t="s">
        <v>4388</v>
      </c>
      <c r="L1901" s="1192" t="s">
        <v>2374</v>
      </c>
      <c r="P1901" s="1192" t="s">
        <v>4395</v>
      </c>
      <c r="V1901" s="1192">
        <v>57</v>
      </c>
    </row>
    <row r="1902" spans="1:22" s="1192" customFormat="1" ht="14.4" x14ac:dyDescent="0.3">
      <c r="A1902" s="1192" t="s">
        <v>4737</v>
      </c>
      <c r="E1902" s="1740" t="s">
        <v>28</v>
      </c>
      <c r="F1902" s="1740"/>
      <c r="G1902" s="1277" t="s">
        <v>19</v>
      </c>
      <c r="H1902" s="1218">
        <v>0.25</v>
      </c>
      <c r="K1902" s="1192" t="s">
        <v>4388</v>
      </c>
      <c r="L1902" s="1192" t="s">
        <v>2374</v>
      </c>
      <c r="P1902" s="1192" t="s">
        <v>4396</v>
      </c>
      <c r="V1902" s="1192">
        <v>63</v>
      </c>
    </row>
    <row r="1903" spans="1:22" s="1192" customFormat="1" ht="17.399999999999999" x14ac:dyDescent="0.3">
      <c r="A1903" s="1192" t="s">
        <v>4737</v>
      </c>
      <c r="E1903" s="1746" t="s">
        <v>613</v>
      </c>
      <c r="F1903" s="1987"/>
      <c r="G1903" s="1987"/>
      <c r="H1903" s="1987"/>
      <c r="K1903" s="1192" t="s">
        <v>6158</v>
      </c>
      <c r="V1903" s="1192">
        <v>42</v>
      </c>
    </row>
    <row r="1904" spans="1:22" s="1192" customFormat="1" ht="14.4" x14ac:dyDescent="0.3">
      <c r="A1904" s="1192" t="s">
        <v>4737</v>
      </c>
      <c r="E1904" s="1743" t="s">
        <v>3436</v>
      </c>
      <c r="F1904" s="1743"/>
      <c r="G1904" s="1743"/>
      <c r="H1904" s="1743"/>
      <c r="K1904" s="1192" t="s">
        <v>6158</v>
      </c>
      <c r="V1904" s="1192">
        <v>481</v>
      </c>
    </row>
    <row r="1905" spans="1:22" s="1192" customFormat="1" ht="14.4" x14ac:dyDescent="0.3">
      <c r="A1905" s="1192" t="s">
        <v>4737</v>
      </c>
      <c r="E1905" s="1750" t="s">
        <v>2389</v>
      </c>
      <c r="F1905" s="1988"/>
      <c r="G1905" s="1988"/>
      <c r="H1905" s="1988"/>
      <c r="K1905" s="1192" t="s">
        <v>2529</v>
      </c>
      <c r="V1905" s="1192">
        <v>11</v>
      </c>
    </row>
    <row r="1906" spans="1:22" s="1192" customFormat="1" ht="14.4" x14ac:dyDescent="0.3">
      <c r="A1906" s="1192" t="s">
        <v>4737</v>
      </c>
      <c r="E1906" s="1743" t="s">
        <v>2391</v>
      </c>
      <c r="F1906" s="1743"/>
      <c r="G1906" s="1743"/>
      <c r="H1906" s="1743"/>
      <c r="K1906" s="1192" t="s">
        <v>6158</v>
      </c>
      <c r="V1906" s="1192">
        <v>280</v>
      </c>
    </row>
    <row r="1907" spans="1:22" s="1192" customFormat="1" ht="14.4" x14ac:dyDescent="0.3">
      <c r="A1907" s="1192" t="s">
        <v>4737</v>
      </c>
      <c r="E1907" s="1743" t="s">
        <v>2392</v>
      </c>
      <c r="F1907" s="1743"/>
      <c r="G1907" s="1743"/>
      <c r="H1907" s="1743"/>
      <c r="K1907" s="1192" t="s">
        <v>6158</v>
      </c>
      <c r="V1907" s="1192">
        <v>411</v>
      </c>
    </row>
    <row r="1908" spans="1:22" s="1192" customFormat="1" ht="14.4" x14ac:dyDescent="0.3">
      <c r="A1908" s="1192" t="s">
        <v>4737</v>
      </c>
      <c r="E1908" s="1743" t="s">
        <v>3435</v>
      </c>
      <c r="F1908" s="1743"/>
      <c r="G1908" s="1743"/>
      <c r="H1908" s="1743"/>
      <c r="K1908" s="1192" t="s">
        <v>6158</v>
      </c>
      <c r="V1908" s="1192">
        <v>379</v>
      </c>
    </row>
    <row r="1909" spans="1:22" s="1192" customFormat="1" ht="14.4" x14ac:dyDescent="0.3">
      <c r="A1909" s="1192" t="s">
        <v>4737</v>
      </c>
      <c r="E1909" s="1743" t="s">
        <v>4632</v>
      </c>
      <c r="F1909" s="1743"/>
      <c r="G1909" s="1743"/>
      <c r="H1909" s="1743"/>
      <c r="K1909" s="1192" t="s">
        <v>6158</v>
      </c>
      <c r="V1909" s="1192">
        <v>680</v>
      </c>
    </row>
    <row r="1910" spans="1:22" s="1192" customFormat="1" ht="14.4" x14ac:dyDescent="0.3">
      <c r="A1910" s="1192" t="s">
        <v>4737</v>
      </c>
      <c r="E1910" s="1743" t="s">
        <v>4644</v>
      </c>
      <c r="F1910" s="1743"/>
      <c r="G1910" s="1743"/>
      <c r="H1910" s="1743"/>
      <c r="K1910" s="1192" t="s">
        <v>6158</v>
      </c>
      <c r="V1910" s="1192">
        <v>693</v>
      </c>
    </row>
    <row r="1911" spans="1:22" s="1192" customFormat="1" ht="14.4" x14ac:dyDescent="0.3">
      <c r="A1911" s="1192" t="s">
        <v>4737</v>
      </c>
      <c r="E1911" s="1743" t="s">
        <v>4500</v>
      </c>
      <c r="F1911" s="1743"/>
      <c r="G1911" s="1743"/>
      <c r="H1911" s="1743"/>
      <c r="K1911" s="1192" t="s">
        <v>6158</v>
      </c>
      <c r="V1911" s="1192">
        <v>247</v>
      </c>
    </row>
    <row r="1912" spans="1:22" s="1192" customFormat="1" ht="14.4" x14ac:dyDescent="0.3">
      <c r="A1912" s="1192" t="s">
        <v>4737</v>
      </c>
      <c r="E1912" s="1748" t="s">
        <v>2394</v>
      </c>
      <c r="F1912" s="1749"/>
      <c r="G1912" s="1749"/>
      <c r="H1912" s="1749"/>
      <c r="K1912" s="1192" t="s">
        <v>2531</v>
      </c>
      <c r="V1912" s="1192">
        <v>46</v>
      </c>
    </row>
    <row r="1913" spans="1:22" s="1192" customFormat="1" ht="14.4" x14ac:dyDescent="0.3">
      <c r="A1913" s="1192" t="s">
        <v>4737</v>
      </c>
      <c r="E1913" s="1740" t="s">
        <v>7</v>
      </c>
      <c r="F1913" s="1740"/>
      <c r="G1913" s="1277" t="s">
        <v>19</v>
      </c>
      <c r="H1913" s="1218">
        <v>9072.4599999999991</v>
      </c>
      <c r="K1913" s="1192" t="s">
        <v>6158</v>
      </c>
      <c r="L1913" s="1192" t="s">
        <v>430</v>
      </c>
      <c r="P1913" s="1192" t="s">
        <v>6159</v>
      </c>
      <c r="V1913" s="1192">
        <v>14</v>
      </c>
    </row>
    <row r="1914" spans="1:22" s="1192" customFormat="1" ht="14.4" x14ac:dyDescent="0.3">
      <c r="A1914" s="1192" t="s">
        <v>4737</v>
      </c>
      <c r="E1914" s="1740" t="s">
        <v>80</v>
      </c>
      <c r="F1914" s="1740"/>
      <c r="G1914" s="1277" t="s">
        <v>29</v>
      </c>
      <c r="H1914" s="1219">
        <v>2.6920999999999999</v>
      </c>
      <c r="K1914" s="1192" t="s">
        <v>6158</v>
      </c>
      <c r="L1914" s="1192" t="s">
        <v>430</v>
      </c>
      <c r="P1914" s="1192" t="s">
        <v>6160</v>
      </c>
      <c r="V1914" s="1192">
        <v>28</v>
      </c>
    </row>
    <row r="1915" spans="1:22" s="1192" customFormat="1" ht="14.4" x14ac:dyDescent="0.3">
      <c r="A1915" s="1192" t="s">
        <v>4737</v>
      </c>
      <c r="E1915" s="1740" t="s">
        <v>4058</v>
      </c>
      <c r="F1915" s="1740"/>
      <c r="G1915" s="1277" t="s">
        <v>29</v>
      </c>
      <c r="H1915" s="1219">
        <v>0.1492</v>
      </c>
      <c r="K1915" s="1192" t="s">
        <v>6158</v>
      </c>
      <c r="L1915" s="1192" t="s">
        <v>430</v>
      </c>
      <c r="P1915" s="1192" t="s">
        <v>6161</v>
      </c>
      <c r="T1915" s="1192">
        <v>43951</v>
      </c>
      <c r="V1915" s="1192">
        <v>137</v>
      </c>
    </row>
    <row r="1916" spans="1:22" s="1192" customFormat="1" ht="14.4" x14ac:dyDescent="0.3">
      <c r="A1916" s="1192" t="s">
        <v>4737</v>
      </c>
      <c r="E1916" s="1740" t="s">
        <v>6155</v>
      </c>
      <c r="F1916" s="1740"/>
      <c r="G1916" s="1277" t="s">
        <v>29</v>
      </c>
      <c r="H1916" s="1219">
        <v>-0.18759999999999999</v>
      </c>
      <c r="K1916" s="1192" t="s">
        <v>6158</v>
      </c>
      <c r="L1916" s="1192" t="s">
        <v>431</v>
      </c>
      <c r="P1916" s="1192" t="s">
        <v>6162</v>
      </c>
      <c r="T1916" s="1192">
        <v>44196</v>
      </c>
      <c r="V1916" s="1192">
        <v>162</v>
      </c>
    </row>
    <row r="1917" spans="1:22" s="1192" customFormat="1" ht="14.4" x14ac:dyDescent="0.3">
      <c r="A1917" s="1192" t="s">
        <v>4737</v>
      </c>
      <c r="E1917" s="1740" t="s">
        <v>6156</v>
      </c>
      <c r="F1917" s="1740"/>
      <c r="G1917" s="1277" t="s">
        <v>29</v>
      </c>
      <c r="H1917" s="1219">
        <v>0.3579</v>
      </c>
      <c r="K1917" s="1192" t="s">
        <v>6158</v>
      </c>
      <c r="L1917" s="1192" t="s">
        <v>431</v>
      </c>
      <c r="P1917" s="1192" t="s">
        <v>6162</v>
      </c>
      <c r="T1917" s="1192">
        <v>44196</v>
      </c>
      <c r="V1917" s="1192">
        <v>148</v>
      </c>
    </row>
    <row r="1918" spans="1:22" s="1192" customFormat="1" ht="14.4" x14ac:dyDescent="0.3">
      <c r="A1918" s="1192" t="s">
        <v>4737</v>
      </c>
      <c r="E1918" s="1740" t="s">
        <v>6151</v>
      </c>
      <c r="F1918" s="1740"/>
      <c r="G1918" s="1277" t="s">
        <v>29</v>
      </c>
      <c r="H1918" s="1219">
        <v>-0.89590000000000003</v>
      </c>
      <c r="K1918" s="1192" t="s">
        <v>6158</v>
      </c>
      <c r="L1918" s="1192" t="s">
        <v>430</v>
      </c>
      <c r="P1918" s="1192" t="s">
        <v>6162</v>
      </c>
      <c r="T1918" s="1192">
        <v>44196</v>
      </c>
      <c r="V1918" s="1192">
        <v>108</v>
      </c>
    </row>
    <row r="1919" spans="1:22" s="1192" customFormat="1" ht="14.4" x14ac:dyDescent="0.3">
      <c r="A1919" s="1192" t="s">
        <v>4737</v>
      </c>
      <c r="E1919" s="1740" t="s">
        <v>6149</v>
      </c>
      <c r="F1919" s="1740"/>
      <c r="G1919" s="1277" t="s">
        <v>29</v>
      </c>
      <c r="H1919" s="1219">
        <v>-1.4985999999999999</v>
      </c>
      <c r="K1919" s="1192" t="s">
        <v>6158</v>
      </c>
      <c r="L1919" s="1192" t="s">
        <v>430</v>
      </c>
      <c r="P1919" s="1192" t="s">
        <v>6163</v>
      </c>
      <c r="T1919" s="1192">
        <v>45657</v>
      </c>
      <c r="V1919" s="1192">
        <v>85</v>
      </c>
    </row>
    <row r="1920" spans="1:22" s="1192" customFormat="1" ht="14.4" x14ac:dyDescent="0.3">
      <c r="A1920" s="1192" t="s">
        <v>4737</v>
      </c>
      <c r="E1920" s="1740" t="s">
        <v>6123</v>
      </c>
      <c r="F1920" s="1740"/>
      <c r="G1920" s="1277" t="s">
        <v>29</v>
      </c>
      <c r="H1920" s="1219">
        <v>0.23080000000000001</v>
      </c>
      <c r="K1920" s="1192" t="s">
        <v>6158</v>
      </c>
      <c r="L1920" s="1192" t="s">
        <v>430</v>
      </c>
      <c r="P1920" s="1192" t="s">
        <v>6161</v>
      </c>
      <c r="T1920" s="1192">
        <v>44196</v>
      </c>
      <c r="V1920" s="1192">
        <v>132</v>
      </c>
    </row>
    <row r="1921" spans="1:22" s="1192" customFormat="1" ht="14.4" x14ac:dyDescent="0.3">
      <c r="A1921" s="1192" t="s">
        <v>4737</v>
      </c>
      <c r="E1921" s="1740" t="s">
        <v>6153</v>
      </c>
      <c r="F1921" s="1740"/>
      <c r="G1921" s="1277" t="s">
        <v>20</v>
      </c>
      <c r="H1921" s="1219">
        <v>-3.3999999999999998E-3</v>
      </c>
      <c r="K1921" s="1192" t="s">
        <v>6158</v>
      </c>
      <c r="L1921" s="1192" t="s">
        <v>431</v>
      </c>
      <c r="P1921" s="1192" t="s">
        <v>6164</v>
      </c>
      <c r="T1921" s="1192">
        <v>44196</v>
      </c>
      <c r="V1921" s="1192">
        <v>136</v>
      </c>
    </row>
    <row r="1922" spans="1:22" s="1192" customFormat="1" ht="14.4" x14ac:dyDescent="0.3">
      <c r="A1922" s="1192" t="s">
        <v>4737</v>
      </c>
      <c r="E1922" s="1740" t="s">
        <v>213</v>
      </c>
      <c r="F1922" s="1740"/>
      <c r="G1922" s="1277" t="s">
        <v>29</v>
      </c>
      <c r="H1922" s="1219">
        <v>3.7385000000000002</v>
      </c>
      <c r="K1922" s="1192" t="s">
        <v>6158</v>
      </c>
      <c r="L1922" s="1192" t="s">
        <v>432</v>
      </c>
      <c r="P1922" s="1192" t="s">
        <v>6165</v>
      </c>
      <c r="V1922" s="1192">
        <v>47</v>
      </c>
    </row>
    <row r="1923" spans="1:22" s="1192" customFormat="1" ht="14.4" x14ac:dyDescent="0.3">
      <c r="A1923" s="1192" t="s">
        <v>4737</v>
      </c>
      <c r="E1923" s="1740" t="s">
        <v>6166</v>
      </c>
      <c r="F1923" s="1740"/>
      <c r="G1923" s="1277" t="s">
        <v>29</v>
      </c>
      <c r="H1923" s="1219">
        <v>0.75819999999999999</v>
      </c>
      <c r="K1923" s="1192" t="s">
        <v>6158</v>
      </c>
      <c r="L1923" s="1192" t="s">
        <v>432</v>
      </c>
      <c r="P1923" s="1192" t="s">
        <v>6167</v>
      </c>
      <c r="V1923" s="1192">
        <v>85</v>
      </c>
    </row>
    <row r="1924" spans="1:22" s="1192" customFormat="1" ht="14.4" x14ac:dyDescent="0.3">
      <c r="A1924" s="1192" t="s">
        <v>4737</v>
      </c>
      <c r="E1924" s="1740" t="s">
        <v>6168</v>
      </c>
      <c r="F1924" s="1740"/>
      <c r="G1924" s="1277" t="s">
        <v>29</v>
      </c>
      <c r="H1924" s="1219">
        <v>1.8879999999999999</v>
      </c>
      <c r="K1924" s="1192" t="s">
        <v>6158</v>
      </c>
      <c r="L1924" s="1192" t="s">
        <v>432</v>
      </c>
      <c r="P1924" s="1192" t="s">
        <v>6169</v>
      </c>
      <c r="V1924" s="1192">
        <v>96</v>
      </c>
    </row>
    <row r="1925" spans="1:22" s="1192" customFormat="1" ht="14.4" x14ac:dyDescent="0.3">
      <c r="A1925" s="1192" t="s">
        <v>4737</v>
      </c>
      <c r="E1925" s="1748" t="s">
        <v>2405</v>
      </c>
      <c r="F1925" s="1740"/>
      <c r="G1925" s="1277"/>
      <c r="H1925" s="896"/>
      <c r="K1925" s="1192" t="s">
        <v>2532</v>
      </c>
      <c r="V1925" s="1192">
        <v>48</v>
      </c>
    </row>
    <row r="1926" spans="1:22" s="1192" customFormat="1" ht="14.4" x14ac:dyDescent="0.3">
      <c r="A1926" s="1192" t="s">
        <v>4737</v>
      </c>
      <c r="E1926" s="1740" t="s">
        <v>2033</v>
      </c>
      <c r="F1926" s="1740"/>
      <c r="G1926" s="1277" t="s">
        <v>20</v>
      </c>
      <c r="H1926" s="1219">
        <v>3.0000000000000001E-3</v>
      </c>
      <c r="K1926" s="1192" t="s">
        <v>6158</v>
      </c>
      <c r="L1926" s="1192" t="s">
        <v>2374</v>
      </c>
      <c r="P1926" s="1192" t="s">
        <v>6170</v>
      </c>
      <c r="V1926" s="1192">
        <v>55</v>
      </c>
    </row>
    <row r="1927" spans="1:22" s="1192" customFormat="1" ht="14.4" x14ac:dyDescent="0.3">
      <c r="A1927" s="1192" t="s">
        <v>4737</v>
      </c>
      <c r="E1927" s="1740" t="s">
        <v>2034</v>
      </c>
      <c r="F1927" s="1740"/>
      <c r="G1927" s="1277" t="s">
        <v>20</v>
      </c>
      <c r="H1927" s="1219">
        <v>4.0000000000000002E-4</v>
      </c>
      <c r="K1927" s="1192" t="s">
        <v>6158</v>
      </c>
      <c r="L1927" s="1192" t="s">
        <v>2374</v>
      </c>
      <c r="P1927" s="1192" t="s">
        <v>6170</v>
      </c>
      <c r="V1927" s="1192">
        <v>65</v>
      </c>
    </row>
    <row r="1928" spans="1:22" s="1192" customFormat="1" ht="14.4" x14ac:dyDescent="0.3">
      <c r="A1928" s="1192" t="s">
        <v>4737</v>
      </c>
      <c r="E1928" s="1740" t="s">
        <v>428</v>
      </c>
      <c r="F1928" s="1740"/>
      <c r="G1928" s="1277" t="s">
        <v>20</v>
      </c>
      <c r="H1928" s="1219">
        <v>5.0000000000000001E-4</v>
      </c>
      <c r="K1928" s="1192" t="s">
        <v>6158</v>
      </c>
      <c r="L1928" s="1192" t="s">
        <v>2374</v>
      </c>
      <c r="P1928" s="1192" t="s">
        <v>6171</v>
      </c>
      <c r="V1928" s="1192">
        <v>57</v>
      </c>
    </row>
    <row r="1929" spans="1:22" s="1192" customFormat="1" ht="14.4" x14ac:dyDescent="0.3">
      <c r="A1929" s="1192" t="s">
        <v>4737</v>
      </c>
      <c r="E1929" s="1740" t="s">
        <v>28</v>
      </c>
      <c r="F1929" s="1740"/>
      <c r="G1929" s="1277" t="s">
        <v>19</v>
      </c>
      <c r="H1929" s="1218">
        <v>0.25</v>
      </c>
      <c r="K1929" s="1192" t="s">
        <v>6158</v>
      </c>
      <c r="L1929" s="1192" t="s">
        <v>2374</v>
      </c>
      <c r="P1929" s="1192" t="s">
        <v>6172</v>
      </c>
      <c r="V1929" s="1192">
        <v>63</v>
      </c>
    </row>
    <row r="1930" spans="1:22" s="1192" customFormat="1" ht="17.399999999999999" x14ac:dyDescent="0.3">
      <c r="A1930" s="1192" t="s">
        <v>4737</v>
      </c>
      <c r="E1930" s="1746" t="s">
        <v>614</v>
      </c>
      <c r="F1930" s="1987"/>
      <c r="G1930" s="1987"/>
      <c r="H1930" s="1987"/>
      <c r="K1930" s="1192" t="s">
        <v>6173</v>
      </c>
      <c r="V1930" s="1192">
        <v>38</v>
      </c>
    </row>
    <row r="1931" spans="1:22" s="1192" customFormat="1" ht="14.4" x14ac:dyDescent="0.3">
      <c r="A1931" s="1192" t="s">
        <v>4737</v>
      </c>
      <c r="E1931" s="1743" t="s">
        <v>3437</v>
      </c>
      <c r="F1931" s="1743"/>
      <c r="G1931" s="1743"/>
      <c r="H1931" s="1743"/>
      <c r="K1931" s="1192" t="s">
        <v>6173</v>
      </c>
      <c r="V1931" s="1192">
        <v>365</v>
      </c>
    </row>
    <row r="1932" spans="1:22" s="1192" customFormat="1" ht="14.4" x14ac:dyDescent="0.3">
      <c r="A1932" s="1192" t="s">
        <v>4737</v>
      </c>
      <c r="E1932" s="1750" t="s">
        <v>2389</v>
      </c>
      <c r="F1932" s="1988"/>
      <c r="G1932" s="1988"/>
      <c r="H1932" s="1988"/>
      <c r="K1932" s="1192" t="s">
        <v>2424</v>
      </c>
      <c r="V1932" s="1192">
        <v>11</v>
      </c>
    </row>
    <row r="1933" spans="1:22" s="1192" customFormat="1" ht="14.4" x14ac:dyDescent="0.3">
      <c r="A1933" s="1192" t="s">
        <v>4737</v>
      </c>
      <c r="E1933" s="1743" t="s">
        <v>2391</v>
      </c>
      <c r="F1933" s="1743"/>
      <c r="G1933" s="1743"/>
      <c r="H1933" s="1743"/>
      <c r="K1933" s="1192" t="s">
        <v>6173</v>
      </c>
      <c r="V1933" s="1192">
        <v>280</v>
      </c>
    </row>
    <row r="1934" spans="1:22" s="1192" customFormat="1" ht="14.4" x14ac:dyDescent="0.3">
      <c r="A1934" s="1192" t="s">
        <v>4737</v>
      </c>
      <c r="E1934" s="1743" t="s">
        <v>2392</v>
      </c>
      <c r="F1934" s="1743"/>
      <c r="G1934" s="1743"/>
      <c r="H1934" s="1743"/>
      <c r="K1934" s="1192" t="s">
        <v>6173</v>
      </c>
      <c r="V1934" s="1192">
        <v>411</v>
      </c>
    </row>
    <row r="1935" spans="1:22" s="1192" customFormat="1" ht="14.4" x14ac:dyDescent="0.3">
      <c r="A1935" s="1192" t="s">
        <v>4737</v>
      </c>
      <c r="E1935" s="1743" t="s">
        <v>3435</v>
      </c>
      <c r="F1935" s="1743"/>
      <c r="G1935" s="1743"/>
      <c r="H1935" s="1743"/>
      <c r="K1935" s="1192" t="s">
        <v>6173</v>
      </c>
      <c r="V1935" s="1192">
        <v>379</v>
      </c>
    </row>
    <row r="1936" spans="1:22" s="1192" customFormat="1" ht="14.4" x14ac:dyDescent="0.3">
      <c r="A1936" s="1192" t="s">
        <v>4737</v>
      </c>
      <c r="E1936" s="1743" t="s">
        <v>4632</v>
      </c>
      <c r="F1936" s="1743"/>
      <c r="G1936" s="1743"/>
      <c r="H1936" s="1743"/>
      <c r="K1936" s="1192" t="s">
        <v>6173</v>
      </c>
      <c r="V1936" s="1192">
        <v>680</v>
      </c>
    </row>
    <row r="1937" spans="1:22" s="1192" customFormat="1" ht="14.4" x14ac:dyDescent="0.3">
      <c r="A1937" s="1192" t="s">
        <v>4737</v>
      </c>
      <c r="E1937" s="1743" t="s">
        <v>4500</v>
      </c>
      <c r="F1937" s="1743"/>
      <c r="G1937" s="1743"/>
      <c r="H1937" s="1743"/>
      <c r="K1937" s="1192" t="s">
        <v>6173</v>
      </c>
      <c r="V1937" s="1192">
        <v>247</v>
      </c>
    </row>
    <row r="1938" spans="1:22" s="1192" customFormat="1" ht="14.4" x14ac:dyDescent="0.3">
      <c r="A1938" s="1192" t="s">
        <v>4737</v>
      </c>
      <c r="E1938" s="1748" t="s">
        <v>2394</v>
      </c>
      <c r="F1938" s="1749"/>
      <c r="G1938" s="1749"/>
      <c r="H1938" s="1749"/>
      <c r="K1938" s="1192" t="s">
        <v>2425</v>
      </c>
      <c r="V1938" s="1192">
        <v>46</v>
      </c>
    </row>
    <row r="1939" spans="1:22" s="1192" customFormat="1" ht="14.4" x14ac:dyDescent="0.3">
      <c r="A1939" s="1192" t="s">
        <v>4737</v>
      </c>
      <c r="E1939" s="1740" t="s">
        <v>7</v>
      </c>
      <c r="F1939" s="1740"/>
      <c r="G1939" s="1277" t="s">
        <v>19</v>
      </c>
      <c r="H1939" s="1218">
        <v>38504.89</v>
      </c>
      <c r="K1939" s="1192" t="s">
        <v>6173</v>
      </c>
      <c r="L1939" s="1192" t="s">
        <v>430</v>
      </c>
      <c r="P1939" s="1192" t="s">
        <v>6174</v>
      </c>
      <c r="V1939" s="1192">
        <v>14</v>
      </c>
    </row>
    <row r="1940" spans="1:22" s="1192" customFormat="1" ht="14.4" x14ac:dyDescent="0.3">
      <c r="A1940" s="1192" t="s">
        <v>4737</v>
      </c>
      <c r="E1940" s="1740" t="s">
        <v>80</v>
      </c>
      <c r="F1940" s="1740"/>
      <c r="G1940" s="1277" t="s">
        <v>29</v>
      </c>
      <c r="H1940" s="1219">
        <v>3.6646999999999998</v>
      </c>
      <c r="K1940" s="1192" t="s">
        <v>6173</v>
      </c>
      <c r="L1940" s="1192" t="s">
        <v>430</v>
      </c>
      <c r="P1940" s="1192" t="s">
        <v>6175</v>
      </c>
      <c r="V1940" s="1192">
        <v>28</v>
      </c>
    </row>
    <row r="1941" spans="1:22" s="1192" customFormat="1" ht="14.4" x14ac:dyDescent="0.3">
      <c r="A1941" s="1192" t="s">
        <v>4737</v>
      </c>
      <c r="E1941" s="1740" t="s">
        <v>4058</v>
      </c>
      <c r="F1941" s="1740"/>
      <c r="G1941" s="1277" t="s">
        <v>29</v>
      </c>
      <c r="H1941" s="1219">
        <v>0.33900000000000002</v>
      </c>
      <c r="K1941" s="1192" t="s">
        <v>6173</v>
      </c>
      <c r="L1941" s="1192" t="s">
        <v>430</v>
      </c>
      <c r="P1941" s="1192" t="s">
        <v>6176</v>
      </c>
      <c r="T1941" s="1192">
        <v>43951</v>
      </c>
      <c r="V1941" s="1192">
        <v>137</v>
      </c>
    </row>
    <row r="1942" spans="1:22" s="1192" customFormat="1" ht="14.4" x14ac:dyDescent="0.3">
      <c r="A1942" s="1192" t="s">
        <v>4737</v>
      </c>
      <c r="E1942" s="1740" t="s">
        <v>6155</v>
      </c>
      <c r="F1942" s="1740"/>
      <c r="G1942" s="1277" t="s">
        <v>29</v>
      </c>
      <c r="H1942" s="1219">
        <v>-0.18840000000000001</v>
      </c>
      <c r="K1942" s="1192" t="s">
        <v>6173</v>
      </c>
      <c r="L1942" s="1192" t="s">
        <v>431</v>
      </c>
      <c r="P1942" s="1192" t="s">
        <v>6177</v>
      </c>
      <c r="T1942" s="1192">
        <v>44196</v>
      </c>
      <c r="V1942" s="1192">
        <v>162</v>
      </c>
    </row>
    <row r="1943" spans="1:22" s="1192" customFormat="1" ht="14.4" x14ac:dyDescent="0.3">
      <c r="A1943" s="1192" t="s">
        <v>4737</v>
      </c>
      <c r="E1943" s="1740" t="s">
        <v>6156</v>
      </c>
      <c r="F1943" s="1740"/>
      <c r="G1943" s="1277" t="s">
        <v>29</v>
      </c>
      <c r="H1943" s="1219">
        <v>0.35620000000000002</v>
      </c>
      <c r="K1943" s="1192" t="s">
        <v>6173</v>
      </c>
      <c r="L1943" s="1192" t="s">
        <v>431</v>
      </c>
      <c r="P1943" s="1192" t="s">
        <v>6177</v>
      </c>
      <c r="T1943" s="1192">
        <v>44196</v>
      </c>
      <c r="V1943" s="1192">
        <v>148</v>
      </c>
    </row>
    <row r="1944" spans="1:22" s="1192" customFormat="1" ht="14.4" x14ac:dyDescent="0.3">
      <c r="A1944" s="1192" t="s">
        <v>4737</v>
      </c>
      <c r="E1944" s="1740" t="s">
        <v>6151</v>
      </c>
      <c r="F1944" s="1740"/>
      <c r="G1944" s="1277" t="s">
        <v>29</v>
      </c>
      <c r="H1944" s="1219">
        <v>-0.8498</v>
      </c>
      <c r="K1944" s="1192" t="s">
        <v>6173</v>
      </c>
      <c r="L1944" s="1192" t="s">
        <v>430</v>
      </c>
      <c r="P1944" s="1192" t="s">
        <v>6177</v>
      </c>
      <c r="T1944" s="1192">
        <v>44196</v>
      </c>
      <c r="V1944" s="1192">
        <v>108</v>
      </c>
    </row>
    <row r="1945" spans="1:22" s="1192" customFormat="1" ht="14.4" x14ac:dyDescent="0.3">
      <c r="A1945" s="1192" t="s">
        <v>4737</v>
      </c>
      <c r="E1945" s="1740" t="s">
        <v>6149</v>
      </c>
      <c r="F1945" s="1740"/>
      <c r="G1945" s="1277" t="s">
        <v>29</v>
      </c>
      <c r="H1945" s="1219">
        <v>-1.4215</v>
      </c>
      <c r="K1945" s="1192" t="s">
        <v>6173</v>
      </c>
      <c r="L1945" s="1192" t="s">
        <v>430</v>
      </c>
      <c r="P1945" s="1192" t="s">
        <v>6178</v>
      </c>
      <c r="T1945" s="1192">
        <v>45657</v>
      </c>
      <c r="V1945" s="1192">
        <v>85</v>
      </c>
    </row>
    <row r="1946" spans="1:22" s="1192" customFormat="1" ht="14.4" x14ac:dyDescent="0.3">
      <c r="A1946" s="1192" t="s">
        <v>4737</v>
      </c>
      <c r="E1946" s="1740" t="s">
        <v>6123</v>
      </c>
      <c r="F1946" s="1740"/>
      <c r="G1946" s="1277" t="s">
        <v>29</v>
      </c>
      <c r="H1946" s="1219">
        <v>0.55430000000000001</v>
      </c>
      <c r="K1946" s="1192" t="s">
        <v>6173</v>
      </c>
      <c r="L1946" s="1192" t="s">
        <v>430</v>
      </c>
      <c r="P1946" s="1192" t="s">
        <v>6176</v>
      </c>
      <c r="T1946" s="1192">
        <v>44196</v>
      </c>
      <c r="V1946" s="1192">
        <v>132</v>
      </c>
    </row>
    <row r="1947" spans="1:22" s="1192" customFormat="1" ht="14.4" x14ac:dyDescent="0.3">
      <c r="A1947" s="1192" t="s">
        <v>4737</v>
      </c>
      <c r="E1947" s="1740" t="s">
        <v>213</v>
      </c>
      <c r="F1947" s="1740"/>
      <c r="G1947" s="1277" t="s">
        <v>29</v>
      </c>
      <c r="H1947" s="1219">
        <v>3.7385000000000002</v>
      </c>
      <c r="K1947" s="1192" t="s">
        <v>6173</v>
      </c>
      <c r="L1947" s="1192" t="s">
        <v>432</v>
      </c>
      <c r="P1947" s="1192" t="s">
        <v>6179</v>
      </c>
      <c r="V1947" s="1192">
        <v>47</v>
      </c>
    </row>
    <row r="1948" spans="1:22" s="1192" customFormat="1" ht="14.4" x14ac:dyDescent="0.3">
      <c r="A1948" s="1192" t="s">
        <v>4737</v>
      </c>
      <c r="E1948" s="1740" t="s">
        <v>6166</v>
      </c>
      <c r="F1948" s="1740"/>
      <c r="G1948" s="1277" t="s">
        <v>29</v>
      </c>
      <c r="H1948" s="1219">
        <v>0.75819999999999999</v>
      </c>
      <c r="K1948" s="1192" t="s">
        <v>6173</v>
      </c>
      <c r="L1948" s="1192" t="s">
        <v>432</v>
      </c>
      <c r="P1948" s="1192" t="s">
        <v>6180</v>
      </c>
      <c r="V1948" s="1192">
        <v>85</v>
      </c>
    </row>
    <row r="1949" spans="1:22" s="1192" customFormat="1" ht="14.4" x14ac:dyDescent="0.3">
      <c r="A1949" s="1192" t="s">
        <v>4737</v>
      </c>
      <c r="E1949" s="1748" t="s">
        <v>2405</v>
      </c>
      <c r="F1949" s="1740"/>
      <c r="G1949" s="1277"/>
      <c r="H1949" s="896"/>
      <c r="K1949" s="1192" t="s">
        <v>2427</v>
      </c>
      <c r="V1949" s="1192">
        <v>48</v>
      </c>
    </row>
    <row r="1950" spans="1:22" s="1192" customFormat="1" ht="14.4" x14ac:dyDescent="0.3">
      <c r="A1950" s="1192" t="s">
        <v>4737</v>
      </c>
      <c r="E1950" s="1740" t="s">
        <v>2033</v>
      </c>
      <c r="F1950" s="1740"/>
      <c r="G1950" s="1277" t="s">
        <v>20</v>
      </c>
      <c r="H1950" s="1219">
        <v>3.0000000000000001E-3</v>
      </c>
      <c r="K1950" s="1192" t="s">
        <v>6173</v>
      </c>
      <c r="L1950" s="1192" t="s">
        <v>2374</v>
      </c>
      <c r="P1950" s="1192" t="s">
        <v>6181</v>
      </c>
      <c r="V1950" s="1192">
        <v>55</v>
      </c>
    </row>
    <row r="1951" spans="1:22" s="1192" customFormat="1" ht="14.4" x14ac:dyDescent="0.3">
      <c r="A1951" s="1192" t="s">
        <v>4737</v>
      </c>
      <c r="E1951" s="1740" t="s">
        <v>2034</v>
      </c>
      <c r="F1951" s="1740"/>
      <c r="G1951" s="1277" t="s">
        <v>20</v>
      </c>
      <c r="H1951" s="1219">
        <v>4.0000000000000002E-4</v>
      </c>
      <c r="K1951" s="1192" t="s">
        <v>6173</v>
      </c>
      <c r="L1951" s="1192" t="s">
        <v>2374</v>
      </c>
      <c r="P1951" s="1192" t="s">
        <v>6181</v>
      </c>
      <c r="V1951" s="1192">
        <v>65</v>
      </c>
    </row>
    <row r="1952" spans="1:22" s="1192" customFormat="1" ht="14.4" x14ac:dyDescent="0.3">
      <c r="A1952" s="1192" t="s">
        <v>4737</v>
      </c>
      <c r="E1952" s="1740" t="s">
        <v>428</v>
      </c>
      <c r="F1952" s="1740"/>
      <c r="G1952" s="1277" t="s">
        <v>20</v>
      </c>
      <c r="H1952" s="1219">
        <v>5.0000000000000001E-4</v>
      </c>
      <c r="K1952" s="1192" t="s">
        <v>6173</v>
      </c>
      <c r="L1952" s="1192" t="s">
        <v>2374</v>
      </c>
      <c r="P1952" s="1192" t="s">
        <v>6182</v>
      </c>
      <c r="V1952" s="1192">
        <v>57</v>
      </c>
    </row>
    <row r="1953" spans="1:22" s="1192" customFormat="1" ht="14.4" x14ac:dyDescent="0.3">
      <c r="A1953" s="1192" t="s">
        <v>4737</v>
      </c>
      <c r="E1953" s="1740" t="s">
        <v>28</v>
      </c>
      <c r="F1953" s="1740"/>
      <c r="G1953" s="1277" t="s">
        <v>19</v>
      </c>
      <c r="H1953" s="1218">
        <v>0.25</v>
      </c>
      <c r="K1953" s="1192" t="s">
        <v>6173</v>
      </c>
      <c r="L1953" s="1192" t="s">
        <v>2374</v>
      </c>
      <c r="P1953" s="1192" t="s">
        <v>6183</v>
      </c>
      <c r="V1953" s="1192">
        <v>63</v>
      </c>
    </row>
    <row r="1954" spans="1:22" s="1192" customFormat="1" ht="17.399999999999999" x14ac:dyDescent="0.3">
      <c r="A1954" s="1192" t="s">
        <v>4737</v>
      </c>
      <c r="E1954" s="1746" t="s">
        <v>592</v>
      </c>
      <c r="F1954" s="1987"/>
      <c r="G1954" s="1987"/>
      <c r="H1954" s="1987"/>
      <c r="K1954" s="1192" t="s">
        <v>2543</v>
      </c>
      <c r="V1954" s="1192">
        <v>47</v>
      </c>
    </row>
    <row r="1955" spans="1:22" s="1192" customFormat="1" ht="14.4" x14ac:dyDescent="0.3">
      <c r="A1955" s="1192" t="s">
        <v>4737</v>
      </c>
      <c r="E1955" s="1743" t="s">
        <v>3438</v>
      </c>
      <c r="F1955" s="1743"/>
      <c r="G1955" s="1743"/>
      <c r="H1955" s="1743"/>
      <c r="K1955" s="1192" t="s">
        <v>2543</v>
      </c>
      <c r="V1955" s="1192">
        <v>472</v>
      </c>
    </row>
    <row r="1956" spans="1:22" s="1192" customFormat="1" ht="14.4" x14ac:dyDescent="0.3">
      <c r="A1956" s="1192" t="s">
        <v>4737</v>
      </c>
      <c r="E1956" s="1750" t="s">
        <v>2389</v>
      </c>
      <c r="F1956" s="1988"/>
      <c r="G1956" s="1988"/>
      <c r="H1956" s="1988"/>
      <c r="K1956" s="1192" t="s">
        <v>2430</v>
      </c>
      <c r="V1956" s="1192">
        <v>11</v>
      </c>
    </row>
    <row r="1957" spans="1:22" s="1192" customFormat="1" ht="14.4" x14ac:dyDescent="0.3">
      <c r="A1957" s="1192" t="s">
        <v>4737</v>
      </c>
      <c r="E1957" s="1743" t="s">
        <v>2391</v>
      </c>
      <c r="F1957" s="1743"/>
      <c r="G1957" s="1743"/>
      <c r="H1957" s="1743"/>
      <c r="K1957" s="1192" t="s">
        <v>2543</v>
      </c>
      <c r="V1957" s="1192">
        <v>280</v>
      </c>
    </row>
    <row r="1958" spans="1:22" s="1192" customFormat="1" ht="14.4" x14ac:dyDescent="0.3">
      <c r="A1958" s="1192" t="s">
        <v>4737</v>
      </c>
      <c r="E1958" s="1743" t="s">
        <v>2392</v>
      </c>
      <c r="F1958" s="1743"/>
      <c r="G1958" s="1743"/>
      <c r="H1958" s="1743"/>
      <c r="K1958" s="1192" t="s">
        <v>2543</v>
      </c>
      <c r="V1958" s="1192">
        <v>411</v>
      </c>
    </row>
    <row r="1959" spans="1:22" s="1192" customFormat="1" ht="14.4" x14ac:dyDescent="0.3">
      <c r="A1959" s="1192" t="s">
        <v>4737</v>
      </c>
      <c r="E1959" s="1743" t="s">
        <v>3435</v>
      </c>
      <c r="F1959" s="1743"/>
      <c r="G1959" s="1743"/>
      <c r="H1959" s="1743"/>
      <c r="K1959" s="1192" t="s">
        <v>2543</v>
      </c>
      <c r="V1959" s="1192">
        <v>379</v>
      </c>
    </row>
    <row r="1960" spans="1:22" s="1192" customFormat="1" ht="14.4" x14ac:dyDescent="0.3">
      <c r="A1960" s="1192" t="s">
        <v>4737</v>
      </c>
      <c r="E1960" s="1743" t="s">
        <v>4500</v>
      </c>
      <c r="F1960" s="1743"/>
      <c r="G1960" s="1743"/>
      <c r="H1960" s="1743"/>
      <c r="K1960" s="1192" t="s">
        <v>2543</v>
      </c>
      <c r="V1960" s="1192">
        <v>247</v>
      </c>
    </row>
    <row r="1961" spans="1:22" s="1192" customFormat="1" ht="14.4" x14ac:dyDescent="0.3">
      <c r="A1961" s="1192" t="s">
        <v>4737</v>
      </c>
      <c r="E1961" s="1748" t="s">
        <v>2394</v>
      </c>
      <c r="F1961" s="1749"/>
      <c r="G1961" s="1749"/>
      <c r="H1961" s="1749"/>
      <c r="K1961" s="1192" t="s">
        <v>2431</v>
      </c>
      <c r="V1961" s="1192">
        <v>46</v>
      </c>
    </row>
    <row r="1962" spans="1:22" s="1192" customFormat="1" ht="14.4" x14ac:dyDescent="0.3">
      <c r="A1962" s="1192" t="s">
        <v>4737</v>
      </c>
      <c r="E1962" s="1740" t="s">
        <v>8</v>
      </c>
      <c r="F1962" s="1740"/>
      <c r="G1962" s="1277" t="s">
        <v>19</v>
      </c>
      <c r="H1962" s="1218">
        <v>11.11</v>
      </c>
      <c r="K1962" s="1192" t="s">
        <v>2543</v>
      </c>
      <c r="L1962" s="1192" t="s">
        <v>430</v>
      </c>
      <c r="P1962" s="1192" t="s">
        <v>2545</v>
      </c>
      <c r="V1962" s="1192">
        <v>31</v>
      </c>
    </row>
    <row r="1963" spans="1:22" s="1192" customFormat="1" ht="14.4" x14ac:dyDescent="0.3">
      <c r="A1963" s="1192" t="s">
        <v>4737</v>
      </c>
      <c r="E1963" s="1740" t="s">
        <v>6184</v>
      </c>
      <c r="F1963" s="1740"/>
      <c r="G1963" s="1277" t="s">
        <v>19</v>
      </c>
      <c r="H1963" s="1218">
        <v>-0.69</v>
      </c>
      <c r="K1963" s="1192" t="s">
        <v>2543</v>
      </c>
      <c r="L1963" s="1192" t="s">
        <v>430</v>
      </c>
      <c r="P1963" s="1192" t="s">
        <v>6185</v>
      </c>
      <c r="T1963" s="1192">
        <v>45657</v>
      </c>
      <c r="V1963" s="1192">
        <v>102</v>
      </c>
    </row>
    <row r="1964" spans="1:22" s="1192" customFormat="1" ht="14.4" x14ac:dyDescent="0.3">
      <c r="A1964" s="1192" t="s">
        <v>4737</v>
      </c>
      <c r="E1964" s="1740" t="s">
        <v>6186</v>
      </c>
      <c r="F1964" s="1740"/>
      <c r="G1964" s="1277" t="s">
        <v>19</v>
      </c>
      <c r="H1964" s="1218">
        <v>-0.41</v>
      </c>
      <c r="K1964" s="1192" t="s">
        <v>2543</v>
      </c>
      <c r="L1964" s="1192" t="s">
        <v>430</v>
      </c>
      <c r="P1964" s="1192" t="s">
        <v>2549</v>
      </c>
      <c r="T1964" s="1192">
        <v>44196</v>
      </c>
      <c r="V1964" s="1192">
        <v>124</v>
      </c>
    </row>
    <row r="1965" spans="1:22" s="1192" customFormat="1" ht="14.4" x14ac:dyDescent="0.3">
      <c r="A1965" s="1192" t="s">
        <v>4737</v>
      </c>
      <c r="E1965" s="1740" t="s">
        <v>6187</v>
      </c>
      <c r="F1965" s="1740"/>
      <c r="G1965" s="1277" t="s">
        <v>19</v>
      </c>
      <c r="H1965" s="1218">
        <v>0.08</v>
      </c>
      <c r="K1965" s="1192" t="s">
        <v>2543</v>
      </c>
      <c r="L1965" s="1192" t="s">
        <v>431</v>
      </c>
      <c r="P1965" s="1192" t="s">
        <v>2549</v>
      </c>
      <c r="T1965" s="1192">
        <v>44196</v>
      </c>
      <c r="V1965" s="1192">
        <v>124</v>
      </c>
    </row>
    <row r="1966" spans="1:22" s="1192" customFormat="1" ht="14.4" x14ac:dyDescent="0.3">
      <c r="A1966" s="1192" t="s">
        <v>4737</v>
      </c>
      <c r="E1966" s="1740" t="s">
        <v>6153</v>
      </c>
      <c r="F1966" s="1740"/>
      <c r="G1966" s="1277" t="s">
        <v>20</v>
      </c>
      <c r="H1966" s="1219">
        <v>-3.3999999999999998E-3</v>
      </c>
      <c r="K1966" s="1192" t="s">
        <v>2543</v>
      </c>
      <c r="L1966" s="1192" t="s">
        <v>431</v>
      </c>
      <c r="P1966" s="1192" t="s">
        <v>2880</v>
      </c>
      <c r="T1966" s="1192">
        <v>44196</v>
      </c>
      <c r="V1966" s="1192">
        <v>136</v>
      </c>
    </row>
    <row r="1967" spans="1:22" s="1192" customFormat="1" ht="14.4" x14ac:dyDescent="0.3">
      <c r="A1967" s="1192" t="s">
        <v>4737</v>
      </c>
      <c r="E1967" s="1740" t="s">
        <v>213</v>
      </c>
      <c r="F1967" s="1740"/>
      <c r="G1967" s="1277" t="s">
        <v>20</v>
      </c>
      <c r="H1967" s="1219">
        <v>8.0000000000000002E-3</v>
      </c>
      <c r="K1967" s="1192" t="s">
        <v>2543</v>
      </c>
      <c r="L1967" s="1192" t="s">
        <v>432</v>
      </c>
      <c r="P1967" s="1192" t="s">
        <v>2550</v>
      </c>
      <c r="V1967" s="1192">
        <v>47</v>
      </c>
    </row>
    <row r="1968" spans="1:22" s="1192" customFormat="1" ht="14.4" x14ac:dyDescent="0.3">
      <c r="A1968" s="1192" t="s">
        <v>4737</v>
      </c>
      <c r="E1968" s="1740" t="s">
        <v>209</v>
      </c>
      <c r="F1968" s="1740"/>
      <c r="G1968" s="1277" t="s">
        <v>20</v>
      </c>
      <c r="H1968" s="1219">
        <v>5.4999999999999997E-3</v>
      </c>
      <c r="K1968" s="1192" t="s">
        <v>2543</v>
      </c>
      <c r="L1968" s="1192" t="s">
        <v>432</v>
      </c>
      <c r="P1968" s="1192" t="s">
        <v>2551</v>
      </c>
      <c r="V1968" s="1192">
        <v>74</v>
      </c>
    </row>
    <row r="1969" spans="1:22" s="1192" customFormat="1" ht="14.4" x14ac:dyDescent="0.3">
      <c r="A1969" s="1192" t="s">
        <v>4737</v>
      </c>
      <c r="E1969" s="1748" t="s">
        <v>2405</v>
      </c>
      <c r="F1969" s="1740"/>
      <c r="G1969" s="1277"/>
      <c r="H1969" s="896"/>
      <c r="K1969" s="1192" t="s">
        <v>2438</v>
      </c>
      <c r="V1969" s="1192">
        <v>48</v>
      </c>
    </row>
    <row r="1970" spans="1:22" s="1192" customFormat="1" ht="14.4" x14ac:dyDescent="0.3">
      <c r="A1970" s="1192" t="s">
        <v>4737</v>
      </c>
      <c r="E1970" s="1740" t="s">
        <v>2033</v>
      </c>
      <c r="F1970" s="1740"/>
      <c r="G1970" s="1277" t="s">
        <v>20</v>
      </c>
      <c r="H1970" s="1219">
        <v>3.0000000000000001E-3</v>
      </c>
      <c r="K1970" s="1192" t="s">
        <v>2543</v>
      </c>
      <c r="L1970" s="1192" t="s">
        <v>2374</v>
      </c>
      <c r="P1970" s="1192" t="s">
        <v>2552</v>
      </c>
      <c r="V1970" s="1192">
        <v>55</v>
      </c>
    </row>
    <row r="1971" spans="1:22" s="1192" customFormat="1" ht="14.4" x14ac:dyDescent="0.3">
      <c r="A1971" s="1192" t="s">
        <v>4737</v>
      </c>
      <c r="E1971" s="1740" t="s">
        <v>2034</v>
      </c>
      <c r="F1971" s="1740"/>
      <c r="G1971" s="1277" t="s">
        <v>20</v>
      </c>
      <c r="H1971" s="1219">
        <v>4.0000000000000002E-4</v>
      </c>
      <c r="K1971" s="1192" t="s">
        <v>2543</v>
      </c>
      <c r="L1971" s="1192" t="s">
        <v>2374</v>
      </c>
      <c r="P1971" s="1192" t="s">
        <v>2552</v>
      </c>
      <c r="V1971" s="1192">
        <v>65</v>
      </c>
    </row>
    <row r="1972" spans="1:22" s="1192" customFormat="1" ht="14.4" x14ac:dyDescent="0.3">
      <c r="A1972" s="1192" t="s">
        <v>4737</v>
      </c>
      <c r="E1972" s="1740" t="s">
        <v>428</v>
      </c>
      <c r="F1972" s="1740"/>
      <c r="G1972" s="1277" t="s">
        <v>20</v>
      </c>
      <c r="H1972" s="1219">
        <v>5.0000000000000001E-4</v>
      </c>
      <c r="K1972" s="1192" t="s">
        <v>2543</v>
      </c>
      <c r="L1972" s="1192" t="s">
        <v>2374</v>
      </c>
      <c r="P1972" s="1192" t="s">
        <v>2553</v>
      </c>
      <c r="V1972" s="1192">
        <v>57</v>
      </c>
    </row>
    <row r="1973" spans="1:22" s="1192" customFormat="1" ht="14.4" x14ac:dyDescent="0.3">
      <c r="A1973" s="1192" t="s">
        <v>4737</v>
      </c>
      <c r="E1973" s="1740" t="s">
        <v>28</v>
      </c>
      <c r="F1973" s="1740"/>
      <c r="G1973" s="1277" t="s">
        <v>19</v>
      </c>
      <c r="H1973" s="1218">
        <v>0.25</v>
      </c>
      <c r="K1973" s="1192" t="s">
        <v>2543</v>
      </c>
      <c r="L1973" s="1192" t="s">
        <v>2374</v>
      </c>
      <c r="P1973" s="1192" t="s">
        <v>2554</v>
      </c>
      <c r="V1973" s="1192">
        <v>63</v>
      </c>
    </row>
    <row r="1974" spans="1:22" s="1192" customFormat="1" ht="17.399999999999999" x14ac:dyDescent="0.3">
      <c r="A1974" s="1192" t="s">
        <v>4737</v>
      </c>
      <c r="E1974" s="1746" t="s">
        <v>604</v>
      </c>
      <c r="F1974" s="1987"/>
      <c r="G1974" s="1987"/>
      <c r="H1974" s="1987"/>
      <c r="K1974" s="1192" t="s">
        <v>2555</v>
      </c>
      <c r="V1974" s="1192">
        <v>40</v>
      </c>
    </row>
    <row r="1975" spans="1:22" s="1192" customFormat="1" ht="14.4" x14ac:dyDescent="0.3">
      <c r="A1975" s="1192" t="s">
        <v>4737</v>
      </c>
      <c r="E1975" s="1743" t="s">
        <v>3439</v>
      </c>
      <c r="F1975" s="1743"/>
      <c r="G1975" s="1743"/>
      <c r="H1975" s="1743"/>
      <c r="K1975" s="1192" t="s">
        <v>2555</v>
      </c>
      <c r="V1975" s="1192">
        <v>268</v>
      </c>
    </row>
    <row r="1976" spans="1:22" s="1192" customFormat="1" ht="14.4" x14ac:dyDescent="0.3">
      <c r="A1976" s="1192" t="s">
        <v>4737</v>
      </c>
      <c r="E1976" s="1750" t="s">
        <v>2389</v>
      </c>
      <c r="F1976" s="1988"/>
      <c r="G1976" s="1988"/>
      <c r="H1976" s="1988"/>
      <c r="K1976" s="1192" t="s">
        <v>2444</v>
      </c>
      <c r="V1976" s="1192">
        <v>11</v>
      </c>
    </row>
    <row r="1977" spans="1:22" s="1192" customFormat="1" ht="14.4" x14ac:dyDescent="0.3">
      <c r="A1977" s="1192" t="s">
        <v>4737</v>
      </c>
      <c r="E1977" s="1743" t="s">
        <v>2391</v>
      </c>
      <c r="F1977" s="1743"/>
      <c r="G1977" s="1743"/>
      <c r="H1977" s="1743"/>
      <c r="K1977" s="1192" t="s">
        <v>2555</v>
      </c>
      <c r="V1977" s="1192">
        <v>280</v>
      </c>
    </row>
    <row r="1978" spans="1:22" s="1192" customFormat="1" ht="14.4" x14ac:dyDescent="0.3">
      <c r="A1978" s="1192" t="s">
        <v>4737</v>
      </c>
      <c r="E1978" s="1743" t="s">
        <v>2392</v>
      </c>
      <c r="F1978" s="1743"/>
      <c r="G1978" s="1743"/>
      <c r="H1978" s="1743"/>
      <c r="K1978" s="1192" t="s">
        <v>2555</v>
      </c>
      <c r="V1978" s="1192">
        <v>411</v>
      </c>
    </row>
    <row r="1979" spans="1:22" s="1192" customFormat="1" ht="14.4" x14ac:dyDescent="0.3">
      <c r="A1979" s="1192" t="s">
        <v>4737</v>
      </c>
      <c r="E1979" s="1743" t="s">
        <v>3435</v>
      </c>
      <c r="F1979" s="1743"/>
      <c r="G1979" s="1743"/>
      <c r="H1979" s="1743"/>
      <c r="K1979" s="1192" t="s">
        <v>2555</v>
      </c>
      <c r="V1979" s="1192">
        <v>379</v>
      </c>
    </row>
    <row r="1980" spans="1:22" s="1192" customFormat="1" ht="14.4" x14ac:dyDescent="0.3">
      <c r="A1980" s="1192" t="s">
        <v>4737</v>
      </c>
      <c r="E1980" s="1743" t="s">
        <v>4500</v>
      </c>
      <c r="F1980" s="1743"/>
      <c r="G1980" s="1743"/>
      <c r="H1980" s="1743"/>
      <c r="K1980" s="1192" t="s">
        <v>2555</v>
      </c>
      <c r="V1980" s="1192">
        <v>247</v>
      </c>
    </row>
    <row r="1981" spans="1:22" s="1192" customFormat="1" ht="14.4" x14ac:dyDescent="0.3">
      <c r="A1981" s="1192" t="s">
        <v>4737</v>
      </c>
      <c r="E1981" s="1748" t="s">
        <v>2394</v>
      </c>
      <c r="F1981" s="1749"/>
      <c r="G1981" s="1749"/>
      <c r="H1981" s="1749"/>
      <c r="K1981" s="1192" t="s">
        <v>2446</v>
      </c>
      <c r="V1981" s="1192">
        <v>46</v>
      </c>
    </row>
    <row r="1982" spans="1:22" s="1192" customFormat="1" ht="14.4" x14ac:dyDescent="0.3">
      <c r="A1982" s="1192" t="s">
        <v>4737</v>
      </c>
      <c r="E1982" s="1740" t="s">
        <v>8</v>
      </c>
      <c r="F1982" s="1740"/>
      <c r="G1982" s="1277" t="s">
        <v>19</v>
      </c>
      <c r="H1982" s="1218">
        <v>12.44</v>
      </c>
      <c r="K1982" s="1192" t="s">
        <v>2555</v>
      </c>
      <c r="L1982" s="1192" t="s">
        <v>430</v>
      </c>
      <c r="P1982" s="1192" t="s">
        <v>2557</v>
      </c>
      <c r="V1982" s="1192">
        <v>31</v>
      </c>
    </row>
    <row r="1983" spans="1:22" s="1192" customFormat="1" ht="14.4" x14ac:dyDescent="0.3">
      <c r="A1983" s="1192" t="s">
        <v>4737</v>
      </c>
      <c r="E1983" s="1740" t="s">
        <v>6184</v>
      </c>
      <c r="F1983" s="1740"/>
      <c r="G1983" s="1277" t="s">
        <v>19</v>
      </c>
      <c r="H1983" s="1218">
        <v>-0.32</v>
      </c>
      <c r="K1983" s="1192" t="s">
        <v>2555</v>
      </c>
      <c r="L1983" s="1192" t="s">
        <v>430</v>
      </c>
      <c r="P1983" s="1192" t="s">
        <v>6188</v>
      </c>
      <c r="T1983" s="1192">
        <v>45657</v>
      </c>
      <c r="V1983" s="1192">
        <v>102</v>
      </c>
    </row>
    <row r="1984" spans="1:22" s="1192" customFormat="1" ht="14.4" x14ac:dyDescent="0.3">
      <c r="A1984" s="1192" t="s">
        <v>4737</v>
      </c>
      <c r="E1984" s="1740" t="s">
        <v>6186</v>
      </c>
      <c r="F1984" s="1740"/>
      <c r="G1984" s="1277" t="s">
        <v>19</v>
      </c>
      <c r="H1984" s="1218">
        <v>-0.19</v>
      </c>
      <c r="K1984" s="1192" t="s">
        <v>2555</v>
      </c>
      <c r="L1984" s="1192" t="s">
        <v>430</v>
      </c>
      <c r="P1984" s="1192" t="s">
        <v>2562</v>
      </c>
      <c r="T1984" s="1192">
        <v>44196</v>
      </c>
      <c r="V1984" s="1192">
        <v>124</v>
      </c>
    </row>
    <row r="1985" spans="1:22" s="1192" customFormat="1" ht="14.4" x14ac:dyDescent="0.3">
      <c r="A1985" s="1192" t="s">
        <v>4737</v>
      </c>
      <c r="E1985" s="1740" t="s">
        <v>6187</v>
      </c>
      <c r="F1985" s="1740"/>
      <c r="G1985" s="1277" t="s">
        <v>19</v>
      </c>
      <c r="H1985" s="1218">
        <v>0.04</v>
      </c>
      <c r="K1985" s="1192" t="s">
        <v>2555</v>
      </c>
      <c r="L1985" s="1192" t="s">
        <v>431</v>
      </c>
      <c r="P1985" s="1192" t="s">
        <v>2562</v>
      </c>
      <c r="T1985" s="1192">
        <v>44196</v>
      </c>
      <c r="V1985" s="1192">
        <v>124</v>
      </c>
    </row>
    <row r="1986" spans="1:22" s="1192" customFormat="1" ht="14.4" x14ac:dyDescent="0.3">
      <c r="A1986" s="1192" t="s">
        <v>4737</v>
      </c>
      <c r="E1986" s="1740" t="s">
        <v>6153</v>
      </c>
      <c r="F1986" s="1740"/>
      <c r="G1986" s="1277" t="s">
        <v>20</v>
      </c>
      <c r="H1986" s="1219">
        <v>-3.3999999999999998E-3</v>
      </c>
      <c r="K1986" s="1192" t="s">
        <v>2555</v>
      </c>
      <c r="L1986" s="1192" t="s">
        <v>431</v>
      </c>
      <c r="P1986" s="1192" t="s">
        <v>2560</v>
      </c>
      <c r="T1986" s="1192">
        <v>44196</v>
      </c>
      <c r="V1986" s="1192">
        <v>136</v>
      </c>
    </row>
    <row r="1987" spans="1:22" s="1192" customFormat="1" ht="14.4" x14ac:dyDescent="0.3">
      <c r="A1987" s="1192" t="s">
        <v>4737</v>
      </c>
      <c r="E1987" s="1740" t="s">
        <v>213</v>
      </c>
      <c r="F1987" s="1740"/>
      <c r="G1987" s="1277" t="s">
        <v>29</v>
      </c>
      <c r="H1987" s="1219">
        <v>2.4855999999999998</v>
      </c>
      <c r="K1987" s="1192" t="s">
        <v>2555</v>
      </c>
      <c r="L1987" s="1192" t="s">
        <v>432</v>
      </c>
      <c r="P1987" s="1192" t="s">
        <v>2563</v>
      </c>
      <c r="V1987" s="1192">
        <v>47</v>
      </c>
    </row>
    <row r="1988" spans="1:22" s="1192" customFormat="1" ht="14.4" x14ac:dyDescent="0.3">
      <c r="A1988" s="1192" t="s">
        <v>4737</v>
      </c>
      <c r="E1988" s="1740" t="s">
        <v>209</v>
      </c>
      <c r="F1988" s="1740"/>
      <c r="G1988" s="1277" t="s">
        <v>29</v>
      </c>
      <c r="H1988" s="1219">
        <v>1.7383999999999999</v>
      </c>
      <c r="K1988" s="1192" t="s">
        <v>2555</v>
      </c>
      <c r="L1988" s="1192" t="s">
        <v>432</v>
      </c>
      <c r="P1988" s="1192" t="s">
        <v>2564</v>
      </c>
      <c r="V1988" s="1192">
        <v>74</v>
      </c>
    </row>
    <row r="1989" spans="1:22" s="1192" customFormat="1" ht="14.4" x14ac:dyDescent="0.3">
      <c r="A1989" s="1192" t="s">
        <v>4737</v>
      </c>
      <c r="E1989" s="1748" t="s">
        <v>2405</v>
      </c>
      <c r="F1989" s="1740"/>
      <c r="G1989" s="1277"/>
      <c r="H1989" s="896"/>
      <c r="K1989" s="1192" t="s">
        <v>2565</v>
      </c>
      <c r="V1989" s="1192">
        <v>48</v>
      </c>
    </row>
    <row r="1990" spans="1:22" s="1192" customFormat="1" ht="14.4" x14ac:dyDescent="0.3">
      <c r="A1990" s="1192" t="s">
        <v>4737</v>
      </c>
      <c r="E1990" s="1740" t="s">
        <v>2033</v>
      </c>
      <c r="F1990" s="1740"/>
      <c r="G1990" s="1277" t="s">
        <v>20</v>
      </c>
      <c r="H1990" s="1219">
        <v>3.0000000000000001E-3</v>
      </c>
      <c r="K1990" s="1192" t="s">
        <v>2555</v>
      </c>
      <c r="L1990" s="1192" t="s">
        <v>2374</v>
      </c>
      <c r="P1990" s="1192" t="s">
        <v>2566</v>
      </c>
      <c r="V1990" s="1192">
        <v>55</v>
      </c>
    </row>
    <row r="1991" spans="1:22" s="1192" customFormat="1" ht="14.4" x14ac:dyDescent="0.3">
      <c r="A1991" s="1192" t="s">
        <v>4737</v>
      </c>
      <c r="E1991" s="1740" t="s">
        <v>2034</v>
      </c>
      <c r="F1991" s="1740"/>
      <c r="G1991" s="1277" t="s">
        <v>20</v>
      </c>
      <c r="H1991" s="1219">
        <v>4.0000000000000002E-4</v>
      </c>
      <c r="K1991" s="1192" t="s">
        <v>2555</v>
      </c>
      <c r="L1991" s="1192" t="s">
        <v>2374</v>
      </c>
      <c r="P1991" s="1192" t="s">
        <v>2566</v>
      </c>
      <c r="V1991" s="1192">
        <v>65</v>
      </c>
    </row>
    <row r="1992" spans="1:22" s="1192" customFormat="1" ht="14.4" x14ac:dyDescent="0.3">
      <c r="A1992" s="1192" t="s">
        <v>4737</v>
      </c>
      <c r="E1992" s="1740" t="s">
        <v>428</v>
      </c>
      <c r="F1992" s="1740"/>
      <c r="G1992" s="1277" t="s">
        <v>20</v>
      </c>
      <c r="H1992" s="1219">
        <v>5.0000000000000001E-4</v>
      </c>
      <c r="K1992" s="1192" t="s">
        <v>2555</v>
      </c>
      <c r="L1992" s="1192" t="s">
        <v>2374</v>
      </c>
      <c r="P1992" s="1192" t="s">
        <v>2567</v>
      </c>
      <c r="V1992" s="1192">
        <v>57</v>
      </c>
    </row>
    <row r="1993" spans="1:22" s="1192" customFormat="1" ht="14.4" x14ac:dyDescent="0.3">
      <c r="A1993" s="1192" t="s">
        <v>4737</v>
      </c>
      <c r="E1993" s="1740" t="s">
        <v>28</v>
      </c>
      <c r="F1993" s="1740"/>
      <c r="G1993" s="1277" t="s">
        <v>19</v>
      </c>
      <c r="H1993" s="1218">
        <v>0.25</v>
      </c>
      <c r="K1993" s="1192" t="s">
        <v>2555</v>
      </c>
      <c r="L1993" s="1192" t="s">
        <v>2374</v>
      </c>
      <c r="P1993" s="1192" t="s">
        <v>2568</v>
      </c>
      <c r="V1993" s="1192">
        <v>63</v>
      </c>
    </row>
    <row r="1994" spans="1:22" s="1192" customFormat="1" ht="17.399999999999999" x14ac:dyDescent="0.3">
      <c r="A1994" s="1192" t="s">
        <v>4737</v>
      </c>
      <c r="E1994" s="1746" t="s">
        <v>590</v>
      </c>
      <c r="F1994" s="1987"/>
      <c r="G1994" s="1987"/>
      <c r="H1994" s="1987"/>
      <c r="K1994" s="1192" t="s">
        <v>2569</v>
      </c>
      <c r="V1994" s="1192">
        <v>38</v>
      </c>
    </row>
    <row r="1995" spans="1:22" s="1192" customFormat="1" ht="14.4" x14ac:dyDescent="0.3">
      <c r="A1995" s="1192" t="s">
        <v>4737</v>
      </c>
      <c r="E1995" s="1743" t="s">
        <v>3440</v>
      </c>
      <c r="F1995" s="1743"/>
      <c r="G1995" s="1743"/>
      <c r="H1995" s="1743"/>
      <c r="K1995" s="1192" t="s">
        <v>2569</v>
      </c>
      <c r="V1995" s="1192">
        <v>455</v>
      </c>
    </row>
    <row r="1996" spans="1:22" s="1192" customFormat="1" ht="14.4" x14ac:dyDescent="0.3">
      <c r="A1996" s="1192" t="s">
        <v>4737</v>
      </c>
      <c r="E1996" s="1750" t="s">
        <v>2389</v>
      </c>
      <c r="F1996" s="1988"/>
      <c r="G1996" s="1988"/>
      <c r="H1996" s="1988"/>
      <c r="K1996" s="1192" t="s">
        <v>2571</v>
      </c>
      <c r="V1996" s="1192">
        <v>11</v>
      </c>
    </row>
    <row r="1997" spans="1:22" s="1192" customFormat="1" ht="14.4" x14ac:dyDescent="0.3">
      <c r="A1997" s="1192" t="s">
        <v>4737</v>
      </c>
      <c r="E1997" s="1743" t="s">
        <v>2391</v>
      </c>
      <c r="F1997" s="1743"/>
      <c r="G1997" s="1743"/>
      <c r="H1997" s="1743"/>
      <c r="K1997" s="1192" t="s">
        <v>2569</v>
      </c>
      <c r="V1997" s="1192">
        <v>280</v>
      </c>
    </row>
    <row r="1998" spans="1:22" s="1192" customFormat="1" ht="14.4" x14ac:dyDescent="0.3">
      <c r="A1998" s="1192" t="s">
        <v>4737</v>
      </c>
      <c r="E1998" s="1743" t="s">
        <v>2392</v>
      </c>
      <c r="F1998" s="1743"/>
      <c r="G1998" s="1743"/>
      <c r="H1998" s="1743"/>
      <c r="K1998" s="1192" t="s">
        <v>2569</v>
      </c>
      <c r="V1998" s="1192">
        <v>411</v>
      </c>
    </row>
    <row r="1999" spans="1:22" s="1192" customFormat="1" ht="14.4" x14ac:dyDescent="0.3">
      <c r="A1999" s="1192" t="s">
        <v>4737</v>
      </c>
      <c r="E1999" s="1743" t="s">
        <v>3435</v>
      </c>
      <c r="F1999" s="1743"/>
      <c r="G1999" s="1743"/>
      <c r="H1999" s="1743"/>
      <c r="K1999" s="1192" t="s">
        <v>2569</v>
      </c>
      <c r="V1999" s="1192">
        <v>379</v>
      </c>
    </row>
    <row r="2000" spans="1:22" s="1192" customFormat="1" ht="14.4" x14ac:dyDescent="0.3">
      <c r="A2000" s="1192" t="s">
        <v>4737</v>
      </c>
      <c r="E2000" s="1743" t="s">
        <v>4500</v>
      </c>
      <c r="F2000" s="1743"/>
      <c r="G2000" s="1743"/>
      <c r="H2000" s="1743"/>
      <c r="K2000" s="1192" t="s">
        <v>2569</v>
      </c>
      <c r="V2000" s="1192">
        <v>247</v>
      </c>
    </row>
    <row r="2001" spans="1:22" s="1192" customFormat="1" ht="14.4" x14ac:dyDescent="0.3">
      <c r="A2001" s="1192" t="s">
        <v>4737</v>
      </c>
      <c r="E2001" s="1748" t="s">
        <v>2394</v>
      </c>
      <c r="F2001" s="1749"/>
      <c r="G2001" s="1749"/>
      <c r="H2001" s="1749"/>
      <c r="K2001" s="1192" t="s">
        <v>2572</v>
      </c>
      <c r="V2001" s="1192">
        <v>46</v>
      </c>
    </row>
    <row r="2002" spans="1:22" s="1192" customFormat="1" ht="14.4" x14ac:dyDescent="0.3">
      <c r="A2002" s="1192" t="s">
        <v>4737</v>
      </c>
      <c r="E2002" s="1740" t="s">
        <v>8</v>
      </c>
      <c r="F2002" s="1740"/>
      <c r="G2002" s="1277" t="s">
        <v>19</v>
      </c>
      <c r="H2002" s="1218">
        <v>5.27</v>
      </c>
      <c r="K2002" s="1192" t="s">
        <v>2569</v>
      </c>
      <c r="L2002" s="1192" t="s">
        <v>430</v>
      </c>
      <c r="P2002" s="1192" t="s">
        <v>2573</v>
      </c>
      <c r="V2002" s="1192">
        <v>31</v>
      </c>
    </row>
    <row r="2003" spans="1:22" s="1192" customFormat="1" ht="14.4" x14ac:dyDescent="0.3">
      <c r="A2003" s="1192" t="s">
        <v>4737</v>
      </c>
      <c r="E2003" s="1740" t="s">
        <v>6184</v>
      </c>
      <c r="F2003" s="1740"/>
      <c r="G2003" s="1277" t="s">
        <v>19</v>
      </c>
      <c r="H2003" s="1218">
        <v>-0.06</v>
      </c>
      <c r="K2003" s="1192" t="s">
        <v>2569</v>
      </c>
      <c r="L2003" s="1192" t="s">
        <v>430</v>
      </c>
      <c r="P2003" s="1192" t="s">
        <v>6189</v>
      </c>
      <c r="T2003" s="1192">
        <v>45657</v>
      </c>
      <c r="V2003" s="1192">
        <v>102</v>
      </c>
    </row>
    <row r="2004" spans="1:22" s="1192" customFormat="1" ht="14.4" x14ac:dyDescent="0.3">
      <c r="A2004" s="1192" t="s">
        <v>4737</v>
      </c>
      <c r="E2004" s="1740" t="s">
        <v>6186</v>
      </c>
      <c r="F2004" s="1740"/>
      <c r="G2004" s="1277" t="s">
        <v>19</v>
      </c>
      <c r="H2004" s="1218">
        <v>-0.04</v>
      </c>
      <c r="K2004" s="1192" t="s">
        <v>2569</v>
      </c>
      <c r="L2004" s="1192" t="s">
        <v>430</v>
      </c>
      <c r="P2004" s="1192" t="s">
        <v>2578</v>
      </c>
      <c r="T2004" s="1192">
        <v>44196</v>
      </c>
      <c r="V2004" s="1192">
        <v>124</v>
      </c>
    </row>
    <row r="2005" spans="1:22" s="1192" customFormat="1" ht="14.4" x14ac:dyDescent="0.3">
      <c r="A2005" s="1192" t="s">
        <v>4737</v>
      </c>
      <c r="E2005" s="1740" t="s">
        <v>6187</v>
      </c>
      <c r="F2005" s="1740"/>
      <c r="G2005" s="1277" t="s">
        <v>19</v>
      </c>
      <c r="H2005" s="1218">
        <v>0.01</v>
      </c>
      <c r="K2005" s="1192" t="s">
        <v>2569</v>
      </c>
      <c r="L2005" s="1192" t="s">
        <v>431</v>
      </c>
      <c r="P2005" s="1192" t="s">
        <v>2578</v>
      </c>
      <c r="T2005" s="1192">
        <v>44196</v>
      </c>
      <c r="V2005" s="1192">
        <v>124</v>
      </c>
    </row>
    <row r="2006" spans="1:22" s="1192" customFormat="1" ht="14.4" x14ac:dyDescent="0.3">
      <c r="A2006" s="1192" t="s">
        <v>4737</v>
      </c>
      <c r="E2006" s="1740" t="s">
        <v>6153</v>
      </c>
      <c r="F2006" s="1740"/>
      <c r="G2006" s="1277" t="s">
        <v>20</v>
      </c>
      <c r="H2006" s="1219">
        <v>-3.3999999999999998E-3</v>
      </c>
      <c r="K2006" s="1192" t="s">
        <v>2569</v>
      </c>
      <c r="L2006" s="1192" t="s">
        <v>431</v>
      </c>
      <c r="P2006" s="1192" t="s">
        <v>2576</v>
      </c>
      <c r="T2006" s="1192">
        <v>44196</v>
      </c>
      <c r="V2006" s="1192">
        <v>136</v>
      </c>
    </row>
    <row r="2007" spans="1:22" s="1192" customFormat="1" ht="14.4" x14ac:dyDescent="0.3">
      <c r="A2007" s="1192" t="s">
        <v>4737</v>
      </c>
      <c r="E2007" s="1740" t="s">
        <v>213</v>
      </c>
      <c r="F2007" s="1740"/>
      <c r="G2007" s="1277" t="s">
        <v>29</v>
      </c>
      <c r="H2007" s="1219">
        <v>2.4826000000000001</v>
      </c>
      <c r="K2007" s="1192" t="s">
        <v>2569</v>
      </c>
      <c r="L2007" s="1192" t="s">
        <v>432</v>
      </c>
      <c r="P2007" s="1192" t="s">
        <v>2579</v>
      </c>
      <c r="V2007" s="1192">
        <v>47</v>
      </c>
    </row>
    <row r="2008" spans="1:22" s="1192" customFormat="1" ht="14.4" x14ac:dyDescent="0.3">
      <c r="A2008" s="1192" t="s">
        <v>4737</v>
      </c>
      <c r="E2008" s="1740" t="s">
        <v>209</v>
      </c>
      <c r="F2008" s="1740"/>
      <c r="G2008" s="1277" t="s">
        <v>29</v>
      </c>
      <c r="H2008" s="1219">
        <v>1.7365999999999999</v>
      </c>
      <c r="K2008" s="1192" t="s">
        <v>2569</v>
      </c>
      <c r="L2008" s="1192" t="s">
        <v>432</v>
      </c>
      <c r="P2008" s="1192" t="s">
        <v>2580</v>
      </c>
      <c r="V2008" s="1192">
        <v>74</v>
      </c>
    </row>
    <row r="2009" spans="1:22" s="1192" customFormat="1" ht="14.4" x14ac:dyDescent="0.3">
      <c r="A2009" s="1192" t="s">
        <v>4737</v>
      </c>
      <c r="E2009" s="1748" t="s">
        <v>2405</v>
      </c>
      <c r="F2009" s="1740"/>
      <c r="G2009" s="1277"/>
      <c r="H2009" s="896"/>
      <c r="K2009" s="1192" t="s">
        <v>2581</v>
      </c>
      <c r="V2009" s="1192">
        <v>48</v>
      </c>
    </row>
    <row r="2010" spans="1:22" s="1192" customFormat="1" ht="14.4" x14ac:dyDescent="0.3">
      <c r="A2010" s="1192" t="s">
        <v>4737</v>
      </c>
      <c r="E2010" s="1740" t="s">
        <v>2033</v>
      </c>
      <c r="F2010" s="1740"/>
      <c r="G2010" s="1277" t="s">
        <v>20</v>
      </c>
      <c r="H2010" s="1219">
        <v>3.0000000000000001E-3</v>
      </c>
      <c r="K2010" s="1192" t="s">
        <v>2569</v>
      </c>
      <c r="L2010" s="1192" t="s">
        <v>2374</v>
      </c>
      <c r="P2010" s="1192" t="s">
        <v>2582</v>
      </c>
      <c r="V2010" s="1192">
        <v>55</v>
      </c>
    </row>
    <row r="2011" spans="1:22" s="1192" customFormat="1" ht="14.4" x14ac:dyDescent="0.3">
      <c r="A2011" s="1192" t="s">
        <v>4737</v>
      </c>
      <c r="E2011" s="1740" t="s">
        <v>2034</v>
      </c>
      <c r="F2011" s="1740"/>
      <c r="G2011" s="1277" t="s">
        <v>20</v>
      </c>
      <c r="H2011" s="1219">
        <v>4.0000000000000002E-4</v>
      </c>
      <c r="K2011" s="1192" t="s">
        <v>2569</v>
      </c>
      <c r="L2011" s="1192" t="s">
        <v>2374</v>
      </c>
      <c r="P2011" s="1192" t="s">
        <v>2582</v>
      </c>
      <c r="V2011" s="1192">
        <v>65</v>
      </c>
    </row>
    <row r="2012" spans="1:22" s="1192" customFormat="1" ht="14.4" x14ac:dyDescent="0.3">
      <c r="A2012" s="1192" t="s">
        <v>4737</v>
      </c>
      <c r="E2012" s="1740" t="s">
        <v>428</v>
      </c>
      <c r="F2012" s="1740"/>
      <c r="G2012" s="1277" t="s">
        <v>20</v>
      </c>
      <c r="H2012" s="1219">
        <v>5.0000000000000001E-4</v>
      </c>
      <c r="K2012" s="1192" t="s">
        <v>2569</v>
      </c>
      <c r="L2012" s="1192" t="s">
        <v>2374</v>
      </c>
      <c r="P2012" s="1192" t="s">
        <v>2583</v>
      </c>
      <c r="V2012" s="1192">
        <v>57</v>
      </c>
    </row>
    <row r="2013" spans="1:22" s="1192" customFormat="1" ht="14.4" x14ac:dyDescent="0.3">
      <c r="A2013" s="1192" t="s">
        <v>4737</v>
      </c>
      <c r="E2013" s="1740" t="s">
        <v>28</v>
      </c>
      <c r="F2013" s="1740"/>
      <c r="G2013" s="1277" t="s">
        <v>19</v>
      </c>
      <c r="H2013" s="1218">
        <v>0.25</v>
      </c>
      <c r="K2013" s="1192" t="s">
        <v>2569</v>
      </c>
      <c r="L2013" s="1192" t="s">
        <v>2374</v>
      </c>
      <c r="P2013" s="1192" t="s">
        <v>2584</v>
      </c>
      <c r="V2013" s="1192">
        <v>63</v>
      </c>
    </row>
    <row r="2014" spans="1:22" s="1192" customFormat="1" ht="17.399999999999999" x14ac:dyDescent="0.3">
      <c r="A2014" s="1192" t="s">
        <v>4737</v>
      </c>
      <c r="E2014" s="1746" t="s">
        <v>593</v>
      </c>
      <c r="F2014" s="1987"/>
      <c r="G2014" s="1987"/>
      <c r="H2014" s="1987"/>
      <c r="K2014" s="1192" t="s">
        <v>2585</v>
      </c>
      <c r="V2014" s="1192">
        <v>31</v>
      </c>
    </row>
    <row r="2015" spans="1:22" s="1192" customFormat="1" ht="14.4" x14ac:dyDescent="0.3">
      <c r="A2015" s="1192" t="s">
        <v>4737</v>
      </c>
      <c r="E2015" s="1743" t="s">
        <v>2652</v>
      </c>
      <c r="F2015" s="1743"/>
      <c r="G2015" s="1743"/>
      <c r="H2015" s="1743"/>
      <c r="K2015" s="1192" t="s">
        <v>2585</v>
      </c>
      <c r="V2015" s="1192">
        <v>285</v>
      </c>
    </row>
    <row r="2016" spans="1:22" s="1192" customFormat="1" ht="14.4" x14ac:dyDescent="0.3">
      <c r="A2016" s="1192" t="s">
        <v>4737</v>
      </c>
      <c r="E2016" s="1750" t="s">
        <v>2389</v>
      </c>
      <c r="F2016" s="1988"/>
      <c r="G2016" s="1988"/>
      <c r="H2016" s="1988"/>
      <c r="K2016" s="1192" t="s">
        <v>2586</v>
      </c>
      <c r="V2016" s="1192">
        <v>11</v>
      </c>
    </row>
    <row r="2017" spans="1:22" s="1192" customFormat="1" ht="14.4" x14ac:dyDescent="0.3">
      <c r="A2017" s="1192" t="s">
        <v>4737</v>
      </c>
      <c r="E2017" s="1743" t="s">
        <v>2391</v>
      </c>
      <c r="F2017" s="1743"/>
      <c r="G2017" s="1743"/>
      <c r="H2017" s="1743"/>
      <c r="K2017" s="1192" t="s">
        <v>2585</v>
      </c>
      <c r="V2017" s="1192">
        <v>280</v>
      </c>
    </row>
    <row r="2018" spans="1:22" s="1192" customFormat="1" ht="14.4" x14ac:dyDescent="0.3">
      <c r="A2018" s="1192" t="s">
        <v>4737</v>
      </c>
      <c r="E2018" s="1743" t="s">
        <v>2392</v>
      </c>
      <c r="F2018" s="1743"/>
      <c r="G2018" s="1743"/>
      <c r="H2018" s="1743"/>
      <c r="K2018" s="1192" t="s">
        <v>2585</v>
      </c>
      <c r="V2018" s="1192">
        <v>411</v>
      </c>
    </row>
    <row r="2019" spans="1:22" s="1192" customFormat="1" ht="14.4" x14ac:dyDescent="0.3">
      <c r="A2019" s="1192" t="s">
        <v>4737</v>
      </c>
      <c r="E2019" s="1743" t="s">
        <v>2445</v>
      </c>
      <c r="F2019" s="1743"/>
      <c r="G2019" s="1743"/>
      <c r="H2019" s="1743"/>
      <c r="K2019" s="1192" t="s">
        <v>2585</v>
      </c>
      <c r="V2019" s="1192">
        <v>211</v>
      </c>
    </row>
    <row r="2020" spans="1:22" s="1192" customFormat="1" ht="14.4" x14ac:dyDescent="0.3">
      <c r="A2020" s="1192" t="s">
        <v>4737</v>
      </c>
      <c r="E2020" s="1743" t="s">
        <v>4500</v>
      </c>
      <c r="F2020" s="1743"/>
      <c r="G2020" s="1743"/>
      <c r="H2020" s="1743"/>
      <c r="K2020" s="1192" t="s">
        <v>2585</v>
      </c>
      <c r="V2020" s="1192">
        <v>247</v>
      </c>
    </row>
    <row r="2021" spans="1:22" s="1192" customFormat="1" ht="14.4" x14ac:dyDescent="0.3">
      <c r="A2021" s="1192" t="s">
        <v>4737</v>
      </c>
      <c r="E2021" s="1748" t="s">
        <v>2394</v>
      </c>
      <c r="F2021" s="1749"/>
      <c r="G2021" s="1749"/>
      <c r="H2021" s="1749"/>
      <c r="K2021" s="1192" t="s">
        <v>2587</v>
      </c>
      <c r="V2021" s="1192">
        <v>46</v>
      </c>
    </row>
    <row r="2022" spans="1:22" s="1192" customFormat="1" ht="14.4" x14ac:dyDescent="0.3">
      <c r="A2022" s="1192" t="s">
        <v>4737</v>
      </c>
      <c r="E2022" s="1740" t="s">
        <v>7</v>
      </c>
      <c r="F2022" s="1740"/>
      <c r="G2022" s="1277" t="s">
        <v>19</v>
      </c>
      <c r="H2022" s="1218">
        <v>5.4</v>
      </c>
      <c r="K2022" s="1192" t="s">
        <v>2585</v>
      </c>
      <c r="L2022" s="1192" t="s">
        <v>430</v>
      </c>
      <c r="P2022" s="1192" t="s">
        <v>2588</v>
      </c>
      <c r="V2022" s="1192">
        <v>14</v>
      </c>
    </row>
    <row r="2023" spans="1:22" s="1192" customFormat="1" x14ac:dyDescent="0.35">
      <c r="A2023" s="1192" t="s">
        <v>4737</v>
      </c>
      <c r="E2023" s="1264" t="s">
        <v>81</v>
      </c>
      <c r="F2023" s="550"/>
      <c r="G2023" s="550"/>
      <c r="H2023" s="881"/>
      <c r="K2023" s="1192" t="s">
        <v>4739</v>
      </c>
      <c r="V2023" s="1192">
        <v>10</v>
      </c>
    </row>
    <row r="2024" spans="1:22" s="1192" customFormat="1" ht="14.4" x14ac:dyDescent="0.3">
      <c r="A2024" s="1192" t="s">
        <v>4737</v>
      </c>
      <c r="E2024" s="1740" t="s">
        <v>2449</v>
      </c>
      <c r="F2024" s="1740"/>
      <c r="G2024" s="1277" t="s">
        <v>29</v>
      </c>
      <c r="H2024" s="1219">
        <v>-0.6</v>
      </c>
      <c r="V2024" s="1192">
        <v>68</v>
      </c>
    </row>
    <row r="2025" spans="1:22" s="1192" customFormat="1" ht="14.4" x14ac:dyDescent="0.3">
      <c r="A2025" s="1192" t="s">
        <v>4737</v>
      </c>
      <c r="E2025" s="1740" t="s">
        <v>2450</v>
      </c>
      <c r="F2025" s="1740"/>
      <c r="G2025" s="1277" t="s">
        <v>82</v>
      </c>
      <c r="H2025" s="1218">
        <v>-1</v>
      </c>
      <c r="V2025" s="1192">
        <v>87</v>
      </c>
    </row>
    <row r="2026" spans="1:22" s="1192" customFormat="1" x14ac:dyDescent="0.35">
      <c r="A2026" s="1192" t="s">
        <v>4737</v>
      </c>
      <c r="E2026" s="1264" t="s">
        <v>83</v>
      </c>
      <c r="F2026" s="550"/>
      <c r="G2026" s="550"/>
      <c r="H2026" s="881"/>
      <c r="K2026" s="1192" t="s">
        <v>4740</v>
      </c>
      <c r="V2026" s="1192">
        <v>24</v>
      </c>
    </row>
    <row r="2027" spans="1:22" s="1192" customFormat="1" ht="14.4" x14ac:dyDescent="0.3">
      <c r="A2027" s="1192" t="s">
        <v>4737</v>
      </c>
      <c r="E2027" s="1743" t="s">
        <v>2391</v>
      </c>
      <c r="F2027" s="1743"/>
      <c r="G2027" s="1743"/>
      <c r="H2027" s="1743"/>
      <c r="V2027" s="1192">
        <v>280</v>
      </c>
    </row>
    <row r="2028" spans="1:22" s="1192" customFormat="1" ht="14.4" x14ac:dyDescent="0.3">
      <c r="A2028" s="1192" t="s">
        <v>4737</v>
      </c>
      <c r="E2028" s="1743" t="s">
        <v>2452</v>
      </c>
      <c r="F2028" s="1743"/>
      <c r="G2028" s="1743"/>
      <c r="H2028" s="1743"/>
      <c r="V2028" s="1192">
        <v>353</v>
      </c>
    </row>
    <row r="2029" spans="1:22" s="1192" customFormat="1" ht="14.4" x14ac:dyDescent="0.3">
      <c r="A2029" s="1192" t="s">
        <v>4737</v>
      </c>
      <c r="E2029" s="1743" t="s">
        <v>4500</v>
      </c>
      <c r="F2029" s="1743"/>
      <c r="G2029" s="1743"/>
      <c r="H2029" s="1743"/>
      <c r="V2029" s="1192">
        <v>247</v>
      </c>
    </row>
    <row r="2030" spans="1:22" s="1192" customFormat="1" ht="14.4" x14ac:dyDescent="0.3">
      <c r="A2030" s="1192" t="s">
        <v>4737</v>
      </c>
      <c r="E2030" s="1257" t="s">
        <v>2453</v>
      </c>
      <c r="F2030" s="3"/>
      <c r="G2030" s="3"/>
      <c r="H2030" s="897"/>
      <c r="K2030" s="1192" t="s">
        <v>4741</v>
      </c>
      <c r="V2030" s="1192">
        <v>23</v>
      </c>
    </row>
    <row r="2031" spans="1:22" s="1192" customFormat="1" ht="14.4" x14ac:dyDescent="0.3">
      <c r="A2031" s="1192" t="s">
        <v>4737</v>
      </c>
      <c r="E2031" s="1745" t="s">
        <v>2639</v>
      </c>
      <c r="F2031" s="1745"/>
      <c r="G2031" s="1277" t="s">
        <v>19</v>
      </c>
      <c r="H2031" s="1218">
        <v>15</v>
      </c>
      <c r="V2031" s="1192">
        <v>19</v>
      </c>
    </row>
    <row r="2032" spans="1:22" s="1192" customFormat="1" ht="14.4" x14ac:dyDescent="0.3">
      <c r="A2032" s="1192" t="s">
        <v>4737</v>
      </c>
      <c r="E2032" s="1745" t="s">
        <v>2457</v>
      </c>
      <c r="F2032" s="1745"/>
      <c r="G2032" s="1277" t="s">
        <v>19</v>
      </c>
      <c r="H2032" s="1218">
        <v>15</v>
      </c>
      <c r="V2032" s="1192">
        <v>26</v>
      </c>
    </row>
    <row r="2033" spans="1:22" s="1192" customFormat="1" ht="14.4" x14ac:dyDescent="0.3">
      <c r="A2033" s="1192" t="s">
        <v>4737</v>
      </c>
      <c r="E2033" s="1745" t="s">
        <v>3663</v>
      </c>
      <c r="F2033" s="1745"/>
      <c r="G2033" s="1277" t="s">
        <v>19</v>
      </c>
      <c r="H2033" s="1218">
        <v>15</v>
      </c>
      <c r="V2033" s="1192">
        <v>15</v>
      </c>
    </row>
    <row r="2034" spans="1:22" s="1192" customFormat="1" ht="14.4" x14ac:dyDescent="0.3">
      <c r="A2034" s="1192" t="s">
        <v>4737</v>
      </c>
      <c r="E2034" s="1745" t="s">
        <v>2463</v>
      </c>
      <c r="F2034" s="1745"/>
      <c r="G2034" s="1277" t="s">
        <v>19</v>
      </c>
      <c r="H2034" s="1218">
        <v>15</v>
      </c>
      <c r="V2034" s="1192">
        <v>15</v>
      </c>
    </row>
    <row r="2035" spans="1:22" s="1192" customFormat="1" ht="14.4" x14ac:dyDescent="0.3">
      <c r="A2035" s="1192" t="s">
        <v>4737</v>
      </c>
      <c r="E2035" s="1745" t="s">
        <v>2464</v>
      </c>
      <c r="F2035" s="1745"/>
      <c r="G2035" s="1277" t="s">
        <v>19</v>
      </c>
      <c r="H2035" s="1218">
        <v>15</v>
      </c>
      <c r="V2035" s="1192">
        <v>56</v>
      </c>
    </row>
    <row r="2036" spans="1:22" s="1192" customFormat="1" ht="14.4" x14ac:dyDescent="0.3">
      <c r="A2036" s="1192" t="s">
        <v>4737</v>
      </c>
      <c r="E2036" s="1745" t="s">
        <v>119</v>
      </c>
      <c r="F2036" s="1745"/>
      <c r="G2036" s="1277" t="s">
        <v>19</v>
      </c>
      <c r="H2036" s="1218">
        <v>15</v>
      </c>
      <c r="V2036" s="1192">
        <v>35</v>
      </c>
    </row>
    <row r="2037" spans="1:22" s="1192" customFormat="1" ht="14.4" x14ac:dyDescent="0.3">
      <c r="A2037" s="1192" t="s">
        <v>4737</v>
      </c>
      <c r="E2037" s="1745" t="s">
        <v>84</v>
      </c>
      <c r="F2037" s="1745"/>
      <c r="G2037" s="1277" t="s">
        <v>19</v>
      </c>
      <c r="H2037" s="1218">
        <v>30</v>
      </c>
      <c r="V2037" s="1192">
        <v>89</v>
      </c>
    </row>
    <row r="2038" spans="1:22" s="1192" customFormat="1" ht="14.4" x14ac:dyDescent="0.3">
      <c r="A2038" s="1192" t="s">
        <v>4737</v>
      </c>
      <c r="E2038" s="1745" t="s">
        <v>90</v>
      </c>
      <c r="F2038" s="1745"/>
      <c r="G2038" s="1277" t="s">
        <v>19</v>
      </c>
      <c r="H2038" s="1218">
        <v>30</v>
      </c>
      <c r="V2038" s="1192">
        <v>19</v>
      </c>
    </row>
    <row r="2039" spans="1:22" s="1192" customFormat="1" ht="14.4" x14ac:dyDescent="0.3">
      <c r="A2039" s="1192" t="s">
        <v>4737</v>
      </c>
      <c r="E2039" s="1745" t="s">
        <v>88</v>
      </c>
      <c r="F2039" s="1745"/>
      <c r="G2039" s="1277" t="s">
        <v>19</v>
      </c>
      <c r="H2039" s="1218">
        <v>30</v>
      </c>
      <c r="V2039" s="1192">
        <v>74</v>
      </c>
    </row>
    <row r="2040" spans="1:22" s="1192" customFormat="1" ht="14.4" x14ac:dyDescent="0.3">
      <c r="A2040" s="1192" t="s">
        <v>4737</v>
      </c>
      <c r="E2040" s="1745" t="s">
        <v>3441</v>
      </c>
      <c r="F2040" s="1745"/>
      <c r="G2040" s="1277" t="s">
        <v>19</v>
      </c>
      <c r="H2040" s="1218">
        <v>50</v>
      </c>
      <c r="V2040" s="1192">
        <v>26</v>
      </c>
    </row>
    <row r="2041" spans="1:22" s="1192" customFormat="1" ht="14.4" x14ac:dyDescent="0.3">
      <c r="A2041" s="1192" t="s">
        <v>4737</v>
      </c>
      <c r="E2041" s="1745" t="s">
        <v>3442</v>
      </c>
      <c r="F2041" s="1745"/>
      <c r="G2041" s="1277" t="s">
        <v>19</v>
      </c>
      <c r="H2041" s="1218">
        <v>105</v>
      </c>
      <c r="V2041" s="1192">
        <v>46</v>
      </c>
    </row>
    <row r="2042" spans="1:22" s="1192" customFormat="1" ht="14.4" x14ac:dyDescent="0.3">
      <c r="A2042" s="1192" t="s">
        <v>4737</v>
      </c>
      <c r="E2042" s="1745" t="s">
        <v>3443</v>
      </c>
      <c r="F2042" s="1745"/>
      <c r="G2042" s="1277" t="s">
        <v>19</v>
      </c>
      <c r="H2042" s="1218">
        <v>180</v>
      </c>
      <c r="V2042" s="1192">
        <v>34</v>
      </c>
    </row>
    <row r="2043" spans="1:22" s="1192" customFormat="1" ht="14.4" x14ac:dyDescent="0.3">
      <c r="A2043" s="1192" t="s">
        <v>4737</v>
      </c>
      <c r="E2043" s="1256" t="s">
        <v>6190</v>
      </c>
      <c r="F2043" s="1256"/>
      <c r="G2043" s="1277" t="s">
        <v>19</v>
      </c>
      <c r="H2043" s="1218">
        <v>7.5</v>
      </c>
      <c r="V2043" s="1192">
        <v>29</v>
      </c>
    </row>
    <row r="2044" spans="1:22" s="1192" customFormat="1" ht="14.4" x14ac:dyDescent="0.3">
      <c r="A2044" s="1192" t="s">
        <v>4737</v>
      </c>
      <c r="E2044" s="1257" t="s">
        <v>6191</v>
      </c>
      <c r="F2044" s="3"/>
      <c r="G2044" s="3"/>
      <c r="H2044" s="897"/>
      <c r="V2044" s="1192">
        <v>23</v>
      </c>
    </row>
    <row r="2045" spans="1:22" s="1192" customFormat="1" ht="14.4" x14ac:dyDescent="0.3">
      <c r="A2045" s="1192" t="s">
        <v>4737</v>
      </c>
      <c r="E2045" s="1745" t="s">
        <v>5617</v>
      </c>
      <c r="F2045" s="1745"/>
      <c r="G2045" s="1277" t="s">
        <v>82</v>
      </c>
      <c r="H2045" s="1218">
        <v>1.5</v>
      </c>
      <c r="V2045" s="1192">
        <v>99</v>
      </c>
    </row>
    <row r="2046" spans="1:22" s="1192" customFormat="1" ht="14.4" x14ac:dyDescent="0.3">
      <c r="A2046" s="1192" t="s">
        <v>4737</v>
      </c>
      <c r="E2046" s="1745" t="s">
        <v>6192</v>
      </c>
      <c r="F2046" s="1745"/>
      <c r="G2046" s="1277" t="s">
        <v>19</v>
      </c>
      <c r="H2046" s="1218">
        <v>65</v>
      </c>
      <c r="V2046" s="1192">
        <v>41</v>
      </c>
    </row>
    <row r="2047" spans="1:22" s="1192" customFormat="1" ht="14.4" x14ac:dyDescent="0.3">
      <c r="A2047" s="1192" t="s">
        <v>4737</v>
      </c>
      <c r="E2047" s="1745" t="s">
        <v>6193</v>
      </c>
      <c r="F2047" s="1745"/>
      <c r="G2047" s="1277" t="s">
        <v>19</v>
      </c>
      <c r="H2047" s="1218">
        <v>185</v>
      </c>
      <c r="V2047" s="1192">
        <v>40</v>
      </c>
    </row>
    <row r="2048" spans="1:22" s="1192" customFormat="1" ht="14.4" x14ac:dyDescent="0.3">
      <c r="A2048" s="1192" t="s">
        <v>4737</v>
      </c>
      <c r="E2048" s="1257" t="s">
        <v>2474</v>
      </c>
      <c r="F2048" s="3"/>
      <c r="G2048" s="3"/>
      <c r="H2048" s="897"/>
      <c r="V2048" s="1192">
        <v>5</v>
      </c>
    </row>
    <row r="2049" spans="1:22" s="1192" customFormat="1" ht="14.4" x14ac:dyDescent="0.3">
      <c r="A2049" s="1192" t="s">
        <v>4737</v>
      </c>
      <c r="E2049" s="1745" t="s">
        <v>3444</v>
      </c>
      <c r="F2049" s="1745"/>
      <c r="G2049" s="1277" t="s">
        <v>19</v>
      </c>
      <c r="H2049" s="1218">
        <v>110</v>
      </c>
      <c r="V2049" s="1192">
        <v>28</v>
      </c>
    </row>
    <row r="2050" spans="1:22" s="1192" customFormat="1" ht="14.4" x14ac:dyDescent="0.3">
      <c r="A2050" s="1192" t="s">
        <v>4737</v>
      </c>
      <c r="E2050" s="1745" t="s">
        <v>3445</v>
      </c>
      <c r="F2050" s="1745"/>
      <c r="G2050" s="1277" t="s">
        <v>19</v>
      </c>
      <c r="H2050" s="1218">
        <v>150</v>
      </c>
      <c r="V2050" s="1192">
        <v>27</v>
      </c>
    </row>
    <row r="2051" spans="1:22" s="1192" customFormat="1" ht="14.4" x14ac:dyDescent="0.3">
      <c r="A2051" s="1192" t="s">
        <v>4737</v>
      </c>
      <c r="E2051" s="1745" t="s">
        <v>3446</v>
      </c>
      <c r="F2051" s="1745"/>
      <c r="G2051" s="1277" t="s">
        <v>19</v>
      </c>
      <c r="H2051" s="1218">
        <v>60</v>
      </c>
      <c r="V2051" s="1192">
        <v>15</v>
      </c>
    </row>
    <row r="2052" spans="1:22" s="1192" customFormat="1" ht="14.4" x14ac:dyDescent="0.3">
      <c r="A2052" s="1192" t="s">
        <v>4737</v>
      </c>
      <c r="E2052" s="1745" t="s">
        <v>3447</v>
      </c>
      <c r="F2052" s="1745"/>
      <c r="G2052" s="1277" t="s">
        <v>19</v>
      </c>
      <c r="H2052" s="1218">
        <v>95</v>
      </c>
      <c r="V2052" s="1192">
        <v>26</v>
      </c>
    </row>
    <row r="2053" spans="1:22" s="1192" customFormat="1" ht="14.4" x14ac:dyDescent="0.3">
      <c r="A2053" s="1192" t="s">
        <v>4737</v>
      </c>
      <c r="E2053" s="1745" t="s">
        <v>3448</v>
      </c>
      <c r="F2053" s="1745"/>
      <c r="G2053" s="1277" t="s">
        <v>19</v>
      </c>
      <c r="H2053" s="1218">
        <v>65</v>
      </c>
      <c r="V2053" s="1192">
        <v>26</v>
      </c>
    </row>
    <row r="2054" spans="1:22" s="1192" customFormat="1" ht="14.4" x14ac:dyDescent="0.3">
      <c r="A2054" s="1192" t="s">
        <v>4737</v>
      </c>
      <c r="E2054" s="1745" t="s">
        <v>2477</v>
      </c>
      <c r="F2054" s="1745"/>
      <c r="G2054" s="1277" t="s">
        <v>19</v>
      </c>
      <c r="H2054" s="1218">
        <v>30</v>
      </c>
      <c r="V2054" s="1192">
        <v>39</v>
      </c>
    </row>
    <row r="2055" spans="1:22" s="1192" customFormat="1" ht="14.4" x14ac:dyDescent="0.3">
      <c r="A2055" s="1192" t="s">
        <v>4737</v>
      </c>
      <c r="E2055" s="1745" t="s">
        <v>3449</v>
      </c>
      <c r="F2055" s="1745"/>
      <c r="G2055" s="1277" t="s">
        <v>19</v>
      </c>
      <c r="H2055" s="1218">
        <v>170</v>
      </c>
      <c r="V2055" s="1192">
        <v>20</v>
      </c>
    </row>
    <row r="2056" spans="1:22" s="1192" customFormat="1" ht="14.4" x14ac:dyDescent="0.3">
      <c r="A2056" s="1192" t="s">
        <v>4737</v>
      </c>
      <c r="E2056" s="1745" t="s">
        <v>3450</v>
      </c>
      <c r="F2056" s="1745"/>
      <c r="G2056" s="1277" t="s">
        <v>19</v>
      </c>
      <c r="H2056" s="1218">
        <v>100</v>
      </c>
      <c r="V2056" s="1192">
        <v>25</v>
      </c>
    </row>
    <row r="2057" spans="1:22" s="1192" customFormat="1" ht="14.4" x14ac:dyDescent="0.3">
      <c r="A2057" s="1192" t="s">
        <v>4737</v>
      </c>
      <c r="E2057" s="1745" t="s">
        <v>2760</v>
      </c>
      <c r="F2057" s="1745"/>
      <c r="G2057" s="1277" t="s">
        <v>19</v>
      </c>
      <c r="H2057" s="1218">
        <v>44.5</v>
      </c>
      <c r="V2057" s="1192">
        <v>59</v>
      </c>
    </row>
    <row r="2058" spans="1:22" s="1192" customFormat="1" ht="14.4" x14ac:dyDescent="0.3">
      <c r="A2058" s="1192" t="s">
        <v>4737</v>
      </c>
      <c r="E2058" s="1745" t="s">
        <v>2832</v>
      </c>
      <c r="F2058" s="1745"/>
      <c r="G2058" s="1277"/>
      <c r="H2058" s="837"/>
      <c r="V2058" s="1192">
        <v>45</v>
      </c>
    </row>
    <row r="2059" spans="1:22" s="1192" customFormat="1" ht="35.4" x14ac:dyDescent="0.35">
      <c r="A2059" s="1192" t="s">
        <v>4737</v>
      </c>
      <c r="E2059" s="1264" t="s">
        <v>73</v>
      </c>
      <c r="F2059" s="550"/>
      <c r="G2059" s="550"/>
      <c r="H2059" s="881"/>
      <c r="K2059" s="1192" t="s">
        <v>4742</v>
      </c>
      <c r="V2059" s="1192">
        <v>38</v>
      </c>
    </row>
    <row r="2060" spans="1:22" s="1192" customFormat="1" ht="14.4" x14ac:dyDescent="0.3">
      <c r="A2060" s="1192" t="s">
        <v>4737</v>
      </c>
      <c r="E2060" s="1743" t="s">
        <v>2391</v>
      </c>
      <c r="F2060" s="1743"/>
      <c r="G2060" s="1743"/>
      <c r="H2060" s="1743"/>
      <c r="V2060" s="1192">
        <v>280</v>
      </c>
    </row>
    <row r="2061" spans="1:22" s="1192" customFormat="1" ht="14.4" x14ac:dyDescent="0.3">
      <c r="A2061" s="1192" t="s">
        <v>4737</v>
      </c>
      <c r="E2061" s="1743" t="s">
        <v>2392</v>
      </c>
      <c r="F2061" s="1743"/>
      <c r="G2061" s="1743"/>
      <c r="H2061" s="1743"/>
      <c r="V2061" s="1192">
        <v>411</v>
      </c>
    </row>
    <row r="2062" spans="1:22" s="1192" customFormat="1" ht="14.4" x14ac:dyDescent="0.3">
      <c r="A2062" s="1192" t="s">
        <v>4737</v>
      </c>
      <c r="E2062" s="1743" t="s">
        <v>2445</v>
      </c>
      <c r="F2062" s="1743"/>
      <c r="G2062" s="1743"/>
      <c r="H2062" s="1743"/>
      <c r="V2062" s="1192">
        <v>211</v>
      </c>
    </row>
    <row r="2063" spans="1:22" s="1192" customFormat="1" ht="14.4" x14ac:dyDescent="0.3">
      <c r="A2063" s="1192" t="s">
        <v>4737</v>
      </c>
      <c r="E2063" s="1743" t="s">
        <v>4500</v>
      </c>
      <c r="F2063" s="1743"/>
      <c r="G2063" s="1743"/>
      <c r="H2063" s="1743"/>
      <c r="V2063" s="1192">
        <v>247</v>
      </c>
    </row>
    <row r="2064" spans="1:22" s="1192" customFormat="1" ht="14.4" x14ac:dyDescent="0.3">
      <c r="A2064" s="1192" t="s">
        <v>4737</v>
      </c>
      <c r="E2064" s="1743" t="s">
        <v>2595</v>
      </c>
      <c r="F2064" s="1743"/>
      <c r="G2064" s="1743"/>
      <c r="H2064" s="1743"/>
      <c r="V2064" s="1192">
        <v>142</v>
      </c>
    </row>
    <row r="2065" spans="1:22" s="1192" customFormat="1" ht="14.4" x14ac:dyDescent="0.3">
      <c r="A2065" s="1192" t="s">
        <v>4737</v>
      </c>
      <c r="E2065" s="1740" t="s">
        <v>2485</v>
      </c>
      <c r="F2065" s="1740"/>
      <c r="G2065" s="360" t="s">
        <v>19</v>
      </c>
      <c r="H2065" s="1218">
        <v>102</v>
      </c>
      <c r="V2065" s="1192">
        <v>106</v>
      </c>
    </row>
    <row r="2066" spans="1:22" s="1192" customFormat="1" ht="14.4" x14ac:dyDescent="0.3">
      <c r="A2066" s="1192" t="s">
        <v>4737</v>
      </c>
      <c r="E2066" s="1740" t="s">
        <v>3919</v>
      </c>
      <c r="F2066" s="1740"/>
      <c r="G2066" s="360" t="s">
        <v>19</v>
      </c>
      <c r="H2066" s="1218">
        <v>40.799999999999997</v>
      </c>
      <c r="V2066" s="1192">
        <v>34</v>
      </c>
    </row>
    <row r="2067" spans="1:22" s="1192" customFormat="1" ht="14.4" x14ac:dyDescent="0.3">
      <c r="A2067" s="1192" t="s">
        <v>4737</v>
      </c>
      <c r="E2067" s="1740" t="s">
        <v>3920</v>
      </c>
      <c r="F2067" s="1740"/>
      <c r="G2067" s="360" t="s">
        <v>2488</v>
      </c>
      <c r="H2067" s="1218">
        <v>1.02</v>
      </c>
      <c r="V2067" s="1192">
        <v>51</v>
      </c>
    </row>
    <row r="2068" spans="1:22" s="1192" customFormat="1" ht="14.4" x14ac:dyDescent="0.3">
      <c r="A2068" s="1192" t="s">
        <v>4737</v>
      </c>
      <c r="E2068" s="1740" t="s">
        <v>2489</v>
      </c>
      <c r="F2068" s="1740"/>
      <c r="G2068" s="360" t="s">
        <v>2488</v>
      </c>
      <c r="H2068" s="1218">
        <v>0.61</v>
      </c>
      <c r="V2068" s="1192">
        <v>75</v>
      </c>
    </row>
    <row r="2069" spans="1:22" s="1192" customFormat="1" ht="14.4" x14ac:dyDescent="0.3">
      <c r="A2069" s="1192" t="s">
        <v>4737</v>
      </c>
      <c r="E2069" s="1740" t="s">
        <v>2490</v>
      </c>
      <c r="F2069" s="1740"/>
      <c r="G2069" s="360" t="s">
        <v>2488</v>
      </c>
      <c r="H2069" s="1218">
        <v>-0.61</v>
      </c>
      <c r="V2069" s="1192">
        <v>72</v>
      </c>
    </row>
    <row r="2070" spans="1:22" s="1192" customFormat="1" ht="14.4" x14ac:dyDescent="0.3">
      <c r="A2070" s="1192" t="s">
        <v>4737</v>
      </c>
      <c r="E2070" s="1740" t="s">
        <v>2596</v>
      </c>
      <c r="F2070" s="1740"/>
      <c r="G2070" s="360"/>
      <c r="H2070" s="837"/>
      <c r="V2070" s="1192">
        <v>34</v>
      </c>
    </row>
    <row r="2071" spans="1:22" s="1192" customFormat="1" ht="14.4" x14ac:dyDescent="0.3">
      <c r="A2071" s="1192" t="s">
        <v>4737</v>
      </c>
      <c r="E2071" s="1742" t="s">
        <v>2492</v>
      </c>
      <c r="F2071" s="1742"/>
      <c r="G2071" s="360" t="s">
        <v>19</v>
      </c>
      <c r="H2071" s="1218">
        <v>0.51</v>
      </c>
      <c r="V2071" s="1192">
        <v>57</v>
      </c>
    </row>
    <row r="2072" spans="1:22" s="1192" customFormat="1" ht="14.4" x14ac:dyDescent="0.3">
      <c r="A2072" s="1192" t="s">
        <v>4737</v>
      </c>
      <c r="E2072" s="1742" t="s">
        <v>2493</v>
      </c>
      <c r="F2072" s="1742"/>
      <c r="G2072" s="360" t="s">
        <v>19</v>
      </c>
      <c r="H2072" s="1218">
        <v>1.02</v>
      </c>
      <c r="V2072" s="1192">
        <v>60</v>
      </c>
    </row>
    <row r="2073" spans="1:22" s="1192" customFormat="1" ht="14.4" x14ac:dyDescent="0.3">
      <c r="A2073" s="1192" t="s">
        <v>4737</v>
      </c>
      <c r="E2073" s="1740" t="s">
        <v>2494</v>
      </c>
      <c r="F2073" s="1740"/>
      <c r="G2073" s="360"/>
      <c r="H2073" s="837"/>
      <c r="V2073" s="1192">
        <v>91</v>
      </c>
    </row>
    <row r="2074" spans="1:22" s="1192" customFormat="1" ht="14.4" x14ac:dyDescent="0.3">
      <c r="A2074" s="1192" t="s">
        <v>4737</v>
      </c>
      <c r="E2074" s="1740" t="s">
        <v>2495</v>
      </c>
      <c r="F2074" s="1740"/>
      <c r="G2074" s="360"/>
      <c r="H2074" s="837"/>
      <c r="V2074" s="1192">
        <v>96</v>
      </c>
    </row>
    <row r="2075" spans="1:22" s="1192" customFormat="1" ht="14.4" x14ac:dyDescent="0.3">
      <c r="A2075" s="1192" t="s">
        <v>4737</v>
      </c>
      <c r="E2075" s="1740" t="s">
        <v>2597</v>
      </c>
      <c r="F2075" s="1740"/>
      <c r="G2075" s="360"/>
      <c r="H2075" s="837"/>
      <c r="V2075" s="1192">
        <v>77</v>
      </c>
    </row>
    <row r="2076" spans="1:22" s="1192" customFormat="1" ht="14.4" x14ac:dyDescent="0.3">
      <c r="A2076" s="1192" t="s">
        <v>4737</v>
      </c>
      <c r="E2076" s="1742" t="s">
        <v>2497</v>
      </c>
      <c r="F2076" s="1742"/>
      <c r="G2076" s="360" t="s">
        <v>19</v>
      </c>
      <c r="H2076" s="837" t="s">
        <v>2498</v>
      </c>
      <c r="V2076" s="1192">
        <v>18</v>
      </c>
    </row>
    <row r="2077" spans="1:22" s="1192" customFormat="1" ht="14.4" x14ac:dyDescent="0.3">
      <c r="A2077" s="1192" t="s">
        <v>4737</v>
      </c>
      <c r="E2077" s="1742" t="s">
        <v>2499</v>
      </c>
      <c r="F2077" s="1742"/>
      <c r="G2077" s="360" t="s">
        <v>19</v>
      </c>
      <c r="H2077" s="1218">
        <v>4.08</v>
      </c>
      <c r="V2077" s="1192">
        <v>69</v>
      </c>
    </row>
    <row r="2078" spans="1:22" s="1192" customFormat="1" x14ac:dyDescent="0.35">
      <c r="A2078" s="1192" t="s">
        <v>4737</v>
      </c>
      <c r="E2078" s="1264" t="s">
        <v>143</v>
      </c>
      <c r="F2078" s="550"/>
      <c r="G2078" s="550"/>
      <c r="H2078" s="881"/>
      <c r="K2078" s="1192" t="s">
        <v>4743</v>
      </c>
      <c r="V2078" s="1192">
        <v>12</v>
      </c>
    </row>
    <row r="2079" spans="1:22" s="1192" customFormat="1" ht="14.4" x14ac:dyDescent="0.3">
      <c r="A2079" s="1192" t="s">
        <v>4737</v>
      </c>
      <c r="E2079" s="1741" t="s">
        <v>2501</v>
      </c>
      <c r="F2079" s="1741"/>
      <c r="G2079" s="1741"/>
      <c r="H2079" s="1741"/>
      <c r="V2079" s="1192">
        <v>203</v>
      </c>
    </row>
    <row r="2080" spans="1:22" s="1192" customFormat="1" ht="14.4" x14ac:dyDescent="0.3">
      <c r="A2080" s="1192" t="s">
        <v>4737</v>
      </c>
      <c r="E2080" s="1740" t="s">
        <v>2599</v>
      </c>
      <c r="F2080" s="1740"/>
      <c r="G2080" s="1277"/>
      <c r="H2080" s="837">
        <v>1.0310999999999999</v>
      </c>
      <c r="V2080" s="1192">
        <v>57</v>
      </c>
    </row>
    <row r="2081" spans="1:22" s="1192" customFormat="1" ht="14.4" x14ac:dyDescent="0.3">
      <c r="A2081" s="1192" t="s">
        <v>4737</v>
      </c>
      <c r="E2081" s="1740" t="s">
        <v>2600</v>
      </c>
      <c r="F2081" s="1740"/>
      <c r="G2081" s="1277"/>
      <c r="H2081" s="837">
        <v>1.0145</v>
      </c>
      <c r="V2081" s="1192">
        <v>57</v>
      </c>
    </row>
    <row r="2082" spans="1:22" s="1192" customFormat="1" ht="14.4" x14ac:dyDescent="0.3">
      <c r="A2082" s="1192" t="s">
        <v>4737</v>
      </c>
      <c r="E2082" s="1740" t="s">
        <v>2601</v>
      </c>
      <c r="F2082" s="1740"/>
      <c r="G2082" s="1277"/>
      <c r="H2082" s="837">
        <v>1.0206999999999999</v>
      </c>
      <c r="V2082" s="1192">
        <v>55</v>
      </c>
    </row>
    <row r="2083" spans="1:22" s="1192" customFormat="1" ht="14.4" x14ac:dyDescent="0.3">
      <c r="A2083" s="1192" t="s">
        <v>4737</v>
      </c>
      <c r="E2083" s="1740" t="s">
        <v>2602</v>
      </c>
      <c r="F2083" s="1740"/>
      <c r="G2083" s="1277"/>
      <c r="H2083" s="837">
        <v>1.0044999999999999</v>
      </c>
      <c r="J2083" s="1192" t="s">
        <v>4744</v>
      </c>
      <c r="V2083" s="1192">
        <v>55</v>
      </c>
    </row>
    <row r="2084" spans="1:22" s="1192" customFormat="1" ht="22.8" x14ac:dyDescent="0.3">
      <c r="A2084" s="1192" t="s">
        <v>176</v>
      </c>
      <c r="C2084" s="1192" t="s">
        <v>2378</v>
      </c>
      <c r="E2084" s="1752" t="s">
        <v>176</v>
      </c>
      <c r="F2084" s="2039"/>
      <c r="G2084" s="2039"/>
      <c r="H2084" s="2039"/>
      <c r="I2084" s="1192" t="s">
        <v>603</v>
      </c>
      <c r="J2084" s="1192" t="s">
        <v>3373</v>
      </c>
      <c r="K2084" s="1192" t="s">
        <v>176</v>
      </c>
      <c r="M2084" s="1192">
        <v>8</v>
      </c>
      <c r="V2084" s="1192">
        <v>19</v>
      </c>
    </row>
    <row r="2085" spans="1:22" s="1192" customFormat="1" ht="17.399999999999999" x14ac:dyDescent="0.3">
      <c r="A2085" s="1192" t="s">
        <v>176</v>
      </c>
      <c r="C2085" s="1192" t="s">
        <v>2380</v>
      </c>
      <c r="E2085" s="1753" t="s">
        <v>2381</v>
      </c>
      <c r="F2085" s="2040"/>
      <c r="G2085" s="2040"/>
      <c r="H2085" s="2040"/>
      <c r="V2085" s="1192">
        <v>27</v>
      </c>
    </row>
    <row r="2086" spans="1:22" s="1192" customFormat="1" ht="15.6" x14ac:dyDescent="0.3">
      <c r="A2086" s="1192" t="s">
        <v>176</v>
      </c>
      <c r="C2086" s="1192" t="s">
        <v>2382</v>
      </c>
      <c r="E2086" s="1754" t="s">
        <v>5937</v>
      </c>
      <c r="F2086" s="2020"/>
      <c r="G2086" s="2020"/>
      <c r="H2086" s="2020"/>
      <c r="S2086" s="1192">
        <v>43831</v>
      </c>
      <c r="V2086" s="1192">
        <v>49</v>
      </c>
    </row>
    <row r="2087" spans="1:22" s="1192" customFormat="1" ht="14.4" x14ac:dyDescent="0.3">
      <c r="A2087" s="1192" t="s">
        <v>176</v>
      </c>
      <c r="C2087" s="1192" t="s">
        <v>2383</v>
      </c>
      <c r="E2087" s="1755" t="s">
        <v>2384</v>
      </c>
      <c r="F2087" s="2021"/>
      <c r="G2087" s="2021"/>
      <c r="H2087" s="2021"/>
      <c r="V2087" s="1192">
        <v>52</v>
      </c>
    </row>
    <row r="2088" spans="1:22" s="1192" customFormat="1" ht="14.4" x14ac:dyDescent="0.3">
      <c r="A2088" s="1192" t="s">
        <v>176</v>
      </c>
      <c r="E2088" s="1755" t="s">
        <v>2385</v>
      </c>
      <c r="F2088" s="2021"/>
      <c r="G2088" s="2021"/>
      <c r="H2088" s="2021"/>
      <c r="V2088" s="1192">
        <v>53</v>
      </c>
    </row>
    <row r="2089" spans="1:22" s="1192" customFormat="1" ht="14.4" x14ac:dyDescent="0.3">
      <c r="A2089" s="1192" t="s">
        <v>176</v>
      </c>
      <c r="E2089" s="1772" t="s">
        <v>6194</v>
      </c>
      <c r="F2089" s="2022"/>
      <c r="G2089" s="2022"/>
      <c r="H2089" s="2022"/>
      <c r="K2089" s="1192" t="s">
        <v>6194</v>
      </c>
      <c r="V2089" s="1192">
        <v>12</v>
      </c>
    </row>
    <row r="2090" spans="1:22" s="1192" customFormat="1" ht="14.4" x14ac:dyDescent="0.3">
      <c r="A2090" s="1192" t="s">
        <v>176</v>
      </c>
      <c r="E2090" s="1746" t="s">
        <v>427</v>
      </c>
      <c r="F2090" s="1743"/>
      <c r="G2090" s="1743"/>
      <c r="H2090" s="1743"/>
      <c r="K2090" s="1192" t="s">
        <v>2506</v>
      </c>
      <c r="V2090" s="1192">
        <v>34</v>
      </c>
    </row>
    <row r="2091" spans="1:22" s="1192" customFormat="1" ht="14.4" x14ac:dyDescent="0.3">
      <c r="A2091" s="1192" t="s">
        <v>176</v>
      </c>
      <c r="E2091" s="1743" t="s">
        <v>3374</v>
      </c>
      <c r="F2091" s="1743"/>
      <c r="G2091" s="1743"/>
      <c r="H2091" s="1743"/>
      <c r="K2091" s="1192" t="s">
        <v>2506</v>
      </c>
      <c r="V2091" s="1192">
        <v>79</v>
      </c>
    </row>
    <row r="2092" spans="1:22" s="1192" customFormat="1" ht="14.4" x14ac:dyDescent="0.3">
      <c r="A2092" s="1192" t="s">
        <v>176</v>
      </c>
      <c r="E2092" s="1743" t="s">
        <v>3375</v>
      </c>
      <c r="F2092" s="1743"/>
      <c r="G2092" s="1743"/>
      <c r="H2092" s="1743"/>
      <c r="K2092" s="1192" t="s">
        <v>2506</v>
      </c>
      <c r="V2092" s="1192">
        <v>73</v>
      </c>
    </row>
    <row r="2093" spans="1:22" s="1192" customFormat="1" ht="14.4" x14ac:dyDescent="0.3">
      <c r="A2093" s="1192" t="s">
        <v>176</v>
      </c>
      <c r="E2093" s="1743" t="s">
        <v>3376</v>
      </c>
      <c r="F2093" s="1743"/>
      <c r="G2093" s="1743"/>
      <c r="H2093" s="1743"/>
      <c r="K2093" s="1192" t="s">
        <v>2506</v>
      </c>
      <c r="V2093" s="1192">
        <v>65</v>
      </c>
    </row>
    <row r="2094" spans="1:22" s="1192" customFormat="1" ht="14.4" x14ac:dyDescent="0.3">
      <c r="A2094" s="1192" t="s">
        <v>176</v>
      </c>
      <c r="E2094" s="1743" t="s">
        <v>3377</v>
      </c>
      <c r="F2094" s="1743"/>
      <c r="G2094" s="1743"/>
      <c r="H2094" s="1743"/>
      <c r="K2094" s="1192" t="s">
        <v>2506</v>
      </c>
      <c r="V2094" s="1192">
        <v>47</v>
      </c>
    </row>
    <row r="2095" spans="1:22" s="1192" customFormat="1" ht="14.4" x14ac:dyDescent="0.3">
      <c r="A2095" s="1192" t="s">
        <v>176</v>
      </c>
      <c r="E2095" s="1743" t="s">
        <v>3378</v>
      </c>
      <c r="F2095" s="1743"/>
      <c r="G2095" s="1743"/>
      <c r="H2095" s="1743"/>
      <c r="K2095" s="1192" t="s">
        <v>2506</v>
      </c>
      <c r="V2095" s="1192">
        <v>92</v>
      </c>
    </row>
    <row r="2096" spans="1:22" s="1192" customFormat="1" ht="14.4" x14ac:dyDescent="0.3">
      <c r="A2096" s="1192" t="s">
        <v>176</v>
      </c>
      <c r="E2096" s="1743" t="s">
        <v>3379</v>
      </c>
      <c r="F2096" s="1743"/>
      <c r="G2096" s="1743"/>
      <c r="H2096" s="1743"/>
      <c r="K2096" s="1192" t="s">
        <v>2506</v>
      </c>
      <c r="V2096" s="1192">
        <v>58</v>
      </c>
    </row>
    <row r="2097" spans="1:22" s="1192" customFormat="1" ht="14.4" x14ac:dyDescent="0.3">
      <c r="A2097" s="1192" t="s">
        <v>176</v>
      </c>
      <c r="E2097" s="1743" t="s">
        <v>3380</v>
      </c>
      <c r="F2097" s="1743"/>
      <c r="G2097" s="1743"/>
      <c r="H2097" s="1743"/>
      <c r="K2097" s="1192" t="s">
        <v>2506</v>
      </c>
      <c r="V2097" s="1192">
        <v>90</v>
      </c>
    </row>
    <row r="2098" spans="1:22" s="1192" customFormat="1" ht="14.4" x14ac:dyDescent="0.3">
      <c r="A2098" s="1192" t="s">
        <v>176</v>
      </c>
      <c r="E2098" s="1743" t="s">
        <v>3381</v>
      </c>
      <c r="F2098" s="1743"/>
      <c r="G2098" s="1743"/>
      <c r="H2098" s="1743"/>
      <c r="K2098" s="1192" t="s">
        <v>2506</v>
      </c>
      <c r="V2098" s="1192">
        <v>149</v>
      </c>
    </row>
    <row r="2099" spans="1:22" s="1192" customFormat="1" ht="14.4" x14ac:dyDescent="0.3">
      <c r="A2099" s="1192" t="s">
        <v>176</v>
      </c>
      <c r="E2099" s="1750" t="s">
        <v>2389</v>
      </c>
      <c r="F2099" s="1743"/>
      <c r="G2099" s="1743"/>
      <c r="H2099" s="1743"/>
      <c r="K2099" s="1192" t="s">
        <v>2390</v>
      </c>
      <c r="V2099" s="1192">
        <v>11</v>
      </c>
    </row>
    <row r="2100" spans="1:22" s="1192" customFormat="1" ht="14.4" x14ac:dyDescent="0.3">
      <c r="A2100" s="1192" t="s">
        <v>176</v>
      </c>
      <c r="E2100" s="1743" t="s">
        <v>2391</v>
      </c>
      <c r="F2100" s="1743"/>
      <c r="G2100" s="1743"/>
      <c r="H2100" s="1743"/>
      <c r="K2100" s="1192" t="s">
        <v>2506</v>
      </c>
      <c r="V2100" s="1192">
        <v>280</v>
      </c>
    </row>
    <row r="2101" spans="1:22" s="1192" customFormat="1" ht="14.4" x14ac:dyDescent="0.3">
      <c r="A2101" s="1192" t="s">
        <v>176</v>
      </c>
      <c r="E2101" s="1743" t="s">
        <v>2392</v>
      </c>
      <c r="F2101" s="1743"/>
      <c r="G2101" s="1743"/>
      <c r="H2101" s="1743"/>
      <c r="K2101" s="1192" t="s">
        <v>2506</v>
      </c>
      <c r="V2101" s="1192">
        <v>411</v>
      </c>
    </row>
    <row r="2102" spans="1:22" s="1192" customFormat="1" ht="14.4" x14ac:dyDescent="0.3">
      <c r="A2102" s="1192" t="s">
        <v>176</v>
      </c>
      <c r="E2102" s="1743" t="s">
        <v>2508</v>
      </c>
      <c r="F2102" s="1743"/>
      <c r="G2102" s="1743"/>
      <c r="H2102" s="1743"/>
      <c r="K2102" s="1192" t="s">
        <v>2506</v>
      </c>
      <c r="V2102" s="1192">
        <v>386</v>
      </c>
    </row>
    <row r="2103" spans="1:22" s="1192" customFormat="1" ht="14.4" x14ac:dyDescent="0.3">
      <c r="A2103" s="1192" t="s">
        <v>176</v>
      </c>
      <c r="E2103" s="1743" t="s">
        <v>2986</v>
      </c>
      <c r="F2103" s="1743"/>
      <c r="G2103" s="1743"/>
      <c r="H2103" s="1743"/>
      <c r="K2103" s="1192" t="s">
        <v>2506</v>
      </c>
      <c r="V2103" s="1192">
        <v>246</v>
      </c>
    </row>
    <row r="2104" spans="1:22" s="1192" customFormat="1" ht="14.4" x14ac:dyDescent="0.3">
      <c r="A2104" s="1192" t="s">
        <v>176</v>
      </c>
      <c r="E2104" s="1750" t="s">
        <v>2394</v>
      </c>
      <c r="F2104" s="1743"/>
      <c r="G2104" s="1743"/>
      <c r="H2104" s="1743"/>
      <c r="K2104" s="1192" t="s">
        <v>2395</v>
      </c>
      <c r="V2104" s="1192">
        <v>46</v>
      </c>
    </row>
    <row r="2105" spans="1:22" s="1192" customFormat="1" ht="14.4" x14ac:dyDescent="0.3">
      <c r="A2105" s="1192" t="s">
        <v>176</v>
      </c>
      <c r="E2105" s="1741" t="s">
        <v>7</v>
      </c>
      <c r="F2105" s="1741"/>
      <c r="G2105" s="1277" t="s">
        <v>19</v>
      </c>
      <c r="H2105" s="1218">
        <v>28.52</v>
      </c>
      <c r="K2105" s="1192" t="s">
        <v>2506</v>
      </c>
      <c r="L2105" s="1192" t="s">
        <v>430</v>
      </c>
      <c r="P2105" s="1192" t="s">
        <v>2510</v>
      </c>
      <c r="V2105" s="1192">
        <v>14</v>
      </c>
    </row>
    <row r="2106" spans="1:22" s="1192" customFormat="1" ht="14.4" x14ac:dyDescent="0.3">
      <c r="A2106" s="1192" t="s">
        <v>176</v>
      </c>
      <c r="E2106" s="1741" t="s">
        <v>3900</v>
      </c>
      <c r="F2106" s="1741"/>
      <c r="G2106" s="1277" t="s">
        <v>19</v>
      </c>
      <c r="H2106" s="1218">
        <v>0.56999999999999995</v>
      </c>
      <c r="K2106" s="1192" t="s">
        <v>2506</v>
      </c>
      <c r="L2106" s="1192" t="s">
        <v>431</v>
      </c>
      <c r="P2106" s="1192" t="s">
        <v>2511</v>
      </c>
      <c r="T2106" s="1192">
        <v>44926</v>
      </c>
      <c r="V2106" s="1192">
        <v>64</v>
      </c>
    </row>
    <row r="2107" spans="1:22" s="1192" customFormat="1" ht="14.4" x14ac:dyDescent="0.3">
      <c r="A2107" s="1192" t="s">
        <v>176</v>
      </c>
      <c r="E2107" s="1741" t="s">
        <v>14</v>
      </c>
      <c r="F2107" s="1741"/>
      <c r="G2107" s="1277" t="s">
        <v>20</v>
      </c>
      <c r="H2107" s="1219">
        <v>4.0000000000000002E-4</v>
      </c>
      <c r="K2107" s="1192" t="s">
        <v>2506</v>
      </c>
      <c r="L2107" s="1192" t="s">
        <v>431</v>
      </c>
      <c r="P2107" s="1192" t="s">
        <v>2513</v>
      </c>
      <c r="V2107" s="1192">
        <v>24</v>
      </c>
    </row>
    <row r="2108" spans="1:22" s="1192" customFormat="1" ht="14.4" x14ac:dyDescent="0.3">
      <c r="A2108" s="1192" t="s">
        <v>176</v>
      </c>
      <c r="E2108" s="1741" t="s">
        <v>6090</v>
      </c>
      <c r="F2108" s="1998"/>
      <c r="G2108" s="1277" t="s">
        <v>20</v>
      </c>
      <c r="H2108" s="1219">
        <v>-1.2999999999999999E-3</v>
      </c>
      <c r="K2108" s="1192" t="s">
        <v>2506</v>
      </c>
      <c r="L2108" s="1192" t="s">
        <v>431</v>
      </c>
      <c r="P2108" s="1192" t="s">
        <v>2514</v>
      </c>
      <c r="T2108" s="1192">
        <v>44196</v>
      </c>
      <c r="V2108" s="1192">
        <v>142</v>
      </c>
    </row>
    <row r="2109" spans="1:22" s="1192" customFormat="1" ht="14.4" x14ac:dyDescent="0.3">
      <c r="A2109" s="1192" t="s">
        <v>176</v>
      </c>
      <c r="E2109" s="1741" t="s">
        <v>6145</v>
      </c>
      <c r="F2109" s="1998"/>
      <c r="G2109" s="1277" t="s">
        <v>20</v>
      </c>
      <c r="H2109" s="1219">
        <v>2.0000000000000001E-4</v>
      </c>
      <c r="K2109" s="1192" t="s">
        <v>2506</v>
      </c>
      <c r="L2109" s="1192" t="s">
        <v>430</v>
      </c>
      <c r="P2109" s="1192" t="s">
        <v>2515</v>
      </c>
      <c r="T2109" s="1192">
        <v>44196</v>
      </c>
      <c r="V2109" s="1192">
        <v>139</v>
      </c>
    </row>
    <row r="2110" spans="1:22" s="1192" customFormat="1" ht="14.4" x14ac:dyDescent="0.3">
      <c r="A2110" s="1192" t="s">
        <v>176</v>
      </c>
      <c r="E2110" s="1741" t="s">
        <v>6087</v>
      </c>
      <c r="F2110" s="1998"/>
      <c r="G2110" s="1277" t="s">
        <v>20</v>
      </c>
      <c r="H2110" s="1219">
        <v>-8.0000000000000004E-4</v>
      </c>
      <c r="K2110" s="1192" t="s">
        <v>2506</v>
      </c>
      <c r="L2110" s="1192" t="s">
        <v>431</v>
      </c>
      <c r="P2110" s="1192" t="s">
        <v>2516</v>
      </c>
      <c r="T2110" s="1192">
        <v>44196</v>
      </c>
      <c r="V2110" s="1192">
        <v>99</v>
      </c>
    </row>
    <row r="2111" spans="1:22" s="1192" customFormat="1" ht="14.4" x14ac:dyDescent="0.3">
      <c r="A2111" s="1192" t="s">
        <v>176</v>
      </c>
      <c r="E2111" s="1741" t="s">
        <v>213</v>
      </c>
      <c r="F2111" s="1741"/>
      <c r="G2111" s="1277" t="s">
        <v>20</v>
      </c>
      <c r="H2111" s="1219">
        <v>7.1000000000000004E-3</v>
      </c>
      <c r="K2111" s="1192" t="s">
        <v>2506</v>
      </c>
      <c r="L2111" s="1192" t="s">
        <v>432</v>
      </c>
      <c r="P2111" s="1192" t="s">
        <v>2517</v>
      </c>
      <c r="V2111" s="1192">
        <v>47</v>
      </c>
    </row>
    <row r="2112" spans="1:22" s="1192" customFormat="1" ht="14.4" x14ac:dyDescent="0.3">
      <c r="A2112" s="1192" t="s">
        <v>176</v>
      </c>
      <c r="E2112" s="1741" t="s">
        <v>209</v>
      </c>
      <c r="F2112" s="1741"/>
      <c r="G2112" s="1277" t="s">
        <v>20</v>
      </c>
      <c r="H2112" s="1219">
        <v>5.0000000000000001E-3</v>
      </c>
      <c r="K2112" s="1192" t="s">
        <v>2506</v>
      </c>
      <c r="L2112" s="1192" t="s">
        <v>432</v>
      </c>
      <c r="P2112" s="1192" t="s">
        <v>2518</v>
      </c>
      <c r="V2112" s="1192">
        <v>74</v>
      </c>
    </row>
    <row r="2113" spans="1:22" s="1192" customFormat="1" ht="14.4" x14ac:dyDescent="0.3">
      <c r="A2113" s="1192" t="s">
        <v>176</v>
      </c>
      <c r="E2113" s="1750" t="s">
        <v>2405</v>
      </c>
      <c r="F2113" s="1741"/>
      <c r="G2113" s="1277"/>
      <c r="H2113" s="896"/>
      <c r="K2113" s="1192" t="s">
        <v>2406</v>
      </c>
      <c r="V2113" s="1192">
        <v>48</v>
      </c>
    </row>
    <row r="2114" spans="1:22" s="1192" customFormat="1" ht="14.4" x14ac:dyDescent="0.3">
      <c r="A2114" s="1192" t="s">
        <v>176</v>
      </c>
      <c r="E2114" s="1741" t="s">
        <v>2033</v>
      </c>
      <c r="F2114" s="1741"/>
      <c r="G2114" s="1277" t="s">
        <v>20</v>
      </c>
      <c r="H2114" s="1219">
        <v>3.0000000000000001E-3</v>
      </c>
      <c r="K2114" s="1192" t="s">
        <v>2506</v>
      </c>
      <c r="L2114" s="1192" t="s">
        <v>2374</v>
      </c>
      <c r="P2114" s="1192" t="s">
        <v>2519</v>
      </c>
      <c r="V2114" s="1192">
        <v>55</v>
      </c>
    </row>
    <row r="2115" spans="1:22" s="1192" customFormat="1" ht="14.4" x14ac:dyDescent="0.3">
      <c r="A2115" s="1192" t="s">
        <v>176</v>
      </c>
      <c r="E2115" s="1741" t="s">
        <v>2034</v>
      </c>
      <c r="F2115" s="1741"/>
      <c r="G2115" s="1277" t="s">
        <v>20</v>
      </c>
      <c r="H2115" s="1219">
        <v>4.0000000000000002E-4</v>
      </c>
      <c r="K2115" s="1192" t="s">
        <v>2506</v>
      </c>
      <c r="L2115" s="1192" t="s">
        <v>2374</v>
      </c>
      <c r="P2115" s="1192" t="s">
        <v>2519</v>
      </c>
      <c r="V2115" s="1192">
        <v>65</v>
      </c>
    </row>
    <row r="2116" spans="1:22" s="1192" customFormat="1" ht="14.4" x14ac:dyDescent="0.3">
      <c r="A2116" s="1192" t="s">
        <v>176</v>
      </c>
      <c r="E2116" s="1741" t="s">
        <v>428</v>
      </c>
      <c r="F2116" s="1741"/>
      <c r="G2116" s="1277" t="s">
        <v>20</v>
      </c>
      <c r="H2116" s="1219">
        <v>5.0000000000000001E-4</v>
      </c>
      <c r="K2116" s="1192" t="s">
        <v>2506</v>
      </c>
      <c r="L2116" s="1192" t="s">
        <v>2374</v>
      </c>
      <c r="P2116" s="1192" t="s">
        <v>2520</v>
      </c>
      <c r="V2116" s="1192">
        <v>57</v>
      </c>
    </row>
    <row r="2117" spans="1:22" s="1192" customFormat="1" ht="14.4" x14ac:dyDescent="0.3">
      <c r="A2117" s="1192" t="s">
        <v>176</v>
      </c>
      <c r="E2117" s="1741" t="s">
        <v>28</v>
      </c>
      <c r="F2117" s="1741"/>
      <c r="G2117" s="1277" t="s">
        <v>19</v>
      </c>
      <c r="H2117" s="1218">
        <v>0.25</v>
      </c>
      <c r="K2117" s="1192" t="s">
        <v>2506</v>
      </c>
      <c r="L2117" s="1192" t="s">
        <v>2374</v>
      </c>
      <c r="P2117" s="1192" t="s">
        <v>2521</v>
      </c>
      <c r="V2117" s="1192">
        <v>63</v>
      </c>
    </row>
    <row r="2118" spans="1:22" s="1192" customFormat="1" ht="17.399999999999999" x14ac:dyDescent="0.3">
      <c r="A2118" s="1192" t="s">
        <v>176</v>
      </c>
      <c r="E2118" s="1746" t="s">
        <v>2522</v>
      </c>
      <c r="F2118" s="1746"/>
      <c r="G2118" s="1746"/>
      <c r="H2118" s="1746"/>
      <c r="K2118" s="1192" t="s">
        <v>3901</v>
      </c>
      <c r="V2118" s="1192">
        <v>54</v>
      </c>
    </row>
    <row r="2119" spans="1:22" s="1192" customFormat="1" ht="14.4" x14ac:dyDescent="0.3">
      <c r="A2119" s="1192" t="s">
        <v>176</v>
      </c>
      <c r="E2119" s="1743" t="s">
        <v>4085</v>
      </c>
      <c r="F2119" s="1743"/>
      <c r="G2119" s="1743"/>
      <c r="H2119" s="1743"/>
      <c r="K2119" s="1192" t="s">
        <v>3901</v>
      </c>
      <c r="V2119" s="1192">
        <v>758</v>
      </c>
    </row>
    <row r="2120" spans="1:22" s="1192" customFormat="1" ht="14.4" x14ac:dyDescent="0.3">
      <c r="A2120" s="1192" t="s">
        <v>176</v>
      </c>
      <c r="E2120" s="1750" t="s">
        <v>2389</v>
      </c>
      <c r="F2120" s="2037"/>
      <c r="G2120" s="2037"/>
      <c r="H2120" s="2037"/>
      <c r="K2120" s="1192" t="s">
        <v>2412</v>
      </c>
      <c r="V2120" s="1192">
        <v>11</v>
      </c>
    </row>
    <row r="2121" spans="1:22" s="1192" customFormat="1" ht="14.4" x14ac:dyDescent="0.3">
      <c r="A2121" s="1192" t="s">
        <v>176</v>
      </c>
      <c r="E2121" s="1743" t="s">
        <v>2391</v>
      </c>
      <c r="F2121" s="1743"/>
      <c r="G2121" s="1743"/>
      <c r="H2121" s="1743"/>
      <c r="K2121" s="1192" t="s">
        <v>3901</v>
      </c>
      <c r="V2121" s="1192">
        <v>280</v>
      </c>
    </row>
    <row r="2122" spans="1:22" s="1192" customFormat="1" ht="14.4" x14ac:dyDescent="0.3">
      <c r="A2122" s="1192" t="s">
        <v>176</v>
      </c>
      <c r="E2122" s="1743" t="s">
        <v>2392</v>
      </c>
      <c r="F2122" s="1743"/>
      <c r="G2122" s="1743"/>
      <c r="H2122" s="1743"/>
      <c r="K2122" s="1192" t="s">
        <v>3901</v>
      </c>
      <c r="V2122" s="1192">
        <v>411</v>
      </c>
    </row>
    <row r="2123" spans="1:22" s="1192" customFormat="1" ht="14.4" x14ac:dyDescent="0.3">
      <c r="A2123" s="1192" t="s">
        <v>176</v>
      </c>
      <c r="E2123" s="1743" t="s">
        <v>2508</v>
      </c>
      <c r="F2123" s="1743"/>
      <c r="G2123" s="1743"/>
      <c r="H2123" s="1743"/>
      <c r="K2123" s="1192" t="s">
        <v>3901</v>
      </c>
      <c r="V2123" s="1192">
        <v>386</v>
      </c>
    </row>
    <row r="2124" spans="1:22" s="1192" customFormat="1" ht="14.4" x14ac:dyDescent="0.3">
      <c r="A2124" s="1192" t="s">
        <v>176</v>
      </c>
      <c r="E2124" s="1743" t="s">
        <v>2986</v>
      </c>
      <c r="F2124" s="1743"/>
      <c r="G2124" s="1743"/>
      <c r="H2124" s="1743"/>
      <c r="K2124" s="1192" t="s">
        <v>3901</v>
      </c>
      <c r="V2124" s="1192">
        <v>246</v>
      </c>
    </row>
    <row r="2125" spans="1:22" s="1192" customFormat="1" ht="14.4" x14ac:dyDescent="0.3">
      <c r="A2125" s="1192" t="s">
        <v>176</v>
      </c>
      <c r="E2125" s="1750" t="s">
        <v>2394</v>
      </c>
      <c r="F2125" s="2037"/>
      <c r="G2125" s="2037"/>
      <c r="H2125" s="2037"/>
      <c r="K2125" s="1192" t="s">
        <v>2413</v>
      </c>
      <c r="V2125" s="1192">
        <v>46</v>
      </c>
    </row>
    <row r="2126" spans="1:22" s="1192" customFormat="1" ht="14.4" x14ac:dyDescent="0.3">
      <c r="A2126" s="1192" t="s">
        <v>176</v>
      </c>
      <c r="E2126" s="1741" t="s">
        <v>7</v>
      </c>
      <c r="F2126" s="1741"/>
      <c r="G2126" s="1277" t="s">
        <v>19</v>
      </c>
      <c r="H2126" s="1218">
        <v>32.69</v>
      </c>
      <c r="K2126" s="1192" t="s">
        <v>3901</v>
      </c>
      <c r="L2126" s="1192" t="s">
        <v>430</v>
      </c>
      <c r="P2126" s="1192" t="s">
        <v>3902</v>
      </c>
      <c r="V2126" s="1192">
        <v>14</v>
      </c>
    </row>
    <row r="2127" spans="1:22" s="1192" customFormat="1" ht="14.4" x14ac:dyDescent="0.3">
      <c r="A2127" s="1192" t="s">
        <v>176</v>
      </c>
      <c r="E2127" s="1741" t="s">
        <v>3900</v>
      </c>
      <c r="F2127" s="1741"/>
      <c r="G2127" s="1277" t="s">
        <v>19</v>
      </c>
      <c r="H2127" s="1218">
        <v>0.56999999999999995</v>
      </c>
      <c r="K2127" s="1192" t="s">
        <v>3901</v>
      </c>
      <c r="L2127" s="1192" t="s">
        <v>431</v>
      </c>
      <c r="P2127" s="1192" t="s">
        <v>3903</v>
      </c>
      <c r="T2127" s="1192">
        <v>44926</v>
      </c>
      <c r="V2127" s="1192">
        <v>64</v>
      </c>
    </row>
    <row r="2128" spans="1:22" s="1192" customFormat="1" ht="14.4" x14ac:dyDescent="0.3">
      <c r="A2128" s="1192" t="s">
        <v>176</v>
      </c>
      <c r="E2128" s="1741" t="s">
        <v>80</v>
      </c>
      <c r="F2128" s="1741"/>
      <c r="G2128" s="1277" t="s">
        <v>20</v>
      </c>
      <c r="H2128" s="1219">
        <v>1.6199999999999999E-2</v>
      </c>
      <c r="K2128" s="1192" t="s">
        <v>3901</v>
      </c>
      <c r="L2128" s="1192" t="s">
        <v>430</v>
      </c>
      <c r="P2128" s="1192" t="s">
        <v>3904</v>
      </c>
      <c r="V2128" s="1192">
        <v>28</v>
      </c>
    </row>
    <row r="2129" spans="1:22" s="1192" customFormat="1" ht="14.4" x14ac:dyDescent="0.3">
      <c r="A2129" s="1192" t="s">
        <v>176</v>
      </c>
      <c r="E2129" s="1741" t="s">
        <v>14</v>
      </c>
      <c r="F2129" s="1741"/>
      <c r="G2129" s="1277" t="s">
        <v>20</v>
      </c>
      <c r="H2129" s="1219">
        <v>2.9999999999999997E-4</v>
      </c>
      <c r="K2129" s="1192" t="s">
        <v>3901</v>
      </c>
      <c r="L2129" s="1192" t="s">
        <v>431</v>
      </c>
      <c r="P2129" s="1192" t="s">
        <v>3905</v>
      </c>
      <c r="V2129" s="1192">
        <v>24</v>
      </c>
    </row>
    <row r="2130" spans="1:22" s="1192" customFormat="1" ht="14.4" x14ac:dyDescent="0.3">
      <c r="A2130" s="1192" t="s">
        <v>176</v>
      </c>
      <c r="E2130" s="1741" t="s">
        <v>6090</v>
      </c>
      <c r="F2130" s="1998"/>
      <c r="G2130" s="1277" t="s">
        <v>20</v>
      </c>
      <c r="H2130" s="1219">
        <v>-1.2999999999999999E-3</v>
      </c>
      <c r="K2130" s="1192" t="s">
        <v>3901</v>
      </c>
      <c r="L2130" s="1192" t="s">
        <v>431</v>
      </c>
      <c r="P2130" s="1192" t="s">
        <v>3700</v>
      </c>
      <c r="T2130" s="1192">
        <v>44196</v>
      </c>
      <c r="V2130" s="1192">
        <v>142</v>
      </c>
    </row>
    <row r="2131" spans="1:22" s="1192" customFormat="1" ht="14.4" x14ac:dyDescent="0.3">
      <c r="A2131" s="1192" t="s">
        <v>176</v>
      </c>
      <c r="E2131" s="1741" t="s">
        <v>6145</v>
      </c>
      <c r="F2131" s="1998"/>
      <c r="G2131" s="1277" t="s">
        <v>20</v>
      </c>
      <c r="H2131" s="1219">
        <v>1.2999999999999999E-3</v>
      </c>
      <c r="K2131" s="1192" t="s">
        <v>3901</v>
      </c>
      <c r="L2131" s="1192" t="s">
        <v>430</v>
      </c>
      <c r="P2131" s="1192" t="s">
        <v>4000</v>
      </c>
      <c r="T2131" s="1192">
        <v>44196</v>
      </c>
      <c r="V2131" s="1192">
        <v>139</v>
      </c>
    </row>
    <row r="2132" spans="1:22" s="1192" customFormat="1" ht="14.4" x14ac:dyDescent="0.3">
      <c r="A2132" s="1192" t="s">
        <v>176</v>
      </c>
      <c r="E2132" s="1741" t="s">
        <v>6087</v>
      </c>
      <c r="F2132" s="1998"/>
      <c r="G2132" s="1277" t="s">
        <v>20</v>
      </c>
      <c r="H2132" s="1219">
        <v>-6.9999999999999999E-4</v>
      </c>
      <c r="K2132" s="1192" t="s">
        <v>3901</v>
      </c>
      <c r="L2132" s="1192" t="s">
        <v>431</v>
      </c>
      <c r="P2132" s="1192" t="s">
        <v>3911</v>
      </c>
      <c r="T2132" s="1192">
        <v>44196</v>
      </c>
      <c r="V2132" s="1192">
        <v>99</v>
      </c>
    </row>
    <row r="2133" spans="1:22" s="1192" customFormat="1" ht="14.4" x14ac:dyDescent="0.3">
      <c r="A2133" s="1192" t="s">
        <v>176</v>
      </c>
      <c r="E2133" s="1741" t="s">
        <v>213</v>
      </c>
      <c r="F2133" s="1741"/>
      <c r="G2133" s="1277" t="s">
        <v>20</v>
      </c>
      <c r="H2133" s="1219">
        <v>6.1999999999999998E-3</v>
      </c>
      <c r="K2133" s="1192" t="s">
        <v>3901</v>
      </c>
      <c r="L2133" s="1192" t="s">
        <v>432</v>
      </c>
      <c r="P2133" s="1192" t="s">
        <v>3906</v>
      </c>
      <c r="V2133" s="1192">
        <v>47</v>
      </c>
    </row>
    <row r="2134" spans="1:22" s="1192" customFormat="1" ht="14.4" x14ac:dyDescent="0.3">
      <c r="A2134" s="1192" t="s">
        <v>176</v>
      </c>
      <c r="E2134" s="1741" t="s">
        <v>209</v>
      </c>
      <c r="F2134" s="1741"/>
      <c r="G2134" s="1277" t="s">
        <v>20</v>
      </c>
      <c r="H2134" s="1219">
        <v>4.5999999999999999E-3</v>
      </c>
      <c r="K2134" s="1192" t="s">
        <v>3901</v>
      </c>
      <c r="L2134" s="1192" t="s">
        <v>432</v>
      </c>
      <c r="P2134" s="1192" t="s">
        <v>3907</v>
      </c>
      <c r="V2134" s="1192">
        <v>74</v>
      </c>
    </row>
    <row r="2135" spans="1:22" s="1192" customFormat="1" ht="14.4" x14ac:dyDescent="0.3">
      <c r="A2135" s="1192" t="s">
        <v>176</v>
      </c>
      <c r="E2135" s="1750" t="s">
        <v>2405</v>
      </c>
      <c r="F2135" s="2008"/>
      <c r="G2135" s="1277"/>
      <c r="H2135" s="896"/>
      <c r="K2135" s="1192" t="s">
        <v>2418</v>
      </c>
      <c r="V2135" s="1192">
        <v>48</v>
      </c>
    </row>
    <row r="2136" spans="1:22" s="1192" customFormat="1" ht="14.4" x14ac:dyDescent="0.3">
      <c r="A2136" s="1192" t="s">
        <v>176</v>
      </c>
      <c r="E2136" s="1741" t="s">
        <v>2033</v>
      </c>
      <c r="F2136" s="1741"/>
      <c r="G2136" s="1277" t="s">
        <v>20</v>
      </c>
      <c r="H2136" s="1219">
        <v>3.0000000000000001E-3</v>
      </c>
      <c r="K2136" s="1192" t="s">
        <v>3901</v>
      </c>
      <c r="L2136" s="1192" t="s">
        <v>2374</v>
      </c>
      <c r="P2136" s="1192" t="s">
        <v>3908</v>
      </c>
      <c r="V2136" s="1192">
        <v>55</v>
      </c>
    </row>
    <row r="2137" spans="1:22" s="1192" customFormat="1" ht="14.4" x14ac:dyDescent="0.3">
      <c r="A2137" s="1192" t="s">
        <v>176</v>
      </c>
      <c r="E2137" s="1741" t="s">
        <v>2034</v>
      </c>
      <c r="F2137" s="1741"/>
      <c r="G2137" s="1277" t="s">
        <v>20</v>
      </c>
      <c r="H2137" s="1219">
        <v>4.0000000000000002E-4</v>
      </c>
      <c r="K2137" s="1192" t="s">
        <v>3901</v>
      </c>
      <c r="L2137" s="1192" t="s">
        <v>2374</v>
      </c>
      <c r="P2137" s="1192" t="s">
        <v>3908</v>
      </c>
      <c r="V2137" s="1192">
        <v>65</v>
      </c>
    </row>
    <row r="2138" spans="1:22" s="1192" customFormat="1" ht="14.4" x14ac:dyDescent="0.3">
      <c r="A2138" s="1192" t="s">
        <v>176</v>
      </c>
      <c r="E2138" s="1741" t="s">
        <v>428</v>
      </c>
      <c r="F2138" s="1741"/>
      <c r="G2138" s="1277" t="s">
        <v>20</v>
      </c>
      <c r="H2138" s="1219">
        <v>5.0000000000000001E-4</v>
      </c>
      <c r="K2138" s="1192" t="s">
        <v>3901</v>
      </c>
      <c r="L2138" s="1192" t="s">
        <v>2374</v>
      </c>
      <c r="P2138" s="1192" t="s">
        <v>3909</v>
      </c>
      <c r="V2138" s="1192">
        <v>57</v>
      </c>
    </row>
    <row r="2139" spans="1:22" s="1192" customFormat="1" ht="14.4" x14ac:dyDescent="0.3">
      <c r="A2139" s="1192" t="s">
        <v>176</v>
      </c>
      <c r="E2139" s="1741" t="s">
        <v>28</v>
      </c>
      <c r="F2139" s="1741"/>
      <c r="G2139" s="1277" t="s">
        <v>19</v>
      </c>
      <c r="H2139" s="1218">
        <v>0.25</v>
      </c>
      <c r="K2139" s="1192" t="s">
        <v>3901</v>
      </c>
      <c r="L2139" s="1192" t="s">
        <v>2374</v>
      </c>
      <c r="P2139" s="1192" t="s">
        <v>3910</v>
      </c>
      <c r="V2139" s="1192">
        <v>63</v>
      </c>
    </row>
    <row r="2140" spans="1:22" s="1192" customFormat="1" ht="17.399999999999999" x14ac:dyDescent="0.3">
      <c r="A2140" s="1192" t="s">
        <v>176</v>
      </c>
      <c r="E2140" s="1746" t="s">
        <v>591</v>
      </c>
      <c r="F2140" s="1746"/>
      <c r="G2140" s="1746"/>
      <c r="H2140" s="1746"/>
      <c r="K2140" s="1192" t="s">
        <v>4388</v>
      </c>
      <c r="V2140" s="1192">
        <v>53</v>
      </c>
    </row>
    <row r="2141" spans="1:22" s="1192" customFormat="1" ht="14.4" x14ac:dyDescent="0.3">
      <c r="A2141" s="1192" t="s">
        <v>176</v>
      </c>
      <c r="E2141" s="1743" t="s">
        <v>4086</v>
      </c>
      <c r="F2141" s="1743"/>
      <c r="G2141" s="1743"/>
      <c r="H2141" s="1743"/>
      <c r="K2141" s="1192" t="s">
        <v>4388</v>
      </c>
      <c r="V2141" s="1192">
        <v>564</v>
      </c>
    </row>
    <row r="2142" spans="1:22" s="1192" customFormat="1" ht="14.4" x14ac:dyDescent="0.3">
      <c r="A2142" s="1192" t="s">
        <v>176</v>
      </c>
      <c r="E2142" s="1750" t="s">
        <v>2389</v>
      </c>
      <c r="F2142" s="2037"/>
      <c r="G2142" s="2037"/>
      <c r="H2142" s="2037"/>
      <c r="K2142" s="1192" t="s">
        <v>2422</v>
      </c>
      <c r="V2142" s="1192">
        <v>11</v>
      </c>
    </row>
    <row r="2143" spans="1:22" s="1192" customFormat="1" ht="14.4" x14ac:dyDescent="0.3">
      <c r="A2143" s="1192" t="s">
        <v>176</v>
      </c>
      <c r="E2143" s="1743" t="s">
        <v>2391</v>
      </c>
      <c r="F2143" s="1743"/>
      <c r="G2143" s="1743"/>
      <c r="H2143" s="1743"/>
      <c r="K2143" s="1192" t="s">
        <v>4388</v>
      </c>
      <c r="V2143" s="1192">
        <v>280</v>
      </c>
    </row>
    <row r="2144" spans="1:22" s="1192" customFormat="1" ht="14.4" x14ac:dyDescent="0.3">
      <c r="A2144" s="1192" t="s">
        <v>176</v>
      </c>
      <c r="E2144" s="1743" t="s">
        <v>2392</v>
      </c>
      <c r="F2144" s="1743"/>
      <c r="G2144" s="1743"/>
      <c r="H2144" s="1743"/>
      <c r="K2144" s="1192" t="s">
        <v>4388</v>
      </c>
      <c r="V2144" s="1192">
        <v>411</v>
      </c>
    </row>
    <row r="2145" spans="1:22" s="1192" customFormat="1" ht="14.4" x14ac:dyDescent="0.3">
      <c r="A2145" s="1192" t="s">
        <v>176</v>
      </c>
      <c r="E2145" s="1743" t="s">
        <v>2508</v>
      </c>
      <c r="F2145" s="1743"/>
      <c r="G2145" s="1743"/>
      <c r="H2145" s="1743"/>
      <c r="K2145" s="1192" t="s">
        <v>4388</v>
      </c>
      <c r="V2145" s="1192">
        <v>386</v>
      </c>
    </row>
    <row r="2146" spans="1:22" s="1192" customFormat="1" ht="14.4" x14ac:dyDescent="0.3">
      <c r="A2146" s="1192" t="s">
        <v>176</v>
      </c>
      <c r="E2146" s="1743" t="s">
        <v>4503</v>
      </c>
      <c r="F2146" s="1743"/>
      <c r="G2146" s="1743"/>
      <c r="H2146" s="1743"/>
      <c r="K2146" s="1192" t="s">
        <v>4388</v>
      </c>
      <c r="V2146" s="1192">
        <v>677</v>
      </c>
    </row>
    <row r="2147" spans="1:22" s="1192" customFormat="1" ht="14.4" x14ac:dyDescent="0.3">
      <c r="A2147" s="1192" t="s">
        <v>176</v>
      </c>
      <c r="E2147" s="1743" t="s">
        <v>4644</v>
      </c>
      <c r="F2147" s="1743"/>
      <c r="G2147" s="1743"/>
      <c r="H2147" s="1743"/>
      <c r="K2147" s="1192" t="s">
        <v>4388</v>
      </c>
      <c r="V2147" s="1192">
        <v>693</v>
      </c>
    </row>
    <row r="2148" spans="1:22" s="1192" customFormat="1" ht="14.4" x14ac:dyDescent="0.3">
      <c r="A2148" s="1192" t="s">
        <v>176</v>
      </c>
      <c r="E2148" s="1743" t="s">
        <v>2986</v>
      </c>
      <c r="F2148" s="1743"/>
      <c r="G2148" s="1743"/>
      <c r="H2148" s="1743"/>
      <c r="K2148" s="1192" t="s">
        <v>4388</v>
      </c>
      <c r="V2148" s="1192">
        <v>246</v>
      </c>
    </row>
    <row r="2149" spans="1:22" s="1192" customFormat="1" ht="14.4" x14ac:dyDescent="0.3">
      <c r="A2149" s="1192" t="s">
        <v>176</v>
      </c>
      <c r="E2149" s="1750" t="s">
        <v>2394</v>
      </c>
      <c r="F2149" s="1743"/>
      <c r="G2149" s="1743"/>
      <c r="H2149" s="1743"/>
      <c r="K2149" s="1192" t="s">
        <v>2423</v>
      </c>
      <c r="V2149" s="1192">
        <v>46</v>
      </c>
    </row>
    <row r="2150" spans="1:22" s="1192" customFormat="1" ht="14.4" x14ac:dyDescent="0.3">
      <c r="A2150" s="1192" t="s">
        <v>176</v>
      </c>
      <c r="E2150" s="1741" t="s">
        <v>7</v>
      </c>
      <c r="F2150" s="1741"/>
      <c r="G2150" s="1277" t="s">
        <v>19</v>
      </c>
      <c r="H2150" s="1218">
        <v>242.61</v>
      </c>
      <c r="K2150" s="1192" t="s">
        <v>4388</v>
      </c>
      <c r="L2150" s="1192" t="s">
        <v>430</v>
      </c>
      <c r="P2150" s="1192" t="s">
        <v>4389</v>
      </c>
      <c r="V2150" s="1192">
        <v>14</v>
      </c>
    </row>
    <row r="2151" spans="1:22" s="1192" customFormat="1" ht="14.4" x14ac:dyDescent="0.3">
      <c r="A2151" s="1192" t="s">
        <v>176</v>
      </c>
      <c r="E2151" s="1741" t="s">
        <v>80</v>
      </c>
      <c r="F2151" s="1741"/>
      <c r="G2151" s="1277" t="s">
        <v>29</v>
      </c>
      <c r="H2151" s="1219">
        <v>2.6192000000000002</v>
      </c>
      <c r="K2151" s="1192" t="s">
        <v>4388</v>
      </c>
      <c r="L2151" s="1192" t="s">
        <v>430</v>
      </c>
      <c r="P2151" s="1192" t="s">
        <v>4390</v>
      </c>
      <c r="V2151" s="1192">
        <v>28</v>
      </c>
    </row>
    <row r="2152" spans="1:22" s="1192" customFormat="1" ht="14.4" x14ac:dyDescent="0.3">
      <c r="A2152" s="1192" t="s">
        <v>176</v>
      </c>
      <c r="E2152" s="1741" t="s">
        <v>14</v>
      </c>
      <c r="F2152" s="1741"/>
      <c r="G2152" s="1277" t="s">
        <v>29</v>
      </c>
      <c r="H2152" s="1219">
        <v>0.13650000000000001</v>
      </c>
      <c r="K2152" s="1192" t="s">
        <v>4388</v>
      </c>
      <c r="L2152" s="1192" t="s">
        <v>431</v>
      </c>
      <c r="P2152" s="1192" t="s">
        <v>4391</v>
      </c>
      <c r="V2152" s="1192">
        <v>24</v>
      </c>
    </row>
    <row r="2153" spans="1:22" s="1192" customFormat="1" ht="14.4" x14ac:dyDescent="0.3">
      <c r="A2153" s="1192" t="s">
        <v>176</v>
      </c>
      <c r="E2153" s="1741" t="s">
        <v>6090</v>
      </c>
      <c r="F2153" s="1998"/>
      <c r="G2153" s="1277" t="s">
        <v>20</v>
      </c>
      <c r="H2153" s="1219">
        <v>-1.2999999999999999E-3</v>
      </c>
      <c r="K2153" s="1192" t="s">
        <v>4388</v>
      </c>
      <c r="L2153" s="1192" t="s">
        <v>431</v>
      </c>
      <c r="P2153" s="1192" t="s">
        <v>4397</v>
      </c>
      <c r="T2153" s="1192">
        <v>44196</v>
      </c>
      <c r="V2153" s="1192">
        <v>142</v>
      </c>
    </row>
    <row r="2154" spans="1:22" s="1192" customFormat="1" ht="14.4" x14ac:dyDescent="0.3">
      <c r="A2154" s="1192" t="s">
        <v>176</v>
      </c>
      <c r="E2154" s="1741" t="s">
        <v>6145</v>
      </c>
      <c r="F2154" s="1998"/>
      <c r="G2154" s="1277" t="s">
        <v>29</v>
      </c>
      <c r="H2154" s="1219">
        <v>0.13220000000000001</v>
      </c>
      <c r="K2154" s="1192" t="s">
        <v>4388</v>
      </c>
      <c r="L2154" s="1192" t="s">
        <v>430</v>
      </c>
      <c r="P2154" s="1192" t="s">
        <v>4400</v>
      </c>
      <c r="T2154" s="1192">
        <v>44196</v>
      </c>
      <c r="V2154" s="1192">
        <v>139</v>
      </c>
    </row>
    <row r="2155" spans="1:22" s="1192" customFormat="1" ht="14.4" x14ac:dyDescent="0.3">
      <c r="A2155" s="1192" t="s">
        <v>176</v>
      </c>
      <c r="E2155" s="1741" t="s">
        <v>6146</v>
      </c>
      <c r="F2155" s="1998"/>
      <c r="G2155" s="1277" t="s">
        <v>29</v>
      </c>
      <c r="H2155" s="1219">
        <v>-0.28970000000000001</v>
      </c>
      <c r="K2155" s="1192" t="s">
        <v>4388</v>
      </c>
      <c r="L2155" s="1192" t="s">
        <v>431</v>
      </c>
      <c r="P2155" s="1192" t="s">
        <v>4398</v>
      </c>
      <c r="T2155" s="1192">
        <v>44196</v>
      </c>
      <c r="V2155" s="1192">
        <v>159</v>
      </c>
    </row>
    <row r="2156" spans="1:22" s="1192" customFormat="1" ht="14.4" x14ac:dyDescent="0.3">
      <c r="A2156" s="1192" t="s">
        <v>176</v>
      </c>
      <c r="E2156" s="1741" t="s">
        <v>6087</v>
      </c>
      <c r="F2156" s="1998"/>
      <c r="G2156" s="1277" t="s">
        <v>29</v>
      </c>
      <c r="H2156" s="1219">
        <v>2.3400000000000001E-2</v>
      </c>
      <c r="K2156" s="1192" t="s">
        <v>4388</v>
      </c>
      <c r="L2156" s="1192" t="s">
        <v>431</v>
      </c>
      <c r="P2156" s="1192" t="s">
        <v>4398</v>
      </c>
      <c r="T2156" s="1192">
        <v>44196</v>
      </c>
      <c r="V2156" s="1192">
        <v>99</v>
      </c>
    </row>
    <row r="2157" spans="1:22" s="1192" customFormat="1" ht="14.4" x14ac:dyDescent="0.3">
      <c r="A2157" s="1192" t="s">
        <v>176</v>
      </c>
      <c r="E2157" s="1741" t="s">
        <v>213</v>
      </c>
      <c r="F2157" s="1741"/>
      <c r="G2157" s="1277" t="s">
        <v>29</v>
      </c>
      <c r="H2157" s="1219">
        <v>2.6337000000000002</v>
      </c>
      <c r="K2157" s="1192" t="s">
        <v>4388</v>
      </c>
      <c r="L2157" s="1192" t="s">
        <v>432</v>
      </c>
      <c r="P2157" s="1192" t="s">
        <v>4392</v>
      </c>
      <c r="V2157" s="1192">
        <v>47</v>
      </c>
    </row>
    <row r="2158" spans="1:22" s="1192" customFormat="1" ht="14.4" x14ac:dyDescent="0.3">
      <c r="A2158" s="1192" t="s">
        <v>176</v>
      </c>
      <c r="E2158" s="1741" t="s">
        <v>209</v>
      </c>
      <c r="F2158" s="1741"/>
      <c r="G2158" s="1277" t="s">
        <v>29</v>
      </c>
      <c r="H2158" s="1219">
        <v>1.8684000000000001</v>
      </c>
      <c r="K2158" s="1192" t="s">
        <v>4388</v>
      </c>
      <c r="L2158" s="1192" t="s">
        <v>432</v>
      </c>
      <c r="P2158" s="1192" t="s">
        <v>4393</v>
      </c>
      <c r="V2158" s="1192">
        <v>74</v>
      </c>
    </row>
    <row r="2159" spans="1:22" s="1192" customFormat="1" ht="14.4" x14ac:dyDescent="0.3">
      <c r="A2159" s="1192" t="s">
        <v>176</v>
      </c>
      <c r="E2159" s="1741" t="s">
        <v>215</v>
      </c>
      <c r="F2159" s="1741"/>
      <c r="G2159" s="1277" t="s">
        <v>29</v>
      </c>
      <c r="H2159" s="1219">
        <v>2.7974999999999999</v>
      </c>
      <c r="K2159" s="1192" t="s">
        <v>4388</v>
      </c>
      <c r="L2159" s="1192" t="s">
        <v>432</v>
      </c>
      <c r="P2159" s="1192" t="s">
        <v>4392</v>
      </c>
      <c r="V2159" s="1192">
        <v>66</v>
      </c>
    </row>
    <row r="2160" spans="1:22" s="1192" customFormat="1" ht="14.4" x14ac:dyDescent="0.3">
      <c r="A2160" s="1192" t="s">
        <v>176</v>
      </c>
      <c r="E2160" s="1741" t="s">
        <v>211</v>
      </c>
      <c r="F2160" s="1741"/>
      <c r="G2160" s="1277" t="s">
        <v>29</v>
      </c>
      <c r="H2160" s="1219">
        <v>2.0482</v>
      </c>
      <c r="K2160" s="1192" t="s">
        <v>4388</v>
      </c>
      <c r="L2160" s="1192" t="s">
        <v>432</v>
      </c>
      <c r="P2160" s="1192" t="s">
        <v>4393</v>
      </c>
      <c r="V2160" s="1192">
        <v>93</v>
      </c>
    </row>
    <row r="2161" spans="1:22" s="1192" customFormat="1" ht="14.4" x14ac:dyDescent="0.3">
      <c r="A2161" s="1192" t="s">
        <v>176</v>
      </c>
      <c r="E2161" s="1750" t="s">
        <v>2405</v>
      </c>
      <c r="F2161" s="1741"/>
      <c r="G2161" s="1277"/>
      <c r="H2161" s="896"/>
      <c r="K2161" s="1192" t="s">
        <v>2526</v>
      </c>
      <c r="V2161" s="1192">
        <v>48</v>
      </c>
    </row>
    <row r="2162" spans="1:22" s="1192" customFormat="1" ht="14.4" x14ac:dyDescent="0.3">
      <c r="A2162" s="1192" t="s">
        <v>176</v>
      </c>
      <c r="E2162" s="1741" t="s">
        <v>2033</v>
      </c>
      <c r="F2162" s="1741"/>
      <c r="G2162" s="1277" t="s">
        <v>20</v>
      </c>
      <c r="H2162" s="1219">
        <v>3.0000000000000001E-3</v>
      </c>
      <c r="K2162" s="1192" t="s">
        <v>4388</v>
      </c>
      <c r="L2162" s="1192" t="s">
        <v>2374</v>
      </c>
      <c r="P2162" s="1192" t="s">
        <v>4394</v>
      </c>
      <c r="V2162" s="1192">
        <v>55</v>
      </c>
    </row>
    <row r="2163" spans="1:22" s="1192" customFormat="1" ht="14.4" x14ac:dyDescent="0.3">
      <c r="A2163" s="1192" t="s">
        <v>176</v>
      </c>
      <c r="E2163" s="1741" t="s">
        <v>2034</v>
      </c>
      <c r="F2163" s="1741"/>
      <c r="G2163" s="1277" t="s">
        <v>20</v>
      </c>
      <c r="H2163" s="1219">
        <v>4.0000000000000002E-4</v>
      </c>
      <c r="K2163" s="1192" t="s">
        <v>4388</v>
      </c>
      <c r="L2163" s="1192" t="s">
        <v>2374</v>
      </c>
      <c r="P2163" s="1192" t="s">
        <v>4394</v>
      </c>
      <c r="V2163" s="1192">
        <v>65</v>
      </c>
    </row>
    <row r="2164" spans="1:22" s="1192" customFormat="1" ht="14.4" x14ac:dyDescent="0.3">
      <c r="A2164" s="1192" t="s">
        <v>176</v>
      </c>
      <c r="E2164" s="1741" t="s">
        <v>428</v>
      </c>
      <c r="F2164" s="1741"/>
      <c r="G2164" s="1277" t="s">
        <v>20</v>
      </c>
      <c r="H2164" s="1219">
        <v>5.0000000000000001E-4</v>
      </c>
      <c r="K2164" s="1192" t="s">
        <v>4388</v>
      </c>
      <c r="L2164" s="1192" t="s">
        <v>2374</v>
      </c>
      <c r="P2164" s="1192" t="s">
        <v>4395</v>
      </c>
      <c r="V2164" s="1192">
        <v>57</v>
      </c>
    </row>
    <row r="2165" spans="1:22" s="1192" customFormat="1" ht="14.4" x14ac:dyDescent="0.3">
      <c r="A2165" s="1192" t="s">
        <v>176</v>
      </c>
      <c r="E2165" s="1741" t="s">
        <v>28</v>
      </c>
      <c r="F2165" s="1741"/>
      <c r="G2165" s="1277" t="s">
        <v>19</v>
      </c>
      <c r="H2165" s="1218">
        <v>0.25</v>
      </c>
      <c r="K2165" s="1192" t="s">
        <v>4388</v>
      </c>
      <c r="L2165" s="1192" t="s">
        <v>2374</v>
      </c>
      <c r="P2165" s="1192" t="s">
        <v>4396</v>
      </c>
      <c r="V2165" s="1192">
        <v>63</v>
      </c>
    </row>
    <row r="2166" spans="1:22" s="1192" customFormat="1" ht="17.399999999999999" x14ac:dyDescent="0.3">
      <c r="A2166" s="1192" t="s">
        <v>176</v>
      </c>
      <c r="E2166" s="1746" t="s">
        <v>596</v>
      </c>
      <c r="F2166" s="1747"/>
      <c r="G2166" s="1747"/>
      <c r="H2166" s="1747"/>
      <c r="K2166" s="1192" t="s">
        <v>3407</v>
      </c>
      <c r="V2166" s="1192">
        <v>32</v>
      </c>
    </row>
    <row r="2167" spans="1:22" s="1192" customFormat="1" ht="14.4" x14ac:dyDescent="0.3">
      <c r="A2167" s="1192" t="s">
        <v>176</v>
      </c>
      <c r="E2167" s="1743" t="s">
        <v>4087</v>
      </c>
      <c r="F2167" s="1743"/>
      <c r="G2167" s="1743"/>
      <c r="H2167" s="1743"/>
      <c r="K2167" s="1192" t="s">
        <v>3407</v>
      </c>
      <c r="V2167" s="1192">
        <v>551</v>
      </c>
    </row>
    <row r="2168" spans="1:22" s="1192" customFormat="1" ht="14.4" x14ac:dyDescent="0.3">
      <c r="A2168" s="1192" t="s">
        <v>176</v>
      </c>
      <c r="E2168" s="1750" t="s">
        <v>2389</v>
      </c>
      <c r="F2168" s="1743"/>
      <c r="G2168" s="1743"/>
      <c r="H2168" s="1743"/>
      <c r="K2168" s="1192" t="s">
        <v>2529</v>
      </c>
      <c r="V2168" s="1192">
        <v>11</v>
      </c>
    </row>
    <row r="2169" spans="1:22" s="1192" customFormat="1" ht="14.4" x14ac:dyDescent="0.3">
      <c r="A2169" s="1192" t="s">
        <v>176</v>
      </c>
      <c r="E2169" s="1743" t="s">
        <v>2391</v>
      </c>
      <c r="F2169" s="1743"/>
      <c r="G2169" s="1743"/>
      <c r="H2169" s="1743"/>
      <c r="K2169" s="1192" t="s">
        <v>3407</v>
      </c>
      <c r="V2169" s="1192">
        <v>280</v>
      </c>
    </row>
    <row r="2170" spans="1:22" s="1192" customFormat="1" ht="14.4" x14ac:dyDescent="0.3">
      <c r="A2170" s="1192" t="s">
        <v>176</v>
      </c>
      <c r="E2170" s="1743" t="s">
        <v>2392</v>
      </c>
      <c r="F2170" s="1743"/>
      <c r="G2170" s="1743"/>
      <c r="H2170" s="1743"/>
      <c r="K2170" s="1192" t="s">
        <v>3407</v>
      </c>
      <c r="V2170" s="1192">
        <v>411</v>
      </c>
    </row>
    <row r="2171" spans="1:22" s="1192" customFormat="1" ht="14.4" x14ac:dyDescent="0.3">
      <c r="A2171" s="1192" t="s">
        <v>176</v>
      </c>
      <c r="E2171" s="1743" t="s">
        <v>2508</v>
      </c>
      <c r="F2171" s="1743"/>
      <c r="G2171" s="1743"/>
      <c r="H2171" s="1743"/>
      <c r="K2171" s="1192" t="s">
        <v>3407</v>
      </c>
      <c r="V2171" s="1192">
        <v>386</v>
      </c>
    </row>
    <row r="2172" spans="1:22" s="1192" customFormat="1" ht="14.4" x14ac:dyDescent="0.3">
      <c r="A2172" s="1192" t="s">
        <v>176</v>
      </c>
      <c r="E2172" s="1743" t="s">
        <v>4503</v>
      </c>
      <c r="F2172" s="1743"/>
      <c r="G2172" s="1743"/>
      <c r="H2172" s="1743"/>
      <c r="K2172" s="1192" t="s">
        <v>3407</v>
      </c>
      <c r="V2172" s="1192">
        <v>677</v>
      </c>
    </row>
    <row r="2173" spans="1:22" s="1192" customFormat="1" ht="14.4" x14ac:dyDescent="0.3">
      <c r="A2173" s="1192" t="s">
        <v>176</v>
      </c>
      <c r="E2173" s="1743" t="s">
        <v>4644</v>
      </c>
      <c r="F2173" s="1743"/>
      <c r="G2173" s="1743"/>
      <c r="H2173" s="1743"/>
      <c r="K2173" s="1192" t="s">
        <v>3407</v>
      </c>
      <c r="V2173" s="1192">
        <v>693</v>
      </c>
    </row>
    <row r="2174" spans="1:22" s="1192" customFormat="1" ht="14.4" x14ac:dyDescent="0.3">
      <c r="A2174" s="1192" t="s">
        <v>176</v>
      </c>
      <c r="E2174" s="1743" t="s">
        <v>2986</v>
      </c>
      <c r="F2174" s="1743"/>
      <c r="G2174" s="1743"/>
      <c r="H2174" s="1743"/>
      <c r="K2174" s="1192" t="s">
        <v>3407</v>
      </c>
      <c r="V2174" s="1192">
        <v>246</v>
      </c>
    </row>
    <row r="2175" spans="1:22" s="1192" customFormat="1" ht="14.4" x14ac:dyDescent="0.3">
      <c r="A2175" s="1192" t="s">
        <v>176</v>
      </c>
      <c r="E2175" s="1750" t="s">
        <v>2394</v>
      </c>
      <c r="F2175" s="1743"/>
      <c r="G2175" s="1743"/>
      <c r="H2175" s="1743"/>
      <c r="K2175" s="1192" t="s">
        <v>2531</v>
      </c>
      <c r="V2175" s="1192">
        <v>46</v>
      </c>
    </row>
    <row r="2176" spans="1:22" s="1192" customFormat="1" ht="14.4" x14ac:dyDescent="0.3">
      <c r="A2176" s="1192" t="s">
        <v>176</v>
      </c>
      <c r="E2176" s="1741" t="s">
        <v>7</v>
      </c>
      <c r="F2176" s="1741"/>
      <c r="G2176" s="1277" t="s">
        <v>19</v>
      </c>
      <c r="H2176" s="1218">
        <v>11603.92</v>
      </c>
      <c r="K2176" s="1192" t="s">
        <v>3407</v>
      </c>
      <c r="L2176" s="1192" t="s">
        <v>430</v>
      </c>
      <c r="P2176" s="1192" t="s">
        <v>3409</v>
      </c>
      <c r="V2176" s="1192">
        <v>14</v>
      </c>
    </row>
    <row r="2177" spans="1:22" s="1192" customFormat="1" ht="14.4" x14ac:dyDescent="0.3">
      <c r="A2177" s="1192" t="s">
        <v>176</v>
      </c>
      <c r="E2177" s="1741" t="s">
        <v>80</v>
      </c>
      <c r="F2177" s="1741"/>
      <c r="G2177" s="1277" t="s">
        <v>29</v>
      </c>
      <c r="H2177" s="1219">
        <v>1.2073</v>
      </c>
      <c r="K2177" s="1192" t="s">
        <v>3407</v>
      </c>
      <c r="L2177" s="1192" t="s">
        <v>430</v>
      </c>
      <c r="P2177" s="1192" t="s">
        <v>3410</v>
      </c>
      <c r="V2177" s="1192">
        <v>28</v>
      </c>
    </row>
    <row r="2178" spans="1:22" s="1192" customFormat="1" ht="14.4" x14ac:dyDescent="0.3">
      <c r="A2178" s="1192" t="s">
        <v>176</v>
      </c>
      <c r="E2178" s="1741" t="s">
        <v>14</v>
      </c>
      <c r="F2178" s="1741"/>
      <c r="G2178" s="1277" t="s">
        <v>29</v>
      </c>
      <c r="H2178" s="1219">
        <v>0.15790000000000001</v>
      </c>
      <c r="K2178" s="1192" t="s">
        <v>3407</v>
      </c>
      <c r="L2178" s="1192" t="s">
        <v>431</v>
      </c>
      <c r="P2178" s="1192" t="s">
        <v>3411</v>
      </c>
      <c r="V2178" s="1192">
        <v>24</v>
      </c>
    </row>
    <row r="2179" spans="1:22" s="1192" customFormat="1" ht="14.4" x14ac:dyDescent="0.3">
      <c r="A2179" s="1192" t="s">
        <v>176</v>
      </c>
      <c r="E2179" s="1741" t="s">
        <v>6090</v>
      </c>
      <c r="F2179" s="1998"/>
      <c r="G2179" s="1277" t="s">
        <v>20</v>
      </c>
      <c r="H2179" s="1219">
        <v>-1.2999999999999999E-3</v>
      </c>
      <c r="K2179" s="1192" t="s">
        <v>3407</v>
      </c>
      <c r="L2179" s="1192" t="s">
        <v>431</v>
      </c>
      <c r="P2179" s="1192" t="s">
        <v>4057</v>
      </c>
      <c r="T2179" s="1192">
        <v>44196</v>
      </c>
      <c r="V2179" s="1192">
        <v>142</v>
      </c>
    </row>
    <row r="2180" spans="1:22" s="1192" customFormat="1" ht="14.4" x14ac:dyDescent="0.3">
      <c r="A2180" s="1192" t="s">
        <v>176</v>
      </c>
      <c r="E2180" s="1741" t="s">
        <v>6145</v>
      </c>
      <c r="F2180" s="1998"/>
      <c r="G2180" s="1277" t="s">
        <v>29</v>
      </c>
      <c r="H2180" s="1219">
        <v>2.5999999999999999E-3</v>
      </c>
      <c r="K2180" s="1192" t="s">
        <v>3407</v>
      </c>
      <c r="L2180" s="1192" t="s">
        <v>430</v>
      </c>
      <c r="P2180" s="1192" t="s">
        <v>3412</v>
      </c>
      <c r="T2180" s="1192">
        <v>44196</v>
      </c>
      <c r="V2180" s="1192">
        <v>139</v>
      </c>
    </row>
    <row r="2181" spans="1:22" s="1192" customFormat="1" ht="14.4" x14ac:dyDescent="0.3">
      <c r="A2181" s="1192" t="s">
        <v>176</v>
      </c>
      <c r="E2181" s="1741" t="s">
        <v>6146</v>
      </c>
      <c r="F2181" s="1998"/>
      <c r="G2181" s="1277" t="s">
        <v>29</v>
      </c>
      <c r="H2181" s="1219">
        <v>-0.44309999999999999</v>
      </c>
      <c r="K2181" s="1192" t="s">
        <v>3407</v>
      </c>
      <c r="L2181" s="1192" t="s">
        <v>431</v>
      </c>
      <c r="P2181" s="1192" t="s">
        <v>3413</v>
      </c>
      <c r="T2181" s="1192">
        <v>44196</v>
      </c>
      <c r="V2181" s="1192">
        <v>159</v>
      </c>
    </row>
    <row r="2182" spans="1:22" s="1192" customFormat="1" ht="14.4" x14ac:dyDescent="0.3">
      <c r="A2182" s="1192" t="s">
        <v>176</v>
      </c>
      <c r="E2182" s="1741" t="s">
        <v>6087</v>
      </c>
      <c r="F2182" s="1998"/>
      <c r="G2182" s="1277" t="s">
        <v>29</v>
      </c>
      <c r="H2182" s="1219">
        <v>2.7199999999999998E-2</v>
      </c>
      <c r="K2182" s="1192" t="s">
        <v>3407</v>
      </c>
      <c r="L2182" s="1192" t="s">
        <v>431</v>
      </c>
      <c r="P2182" s="1192" t="s">
        <v>3413</v>
      </c>
      <c r="T2182" s="1192">
        <v>44196</v>
      </c>
      <c r="V2182" s="1192">
        <v>99</v>
      </c>
    </row>
    <row r="2183" spans="1:22" s="1192" customFormat="1" ht="14.4" x14ac:dyDescent="0.3">
      <c r="A2183" s="1192" t="s">
        <v>176</v>
      </c>
      <c r="E2183" s="1741" t="s">
        <v>215</v>
      </c>
      <c r="F2183" s="1741"/>
      <c r="G2183" s="1277" t="s">
        <v>29</v>
      </c>
      <c r="H2183" s="1219">
        <v>3.0973999999999999</v>
      </c>
      <c r="K2183" s="1192" t="s">
        <v>3407</v>
      </c>
      <c r="L2183" s="1192" t="s">
        <v>432</v>
      </c>
      <c r="P2183" s="1192" t="s">
        <v>3414</v>
      </c>
      <c r="V2183" s="1192">
        <v>66</v>
      </c>
    </row>
    <row r="2184" spans="1:22" s="1192" customFormat="1" ht="14.4" x14ac:dyDescent="0.3">
      <c r="A2184" s="1192" t="s">
        <v>176</v>
      </c>
      <c r="E2184" s="1741" t="s">
        <v>211</v>
      </c>
      <c r="F2184" s="1741"/>
      <c r="G2184" s="1277" t="s">
        <v>29</v>
      </c>
      <c r="H2184" s="1219">
        <v>2.3422000000000001</v>
      </c>
      <c r="K2184" s="1192" t="s">
        <v>3407</v>
      </c>
      <c r="L2184" s="1192" t="s">
        <v>432</v>
      </c>
      <c r="P2184" s="1192" t="s">
        <v>4132</v>
      </c>
      <c r="V2184" s="1192">
        <v>93</v>
      </c>
    </row>
    <row r="2185" spans="1:22" s="1192" customFormat="1" ht="14.4" x14ac:dyDescent="0.3">
      <c r="A2185" s="1192" t="s">
        <v>176</v>
      </c>
      <c r="E2185" s="1750" t="s">
        <v>2405</v>
      </c>
      <c r="F2185" s="1741"/>
      <c r="G2185" s="1277"/>
      <c r="H2185" s="896"/>
      <c r="K2185" s="1192" t="s">
        <v>2532</v>
      </c>
      <c r="V2185" s="1192">
        <v>48</v>
      </c>
    </row>
    <row r="2186" spans="1:22" s="1192" customFormat="1" ht="14.4" x14ac:dyDescent="0.3">
      <c r="A2186" s="1192" t="s">
        <v>176</v>
      </c>
      <c r="E2186" s="1741" t="s">
        <v>2033</v>
      </c>
      <c r="F2186" s="1741"/>
      <c r="G2186" s="1277" t="s">
        <v>20</v>
      </c>
      <c r="H2186" s="1219">
        <v>3.0000000000000001E-3</v>
      </c>
      <c r="K2186" s="1192" t="s">
        <v>3407</v>
      </c>
      <c r="L2186" s="1192" t="s">
        <v>2374</v>
      </c>
      <c r="P2186" s="1192" t="s">
        <v>3415</v>
      </c>
      <c r="V2186" s="1192">
        <v>55</v>
      </c>
    </row>
    <row r="2187" spans="1:22" s="1192" customFormat="1" ht="14.4" x14ac:dyDescent="0.3">
      <c r="A2187" s="1192" t="s">
        <v>176</v>
      </c>
      <c r="E2187" s="1741" t="s">
        <v>2034</v>
      </c>
      <c r="F2187" s="1741"/>
      <c r="G2187" s="1277" t="s">
        <v>20</v>
      </c>
      <c r="H2187" s="1219">
        <v>4.0000000000000002E-4</v>
      </c>
      <c r="K2187" s="1192" t="s">
        <v>3407</v>
      </c>
      <c r="L2187" s="1192" t="s">
        <v>2374</v>
      </c>
      <c r="P2187" s="1192" t="s">
        <v>3415</v>
      </c>
      <c r="V2187" s="1192">
        <v>65</v>
      </c>
    </row>
    <row r="2188" spans="1:22" s="1192" customFormat="1" ht="14.4" x14ac:dyDescent="0.3">
      <c r="A2188" s="1192" t="s">
        <v>176</v>
      </c>
      <c r="E2188" s="1741" t="s">
        <v>428</v>
      </c>
      <c r="F2188" s="1741"/>
      <c r="G2188" s="1277" t="s">
        <v>20</v>
      </c>
      <c r="H2188" s="1219">
        <v>5.0000000000000001E-4</v>
      </c>
      <c r="K2188" s="1192" t="s">
        <v>3407</v>
      </c>
      <c r="L2188" s="1192" t="s">
        <v>2374</v>
      </c>
      <c r="P2188" s="1192" t="s">
        <v>3416</v>
      </c>
      <c r="V2188" s="1192">
        <v>57</v>
      </c>
    </row>
    <row r="2189" spans="1:22" s="1192" customFormat="1" ht="14.4" x14ac:dyDescent="0.3">
      <c r="A2189" s="1192" t="s">
        <v>176</v>
      </c>
      <c r="E2189" s="1741" t="s">
        <v>28</v>
      </c>
      <c r="F2189" s="1741"/>
      <c r="G2189" s="1277" t="s">
        <v>19</v>
      </c>
      <c r="H2189" s="1218">
        <v>0.25</v>
      </c>
      <c r="K2189" s="1192" t="s">
        <v>3407</v>
      </c>
      <c r="L2189" s="1192" t="s">
        <v>2374</v>
      </c>
      <c r="P2189" s="1192" t="s">
        <v>3417</v>
      </c>
      <c r="V2189" s="1192">
        <v>63</v>
      </c>
    </row>
    <row r="2190" spans="1:22" s="1192" customFormat="1" ht="17.399999999999999" x14ac:dyDescent="0.3">
      <c r="A2190" s="1192" t="s">
        <v>176</v>
      </c>
      <c r="E2190" s="1746" t="s">
        <v>592</v>
      </c>
      <c r="F2190" s="1747"/>
      <c r="G2190" s="1747"/>
      <c r="H2190" s="1747"/>
      <c r="K2190" s="1192" t="s">
        <v>2726</v>
      </c>
      <c r="V2190" s="1192">
        <v>47</v>
      </c>
    </row>
    <row r="2191" spans="1:22" s="1192" customFormat="1" ht="14.4" x14ac:dyDescent="0.3">
      <c r="A2191" s="1192" t="s">
        <v>176</v>
      </c>
      <c r="E2191" s="1743" t="s">
        <v>3383</v>
      </c>
      <c r="F2191" s="1743"/>
      <c r="G2191" s="1743"/>
      <c r="H2191" s="1743"/>
      <c r="K2191" s="1192" t="s">
        <v>2726</v>
      </c>
      <c r="V2191" s="1192">
        <v>719</v>
      </c>
    </row>
    <row r="2192" spans="1:22" s="1192" customFormat="1" ht="14.4" x14ac:dyDescent="0.3">
      <c r="A2192" s="1192" t="s">
        <v>176</v>
      </c>
      <c r="E2192" s="1750" t="s">
        <v>2389</v>
      </c>
      <c r="F2192" s="1743"/>
      <c r="G2192" s="1743"/>
      <c r="H2192" s="1743"/>
      <c r="K2192" s="1192" t="s">
        <v>2424</v>
      </c>
      <c r="V2192" s="1192">
        <v>11</v>
      </c>
    </row>
    <row r="2193" spans="1:22" s="1192" customFormat="1" ht="14.4" x14ac:dyDescent="0.3">
      <c r="A2193" s="1192" t="s">
        <v>176</v>
      </c>
      <c r="E2193" s="1743" t="s">
        <v>2391</v>
      </c>
      <c r="F2193" s="1743"/>
      <c r="G2193" s="1743"/>
      <c r="H2193" s="1743"/>
      <c r="K2193" s="1192" t="s">
        <v>2726</v>
      </c>
      <c r="V2193" s="1192">
        <v>280</v>
      </c>
    </row>
    <row r="2194" spans="1:22" s="1192" customFormat="1" ht="14.4" x14ac:dyDescent="0.3">
      <c r="A2194" s="1192" t="s">
        <v>176</v>
      </c>
      <c r="E2194" s="1743" t="s">
        <v>2392</v>
      </c>
      <c r="F2194" s="1743"/>
      <c r="G2194" s="1743"/>
      <c r="H2194" s="1743"/>
      <c r="K2194" s="1192" t="s">
        <v>2726</v>
      </c>
      <c r="V2194" s="1192">
        <v>411</v>
      </c>
    </row>
    <row r="2195" spans="1:22" s="1192" customFormat="1" ht="14.4" x14ac:dyDescent="0.3">
      <c r="A2195" s="1192" t="s">
        <v>176</v>
      </c>
      <c r="E2195" s="1743" t="s">
        <v>2508</v>
      </c>
      <c r="F2195" s="1743"/>
      <c r="G2195" s="1743"/>
      <c r="H2195" s="1743"/>
      <c r="K2195" s="1192" t="s">
        <v>2726</v>
      </c>
      <c r="V2195" s="1192">
        <v>386</v>
      </c>
    </row>
    <row r="2196" spans="1:22" s="1192" customFormat="1" ht="14.4" x14ac:dyDescent="0.3">
      <c r="A2196" s="1192" t="s">
        <v>176</v>
      </c>
      <c r="E2196" s="1743" t="s">
        <v>2986</v>
      </c>
      <c r="F2196" s="1743"/>
      <c r="G2196" s="1743"/>
      <c r="H2196" s="1743"/>
      <c r="K2196" s="1192" t="s">
        <v>2726</v>
      </c>
      <c r="V2196" s="1192">
        <v>246</v>
      </c>
    </row>
    <row r="2197" spans="1:22" s="1192" customFormat="1" ht="14.4" x14ac:dyDescent="0.3">
      <c r="A2197" s="1192" t="s">
        <v>176</v>
      </c>
      <c r="E2197" s="1750" t="s">
        <v>2394</v>
      </c>
      <c r="F2197" s="1743"/>
      <c r="G2197" s="1743"/>
      <c r="H2197" s="1743"/>
      <c r="K2197" s="1192" t="s">
        <v>2425</v>
      </c>
      <c r="V2197" s="1192">
        <v>46</v>
      </c>
    </row>
    <row r="2198" spans="1:22" s="1192" customFormat="1" ht="14.4" x14ac:dyDescent="0.3">
      <c r="A2198" s="1192" t="s">
        <v>176</v>
      </c>
      <c r="E2198" s="1741" t="s">
        <v>8</v>
      </c>
      <c r="F2198" s="1741"/>
      <c r="G2198" s="1277" t="s">
        <v>19</v>
      </c>
      <c r="H2198" s="1218">
        <v>8.58</v>
      </c>
      <c r="K2198" s="1192" t="s">
        <v>2726</v>
      </c>
      <c r="L2198" s="1192" t="s">
        <v>430</v>
      </c>
      <c r="P2198" s="1192" t="s">
        <v>2727</v>
      </c>
      <c r="V2198" s="1192">
        <v>31</v>
      </c>
    </row>
    <row r="2199" spans="1:22" s="1192" customFormat="1" ht="14.4" x14ac:dyDescent="0.3">
      <c r="A2199" s="1192" t="s">
        <v>176</v>
      </c>
      <c r="E2199" s="1741" t="s">
        <v>80</v>
      </c>
      <c r="F2199" s="1741"/>
      <c r="G2199" s="1277" t="s">
        <v>20</v>
      </c>
      <c r="H2199" s="1219">
        <v>8.8000000000000005E-3</v>
      </c>
      <c r="K2199" s="1192" t="s">
        <v>2726</v>
      </c>
      <c r="L2199" s="1192" t="s">
        <v>430</v>
      </c>
      <c r="P2199" s="1192" t="s">
        <v>2728</v>
      </c>
      <c r="V2199" s="1192">
        <v>28</v>
      </c>
    </row>
    <row r="2200" spans="1:22" s="1192" customFormat="1" ht="14.4" x14ac:dyDescent="0.3">
      <c r="A2200" s="1192" t="s">
        <v>176</v>
      </c>
      <c r="E2200" s="1741" t="s">
        <v>14</v>
      </c>
      <c r="F2200" s="1741"/>
      <c r="G2200" s="1277" t="s">
        <v>20</v>
      </c>
      <c r="H2200" s="1219">
        <v>2.9999999999999997E-4</v>
      </c>
      <c r="K2200" s="1192" t="s">
        <v>2726</v>
      </c>
      <c r="L2200" s="1192" t="s">
        <v>431</v>
      </c>
      <c r="P2200" s="1192" t="s">
        <v>2729</v>
      </c>
      <c r="V2200" s="1192">
        <v>24</v>
      </c>
    </row>
    <row r="2201" spans="1:22" s="1192" customFormat="1" ht="14.4" x14ac:dyDescent="0.3">
      <c r="A2201" s="1192" t="s">
        <v>176</v>
      </c>
      <c r="E2201" s="1741" t="s">
        <v>6090</v>
      </c>
      <c r="F2201" s="1998"/>
      <c r="G2201" s="1277" t="s">
        <v>20</v>
      </c>
      <c r="H2201" s="1219">
        <v>-1.2999999999999999E-3</v>
      </c>
      <c r="K2201" s="1192" t="s">
        <v>2726</v>
      </c>
      <c r="L2201" s="1192" t="s">
        <v>431</v>
      </c>
      <c r="P2201" s="1192" t="s">
        <v>2788</v>
      </c>
      <c r="T2201" s="1192">
        <v>44196</v>
      </c>
      <c r="V2201" s="1192">
        <v>142</v>
      </c>
    </row>
    <row r="2202" spans="1:22" s="1192" customFormat="1" ht="14.4" x14ac:dyDescent="0.3">
      <c r="A2202" s="1192" t="s">
        <v>176</v>
      </c>
      <c r="E2202" s="1741" t="s">
        <v>6087</v>
      </c>
      <c r="F2202" s="1998"/>
      <c r="G2202" s="1277" t="s">
        <v>20</v>
      </c>
      <c r="H2202" s="1219">
        <v>-6.9999999999999999E-4</v>
      </c>
      <c r="K2202" s="1192" t="s">
        <v>2726</v>
      </c>
      <c r="L2202" s="1192" t="s">
        <v>431</v>
      </c>
      <c r="P2202" s="1192" t="s">
        <v>2789</v>
      </c>
      <c r="T2202" s="1192">
        <v>44196</v>
      </c>
      <c r="V2202" s="1192">
        <v>99</v>
      </c>
    </row>
    <row r="2203" spans="1:22" s="1192" customFormat="1" ht="14.4" x14ac:dyDescent="0.3">
      <c r="A2203" s="1192" t="s">
        <v>176</v>
      </c>
      <c r="E2203" s="1741" t="s">
        <v>213</v>
      </c>
      <c r="F2203" s="1741"/>
      <c r="G2203" s="1277" t="s">
        <v>20</v>
      </c>
      <c r="H2203" s="1219">
        <v>6.1999999999999998E-3</v>
      </c>
      <c r="K2203" s="1192" t="s">
        <v>2726</v>
      </c>
      <c r="L2203" s="1192" t="s">
        <v>432</v>
      </c>
      <c r="P2203" s="1192" t="s">
        <v>2731</v>
      </c>
      <c r="V2203" s="1192">
        <v>47</v>
      </c>
    </row>
    <row r="2204" spans="1:22" s="1192" customFormat="1" ht="14.4" x14ac:dyDescent="0.3">
      <c r="A2204" s="1192" t="s">
        <v>176</v>
      </c>
      <c r="E2204" s="1741" t="s">
        <v>209</v>
      </c>
      <c r="F2204" s="1741"/>
      <c r="G2204" s="1277" t="s">
        <v>20</v>
      </c>
      <c r="H2204" s="1219">
        <v>4.5999999999999999E-3</v>
      </c>
      <c r="K2204" s="1192" t="s">
        <v>2726</v>
      </c>
      <c r="L2204" s="1192" t="s">
        <v>432</v>
      </c>
      <c r="P2204" s="1192" t="s">
        <v>2732</v>
      </c>
      <c r="V2204" s="1192">
        <v>74</v>
      </c>
    </row>
    <row r="2205" spans="1:22" s="1192" customFormat="1" ht="14.4" x14ac:dyDescent="0.3">
      <c r="A2205" s="1192" t="s">
        <v>176</v>
      </c>
      <c r="E2205" s="1750" t="s">
        <v>2405</v>
      </c>
      <c r="F2205" s="1741"/>
      <c r="G2205" s="1277"/>
      <c r="H2205" s="896"/>
      <c r="K2205" s="1192" t="s">
        <v>2427</v>
      </c>
      <c r="V2205" s="1192">
        <v>48</v>
      </c>
    </row>
    <row r="2206" spans="1:22" s="1192" customFormat="1" ht="14.4" x14ac:dyDescent="0.3">
      <c r="A2206" s="1192" t="s">
        <v>176</v>
      </c>
      <c r="E2206" s="1741" t="s">
        <v>2033</v>
      </c>
      <c r="F2206" s="1741"/>
      <c r="G2206" s="1277" t="s">
        <v>20</v>
      </c>
      <c r="H2206" s="1219">
        <v>3.0000000000000001E-3</v>
      </c>
      <c r="K2206" s="1192" t="s">
        <v>2726</v>
      </c>
      <c r="L2206" s="1192" t="s">
        <v>2374</v>
      </c>
      <c r="P2206" s="1192" t="s">
        <v>2733</v>
      </c>
      <c r="V2206" s="1192">
        <v>55</v>
      </c>
    </row>
    <row r="2207" spans="1:22" s="1192" customFormat="1" ht="14.4" x14ac:dyDescent="0.3">
      <c r="A2207" s="1192" t="s">
        <v>176</v>
      </c>
      <c r="E2207" s="1741" t="s">
        <v>2034</v>
      </c>
      <c r="F2207" s="1741"/>
      <c r="G2207" s="1277" t="s">
        <v>20</v>
      </c>
      <c r="H2207" s="1219">
        <v>4.0000000000000002E-4</v>
      </c>
      <c r="K2207" s="1192" t="s">
        <v>2726</v>
      </c>
      <c r="L2207" s="1192" t="s">
        <v>2374</v>
      </c>
      <c r="P2207" s="1192" t="s">
        <v>2733</v>
      </c>
      <c r="V2207" s="1192">
        <v>65</v>
      </c>
    </row>
    <row r="2208" spans="1:22" s="1192" customFormat="1" ht="14.4" x14ac:dyDescent="0.3">
      <c r="A2208" s="1192" t="s">
        <v>176</v>
      </c>
      <c r="E2208" s="1741" t="s">
        <v>428</v>
      </c>
      <c r="F2208" s="1741"/>
      <c r="G2208" s="1277" t="s">
        <v>20</v>
      </c>
      <c r="H2208" s="1219">
        <v>5.0000000000000001E-4</v>
      </c>
      <c r="K2208" s="1192" t="s">
        <v>2726</v>
      </c>
      <c r="L2208" s="1192" t="s">
        <v>2374</v>
      </c>
      <c r="P2208" s="1192" t="s">
        <v>2734</v>
      </c>
      <c r="V2208" s="1192">
        <v>57</v>
      </c>
    </row>
    <row r="2209" spans="1:22" s="1192" customFormat="1" ht="14.4" x14ac:dyDescent="0.3">
      <c r="A2209" s="1192" t="s">
        <v>176</v>
      </c>
      <c r="E2209" s="1741" t="s">
        <v>28</v>
      </c>
      <c r="F2209" s="1741"/>
      <c r="G2209" s="1277" t="s">
        <v>19</v>
      </c>
      <c r="H2209" s="1218">
        <v>0.25</v>
      </c>
      <c r="K2209" s="1192" t="s">
        <v>2726</v>
      </c>
      <c r="L2209" s="1192" t="s">
        <v>2374</v>
      </c>
      <c r="P2209" s="1192" t="s">
        <v>2735</v>
      </c>
      <c r="V2209" s="1192">
        <v>63</v>
      </c>
    </row>
    <row r="2210" spans="1:22" s="1192" customFormat="1" ht="17.399999999999999" x14ac:dyDescent="0.3">
      <c r="A2210" s="1192" t="s">
        <v>176</v>
      </c>
      <c r="E2210" s="1746" t="s">
        <v>604</v>
      </c>
      <c r="F2210" s="1747"/>
      <c r="G2210" s="1747"/>
      <c r="H2210" s="1747"/>
      <c r="K2210" s="1192" t="s">
        <v>2736</v>
      </c>
      <c r="V2210" s="1192">
        <v>40</v>
      </c>
    </row>
    <row r="2211" spans="1:22" s="1192" customFormat="1" ht="14.4" x14ac:dyDescent="0.3">
      <c r="A2211" s="1192" t="s">
        <v>176</v>
      </c>
      <c r="E2211" s="1743" t="s">
        <v>2556</v>
      </c>
      <c r="F2211" s="1743"/>
      <c r="G2211" s="1743"/>
      <c r="H2211" s="1743"/>
      <c r="K2211" s="1192" t="s">
        <v>2736</v>
      </c>
      <c r="V2211" s="1192">
        <v>253</v>
      </c>
    </row>
    <row r="2212" spans="1:22" s="1192" customFormat="1" ht="14.4" x14ac:dyDescent="0.3">
      <c r="A2212" s="1192" t="s">
        <v>176</v>
      </c>
      <c r="E2212" s="1750" t="s">
        <v>2389</v>
      </c>
      <c r="F2212" s="1743"/>
      <c r="G2212" s="1743"/>
      <c r="H2212" s="1743"/>
      <c r="K2212" s="1192" t="s">
        <v>2430</v>
      </c>
      <c r="V2212" s="1192">
        <v>11</v>
      </c>
    </row>
    <row r="2213" spans="1:22" s="1192" customFormat="1" ht="14.4" x14ac:dyDescent="0.3">
      <c r="A2213" s="1192" t="s">
        <v>176</v>
      </c>
      <c r="E2213" s="1743" t="s">
        <v>2391</v>
      </c>
      <c r="F2213" s="1743"/>
      <c r="G2213" s="1743"/>
      <c r="H2213" s="1743"/>
      <c r="K2213" s="1192" t="s">
        <v>2736</v>
      </c>
      <c r="V2213" s="1192">
        <v>280</v>
      </c>
    </row>
    <row r="2214" spans="1:22" s="1192" customFormat="1" ht="14.4" x14ac:dyDescent="0.3">
      <c r="A2214" s="1192" t="s">
        <v>176</v>
      </c>
      <c r="E2214" s="1743" t="s">
        <v>2392</v>
      </c>
      <c r="F2214" s="1743"/>
      <c r="G2214" s="1743"/>
      <c r="H2214" s="1743"/>
      <c r="K2214" s="1192" t="s">
        <v>2736</v>
      </c>
      <c r="V2214" s="1192">
        <v>411</v>
      </c>
    </row>
    <row r="2215" spans="1:22" s="1192" customFormat="1" ht="14.4" x14ac:dyDescent="0.3">
      <c r="A2215" s="1192" t="s">
        <v>176</v>
      </c>
      <c r="E2215" s="1743" t="s">
        <v>2508</v>
      </c>
      <c r="F2215" s="1743"/>
      <c r="G2215" s="1743"/>
      <c r="H2215" s="1743"/>
      <c r="K2215" s="1192" t="s">
        <v>2736</v>
      </c>
      <c r="V2215" s="1192">
        <v>386</v>
      </c>
    </row>
    <row r="2216" spans="1:22" s="1192" customFormat="1" ht="14.4" x14ac:dyDescent="0.3">
      <c r="A2216" s="1192" t="s">
        <v>176</v>
      </c>
      <c r="E2216" s="1743" t="s">
        <v>2986</v>
      </c>
      <c r="F2216" s="1743"/>
      <c r="G2216" s="1743"/>
      <c r="H2216" s="1743"/>
      <c r="K2216" s="1192" t="s">
        <v>2736</v>
      </c>
      <c r="V2216" s="1192">
        <v>246</v>
      </c>
    </row>
    <row r="2217" spans="1:22" s="1192" customFormat="1" ht="14.4" x14ac:dyDescent="0.3">
      <c r="A2217" s="1192" t="s">
        <v>176</v>
      </c>
      <c r="E2217" s="1750" t="s">
        <v>2394</v>
      </c>
      <c r="F2217" s="1743"/>
      <c r="G2217" s="1743"/>
      <c r="H2217" s="1743"/>
      <c r="K2217" s="1192" t="s">
        <v>2431</v>
      </c>
      <c r="V2217" s="1192">
        <v>46</v>
      </c>
    </row>
    <row r="2218" spans="1:22" s="1192" customFormat="1" ht="14.4" x14ac:dyDescent="0.3">
      <c r="A2218" s="1192" t="s">
        <v>176</v>
      </c>
      <c r="E2218" s="1741" t="s">
        <v>8</v>
      </c>
      <c r="F2218" s="1741"/>
      <c r="G2218" s="1277" t="s">
        <v>19</v>
      </c>
      <c r="H2218" s="1218">
        <v>2.37</v>
      </c>
      <c r="K2218" s="1192" t="s">
        <v>2736</v>
      </c>
      <c r="L2218" s="1192" t="s">
        <v>430</v>
      </c>
      <c r="P2218" s="1192" t="s">
        <v>2737</v>
      </c>
      <c r="V2218" s="1192">
        <v>31</v>
      </c>
    </row>
    <row r="2219" spans="1:22" s="1192" customFormat="1" ht="14.4" x14ac:dyDescent="0.3">
      <c r="A2219" s="1192" t="s">
        <v>176</v>
      </c>
      <c r="E2219" s="1741" t="s">
        <v>80</v>
      </c>
      <c r="F2219" s="1741"/>
      <c r="G2219" s="1277" t="s">
        <v>29</v>
      </c>
      <c r="H2219" s="1219">
        <v>12.640700000000001</v>
      </c>
      <c r="K2219" s="1192" t="s">
        <v>2736</v>
      </c>
      <c r="L2219" s="1192" t="s">
        <v>430</v>
      </c>
      <c r="P2219" s="1192" t="s">
        <v>2738</v>
      </c>
      <c r="V2219" s="1192">
        <v>28</v>
      </c>
    </row>
    <row r="2220" spans="1:22" s="1192" customFormat="1" ht="14.4" x14ac:dyDescent="0.3">
      <c r="A2220" s="1192" t="s">
        <v>176</v>
      </c>
      <c r="E2220" s="1741" t="s">
        <v>14</v>
      </c>
      <c r="F2220" s="1741"/>
      <c r="G2220" s="1277" t="s">
        <v>29</v>
      </c>
      <c r="H2220" s="1219">
        <v>9.9400000000000002E-2</v>
      </c>
      <c r="K2220" s="1192" t="s">
        <v>2736</v>
      </c>
      <c r="L2220" s="1192" t="s">
        <v>431</v>
      </c>
      <c r="P2220" s="1192" t="s">
        <v>2739</v>
      </c>
      <c r="V2220" s="1192">
        <v>24</v>
      </c>
    </row>
    <row r="2221" spans="1:22" s="1192" customFormat="1" ht="14.4" x14ac:dyDescent="0.3">
      <c r="A2221" s="1192" t="s">
        <v>176</v>
      </c>
      <c r="E2221" s="1741" t="s">
        <v>6090</v>
      </c>
      <c r="F2221" s="1998"/>
      <c r="G2221" s="1277" t="s">
        <v>20</v>
      </c>
      <c r="H2221" s="1219">
        <v>-1.1000000000000001E-3</v>
      </c>
      <c r="K2221" s="1192" t="s">
        <v>2736</v>
      </c>
      <c r="L2221" s="1192" t="s">
        <v>431</v>
      </c>
      <c r="P2221" s="1192" t="s">
        <v>3268</v>
      </c>
      <c r="T2221" s="1192">
        <v>44196</v>
      </c>
      <c r="V2221" s="1192">
        <v>142</v>
      </c>
    </row>
    <row r="2222" spans="1:22" s="1192" customFormat="1" ht="14.4" x14ac:dyDescent="0.3">
      <c r="A2222" s="1192" t="s">
        <v>176</v>
      </c>
      <c r="E2222" s="1741" t="s">
        <v>6145</v>
      </c>
      <c r="F2222" s="1998"/>
      <c r="G2222" s="1277" t="s">
        <v>29</v>
      </c>
      <c r="H2222" s="1219">
        <v>1.5189999999999999</v>
      </c>
      <c r="K2222" s="1192" t="s">
        <v>2736</v>
      </c>
      <c r="L2222" s="1192" t="s">
        <v>430</v>
      </c>
      <c r="P2222" s="1192" t="s">
        <v>2740</v>
      </c>
      <c r="T2222" s="1192">
        <v>44196</v>
      </c>
      <c r="V2222" s="1192">
        <v>139</v>
      </c>
    </row>
    <row r="2223" spans="1:22" s="1192" customFormat="1" ht="14.4" x14ac:dyDescent="0.3">
      <c r="A2223" s="1192" t="s">
        <v>176</v>
      </c>
      <c r="E2223" s="1741" t="s">
        <v>6087</v>
      </c>
      <c r="F2223" s="1998"/>
      <c r="G2223" s="1277" t="s">
        <v>29</v>
      </c>
      <c r="H2223" s="1219">
        <v>-0.24340000000000001</v>
      </c>
      <c r="K2223" s="1192" t="s">
        <v>2736</v>
      </c>
      <c r="L2223" s="1192" t="s">
        <v>431</v>
      </c>
      <c r="P2223" s="1192" t="s">
        <v>3034</v>
      </c>
      <c r="T2223" s="1192">
        <v>44196</v>
      </c>
      <c r="V2223" s="1192">
        <v>99</v>
      </c>
    </row>
    <row r="2224" spans="1:22" s="1192" customFormat="1" ht="14.4" x14ac:dyDescent="0.3">
      <c r="A2224" s="1192" t="s">
        <v>176</v>
      </c>
      <c r="E2224" s="1741" t="s">
        <v>213</v>
      </c>
      <c r="F2224" s="1741"/>
      <c r="G2224" s="1277" t="s">
        <v>29</v>
      </c>
      <c r="H2224" s="1219">
        <v>1.9964999999999999</v>
      </c>
      <c r="K2224" s="1192" t="s">
        <v>2736</v>
      </c>
      <c r="L2224" s="1192" t="s">
        <v>432</v>
      </c>
      <c r="P2224" s="1192" t="s">
        <v>2741</v>
      </c>
      <c r="V2224" s="1192">
        <v>47</v>
      </c>
    </row>
    <row r="2225" spans="1:22" s="1192" customFormat="1" ht="14.4" x14ac:dyDescent="0.3">
      <c r="A2225" s="1192" t="s">
        <v>176</v>
      </c>
      <c r="E2225" s="1741" t="s">
        <v>209</v>
      </c>
      <c r="F2225" s="1741"/>
      <c r="G2225" s="1277" t="s">
        <v>29</v>
      </c>
      <c r="H2225" s="1219">
        <v>1.4746999999999999</v>
      </c>
      <c r="K2225" s="1192" t="s">
        <v>2736</v>
      </c>
      <c r="L2225" s="1192" t="s">
        <v>432</v>
      </c>
      <c r="P2225" s="1192" t="s">
        <v>2742</v>
      </c>
      <c r="V2225" s="1192">
        <v>74</v>
      </c>
    </row>
    <row r="2226" spans="1:22" s="1192" customFormat="1" ht="14.4" x14ac:dyDescent="0.3">
      <c r="A2226" s="1192" t="s">
        <v>176</v>
      </c>
      <c r="E2226" s="1750" t="s">
        <v>2405</v>
      </c>
      <c r="F2226" s="1741"/>
      <c r="G2226" s="1277"/>
      <c r="H2226" s="896"/>
      <c r="K2226" s="1192" t="s">
        <v>2438</v>
      </c>
      <c r="V2226" s="1192">
        <v>48</v>
      </c>
    </row>
    <row r="2227" spans="1:22" s="1192" customFormat="1" ht="14.4" x14ac:dyDescent="0.3">
      <c r="A2227" s="1192" t="s">
        <v>176</v>
      </c>
      <c r="E2227" s="1741" t="s">
        <v>2033</v>
      </c>
      <c r="F2227" s="1741"/>
      <c r="G2227" s="1277" t="s">
        <v>20</v>
      </c>
      <c r="H2227" s="1219">
        <v>3.0000000000000001E-3</v>
      </c>
      <c r="K2227" s="1192" t="s">
        <v>2736</v>
      </c>
      <c r="L2227" s="1192" t="s">
        <v>2374</v>
      </c>
      <c r="P2227" s="1192" t="s">
        <v>2743</v>
      </c>
      <c r="V2227" s="1192">
        <v>55</v>
      </c>
    </row>
    <row r="2228" spans="1:22" s="1192" customFormat="1" ht="14.4" x14ac:dyDescent="0.3">
      <c r="A2228" s="1192" t="s">
        <v>176</v>
      </c>
      <c r="E2228" s="1741" t="s">
        <v>2034</v>
      </c>
      <c r="F2228" s="1741"/>
      <c r="G2228" s="1277" t="s">
        <v>20</v>
      </c>
      <c r="H2228" s="1219">
        <v>4.0000000000000002E-4</v>
      </c>
      <c r="K2228" s="1192" t="s">
        <v>2736</v>
      </c>
      <c r="L2228" s="1192" t="s">
        <v>2374</v>
      </c>
      <c r="P2228" s="1192" t="s">
        <v>2743</v>
      </c>
      <c r="V2228" s="1192">
        <v>65</v>
      </c>
    </row>
    <row r="2229" spans="1:22" s="1192" customFormat="1" ht="14.4" x14ac:dyDescent="0.3">
      <c r="A2229" s="1192" t="s">
        <v>176</v>
      </c>
      <c r="E2229" s="1741" t="s">
        <v>428</v>
      </c>
      <c r="F2229" s="1741"/>
      <c r="G2229" s="1277" t="s">
        <v>20</v>
      </c>
      <c r="H2229" s="1219">
        <v>5.0000000000000001E-4</v>
      </c>
      <c r="K2229" s="1192" t="s">
        <v>2736</v>
      </c>
      <c r="L2229" s="1192" t="s">
        <v>2374</v>
      </c>
      <c r="P2229" s="1192" t="s">
        <v>2744</v>
      </c>
      <c r="V2229" s="1192">
        <v>57</v>
      </c>
    </row>
    <row r="2230" spans="1:22" s="1192" customFormat="1" ht="14.4" x14ac:dyDescent="0.3">
      <c r="A2230" s="1192" t="s">
        <v>176</v>
      </c>
      <c r="E2230" s="1741" t="s">
        <v>28</v>
      </c>
      <c r="F2230" s="1741"/>
      <c r="G2230" s="1277" t="s">
        <v>19</v>
      </c>
      <c r="H2230" s="1218">
        <v>0.25</v>
      </c>
      <c r="K2230" s="1192" t="s">
        <v>2736</v>
      </c>
      <c r="L2230" s="1192" t="s">
        <v>2374</v>
      </c>
      <c r="P2230" s="1192" t="s">
        <v>2745</v>
      </c>
      <c r="V2230" s="1192">
        <v>63</v>
      </c>
    </row>
    <row r="2231" spans="1:22" s="1192" customFormat="1" ht="17.399999999999999" x14ac:dyDescent="0.3">
      <c r="A2231" s="1192" t="s">
        <v>176</v>
      </c>
      <c r="E2231" s="1746" t="s">
        <v>590</v>
      </c>
      <c r="F2231" s="1747"/>
      <c r="G2231" s="1747"/>
      <c r="H2231" s="1747"/>
      <c r="K2231" s="1192" t="s">
        <v>2746</v>
      </c>
      <c r="V2231" s="1192">
        <v>38</v>
      </c>
    </row>
    <row r="2232" spans="1:22" s="1192" customFormat="1" ht="14.4" x14ac:dyDescent="0.3">
      <c r="A2232" s="1192" t="s">
        <v>176</v>
      </c>
      <c r="E2232" s="1743" t="s">
        <v>3384</v>
      </c>
      <c r="F2232" s="1743"/>
      <c r="G2232" s="1743"/>
      <c r="H2232" s="1743"/>
      <c r="K2232" s="1192" t="s">
        <v>2746</v>
      </c>
      <c r="V2232" s="1192">
        <v>878</v>
      </c>
    </row>
    <row r="2233" spans="1:22" s="1192" customFormat="1" ht="14.4" x14ac:dyDescent="0.3">
      <c r="A2233" s="1192" t="s">
        <v>176</v>
      </c>
      <c r="E2233" s="1750" t="s">
        <v>2389</v>
      </c>
      <c r="F2233" s="1743"/>
      <c r="G2233" s="1743"/>
      <c r="H2233" s="1743"/>
      <c r="K2233" s="1192" t="s">
        <v>2444</v>
      </c>
      <c r="V2233" s="1192">
        <v>11</v>
      </c>
    </row>
    <row r="2234" spans="1:22" s="1192" customFormat="1" ht="14.4" x14ac:dyDescent="0.3">
      <c r="A2234" s="1192" t="s">
        <v>176</v>
      </c>
      <c r="E2234" s="1743" t="s">
        <v>2391</v>
      </c>
      <c r="F2234" s="1743"/>
      <c r="G2234" s="1743"/>
      <c r="H2234" s="1743"/>
      <c r="K2234" s="1192" t="s">
        <v>2746</v>
      </c>
      <c r="V2234" s="1192">
        <v>280</v>
      </c>
    </row>
    <row r="2235" spans="1:22" s="1192" customFormat="1" ht="14.4" x14ac:dyDescent="0.3">
      <c r="A2235" s="1192" t="s">
        <v>176</v>
      </c>
      <c r="E2235" s="1743" t="s">
        <v>2392</v>
      </c>
      <c r="F2235" s="1743"/>
      <c r="G2235" s="1743"/>
      <c r="H2235" s="1743"/>
      <c r="K2235" s="1192" t="s">
        <v>2746</v>
      </c>
      <c r="V2235" s="1192">
        <v>411</v>
      </c>
    </row>
    <row r="2236" spans="1:22" s="1192" customFormat="1" ht="14.4" x14ac:dyDescent="0.3">
      <c r="A2236" s="1192" t="s">
        <v>176</v>
      </c>
      <c r="E2236" s="1743" t="s">
        <v>2508</v>
      </c>
      <c r="F2236" s="1743"/>
      <c r="G2236" s="1743"/>
      <c r="H2236" s="1743"/>
      <c r="K2236" s="1192" t="s">
        <v>2746</v>
      </c>
      <c r="V2236" s="1192">
        <v>386</v>
      </c>
    </row>
    <row r="2237" spans="1:22" s="1192" customFormat="1" ht="14.4" x14ac:dyDescent="0.3">
      <c r="A2237" s="1192" t="s">
        <v>176</v>
      </c>
      <c r="E2237" s="1743" t="s">
        <v>2986</v>
      </c>
      <c r="F2237" s="1743"/>
      <c r="G2237" s="1743"/>
      <c r="H2237" s="1743"/>
      <c r="K2237" s="1192" t="s">
        <v>2746</v>
      </c>
      <c r="V2237" s="1192">
        <v>246</v>
      </c>
    </row>
    <row r="2238" spans="1:22" s="1192" customFormat="1" ht="14.4" x14ac:dyDescent="0.3">
      <c r="A2238" s="1192" t="s">
        <v>176</v>
      </c>
      <c r="E2238" s="1750" t="s">
        <v>2394</v>
      </c>
      <c r="F2238" s="1743"/>
      <c r="G2238" s="1743"/>
      <c r="H2238" s="1743"/>
      <c r="K2238" s="1192" t="s">
        <v>2446</v>
      </c>
      <c r="V2238" s="1192">
        <v>46</v>
      </c>
    </row>
    <row r="2239" spans="1:22" s="1192" customFormat="1" ht="14.4" x14ac:dyDescent="0.3">
      <c r="A2239" s="1192" t="s">
        <v>176</v>
      </c>
      <c r="E2239" s="1741" t="s">
        <v>424</v>
      </c>
      <c r="F2239" s="1741"/>
      <c r="G2239" s="1277" t="s">
        <v>19</v>
      </c>
      <c r="H2239" s="1218">
        <v>1.18</v>
      </c>
      <c r="K2239" s="1192" t="s">
        <v>2746</v>
      </c>
      <c r="L2239" s="1192" t="s">
        <v>430</v>
      </c>
      <c r="P2239" s="1192" t="s">
        <v>2747</v>
      </c>
      <c r="V2239" s="1192">
        <v>26</v>
      </c>
    </row>
    <row r="2240" spans="1:22" s="1192" customFormat="1" ht="14.4" x14ac:dyDescent="0.3">
      <c r="A2240" s="1192" t="s">
        <v>176</v>
      </c>
      <c r="E2240" s="1741" t="s">
        <v>80</v>
      </c>
      <c r="F2240" s="1741"/>
      <c r="G2240" s="1277" t="s">
        <v>29</v>
      </c>
      <c r="H2240" s="1219">
        <v>3.5331999999999999</v>
      </c>
      <c r="K2240" s="1192" t="s">
        <v>2746</v>
      </c>
      <c r="L2240" s="1192" t="s">
        <v>430</v>
      </c>
      <c r="P2240" s="1192" t="s">
        <v>2748</v>
      </c>
      <c r="V2240" s="1192">
        <v>28</v>
      </c>
    </row>
    <row r="2241" spans="1:22" s="1192" customFormat="1" ht="14.4" x14ac:dyDescent="0.3">
      <c r="A2241" s="1192" t="s">
        <v>176</v>
      </c>
      <c r="E2241" s="1741" t="s">
        <v>14</v>
      </c>
      <c r="F2241" s="1741"/>
      <c r="G2241" s="1277" t="s">
        <v>29</v>
      </c>
      <c r="H2241" s="1219">
        <v>9.74E-2</v>
      </c>
      <c r="K2241" s="1192" t="s">
        <v>2746</v>
      </c>
      <c r="L2241" s="1192" t="s">
        <v>431</v>
      </c>
      <c r="P2241" s="1192" t="s">
        <v>2749</v>
      </c>
      <c r="V2241" s="1192">
        <v>24</v>
      </c>
    </row>
    <row r="2242" spans="1:22" s="1192" customFormat="1" ht="14.4" x14ac:dyDescent="0.3">
      <c r="A2242" s="1192" t="s">
        <v>176</v>
      </c>
      <c r="E2242" s="1741" t="s">
        <v>6090</v>
      </c>
      <c r="F2242" s="1998"/>
      <c r="G2242" s="1277" t="s">
        <v>20</v>
      </c>
      <c r="H2242" s="1219">
        <v>-1.2999999999999999E-3</v>
      </c>
      <c r="K2242" s="1192" t="s">
        <v>2746</v>
      </c>
      <c r="L2242" s="1192" t="s">
        <v>431</v>
      </c>
      <c r="P2242" s="1192" t="s">
        <v>3270</v>
      </c>
      <c r="T2242" s="1192">
        <v>44196</v>
      </c>
      <c r="V2242" s="1192">
        <v>142</v>
      </c>
    </row>
    <row r="2243" spans="1:22" s="1192" customFormat="1" ht="14.4" x14ac:dyDescent="0.3">
      <c r="A2243" s="1192" t="s">
        <v>176</v>
      </c>
      <c r="E2243" s="1741" t="s">
        <v>6145</v>
      </c>
      <c r="F2243" s="1998"/>
      <c r="G2243" s="1277" t="s">
        <v>29</v>
      </c>
      <c r="H2243" s="1219">
        <v>-6.3E-3</v>
      </c>
      <c r="K2243" s="1192" t="s">
        <v>2746</v>
      </c>
      <c r="L2243" s="1192" t="s">
        <v>430</v>
      </c>
      <c r="P2243" s="1192" t="s">
        <v>2750</v>
      </c>
      <c r="T2243" s="1192">
        <v>44196</v>
      </c>
      <c r="V2243" s="1192">
        <v>139</v>
      </c>
    </row>
    <row r="2244" spans="1:22" s="1192" customFormat="1" ht="14.4" x14ac:dyDescent="0.3">
      <c r="A2244" s="1192" t="s">
        <v>176</v>
      </c>
      <c r="E2244" s="1741" t="s">
        <v>6087</v>
      </c>
      <c r="F2244" s="1998"/>
      <c r="G2244" s="1277" t="s">
        <v>29</v>
      </c>
      <c r="H2244" s="1219">
        <v>-0.31940000000000002</v>
      </c>
      <c r="K2244" s="1192" t="s">
        <v>2746</v>
      </c>
      <c r="L2244" s="1192" t="s">
        <v>431</v>
      </c>
      <c r="P2244" s="1192" t="s">
        <v>3036</v>
      </c>
      <c r="T2244" s="1192">
        <v>44196</v>
      </c>
      <c r="V2244" s="1192">
        <v>99</v>
      </c>
    </row>
    <row r="2245" spans="1:22" s="1192" customFormat="1" ht="14.4" x14ac:dyDescent="0.3">
      <c r="A2245" s="1192" t="s">
        <v>176</v>
      </c>
      <c r="E2245" s="1741" t="s">
        <v>213</v>
      </c>
      <c r="F2245" s="1741"/>
      <c r="G2245" s="1277" t="s">
        <v>29</v>
      </c>
      <c r="H2245" s="1219">
        <v>1.9862</v>
      </c>
      <c r="K2245" s="1192" t="s">
        <v>2746</v>
      </c>
      <c r="L2245" s="1192" t="s">
        <v>432</v>
      </c>
      <c r="P2245" s="1192" t="s">
        <v>2751</v>
      </c>
      <c r="V2245" s="1192">
        <v>47</v>
      </c>
    </row>
    <row r="2246" spans="1:22" s="1192" customFormat="1" ht="14.4" x14ac:dyDescent="0.3">
      <c r="A2246" s="1192" t="s">
        <v>176</v>
      </c>
      <c r="E2246" s="1741" t="s">
        <v>209</v>
      </c>
      <c r="F2246" s="1741"/>
      <c r="G2246" s="1277" t="s">
        <v>29</v>
      </c>
      <c r="H2246" s="1219">
        <v>1.4443999999999999</v>
      </c>
      <c r="K2246" s="1192" t="s">
        <v>2746</v>
      </c>
      <c r="L2246" s="1192" t="s">
        <v>432</v>
      </c>
      <c r="P2246" s="1192" t="s">
        <v>2752</v>
      </c>
      <c r="V2246" s="1192">
        <v>74</v>
      </c>
    </row>
    <row r="2247" spans="1:22" s="1192" customFormat="1" ht="14.4" x14ac:dyDescent="0.3">
      <c r="A2247" s="1192" t="s">
        <v>176</v>
      </c>
      <c r="E2247" s="1750" t="s">
        <v>2405</v>
      </c>
      <c r="F2247" s="1741"/>
      <c r="G2247" s="1277"/>
      <c r="H2247" s="896"/>
      <c r="K2247" s="1192" t="s">
        <v>2565</v>
      </c>
      <c r="V2247" s="1192">
        <v>48</v>
      </c>
    </row>
    <row r="2248" spans="1:22" s="1192" customFormat="1" ht="14.4" x14ac:dyDescent="0.3">
      <c r="A2248" s="1192" t="s">
        <v>176</v>
      </c>
      <c r="E2248" s="1741" t="s">
        <v>2033</v>
      </c>
      <c r="F2248" s="1741"/>
      <c r="G2248" s="1277" t="s">
        <v>20</v>
      </c>
      <c r="H2248" s="1219">
        <v>3.0000000000000001E-3</v>
      </c>
      <c r="K2248" s="1192" t="s">
        <v>2746</v>
      </c>
      <c r="L2248" s="1192" t="s">
        <v>2374</v>
      </c>
      <c r="P2248" s="1192" t="s">
        <v>2753</v>
      </c>
      <c r="V2248" s="1192">
        <v>55</v>
      </c>
    </row>
    <row r="2249" spans="1:22" s="1192" customFormat="1" ht="14.4" x14ac:dyDescent="0.3">
      <c r="A2249" s="1192" t="s">
        <v>176</v>
      </c>
      <c r="E2249" s="1741" t="s">
        <v>2034</v>
      </c>
      <c r="F2249" s="1741"/>
      <c r="G2249" s="1277" t="s">
        <v>20</v>
      </c>
      <c r="H2249" s="1219">
        <v>4.0000000000000002E-4</v>
      </c>
      <c r="K2249" s="1192" t="s">
        <v>2746</v>
      </c>
      <c r="L2249" s="1192" t="s">
        <v>2374</v>
      </c>
      <c r="P2249" s="1192" t="s">
        <v>2753</v>
      </c>
      <c r="V2249" s="1192">
        <v>65</v>
      </c>
    </row>
    <row r="2250" spans="1:22" s="1192" customFormat="1" ht="14.4" x14ac:dyDescent="0.3">
      <c r="A2250" s="1192" t="s">
        <v>176</v>
      </c>
      <c r="E2250" s="1741" t="s">
        <v>428</v>
      </c>
      <c r="F2250" s="1741"/>
      <c r="G2250" s="1277" t="s">
        <v>20</v>
      </c>
      <c r="H2250" s="1219">
        <v>5.0000000000000001E-4</v>
      </c>
      <c r="K2250" s="1192" t="s">
        <v>2746</v>
      </c>
      <c r="L2250" s="1192" t="s">
        <v>2374</v>
      </c>
      <c r="P2250" s="1192" t="s">
        <v>2754</v>
      </c>
      <c r="V2250" s="1192">
        <v>57</v>
      </c>
    </row>
    <row r="2251" spans="1:22" s="1192" customFormat="1" ht="14.4" x14ac:dyDescent="0.3">
      <c r="A2251" s="1192" t="s">
        <v>176</v>
      </c>
      <c r="E2251" s="1741" t="s">
        <v>28</v>
      </c>
      <c r="F2251" s="1741"/>
      <c r="G2251" s="1277" t="s">
        <v>19</v>
      </c>
      <c r="H2251" s="1218">
        <v>0.25</v>
      </c>
      <c r="K2251" s="1192" t="s">
        <v>2746</v>
      </c>
      <c r="L2251" s="1192" t="s">
        <v>2374</v>
      </c>
      <c r="P2251" s="1192" t="s">
        <v>2755</v>
      </c>
      <c r="V2251" s="1192">
        <v>63</v>
      </c>
    </row>
    <row r="2252" spans="1:22" s="1192" customFormat="1" ht="17.399999999999999" x14ac:dyDescent="0.3">
      <c r="A2252" s="1192" t="s">
        <v>176</v>
      </c>
      <c r="E2252" s="1746" t="s">
        <v>593</v>
      </c>
      <c r="F2252" s="1747"/>
      <c r="G2252" s="1747"/>
      <c r="H2252" s="1747"/>
      <c r="K2252" s="1192" t="s">
        <v>2756</v>
      </c>
      <c r="V2252" s="1192">
        <v>31</v>
      </c>
    </row>
    <row r="2253" spans="1:22" s="1192" customFormat="1" ht="14.4" x14ac:dyDescent="0.3">
      <c r="A2253" s="1192" t="s">
        <v>176</v>
      </c>
      <c r="E2253" s="1743" t="s">
        <v>2652</v>
      </c>
      <c r="F2253" s="1743"/>
      <c r="G2253" s="1743"/>
      <c r="H2253" s="1743"/>
      <c r="K2253" s="1192" t="s">
        <v>2756</v>
      </c>
      <c r="V2253" s="1192">
        <v>285</v>
      </c>
    </row>
    <row r="2254" spans="1:22" s="1192" customFormat="1" ht="14.4" x14ac:dyDescent="0.3">
      <c r="A2254" s="1192" t="s">
        <v>176</v>
      </c>
      <c r="E2254" s="1750" t="s">
        <v>2389</v>
      </c>
      <c r="F2254" s="1743"/>
      <c r="G2254" s="1743"/>
      <c r="H2254" s="1743"/>
      <c r="K2254" s="1192" t="s">
        <v>2571</v>
      </c>
      <c r="V2254" s="1192">
        <v>11</v>
      </c>
    </row>
    <row r="2255" spans="1:22" s="1192" customFormat="1" ht="14.4" x14ac:dyDescent="0.3">
      <c r="A2255" s="1192" t="s">
        <v>176</v>
      </c>
      <c r="E2255" s="1743" t="s">
        <v>2391</v>
      </c>
      <c r="F2255" s="1743"/>
      <c r="G2255" s="1743"/>
      <c r="H2255" s="1743"/>
      <c r="K2255" s="1192" t="s">
        <v>2756</v>
      </c>
      <c r="V2255" s="1192">
        <v>280</v>
      </c>
    </row>
    <row r="2256" spans="1:22" s="1192" customFormat="1" ht="14.4" x14ac:dyDescent="0.3">
      <c r="A2256" s="1192" t="s">
        <v>176</v>
      </c>
      <c r="E2256" s="1743" t="s">
        <v>2392</v>
      </c>
      <c r="F2256" s="1743"/>
      <c r="G2256" s="1743"/>
      <c r="H2256" s="1743"/>
      <c r="K2256" s="1192" t="s">
        <v>2756</v>
      </c>
      <c r="V2256" s="1192">
        <v>411</v>
      </c>
    </row>
    <row r="2257" spans="1:22" s="1192" customFormat="1" ht="14.4" x14ac:dyDescent="0.3">
      <c r="A2257" s="1192" t="s">
        <v>176</v>
      </c>
      <c r="E2257" s="1743" t="s">
        <v>2445</v>
      </c>
      <c r="F2257" s="1743"/>
      <c r="G2257" s="1743"/>
      <c r="H2257" s="1743"/>
      <c r="K2257" s="1192" t="s">
        <v>2756</v>
      </c>
      <c r="V2257" s="1192">
        <v>211</v>
      </c>
    </row>
    <row r="2258" spans="1:22" s="1192" customFormat="1" ht="14.4" x14ac:dyDescent="0.3">
      <c r="A2258" s="1192" t="s">
        <v>176</v>
      </c>
      <c r="E2258" s="1743" t="s">
        <v>2986</v>
      </c>
      <c r="F2258" s="1743"/>
      <c r="G2258" s="1743"/>
      <c r="H2258" s="1743"/>
      <c r="K2258" s="1192" t="s">
        <v>2756</v>
      </c>
      <c r="V2258" s="1192">
        <v>246</v>
      </c>
    </row>
    <row r="2259" spans="1:22" s="1192" customFormat="1" ht="14.4" x14ac:dyDescent="0.3">
      <c r="A2259" s="1192" t="s">
        <v>176</v>
      </c>
      <c r="E2259" s="1750" t="s">
        <v>2394</v>
      </c>
      <c r="F2259" s="1743"/>
      <c r="G2259" s="1743"/>
      <c r="H2259" s="1743"/>
      <c r="K2259" s="1192" t="s">
        <v>2572</v>
      </c>
      <c r="V2259" s="1192">
        <v>46</v>
      </c>
    </row>
    <row r="2260" spans="1:22" s="1192" customFormat="1" ht="14.4" x14ac:dyDescent="0.3">
      <c r="A2260" s="1192" t="s">
        <v>176</v>
      </c>
      <c r="E2260" s="1741" t="s">
        <v>7</v>
      </c>
      <c r="F2260" s="1741"/>
      <c r="G2260" s="1277" t="s">
        <v>19</v>
      </c>
      <c r="H2260" s="1218">
        <v>5.4</v>
      </c>
      <c r="K2260" s="1192" t="s">
        <v>2756</v>
      </c>
      <c r="L2260" s="1192" t="s">
        <v>430</v>
      </c>
      <c r="P2260" s="1192" t="s">
        <v>2757</v>
      </c>
      <c r="V2260" s="1192">
        <v>14</v>
      </c>
    </row>
    <row r="2261" spans="1:22" s="1192" customFormat="1" x14ac:dyDescent="0.35">
      <c r="A2261" s="1192" t="s">
        <v>176</v>
      </c>
      <c r="E2261" s="1260" t="s">
        <v>81</v>
      </c>
      <c r="F2261" s="550"/>
      <c r="G2261" s="550"/>
      <c r="H2261" s="881"/>
      <c r="K2261" s="1192" t="s">
        <v>3385</v>
      </c>
      <c r="V2261" s="1192">
        <v>10</v>
      </c>
    </row>
    <row r="2262" spans="1:22" s="1192" customFormat="1" ht="14.4" x14ac:dyDescent="0.3">
      <c r="A2262" s="1192" t="s">
        <v>176</v>
      </c>
      <c r="E2262" s="1741" t="s">
        <v>2449</v>
      </c>
      <c r="F2262" s="1741"/>
      <c r="G2262" s="1277" t="s">
        <v>29</v>
      </c>
      <c r="H2262" s="1219">
        <v>-0.6</v>
      </c>
      <c r="V2262" s="1192">
        <v>68</v>
      </c>
    </row>
    <row r="2263" spans="1:22" s="1192" customFormat="1" ht="14.4" x14ac:dyDescent="0.3">
      <c r="A2263" s="1192" t="s">
        <v>176</v>
      </c>
      <c r="E2263" s="1741" t="s">
        <v>2450</v>
      </c>
      <c r="F2263" s="1741"/>
      <c r="G2263" s="1277" t="s">
        <v>82</v>
      </c>
      <c r="H2263" s="1218">
        <v>-1</v>
      </c>
      <c r="V2263" s="1192">
        <v>87</v>
      </c>
    </row>
    <row r="2264" spans="1:22" s="1192" customFormat="1" x14ac:dyDescent="0.35">
      <c r="A2264" s="1192" t="s">
        <v>176</v>
      </c>
      <c r="E2264" s="1260" t="s">
        <v>83</v>
      </c>
      <c r="F2264" s="550"/>
      <c r="G2264" s="550"/>
      <c r="H2264" s="881"/>
      <c r="K2264" s="1192" t="s">
        <v>3386</v>
      </c>
      <c r="V2264" s="1192">
        <v>24</v>
      </c>
    </row>
    <row r="2265" spans="1:22" s="1192" customFormat="1" ht="14.4" x14ac:dyDescent="0.3">
      <c r="A2265" s="1192" t="s">
        <v>176</v>
      </c>
      <c r="E2265" s="2037" t="s">
        <v>2389</v>
      </c>
      <c r="F2265" s="1743"/>
      <c r="G2265" s="1743"/>
      <c r="H2265" s="1743"/>
      <c r="V2265" s="1192">
        <v>11</v>
      </c>
    </row>
    <row r="2266" spans="1:22" s="1192" customFormat="1" ht="14.4" x14ac:dyDescent="0.3">
      <c r="A2266" s="1192" t="s">
        <v>176</v>
      </c>
      <c r="E2266" s="1743" t="s">
        <v>2391</v>
      </c>
      <c r="F2266" s="1743"/>
      <c r="G2266" s="1743"/>
      <c r="H2266" s="1743"/>
      <c r="V2266" s="1192">
        <v>280</v>
      </c>
    </row>
    <row r="2267" spans="1:22" s="1192" customFormat="1" ht="14.4" x14ac:dyDescent="0.3">
      <c r="A2267" s="1192" t="s">
        <v>176</v>
      </c>
      <c r="E2267" s="1743" t="s">
        <v>2452</v>
      </c>
      <c r="F2267" s="1743"/>
      <c r="G2267" s="1743"/>
      <c r="H2267" s="1743"/>
      <c r="V2267" s="1192">
        <v>353</v>
      </c>
    </row>
    <row r="2268" spans="1:22" s="1192" customFormat="1" ht="14.4" x14ac:dyDescent="0.3">
      <c r="A2268" s="1192" t="s">
        <v>176</v>
      </c>
      <c r="E2268" s="2117" t="s">
        <v>2986</v>
      </c>
      <c r="F2268" s="2117"/>
      <c r="G2268" s="2117"/>
      <c r="H2268" s="2117"/>
      <c r="V2268" s="1192">
        <v>246</v>
      </c>
    </row>
    <row r="2269" spans="1:22" s="1192" customFormat="1" ht="14.4" x14ac:dyDescent="0.3">
      <c r="A2269" s="1192" t="s">
        <v>176</v>
      </c>
      <c r="E2269" s="1258" t="s">
        <v>2453</v>
      </c>
      <c r="F2269" s="3"/>
      <c r="G2269" s="3"/>
      <c r="H2269" s="897"/>
      <c r="K2269" s="1192" t="s">
        <v>3387</v>
      </c>
      <c r="V2269" s="1192">
        <v>23</v>
      </c>
    </row>
    <row r="2270" spans="1:22" s="1192" customFormat="1" ht="14.4" x14ac:dyDescent="0.3">
      <c r="A2270" s="1192" t="s">
        <v>176</v>
      </c>
      <c r="E2270" s="1942" t="s">
        <v>2639</v>
      </c>
      <c r="F2270" s="1942"/>
      <c r="G2270" s="1277" t="s">
        <v>19</v>
      </c>
      <c r="H2270" s="1218">
        <v>15</v>
      </c>
      <c r="V2270" s="1192">
        <v>19</v>
      </c>
    </row>
    <row r="2271" spans="1:22" s="1192" customFormat="1" ht="14.4" x14ac:dyDescent="0.3">
      <c r="A2271" s="1192" t="s">
        <v>176</v>
      </c>
      <c r="E2271" s="1942" t="s">
        <v>2461</v>
      </c>
      <c r="F2271" s="1942"/>
      <c r="G2271" s="1277" t="s">
        <v>19</v>
      </c>
      <c r="H2271" s="1218">
        <v>15</v>
      </c>
      <c r="V2271" s="1192">
        <v>17</v>
      </c>
    </row>
    <row r="2272" spans="1:22" s="1192" customFormat="1" ht="14.4" x14ac:dyDescent="0.3">
      <c r="A2272" s="1192" t="s">
        <v>176</v>
      </c>
      <c r="E2272" s="1942" t="s">
        <v>2464</v>
      </c>
      <c r="F2272" s="1942"/>
      <c r="G2272" s="1277" t="s">
        <v>19</v>
      </c>
      <c r="H2272" s="1218">
        <v>15</v>
      </c>
      <c r="V2272" s="1192">
        <v>56</v>
      </c>
    </row>
    <row r="2273" spans="1:22" s="1192" customFormat="1" ht="14.4" x14ac:dyDescent="0.3">
      <c r="A2273" s="1192" t="s">
        <v>176</v>
      </c>
      <c r="E2273" s="1942" t="s">
        <v>119</v>
      </c>
      <c r="F2273" s="1942"/>
      <c r="G2273" s="1277" t="s">
        <v>19</v>
      </c>
      <c r="H2273" s="1218">
        <v>15</v>
      </c>
      <c r="V2273" s="1192">
        <v>35</v>
      </c>
    </row>
    <row r="2274" spans="1:22" s="1192" customFormat="1" ht="14.4" x14ac:dyDescent="0.3">
      <c r="A2274" s="1192" t="s">
        <v>176</v>
      </c>
      <c r="E2274" s="1942" t="s">
        <v>84</v>
      </c>
      <c r="F2274" s="1942"/>
      <c r="G2274" s="1277" t="s">
        <v>19</v>
      </c>
      <c r="H2274" s="1218">
        <v>30</v>
      </c>
      <c r="V2274" s="1192">
        <v>89</v>
      </c>
    </row>
    <row r="2275" spans="1:22" s="1192" customFormat="1" ht="14.4" x14ac:dyDescent="0.3">
      <c r="A2275" s="1192" t="s">
        <v>176</v>
      </c>
      <c r="E2275" s="1942" t="s">
        <v>88</v>
      </c>
      <c r="F2275" s="1942"/>
      <c r="G2275" s="1277" t="s">
        <v>19</v>
      </c>
      <c r="H2275" s="1218">
        <v>30</v>
      </c>
      <c r="V2275" s="1192">
        <v>74</v>
      </c>
    </row>
    <row r="2276" spans="1:22" s="1192" customFormat="1" ht="14.4" x14ac:dyDescent="0.3">
      <c r="A2276" s="1192" t="s">
        <v>176</v>
      </c>
      <c r="E2276" s="1258" t="s">
        <v>2468</v>
      </c>
      <c r="F2276" s="3"/>
      <c r="G2276" s="3"/>
      <c r="H2276" s="897"/>
      <c r="K2276" s="1192" t="s">
        <v>3388</v>
      </c>
      <c r="V2276" s="1192">
        <v>22</v>
      </c>
    </row>
    <row r="2277" spans="1:22" s="1192" customFormat="1" ht="14.4" x14ac:dyDescent="0.3">
      <c r="A2277" s="1192" t="s">
        <v>176</v>
      </c>
      <c r="E2277" s="1942" t="s">
        <v>3918</v>
      </c>
      <c r="F2277" s="1942"/>
      <c r="G2277" s="1277"/>
      <c r="H2277" s="837"/>
      <c r="V2277" s="1192">
        <v>24</v>
      </c>
    </row>
    <row r="2278" spans="1:22" s="1192" customFormat="1" ht="14.4" x14ac:dyDescent="0.3">
      <c r="A2278" s="1192" t="s">
        <v>176</v>
      </c>
      <c r="E2278" s="1942" t="s">
        <v>6195</v>
      </c>
      <c r="F2278" s="1942"/>
      <c r="G2278" s="1277" t="s">
        <v>82</v>
      </c>
      <c r="H2278" s="1218">
        <v>1.5</v>
      </c>
      <c r="V2278" s="1192">
        <v>74</v>
      </c>
    </row>
    <row r="2279" spans="1:22" s="1192" customFormat="1" ht="14.4" x14ac:dyDescent="0.3">
      <c r="A2279" s="1192" t="s">
        <v>176</v>
      </c>
      <c r="E2279" s="1942" t="s">
        <v>6106</v>
      </c>
      <c r="F2279" s="1942"/>
      <c r="G2279" s="1277" t="s">
        <v>19</v>
      </c>
      <c r="H2279" s="1218">
        <v>65</v>
      </c>
      <c r="V2279" s="1192">
        <v>44</v>
      </c>
    </row>
    <row r="2280" spans="1:22" s="1192" customFormat="1" ht="14.4" x14ac:dyDescent="0.3">
      <c r="A2280" s="1192" t="s">
        <v>176</v>
      </c>
      <c r="E2280" s="1942" t="s">
        <v>6107</v>
      </c>
      <c r="F2280" s="1942"/>
      <c r="G2280" s="1277" t="s">
        <v>19</v>
      </c>
      <c r="H2280" s="1218">
        <v>185</v>
      </c>
      <c r="V2280" s="1192">
        <v>43</v>
      </c>
    </row>
    <row r="2281" spans="1:22" s="1192" customFormat="1" ht="14.4" x14ac:dyDescent="0.3">
      <c r="A2281" s="1192" t="s">
        <v>176</v>
      </c>
      <c r="E2281" s="1942" t="s">
        <v>6108</v>
      </c>
      <c r="F2281" s="1942"/>
      <c r="G2281" s="1277" t="s">
        <v>19</v>
      </c>
      <c r="H2281" s="1218">
        <v>185</v>
      </c>
      <c r="V2281" s="1192">
        <v>43</v>
      </c>
    </row>
    <row r="2282" spans="1:22" s="1192" customFormat="1" ht="14.4" x14ac:dyDescent="0.3">
      <c r="A2282" s="1192" t="s">
        <v>176</v>
      </c>
      <c r="E2282" s="1942" t="s">
        <v>6115</v>
      </c>
      <c r="F2282" s="1942"/>
      <c r="G2282" s="1277" t="s">
        <v>19</v>
      </c>
      <c r="H2282" s="1218">
        <v>415</v>
      </c>
      <c r="V2282" s="1192">
        <v>42</v>
      </c>
    </row>
    <row r="2283" spans="1:22" s="1192" customFormat="1" ht="14.4" x14ac:dyDescent="0.3">
      <c r="A2283" s="1192" t="s">
        <v>176</v>
      </c>
      <c r="E2283" s="1258" t="s">
        <v>2474</v>
      </c>
      <c r="F2283" s="3"/>
      <c r="G2283" s="3"/>
      <c r="H2283" s="897"/>
      <c r="V2283" s="1192">
        <v>5</v>
      </c>
    </row>
    <row r="2284" spans="1:22" s="1192" customFormat="1" ht="14.4" x14ac:dyDescent="0.3">
      <c r="A2284" s="1192" t="s">
        <v>176</v>
      </c>
      <c r="E2284" s="1942" t="s">
        <v>2477</v>
      </c>
      <c r="F2284" s="1942"/>
      <c r="G2284" s="1277" t="s">
        <v>19</v>
      </c>
      <c r="H2284" s="1218">
        <v>30</v>
      </c>
      <c r="V2284" s="1192">
        <v>39</v>
      </c>
    </row>
    <row r="2285" spans="1:22" s="1192" customFormat="1" ht="14.4" x14ac:dyDescent="0.3">
      <c r="A2285" s="1192" t="s">
        <v>176</v>
      </c>
      <c r="E2285" s="1942" t="s">
        <v>2478</v>
      </c>
      <c r="F2285" s="1942"/>
      <c r="G2285" s="1277" t="s">
        <v>19</v>
      </c>
      <c r="H2285" s="1218">
        <v>165</v>
      </c>
      <c r="V2285" s="1192">
        <v>34</v>
      </c>
    </row>
    <row r="2286" spans="1:22" s="1192" customFormat="1" ht="14.4" x14ac:dyDescent="0.3">
      <c r="A2286" s="1192" t="s">
        <v>176</v>
      </c>
      <c r="E2286" s="1942" t="s">
        <v>3041</v>
      </c>
      <c r="F2286" s="1942"/>
      <c r="G2286" s="1277"/>
      <c r="H2286" s="837" t="s">
        <v>3389</v>
      </c>
      <c r="V2286" s="1192">
        <v>62</v>
      </c>
    </row>
    <row r="2287" spans="1:22" s="1192" customFormat="1" ht="14.4" x14ac:dyDescent="0.3">
      <c r="A2287" s="1192" t="s">
        <v>176</v>
      </c>
      <c r="E2287" s="1942" t="s">
        <v>2480</v>
      </c>
      <c r="F2287" s="1942"/>
      <c r="G2287" s="1277"/>
      <c r="H2287" s="837" t="s">
        <v>3389</v>
      </c>
      <c r="V2287" s="1192">
        <v>65</v>
      </c>
    </row>
    <row r="2288" spans="1:22" s="1192" customFormat="1" ht="14.4" x14ac:dyDescent="0.3">
      <c r="A2288" s="1192" t="s">
        <v>176</v>
      </c>
      <c r="E2288" s="1942" t="s">
        <v>2481</v>
      </c>
      <c r="F2288" s="1942"/>
      <c r="G2288" s="1277"/>
      <c r="H2288" s="837" t="s">
        <v>3389</v>
      </c>
      <c r="V2288" s="1192">
        <v>64</v>
      </c>
    </row>
    <row r="2289" spans="1:22" s="1192" customFormat="1" ht="14.4" x14ac:dyDescent="0.3">
      <c r="A2289" s="1192" t="s">
        <v>176</v>
      </c>
      <c r="E2289" s="1942" t="s">
        <v>2760</v>
      </c>
      <c r="F2289" s="1942"/>
      <c r="G2289" s="1277"/>
      <c r="H2289" s="837"/>
      <c r="V2289" s="1192">
        <v>59</v>
      </c>
    </row>
    <row r="2290" spans="1:22" s="1192" customFormat="1" ht="14.4" x14ac:dyDescent="0.3">
      <c r="A2290" s="1192" t="s">
        <v>176</v>
      </c>
      <c r="E2290" s="1942" t="s">
        <v>2476</v>
      </c>
      <c r="F2290" s="1942"/>
      <c r="G2290" s="1277" t="s">
        <v>19</v>
      </c>
      <c r="H2290" s="1218">
        <v>44.5</v>
      </c>
      <c r="V2290" s="1192">
        <v>44</v>
      </c>
    </row>
    <row r="2291" spans="1:22" s="1192" customFormat="1" ht="14.4" x14ac:dyDescent="0.3">
      <c r="A2291" s="1192" t="s">
        <v>176</v>
      </c>
      <c r="E2291" s="1746" t="s">
        <v>73</v>
      </c>
      <c r="F2291" s="1998"/>
      <c r="G2291" s="1998"/>
      <c r="H2291" s="1998"/>
      <c r="K2291" s="1192" t="s">
        <v>3390</v>
      </c>
      <c r="V2291" s="1192">
        <v>38</v>
      </c>
    </row>
    <row r="2292" spans="1:22" s="1192" customFormat="1" ht="14.4" x14ac:dyDescent="0.3">
      <c r="A2292" s="1192" t="s">
        <v>176</v>
      </c>
      <c r="E2292" s="2037" t="s">
        <v>2389</v>
      </c>
      <c r="F2292" s="1743"/>
      <c r="G2292" s="1743"/>
      <c r="H2292" s="1743"/>
      <c r="K2292" s="1192" t="s">
        <v>2571</v>
      </c>
      <c r="V2292" s="1192">
        <v>11</v>
      </c>
    </row>
    <row r="2293" spans="1:22" s="1192" customFormat="1" ht="14.4" x14ac:dyDescent="0.3">
      <c r="A2293" s="1192" t="s">
        <v>176</v>
      </c>
      <c r="E2293" s="1743" t="s">
        <v>2391</v>
      </c>
      <c r="F2293" s="1743"/>
      <c r="G2293" s="1743"/>
      <c r="H2293" s="1743"/>
      <c r="V2293" s="1192">
        <v>280</v>
      </c>
    </row>
    <row r="2294" spans="1:22" s="1192" customFormat="1" ht="14.4" x14ac:dyDescent="0.3">
      <c r="A2294" s="1192" t="s">
        <v>176</v>
      </c>
      <c r="E2294" s="1743" t="s">
        <v>2392</v>
      </c>
      <c r="F2294" s="1743"/>
      <c r="G2294" s="1743"/>
      <c r="H2294" s="1743"/>
      <c r="V2294" s="1192">
        <v>411</v>
      </c>
    </row>
    <row r="2295" spans="1:22" s="1192" customFormat="1" ht="14.4" x14ac:dyDescent="0.3">
      <c r="A2295" s="1192" t="s">
        <v>176</v>
      </c>
      <c r="E2295" s="1743" t="s">
        <v>2445</v>
      </c>
      <c r="F2295" s="1743"/>
      <c r="G2295" s="1743"/>
      <c r="H2295" s="1743"/>
      <c r="V2295" s="1192">
        <v>211</v>
      </c>
    </row>
    <row r="2296" spans="1:22" s="1192" customFormat="1" ht="14.4" x14ac:dyDescent="0.3">
      <c r="A2296" s="1192" t="s">
        <v>176</v>
      </c>
      <c r="E2296" s="1743" t="s">
        <v>2986</v>
      </c>
      <c r="F2296" s="1743"/>
      <c r="G2296" s="1743"/>
      <c r="H2296" s="1743"/>
      <c r="V2296" s="1192">
        <v>246</v>
      </c>
    </row>
    <row r="2297" spans="1:22" s="1192" customFormat="1" ht="14.4" x14ac:dyDescent="0.3">
      <c r="A2297" s="1192" t="s">
        <v>176</v>
      </c>
      <c r="E2297" s="1741" t="s">
        <v>2818</v>
      </c>
      <c r="F2297" s="1741"/>
      <c r="G2297" s="1743"/>
      <c r="H2297" s="1743"/>
      <c r="V2297" s="1192">
        <v>141</v>
      </c>
    </row>
    <row r="2298" spans="1:22" s="1192" customFormat="1" ht="14.4" x14ac:dyDescent="0.3">
      <c r="A2298" s="1192" t="s">
        <v>176</v>
      </c>
      <c r="E2298" s="1741" t="s">
        <v>2485</v>
      </c>
      <c r="F2298" s="1741"/>
      <c r="G2298" s="360" t="s">
        <v>19</v>
      </c>
      <c r="H2298" s="1218">
        <v>102</v>
      </c>
      <c r="V2298" s="1192">
        <v>106</v>
      </c>
    </row>
    <row r="2299" spans="1:22" s="1192" customFormat="1" ht="14.4" x14ac:dyDescent="0.3">
      <c r="A2299" s="1192" t="s">
        <v>176</v>
      </c>
      <c r="E2299" s="1741" t="s">
        <v>2486</v>
      </c>
      <c r="F2299" s="1741"/>
      <c r="G2299" s="360" t="s">
        <v>19</v>
      </c>
      <c r="H2299" s="1218">
        <v>40.799999999999997</v>
      </c>
      <c r="V2299" s="1192">
        <v>34</v>
      </c>
    </row>
    <row r="2300" spans="1:22" s="1192" customFormat="1" ht="14.4" x14ac:dyDescent="0.3">
      <c r="A2300" s="1192" t="s">
        <v>176</v>
      </c>
      <c r="E2300" s="1741" t="s">
        <v>2487</v>
      </c>
      <c r="F2300" s="1741"/>
      <c r="G2300" s="360" t="s">
        <v>19</v>
      </c>
      <c r="H2300" s="1218">
        <v>1.02</v>
      </c>
      <c r="V2300" s="1192">
        <v>51</v>
      </c>
    </row>
    <row r="2301" spans="1:22" s="1192" customFormat="1" ht="14.4" x14ac:dyDescent="0.3">
      <c r="A2301" s="1192" t="s">
        <v>176</v>
      </c>
      <c r="E2301" s="1741" t="s">
        <v>2489</v>
      </c>
      <c r="F2301" s="1741"/>
      <c r="G2301" s="360" t="s">
        <v>19</v>
      </c>
      <c r="H2301" s="1218">
        <v>0.61</v>
      </c>
      <c r="V2301" s="1192">
        <v>75</v>
      </c>
    </row>
    <row r="2302" spans="1:22" s="1192" customFormat="1" ht="14.4" x14ac:dyDescent="0.3">
      <c r="A2302" s="1192" t="s">
        <v>176</v>
      </c>
      <c r="E2302" s="1741" t="s">
        <v>2490</v>
      </c>
      <c r="F2302" s="1741"/>
      <c r="G2302" s="360" t="s">
        <v>19</v>
      </c>
      <c r="H2302" s="1218">
        <v>-0.61</v>
      </c>
      <c r="V2302" s="1192">
        <v>72</v>
      </c>
    </row>
    <row r="2303" spans="1:22" s="1192" customFormat="1" ht="14.4" x14ac:dyDescent="0.3">
      <c r="A2303" s="1192" t="s">
        <v>176</v>
      </c>
      <c r="E2303" s="1941" t="s">
        <v>2596</v>
      </c>
      <c r="F2303" s="1941"/>
      <c r="G2303" s="360"/>
      <c r="H2303" s="837"/>
      <c r="V2303" s="1192">
        <v>34</v>
      </c>
    </row>
    <row r="2304" spans="1:22" s="1192" customFormat="1" ht="14.4" x14ac:dyDescent="0.3">
      <c r="A2304" s="1192" t="s">
        <v>176</v>
      </c>
      <c r="E2304" s="1941" t="s">
        <v>2492</v>
      </c>
      <c r="F2304" s="1941"/>
      <c r="G2304" s="360" t="s">
        <v>19</v>
      </c>
      <c r="H2304" s="1218">
        <v>0.51</v>
      </c>
      <c r="V2304" s="1192">
        <v>57</v>
      </c>
    </row>
    <row r="2305" spans="1:22" s="1192" customFormat="1" ht="14.4" x14ac:dyDescent="0.3">
      <c r="A2305" s="1192" t="s">
        <v>176</v>
      </c>
      <c r="E2305" s="1941" t="s">
        <v>2493</v>
      </c>
      <c r="F2305" s="1941"/>
      <c r="G2305" s="360" t="s">
        <v>19</v>
      </c>
      <c r="H2305" s="1218">
        <v>1.02</v>
      </c>
      <c r="V2305" s="1192">
        <v>60</v>
      </c>
    </row>
    <row r="2306" spans="1:22" s="1192" customFormat="1" ht="14.4" x14ac:dyDescent="0.3">
      <c r="A2306" s="1192" t="s">
        <v>176</v>
      </c>
      <c r="E2306" s="1741" t="s">
        <v>2494</v>
      </c>
      <c r="F2306" s="1741"/>
      <c r="G2306" s="360"/>
      <c r="H2306" s="837"/>
      <c r="V2306" s="1192">
        <v>91</v>
      </c>
    </row>
    <row r="2307" spans="1:22" s="1192" customFormat="1" ht="14.4" x14ac:dyDescent="0.3">
      <c r="A2307" s="1192" t="s">
        <v>176</v>
      </c>
      <c r="E2307" s="1741" t="s">
        <v>2495</v>
      </c>
      <c r="F2307" s="1741"/>
      <c r="G2307" s="3"/>
      <c r="H2307" s="897"/>
      <c r="V2307" s="1192">
        <v>96</v>
      </c>
    </row>
    <row r="2308" spans="1:22" s="1192" customFormat="1" ht="14.4" x14ac:dyDescent="0.3">
      <c r="A2308" s="1192" t="s">
        <v>176</v>
      </c>
      <c r="E2308" s="1941" t="s">
        <v>2597</v>
      </c>
      <c r="F2308" s="1941"/>
      <c r="G2308" s="3"/>
      <c r="H2308" s="897"/>
      <c r="V2308" s="1192">
        <v>77</v>
      </c>
    </row>
    <row r="2309" spans="1:22" s="1192" customFormat="1" ht="14.4" x14ac:dyDescent="0.3">
      <c r="A2309" s="1192" t="s">
        <v>176</v>
      </c>
      <c r="E2309" s="1941" t="s">
        <v>2497</v>
      </c>
      <c r="F2309" s="1941"/>
      <c r="G2309" s="360" t="s">
        <v>19</v>
      </c>
      <c r="H2309" s="837" t="s">
        <v>2498</v>
      </c>
      <c r="V2309" s="1192">
        <v>18</v>
      </c>
    </row>
    <row r="2310" spans="1:22" s="1192" customFormat="1" ht="14.4" x14ac:dyDescent="0.3">
      <c r="A2310" s="1192" t="s">
        <v>176</v>
      </c>
      <c r="E2310" s="1941" t="s">
        <v>2499</v>
      </c>
      <c r="F2310" s="1941"/>
      <c r="G2310" s="360" t="s">
        <v>19</v>
      </c>
      <c r="H2310" s="1218">
        <v>4.08</v>
      </c>
      <c r="V2310" s="1192">
        <v>69</v>
      </c>
    </row>
    <row r="2311" spans="1:22" s="1192" customFormat="1" ht="14.4" x14ac:dyDescent="0.3">
      <c r="A2311" s="1192" t="s">
        <v>176</v>
      </c>
      <c r="E2311" s="1741" t="s">
        <v>5946</v>
      </c>
      <c r="F2311" s="1741"/>
      <c r="G2311" s="360" t="s">
        <v>19</v>
      </c>
      <c r="H2311" s="1218">
        <v>2.04</v>
      </c>
      <c r="V2311" s="1192">
        <v>203</v>
      </c>
    </row>
    <row r="2312" spans="1:22" s="1192" customFormat="1" x14ac:dyDescent="0.3">
      <c r="A2312" s="1192" t="s">
        <v>176</v>
      </c>
      <c r="E2312" s="1260" t="s">
        <v>143</v>
      </c>
      <c r="F2312" s="823"/>
      <c r="G2312" s="823"/>
      <c r="H2312" s="878"/>
      <c r="K2312" s="1192" t="s">
        <v>3391</v>
      </c>
      <c r="V2312" s="1192">
        <v>12</v>
      </c>
    </row>
    <row r="2313" spans="1:22" s="1192" customFormat="1" ht="14.4" x14ac:dyDescent="0.3">
      <c r="A2313" s="1192" t="s">
        <v>176</v>
      </c>
      <c r="E2313" s="1741" t="s">
        <v>2501</v>
      </c>
      <c r="F2313" s="1741"/>
      <c r="G2313" s="1741"/>
      <c r="H2313" s="1741"/>
      <c r="V2313" s="1192">
        <v>203</v>
      </c>
    </row>
    <row r="2314" spans="1:22" s="1192" customFormat="1" ht="14.4" x14ac:dyDescent="0.3">
      <c r="A2314" s="1192" t="s">
        <v>176</v>
      </c>
      <c r="E2314" s="1741" t="s">
        <v>2599</v>
      </c>
      <c r="F2314" s="1741"/>
      <c r="G2314" s="1277"/>
      <c r="H2314" s="837">
        <v>1.0290999999999999</v>
      </c>
      <c r="V2314" s="1192">
        <v>57</v>
      </c>
    </row>
    <row r="2315" spans="1:22" s="1192" customFormat="1" ht="14.4" x14ac:dyDescent="0.3">
      <c r="A2315" s="1192" t="s">
        <v>176</v>
      </c>
      <c r="E2315" s="1741" t="s">
        <v>2600</v>
      </c>
      <c r="F2315" s="1741"/>
      <c r="G2315" s="1277"/>
      <c r="H2315" s="837">
        <v>1.0176000000000001</v>
      </c>
      <c r="V2315" s="1192">
        <v>57</v>
      </c>
    </row>
    <row r="2316" spans="1:22" s="1192" customFormat="1" ht="14.4" x14ac:dyDescent="0.3">
      <c r="A2316" s="1192" t="s">
        <v>176</v>
      </c>
      <c r="E2316" s="1741" t="s">
        <v>2601</v>
      </c>
      <c r="F2316" s="1741"/>
      <c r="G2316" s="1277"/>
      <c r="H2316" s="837">
        <v>1.0187999999999999</v>
      </c>
      <c r="V2316" s="1192">
        <v>55</v>
      </c>
    </row>
    <row r="2317" spans="1:22" s="1192" customFormat="1" ht="14.4" x14ac:dyDescent="0.3">
      <c r="A2317" s="1192" t="s">
        <v>176</v>
      </c>
      <c r="E2317" s="1741" t="s">
        <v>2602</v>
      </c>
      <c r="F2317" s="1741"/>
      <c r="G2317" s="1277"/>
      <c r="H2317" s="837">
        <v>1.0075000000000001</v>
      </c>
      <c r="J2317" s="1192" t="s">
        <v>3392</v>
      </c>
      <c r="V2317" s="1192">
        <v>55</v>
      </c>
    </row>
    <row r="2318" spans="1:22" s="1192" customFormat="1" ht="22.8" x14ac:dyDescent="0.3">
      <c r="A2318" s="1192" t="s">
        <v>600</v>
      </c>
      <c r="C2318" s="1192" t="s">
        <v>2378</v>
      </c>
      <c r="E2318" s="2116" t="s">
        <v>600</v>
      </c>
      <c r="F2318" s="2116"/>
      <c r="G2318" s="2116"/>
      <c r="H2318" s="2116"/>
      <c r="I2318" s="1192" t="s">
        <v>603</v>
      </c>
      <c r="J2318" s="1192" t="s">
        <v>2983</v>
      </c>
      <c r="K2318" s="1192" t="s">
        <v>600</v>
      </c>
      <c r="M2318" s="1192">
        <v>7</v>
      </c>
      <c r="V2318" s="1192">
        <v>26</v>
      </c>
    </row>
    <row r="2319" spans="1:22" s="1192" customFormat="1" ht="17.399999999999999" x14ac:dyDescent="0.3">
      <c r="A2319" s="1192" t="s">
        <v>600</v>
      </c>
      <c r="C2319" s="1192" t="s">
        <v>2380</v>
      </c>
      <c r="E2319" s="2047" t="s">
        <v>2381</v>
      </c>
      <c r="F2319" s="2047"/>
      <c r="G2319" s="2047"/>
      <c r="H2319" s="2047"/>
      <c r="V2319" s="1192">
        <v>27</v>
      </c>
    </row>
    <row r="2320" spans="1:22" s="1192" customFormat="1" ht="15.6" x14ac:dyDescent="0.3">
      <c r="A2320" s="1192" t="s">
        <v>600</v>
      </c>
      <c r="C2320" s="1192" t="s">
        <v>2382</v>
      </c>
      <c r="E2320" s="2048" t="s">
        <v>5937</v>
      </c>
      <c r="F2320" s="2048"/>
      <c r="G2320" s="2048"/>
      <c r="H2320" s="2048"/>
      <c r="S2320" s="1192">
        <v>43831</v>
      </c>
      <c r="V2320" s="1192">
        <v>49</v>
      </c>
    </row>
    <row r="2321" spans="1:22" s="1192" customFormat="1" ht="14.4" x14ac:dyDescent="0.3">
      <c r="A2321" s="1192" t="s">
        <v>600</v>
      </c>
      <c r="C2321" s="1192" t="s">
        <v>2383</v>
      </c>
      <c r="E2321" s="2049" t="s">
        <v>2384</v>
      </c>
      <c r="F2321" s="2049"/>
      <c r="G2321" s="2049"/>
      <c r="H2321" s="2049"/>
      <c r="V2321" s="1192">
        <v>52</v>
      </c>
    </row>
    <row r="2322" spans="1:22" s="1192" customFormat="1" ht="14.4" x14ac:dyDescent="0.3">
      <c r="A2322" s="1192" t="s">
        <v>600</v>
      </c>
      <c r="E2322" s="2049" t="s">
        <v>2385</v>
      </c>
      <c r="F2322" s="2049"/>
      <c r="G2322" s="2049"/>
      <c r="H2322" s="2049"/>
      <c r="V2322" s="1192">
        <v>53</v>
      </c>
    </row>
    <row r="2323" spans="1:22" s="1192" customFormat="1" ht="14.4" x14ac:dyDescent="0.3">
      <c r="A2323" s="1192" t="s">
        <v>600</v>
      </c>
      <c r="E2323" s="2050" t="s">
        <v>6196</v>
      </c>
      <c r="F2323" s="2050"/>
      <c r="G2323" s="2050"/>
      <c r="H2323" s="2050"/>
      <c r="K2323" s="1192" t="s">
        <v>6196</v>
      </c>
      <c r="V2323" s="1192">
        <v>12</v>
      </c>
    </row>
    <row r="2324" spans="1:22" s="1192" customFormat="1" ht="14.4" x14ac:dyDescent="0.3">
      <c r="A2324" s="1192" t="s">
        <v>600</v>
      </c>
      <c r="E2324" s="2051" t="s">
        <v>427</v>
      </c>
      <c r="F2324" s="2052"/>
      <c r="G2324" s="2052"/>
      <c r="H2324" s="2052"/>
      <c r="K2324" s="1192" t="s">
        <v>2506</v>
      </c>
      <c r="V2324" s="1192">
        <v>34</v>
      </c>
    </row>
    <row r="2325" spans="1:22" s="1192" customFormat="1" ht="14.4" x14ac:dyDescent="0.3">
      <c r="A2325" s="1192" t="s">
        <v>600</v>
      </c>
      <c r="E2325" s="2053" t="s">
        <v>2984</v>
      </c>
      <c r="F2325" s="2053"/>
      <c r="G2325" s="2053"/>
      <c r="H2325" s="2053"/>
      <c r="K2325" s="1192" t="s">
        <v>2506</v>
      </c>
      <c r="V2325" s="1192">
        <v>718</v>
      </c>
    </row>
    <row r="2326" spans="1:22" s="1192" customFormat="1" ht="14.4" x14ac:dyDescent="0.3">
      <c r="A2326" s="1192" t="s">
        <v>600</v>
      </c>
      <c r="E2326" s="2111" t="s">
        <v>2389</v>
      </c>
      <c r="F2326" s="1988"/>
      <c r="G2326" s="1988"/>
      <c r="H2326" s="1988"/>
      <c r="K2326" s="1192" t="s">
        <v>2390</v>
      </c>
      <c r="V2326" s="1192">
        <v>11</v>
      </c>
    </row>
    <row r="2327" spans="1:22" s="1192" customFormat="1" ht="14.4" x14ac:dyDescent="0.3">
      <c r="A2327" s="1192" t="s">
        <v>600</v>
      </c>
      <c r="E2327" s="2053" t="s">
        <v>2391</v>
      </c>
      <c r="F2327" s="2053"/>
      <c r="G2327" s="2053"/>
      <c r="H2327" s="2053"/>
      <c r="K2327" s="1192" t="s">
        <v>2506</v>
      </c>
      <c r="V2327" s="1192">
        <v>280</v>
      </c>
    </row>
    <row r="2328" spans="1:22" s="1192" customFormat="1" ht="14.4" x14ac:dyDescent="0.3">
      <c r="A2328" s="1192" t="s">
        <v>600</v>
      </c>
      <c r="E2328" s="2053" t="s">
        <v>2392</v>
      </c>
      <c r="F2328" s="2053"/>
      <c r="G2328" s="2053"/>
      <c r="H2328" s="2053"/>
      <c r="K2328" s="1192" t="s">
        <v>2506</v>
      </c>
      <c r="V2328" s="1192">
        <v>411</v>
      </c>
    </row>
    <row r="2329" spans="1:22" s="1192" customFormat="1" ht="14.4" x14ac:dyDescent="0.3">
      <c r="A2329" s="1192" t="s">
        <v>600</v>
      </c>
      <c r="E2329" s="2053" t="s">
        <v>2985</v>
      </c>
      <c r="F2329" s="2053"/>
      <c r="G2329" s="2053"/>
      <c r="H2329" s="2053"/>
      <c r="K2329" s="1192" t="s">
        <v>2506</v>
      </c>
      <c r="V2329" s="1192">
        <v>385</v>
      </c>
    </row>
    <row r="2330" spans="1:22" s="1192" customFormat="1" ht="14.4" x14ac:dyDescent="0.3">
      <c r="A2330" s="1192" t="s">
        <v>600</v>
      </c>
      <c r="E2330" s="2053" t="s">
        <v>2986</v>
      </c>
      <c r="F2330" s="2053"/>
      <c r="G2330" s="2053"/>
      <c r="H2330" s="2053"/>
      <c r="K2330" s="1192" t="s">
        <v>2506</v>
      </c>
      <c r="V2330" s="1192">
        <v>246</v>
      </c>
    </row>
    <row r="2331" spans="1:22" s="1192" customFormat="1" ht="14.4" x14ac:dyDescent="0.3">
      <c r="A2331" s="1192" t="s">
        <v>600</v>
      </c>
      <c r="E2331" s="2111" t="s">
        <v>2394</v>
      </c>
      <c r="F2331" s="1988"/>
      <c r="G2331" s="1988"/>
      <c r="H2331" s="1988"/>
      <c r="K2331" s="1192" t="s">
        <v>2395</v>
      </c>
      <c r="V2331" s="1192">
        <v>46</v>
      </c>
    </row>
    <row r="2332" spans="1:22" s="1192" customFormat="1" ht="14.4" x14ac:dyDescent="0.3">
      <c r="A2332" s="1192" t="s">
        <v>600</v>
      </c>
      <c r="E2332" s="2007" t="s">
        <v>7</v>
      </c>
      <c r="F2332" s="2007"/>
      <c r="G2332" s="1273" t="s">
        <v>19</v>
      </c>
      <c r="H2332" s="1218">
        <v>28.75</v>
      </c>
      <c r="K2332" s="1192" t="s">
        <v>2506</v>
      </c>
      <c r="L2332" s="1192" t="s">
        <v>430</v>
      </c>
      <c r="P2332" s="1192" t="s">
        <v>2510</v>
      </c>
      <c r="V2332" s="1192">
        <v>14</v>
      </c>
    </row>
    <row r="2333" spans="1:22" s="1192" customFormat="1" ht="14.4" x14ac:dyDescent="0.3">
      <c r="A2333" s="1192" t="s">
        <v>600</v>
      </c>
      <c r="E2333" s="2007" t="s">
        <v>3900</v>
      </c>
      <c r="F2333" s="2007"/>
      <c r="G2333" s="1273" t="s">
        <v>19</v>
      </c>
      <c r="H2333" s="577">
        <v>0.56999999999999995</v>
      </c>
      <c r="K2333" s="1192" t="s">
        <v>2506</v>
      </c>
      <c r="L2333" s="1192" t="s">
        <v>431</v>
      </c>
      <c r="P2333" s="1192" t="s">
        <v>2511</v>
      </c>
      <c r="T2333" s="1192">
        <v>44926</v>
      </c>
      <c r="V2333" s="1192">
        <v>64</v>
      </c>
    </row>
    <row r="2334" spans="1:22" s="1192" customFormat="1" ht="14.4" x14ac:dyDescent="0.3">
      <c r="A2334" s="1192" t="s">
        <v>600</v>
      </c>
      <c r="E2334" s="2007" t="s">
        <v>14</v>
      </c>
      <c r="F2334" s="2007"/>
      <c r="G2334" s="1273" t="s">
        <v>20</v>
      </c>
      <c r="H2334" s="562">
        <v>1E-3</v>
      </c>
      <c r="K2334" s="1192" t="s">
        <v>2506</v>
      </c>
      <c r="L2334" s="1192" t="s">
        <v>431</v>
      </c>
      <c r="P2334" s="1192" t="s">
        <v>2513</v>
      </c>
      <c r="V2334" s="1192">
        <v>24</v>
      </c>
    </row>
    <row r="2335" spans="1:22" s="1192" customFormat="1" ht="14.4" x14ac:dyDescent="0.3">
      <c r="A2335" s="1192" t="s">
        <v>600</v>
      </c>
      <c r="E2335" s="2007" t="s">
        <v>6068</v>
      </c>
      <c r="F2335" s="1998"/>
      <c r="G2335" s="1273" t="s">
        <v>20</v>
      </c>
      <c r="H2335" s="562">
        <v>3.8E-3</v>
      </c>
      <c r="K2335" s="1192" t="s">
        <v>2506</v>
      </c>
      <c r="L2335" s="1192" t="s">
        <v>431</v>
      </c>
      <c r="P2335" s="1192" t="s">
        <v>2514</v>
      </c>
      <c r="T2335" s="1192">
        <v>44196</v>
      </c>
      <c r="V2335" s="1192">
        <v>173</v>
      </c>
    </row>
    <row r="2336" spans="1:22" s="1192" customFormat="1" ht="14.4" x14ac:dyDescent="0.3">
      <c r="A2336" s="1192" t="s">
        <v>600</v>
      </c>
      <c r="E2336" s="2007" t="s">
        <v>6197</v>
      </c>
      <c r="F2336" s="1998"/>
      <c r="G2336" s="1273" t="s">
        <v>20</v>
      </c>
      <c r="H2336" s="562">
        <v>1.4E-3</v>
      </c>
      <c r="K2336" s="1192" t="s">
        <v>2506</v>
      </c>
      <c r="L2336" s="1192" t="s">
        <v>431</v>
      </c>
      <c r="P2336" s="1192" t="s">
        <v>2516</v>
      </c>
      <c r="T2336" s="1192">
        <v>44196</v>
      </c>
      <c r="V2336" s="1192">
        <v>138</v>
      </c>
    </row>
    <row r="2337" spans="1:22" s="1192" customFormat="1" ht="14.4" x14ac:dyDescent="0.3">
      <c r="A2337" s="1192" t="s">
        <v>600</v>
      </c>
      <c r="E2337" s="2007" t="s">
        <v>213</v>
      </c>
      <c r="F2337" s="1741"/>
      <c r="G2337" s="1273" t="s">
        <v>20</v>
      </c>
      <c r="H2337" s="1219">
        <v>6.8999999999999999E-3</v>
      </c>
      <c r="K2337" s="1192" t="s">
        <v>2506</v>
      </c>
      <c r="L2337" s="1192" t="s">
        <v>432</v>
      </c>
      <c r="P2337" s="1192" t="s">
        <v>2517</v>
      </c>
      <c r="V2337" s="1192">
        <v>47</v>
      </c>
    </row>
    <row r="2338" spans="1:22" s="1192" customFormat="1" ht="14.4" x14ac:dyDescent="0.3">
      <c r="A2338" s="1192" t="s">
        <v>600</v>
      </c>
      <c r="E2338" s="2007" t="s">
        <v>209</v>
      </c>
      <c r="F2338" s="1741"/>
      <c r="G2338" s="1273" t="s">
        <v>20</v>
      </c>
      <c r="H2338" s="1219">
        <v>4.0000000000000001E-3</v>
      </c>
      <c r="K2338" s="1192" t="s">
        <v>2506</v>
      </c>
      <c r="L2338" s="1192" t="s">
        <v>432</v>
      </c>
      <c r="P2338" s="1192" t="s">
        <v>2518</v>
      </c>
      <c r="V2338" s="1192">
        <v>74</v>
      </c>
    </row>
    <row r="2339" spans="1:22" s="1192" customFormat="1" ht="14.4" x14ac:dyDescent="0.3">
      <c r="A2339" s="1192" t="s">
        <v>600</v>
      </c>
      <c r="E2339" s="2054" t="s">
        <v>2405</v>
      </c>
      <c r="F2339" s="1741"/>
      <c r="G2339" s="1273"/>
      <c r="H2339" s="867"/>
      <c r="K2339" s="1192" t="s">
        <v>2406</v>
      </c>
      <c r="V2339" s="1192">
        <v>48</v>
      </c>
    </row>
    <row r="2340" spans="1:22" s="1192" customFormat="1" ht="14.4" x14ac:dyDescent="0.3">
      <c r="A2340" s="1192" t="s">
        <v>600</v>
      </c>
      <c r="E2340" s="2007" t="s">
        <v>2033</v>
      </c>
      <c r="F2340" s="2007"/>
      <c r="G2340" s="578" t="s">
        <v>20</v>
      </c>
      <c r="H2340" s="564">
        <v>3.0000000000000001E-3</v>
      </c>
      <c r="K2340" s="1192" t="s">
        <v>2506</v>
      </c>
      <c r="L2340" s="1192" t="s">
        <v>2374</v>
      </c>
      <c r="P2340" s="1192" t="s">
        <v>2519</v>
      </c>
      <c r="V2340" s="1192">
        <v>55</v>
      </c>
    </row>
    <row r="2341" spans="1:22" s="1192" customFormat="1" ht="14.4" x14ac:dyDescent="0.3">
      <c r="A2341" s="1192" t="s">
        <v>600</v>
      </c>
      <c r="E2341" s="2007" t="s">
        <v>2034</v>
      </c>
      <c r="F2341" s="2007"/>
      <c r="G2341" s="578" t="s">
        <v>20</v>
      </c>
      <c r="H2341" s="564">
        <v>4.0000000000000002E-4</v>
      </c>
      <c r="K2341" s="1192" t="s">
        <v>2506</v>
      </c>
      <c r="L2341" s="1192" t="s">
        <v>2374</v>
      </c>
      <c r="P2341" s="1192" t="s">
        <v>2519</v>
      </c>
      <c r="V2341" s="1192">
        <v>65</v>
      </c>
    </row>
    <row r="2342" spans="1:22" s="1192" customFormat="1" ht="14.4" x14ac:dyDescent="0.3">
      <c r="A2342" s="1192" t="s">
        <v>600</v>
      </c>
      <c r="E2342" s="2007" t="s">
        <v>428</v>
      </c>
      <c r="F2342" s="2007"/>
      <c r="G2342" s="578" t="s">
        <v>20</v>
      </c>
      <c r="H2342" s="564">
        <v>5.0000000000000001E-4</v>
      </c>
      <c r="K2342" s="1192" t="s">
        <v>2506</v>
      </c>
      <c r="L2342" s="1192" t="s">
        <v>2374</v>
      </c>
      <c r="P2342" s="1192" t="s">
        <v>2520</v>
      </c>
      <c r="V2342" s="1192">
        <v>57</v>
      </c>
    </row>
    <row r="2343" spans="1:22" s="1192" customFormat="1" ht="14.4" x14ac:dyDescent="0.3">
      <c r="A2343" s="1192" t="s">
        <v>600</v>
      </c>
      <c r="E2343" s="2007" t="s">
        <v>28</v>
      </c>
      <c r="F2343" s="2007"/>
      <c r="G2343" s="578" t="s">
        <v>19</v>
      </c>
      <c r="H2343" s="579">
        <v>0.25</v>
      </c>
      <c r="K2343" s="1192" t="s">
        <v>2506</v>
      </c>
      <c r="L2343" s="1192" t="s">
        <v>2374</v>
      </c>
      <c r="P2343" s="1192" t="s">
        <v>2521</v>
      </c>
      <c r="V2343" s="1192">
        <v>63</v>
      </c>
    </row>
    <row r="2344" spans="1:22" s="1192" customFormat="1" ht="17.399999999999999" x14ac:dyDescent="0.3">
      <c r="A2344" s="1192" t="s">
        <v>600</v>
      </c>
      <c r="E2344" s="2051" t="s">
        <v>2522</v>
      </c>
      <c r="F2344" s="2051"/>
      <c r="G2344" s="2051"/>
      <c r="H2344" s="2051"/>
      <c r="K2344" s="1192" t="s">
        <v>3901</v>
      </c>
      <c r="V2344" s="1192">
        <v>54</v>
      </c>
    </row>
    <row r="2345" spans="1:22" s="1192" customFormat="1" ht="14.4" x14ac:dyDescent="0.3">
      <c r="A2345" s="1192" t="s">
        <v>600</v>
      </c>
      <c r="E2345" s="2053" t="s">
        <v>2987</v>
      </c>
      <c r="F2345" s="2053"/>
      <c r="G2345" s="2053"/>
      <c r="H2345" s="2053"/>
      <c r="K2345" s="1192" t="s">
        <v>3901</v>
      </c>
      <c r="V2345" s="1192">
        <v>335</v>
      </c>
    </row>
    <row r="2346" spans="1:22" s="1192" customFormat="1" ht="14.4" x14ac:dyDescent="0.3">
      <c r="A2346" s="1192" t="s">
        <v>600</v>
      </c>
      <c r="E2346" s="2111" t="s">
        <v>2389</v>
      </c>
      <c r="F2346" s="1988"/>
      <c r="G2346" s="1988"/>
      <c r="H2346" s="1988"/>
      <c r="K2346" s="1192" t="s">
        <v>2412</v>
      </c>
      <c r="V2346" s="1192">
        <v>11</v>
      </c>
    </row>
    <row r="2347" spans="1:22" s="1192" customFormat="1" ht="14.4" x14ac:dyDescent="0.3">
      <c r="A2347" s="1192" t="s">
        <v>600</v>
      </c>
      <c r="E2347" s="2053" t="s">
        <v>2391</v>
      </c>
      <c r="F2347" s="2053"/>
      <c r="G2347" s="2053"/>
      <c r="H2347" s="2053"/>
      <c r="K2347" s="1192" t="s">
        <v>3901</v>
      </c>
      <c r="V2347" s="1192">
        <v>280</v>
      </c>
    </row>
    <row r="2348" spans="1:22" s="1192" customFormat="1" ht="14.4" x14ac:dyDescent="0.3">
      <c r="A2348" s="1192" t="s">
        <v>600</v>
      </c>
      <c r="E2348" s="2053" t="s">
        <v>2392</v>
      </c>
      <c r="F2348" s="2053"/>
      <c r="G2348" s="2053"/>
      <c r="H2348" s="2053"/>
      <c r="K2348" s="1192" t="s">
        <v>3901</v>
      </c>
      <c r="V2348" s="1192">
        <v>411</v>
      </c>
    </row>
    <row r="2349" spans="1:22" s="1192" customFormat="1" ht="14.4" x14ac:dyDescent="0.3">
      <c r="A2349" s="1192" t="s">
        <v>600</v>
      </c>
      <c r="E2349" s="2053" t="s">
        <v>2985</v>
      </c>
      <c r="F2349" s="2053"/>
      <c r="G2349" s="2053"/>
      <c r="H2349" s="2053"/>
      <c r="K2349" s="1192" t="s">
        <v>3901</v>
      </c>
      <c r="V2349" s="1192">
        <v>385</v>
      </c>
    </row>
    <row r="2350" spans="1:22" s="1192" customFormat="1" ht="14.4" x14ac:dyDescent="0.3">
      <c r="A2350" s="1192" t="s">
        <v>600</v>
      </c>
      <c r="E2350" s="2053" t="s">
        <v>2986</v>
      </c>
      <c r="F2350" s="2053"/>
      <c r="G2350" s="2053"/>
      <c r="H2350" s="2053"/>
      <c r="K2350" s="1192" t="s">
        <v>3901</v>
      </c>
      <c r="V2350" s="1192">
        <v>246</v>
      </c>
    </row>
    <row r="2351" spans="1:22" s="1192" customFormat="1" ht="14.4" x14ac:dyDescent="0.3">
      <c r="A2351" s="1192" t="s">
        <v>600</v>
      </c>
      <c r="E2351" s="2111" t="s">
        <v>2394</v>
      </c>
      <c r="F2351" s="1988"/>
      <c r="G2351" s="1988"/>
      <c r="H2351" s="1988"/>
      <c r="K2351" s="1192" t="s">
        <v>2413</v>
      </c>
      <c r="V2351" s="1192">
        <v>46</v>
      </c>
    </row>
    <row r="2352" spans="1:22" s="1192" customFormat="1" ht="14.4" x14ac:dyDescent="0.3">
      <c r="A2352" s="1192" t="s">
        <v>600</v>
      </c>
      <c r="E2352" s="2007" t="s">
        <v>7</v>
      </c>
      <c r="F2352" s="2007"/>
      <c r="G2352" s="1273" t="s">
        <v>19</v>
      </c>
      <c r="H2352" s="1218">
        <v>25.82</v>
      </c>
      <c r="K2352" s="1192" t="s">
        <v>3901</v>
      </c>
      <c r="L2352" s="1192" t="s">
        <v>430</v>
      </c>
      <c r="P2352" s="1192" t="s">
        <v>3902</v>
      </c>
      <c r="V2352" s="1192">
        <v>14</v>
      </c>
    </row>
    <row r="2353" spans="1:22" s="1192" customFormat="1" ht="14.4" x14ac:dyDescent="0.3">
      <c r="A2353" s="1192" t="s">
        <v>600</v>
      </c>
      <c r="E2353" s="2007" t="s">
        <v>3900</v>
      </c>
      <c r="F2353" s="2007"/>
      <c r="G2353" s="1273" t="s">
        <v>19</v>
      </c>
      <c r="H2353" s="577">
        <v>0.56999999999999995</v>
      </c>
      <c r="K2353" s="1192" t="s">
        <v>3901</v>
      </c>
      <c r="L2353" s="1192" t="s">
        <v>431</v>
      </c>
      <c r="P2353" s="1192" t="s">
        <v>3903</v>
      </c>
      <c r="T2353" s="1192">
        <v>44926</v>
      </c>
      <c r="V2353" s="1192">
        <v>64</v>
      </c>
    </row>
    <row r="2354" spans="1:22" s="1192" customFormat="1" ht="14.4" x14ac:dyDescent="0.3">
      <c r="A2354" s="1192" t="s">
        <v>600</v>
      </c>
      <c r="E2354" s="2007" t="s">
        <v>80</v>
      </c>
      <c r="F2354" s="2007"/>
      <c r="G2354" s="1273" t="s">
        <v>20</v>
      </c>
      <c r="H2354" s="1219">
        <v>1.9900000000000001E-2</v>
      </c>
      <c r="K2354" s="1192" t="s">
        <v>3901</v>
      </c>
      <c r="L2354" s="1192" t="s">
        <v>430</v>
      </c>
      <c r="P2354" s="1192" t="s">
        <v>3904</v>
      </c>
      <c r="V2354" s="1192">
        <v>28</v>
      </c>
    </row>
    <row r="2355" spans="1:22" s="1192" customFormat="1" ht="14.4" x14ac:dyDescent="0.3">
      <c r="A2355" s="1192" t="s">
        <v>600</v>
      </c>
      <c r="E2355" s="2007" t="s">
        <v>14</v>
      </c>
      <c r="F2355" s="2007"/>
      <c r="G2355" s="1273" t="s">
        <v>20</v>
      </c>
      <c r="H2355" s="562">
        <v>8.9999999999999998E-4</v>
      </c>
      <c r="K2355" s="1192" t="s">
        <v>3901</v>
      </c>
      <c r="L2355" s="1192" t="s">
        <v>431</v>
      </c>
      <c r="P2355" s="1192" t="s">
        <v>3905</v>
      </c>
      <c r="V2355" s="1192">
        <v>24</v>
      </c>
    </row>
    <row r="2356" spans="1:22" s="1192" customFormat="1" ht="14.4" x14ac:dyDescent="0.3">
      <c r="A2356" s="1192" t="s">
        <v>600</v>
      </c>
      <c r="E2356" s="2007" t="s">
        <v>6068</v>
      </c>
      <c r="F2356" s="1998"/>
      <c r="G2356" s="1273" t="s">
        <v>20</v>
      </c>
      <c r="H2356" s="562">
        <v>3.8E-3</v>
      </c>
      <c r="K2356" s="1192" t="s">
        <v>3901</v>
      </c>
      <c r="L2356" s="1192" t="s">
        <v>431</v>
      </c>
      <c r="P2356" s="1192" t="s">
        <v>3700</v>
      </c>
      <c r="T2356" s="1192">
        <v>44196</v>
      </c>
      <c r="V2356" s="1192">
        <v>173</v>
      </c>
    </row>
    <row r="2357" spans="1:22" s="1192" customFormat="1" ht="14.4" x14ac:dyDescent="0.3">
      <c r="A2357" s="1192" t="s">
        <v>600</v>
      </c>
      <c r="E2357" s="2007" t="s">
        <v>6075</v>
      </c>
      <c r="F2357" s="1998"/>
      <c r="G2357" s="1273" t="s">
        <v>20</v>
      </c>
      <c r="H2357" s="562">
        <v>1.5E-3</v>
      </c>
      <c r="K2357" s="1192" t="s">
        <v>3901</v>
      </c>
      <c r="L2357" s="1192" t="s">
        <v>431</v>
      </c>
      <c r="P2357" s="1192" t="s">
        <v>3911</v>
      </c>
      <c r="T2357" s="1192">
        <v>44196</v>
      </c>
      <c r="V2357" s="1192">
        <v>136</v>
      </c>
    </row>
    <row r="2358" spans="1:22" s="1192" customFormat="1" ht="14.4" x14ac:dyDescent="0.3">
      <c r="A2358" s="1192" t="s">
        <v>600</v>
      </c>
      <c r="E2358" s="2007" t="s">
        <v>213</v>
      </c>
      <c r="F2358" s="1741"/>
      <c r="G2358" s="1273" t="s">
        <v>20</v>
      </c>
      <c r="H2358" s="1219">
        <v>6.4000000000000003E-3</v>
      </c>
      <c r="K2358" s="1192" t="s">
        <v>3901</v>
      </c>
      <c r="L2358" s="1192" t="s">
        <v>432</v>
      </c>
      <c r="P2358" s="1192" t="s">
        <v>3906</v>
      </c>
      <c r="V2358" s="1192">
        <v>47</v>
      </c>
    </row>
    <row r="2359" spans="1:22" s="1192" customFormat="1" ht="14.4" x14ac:dyDescent="0.3">
      <c r="A2359" s="1192" t="s">
        <v>600</v>
      </c>
      <c r="E2359" s="2007" t="s">
        <v>209</v>
      </c>
      <c r="F2359" s="1741"/>
      <c r="G2359" s="1273" t="s">
        <v>20</v>
      </c>
      <c r="H2359" s="1219">
        <v>3.5999999999999999E-3</v>
      </c>
      <c r="K2359" s="1192" t="s">
        <v>3901</v>
      </c>
      <c r="L2359" s="1192" t="s">
        <v>432</v>
      </c>
      <c r="P2359" s="1192" t="s">
        <v>3907</v>
      </c>
      <c r="V2359" s="1192">
        <v>74</v>
      </c>
    </row>
    <row r="2360" spans="1:22" s="1192" customFormat="1" ht="14.4" x14ac:dyDescent="0.3">
      <c r="A2360" s="1192" t="s">
        <v>600</v>
      </c>
      <c r="E2360" s="2054" t="s">
        <v>2405</v>
      </c>
      <c r="F2360" s="1741"/>
      <c r="G2360" s="1273"/>
      <c r="H2360" s="867"/>
      <c r="K2360" s="1192" t="s">
        <v>2418</v>
      </c>
      <c r="V2360" s="1192">
        <v>48</v>
      </c>
    </row>
    <row r="2361" spans="1:22" s="1192" customFormat="1" ht="14.4" x14ac:dyDescent="0.3">
      <c r="A2361" s="1192" t="s">
        <v>600</v>
      </c>
      <c r="E2361" s="2007" t="s">
        <v>2033</v>
      </c>
      <c r="F2361" s="2007"/>
      <c r="G2361" s="578" t="s">
        <v>20</v>
      </c>
      <c r="H2361" s="564">
        <v>3.0000000000000001E-3</v>
      </c>
      <c r="K2361" s="1192" t="s">
        <v>3901</v>
      </c>
      <c r="L2361" s="1192" t="s">
        <v>2374</v>
      </c>
      <c r="P2361" s="1192" t="s">
        <v>3908</v>
      </c>
      <c r="V2361" s="1192">
        <v>55</v>
      </c>
    </row>
    <row r="2362" spans="1:22" s="1192" customFormat="1" ht="14.4" x14ac:dyDescent="0.3">
      <c r="A2362" s="1192" t="s">
        <v>600</v>
      </c>
      <c r="E2362" s="2007" t="s">
        <v>2034</v>
      </c>
      <c r="F2362" s="2007"/>
      <c r="G2362" s="578" t="s">
        <v>20</v>
      </c>
      <c r="H2362" s="564">
        <v>4.0000000000000002E-4</v>
      </c>
      <c r="K2362" s="1192" t="s">
        <v>3901</v>
      </c>
      <c r="L2362" s="1192" t="s">
        <v>2374</v>
      </c>
      <c r="P2362" s="1192" t="s">
        <v>3908</v>
      </c>
      <c r="V2362" s="1192">
        <v>65</v>
      </c>
    </row>
    <row r="2363" spans="1:22" s="1192" customFormat="1" ht="14.4" x14ac:dyDescent="0.3">
      <c r="A2363" s="1192" t="s">
        <v>600</v>
      </c>
      <c r="E2363" s="2007" t="s">
        <v>428</v>
      </c>
      <c r="F2363" s="2007"/>
      <c r="G2363" s="578" t="s">
        <v>20</v>
      </c>
      <c r="H2363" s="564">
        <v>5.0000000000000001E-4</v>
      </c>
      <c r="K2363" s="1192" t="s">
        <v>3901</v>
      </c>
      <c r="L2363" s="1192" t="s">
        <v>2374</v>
      </c>
      <c r="P2363" s="1192" t="s">
        <v>3909</v>
      </c>
      <c r="V2363" s="1192">
        <v>57</v>
      </c>
    </row>
    <row r="2364" spans="1:22" s="1192" customFormat="1" ht="14.4" x14ac:dyDescent="0.3">
      <c r="A2364" s="1192" t="s">
        <v>600</v>
      </c>
      <c r="E2364" s="2007" t="s">
        <v>28</v>
      </c>
      <c r="F2364" s="2007"/>
      <c r="G2364" s="578" t="s">
        <v>19</v>
      </c>
      <c r="H2364" s="579">
        <v>0.25</v>
      </c>
      <c r="K2364" s="1192" t="s">
        <v>3901</v>
      </c>
      <c r="L2364" s="1192" t="s">
        <v>2374</v>
      </c>
      <c r="P2364" s="1192" t="s">
        <v>3910</v>
      </c>
      <c r="V2364" s="1192">
        <v>63</v>
      </c>
    </row>
    <row r="2365" spans="1:22" s="1192" customFormat="1" ht="17.399999999999999" x14ac:dyDescent="0.3">
      <c r="A2365" s="1192" t="s">
        <v>600</v>
      </c>
      <c r="E2365" s="2051" t="s">
        <v>591</v>
      </c>
      <c r="F2365" s="2051"/>
      <c r="G2365" s="2051"/>
      <c r="H2365" s="2051"/>
      <c r="K2365" s="1192" t="s">
        <v>4388</v>
      </c>
      <c r="V2365" s="1192">
        <v>53</v>
      </c>
    </row>
    <row r="2366" spans="1:22" s="1192" customFormat="1" ht="14.4" x14ac:dyDescent="0.3">
      <c r="A2366" s="1192" t="s">
        <v>600</v>
      </c>
      <c r="E2366" s="2053" t="s">
        <v>2988</v>
      </c>
      <c r="F2366" s="2053"/>
      <c r="G2366" s="2053"/>
      <c r="H2366" s="2053"/>
      <c r="K2366" s="1192" t="s">
        <v>4388</v>
      </c>
      <c r="V2366" s="1192">
        <v>345</v>
      </c>
    </row>
    <row r="2367" spans="1:22" s="1192" customFormat="1" ht="14.4" x14ac:dyDescent="0.3">
      <c r="A2367" s="1192" t="s">
        <v>600</v>
      </c>
      <c r="E2367" s="2111" t="s">
        <v>2389</v>
      </c>
      <c r="F2367" s="1988"/>
      <c r="G2367" s="1988"/>
      <c r="H2367" s="1988"/>
      <c r="K2367" s="1192" t="s">
        <v>2422</v>
      </c>
      <c r="V2367" s="1192">
        <v>11</v>
      </c>
    </row>
    <row r="2368" spans="1:22" s="1192" customFormat="1" ht="14.4" x14ac:dyDescent="0.3">
      <c r="A2368" s="1192" t="s">
        <v>600</v>
      </c>
      <c r="E2368" s="2053" t="s">
        <v>2391</v>
      </c>
      <c r="F2368" s="2053"/>
      <c r="G2368" s="2053"/>
      <c r="H2368" s="2053"/>
      <c r="K2368" s="1192" t="s">
        <v>4388</v>
      </c>
      <c r="V2368" s="1192">
        <v>280</v>
      </c>
    </row>
    <row r="2369" spans="1:22" s="1192" customFormat="1" ht="14.4" x14ac:dyDescent="0.3">
      <c r="A2369" s="1192" t="s">
        <v>600</v>
      </c>
      <c r="E2369" s="2053" t="s">
        <v>2392</v>
      </c>
      <c r="F2369" s="2053"/>
      <c r="G2369" s="2053"/>
      <c r="H2369" s="2053"/>
      <c r="K2369" s="1192" t="s">
        <v>4388</v>
      </c>
      <c r="V2369" s="1192">
        <v>411</v>
      </c>
    </row>
    <row r="2370" spans="1:22" s="1192" customFormat="1" ht="14.4" x14ac:dyDescent="0.3">
      <c r="A2370" s="1192" t="s">
        <v>600</v>
      </c>
      <c r="E2370" s="2053" t="s">
        <v>2985</v>
      </c>
      <c r="F2370" s="2053"/>
      <c r="G2370" s="2053"/>
      <c r="H2370" s="2053"/>
      <c r="K2370" s="1192" t="s">
        <v>4388</v>
      </c>
      <c r="V2370" s="1192">
        <v>385</v>
      </c>
    </row>
    <row r="2371" spans="1:22" s="1192" customFormat="1" ht="14.4" x14ac:dyDescent="0.3">
      <c r="A2371" s="1192" t="s">
        <v>600</v>
      </c>
      <c r="E2371" s="1743" t="s">
        <v>4503</v>
      </c>
      <c r="F2371" s="1743"/>
      <c r="G2371" s="1743"/>
      <c r="H2371" s="1743"/>
      <c r="K2371" s="1192" t="s">
        <v>4388</v>
      </c>
      <c r="V2371" s="1192">
        <v>677</v>
      </c>
    </row>
    <row r="2372" spans="1:22" s="1192" customFormat="1" ht="14.4" x14ac:dyDescent="0.3">
      <c r="A2372" s="1192" t="s">
        <v>600</v>
      </c>
      <c r="E2372" s="1743" t="s">
        <v>4644</v>
      </c>
      <c r="F2372" s="1743"/>
      <c r="G2372" s="1743"/>
      <c r="H2372" s="1743"/>
      <c r="K2372" s="1192" t="s">
        <v>4388</v>
      </c>
      <c r="V2372" s="1192">
        <v>693</v>
      </c>
    </row>
    <row r="2373" spans="1:22" s="1192" customFormat="1" ht="14.4" x14ac:dyDescent="0.3">
      <c r="A2373" s="1192" t="s">
        <v>600</v>
      </c>
      <c r="E2373" s="2053" t="s">
        <v>2986</v>
      </c>
      <c r="F2373" s="2053"/>
      <c r="G2373" s="2053"/>
      <c r="H2373" s="2053"/>
      <c r="K2373" s="1192" t="s">
        <v>4388</v>
      </c>
      <c r="V2373" s="1192">
        <v>246</v>
      </c>
    </row>
    <row r="2374" spans="1:22" s="1192" customFormat="1" ht="14.4" x14ac:dyDescent="0.3">
      <c r="A2374" s="1192" t="s">
        <v>600</v>
      </c>
      <c r="E2374" s="2111" t="s">
        <v>2394</v>
      </c>
      <c r="F2374" s="1988"/>
      <c r="G2374" s="1988"/>
      <c r="H2374" s="1988"/>
      <c r="K2374" s="1192" t="s">
        <v>2423</v>
      </c>
      <c r="V2374" s="1192">
        <v>46</v>
      </c>
    </row>
    <row r="2375" spans="1:22" s="1192" customFormat="1" ht="14.4" x14ac:dyDescent="0.3">
      <c r="A2375" s="1192" t="s">
        <v>600</v>
      </c>
      <c r="E2375" s="2007" t="s">
        <v>7</v>
      </c>
      <c r="F2375" s="2007"/>
      <c r="G2375" s="1273" t="s">
        <v>19</v>
      </c>
      <c r="H2375" s="1218">
        <v>214.39</v>
      </c>
      <c r="K2375" s="1192" t="s">
        <v>4388</v>
      </c>
      <c r="L2375" s="1192" t="s">
        <v>430</v>
      </c>
      <c r="P2375" s="1192" t="s">
        <v>4389</v>
      </c>
      <c r="V2375" s="1192">
        <v>14</v>
      </c>
    </row>
    <row r="2376" spans="1:22" s="1192" customFormat="1" ht="14.4" x14ac:dyDescent="0.3">
      <c r="A2376" s="1192" t="s">
        <v>600</v>
      </c>
      <c r="E2376" s="2007" t="s">
        <v>80</v>
      </c>
      <c r="F2376" s="2007"/>
      <c r="G2376" s="1273" t="s">
        <v>29</v>
      </c>
      <c r="H2376" s="1219">
        <v>3.1352000000000002</v>
      </c>
      <c r="K2376" s="1192" t="s">
        <v>4388</v>
      </c>
      <c r="L2376" s="1192" t="s">
        <v>430</v>
      </c>
      <c r="P2376" s="1192" t="s">
        <v>4390</v>
      </c>
      <c r="V2376" s="1192">
        <v>28</v>
      </c>
    </row>
    <row r="2377" spans="1:22" s="1192" customFormat="1" ht="14.4" x14ac:dyDescent="0.3">
      <c r="A2377" s="1192" t="s">
        <v>600</v>
      </c>
      <c r="E2377" s="2007" t="s">
        <v>14</v>
      </c>
      <c r="F2377" s="2007"/>
      <c r="G2377" s="1273" t="s">
        <v>29</v>
      </c>
      <c r="H2377" s="562">
        <v>0.36230000000000001</v>
      </c>
      <c r="K2377" s="1192" t="s">
        <v>4388</v>
      </c>
      <c r="L2377" s="1192" t="s">
        <v>431</v>
      </c>
      <c r="P2377" s="1192" t="s">
        <v>4391</v>
      </c>
      <c r="V2377" s="1192">
        <v>24</v>
      </c>
    </row>
    <row r="2378" spans="1:22" s="1192" customFormat="1" ht="14.4" x14ac:dyDescent="0.3">
      <c r="A2378" s="1192" t="s">
        <v>600</v>
      </c>
      <c r="E2378" s="2007" t="s">
        <v>6068</v>
      </c>
      <c r="F2378" s="1998"/>
      <c r="G2378" s="1273" t="s">
        <v>20</v>
      </c>
      <c r="H2378" s="562">
        <v>3.8E-3</v>
      </c>
      <c r="K2378" s="1192" t="s">
        <v>4388</v>
      </c>
      <c r="L2378" s="1192" t="s">
        <v>431</v>
      </c>
      <c r="P2378" s="1192" t="s">
        <v>4397</v>
      </c>
      <c r="T2378" s="1192">
        <v>44196</v>
      </c>
      <c r="V2378" s="1192">
        <v>173</v>
      </c>
    </row>
    <row r="2379" spans="1:22" s="1192" customFormat="1" ht="14.4" x14ac:dyDescent="0.3">
      <c r="A2379" s="1192" t="s">
        <v>600</v>
      </c>
      <c r="E2379" s="2007" t="s">
        <v>6198</v>
      </c>
      <c r="F2379" s="1998"/>
      <c r="G2379" s="1273" t="s">
        <v>29</v>
      </c>
      <c r="H2379" s="562">
        <v>0.34589999999999999</v>
      </c>
      <c r="K2379" s="1192" t="s">
        <v>4388</v>
      </c>
      <c r="L2379" s="1192" t="s">
        <v>431</v>
      </c>
      <c r="P2379" s="1192" t="s">
        <v>4398</v>
      </c>
      <c r="T2379" s="1192">
        <v>44196</v>
      </c>
      <c r="V2379" s="1192">
        <v>190</v>
      </c>
    </row>
    <row r="2380" spans="1:22" s="1192" customFormat="1" ht="14.4" x14ac:dyDescent="0.3">
      <c r="A2380" s="1192" t="s">
        <v>600</v>
      </c>
      <c r="E2380" s="2007" t="s">
        <v>6199</v>
      </c>
      <c r="F2380" s="1998"/>
      <c r="G2380" s="1273" t="s">
        <v>29</v>
      </c>
      <c r="H2380" s="562">
        <v>0.19070000000000001</v>
      </c>
      <c r="K2380" s="1192" t="s">
        <v>4388</v>
      </c>
      <c r="L2380" s="1192" t="s">
        <v>431</v>
      </c>
      <c r="P2380" s="1192" t="s">
        <v>4398</v>
      </c>
      <c r="T2380" s="1192">
        <v>44196</v>
      </c>
      <c r="V2380" s="1192">
        <v>143</v>
      </c>
    </row>
    <row r="2381" spans="1:22" s="1192" customFormat="1" ht="14.4" x14ac:dyDescent="0.3">
      <c r="A2381" s="1192" t="s">
        <v>600</v>
      </c>
      <c r="E2381" s="2007" t="s">
        <v>213</v>
      </c>
      <c r="F2381" s="1741"/>
      <c r="G2381" s="1273" t="s">
        <v>29</v>
      </c>
      <c r="H2381" s="1219">
        <v>2.5219999999999998</v>
      </c>
      <c r="K2381" s="1192" t="s">
        <v>4388</v>
      </c>
      <c r="L2381" s="1192" t="s">
        <v>432</v>
      </c>
      <c r="P2381" s="1192" t="s">
        <v>4392</v>
      </c>
      <c r="V2381" s="1192">
        <v>47</v>
      </c>
    </row>
    <row r="2382" spans="1:22" s="1192" customFormat="1" ht="14.4" x14ac:dyDescent="0.3">
      <c r="A2382" s="1192" t="s">
        <v>600</v>
      </c>
      <c r="E2382" s="2007" t="s">
        <v>209</v>
      </c>
      <c r="F2382" s="1741"/>
      <c r="G2382" s="1273" t="s">
        <v>29</v>
      </c>
      <c r="H2382" s="1219">
        <v>1.4675</v>
      </c>
      <c r="K2382" s="1192" t="s">
        <v>4388</v>
      </c>
      <c r="L2382" s="1192" t="s">
        <v>432</v>
      </c>
      <c r="P2382" s="1192" t="s">
        <v>4393</v>
      </c>
      <c r="V2382" s="1192">
        <v>74</v>
      </c>
    </row>
    <row r="2383" spans="1:22" s="1192" customFormat="1" ht="14.4" x14ac:dyDescent="0.3">
      <c r="A2383" s="1192" t="s">
        <v>600</v>
      </c>
      <c r="E2383" s="2007" t="s">
        <v>215</v>
      </c>
      <c r="F2383" s="1741"/>
      <c r="G2383" s="1273" t="s">
        <v>29</v>
      </c>
      <c r="H2383" s="1219">
        <v>2.5543999999999998</v>
      </c>
      <c r="K2383" s="1192" t="s">
        <v>4388</v>
      </c>
      <c r="L2383" s="1192" t="s">
        <v>432</v>
      </c>
      <c r="P2383" s="1192" t="s">
        <v>4392</v>
      </c>
      <c r="V2383" s="1192">
        <v>66</v>
      </c>
    </row>
    <row r="2384" spans="1:22" s="1192" customFormat="1" ht="14.4" x14ac:dyDescent="0.3">
      <c r="A2384" s="1192" t="s">
        <v>600</v>
      </c>
      <c r="E2384" s="2007" t="s">
        <v>211</v>
      </c>
      <c r="F2384" s="1741"/>
      <c r="G2384" s="1273" t="s">
        <v>29</v>
      </c>
      <c r="H2384" s="1219">
        <v>1.5467</v>
      </c>
      <c r="K2384" s="1192" t="s">
        <v>4388</v>
      </c>
      <c r="L2384" s="1192" t="s">
        <v>432</v>
      </c>
      <c r="P2384" s="1192" t="s">
        <v>4393</v>
      </c>
      <c r="V2384" s="1192">
        <v>93</v>
      </c>
    </row>
    <row r="2385" spans="1:22" s="1192" customFormat="1" ht="14.4" x14ac:dyDescent="0.3">
      <c r="A2385" s="1192" t="s">
        <v>600</v>
      </c>
      <c r="E2385" s="2054" t="s">
        <v>2405</v>
      </c>
      <c r="F2385" s="1741"/>
      <c r="G2385" s="1273"/>
      <c r="H2385" s="867"/>
      <c r="K2385" s="1192" t="s">
        <v>2526</v>
      </c>
      <c r="V2385" s="1192">
        <v>48</v>
      </c>
    </row>
    <row r="2386" spans="1:22" s="1192" customFormat="1" ht="14.4" x14ac:dyDescent="0.3">
      <c r="A2386" s="1192" t="s">
        <v>600</v>
      </c>
      <c r="E2386" s="2007" t="s">
        <v>2033</v>
      </c>
      <c r="F2386" s="2007"/>
      <c r="G2386" s="1273" t="s">
        <v>20</v>
      </c>
      <c r="H2386" s="564">
        <v>3.0000000000000001E-3</v>
      </c>
      <c r="K2386" s="1192" t="s">
        <v>4388</v>
      </c>
      <c r="L2386" s="1192" t="s">
        <v>2374</v>
      </c>
      <c r="P2386" s="1192" t="s">
        <v>4394</v>
      </c>
      <c r="V2386" s="1192">
        <v>55</v>
      </c>
    </row>
    <row r="2387" spans="1:22" s="1192" customFormat="1" ht="14.4" x14ac:dyDescent="0.3">
      <c r="A2387" s="1192" t="s">
        <v>600</v>
      </c>
      <c r="E2387" s="1741" t="s">
        <v>2034</v>
      </c>
      <c r="F2387" s="1741"/>
      <c r="G2387" s="1273" t="s">
        <v>20</v>
      </c>
      <c r="H2387" s="564">
        <v>4.0000000000000002E-4</v>
      </c>
      <c r="K2387" s="1192" t="s">
        <v>4388</v>
      </c>
      <c r="L2387" s="1192" t="s">
        <v>2374</v>
      </c>
      <c r="P2387" s="1192" t="s">
        <v>4394</v>
      </c>
      <c r="V2387" s="1192">
        <v>65</v>
      </c>
    </row>
    <row r="2388" spans="1:22" s="1192" customFormat="1" ht="14.4" x14ac:dyDescent="0.3">
      <c r="A2388" s="1192" t="s">
        <v>600</v>
      </c>
      <c r="E2388" s="2007" t="s">
        <v>428</v>
      </c>
      <c r="F2388" s="2007"/>
      <c r="G2388" s="1273" t="s">
        <v>20</v>
      </c>
      <c r="H2388" s="564">
        <v>5.0000000000000001E-4</v>
      </c>
      <c r="K2388" s="1192" t="s">
        <v>4388</v>
      </c>
      <c r="L2388" s="1192" t="s">
        <v>2374</v>
      </c>
      <c r="P2388" s="1192" t="s">
        <v>4395</v>
      </c>
      <c r="V2388" s="1192">
        <v>57</v>
      </c>
    </row>
    <row r="2389" spans="1:22" s="1192" customFormat="1" ht="14.4" x14ac:dyDescent="0.3">
      <c r="A2389" s="1192" t="s">
        <v>600</v>
      </c>
      <c r="E2389" s="2007" t="s">
        <v>28</v>
      </c>
      <c r="F2389" s="2007"/>
      <c r="G2389" s="1273" t="s">
        <v>19</v>
      </c>
      <c r="H2389" s="579">
        <v>0.25</v>
      </c>
      <c r="K2389" s="1192" t="s">
        <v>4388</v>
      </c>
      <c r="L2389" s="1192" t="s">
        <v>2374</v>
      </c>
      <c r="P2389" s="1192" t="s">
        <v>4396</v>
      </c>
      <c r="V2389" s="1192">
        <v>63</v>
      </c>
    </row>
    <row r="2390" spans="1:22" s="1192" customFormat="1" ht="17.399999999999999" x14ac:dyDescent="0.3">
      <c r="A2390" s="1192" t="s">
        <v>600</v>
      </c>
      <c r="E2390" s="2051" t="s">
        <v>592</v>
      </c>
      <c r="F2390" s="2051"/>
      <c r="G2390" s="2051"/>
      <c r="H2390" s="2057"/>
      <c r="K2390" s="1192" t="s">
        <v>2676</v>
      </c>
      <c r="V2390" s="1192">
        <v>47</v>
      </c>
    </row>
    <row r="2391" spans="1:22" s="1192" customFormat="1" ht="14.4" x14ac:dyDescent="0.3">
      <c r="A2391" s="1192" t="s">
        <v>600</v>
      </c>
      <c r="E2391" s="2053" t="s">
        <v>2989</v>
      </c>
      <c r="F2391" s="2053"/>
      <c r="G2391" s="2053"/>
      <c r="H2391" s="2056"/>
      <c r="K2391" s="1192" t="s">
        <v>2676</v>
      </c>
      <c r="V2391" s="1192">
        <v>446</v>
      </c>
    </row>
    <row r="2392" spans="1:22" s="1192" customFormat="1" ht="14.4" x14ac:dyDescent="0.3">
      <c r="A2392" s="1192" t="s">
        <v>600</v>
      </c>
      <c r="E2392" s="2111" t="s">
        <v>2389</v>
      </c>
      <c r="F2392" s="1988"/>
      <c r="G2392" s="1988"/>
      <c r="H2392" s="1988"/>
      <c r="K2392" s="1192" t="s">
        <v>2529</v>
      </c>
      <c r="V2392" s="1192">
        <v>11</v>
      </c>
    </row>
    <row r="2393" spans="1:22" s="1192" customFormat="1" ht="14.4" x14ac:dyDescent="0.3">
      <c r="A2393" s="1192" t="s">
        <v>600</v>
      </c>
      <c r="E2393" s="2053" t="s">
        <v>2391</v>
      </c>
      <c r="F2393" s="2053"/>
      <c r="G2393" s="2053"/>
      <c r="H2393" s="2053"/>
      <c r="K2393" s="1192" t="s">
        <v>2676</v>
      </c>
      <c r="V2393" s="1192">
        <v>280</v>
      </c>
    </row>
    <row r="2394" spans="1:22" s="1192" customFormat="1" ht="14.4" x14ac:dyDescent="0.3">
      <c r="A2394" s="1192" t="s">
        <v>600</v>
      </c>
      <c r="E2394" s="2053" t="s">
        <v>2392</v>
      </c>
      <c r="F2394" s="2053"/>
      <c r="G2394" s="2053"/>
      <c r="H2394" s="2053"/>
      <c r="K2394" s="1192" t="s">
        <v>2676</v>
      </c>
      <c r="V2394" s="1192">
        <v>411</v>
      </c>
    </row>
    <row r="2395" spans="1:22" s="1192" customFormat="1" ht="14.4" x14ac:dyDescent="0.3">
      <c r="A2395" s="1192" t="s">
        <v>600</v>
      </c>
      <c r="E2395" s="2053" t="s">
        <v>2985</v>
      </c>
      <c r="F2395" s="2053"/>
      <c r="G2395" s="2053"/>
      <c r="H2395" s="2053"/>
      <c r="K2395" s="1192" t="s">
        <v>2676</v>
      </c>
      <c r="V2395" s="1192">
        <v>385</v>
      </c>
    </row>
    <row r="2396" spans="1:22" s="1192" customFormat="1" ht="14.4" x14ac:dyDescent="0.3">
      <c r="A2396" s="1192" t="s">
        <v>600</v>
      </c>
      <c r="E2396" s="2053" t="s">
        <v>2986</v>
      </c>
      <c r="F2396" s="2053"/>
      <c r="G2396" s="2053"/>
      <c r="H2396" s="2053"/>
      <c r="K2396" s="1192" t="s">
        <v>2676</v>
      </c>
      <c r="V2396" s="1192">
        <v>246</v>
      </c>
    </row>
    <row r="2397" spans="1:22" s="1192" customFormat="1" ht="14.4" x14ac:dyDescent="0.3">
      <c r="A2397" s="1192" t="s">
        <v>600</v>
      </c>
      <c r="E2397" s="2111" t="s">
        <v>2394</v>
      </c>
      <c r="F2397" s="1988"/>
      <c r="G2397" s="1988"/>
      <c r="H2397" s="1988"/>
      <c r="K2397" s="1192" t="s">
        <v>2531</v>
      </c>
      <c r="V2397" s="1192">
        <v>46</v>
      </c>
    </row>
    <row r="2398" spans="1:22" s="1192" customFormat="1" ht="14.4" x14ac:dyDescent="0.3">
      <c r="A2398" s="1192" t="s">
        <v>600</v>
      </c>
      <c r="E2398" s="2007" t="s">
        <v>8</v>
      </c>
      <c r="F2398" s="2007"/>
      <c r="G2398" s="1273" t="s">
        <v>19</v>
      </c>
      <c r="H2398" s="1218">
        <v>38.01</v>
      </c>
      <c r="K2398" s="1192" t="s">
        <v>2676</v>
      </c>
      <c r="L2398" s="1192" t="s">
        <v>430</v>
      </c>
      <c r="P2398" s="1192" t="s">
        <v>2678</v>
      </c>
      <c r="V2398" s="1192">
        <v>31</v>
      </c>
    </row>
    <row r="2399" spans="1:22" s="1192" customFormat="1" ht="14.4" x14ac:dyDescent="0.3">
      <c r="A2399" s="1192" t="s">
        <v>600</v>
      </c>
      <c r="E2399" s="2007" t="s">
        <v>80</v>
      </c>
      <c r="F2399" s="2007"/>
      <c r="G2399" s="1273" t="s">
        <v>20</v>
      </c>
      <c r="H2399" s="1219">
        <v>2.3800000000000002E-2</v>
      </c>
      <c r="K2399" s="1192" t="s">
        <v>2676</v>
      </c>
      <c r="L2399" s="1192" t="s">
        <v>430</v>
      </c>
      <c r="P2399" s="1192" t="s">
        <v>2679</v>
      </c>
      <c r="V2399" s="1192">
        <v>28</v>
      </c>
    </row>
    <row r="2400" spans="1:22" s="1192" customFormat="1" ht="14.4" x14ac:dyDescent="0.3">
      <c r="A2400" s="1192" t="s">
        <v>600</v>
      </c>
      <c r="E2400" s="2007" t="s">
        <v>14</v>
      </c>
      <c r="F2400" s="2007"/>
      <c r="G2400" s="1273" t="s">
        <v>20</v>
      </c>
      <c r="H2400" s="562">
        <v>8.9999999999999998E-4</v>
      </c>
      <c r="K2400" s="1192" t="s">
        <v>2676</v>
      </c>
      <c r="L2400" s="1192" t="s">
        <v>431</v>
      </c>
      <c r="P2400" s="1192" t="s">
        <v>2809</v>
      </c>
      <c r="V2400" s="1192">
        <v>24</v>
      </c>
    </row>
    <row r="2401" spans="1:22" s="1192" customFormat="1" ht="14.4" x14ac:dyDescent="0.3">
      <c r="A2401" s="1192" t="s">
        <v>600</v>
      </c>
      <c r="E2401" s="2007" t="s">
        <v>6068</v>
      </c>
      <c r="F2401" s="1998"/>
      <c r="G2401" s="1273" t="s">
        <v>20</v>
      </c>
      <c r="H2401" s="562">
        <v>3.5000000000000001E-3</v>
      </c>
      <c r="K2401" s="1192" t="s">
        <v>2676</v>
      </c>
      <c r="L2401" s="1192" t="s">
        <v>431</v>
      </c>
      <c r="P2401" s="1192" t="s">
        <v>2810</v>
      </c>
      <c r="T2401" s="1192">
        <v>44196</v>
      </c>
      <c r="V2401" s="1192">
        <v>173</v>
      </c>
    </row>
    <row r="2402" spans="1:22" s="1192" customFormat="1" ht="14.4" x14ac:dyDescent="0.3">
      <c r="A2402" s="1192" t="s">
        <v>600</v>
      </c>
      <c r="E2402" s="2007" t="s">
        <v>6075</v>
      </c>
      <c r="F2402" s="1998"/>
      <c r="G2402" s="1273" t="s">
        <v>20</v>
      </c>
      <c r="H2402" s="562">
        <v>1.5E-3</v>
      </c>
      <c r="K2402" s="1192" t="s">
        <v>2676</v>
      </c>
      <c r="L2402" s="1192" t="s">
        <v>431</v>
      </c>
      <c r="P2402" s="1192" t="s">
        <v>2681</v>
      </c>
      <c r="T2402" s="1192">
        <v>44196</v>
      </c>
      <c r="V2402" s="1192">
        <v>136</v>
      </c>
    </row>
    <row r="2403" spans="1:22" s="1192" customFormat="1" ht="14.4" x14ac:dyDescent="0.3">
      <c r="A2403" s="1192" t="s">
        <v>600</v>
      </c>
      <c r="E2403" s="2007" t="s">
        <v>213</v>
      </c>
      <c r="F2403" s="2007"/>
      <c r="G2403" s="1273" t="s">
        <v>20</v>
      </c>
      <c r="H2403" s="1219">
        <v>6.4000000000000003E-3</v>
      </c>
      <c r="K2403" s="1192" t="s">
        <v>2676</v>
      </c>
      <c r="L2403" s="1192" t="s">
        <v>432</v>
      </c>
      <c r="P2403" s="1192" t="s">
        <v>2682</v>
      </c>
      <c r="V2403" s="1192">
        <v>47</v>
      </c>
    </row>
    <row r="2404" spans="1:22" s="1192" customFormat="1" ht="14.4" x14ac:dyDescent="0.3">
      <c r="A2404" s="1192" t="s">
        <v>600</v>
      </c>
      <c r="E2404" s="2007" t="s">
        <v>209</v>
      </c>
      <c r="F2404" s="2007"/>
      <c r="G2404" s="1273" t="s">
        <v>20</v>
      </c>
      <c r="H2404" s="1219">
        <v>3.5999999999999999E-3</v>
      </c>
      <c r="K2404" s="1192" t="s">
        <v>2676</v>
      </c>
      <c r="L2404" s="1192" t="s">
        <v>432</v>
      </c>
      <c r="P2404" s="1192" t="s">
        <v>2683</v>
      </c>
      <c r="V2404" s="1192">
        <v>74</v>
      </c>
    </row>
    <row r="2405" spans="1:22" s="1192" customFormat="1" ht="14.4" x14ac:dyDescent="0.3">
      <c r="A2405" s="1192" t="s">
        <v>600</v>
      </c>
      <c r="E2405" s="2054" t="s">
        <v>2405</v>
      </c>
      <c r="F2405" s="1741"/>
      <c r="G2405" s="1273"/>
      <c r="H2405" s="867"/>
      <c r="K2405" s="1192" t="s">
        <v>2532</v>
      </c>
      <c r="V2405" s="1192">
        <v>48</v>
      </c>
    </row>
    <row r="2406" spans="1:22" s="1192" customFormat="1" ht="14.4" x14ac:dyDescent="0.3">
      <c r="A2406" s="1192" t="s">
        <v>600</v>
      </c>
      <c r="E2406" s="2007" t="s">
        <v>2033</v>
      </c>
      <c r="F2406" s="2007"/>
      <c r="G2406" s="578" t="s">
        <v>20</v>
      </c>
      <c r="H2406" s="564">
        <v>3.0000000000000001E-3</v>
      </c>
      <c r="K2406" s="1192" t="s">
        <v>2676</v>
      </c>
      <c r="L2406" s="1192" t="s">
        <v>2374</v>
      </c>
      <c r="P2406" s="1192" t="s">
        <v>2684</v>
      </c>
      <c r="V2406" s="1192">
        <v>55</v>
      </c>
    </row>
    <row r="2407" spans="1:22" s="1192" customFormat="1" ht="14.4" x14ac:dyDescent="0.3">
      <c r="A2407" s="1192" t="s">
        <v>600</v>
      </c>
      <c r="E2407" s="1741" t="s">
        <v>2034</v>
      </c>
      <c r="F2407" s="1741"/>
      <c r="G2407" s="578" t="s">
        <v>20</v>
      </c>
      <c r="H2407" s="564">
        <v>4.0000000000000002E-4</v>
      </c>
      <c r="K2407" s="1192" t="s">
        <v>2676</v>
      </c>
      <c r="L2407" s="1192" t="s">
        <v>2374</v>
      </c>
      <c r="P2407" s="1192" t="s">
        <v>2684</v>
      </c>
      <c r="V2407" s="1192">
        <v>65</v>
      </c>
    </row>
    <row r="2408" spans="1:22" s="1192" customFormat="1" ht="14.4" x14ac:dyDescent="0.3">
      <c r="A2408" s="1192" t="s">
        <v>600</v>
      </c>
      <c r="E2408" s="2007" t="s">
        <v>428</v>
      </c>
      <c r="F2408" s="2007"/>
      <c r="G2408" s="578" t="s">
        <v>20</v>
      </c>
      <c r="H2408" s="564">
        <v>5.0000000000000001E-4</v>
      </c>
      <c r="K2408" s="1192" t="s">
        <v>2676</v>
      </c>
      <c r="L2408" s="1192" t="s">
        <v>2374</v>
      </c>
      <c r="P2408" s="1192" t="s">
        <v>2685</v>
      </c>
      <c r="V2408" s="1192">
        <v>57</v>
      </c>
    </row>
    <row r="2409" spans="1:22" s="1192" customFormat="1" ht="14.4" x14ac:dyDescent="0.3">
      <c r="A2409" s="1192" t="s">
        <v>600</v>
      </c>
      <c r="E2409" s="2007" t="s">
        <v>28</v>
      </c>
      <c r="F2409" s="2007"/>
      <c r="G2409" s="578" t="s">
        <v>19</v>
      </c>
      <c r="H2409" s="579">
        <v>0.25</v>
      </c>
      <c r="K2409" s="1192" t="s">
        <v>2676</v>
      </c>
      <c r="L2409" s="1192" t="s">
        <v>2374</v>
      </c>
      <c r="P2409" s="1192" t="s">
        <v>2686</v>
      </c>
      <c r="V2409" s="1192">
        <v>63</v>
      </c>
    </row>
    <row r="2410" spans="1:22" s="1192" customFormat="1" ht="17.399999999999999" x14ac:dyDescent="0.3">
      <c r="A2410" s="1192" t="s">
        <v>600</v>
      </c>
      <c r="E2410" s="2051" t="s">
        <v>590</v>
      </c>
      <c r="F2410" s="2051"/>
      <c r="G2410" s="2051"/>
      <c r="H2410" s="2057"/>
      <c r="K2410" s="1192" t="s">
        <v>2687</v>
      </c>
      <c r="V2410" s="1192">
        <v>38</v>
      </c>
    </row>
    <row r="2411" spans="1:22" s="1192" customFormat="1" ht="14.4" x14ac:dyDescent="0.3">
      <c r="A2411" s="1192" t="s">
        <v>600</v>
      </c>
      <c r="E2411" s="2053" t="s">
        <v>2990</v>
      </c>
      <c r="F2411" s="2053"/>
      <c r="G2411" s="2053"/>
      <c r="H2411" s="2056"/>
      <c r="K2411" s="1192" t="s">
        <v>2687</v>
      </c>
      <c r="V2411" s="1192">
        <v>395</v>
      </c>
    </row>
    <row r="2412" spans="1:22" s="1192" customFormat="1" ht="14.4" x14ac:dyDescent="0.3">
      <c r="A2412" s="1192" t="s">
        <v>600</v>
      </c>
      <c r="E2412" s="2111" t="s">
        <v>2389</v>
      </c>
      <c r="F2412" s="1988"/>
      <c r="G2412" s="1988"/>
      <c r="H2412" s="1988"/>
      <c r="K2412" s="1192" t="s">
        <v>2424</v>
      </c>
      <c r="V2412" s="1192">
        <v>11</v>
      </c>
    </row>
    <row r="2413" spans="1:22" s="1192" customFormat="1" ht="14.4" x14ac:dyDescent="0.3">
      <c r="A2413" s="1192" t="s">
        <v>600</v>
      </c>
      <c r="E2413" s="2053" t="s">
        <v>2391</v>
      </c>
      <c r="F2413" s="2053"/>
      <c r="G2413" s="2053"/>
      <c r="H2413" s="2053"/>
      <c r="K2413" s="1192" t="s">
        <v>2687</v>
      </c>
      <c r="V2413" s="1192">
        <v>280</v>
      </c>
    </row>
    <row r="2414" spans="1:22" s="1192" customFormat="1" ht="14.4" x14ac:dyDescent="0.3">
      <c r="A2414" s="1192" t="s">
        <v>600</v>
      </c>
      <c r="E2414" s="2053" t="s">
        <v>2392</v>
      </c>
      <c r="F2414" s="2053"/>
      <c r="G2414" s="2053"/>
      <c r="H2414" s="2053"/>
      <c r="K2414" s="1192" t="s">
        <v>2687</v>
      </c>
      <c r="V2414" s="1192">
        <v>411</v>
      </c>
    </row>
    <row r="2415" spans="1:22" s="1192" customFormat="1" ht="14.4" x14ac:dyDescent="0.3">
      <c r="A2415" s="1192" t="s">
        <v>600</v>
      </c>
      <c r="E2415" s="2053" t="s">
        <v>2985</v>
      </c>
      <c r="F2415" s="2053"/>
      <c r="G2415" s="2053"/>
      <c r="H2415" s="2053"/>
      <c r="K2415" s="1192" t="s">
        <v>2687</v>
      </c>
      <c r="V2415" s="1192">
        <v>385</v>
      </c>
    </row>
    <row r="2416" spans="1:22" s="1192" customFormat="1" ht="14.4" x14ac:dyDescent="0.3">
      <c r="A2416" s="1192" t="s">
        <v>600</v>
      </c>
      <c r="E2416" s="2053" t="s">
        <v>2986</v>
      </c>
      <c r="F2416" s="2053"/>
      <c r="G2416" s="2053"/>
      <c r="H2416" s="2053"/>
      <c r="K2416" s="1192" t="s">
        <v>2687</v>
      </c>
      <c r="V2416" s="1192">
        <v>246</v>
      </c>
    </row>
    <row r="2417" spans="1:22" s="1192" customFormat="1" ht="14.4" x14ac:dyDescent="0.3">
      <c r="A2417" s="1192" t="s">
        <v>600</v>
      </c>
      <c r="E2417" s="2111" t="s">
        <v>2394</v>
      </c>
      <c r="F2417" s="1988"/>
      <c r="G2417" s="1988"/>
      <c r="H2417" s="1988"/>
      <c r="K2417" s="1192" t="s">
        <v>2425</v>
      </c>
      <c r="V2417" s="1192">
        <v>46</v>
      </c>
    </row>
    <row r="2418" spans="1:22" s="1192" customFormat="1" ht="14.4" x14ac:dyDescent="0.3">
      <c r="A2418" s="1192" t="s">
        <v>600</v>
      </c>
      <c r="E2418" s="2007" t="s">
        <v>8</v>
      </c>
      <c r="F2418" s="2007"/>
      <c r="G2418" s="1273" t="s">
        <v>19</v>
      </c>
      <c r="H2418" s="1218">
        <v>2.39</v>
      </c>
      <c r="K2418" s="1192" t="s">
        <v>2687</v>
      </c>
      <c r="L2418" s="1192" t="s">
        <v>430</v>
      </c>
      <c r="P2418" s="1192" t="s">
        <v>2689</v>
      </c>
      <c r="V2418" s="1192">
        <v>31</v>
      </c>
    </row>
    <row r="2419" spans="1:22" s="1192" customFormat="1" ht="14.4" x14ac:dyDescent="0.3">
      <c r="A2419" s="1192" t="s">
        <v>600</v>
      </c>
      <c r="E2419" s="2007" t="s">
        <v>80</v>
      </c>
      <c r="F2419" s="2007"/>
      <c r="G2419" s="1273" t="s">
        <v>29</v>
      </c>
      <c r="H2419" s="1219">
        <v>5.9703999999999997</v>
      </c>
      <c r="K2419" s="1192" t="s">
        <v>2687</v>
      </c>
      <c r="L2419" s="1192" t="s">
        <v>430</v>
      </c>
      <c r="P2419" s="1192" t="s">
        <v>2690</v>
      </c>
      <c r="V2419" s="1192">
        <v>28</v>
      </c>
    </row>
    <row r="2420" spans="1:22" s="1192" customFormat="1" ht="14.4" x14ac:dyDescent="0.3">
      <c r="A2420" s="1192" t="s">
        <v>600</v>
      </c>
      <c r="E2420" s="2007" t="s">
        <v>14</v>
      </c>
      <c r="F2420" s="2007"/>
      <c r="G2420" s="1273" t="s">
        <v>29</v>
      </c>
      <c r="H2420" s="562">
        <v>0.26569999999999999</v>
      </c>
      <c r="K2420" s="1192" t="s">
        <v>2687</v>
      </c>
      <c r="L2420" s="1192" t="s">
        <v>431</v>
      </c>
      <c r="P2420" s="1192" t="s">
        <v>2812</v>
      </c>
      <c r="V2420" s="1192">
        <v>24</v>
      </c>
    </row>
    <row r="2421" spans="1:22" s="1192" customFormat="1" ht="14.4" x14ac:dyDescent="0.3">
      <c r="A2421" s="1192" t="s">
        <v>600</v>
      </c>
      <c r="E2421" s="2007" t="s">
        <v>6068</v>
      </c>
      <c r="F2421" s="1998"/>
      <c r="G2421" s="1273" t="s">
        <v>20</v>
      </c>
      <c r="H2421" s="562">
        <v>3.8E-3</v>
      </c>
      <c r="K2421" s="1192" t="s">
        <v>2687</v>
      </c>
      <c r="L2421" s="1192" t="s">
        <v>431</v>
      </c>
      <c r="P2421" s="1192" t="s">
        <v>2691</v>
      </c>
      <c r="T2421" s="1192">
        <v>44196</v>
      </c>
      <c r="V2421" s="1192">
        <v>173</v>
      </c>
    </row>
    <row r="2422" spans="1:22" s="1192" customFormat="1" ht="14.4" x14ac:dyDescent="0.3">
      <c r="A2422" s="1192" t="s">
        <v>600</v>
      </c>
      <c r="E2422" s="2007" t="s">
        <v>6075</v>
      </c>
      <c r="F2422" s="1998"/>
      <c r="G2422" s="1273" t="s">
        <v>29</v>
      </c>
      <c r="H2422" s="562">
        <v>0.55469999999999997</v>
      </c>
      <c r="K2422" s="1192" t="s">
        <v>2687</v>
      </c>
      <c r="L2422" s="1192" t="s">
        <v>431</v>
      </c>
      <c r="P2422" s="1192" t="s">
        <v>2693</v>
      </c>
      <c r="T2422" s="1192">
        <v>44196</v>
      </c>
      <c r="V2422" s="1192">
        <v>136</v>
      </c>
    </row>
    <row r="2423" spans="1:22" s="1192" customFormat="1" ht="14.4" x14ac:dyDescent="0.3">
      <c r="A2423" s="1192" t="s">
        <v>600</v>
      </c>
      <c r="E2423" s="2007" t="s">
        <v>213</v>
      </c>
      <c r="F2423" s="1741"/>
      <c r="G2423" s="1273" t="s">
        <v>29</v>
      </c>
      <c r="H2423" s="1219">
        <v>1.9020999999999999</v>
      </c>
      <c r="K2423" s="1192" t="s">
        <v>2687</v>
      </c>
      <c r="L2423" s="1192" t="s">
        <v>432</v>
      </c>
      <c r="P2423" s="1192" t="s">
        <v>2694</v>
      </c>
      <c r="V2423" s="1192">
        <v>47</v>
      </c>
    </row>
    <row r="2424" spans="1:22" s="1192" customFormat="1" ht="14.4" x14ac:dyDescent="0.3">
      <c r="A2424" s="1192" t="s">
        <v>600</v>
      </c>
      <c r="E2424" s="2007" t="s">
        <v>209</v>
      </c>
      <c r="F2424" s="1741"/>
      <c r="G2424" s="1273" t="s">
        <v>29</v>
      </c>
      <c r="H2424" s="1219">
        <v>1.1344000000000001</v>
      </c>
      <c r="K2424" s="1192" t="s">
        <v>2687</v>
      </c>
      <c r="L2424" s="1192" t="s">
        <v>432</v>
      </c>
      <c r="P2424" s="1192" t="s">
        <v>2813</v>
      </c>
      <c r="V2424" s="1192">
        <v>74</v>
      </c>
    </row>
    <row r="2425" spans="1:22" s="1192" customFormat="1" ht="14.4" x14ac:dyDescent="0.3">
      <c r="A2425" s="1192" t="s">
        <v>600</v>
      </c>
      <c r="E2425" s="2054" t="s">
        <v>2405</v>
      </c>
      <c r="F2425" s="1741"/>
      <c r="G2425" s="1273"/>
      <c r="H2425" s="867"/>
      <c r="K2425" s="1192" t="s">
        <v>2427</v>
      </c>
      <c r="V2425" s="1192">
        <v>48</v>
      </c>
    </row>
    <row r="2426" spans="1:22" s="1192" customFormat="1" ht="14.4" x14ac:dyDescent="0.3">
      <c r="A2426" s="1192" t="s">
        <v>600</v>
      </c>
      <c r="E2426" s="2007" t="s">
        <v>2033</v>
      </c>
      <c r="F2426" s="2007"/>
      <c r="G2426" s="578" t="s">
        <v>20</v>
      </c>
      <c r="H2426" s="564">
        <v>3.0000000000000001E-3</v>
      </c>
      <c r="K2426" s="1192" t="s">
        <v>2687</v>
      </c>
      <c r="L2426" s="1192" t="s">
        <v>2374</v>
      </c>
      <c r="P2426" s="1192" t="s">
        <v>2696</v>
      </c>
      <c r="V2426" s="1192">
        <v>55</v>
      </c>
    </row>
    <row r="2427" spans="1:22" s="1192" customFormat="1" ht="14.4" x14ac:dyDescent="0.3">
      <c r="A2427" s="1192" t="s">
        <v>600</v>
      </c>
      <c r="E2427" s="1741" t="s">
        <v>2034</v>
      </c>
      <c r="F2427" s="1741"/>
      <c r="G2427" s="578" t="s">
        <v>20</v>
      </c>
      <c r="H2427" s="564">
        <v>4.0000000000000002E-4</v>
      </c>
      <c r="K2427" s="1192" t="s">
        <v>2687</v>
      </c>
      <c r="L2427" s="1192" t="s">
        <v>2374</v>
      </c>
      <c r="P2427" s="1192" t="s">
        <v>2696</v>
      </c>
      <c r="V2427" s="1192">
        <v>65</v>
      </c>
    </row>
    <row r="2428" spans="1:22" s="1192" customFormat="1" ht="14.4" x14ac:dyDescent="0.3">
      <c r="A2428" s="1192" t="s">
        <v>600</v>
      </c>
      <c r="E2428" s="2007" t="s">
        <v>428</v>
      </c>
      <c r="F2428" s="2007"/>
      <c r="G2428" s="578" t="s">
        <v>20</v>
      </c>
      <c r="H2428" s="564">
        <v>5.0000000000000001E-4</v>
      </c>
      <c r="K2428" s="1192" t="s">
        <v>2687</v>
      </c>
      <c r="L2428" s="1192" t="s">
        <v>2374</v>
      </c>
      <c r="P2428" s="1192" t="s">
        <v>2697</v>
      </c>
      <c r="V2428" s="1192">
        <v>57</v>
      </c>
    </row>
    <row r="2429" spans="1:22" s="1192" customFormat="1" ht="14.4" x14ac:dyDescent="0.3">
      <c r="A2429" s="1192" t="s">
        <v>600</v>
      </c>
      <c r="E2429" s="2007" t="s">
        <v>28</v>
      </c>
      <c r="F2429" s="2007"/>
      <c r="G2429" s="578" t="s">
        <v>19</v>
      </c>
      <c r="H2429" s="579">
        <v>0.25</v>
      </c>
      <c r="K2429" s="1192" t="s">
        <v>2687</v>
      </c>
      <c r="L2429" s="1192" t="s">
        <v>2374</v>
      </c>
      <c r="P2429" s="1192" t="s">
        <v>2698</v>
      </c>
      <c r="V2429" s="1192">
        <v>63</v>
      </c>
    </row>
    <row r="2430" spans="1:22" s="1192" customFormat="1" ht="17.399999999999999" x14ac:dyDescent="0.3">
      <c r="A2430" s="1192" t="s">
        <v>600</v>
      </c>
      <c r="E2430" s="2051" t="s">
        <v>597</v>
      </c>
      <c r="F2430" s="2051"/>
      <c r="G2430" s="2051"/>
      <c r="H2430" s="2057"/>
      <c r="K2430" s="1192" t="s">
        <v>4546</v>
      </c>
      <c r="V2430" s="1192">
        <v>43</v>
      </c>
    </row>
    <row r="2431" spans="1:22" s="1192" customFormat="1" ht="14.4" x14ac:dyDescent="0.3">
      <c r="A2431" s="1192" t="s">
        <v>600</v>
      </c>
      <c r="E2431" s="2053" t="s">
        <v>2992</v>
      </c>
      <c r="F2431" s="2053"/>
      <c r="G2431" s="2053"/>
      <c r="H2431" s="2056"/>
      <c r="K2431" s="1192" t="s">
        <v>4546</v>
      </c>
      <c r="V2431" s="1192">
        <v>282</v>
      </c>
    </row>
    <row r="2432" spans="1:22" s="1192" customFormat="1" ht="14.4" x14ac:dyDescent="0.3">
      <c r="A2432" s="1192" t="s">
        <v>600</v>
      </c>
      <c r="E2432" s="2111" t="s">
        <v>2389</v>
      </c>
      <c r="F2432" s="1988"/>
      <c r="G2432" s="1988"/>
      <c r="H2432" s="1988"/>
      <c r="K2432" s="1192" t="s">
        <v>2430</v>
      </c>
      <c r="V2432" s="1192">
        <v>11</v>
      </c>
    </row>
    <row r="2433" spans="1:22" s="1192" customFormat="1" ht="14.4" x14ac:dyDescent="0.3">
      <c r="A2433" s="1192" t="s">
        <v>600</v>
      </c>
      <c r="E2433" s="2053" t="s">
        <v>2391</v>
      </c>
      <c r="F2433" s="2053"/>
      <c r="G2433" s="2053"/>
      <c r="H2433" s="2053"/>
      <c r="K2433" s="1192" t="s">
        <v>4546</v>
      </c>
      <c r="V2433" s="1192">
        <v>280</v>
      </c>
    </row>
    <row r="2434" spans="1:22" s="1192" customFormat="1" ht="14.4" x14ac:dyDescent="0.3">
      <c r="A2434" s="1192" t="s">
        <v>600</v>
      </c>
      <c r="E2434" s="2053" t="s">
        <v>2392</v>
      </c>
      <c r="F2434" s="2053"/>
      <c r="G2434" s="2053"/>
      <c r="H2434" s="2053"/>
      <c r="K2434" s="1192" t="s">
        <v>4546</v>
      </c>
      <c r="V2434" s="1192">
        <v>411</v>
      </c>
    </row>
    <row r="2435" spans="1:22" s="1192" customFormat="1" ht="14.4" x14ac:dyDescent="0.3">
      <c r="A2435" s="1192" t="s">
        <v>600</v>
      </c>
      <c r="E2435" s="2053" t="s">
        <v>2445</v>
      </c>
      <c r="F2435" s="2053"/>
      <c r="G2435" s="2053"/>
      <c r="H2435" s="2053"/>
      <c r="K2435" s="1192" t="s">
        <v>4546</v>
      </c>
      <c r="V2435" s="1192">
        <v>211</v>
      </c>
    </row>
    <row r="2436" spans="1:22" s="1192" customFormat="1" ht="14.4" x14ac:dyDescent="0.3">
      <c r="A2436" s="1192" t="s">
        <v>600</v>
      </c>
      <c r="E2436" s="2053" t="s">
        <v>2986</v>
      </c>
      <c r="F2436" s="2053"/>
      <c r="G2436" s="2053"/>
      <c r="H2436" s="2053"/>
      <c r="K2436" s="1192" t="s">
        <v>4546</v>
      </c>
      <c r="V2436" s="1192">
        <v>246</v>
      </c>
    </row>
    <row r="2437" spans="1:22" s="1192" customFormat="1" ht="14.4" x14ac:dyDescent="0.3">
      <c r="A2437" s="1192" t="s">
        <v>600</v>
      </c>
      <c r="E2437" s="2111" t="s">
        <v>2394</v>
      </c>
      <c r="F2437" s="1988"/>
      <c r="G2437" s="1988"/>
      <c r="H2437" s="1988"/>
      <c r="K2437" s="1192" t="s">
        <v>2431</v>
      </c>
      <c r="V2437" s="1192">
        <v>46</v>
      </c>
    </row>
    <row r="2438" spans="1:22" s="1192" customFormat="1" ht="14.4" x14ac:dyDescent="0.3">
      <c r="A2438" s="1192" t="s">
        <v>600</v>
      </c>
      <c r="E2438" s="2007" t="s">
        <v>7</v>
      </c>
      <c r="F2438" s="2007"/>
      <c r="G2438" s="1273" t="s">
        <v>19</v>
      </c>
      <c r="H2438" s="1218">
        <v>16960.689999999999</v>
      </c>
      <c r="K2438" s="1192" t="s">
        <v>4546</v>
      </c>
      <c r="L2438" s="1192" t="s">
        <v>430</v>
      </c>
      <c r="P2438" s="1192" t="s">
        <v>4547</v>
      </c>
      <c r="V2438" s="1192">
        <v>14</v>
      </c>
    </row>
    <row r="2439" spans="1:22" s="1192" customFormat="1" ht="14.4" x14ac:dyDescent="0.3">
      <c r="A2439" s="1192" t="s">
        <v>600</v>
      </c>
      <c r="E2439" s="2007" t="s">
        <v>80</v>
      </c>
      <c r="F2439" s="2007"/>
      <c r="G2439" s="1273" t="s">
        <v>29</v>
      </c>
      <c r="H2439" s="1219">
        <v>1.4612000000000001</v>
      </c>
      <c r="K2439" s="1192" t="s">
        <v>4546</v>
      </c>
      <c r="L2439" s="1192" t="s">
        <v>430</v>
      </c>
      <c r="P2439" s="1192" t="s">
        <v>4548</v>
      </c>
      <c r="V2439" s="1192">
        <v>28</v>
      </c>
    </row>
    <row r="2440" spans="1:22" s="1192" customFormat="1" ht="14.4" x14ac:dyDescent="0.3">
      <c r="A2440" s="1192" t="s">
        <v>600</v>
      </c>
      <c r="E2440" s="2007" t="s">
        <v>6075</v>
      </c>
      <c r="F2440" s="1998"/>
      <c r="G2440" s="1273" t="s">
        <v>29</v>
      </c>
      <c r="H2440" s="1219">
        <v>6.7699999999999996E-2</v>
      </c>
      <c r="K2440" s="1192" t="s">
        <v>4546</v>
      </c>
      <c r="L2440" s="1192" t="s">
        <v>431</v>
      </c>
      <c r="P2440" s="1192" t="s">
        <v>4549</v>
      </c>
      <c r="T2440" s="1192">
        <v>44196</v>
      </c>
      <c r="V2440" s="1192">
        <v>136</v>
      </c>
    </row>
    <row r="2441" spans="1:22" s="1192" customFormat="1" ht="14.4" x14ac:dyDescent="0.3">
      <c r="A2441" s="1192" t="s">
        <v>600</v>
      </c>
      <c r="E2441" s="2007" t="s">
        <v>213</v>
      </c>
      <c r="F2441" s="1741"/>
      <c r="G2441" s="1273" t="s">
        <v>29</v>
      </c>
      <c r="H2441" s="1219">
        <v>3.3786999999999998</v>
      </c>
      <c r="K2441" s="1192" t="s">
        <v>4546</v>
      </c>
      <c r="L2441" s="1192" t="s">
        <v>432</v>
      </c>
      <c r="P2441" s="1192" t="s">
        <v>4550</v>
      </c>
      <c r="V2441" s="1192">
        <v>47</v>
      </c>
    </row>
    <row r="2442" spans="1:22" s="1192" customFormat="1" ht="14.4" x14ac:dyDescent="0.3">
      <c r="A2442" s="1192" t="s">
        <v>600</v>
      </c>
      <c r="E2442" s="2007" t="s">
        <v>209</v>
      </c>
      <c r="F2442" s="1741"/>
      <c r="G2442" s="1273" t="s">
        <v>29</v>
      </c>
      <c r="H2442" s="1219">
        <v>0.62680000000000002</v>
      </c>
      <c r="K2442" s="1192" t="s">
        <v>4546</v>
      </c>
      <c r="L2442" s="1192" t="s">
        <v>432</v>
      </c>
      <c r="P2442" s="1192" t="s">
        <v>4551</v>
      </c>
      <c r="V2442" s="1192">
        <v>74</v>
      </c>
    </row>
    <row r="2443" spans="1:22" s="1192" customFormat="1" ht="17.399999999999999" x14ac:dyDescent="0.3">
      <c r="A2443" s="1192" t="s">
        <v>600</v>
      </c>
      <c r="E2443" s="2051" t="s">
        <v>593</v>
      </c>
      <c r="F2443" s="2051"/>
      <c r="G2443" s="2051"/>
      <c r="H2443" s="2057"/>
      <c r="K2443" s="1192" t="s">
        <v>2442</v>
      </c>
      <c r="V2443" s="1192">
        <v>31</v>
      </c>
    </row>
    <row r="2444" spans="1:22" s="1192" customFormat="1" ht="14.4" x14ac:dyDescent="0.3">
      <c r="A2444" s="1192" t="s">
        <v>600</v>
      </c>
      <c r="E2444" s="2053" t="s">
        <v>2996</v>
      </c>
      <c r="F2444" s="2053"/>
      <c r="G2444" s="2053"/>
      <c r="H2444" s="2056"/>
      <c r="K2444" s="1192" t="s">
        <v>2442</v>
      </c>
      <c r="V2444" s="1192">
        <v>287</v>
      </c>
    </row>
    <row r="2445" spans="1:22" s="1192" customFormat="1" ht="14.4" x14ac:dyDescent="0.3">
      <c r="A2445" s="1192" t="s">
        <v>600</v>
      </c>
      <c r="E2445" s="2111" t="s">
        <v>2389</v>
      </c>
      <c r="F2445" s="1988"/>
      <c r="G2445" s="1988"/>
      <c r="H2445" s="1988"/>
      <c r="K2445" s="1192" t="s">
        <v>2444</v>
      </c>
      <c r="V2445" s="1192">
        <v>11</v>
      </c>
    </row>
    <row r="2446" spans="1:22" s="1192" customFormat="1" ht="14.4" x14ac:dyDescent="0.3">
      <c r="A2446" s="1192" t="s">
        <v>600</v>
      </c>
      <c r="E2446" s="2053" t="s">
        <v>2391</v>
      </c>
      <c r="F2446" s="2053"/>
      <c r="G2446" s="2053"/>
      <c r="H2446" s="2053"/>
      <c r="K2446" s="1192" t="s">
        <v>2442</v>
      </c>
      <c r="V2446" s="1192">
        <v>280</v>
      </c>
    </row>
    <row r="2447" spans="1:22" s="1192" customFormat="1" ht="14.4" x14ac:dyDescent="0.3">
      <c r="A2447" s="1192" t="s">
        <v>600</v>
      </c>
      <c r="E2447" s="2053" t="s">
        <v>2392</v>
      </c>
      <c r="F2447" s="2053"/>
      <c r="G2447" s="2053"/>
      <c r="H2447" s="2053"/>
      <c r="K2447" s="1192" t="s">
        <v>2442</v>
      </c>
      <c r="V2447" s="1192">
        <v>411</v>
      </c>
    </row>
    <row r="2448" spans="1:22" s="1192" customFormat="1" ht="14.4" x14ac:dyDescent="0.3">
      <c r="A2448" s="1192" t="s">
        <v>600</v>
      </c>
      <c r="E2448" s="2053" t="s">
        <v>2445</v>
      </c>
      <c r="F2448" s="2053"/>
      <c r="G2448" s="2053"/>
      <c r="H2448" s="2053"/>
      <c r="K2448" s="1192" t="s">
        <v>2442</v>
      </c>
      <c r="V2448" s="1192">
        <v>211</v>
      </c>
    </row>
    <row r="2449" spans="1:22" s="1192" customFormat="1" ht="14.4" x14ac:dyDescent="0.3">
      <c r="A2449" s="1192" t="s">
        <v>600</v>
      </c>
      <c r="E2449" s="2053" t="s">
        <v>2986</v>
      </c>
      <c r="F2449" s="2053"/>
      <c r="G2449" s="2053"/>
      <c r="H2449" s="2053"/>
      <c r="K2449" s="1192" t="s">
        <v>2442</v>
      </c>
      <c r="V2449" s="1192">
        <v>246</v>
      </c>
    </row>
    <row r="2450" spans="1:22" s="1192" customFormat="1" ht="14.4" x14ac:dyDescent="0.3">
      <c r="A2450" s="1192" t="s">
        <v>600</v>
      </c>
      <c r="E2450" s="2111" t="s">
        <v>2394</v>
      </c>
      <c r="F2450" s="1988"/>
      <c r="G2450" s="1988"/>
      <c r="H2450" s="1988"/>
      <c r="K2450" s="1192" t="s">
        <v>2446</v>
      </c>
      <c r="V2450" s="1192">
        <v>46</v>
      </c>
    </row>
    <row r="2451" spans="1:22" s="1192" customFormat="1" ht="14.4" x14ac:dyDescent="0.3">
      <c r="A2451" s="1192" t="s">
        <v>600</v>
      </c>
      <c r="E2451" s="2007" t="s">
        <v>7</v>
      </c>
      <c r="F2451" s="2007"/>
      <c r="G2451" s="1273" t="s">
        <v>19</v>
      </c>
      <c r="H2451" s="1218">
        <v>5.4</v>
      </c>
      <c r="K2451" s="1192" t="s">
        <v>2442</v>
      </c>
      <c r="L2451" s="1192" t="s">
        <v>430</v>
      </c>
      <c r="P2451" s="1192" t="s">
        <v>2447</v>
      </c>
      <c r="V2451" s="1192">
        <v>14</v>
      </c>
    </row>
    <row r="2452" spans="1:22" s="1192" customFormat="1" ht="17.399999999999999" x14ac:dyDescent="0.3">
      <c r="A2452" s="1192" t="s">
        <v>600</v>
      </c>
      <c r="E2452" s="1285" t="s">
        <v>81</v>
      </c>
      <c r="F2452" s="581"/>
      <c r="G2452" s="581"/>
      <c r="H2452" s="900"/>
      <c r="K2452" s="1192" t="s">
        <v>2998</v>
      </c>
      <c r="V2452" s="1192">
        <v>10</v>
      </c>
    </row>
    <row r="2453" spans="1:22" s="1192" customFormat="1" ht="14.4" x14ac:dyDescent="0.3">
      <c r="A2453" s="1192" t="s">
        <v>600</v>
      </c>
      <c r="E2453" s="1741" t="s">
        <v>2449</v>
      </c>
      <c r="F2453" s="1741"/>
      <c r="G2453" s="582" t="s">
        <v>29</v>
      </c>
      <c r="H2453" s="812">
        <v>-0.6</v>
      </c>
      <c r="V2453" s="1192">
        <v>68</v>
      </c>
    </row>
    <row r="2454" spans="1:22" s="1192" customFormat="1" ht="14.4" x14ac:dyDescent="0.3">
      <c r="A2454" s="1192" t="s">
        <v>600</v>
      </c>
      <c r="E2454" s="2007" t="s">
        <v>2450</v>
      </c>
      <c r="F2454" s="2007"/>
      <c r="G2454" s="582" t="s">
        <v>82</v>
      </c>
      <c r="H2454" s="583">
        <v>-1</v>
      </c>
      <c r="V2454" s="1192">
        <v>87</v>
      </c>
    </row>
    <row r="2455" spans="1:22" s="1192" customFormat="1" ht="17.399999999999999" x14ac:dyDescent="0.3">
      <c r="A2455" s="1192" t="s">
        <v>600</v>
      </c>
      <c r="E2455" s="1285" t="s">
        <v>83</v>
      </c>
      <c r="F2455" s="584"/>
      <c r="G2455" s="584"/>
      <c r="H2455" s="901"/>
      <c r="K2455" s="1192" t="s">
        <v>2999</v>
      </c>
      <c r="V2455" s="1192">
        <v>24</v>
      </c>
    </row>
    <row r="2456" spans="1:22" s="1192" customFormat="1" ht="14.4" x14ac:dyDescent="0.3">
      <c r="A2456" s="1192" t="s">
        <v>600</v>
      </c>
      <c r="E2456" s="2105" t="s">
        <v>2389</v>
      </c>
      <c r="F2456" s="1743"/>
      <c r="G2456" s="1743"/>
      <c r="H2456" s="1743"/>
      <c r="V2456" s="1192">
        <v>11</v>
      </c>
    </row>
    <row r="2457" spans="1:22" s="1192" customFormat="1" ht="14.4" x14ac:dyDescent="0.3">
      <c r="A2457" s="1192" t="s">
        <v>600</v>
      </c>
      <c r="E2457" s="2053" t="s">
        <v>2391</v>
      </c>
      <c r="F2457" s="2053"/>
      <c r="G2457" s="2053"/>
      <c r="H2457" s="2053"/>
      <c r="V2457" s="1192">
        <v>280</v>
      </c>
    </row>
    <row r="2458" spans="1:22" s="1192" customFormat="1" ht="14.4" x14ac:dyDescent="0.3">
      <c r="A2458" s="1192" t="s">
        <v>600</v>
      </c>
      <c r="E2458" s="2053" t="s">
        <v>2392</v>
      </c>
      <c r="F2458" s="2053"/>
      <c r="G2458" s="2053"/>
      <c r="H2458" s="2053"/>
      <c r="V2458" s="1192">
        <v>411</v>
      </c>
    </row>
    <row r="2459" spans="1:22" s="1192" customFormat="1" ht="14.4" x14ac:dyDescent="0.3">
      <c r="A2459" s="1192" t="s">
        <v>600</v>
      </c>
      <c r="E2459" s="2053" t="s">
        <v>2986</v>
      </c>
      <c r="F2459" s="2053"/>
      <c r="G2459" s="2053"/>
      <c r="H2459" s="2053"/>
      <c r="V2459" s="1192">
        <v>246</v>
      </c>
    </row>
    <row r="2460" spans="1:22" s="1192" customFormat="1" ht="14.4" x14ac:dyDescent="0.3">
      <c r="A2460" s="1192" t="s">
        <v>600</v>
      </c>
      <c r="E2460" s="1299" t="s">
        <v>2453</v>
      </c>
      <c r="F2460" s="586"/>
      <c r="G2460" s="586"/>
      <c r="H2460" s="902"/>
      <c r="K2460" s="1192" t="s">
        <v>3000</v>
      </c>
      <c r="V2460" s="1192">
        <v>23</v>
      </c>
    </row>
    <row r="2461" spans="1:22" s="1192" customFormat="1" ht="14.4" x14ac:dyDescent="0.3">
      <c r="A2461" s="1192" t="s">
        <v>600</v>
      </c>
      <c r="E2461" s="2118" t="s">
        <v>3001</v>
      </c>
      <c r="F2461" s="2118"/>
      <c r="G2461" s="1273" t="s">
        <v>19</v>
      </c>
      <c r="H2461" s="583">
        <v>15</v>
      </c>
      <c r="V2461" s="1192">
        <v>24</v>
      </c>
    </row>
    <row r="2462" spans="1:22" s="1192" customFormat="1" ht="14.4" x14ac:dyDescent="0.3">
      <c r="A2462" s="1192" t="s">
        <v>600</v>
      </c>
      <c r="E2462" s="2118" t="s">
        <v>3002</v>
      </c>
      <c r="F2462" s="2118"/>
      <c r="G2462" s="1273" t="s">
        <v>19</v>
      </c>
      <c r="H2462" s="583">
        <v>15</v>
      </c>
      <c r="V2462" s="1192">
        <v>25</v>
      </c>
    </row>
    <row r="2463" spans="1:22" s="1192" customFormat="1" ht="14.4" x14ac:dyDescent="0.3">
      <c r="A2463" s="1192" t="s">
        <v>600</v>
      </c>
      <c r="E2463" s="2118" t="s">
        <v>3003</v>
      </c>
      <c r="F2463" s="2118"/>
      <c r="G2463" s="1273" t="s">
        <v>19</v>
      </c>
      <c r="H2463" s="583">
        <v>15</v>
      </c>
      <c r="V2463" s="1192">
        <v>31</v>
      </c>
    </row>
    <row r="2464" spans="1:22" s="1192" customFormat="1" ht="14.4" x14ac:dyDescent="0.3">
      <c r="A2464" s="1192" t="s">
        <v>600</v>
      </c>
      <c r="E2464" s="2118" t="s">
        <v>3004</v>
      </c>
      <c r="F2464" s="2118"/>
      <c r="G2464" s="1273" t="s">
        <v>19</v>
      </c>
      <c r="H2464" s="583">
        <v>15</v>
      </c>
      <c r="V2464" s="1192">
        <v>44</v>
      </c>
    </row>
    <row r="2465" spans="1:22" s="1192" customFormat="1" ht="14.4" x14ac:dyDescent="0.3">
      <c r="A2465" s="1192" t="s">
        <v>600</v>
      </c>
      <c r="E2465" s="2118" t="s">
        <v>3005</v>
      </c>
      <c r="F2465" s="2118"/>
      <c r="G2465" s="1273" t="s">
        <v>19</v>
      </c>
      <c r="H2465" s="583">
        <v>15</v>
      </c>
      <c r="V2465" s="1192">
        <v>20</v>
      </c>
    </row>
    <row r="2466" spans="1:22" s="1192" customFormat="1" ht="14.4" x14ac:dyDescent="0.3">
      <c r="A2466" s="1192" t="s">
        <v>600</v>
      </c>
      <c r="E2466" s="2031" t="s">
        <v>3006</v>
      </c>
      <c r="F2466" s="2031"/>
      <c r="G2466" s="1273" t="s">
        <v>19</v>
      </c>
      <c r="H2466" s="583">
        <v>15</v>
      </c>
      <c r="V2466" s="1192">
        <v>20</v>
      </c>
    </row>
    <row r="2467" spans="1:22" s="1192" customFormat="1" ht="14.4" x14ac:dyDescent="0.3">
      <c r="A2467" s="1192" t="s">
        <v>600</v>
      </c>
      <c r="E2467" s="2031" t="s">
        <v>3007</v>
      </c>
      <c r="F2467" s="2031"/>
      <c r="G2467" s="1273" t="s">
        <v>19</v>
      </c>
      <c r="H2467" s="583">
        <v>15</v>
      </c>
      <c r="V2467" s="1192">
        <v>61</v>
      </c>
    </row>
    <row r="2468" spans="1:22" s="1192" customFormat="1" ht="14.4" x14ac:dyDescent="0.3">
      <c r="A2468" s="1192" t="s">
        <v>600</v>
      </c>
      <c r="E2468" s="2031" t="s">
        <v>3008</v>
      </c>
      <c r="F2468" s="2031"/>
      <c r="G2468" s="1273" t="s">
        <v>19</v>
      </c>
      <c r="H2468" s="583">
        <v>15</v>
      </c>
      <c r="V2468" s="1192">
        <v>47</v>
      </c>
    </row>
    <row r="2469" spans="1:22" s="1192" customFormat="1" ht="14.4" x14ac:dyDescent="0.3">
      <c r="A2469" s="1192" t="s">
        <v>600</v>
      </c>
      <c r="E2469" s="2031" t="s">
        <v>3009</v>
      </c>
      <c r="F2469" s="2031"/>
      <c r="G2469" s="1273" t="s">
        <v>19</v>
      </c>
      <c r="H2469" s="583">
        <v>15</v>
      </c>
      <c r="V2469" s="1192">
        <v>29</v>
      </c>
    </row>
    <row r="2470" spans="1:22" s="1192" customFormat="1" ht="14.4" x14ac:dyDescent="0.3">
      <c r="A2470" s="1192" t="s">
        <v>600</v>
      </c>
      <c r="E2470" s="2031" t="s">
        <v>3010</v>
      </c>
      <c r="F2470" s="2031"/>
      <c r="G2470" s="1273" t="s">
        <v>19</v>
      </c>
      <c r="H2470" s="583">
        <v>15</v>
      </c>
      <c r="V2470" s="1192">
        <v>24</v>
      </c>
    </row>
    <row r="2471" spans="1:22" s="1192" customFormat="1" ht="14.4" x14ac:dyDescent="0.3">
      <c r="A2471" s="1192" t="s">
        <v>600</v>
      </c>
      <c r="E2471" s="2031" t="s">
        <v>3011</v>
      </c>
      <c r="F2471" s="2031"/>
      <c r="G2471" s="1273" t="s">
        <v>19</v>
      </c>
      <c r="H2471" s="583">
        <v>30</v>
      </c>
      <c r="V2471" s="1192">
        <v>94</v>
      </c>
    </row>
    <row r="2472" spans="1:22" s="1192" customFormat="1" ht="14.4" x14ac:dyDescent="0.3">
      <c r="A2472" s="1192" t="s">
        <v>600</v>
      </c>
      <c r="E2472" s="2031" t="s">
        <v>3012</v>
      </c>
      <c r="F2472" s="2031"/>
      <c r="G2472" s="1273" t="s">
        <v>19</v>
      </c>
      <c r="H2472" s="583">
        <v>30</v>
      </c>
      <c r="V2472" s="1192">
        <v>24</v>
      </c>
    </row>
    <row r="2473" spans="1:22" s="1192" customFormat="1" ht="14.4" x14ac:dyDescent="0.3">
      <c r="A2473" s="1192" t="s">
        <v>600</v>
      </c>
      <c r="E2473" s="2031" t="s">
        <v>3013</v>
      </c>
      <c r="F2473" s="2031"/>
      <c r="G2473" s="1273" t="s">
        <v>19</v>
      </c>
      <c r="H2473" s="583">
        <v>30</v>
      </c>
      <c r="V2473" s="1192">
        <v>79</v>
      </c>
    </row>
    <row r="2474" spans="1:22" s="1192" customFormat="1" ht="14.4" x14ac:dyDescent="0.3">
      <c r="A2474" s="1192" t="s">
        <v>600</v>
      </c>
      <c r="E2474" s="2031" t="s">
        <v>3014</v>
      </c>
      <c r="F2474" s="2031"/>
      <c r="G2474" s="1273" t="s">
        <v>19</v>
      </c>
      <c r="H2474" s="583">
        <v>20</v>
      </c>
      <c r="V2474" s="1192">
        <v>33</v>
      </c>
    </row>
    <row r="2475" spans="1:22" s="1192" customFormat="1" ht="14.4" x14ac:dyDescent="0.3">
      <c r="A2475" s="1192" t="s">
        <v>600</v>
      </c>
      <c r="E2475" s="1299" t="s">
        <v>2468</v>
      </c>
      <c r="F2475" s="587"/>
      <c r="G2475" s="563"/>
      <c r="H2475" s="903"/>
      <c r="K2475" s="1192" t="s">
        <v>3015</v>
      </c>
      <c r="V2475" s="1192">
        <v>22</v>
      </c>
    </row>
    <row r="2476" spans="1:22" s="1192" customFormat="1" ht="14.4" x14ac:dyDescent="0.3">
      <c r="A2476" s="1192" t="s">
        <v>600</v>
      </c>
      <c r="E2476" s="2031" t="s">
        <v>6200</v>
      </c>
      <c r="F2476" s="2031"/>
      <c r="G2476" s="1273" t="s">
        <v>82</v>
      </c>
      <c r="H2476" s="583">
        <v>1.5</v>
      </c>
      <c r="V2476" s="1192">
        <v>109</v>
      </c>
    </row>
    <row r="2477" spans="1:22" s="1192" customFormat="1" ht="14.4" x14ac:dyDescent="0.3">
      <c r="A2477" s="1192" t="s">
        <v>600</v>
      </c>
      <c r="E2477" s="2031" t="s">
        <v>6078</v>
      </c>
      <c r="F2477" s="2031"/>
      <c r="G2477" s="1273" t="s">
        <v>19</v>
      </c>
      <c r="H2477" s="583">
        <v>65</v>
      </c>
      <c r="V2477" s="1192">
        <v>58</v>
      </c>
    </row>
    <row r="2478" spans="1:22" s="1192" customFormat="1" ht="14.4" x14ac:dyDescent="0.3">
      <c r="A2478" s="1192" t="s">
        <v>600</v>
      </c>
      <c r="E2478" s="2031" t="s">
        <v>6201</v>
      </c>
      <c r="F2478" s="2031"/>
      <c r="G2478" s="1273" t="s">
        <v>19</v>
      </c>
      <c r="H2478" s="583">
        <v>185</v>
      </c>
      <c r="V2478" s="1192">
        <v>57</v>
      </c>
    </row>
    <row r="2479" spans="1:22" s="1192" customFormat="1" ht="14.4" x14ac:dyDescent="0.3">
      <c r="A2479" s="1192" t="s">
        <v>600</v>
      </c>
      <c r="E2479" s="2031" t="s">
        <v>6080</v>
      </c>
      <c r="F2479" s="2031"/>
      <c r="G2479" s="1273" t="s">
        <v>19</v>
      </c>
      <c r="H2479" s="583">
        <v>185</v>
      </c>
      <c r="V2479" s="1192">
        <v>57</v>
      </c>
    </row>
    <row r="2480" spans="1:22" s="1192" customFormat="1" ht="14.4" x14ac:dyDescent="0.3">
      <c r="A2480" s="1192" t="s">
        <v>600</v>
      </c>
      <c r="E2480" s="2031" t="s">
        <v>6081</v>
      </c>
      <c r="F2480" s="2031"/>
      <c r="G2480" s="1273" t="s">
        <v>19</v>
      </c>
      <c r="H2480" s="583">
        <v>415</v>
      </c>
      <c r="V2480" s="1192">
        <v>56</v>
      </c>
    </row>
    <row r="2481" spans="1:22" s="1192" customFormat="1" ht="14.4" x14ac:dyDescent="0.3">
      <c r="A2481" s="1192" t="s">
        <v>600</v>
      </c>
      <c r="E2481" s="1299" t="s">
        <v>2474</v>
      </c>
      <c r="F2481" s="587"/>
      <c r="G2481" s="563"/>
      <c r="H2481" s="903"/>
      <c r="V2481" s="1192">
        <v>5</v>
      </c>
    </row>
    <row r="2482" spans="1:22" s="1192" customFormat="1" ht="14.4" x14ac:dyDescent="0.3">
      <c r="A2482" s="1192" t="s">
        <v>600</v>
      </c>
      <c r="E2482" s="2031" t="s">
        <v>3016</v>
      </c>
      <c r="F2482" s="2031"/>
      <c r="G2482" s="1273" t="s">
        <v>19</v>
      </c>
      <c r="H2482" s="583">
        <v>30</v>
      </c>
      <c r="V2482" s="1192">
        <v>44</v>
      </c>
    </row>
    <row r="2483" spans="1:22" s="1192" customFormat="1" ht="14.4" x14ac:dyDescent="0.3">
      <c r="A2483" s="1192" t="s">
        <v>600</v>
      </c>
      <c r="E2483" s="2031" t="s">
        <v>3017</v>
      </c>
      <c r="F2483" s="2031"/>
      <c r="G2483" s="1273" t="s">
        <v>19</v>
      </c>
      <c r="H2483" s="583">
        <v>165</v>
      </c>
      <c r="V2483" s="1192">
        <v>66</v>
      </c>
    </row>
    <row r="2484" spans="1:22" s="1192" customFormat="1" ht="14.4" x14ac:dyDescent="0.3">
      <c r="A2484" s="1192" t="s">
        <v>600</v>
      </c>
      <c r="E2484" s="2031" t="s">
        <v>3018</v>
      </c>
      <c r="F2484" s="2031"/>
      <c r="G2484" s="1273" t="s">
        <v>19</v>
      </c>
      <c r="H2484" s="583">
        <v>500</v>
      </c>
      <c r="V2484" s="1192">
        <v>67</v>
      </c>
    </row>
    <row r="2485" spans="1:22" s="1192" customFormat="1" ht="14.4" x14ac:dyDescent="0.3">
      <c r="A2485" s="1192" t="s">
        <v>600</v>
      </c>
      <c r="E2485" s="2031" t="s">
        <v>3019</v>
      </c>
      <c r="F2485" s="2031"/>
      <c r="G2485" s="1273" t="s">
        <v>19</v>
      </c>
      <c r="H2485" s="583">
        <v>300</v>
      </c>
      <c r="V2485" s="1192">
        <v>70</v>
      </c>
    </row>
    <row r="2486" spans="1:22" s="1192" customFormat="1" ht="14.4" x14ac:dyDescent="0.3">
      <c r="A2486" s="1192" t="s">
        <v>600</v>
      </c>
      <c r="E2486" s="2031" t="s">
        <v>3020</v>
      </c>
      <c r="F2486" s="2031"/>
      <c r="G2486" s="1273" t="s">
        <v>19</v>
      </c>
      <c r="H2486" s="904">
        <v>1000</v>
      </c>
      <c r="V2486" s="1192">
        <v>69</v>
      </c>
    </row>
    <row r="2487" spans="1:22" s="1192" customFormat="1" ht="14.4" x14ac:dyDescent="0.3">
      <c r="A2487" s="1192" t="s">
        <v>600</v>
      </c>
      <c r="E2487" s="2031" t="s">
        <v>3021</v>
      </c>
      <c r="F2487" s="2031"/>
      <c r="G2487" s="1273"/>
      <c r="H2487" s="905"/>
      <c r="V2487" s="1192">
        <v>64</v>
      </c>
    </row>
    <row r="2488" spans="1:22" s="1192" customFormat="1" ht="14.4" x14ac:dyDescent="0.3">
      <c r="A2488" s="1192" t="s">
        <v>600</v>
      </c>
      <c r="E2488" s="2031" t="s">
        <v>3022</v>
      </c>
      <c r="F2488" s="2031"/>
      <c r="G2488" s="1273" t="s">
        <v>19</v>
      </c>
      <c r="H2488" s="583">
        <v>44.5</v>
      </c>
      <c r="V2488" s="1192">
        <v>49</v>
      </c>
    </row>
    <row r="2489" spans="1:22" s="1192" customFormat="1" ht="17.399999999999999" x14ac:dyDescent="0.3">
      <c r="A2489" s="1192" t="s">
        <v>600</v>
      </c>
      <c r="E2489" s="1285" t="s">
        <v>73</v>
      </c>
      <c r="F2489" s="584"/>
      <c r="G2489" s="584"/>
      <c r="H2489" s="901"/>
      <c r="K2489" s="1192" t="s">
        <v>3023</v>
      </c>
      <c r="V2489" s="1192">
        <v>38</v>
      </c>
    </row>
    <row r="2490" spans="1:22" s="1192" customFormat="1" ht="14.4" x14ac:dyDescent="0.3">
      <c r="A2490" s="1192" t="s">
        <v>600</v>
      </c>
      <c r="E2490" s="2053" t="s">
        <v>2391</v>
      </c>
      <c r="F2490" s="2053"/>
      <c r="G2490" s="2053"/>
      <c r="H2490" s="2053"/>
      <c r="V2490" s="1192">
        <v>280</v>
      </c>
    </row>
    <row r="2491" spans="1:22" s="1192" customFormat="1" ht="14.4" x14ac:dyDescent="0.3">
      <c r="A2491" s="1192" t="s">
        <v>600</v>
      </c>
      <c r="E2491" s="2053" t="s">
        <v>2392</v>
      </c>
      <c r="F2491" s="2053"/>
      <c r="G2491" s="2053"/>
      <c r="H2491" s="2053"/>
      <c r="V2491" s="1192">
        <v>411</v>
      </c>
    </row>
    <row r="2492" spans="1:22" s="1192" customFormat="1" ht="14.4" x14ac:dyDescent="0.3">
      <c r="A2492" s="1192" t="s">
        <v>600</v>
      </c>
      <c r="E2492" s="2106" t="s">
        <v>2445</v>
      </c>
      <c r="F2492" s="2106"/>
      <c r="G2492" s="2106"/>
      <c r="H2492" s="2107"/>
      <c r="V2492" s="1192">
        <v>211</v>
      </c>
    </row>
    <row r="2493" spans="1:22" s="1192" customFormat="1" ht="14.4" x14ac:dyDescent="0.3">
      <c r="A2493" s="1192" t="s">
        <v>600</v>
      </c>
      <c r="E2493" s="2053" t="s">
        <v>2997</v>
      </c>
      <c r="F2493" s="2053"/>
      <c r="G2493" s="2053"/>
      <c r="H2493" s="2053"/>
      <c r="V2493" s="1192">
        <v>247</v>
      </c>
    </row>
    <row r="2494" spans="1:22" s="1192" customFormat="1" ht="14.4" x14ac:dyDescent="0.3">
      <c r="A2494" s="1192" t="s">
        <v>600</v>
      </c>
      <c r="E2494" s="2106" t="s">
        <v>2595</v>
      </c>
      <c r="F2494" s="2106"/>
      <c r="G2494" s="2106"/>
      <c r="H2494" s="2107"/>
      <c r="V2494" s="1192">
        <v>142</v>
      </c>
    </row>
    <row r="2495" spans="1:22" s="1192" customFormat="1" ht="14.4" x14ac:dyDescent="0.3">
      <c r="A2495" s="1192" t="s">
        <v>600</v>
      </c>
      <c r="E2495" s="2007" t="s">
        <v>2485</v>
      </c>
      <c r="F2495" s="2007"/>
      <c r="G2495" s="588" t="s">
        <v>19</v>
      </c>
      <c r="H2495" s="589">
        <v>102</v>
      </c>
      <c r="V2495" s="1192">
        <v>106</v>
      </c>
    </row>
    <row r="2496" spans="1:22" s="1192" customFormat="1" ht="14.4" x14ac:dyDescent="0.3">
      <c r="A2496" s="1192" t="s">
        <v>600</v>
      </c>
      <c r="E2496" s="2007" t="s">
        <v>3919</v>
      </c>
      <c r="F2496" s="2007"/>
      <c r="G2496" s="588" t="s">
        <v>19</v>
      </c>
      <c r="H2496" s="589">
        <v>40.799999999999997</v>
      </c>
      <c r="V2496" s="1192">
        <v>34</v>
      </c>
    </row>
    <row r="2497" spans="1:22" s="1192" customFormat="1" ht="14.4" x14ac:dyDescent="0.3">
      <c r="A2497" s="1192" t="s">
        <v>600</v>
      </c>
      <c r="E2497" s="2007" t="s">
        <v>3920</v>
      </c>
      <c r="F2497" s="2007"/>
      <c r="G2497" s="588" t="s">
        <v>2488</v>
      </c>
      <c r="H2497" s="589">
        <v>1.02</v>
      </c>
      <c r="V2497" s="1192">
        <v>51</v>
      </c>
    </row>
    <row r="2498" spans="1:22" s="1192" customFormat="1" ht="14.4" x14ac:dyDescent="0.3">
      <c r="A2498" s="1192" t="s">
        <v>600</v>
      </c>
      <c r="E2498" s="2007" t="s">
        <v>2489</v>
      </c>
      <c r="F2498" s="2007"/>
      <c r="G2498" s="588" t="s">
        <v>2488</v>
      </c>
      <c r="H2498" s="589">
        <v>0.61</v>
      </c>
      <c r="V2498" s="1192">
        <v>75</v>
      </c>
    </row>
    <row r="2499" spans="1:22" s="1192" customFormat="1" ht="14.4" x14ac:dyDescent="0.3">
      <c r="A2499" s="1192" t="s">
        <v>600</v>
      </c>
      <c r="E2499" s="2007" t="s">
        <v>2490</v>
      </c>
      <c r="F2499" s="2007"/>
      <c r="G2499" s="588" t="s">
        <v>2488</v>
      </c>
      <c r="H2499" s="589">
        <v>-0.61</v>
      </c>
      <c r="V2499" s="1192">
        <v>72</v>
      </c>
    </row>
    <row r="2500" spans="1:22" s="1192" customFormat="1" ht="14.4" x14ac:dyDescent="0.3">
      <c r="A2500" s="1192" t="s">
        <v>600</v>
      </c>
      <c r="E2500" s="2007" t="s">
        <v>2491</v>
      </c>
      <c r="F2500" s="2007"/>
      <c r="G2500" s="590"/>
      <c r="H2500" s="888"/>
      <c r="V2500" s="1192">
        <v>35</v>
      </c>
    </row>
    <row r="2501" spans="1:22" s="1192" customFormat="1" ht="14.4" x14ac:dyDescent="0.3">
      <c r="A2501" s="1192" t="s">
        <v>600</v>
      </c>
      <c r="E2501" s="2119" t="s">
        <v>2492</v>
      </c>
      <c r="F2501" s="2119"/>
      <c r="G2501" s="588" t="s">
        <v>19</v>
      </c>
      <c r="H2501" s="589">
        <v>0.51</v>
      </c>
      <c r="V2501" s="1192">
        <v>57</v>
      </c>
    </row>
    <row r="2502" spans="1:22" s="1192" customFormat="1" ht="14.4" x14ac:dyDescent="0.3">
      <c r="A2502" s="1192" t="s">
        <v>600</v>
      </c>
      <c r="E2502" s="2119" t="s">
        <v>2493</v>
      </c>
      <c r="F2502" s="2119"/>
      <c r="G2502" s="588" t="s">
        <v>19</v>
      </c>
      <c r="H2502" s="589">
        <v>1.02</v>
      </c>
      <c r="V2502" s="1192">
        <v>60</v>
      </c>
    </row>
    <row r="2503" spans="1:22" s="1192" customFormat="1" ht="14.4" x14ac:dyDescent="0.3">
      <c r="A2503" s="1192" t="s">
        <v>600</v>
      </c>
      <c r="E2503" s="2007" t="s">
        <v>2494</v>
      </c>
      <c r="F2503" s="2007"/>
      <c r="G2503" s="590"/>
      <c r="H2503" s="888"/>
      <c r="V2503" s="1192">
        <v>91</v>
      </c>
    </row>
    <row r="2504" spans="1:22" s="1192" customFormat="1" ht="14.4" x14ac:dyDescent="0.3">
      <c r="A2504" s="1192" t="s">
        <v>600</v>
      </c>
      <c r="E2504" s="2007" t="s">
        <v>2495</v>
      </c>
      <c r="F2504" s="2007"/>
      <c r="G2504" s="590"/>
      <c r="H2504" s="888"/>
      <c r="V2504" s="1192">
        <v>96</v>
      </c>
    </row>
    <row r="2505" spans="1:22" s="1192" customFormat="1" ht="14.4" x14ac:dyDescent="0.3">
      <c r="A2505" s="1192" t="s">
        <v>600</v>
      </c>
      <c r="E2505" s="2007" t="s">
        <v>2496</v>
      </c>
      <c r="F2505" s="2007"/>
      <c r="G2505" s="590"/>
      <c r="H2505" s="888"/>
      <c r="V2505" s="1192">
        <v>78</v>
      </c>
    </row>
    <row r="2506" spans="1:22" s="1192" customFormat="1" ht="14.4" x14ac:dyDescent="0.3">
      <c r="A2506" s="1192" t="s">
        <v>600</v>
      </c>
      <c r="E2506" s="2119" t="s">
        <v>2497</v>
      </c>
      <c r="F2506" s="2119"/>
      <c r="G2506" s="588" t="s">
        <v>19</v>
      </c>
      <c r="H2506" s="889" t="s">
        <v>2498</v>
      </c>
      <c r="V2506" s="1192">
        <v>18</v>
      </c>
    </row>
    <row r="2507" spans="1:22" s="1192" customFormat="1" ht="14.4" x14ac:dyDescent="0.3">
      <c r="A2507" s="1192" t="s">
        <v>600</v>
      </c>
      <c r="E2507" s="2119" t="s">
        <v>2499</v>
      </c>
      <c r="F2507" s="2119"/>
      <c r="G2507" s="588" t="s">
        <v>19</v>
      </c>
      <c r="H2507" s="589">
        <v>4.08</v>
      </c>
      <c r="V2507" s="1192">
        <v>69</v>
      </c>
    </row>
    <row r="2508" spans="1:22" s="1192" customFormat="1" ht="14.4" x14ac:dyDescent="0.3">
      <c r="A2508" s="1192" t="s">
        <v>600</v>
      </c>
      <c r="E2508" s="1741" t="s">
        <v>4608</v>
      </c>
      <c r="F2508" s="1741"/>
      <c r="G2508" s="1300" t="s">
        <v>19</v>
      </c>
      <c r="H2508" s="583">
        <v>2.04</v>
      </c>
      <c r="V2508" s="1192">
        <v>199</v>
      </c>
    </row>
    <row r="2509" spans="1:22" s="1192" customFormat="1" ht="17.399999999999999" x14ac:dyDescent="0.3">
      <c r="A2509" s="1192" t="s">
        <v>600</v>
      </c>
      <c r="E2509" s="1285" t="s">
        <v>143</v>
      </c>
      <c r="F2509" s="584"/>
      <c r="G2509" s="584"/>
      <c r="H2509" s="901"/>
      <c r="K2509" s="1192" t="s">
        <v>3024</v>
      </c>
      <c r="V2509" s="1192">
        <v>12</v>
      </c>
    </row>
    <row r="2510" spans="1:22" s="1192" customFormat="1" ht="14.4" x14ac:dyDescent="0.3">
      <c r="A2510" s="1192" t="s">
        <v>600</v>
      </c>
      <c r="E2510" s="2007" t="s">
        <v>2501</v>
      </c>
      <c r="F2510" s="2007"/>
      <c r="G2510" s="2007"/>
      <c r="H2510" s="2174"/>
      <c r="V2510" s="1192">
        <v>203</v>
      </c>
    </row>
    <row r="2511" spans="1:22" s="1192" customFormat="1" ht="14.4" x14ac:dyDescent="0.3">
      <c r="A2511" s="1192" t="s">
        <v>600</v>
      </c>
      <c r="E2511" s="2007" t="s">
        <v>2599</v>
      </c>
      <c r="F2511" s="2007"/>
      <c r="G2511" s="578"/>
      <c r="H2511" s="906">
        <v>1.0457000000000001</v>
      </c>
      <c r="V2511" s="1192">
        <v>57</v>
      </c>
    </row>
    <row r="2512" spans="1:22" s="1192" customFormat="1" ht="14.4" x14ac:dyDescent="0.3">
      <c r="A2512" s="1192" t="s">
        <v>600</v>
      </c>
      <c r="E2512" s="2007" t="s">
        <v>2601</v>
      </c>
      <c r="F2512" s="2007"/>
      <c r="G2512" s="578"/>
      <c r="H2512" s="906">
        <v>1.0351999999999999</v>
      </c>
      <c r="J2512" s="1192" t="s">
        <v>3025</v>
      </c>
      <c r="V2512" s="1192">
        <v>55</v>
      </c>
    </row>
    <row r="2513" spans="1:22" s="1192" customFormat="1" ht="22.8" x14ac:dyDescent="0.3">
      <c r="A2513" s="1192" t="s">
        <v>179</v>
      </c>
      <c r="C2513" s="1192" t="s">
        <v>2378</v>
      </c>
      <c r="E2513" s="1752" t="s">
        <v>179</v>
      </c>
      <c r="F2513" s="1752"/>
      <c r="G2513" s="1752"/>
      <c r="H2513" s="1752"/>
      <c r="I2513" s="1192" t="s">
        <v>603</v>
      </c>
      <c r="J2513" s="1192" t="s">
        <v>3623</v>
      </c>
      <c r="K2513" s="1192" t="s">
        <v>179</v>
      </c>
      <c r="M2513" s="1192">
        <v>7</v>
      </c>
      <c r="V2513" s="1192">
        <v>21</v>
      </c>
    </row>
    <row r="2514" spans="1:22" s="1192" customFormat="1" ht="17.399999999999999" x14ac:dyDescent="0.3">
      <c r="A2514" s="1192" t="s">
        <v>179</v>
      </c>
      <c r="C2514" s="1192" t="s">
        <v>2380</v>
      </c>
      <c r="E2514" s="1753" t="s">
        <v>2381</v>
      </c>
      <c r="F2514" s="1753"/>
      <c r="G2514" s="1753"/>
      <c r="H2514" s="1753"/>
      <c r="V2514" s="1192">
        <v>27</v>
      </c>
    </row>
    <row r="2515" spans="1:22" s="1192" customFormat="1" ht="15.6" x14ac:dyDescent="0.3">
      <c r="A2515" s="1192" t="s">
        <v>179</v>
      </c>
      <c r="C2515" s="1192" t="s">
        <v>2382</v>
      </c>
      <c r="E2515" s="1754" t="s">
        <v>5937</v>
      </c>
      <c r="F2515" s="1754"/>
      <c r="G2515" s="1754"/>
      <c r="H2515" s="1754"/>
      <c r="S2515" s="1192">
        <v>43831</v>
      </c>
      <c r="V2515" s="1192">
        <v>49</v>
      </c>
    </row>
    <row r="2516" spans="1:22" s="1192" customFormat="1" ht="14.4" x14ac:dyDescent="0.3">
      <c r="A2516" s="1192" t="s">
        <v>179</v>
      </c>
      <c r="C2516" s="1192" t="s">
        <v>2383</v>
      </c>
      <c r="E2516" s="1755" t="s">
        <v>2384</v>
      </c>
      <c r="F2516" s="1755"/>
      <c r="G2516" s="1755"/>
      <c r="H2516" s="1755"/>
      <c r="V2516" s="1192">
        <v>52</v>
      </c>
    </row>
    <row r="2517" spans="1:22" s="1192" customFormat="1" ht="14.4" x14ac:dyDescent="0.3">
      <c r="A2517" s="1192" t="s">
        <v>179</v>
      </c>
      <c r="E2517" s="1755" t="s">
        <v>2385</v>
      </c>
      <c r="F2517" s="1755"/>
      <c r="G2517" s="1755"/>
      <c r="H2517" s="1755"/>
      <c r="V2517" s="1192">
        <v>53</v>
      </c>
    </row>
    <row r="2518" spans="1:22" s="1192" customFormat="1" ht="14.4" x14ac:dyDescent="0.3">
      <c r="A2518" s="1192" t="s">
        <v>179</v>
      </c>
      <c r="E2518" s="1772" t="s">
        <v>6202</v>
      </c>
      <c r="F2518" s="1772"/>
      <c r="G2518" s="1772"/>
      <c r="H2518" s="1772"/>
      <c r="K2518" s="1192" t="s">
        <v>6202</v>
      </c>
      <c r="V2518" s="1192">
        <v>12</v>
      </c>
    </row>
    <row r="2519" spans="1:22" s="1192" customFormat="1" ht="14.4" x14ac:dyDescent="0.3">
      <c r="A2519" s="1192" t="s">
        <v>179</v>
      </c>
      <c r="E2519" s="1746" t="s">
        <v>427</v>
      </c>
      <c r="F2519" s="1743"/>
      <c r="G2519" s="1743"/>
      <c r="H2519" s="1743"/>
      <c r="K2519" s="1192" t="s">
        <v>2506</v>
      </c>
      <c r="V2519" s="1192">
        <v>34</v>
      </c>
    </row>
    <row r="2520" spans="1:22" s="1192" customFormat="1" ht="14.4" x14ac:dyDescent="0.3">
      <c r="A2520" s="1192" t="s">
        <v>179</v>
      </c>
      <c r="E2520" s="1743" t="s">
        <v>3624</v>
      </c>
      <c r="F2520" s="1743"/>
      <c r="G2520" s="1743"/>
      <c r="H2520" s="1743"/>
      <c r="K2520" s="1192" t="s">
        <v>2506</v>
      </c>
      <c r="V2520" s="1192">
        <v>620</v>
      </c>
    </row>
    <row r="2521" spans="1:22" s="1192" customFormat="1" ht="14.4" x14ac:dyDescent="0.3">
      <c r="A2521" s="1192" t="s">
        <v>179</v>
      </c>
      <c r="E2521" s="1750" t="s">
        <v>2389</v>
      </c>
      <c r="F2521" s="1743"/>
      <c r="G2521" s="1743"/>
      <c r="H2521" s="1743"/>
      <c r="K2521" s="1192" t="s">
        <v>2390</v>
      </c>
      <c r="V2521" s="1192">
        <v>11</v>
      </c>
    </row>
    <row r="2522" spans="1:22" s="1192" customFormat="1" ht="14.4" x14ac:dyDescent="0.3">
      <c r="A2522" s="1192" t="s">
        <v>179</v>
      </c>
      <c r="E2522" s="1743" t="s">
        <v>2391</v>
      </c>
      <c r="F2522" s="1743"/>
      <c r="G2522" s="1743"/>
      <c r="H2522" s="1743"/>
      <c r="K2522" s="1192" t="s">
        <v>2506</v>
      </c>
      <c r="V2522" s="1192">
        <v>280</v>
      </c>
    </row>
    <row r="2523" spans="1:22" s="1192" customFormat="1" ht="14.4" x14ac:dyDescent="0.3">
      <c r="A2523" s="1192" t="s">
        <v>179</v>
      </c>
      <c r="E2523" s="1743" t="s">
        <v>2392</v>
      </c>
      <c r="F2523" s="1743"/>
      <c r="G2523" s="1743"/>
      <c r="H2523" s="1743"/>
      <c r="K2523" s="1192" t="s">
        <v>2506</v>
      </c>
      <c r="V2523" s="1192">
        <v>411</v>
      </c>
    </row>
    <row r="2524" spans="1:22" s="1192" customFormat="1" ht="14.4" x14ac:dyDescent="0.3">
      <c r="A2524" s="1192" t="s">
        <v>179</v>
      </c>
      <c r="E2524" s="1743" t="s">
        <v>2393</v>
      </c>
      <c r="F2524" s="1743"/>
      <c r="G2524" s="1743"/>
      <c r="H2524" s="1743"/>
      <c r="K2524" s="1192" t="s">
        <v>2506</v>
      </c>
      <c r="V2524" s="1192">
        <v>387</v>
      </c>
    </row>
    <row r="2525" spans="1:22" s="1192" customFormat="1" ht="14.4" x14ac:dyDescent="0.3">
      <c r="A2525" s="1192" t="s">
        <v>179</v>
      </c>
      <c r="E2525" s="1743" t="s">
        <v>4500</v>
      </c>
      <c r="F2525" s="1743"/>
      <c r="G2525" s="1743"/>
      <c r="H2525" s="1743"/>
      <c r="K2525" s="1192" t="s">
        <v>2506</v>
      </c>
      <c r="V2525" s="1192">
        <v>247</v>
      </c>
    </row>
    <row r="2526" spans="1:22" s="1192" customFormat="1" ht="14.4" x14ac:dyDescent="0.3">
      <c r="A2526" s="1192" t="s">
        <v>179</v>
      </c>
      <c r="E2526" s="1750" t="s">
        <v>2394</v>
      </c>
      <c r="F2526" s="1743"/>
      <c r="G2526" s="1743"/>
      <c r="H2526" s="1743"/>
      <c r="K2526" s="1192" t="s">
        <v>2395</v>
      </c>
      <c r="V2526" s="1192">
        <v>46</v>
      </c>
    </row>
    <row r="2527" spans="1:22" s="1192" customFormat="1" ht="14.4" x14ac:dyDescent="0.3">
      <c r="A2527" s="1192" t="s">
        <v>179</v>
      </c>
      <c r="E2527" s="1741" t="s">
        <v>3697</v>
      </c>
      <c r="F2527" s="1741"/>
      <c r="G2527" s="1277" t="s">
        <v>19</v>
      </c>
      <c r="H2527" s="1218">
        <v>18.12</v>
      </c>
      <c r="K2527" s="1192" t="s">
        <v>2506</v>
      </c>
      <c r="L2527" s="1192" t="s">
        <v>430</v>
      </c>
      <c r="P2527" s="1192" t="s">
        <v>2510</v>
      </c>
      <c r="V2527" s="1192">
        <v>15</v>
      </c>
    </row>
    <row r="2528" spans="1:22" s="1192" customFormat="1" ht="14.4" x14ac:dyDescent="0.3">
      <c r="A2528" s="1192" t="s">
        <v>179</v>
      </c>
      <c r="E2528" s="1741" t="s">
        <v>3900</v>
      </c>
      <c r="F2528" s="1741"/>
      <c r="G2528" s="1277" t="s">
        <v>19</v>
      </c>
      <c r="H2528" s="1218">
        <v>0.56999999999999995</v>
      </c>
      <c r="K2528" s="1192" t="s">
        <v>2506</v>
      </c>
      <c r="L2528" s="1192" t="s">
        <v>431</v>
      </c>
      <c r="P2528" s="1192" t="s">
        <v>2511</v>
      </c>
      <c r="T2528" s="1192">
        <v>44926</v>
      </c>
      <c r="V2528" s="1192">
        <v>64</v>
      </c>
    </row>
    <row r="2529" spans="1:22" s="1192" customFormat="1" ht="14.4" x14ac:dyDescent="0.3">
      <c r="A2529" s="1192" t="s">
        <v>179</v>
      </c>
      <c r="E2529" s="1741" t="s">
        <v>14</v>
      </c>
      <c r="F2529" s="1741"/>
      <c r="G2529" s="1277" t="s">
        <v>20</v>
      </c>
      <c r="H2529" s="1219">
        <v>1.4E-3</v>
      </c>
      <c r="K2529" s="1192" t="s">
        <v>2506</v>
      </c>
      <c r="L2529" s="1192" t="s">
        <v>431</v>
      </c>
      <c r="P2529" s="1192" t="s">
        <v>2513</v>
      </c>
      <c r="V2529" s="1192">
        <v>24</v>
      </c>
    </row>
    <row r="2530" spans="1:22" s="1192" customFormat="1" ht="14.4" x14ac:dyDescent="0.3">
      <c r="A2530" s="1192" t="s">
        <v>179</v>
      </c>
      <c r="E2530" s="1741" t="s">
        <v>6203</v>
      </c>
      <c r="F2530" s="1998"/>
      <c r="G2530" s="1277" t="s">
        <v>20</v>
      </c>
      <c r="H2530" s="1219">
        <v>-1.1000000000000001E-3</v>
      </c>
      <c r="K2530" s="1192" t="s">
        <v>2506</v>
      </c>
      <c r="L2530" s="1192" t="s">
        <v>431</v>
      </c>
      <c r="P2530" s="1192" t="s">
        <v>2516</v>
      </c>
      <c r="T2530" s="1192">
        <v>44196</v>
      </c>
      <c r="V2530" s="1192">
        <v>134</v>
      </c>
    </row>
    <row r="2531" spans="1:22" s="1192" customFormat="1" ht="14.4" x14ac:dyDescent="0.3">
      <c r="A2531" s="1192" t="s">
        <v>179</v>
      </c>
      <c r="E2531" s="1741" t="s">
        <v>213</v>
      </c>
      <c r="F2531" s="1741"/>
      <c r="G2531" s="1277" t="s">
        <v>20</v>
      </c>
      <c r="H2531" s="1219">
        <v>7.0000000000000001E-3</v>
      </c>
      <c r="K2531" s="1192" t="s">
        <v>2506</v>
      </c>
      <c r="L2531" s="1192" t="s">
        <v>432</v>
      </c>
      <c r="P2531" s="1192" t="s">
        <v>2517</v>
      </c>
      <c r="V2531" s="1192">
        <v>47</v>
      </c>
    </row>
    <row r="2532" spans="1:22" s="1192" customFormat="1" ht="14.4" x14ac:dyDescent="0.3">
      <c r="A2532" s="1192" t="s">
        <v>179</v>
      </c>
      <c r="E2532" s="1741" t="s">
        <v>209</v>
      </c>
      <c r="F2532" s="1741"/>
      <c r="G2532" s="1277" t="s">
        <v>20</v>
      </c>
      <c r="H2532" s="1219">
        <v>3.8999999999999998E-3</v>
      </c>
      <c r="K2532" s="1192" t="s">
        <v>2506</v>
      </c>
      <c r="L2532" s="1192" t="s">
        <v>432</v>
      </c>
      <c r="P2532" s="1192" t="s">
        <v>2518</v>
      </c>
      <c r="V2532" s="1192">
        <v>74</v>
      </c>
    </row>
    <row r="2533" spans="1:22" s="1192" customFormat="1" ht="14.4" x14ac:dyDescent="0.3">
      <c r="A2533" s="1192" t="s">
        <v>179</v>
      </c>
      <c r="E2533" s="1750" t="s">
        <v>2405</v>
      </c>
      <c r="F2533" s="1741"/>
      <c r="G2533" s="1277"/>
      <c r="H2533" s="896"/>
      <c r="K2533" s="1192" t="s">
        <v>2406</v>
      </c>
      <c r="V2533" s="1192">
        <v>48</v>
      </c>
    </row>
    <row r="2534" spans="1:22" s="1192" customFormat="1" ht="14.4" x14ac:dyDescent="0.3">
      <c r="A2534" s="1192" t="s">
        <v>179</v>
      </c>
      <c r="E2534" s="1741" t="s">
        <v>2033</v>
      </c>
      <c r="F2534" s="1741"/>
      <c r="G2534" s="524" t="s">
        <v>20</v>
      </c>
      <c r="H2534" s="1219">
        <v>3.0000000000000001E-3</v>
      </c>
      <c r="K2534" s="1192" t="s">
        <v>2506</v>
      </c>
      <c r="L2534" s="1192" t="s">
        <v>2374</v>
      </c>
      <c r="P2534" s="1192" t="s">
        <v>2519</v>
      </c>
      <c r="V2534" s="1192">
        <v>55</v>
      </c>
    </row>
    <row r="2535" spans="1:22" s="1192" customFormat="1" ht="14.4" x14ac:dyDescent="0.3">
      <c r="A2535" s="1192" t="s">
        <v>179</v>
      </c>
      <c r="E2535" s="1741" t="s">
        <v>2034</v>
      </c>
      <c r="F2535" s="1741"/>
      <c r="G2535" s="524" t="s">
        <v>20</v>
      </c>
      <c r="H2535" s="1219">
        <v>4.0000000000000002E-4</v>
      </c>
      <c r="K2535" s="1192" t="s">
        <v>2506</v>
      </c>
      <c r="L2535" s="1192" t="s">
        <v>2374</v>
      </c>
      <c r="P2535" s="1192" t="s">
        <v>2519</v>
      </c>
      <c r="V2535" s="1192">
        <v>65</v>
      </c>
    </row>
    <row r="2536" spans="1:22" s="1192" customFormat="1" ht="14.4" x14ac:dyDescent="0.3">
      <c r="A2536" s="1192" t="s">
        <v>179</v>
      </c>
      <c r="E2536" s="1741" t="s">
        <v>428</v>
      </c>
      <c r="F2536" s="1741"/>
      <c r="G2536" s="524" t="s">
        <v>20</v>
      </c>
      <c r="H2536" s="1219">
        <v>5.0000000000000001E-4</v>
      </c>
      <c r="K2536" s="1192" t="s">
        <v>2506</v>
      </c>
      <c r="L2536" s="1192" t="s">
        <v>2374</v>
      </c>
      <c r="P2536" s="1192" t="s">
        <v>2520</v>
      </c>
      <c r="V2536" s="1192">
        <v>57</v>
      </c>
    </row>
    <row r="2537" spans="1:22" s="1192" customFormat="1" ht="14.4" x14ac:dyDescent="0.3">
      <c r="A2537" s="1192" t="s">
        <v>179</v>
      </c>
      <c r="E2537" s="1741" t="s">
        <v>28</v>
      </c>
      <c r="F2537" s="1741"/>
      <c r="G2537" s="524" t="s">
        <v>19</v>
      </c>
      <c r="H2537" s="1218">
        <v>0.25</v>
      </c>
      <c r="K2537" s="1192" t="s">
        <v>2506</v>
      </c>
      <c r="L2537" s="1192" t="s">
        <v>2374</v>
      </c>
      <c r="P2537" s="1192" t="s">
        <v>2521</v>
      </c>
      <c r="V2537" s="1192">
        <v>63</v>
      </c>
    </row>
    <row r="2538" spans="1:22" s="1192" customFormat="1" ht="17.399999999999999" x14ac:dyDescent="0.3">
      <c r="A2538" s="1192" t="s">
        <v>179</v>
      </c>
      <c r="E2538" s="1746" t="s">
        <v>2522</v>
      </c>
      <c r="F2538" s="1747"/>
      <c r="G2538" s="1747"/>
      <c r="H2538" s="1747"/>
      <c r="K2538" s="1192" t="s">
        <v>3901</v>
      </c>
      <c r="V2538" s="1192">
        <v>54</v>
      </c>
    </row>
    <row r="2539" spans="1:22" s="1192" customFormat="1" ht="14.4" x14ac:dyDescent="0.3">
      <c r="A2539" s="1192" t="s">
        <v>179</v>
      </c>
      <c r="E2539" s="1743" t="s">
        <v>3250</v>
      </c>
      <c r="F2539" s="1743"/>
      <c r="G2539" s="1743"/>
      <c r="H2539" s="1743"/>
      <c r="K2539" s="1192" t="s">
        <v>3901</v>
      </c>
      <c r="V2539" s="1192">
        <v>402</v>
      </c>
    </row>
    <row r="2540" spans="1:22" s="1192" customFormat="1" ht="14.4" x14ac:dyDescent="0.3">
      <c r="A2540" s="1192" t="s">
        <v>179</v>
      </c>
      <c r="E2540" s="1750" t="s">
        <v>2389</v>
      </c>
      <c r="F2540" s="1743"/>
      <c r="G2540" s="1743"/>
      <c r="H2540" s="1743"/>
      <c r="K2540" s="1192" t="s">
        <v>2412</v>
      </c>
      <c r="V2540" s="1192">
        <v>11</v>
      </c>
    </row>
    <row r="2541" spans="1:22" s="1192" customFormat="1" ht="14.4" x14ac:dyDescent="0.3">
      <c r="A2541" s="1192" t="s">
        <v>179</v>
      </c>
      <c r="E2541" s="1743" t="s">
        <v>2391</v>
      </c>
      <c r="F2541" s="1743"/>
      <c r="G2541" s="1743"/>
      <c r="H2541" s="1743"/>
      <c r="K2541" s="1192" t="s">
        <v>3901</v>
      </c>
      <c r="V2541" s="1192">
        <v>280</v>
      </c>
    </row>
    <row r="2542" spans="1:22" s="1192" customFormat="1" ht="14.4" x14ac:dyDescent="0.3">
      <c r="A2542" s="1192" t="s">
        <v>179</v>
      </c>
      <c r="E2542" s="1743" t="s">
        <v>2392</v>
      </c>
      <c r="F2542" s="1743"/>
      <c r="G2542" s="1743"/>
      <c r="H2542" s="1743"/>
      <c r="K2542" s="1192" t="s">
        <v>3901</v>
      </c>
      <c r="V2542" s="1192">
        <v>411</v>
      </c>
    </row>
    <row r="2543" spans="1:22" s="1192" customFormat="1" ht="14.4" x14ac:dyDescent="0.3">
      <c r="A2543" s="1192" t="s">
        <v>179</v>
      </c>
      <c r="E2543" s="1743" t="s">
        <v>2393</v>
      </c>
      <c r="F2543" s="1743"/>
      <c r="G2543" s="1743"/>
      <c r="H2543" s="1743"/>
      <c r="K2543" s="1192" t="s">
        <v>3901</v>
      </c>
      <c r="V2543" s="1192">
        <v>387</v>
      </c>
    </row>
    <row r="2544" spans="1:22" s="1192" customFormat="1" ht="14.4" x14ac:dyDescent="0.3">
      <c r="A2544" s="1192" t="s">
        <v>179</v>
      </c>
      <c r="E2544" s="1743" t="s">
        <v>4500</v>
      </c>
      <c r="F2544" s="1743"/>
      <c r="G2544" s="1743"/>
      <c r="H2544" s="1743"/>
      <c r="K2544" s="1192" t="s">
        <v>3901</v>
      </c>
      <c r="V2544" s="1192">
        <v>247</v>
      </c>
    </row>
    <row r="2545" spans="1:22" s="1192" customFormat="1" ht="14.4" x14ac:dyDescent="0.3">
      <c r="A2545" s="1192" t="s">
        <v>179</v>
      </c>
      <c r="E2545" s="1750" t="s">
        <v>2394</v>
      </c>
      <c r="F2545" s="1743"/>
      <c r="G2545" s="1743"/>
      <c r="H2545" s="1743"/>
      <c r="K2545" s="1192" t="s">
        <v>2413</v>
      </c>
      <c r="V2545" s="1192">
        <v>46</v>
      </c>
    </row>
    <row r="2546" spans="1:22" s="1192" customFormat="1" ht="14.4" x14ac:dyDescent="0.3">
      <c r="A2546" s="1192" t="s">
        <v>179</v>
      </c>
      <c r="E2546" s="1741" t="s">
        <v>3697</v>
      </c>
      <c r="F2546" s="1741"/>
      <c r="G2546" s="1277" t="s">
        <v>19</v>
      </c>
      <c r="H2546" s="1218">
        <v>16.010000000000002</v>
      </c>
      <c r="K2546" s="1192" t="s">
        <v>3901</v>
      </c>
      <c r="L2546" s="1192" t="s">
        <v>430</v>
      </c>
      <c r="P2546" s="1192" t="s">
        <v>3902</v>
      </c>
      <c r="V2546" s="1192">
        <v>15</v>
      </c>
    </row>
    <row r="2547" spans="1:22" s="1192" customFormat="1" ht="14.4" x14ac:dyDescent="0.3">
      <c r="A2547" s="1192" t="s">
        <v>179</v>
      </c>
      <c r="E2547" s="1741" t="s">
        <v>3900</v>
      </c>
      <c r="F2547" s="1741"/>
      <c r="G2547" s="1277" t="s">
        <v>19</v>
      </c>
      <c r="H2547" s="1218">
        <v>0.56999999999999995</v>
      </c>
      <c r="K2547" s="1192" t="s">
        <v>3901</v>
      </c>
      <c r="L2547" s="1192" t="s">
        <v>431</v>
      </c>
      <c r="P2547" s="1192" t="s">
        <v>3903</v>
      </c>
      <c r="T2547" s="1192">
        <v>44926</v>
      </c>
      <c r="V2547" s="1192">
        <v>64</v>
      </c>
    </row>
    <row r="2548" spans="1:22" s="1192" customFormat="1" ht="14.4" x14ac:dyDescent="0.3">
      <c r="A2548" s="1192" t="s">
        <v>179</v>
      </c>
      <c r="E2548" s="1741" t="s">
        <v>2426</v>
      </c>
      <c r="F2548" s="1741"/>
      <c r="G2548" s="1277" t="s">
        <v>20</v>
      </c>
      <c r="H2548" s="1219">
        <v>7.3000000000000001E-3</v>
      </c>
      <c r="K2548" s="1192" t="s">
        <v>3901</v>
      </c>
      <c r="L2548" s="1192" t="s">
        <v>430</v>
      </c>
      <c r="P2548" s="1192" t="s">
        <v>3904</v>
      </c>
      <c r="V2548" s="1192">
        <v>29</v>
      </c>
    </row>
    <row r="2549" spans="1:22" s="1192" customFormat="1" ht="14.4" x14ac:dyDescent="0.3">
      <c r="A2549" s="1192" t="s">
        <v>179</v>
      </c>
      <c r="E2549" s="1741" t="s">
        <v>14</v>
      </c>
      <c r="F2549" s="1741"/>
      <c r="G2549" s="1277" t="s">
        <v>20</v>
      </c>
      <c r="H2549" s="1219">
        <v>1.2999999999999999E-3</v>
      </c>
      <c r="K2549" s="1192" t="s">
        <v>3901</v>
      </c>
      <c r="L2549" s="1192" t="s">
        <v>431</v>
      </c>
      <c r="P2549" s="1192" t="s">
        <v>3905</v>
      </c>
      <c r="V2549" s="1192">
        <v>24</v>
      </c>
    </row>
    <row r="2550" spans="1:22" s="1192" customFormat="1" ht="14.4" x14ac:dyDescent="0.3">
      <c r="A2550" s="1192" t="s">
        <v>179</v>
      </c>
      <c r="E2550" s="1741" t="s">
        <v>6204</v>
      </c>
      <c r="F2550" s="1998"/>
      <c r="G2550" s="1277" t="s">
        <v>20</v>
      </c>
      <c r="H2550" s="1219">
        <v>-1.1000000000000001E-3</v>
      </c>
      <c r="K2550" s="1192" t="s">
        <v>3901</v>
      </c>
      <c r="L2550" s="1192" t="s">
        <v>431</v>
      </c>
      <c r="P2550" s="1192" t="s">
        <v>3911</v>
      </c>
      <c r="T2550" s="1192">
        <v>44196</v>
      </c>
      <c r="V2550" s="1192">
        <v>133</v>
      </c>
    </row>
    <row r="2551" spans="1:22" s="1192" customFormat="1" ht="14.4" x14ac:dyDescent="0.3">
      <c r="A2551" s="1192" t="s">
        <v>179</v>
      </c>
      <c r="E2551" s="1741" t="s">
        <v>213</v>
      </c>
      <c r="F2551" s="1741"/>
      <c r="G2551" s="1277" t="s">
        <v>20</v>
      </c>
      <c r="H2551" s="1219">
        <v>6.4000000000000003E-3</v>
      </c>
      <c r="K2551" s="1192" t="s">
        <v>3901</v>
      </c>
      <c r="L2551" s="1192" t="s">
        <v>432</v>
      </c>
      <c r="P2551" s="1192" t="s">
        <v>3906</v>
      </c>
      <c r="V2551" s="1192">
        <v>47</v>
      </c>
    </row>
    <row r="2552" spans="1:22" s="1192" customFormat="1" ht="14.4" x14ac:dyDescent="0.3">
      <c r="A2552" s="1192" t="s">
        <v>179</v>
      </c>
      <c r="E2552" s="1741" t="s">
        <v>209</v>
      </c>
      <c r="F2552" s="1741"/>
      <c r="G2552" s="1277" t="s">
        <v>20</v>
      </c>
      <c r="H2552" s="1219">
        <v>3.3999999999999998E-3</v>
      </c>
      <c r="K2552" s="1192" t="s">
        <v>3901</v>
      </c>
      <c r="L2552" s="1192" t="s">
        <v>432</v>
      </c>
      <c r="P2552" s="1192" t="s">
        <v>3907</v>
      </c>
      <c r="V2552" s="1192">
        <v>74</v>
      </c>
    </row>
    <row r="2553" spans="1:22" s="1192" customFormat="1" ht="14.4" x14ac:dyDescent="0.3">
      <c r="A2553" s="1192" t="s">
        <v>179</v>
      </c>
      <c r="E2553" s="1750" t="s">
        <v>2405</v>
      </c>
      <c r="F2553" s="1741"/>
      <c r="G2553" s="1277"/>
      <c r="H2553" s="896"/>
      <c r="K2553" s="1192" t="s">
        <v>2418</v>
      </c>
      <c r="V2553" s="1192">
        <v>48</v>
      </c>
    </row>
    <row r="2554" spans="1:22" s="1192" customFormat="1" ht="14.4" x14ac:dyDescent="0.3">
      <c r="A2554" s="1192" t="s">
        <v>179</v>
      </c>
      <c r="E2554" s="1741" t="s">
        <v>2033</v>
      </c>
      <c r="F2554" s="1741"/>
      <c r="G2554" s="1277" t="s">
        <v>20</v>
      </c>
      <c r="H2554" s="1219">
        <v>3.0000000000000001E-3</v>
      </c>
      <c r="K2554" s="1192" t="s">
        <v>3901</v>
      </c>
      <c r="L2554" s="1192" t="s">
        <v>2374</v>
      </c>
      <c r="P2554" s="1192" t="s">
        <v>3908</v>
      </c>
      <c r="V2554" s="1192">
        <v>55</v>
      </c>
    </row>
    <row r="2555" spans="1:22" s="1192" customFormat="1" ht="14.4" x14ac:dyDescent="0.3">
      <c r="A2555" s="1192" t="s">
        <v>179</v>
      </c>
      <c r="E2555" s="1741" t="s">
        <v>2034</v>
      </c>
      <c r="F2555" s="1741"/>
      <c r="G2555" s="1277" t="s">
        <v>20</v>
      </c>
      <c r="H2555" s="1219">
        <v>4.0000000000000002E-4</v>
      </c>
      <c r="K2555" s="1192" t="s">
        <v>3901</v>
      </c>
      <c r="L2555" s="1192" t="s">
        <v>2374</v>
      </c>
      <c r="P2555" s="1192" t="s">
        <v>3908</v>
      </c>
      <c r="V2555" s="1192">
        <v>65</v>
      </c>
    </row>
    <row r="2556" spans="1:22" s="1192" customFormat="1" ht="14.4" x14ac:dyDescent="0.3">
      <c r="A2556" s="1192" t="s">
        <v>179</v>
      </c>
      <c r="E2556" s="1741" t="s">
        <v>428</v>
      </c>
      <c r="F2556" s="1741"/>
      <c r="G2556" s="1277" t="s">
        <v>20</v>
      </c>
      <c r="H2556" s="1219">
        <v>5.0000000000000001E-4</v>
      </c>
      <c r="K2556" s="1192" t="s">
        <v>3901</v>
      </c>
      <c r="L2556" s="1192" t="s">
        <v>2374</v>
      </c>
      <c r="P2556" s="1192" t="s">
        <v>3909</v>
      </c>
      <c r="V2556" s="1192">
        <v>57</v>
      </c>
    </row>
    <row r="2557" spans="1:22" s="1192" customFormat="1" ht="14.4" x14ac:dyDescent="0.3">
      <c r="A2557" s="1192" t="s">
        <v>179</v>
      </c>
      <c r="E2557" s="1741" t="s">
        <v>28</v>
      </c>
      <c r="F2557" s="1741"/>
      <c r="G2557" s="1277" t="s">
        <v>19</v>
      </c>
      <c r="H2557" s="1218">
        <v>0.25</v>
      </c>
      <c r="K2557" s="1192" t="s">
        <v>3901</v>
      </c>
      <c r="L2557" s="1192" t="s">
        <v>2374</v>
      </c>
      <c r="P2557" s="1192" t="s">
        <v>3910</v>
      </c>
      <c r="V2557" s="1192">
        <v>63</v>
      </c>
    </row>
    <row r="2558" spans="1:22" s="1192" customFormat="1" ht="17.399999999999999" x14ac:dyDescent="0.3">
      <c r="A2558" s="1192" t="s">
        <v>179</v>
      </c>
      <c r="E2558" s="1746" t="s">
        <v>591</v>
      </c>
      <c r="F2558" s="1747"/>
      <c r="G2558" s="1747"/>
      <c r="H2558" s="1747"/>
      <c r="K2558" s="1192" t="s">
        <v>4388</v>
      </c>
      <c r="V2558" s="1192">
        <v>53</v>
      </c>
    </row>
    <row r="2559" spans="1:22" s="1192" customFormat="1" ht="14.4" x14ac:dyDescent="0.3">
      <c r="A2559" s="1192" t="s">
        <v>179</v>
      </c>
      <c r="E2559" s="1743" t="s">
        <v>4553</v>
      </c>
      <c r="F2559" s="1743"/>
      <c r="G2559" s="1743"/>
      <c r="H2559" s="1743"/>
      <c r="K2559" s="1192" t="s">
        <v>4388</v>
      </c>
      <c r="V2559" s="1192">
        <v>850</v>
      </c>
    </row>
    <row r="2560" spans="1:22" s="1192" customFormat="1" ht="14.4" x14ac:dyDescent="0.3">
      <c r="A2560" s="1192" t="s">
        <v>179</v>
      </c>
      <c r="E2560" s="1750" t="s">
        <v>2389</v>
      </c>
      <c r="F2560" s="1743"/>
      <c r="G2560" s="1743"/>
      <c r="H2560" s="1743"/>
      <c r="K2560" s="1192" t="s">
        <v>2422</v>
      </c>
      <c r="V2560" s="1192">
        <v>11</v>
      </c>
    </row>
    <row r="2561" spans="1:22" s="1192" customFormat="1" ht="14.4" x14ac:dyDescent="0.3">
      <c r="A2561" s="1192" t="s">
        <v>179</v>
      </c>
      <c r="E2561" s="1743" t="s">
        <v>2391</v>
      </c>
      <c r="F2561" s="1743"/>
      <c r="G2561" s="1743"/>
      <c r="H2561" s="1743"/>
      <c r="K2561" s="1192" t="s">
        <v>4388</v>
      </c>
      <c r="V2561" s="1192">
        <v>280</v>
      </c>
    </row>
    <row r="2562" spans="1:22" s="1192" customFormat="1" ht="14.4" x14ac:dyDescent="0.3">
      <c r="A2562" s="1192" t="s">
        <v>179</v>
      </c>
      <c r="E2562" s="1743" t="s">
        <v>2392</v>
      </c>
      <c r="F2562" s="1743"/>
      <c r="G2562" s="1743"/>
      <c r="H2562" s="1743"/>
      <c r="K2562" s="1192" t="s">
        <v>4388</v>
      </c>
      <c r="V2562" s="1192">
        <v>411</v>
      </c>
    </row>
    <row r="2563" spans="1:22" s="1192" customFormat="1" ht="14.4" x14ac:dyDescent="0.3">
      <c r="A2563" s="1192" t="s">
        <v>179</v>
      </c>
      <c r="E2563" s="1743" t="s">
        <v>3486</v>
      </c>
      <c r="F2563" s="1743"/>
      <c r="G2563" s="1743"/>
      <c r="H2563" s="1743"/>
      <c r="K2563" s="1192" t="s">
        <v>4388</v>
      </c>
      <c r="V2563" s="1192">
        <v>385</v>
      </c>
    </row>
    <row r="2564" spans="1:22" s="1192" customFormat="1" ht="14.4" x14ac:dyDescent="0.3">
      <c r="A2564" s="1192" t="s">
        <v>179</v>
      </c>
      <c r="E2564" s="1743" t="s">
        <v>4503</v>
      </c>
      <c r="F2564" s="1743"/>
      <c r="G2564" s="1743"/>
      <c r="H2564" s="1743"/>
      <c r="K2564" s="1192" t="s">
        <v>4388</v>
      </c>
      <c r="V2564" s="1192">
        <v>677</v>
      </c>
    </row>
    <row r="2565" spans="1:22" s="1192" customFormat="1" ht="14.4" x14ac:dyDescent="0.3">
      <c r="A2565" s="1192" t="s">
        <v>179</v>
      </c>
      <c r="E2565" s="1743" t="s">
        <v>4644</v>
      </c>
      <c r="F2565" s="1743"/>
      <c r="G2565" s="1743"/>
      <c r="H2565" s="1743"/>
      <c r="K2565" s="1192" t="s">
        <v>4388</v>
      </c>
      <c r="V2565" s="1192">
        <v>693</v>
      </c>
    </row>
    <row r="2566" spans="1:22" s="1192" customFormat="1" ht="14.4" x14ac:dyDescent="0.3">
      <c r="A2566" s="1192" t="s">
        <v>179</v>
      </c>
      <c r="E2566" s="1743" t="s">
        <v>4500</v>
      </c>
      <c r="F2566" s="1743"/>
      <c r="G2566" s="1743"/>
      <c r="H2566" s="1743"/>
      <c r="K2566" s="1192" t="s">
        <v>4388</v>
      </c>
      <c r="V2566" s="1192">
        <v>247</v>
      </c>
    </row>
    <row r="2567" spans="1:22" s="1192" customFormat="1" ht="14.4" x14ac:dyDescent="0.3">
      <c r="A2567" s="1192" t="s">
        <v>179</v>
      </c>
      <c r="E2567" s="1750" t="s">
        <v>2394</v>
      </c>
      <c r="F2567" s="1743"/>
      <c r="G2567" s="1743"/>
      <c r="H2567" s="1743"/>
      <c r="K2567" s="1192" t="s">
        <v>2423</v>
      </c>
      <c r="V2567" s="1192">
        <v>46</v>
      </c>
    </row>
    <row r="2568" spans="1:22" s="1192" customFormat="1" ht="14.4" x14ac:dyDescent="0.3">
      <c r="A2568" s="1192" t="s">
        <v>179</v>
      </c>
      <c r="E2568" s="1741" t="s">
        <v>7</v>
      </c>
      <c r="F2568" s="1741"/>
      <c r="G2568" s="1277" t="s">
        <v>19</v>
      </c>
      <c r="H2568" s="1218">
        <v>104.55</v>
      </c>
      <c r="K2568" s="1192" t="s">
        <v>4388</v>
      </c>
      <c r="L2568" s="1192" t="s">
        <v>430</v>
      </c>
      <c r="P2568" s="1192" t="s">
        <v>4389</v>
      </c>
      <c r="V2568" s="1192">
        <v>14</v>
      </c>
    </row>
    <row r="2569" spans="1:22" s="1192" customFormat="1" ht="14.4" x14ac:dyDescent="0.3">
      <c r="A2569" s="1192" t="s">
        <v>179</v>
      </c>
      <c r="E2569" s="1741" t="s">
        <v>2426</v>
      </c>
      <c r="F2569" s="1741"/>
      <c r="G2569" s="1277" t="s">
        <v>29</v>
      </c>
      <c r="H2569" s="1219">
        <v>2.1764999999999999</v>
      </c>
      <c r="K2569" s="1192" t="s">
        <v>4388</v>
      </c>
      <c r="L2569" s="1192" t="s">
        <v>430</v>
      </c>
      <c r="P2569" s="1192" t="s">
        <v>4390</v>
      </c>
      <c r="V2569" s="1192">
        <v>29</v>
      </c>
    </row>
    <row r="2570" spans="1:22" s="1192" customFormat="1" ht="14.4" x14ac:dyDescent="0.3">
      <c r="A2570" s="1192" t="s">
        <v>179</v>
      </c>
      <c r="E2570" s="1741" t="s">
        <v>14</v>
      </c>
      <c r="F2570" s="1741"/>
      <c r="G2570" s="1277" t="s">
        <v>29</v>
      </c>
      <c r="H2570" s="1219">
        <v>0.51839999999999997</v>
      </c>
      <c r="K2570" s="1192" t="s">
        <v>4388</v>
      </c>
      <c r="L2570" s="1192" t="s">
        <v>431</v>
      </c>
      <c r="P2570" s="1192" t="s">
        <v>4391</v>
      </c>
      <c r="V2570" s="1192">
        <v>24</v>
      </c>
    </row>
    <row r="2571" spans="1:22" s="1192" customFormat="1" ht="14.4" x14ac:dyDescent="0.3">
      <c r="A2571" s="1192" t="s">
        <v>179</v>
      </c>
      <c r="E2571" s="1741" t="s">
        <v>6203</v>
      </c>
      <c r="F2571" s="1998"/>
      <c r="G2571" s="1277" t="s">
        <v>29</v>
      </c>
      <c r="H2571" s="1219">
        <v>-0.42620000000000002</v>
      </c>
      <c r="K2571" s="1192" t="s">
        <v>4388</v>
      </c>
      <c r="L2571" s="1192" t="s">
        <v>431</v>
      </c>
      <c r="P2571" s="1192" t="s">
        <v>4398</v>
      </c>
      <c r="T2571" s="1192">
        <v>44196</v>
      </c>
      <c r="V2571" s="1192">
        <v>134</v>
      </c>
    </row>
    <row r="2572" spans="1:22" s="1192" customFormat="1" ht="14.4" x14ac:dyDescent="0.3">
      <c r="A2572" s="1192" t="s">
        <v>179</v>
      </c>
      <c r="E2572" s="1741" t="s">
        <v>213</v>
      </c>
      <c r="F2572" s="1741"/>
      <c r="G2572" s="1277" t="s">
        <v>29</v>
      </c>
      <c r="H2572" s="1219">
        <v>2.6427999999999998</v>
      </c>
      <c r="K2572" s="1192" t="s">
        <v>4388</v>
      </c>
      <c r="L2572" s="1192" t="s">
        <v>432</v>
      </c>
      <c r="P2572" s="1192" t="s">
        <v>4392</v>
      </c>
      <c r="V2572" s="1192">
        <v>47</v>
      </c>
    </row>
    <row r="2573" spans="1:22" s="1192" customFormat="1" ht="14.4" x14ac:dyDescent="0.3">
      <c r="A2573" s="1192" t="s">
        <v>179</v>
      </c>
      <c r="E2573" s="1741" t="s">
        <v>209</v>
      </c>
      <c r="F2573" s="1741"/>
      <c r="G2573" s="1277" t="s">
        <v>29</v>
      </c>
      <c r="H2573" s="1219">
        <v>1.3938999999999999</v>
      </c>
      <c r="K2573" s="1192" t="s">
        <v>4388</v>
      </c>
      <c r="L2573" s="1192" t="s">
        <v>432</v>
      </c>
      <c r="P2573" s="1192" t="s">
        <v>4393</v>
      </c>
      <c r="V2573" s="1192">
        <v>74</v>
      </c>
    </row>
    <row r="2574" spans="1:22" s="1192" customFormat="1" ht="14.4" x14ac:dyDescent="0.3">
      <c r="A2574" s="1192" t="s">
        <v>179</v>
      </c>
      <c r="E2574" s="1750" t="s">
        <v>2405</v>
      </c>
      <c r="F2574" s="1741"/>
      <c r="G2574" s="1277"/>
      <c r="H2574" s="896"/>
      <c r="K2574" s="1192" t="s">
        <v>2526</v>
      </c>
      <c r="V2574" s="1192">
        <v>48</v>
      </c>
    </row>
    <row r="2575" spans="1:22" s="1192" customFormat="1" ht="14.4" x14ac:dyDescent="0.3">
      <c r="A2575" s="1192" t="s">
        <v>179</v>
      </c>
      <c r="E2575" s="1741" t="s">
        <v>2033</v>
      </c>
      <c r="F2575" s="1741"/>
      <c r="G2575" s="524" t="s">
        <v>20</v>
      </c>
      <c r="H2575" s="1219">
        <v>3.0000000000000001E-3</v>
      </c>
      <c r="K2575" s="1192" t="s">
        <v>4388</v>
      </c>
      <c r="L2575" s="1192" t="s">
        <v>2374</v>
      </c>
      <c r="P2575" s="1192" t="s">
        <v>4394</v>
      </c>
      <c r="V2575" s="1192">
        <v>55</v>
      </c>
    </row>
    <row r="2576" spans="1:22" s="1192" customFormat="1" ht="14.4" x14ac:dyDescent="0.3">
      <c r="A2576" s="1192" t="s">
        <v>179</v>
      </c>
      <c r="E2576" s="1741" t="s">
        <v>2034</v>
      </c>
      <c r="F2576" s="1741"/>
      <c r="G2576" s="524" t="s">
        <v>20</v>
      </c>
      <c r="H2576" s="1219">
        <v>4.0000000000000002E-4</v>
      </c>
      <c r="K2576" s="1192" t="s">
        <v>4388</v>
      </c>
      <c r="L2576" s="1192" t="s">
        <v>2374</v>
      </c>
      <c r="P2576" s="1192" t="s">
        <v>4394</v>
      </c>
      <c r="V2576" s="1192">
        <v>65</v>
      </c>
    </row>
    <row r="2577" spans="1:22" s="1192" customFormat="1" ht="14.4" x14ac:dyDescent="0.3">
      <c r="A2577" s="1192" t="s">
        <v>179</v>
      </c>
      <c r="E2577" s="1741" t="s">
        <v>428</v>
      </c>
      <c r="F2577" s="1741"/>
      <c r="G2577" s="524" t="s">
        <v>20</v>
      </c>
      <c r="H2577" s="1219">
        <v>5.0000000000000001E-4</v>
      </c>
      <c r="K2577" s="1192" t="s">
        <v>4388</v>
      </c>
      <c r="L2577" s="1192" t="s">
        <v>2374</v>
      </c>
      <c r="P2577" s="1192" t="s">
        <v>4395</v>
      </c>
      <c r="V2577" s="1192">
        <v>57</v>
      </c>
    </row>
    <row r="2578" spans="1:22" s="1192" customFormat="1" ht="14.4" x14ac:dyDescent="0.3">
      <c r="A2578" s="1192" t="s">
        <v>179</v>
      </c>
      <c r="E2578" s="1741" t="s">
        <v>28</v>
      </c>
      <c r="F2578" s="1741"/>
      <c r="G2578" s="524" t="s">
        <v>19</v>
      </c>
      <c r="H2578" s="1218">
        <v>0.25</v>
      </c>
      <c r="K2578" s="1192" t="s">
        <v>4388</v>
      </c>
      <c r="L2578" s="1192" t="s">
        <v>2374</v>
      </c>
      <c r="P2578" s="1192" t="s">
        <v>4396</v>
      </c>
      <c r="V2578" s="1192">
        <v>63</v>
      </c>
    </row>
    <row r="2579" spans="1:22" s="1192" customFormat="1" ht="17.399999999999999" x14ac:dyDescent="0.3">
      <c r="A2579" s="1192" t="s">
        <v>179</v>
      </c>
      <c r="E2579" s="1746" t="s">
        <v>592</v>
      </c>
      <c r="F2579" s="1747"/>
      <c r="G2579" s="1747"/>
      <c r="H2579" s="1747"/>
      <c r="K2579" s="1192" t="s">
        <v>2676</v>
      </c>
      <c r="V2579" s="1192">
        <v>47</v>
      </c>
    </row>
    <row r="2580" spans="1:22" s="1192" customFormat="1" ht="14.4" x14ac:dyDescent="0.3">
      <c r="A2580" s="1192" t="s">
        <v>179</v>
      </c>
      <c r="E2580" s="1743" t="s">
        <v>3625</v>
      </c>
      <c r="F2580" s="1743"/>
      <c r="G2580" s="1743"/>
      <c r="H2580" s="1743"/>
      <c r="K2580" s="1192" t="s">
        <v>2676</v>
      </c>
      <c r="V2580" s="1192">
        <v>721</v>
      </c>
    </row>
    <row r="2581" spans="1:22" s="1192" customFormat="1" ht="14.4" x14ac:dyDescent="0.3">
      <c r="A2581" s="1192" t="s">
        <v>179</v>
      </c>
      <c r="E2581" s="1750" t="s">
        <v>2389</v>
      </c>
      <c r="F2581" s="1743"/>
      <c r="G2581" s="1743"/>
      <c r="H2581" s="1743"/>
      <c r="K2581" s="1192" t="s">
        <v>2529</v>
      </c>
      <c r="V2581" s="1192">
        <v>11</v>
      </c>
    </row>
    <row r="2582" spans="1:22" s="1192" customFormat="1" ht="14.4" x14ac:dyDescent="0.3">
      <c r="A2582" s="1192" t="s">
        <v>179</v>
      </c>
      <c r="E2582" s="1743" t="s">
        <v>2391</v>
      </c>
      <c r="F2582" s="1743"/>
      <c r="G2582" s="1743"/>
      <c r="H2582" s="1743"/>
      <c r="K2582" s="1192" t="s">
        <v>2676</v>
      </c>
      <c r="V2582" s="1192">
        <v>280</v>
      </c>
    </row>
    <row r="2583" spans="1:22" s="1192" customFormat="1" ht="14.4" x14ac:dyDescent="0.3">
      <c r="A2583" s="1192" t="s">
        <v>179</v>
      </c>
      <c r="E2583" s="1743" t="s">
        <v>2392</v>
      </c>
      <c r="F2583" s="1743"/>
      <c r="G2583" s="1743"/>
      <c r="H2583" s="1743"/>
      <c r="K2583" s="1192" t="s">
        <v>2676</v>
      </c>
      <c r="V2583" s="1192">
        <v>411</v>
      </c>
    </row>
    <row r="2584" spans="1:22" s="1192" customFormat="1" ht="14.4" x14ac:dyDescent="0.3">
      <c r="A2584" s="1192" t="s">
        <v>179</v>
      </c>
      <c r="E2584" s="1743" t="s">
        <v>2393</v>
      </c>
      <c r="F2584" s="1743"/>
      <c r="G2584" s="1743"/>
      <c r="H2584" s="1743"/>
      <c r="K2584" s="1192" t="s">
        <v>2676</v>
      </c>
      <c r="V2584" s="1192">
        <v>387</v>
      </c>
    </row>
    <row r="2585" spans="1:22" s="1192" customFormat="1" ht="14.4" x14ac:dyDescent="0.3">
      <c r="A2585" s="1192" t="s">
        <v>179</v>
      </c>
      <c r="E2585" s="1743" t="s">
        <v>4500</v>
      </c>
      <c r="F2585" s="1743"/>
      <c r="G2585" s="1743"/>
      <c r="H2585" s="1743"/>
      <c r="K2585" s="1192" t="s">
        <v>2676</v>
      </c>
      <c r="V2585" s="1192">
        <v>247</v>
      </c>
    </row>
    <row r="2586" spans="1:22" s="1192" customFormat="1" ht="14.4" x14ac:dyDescent="0.3">
      <c r="A2586" s="1192" t="s">
        <v>179</v>
      </c>
      <c r="E2586" s="1750" t="s">
        <v>2394</v>
      </c>
      <c r="F2586" s="1743"/>
      <c r="G2586" s="1743"/>
      <c r="H2586" s="1743"/>
      <c r="K2586" s="1192" t="s">
        <v>2531</v>
      </c>
      <c r="V2586" s="1192">
        <v>46</v>
      </c>
    </row>
    <row r="2587" spans="1:22" s="1192" customFormat="1" ht="14.4" x14ac:dyDescent="0.3">
      <c r="A2587" s="1192" t="s">
        <v>179</v>
      </c>
      <c r="E2587" s="1741" t="s">
        <v>3704</v>
      </c>
      <c r="F2587" s="1741"/>
      <c r="G2587" s="1277" t="s">
        <v>19</v>
      </c>
      <c r="H2587" s="1218">
        <v>7.37</v>
      </c>
      <c r="K2587" s="1192" t="s">
        <v>2676</v>
      </c>
      <c r="L2587" s="1192" t="s">
        <v>430</v>
      </c>
      <c r="P2587" s="1192" t="s">
        <v>2678</v>
      </c>
      <c r="V2587" s="1192">
        <v>30</v>
      </c>
    </row>
    <row r="2588" spans="1:22" s="1192" customFormat="1" ht="14.4" x14ac:dyDescent="0.3">
      <c r="A2588" s="1192" t="s">
        <v>179</v>
      </c>
      <c r="E2588" s="1741" t="s">
        <v>2426</v>
      </c>
      <c r="F2588" s="1741"/>
      <c r="G2588" s="1277" t="s">
        <v>20</v>
      </c>
      <c r="H2588" s="1219">
        <v>4.4000000000000003E-3</v>
      </c>
      <c r="K2588" s="1192" t="s">
        <v>2676</v>
      </c>
      <c r="L2588" s="1192" t="s">
        <v>430</v>
      </c>
      <c r="P2588" s="1192" t="s">
        <v>2679</v>
      </c>
      <c r="V2588" s="1192">
        <v>29</v>
      </c>
    </row>
    <row r="2589" spans="1:22" s="1192" customFormat="1" ht="14.4" x14ac:dyDescent="0.3">
      <c r="A2589" s="1192" t="s">
        <v>179</v>
      </c>
      <c r="E2589" s="1741" t="s">
        <v>14</v>
      </c>
      <c r="F2589" s="1741"/>
      <c r="G2589" s="1277" t="s">
        <v>20</v>
      </c>
      <c r="H2589" s="1219">
        <v>1.2999999999999999E-3</v>
      </c>
      <c r="K2589" s="1192" t="s">
        <v>2676</v>
      </c>
      <c r="L2589" s="1192" t="s">
        <v>431</v>
      </c>
      <c r="P2589" s="1192" t="s">
        <v>2809</v>
      </c>
      <c r="V2589" s="1192">
        <v>24</v>
      </c>
    </row>
    <row r="2590" spans="1:22" s="1192" customFormat="1" ht="14.4" x14ac:dyDescent="0.3">
      <c r="A2590" s="1192" t="s">
        <v>179</v>
      </c>
      <c r="E2590" s="1741" t="s">
        <v>6204</v>
      </c>
      <c r="F2590" s="1998"/>
      <c r="G2590" s="1277" t="s">
        <v>20</v>
      </c>
      <c r="H2590" s="1219">
        <v>-1.1000000000000001E-3</v>
      </c>
      <c r="K2590" s="1192" t="s">
        <v>2676</v>
      </c>
      <c r="L2590" s="1192" t="s">
        <v>431</v>
      </c>
      <c r="P2590" s="1192" t="s">
        <v>2681</v>
      </c>
      <c r="T2590" s="1192">
        <v>44196</v>
      </c>
      <c r="V2590" s="1192">
        <v>133</v>
      </c>
    </row>
    <row r="2591" spans="1:22" s="1192" customFormat="1" ht="14.4" x14ac:dyDescent="0.3">
      <c r="A2591" s="1192" t="s">
        <v>179</v>
      </c>
      <c r="E2591" s="1741" t="s">
        <v>213</v>
      </c>
      <c r="F2591" s="1741"/>
      <c r="G2591" s="1277" t="s">
        <v>20</v>
      </c>
      <c r="H2591" s="1219">
        <v>6.4000000000000003E-3</v>
      </c>
      <c r="K2591" s="1192" t="s">
        <v>2676</v>
      </c>
      <c r="L2591" s="1192" t="s">
        <v>432</v>
      </c>
      <c r="P2591" s="1192" t="s">
        <v>2682</v>
      </c>
      <c r="V2591" s="1192">
        <v>47</v>
      </c>
    </row>
    <row r="2592" spans="1:22" s="1192" customFormat="1" ht="14.4" x14ac:dyDescent="0.3">
      <c r="A2592" s="1192" t="s">
        <v>179</v>
      </c>
      <c r="E2592" s="1741" t="s">
        <v>209</v>
      </c>
      <c r="F2592" s="1741"/>
      <c r="G2592" s="1277" t="s">
        <v>20</v>
      </c>
      <c r="H2592" s="1219">
        <v>3.3999999999999998E-3</v>
      </c>
      <c r="K2592" s="1192" t="s">
        <v>2676</v>
      </c>
      <c r="L2592" s="1192" t="s">
        <v>432</v>
      </c>
      <c r="P2592" s="1192" t="s">
        <v>2683</v>
      </c>
      <c r="V2592" s="1192">
        <v>74</v>
      </c>
    </row>
    <row r="2593" spans="1:22" s="1192" customFormat="1" ht="14.4" x14ac:dyDescent="0.3">
      <c r="A2593" s="1192" t="s">
        <v>179</v>
      </c>
      <c r="E2593" s="1750" t="s">
        <v>2405</v>
      </c>
      <c r="F2593" s="1741"/>
      <c r="G2593" s="1277"/>
      <c r="H2593" s="896"/>
      <c r="K2593" s="1192" t="s">
        <v>2532</v>
      </c>
      <c r="V2593" s="1192">
        <v>48</v>
      </c>
    </row>
    <row r="2594" spans="1:22" s="1192" customFormat="1" ht="14.4" x14ac:dyDescent="0.3">
      <c r="A2594" s="1192" t="s">
        <v>179</v>
      </c>
      <c r="E2594" s="1741" t="s">
        <v>2033</v>
      </c>
      <c r="F2594" s="1741"/>
      <c r="G2594" s="524" t="s">
        <v>20</v>
      </c>
      <c r="H2594" s="1219">
        <v>3.0000000000000001E-3</v>
      </c>
      <c r="K2594" s="1192" t="s">
        <v>2676</v>
      </c>
      <c r="L2594" s="1192" t="s">
        <v>2374</v>
      </c>
      <c r="P2594" s="1192" t="s">
        <v>2684</v>
      </c>
      <c r="V2594" s="1192">
        <v>55</v>
      </c>
    </row>
    <row r="2595" spans="1:22" s="1192" customFormat="1" ht="14.4" x14ac:dyDescent="0.3">
      <c r="A2595" s="1192" t="s">
        <v>179</v>
      </c>
      <c r="E2595" s="1741" t="s">
        <v>2034</v>
      </c>
      <c r="F2595" s="1741"/>
      <c r="G2595" s="524" t="s">
        <v>20</v>
      </c>
      <c r="H2595" s="1219">
        <v>4.0000000000000002E-4</v>
      </c>
      <c r="K2595" s="1192" t="s">
        <v>2676</v>
      </c>
      <c r="L2595" s="1192" t="s">
        <v>2374</v>
      </c>
      <c r="P2595" s="1192" t="s">
        <v>2684</v>
      </c>
      <c r="V2595" s="1192">
        <v>65</v>
      </c>
    </row>
    <row r="2596" spans="1:22" s="1192" customFormat="1" ht="14.4" x14ac:dyDescent="0.3">
      <c r="A2596" s="1192" t="s">
        <v>179</v>
      </c>
      <c r="E2596" s="1741" t="s">
        <v>428</v>
      </c>
      <c r="F2596" s="1741"/>
      <c r="G2596" s="524" t="s">
        <v>20</v>
      </c>
      <c r="H2596" s="1219">
        <v>5.0000000000000001E-4</v>
      </c>
      <c r="K2596" s="1192" t="s">
        <v>2676</v>
      </c>
      <c r="L2596" s="1192" t="s">
        <v>2374</v>
      </c>
      <c r="P2596" s="1192" t="s">
        <v>2685</v>
      </c>
      <c r="V2596" s="1192">
        <v>57</v>
      </c>
    </row>
    <row r="2597" spans="1:22" s="1192" customFormat="1" ht="14.4" x14ac:dyDescent="0.3">
      <c r="A2597" s="1192" t="s">
        <v>179</v>
      </c>
      <c r="E2597" s="1741" t="s">
        <v>28</v>
      </c>
      <c r="F2597" s="1741"/>
      <c r="G2597" s="524" t="s">
        <v>19</v>
      </c>
      <c r="H2597" s="1218">
        <v>0.25</v>
      </c>
      <c r="K2597" s="1192" t="s">
        <v>2676</v>
      </c>
      <c r="L2597" s="1192" t="s">
        <v>2374</v>
      </c>
      <c r="P2597" s="1192" t="s">
        <v>2686</v>
      </c>
      <c r="V2597" s="1192">
        <v>63</v>
      </c>
    </row>
    <row r="2598" spans="1:22" s="1192" customFormat="1" ht="17.399999999999999" x14ac:dyDescent="0.3">
      <c r="A2598" s="1192" t="s">
        <v>179</v>
      </c>
      <c r="E2598" s="1746" t="s">
        <v>604</v>
      </c>
      <c r="F2598" s="1747"/>
      <c r="G2598" s="1747"/>
      <c r="H2598" s="1747"/>
      <c r="K2598" s="1192" t="s">
        <v>2823</v>
      </c>
      <c r="V2598" s="1192">
        <v>40</v>
      </c>
    </row>
    <row r="2599" spans="1:22" s="1192" customFormat="1" ht="14.4" x14ac:dyDescent="0.3">
      <c r="A2599" s="1192" t="s">
        <v>179</v>
      </c>
      <c r="E2599" s="1743" t="s">
        <v>3626</v>
      </c>
      <c r="F2599" s="1743"/>
      <c r="G2599" s="1743"/>
      <c r="H2599" s="1743"/>
      <c r="K2599" s="1192" t="s">
        <v>2823</v>
      </c>
      <c r="V2599" s="1192">
        <v>324</v>
      </c>
    </row>
    <row r="2600" spans="1:22" s="1192" customFormat="1" ht="14.4" x14ac:dyDescent="0.3">
      <c r="A2600" s="1192" t="s">
        <v>179</v>
      </c>
      <c r="E2600" s="1750" t="s">
        <v>2389</v>
      </c>
      <c r="F2600" s="1743"/>
      <c r="G2600" s="1743"/>
      <c r="H2600" s="1743"/>
      <c r="K2600" s="1192" t="s">
        <v>2424</v>
      </c>
      <c r="V2600" s="1192">
        <v>11</v>
      </c>
    </row>
    <row r="2601" spans="1:22" s="1192" customFormat="1" ht="14.4" x14ac:dyDescent="0.3">
      <c r="A2601" s="1192" t="s">
        <v>179</v>
      </c>
      <c r="E2601" s="1743" t="s">
        <v>2391</v>
      </c>
      <c r="F2601" s="1743"/>
      <c r="G2601" s="1743"/>
      <c r="H2601" s="1743"/>
      <c r="K2601" s="1192" t="s">
        <v>2823</v>
      </c>
      <c r="V2601" s="1192">
        <v>280</v>
      </c>
    </row>
    <row r="2602" spans="1:22" s="1192" customFormat="1" ht="14.4" x14ac:dyDescent="0.3">
      <c r="A2602" s="1192" t="s">
        <v>179</v>
      </c>
      <c r="E2602" s="1743" t="s">
        <v>2392</v>
      </c>
      <c r="F2602" s="1743"/>
      <c r="G2602" s="1743"/>
      <c r="H2602" s="1743"/>
      <c r="K2602" s="1192" t="s">
        <v>2823</v>
      </c>
      <c r="V2602" s="1192">
        <v>411</v>
      </c>
    </row>
    <row r="2603" spans="1:22" s="1192" customFormat="1" ht="14.4" x14ac:dyDescent="0.3">
      <c r="A2603" s="1192" t="s">
        <v>179</v>
      </c>
      <c r="E2603" s="1743" t="s">
        <v>2393</v>
      </c>
      <c r="F2603" s="1743"/>
      <c r="G2603" s="1743"/>
      <c r="H2603" s="1743"/>
      <c r="K2603" s="1192" t="s">
        <v>2823</v>
      </c>
      <c r="V2603" s="1192">
        <v>387</v>
      </c>
    </row>
    <row r="2604" spans="1:22" s="1192" customFormat="1" ht="14.4" x14ac:dyDescent="0.3">
      <c r="A2604" s="1192" t="s">
        <v>179</v>
      </c>
      <c r="E2604" s="1743" t="s">
        <v>4500</v>
      </c>
      <c r="F2604" s="1743"/>
      <c r="G2604" s="1743"/>
      <c r="H2604" s="1743"/>
      <c r="K2604" s="1192" t="s">
        <v>2823</v>
      </c>
      <c r="V2604" s="1192">
        <v>247</v>
      </c>
    </row>
    <row r="2605" spans="1:22" s="1192" customFormat="1" ht="14.4" x14ac:dyDescent="0.3">
      <c r="A2605" s="1192" t="s">
        <v>179</v>
      </c>
      <c r="E2605" s="1750" t="s">
        <v>2394</v>
      </c>
      <c r="F2605" s="1743"/>
      <c r="G2605" s="1743"/>
      <c r="H2605" s="1743"/>
      <c r="K2605" s="1192" t="s">
        <v>2425</v>
      </c>
      <c r="V2605" s="1192">
        <v>46</v>
      </c>
    </row>
    <row r="2606" spans="1:22" s="1192" customFormat="1" ht="14.4" x14ac:dyDescent="0.3">
      <c r="A2606" s="1192" t="s">
        <v>179</v>
      </c>
      <c r="E2606" s="1741" t="s">
        <v>3705</v>
      </c>
      <c r="F2606" s="1741"/>
      <c r="G2606" s="1277" t="s">
        <v>19</v>
      </c>
      <c r="H2606" s="1218">
        <v>1.71</v>
      </c>
      <c r="K2606" s="1192" t="s">
        <v>2823</v>
      </c>
      <c r="L2606" s="1192" t="s">
        <v>430</v>
      </c>
      <c r="P2606" s="1192" t="s">
        <v>2824</v>
      </c>
      <c r="V2606" s="1192">
        <v>32</v>
      </c>
    </row>
    <row r="2607" spans="1:22" s="1192" customFormat="1" ht="14.4" x14ac:dyDescent="0.3">
      <c r="A2607" s="1192" t="s">
        <v>179</v>
      </c>
      <c r="E2607" s="1741" t="s">
        <v>2426</v>
      </c>
      <c r="F2607" s="1741"/>
      <c r="G2607" s="1277" t="s">
        <v>29</v>
      </c>
      <c r="H2607" s="1219">
        <v>4.0335999999999999</v>
      </c>
      <c r="K2607" s="1192" t="s">
        <v>2823</v>
      </c>
      <c r="L2607" s="1192" t="s">
        <v>430</v>
      </c>
      <c r="P2607" s="1192" t="s">
        <v>2825</v>
      </c>
      <c r="V2607" s="1192">
        <v>29</v>
      </c>
    </row>
    <row r="2608" spans="1:22" s="1192" customFormat="1" ht="14.4" x14ac:dyDescent="0.3">
      <c r="A2608" s="1192" t="s">
        <v>179</v>
      </c>
      <c r="E2608" s="1741" t="s">
        <v>14</v>
      </c>
      <c r="F2608" s="1741"/>
      <c r="G2608" s="1277" t="s">
        <v>29</v>
      </c>
      <c r="H2608" s="1219">
        <v>0.81830000000000003</v>
      </c>
      <c r="K2608" s="1192" t="s">
        <v>2823</v>
      </c>
      <c r="L2608" s="1192" t="s">
        <v>431</v>
      </c>
      <c r="P2608" s="1192" t="s">
        <v>2826</v>
      </c>
      <c r="V2608" s="1192">
        <v>24</v>
      </c>
    </row>
    <row r="2609" spans="1:22" s="1192" customFormat="1" ht="14.4" x14ac:dyDescent="0.3">
      <c r="A2609" s="1192" t="s">
        <v>179</v>
      </c>
      <c r="E2609" s="1741" t="s">
        <v>6203</v>
      </c>
      <c r="F2609" s="1998"/>
      <c r="G2609" s="1277" t="s">
        <v>29</v>
      </c>
      <c r="H2609" s="1219">
        <v>-0.37390000000000001</v>
      </c>
      <c r="K2609" s="1192" t="s">
        <v>2823</v>
      </c>
      <c r="L2609" s="1192" t="s">
        <v>431</v>
      </c>
      <c r="P2609" s="1192" t="s">
        <v>2915</v>
      </c>
      <c r="T2609" s="1192">
        <v>44196</v>
      </c>
      <c r="V2609" s="1192">
        <v>134</v>
      </c>
    </row>
    <row r="2610" spans="1:22" s="1192" customFormat="1" ht="14.4" x14ac:dyDescent="0.3">
      <c r="A2610" s="1192" t="s">
        <v>179</v>
      </c>
      <c r="E2610" s="1741" t="s">
        <v>213</v>
      </c>
      <c r="F2610" s="1741"/>
      <c r="G2610" s="1277" t="s">
        <v>29</v>
      </c>
      <c r="H2610" s="1219">
        <v>1.9938</v>
      </c>
      <c r="K2610" s="1192" t="s">
        <v>2823</v>
      </c>
      <c r="L2610" s="1192" t="s">
        <v>432</v>
      </c>
      <c r="P2610" s="1192" t="s">
        <v>2827</v>
      </c>
      <c r="V2610" s="1192">
        <v>47</v>
      </c>
    </row>
    <row r="2611" spans="1:22" s="1192" customFormat="1" ht="14.4" x14ac:dyDescent="0.3">
      <c r="A2611" s="1192" t="s">
        <v>179</v>
      </c>
      <c r="E2611" s="1741" t="s">
        <v>209</v>
      </c>
      <c r="F2611" s="1741"/>
      <c r="G2611" s="1277" t="s">
        <v>29</v>
      </c>
      <c r="H2611" s="1219">
        <v>2.2000999999999999</v>
      </c>
      <c r="K2611" s="1192" t="s">
        <v>2823</v>
      </c>
      <c r="L2611" s="1192" t="s">
        <v>432</v>
      </c>
      <c r="P2611" s="1192" t="s">
        <v>2828</v>
      </c>
      <c r="V2611" s="1192">
        <v>74</v>
      </c>
    </row>
    <row r="2612" spans="1:22" s="1192" customFormat="1" ht="14.4" x14ac:dyDescent="0.3">
      <c r="A2612" s="1192" t="s">
        <v>179</v>
      </c>
      <c r="E2612" s="1750" t="s">
        <v>2405</v>
      </c>
      <c r="F2612" s="1741"/>
      <c r="G2612" s="1277"/>
      <c r="H2612" s="896"/>
      <c r="K2612" s="1192" t="s">
        <v>2427</v>
      </c>
      <c r="V2612" s="1192">
        <v>48</v>
      </c>
    </row>
    <row r="2613" spans="1:22" s="1192" customFormat="1" ht="14.4" x14ac:dyDescent="0.3">
      <c r="A2613" s="1192" t="s">
        <v>179</v>
      </c>
      <c r="E2613" s="1741" t="s">
        <v>2033</v>
      </c>
      <c r="F2613" s="1741"/>
      <c r="G2613" s="1277" t="s">
        <v>20</v>
      </c>
      <c r="H2613" s="1219">
        <v>3.0000000000000001E-3</v>
      </c>
      <c r="K2613" s="1192" t="s">
        <v>2823</v>
      </c>
      <c r="L2613" s="1192" t="s">
        <v>2374</v>
      </c>
      <c r="P2613" s="1192" t="s">
        <v>2829</v>
      </c>
      <c r="V2613" s="1192">
        <v>55</v>
      </c>
    </row>
    <row r="2614" spans="1:22" s="1192" customFormat="1" ht="14.4" x14ac:dyDescent="0.3">
      <c r="A2614" s="1192" t="s">
        <v>179</v>
      </c>
      <c r="E2614" s="1741" t="s">
        <v>2034</v>
      </c>
      <c r="F2614" s="1741"/>
      <c r="G2614" s="1277" t="s">
        <v>20</v>
      </c>
      <c r="H2614" s="1219">
        <v>4.0000000000000002E-4</v>
      </c>
      <c r="K2614" s="1192" t="s">
        <v>2823</v>
      </c>
      <c r="L2614" s="1192" t="s">
        <v>2374</v>
      </c>
      <c r="P2614" s="1192" t="s">
        <v>2829</v>
      </c>
      <c r="V2614" s="1192">
        <v>65</v>
      </c>
    </row>
    <row r="2615" spans="1:22" s="1192" customFormat="1" ht="14.4" x14ac:dyDescent="0.3">
      <c r="A2615" s="1192" t="s">
        <v>179</v>
      </c>
      <c r="E2615" s="1741" t="s">
        <v>428</v>
      </c>
      <c r="F2615" s="1741"/>
      <c r="G2615" s="1277" t="s">
        <v>20</v>
      </c>
      <c r="H2615" s="1219">
        <v>5.0000000000000001E-4</v>
      </c>
      <c r="K2615" s="1192" t="s">
        <v>2823</v>
      </c>
      <c r="L2615" s="1192" t="s">
        <v>2374</v>
      </c>
      <c r="P2615" s="1192" t="s">
        <v>2830</v>
      </c>
      <c r="V2615" s="1192">
        <v>57</v>
      </c>
    </row>
    <row r="2616" spans="1:22" s="1192" customFormat="1" ht="14.4" x14ac:dyDescent="0.3">
      <c r="A2616" s="1192" t="s">
        <v>179</v>
      </c>
      <c r="E2616" s="1741" t="s">
        <v>28</v>
      </c>
      <c r="F2616" s="1741"/>
      <c r="G2616" s="1277" t="s">
        <v>19</v>
      </c>
      <c r="H2616" s="1218">
        <v>0.25</v>
      </c>
      <c r="K2616" s="1192" t="s">
        <v>2823</v>
      </c>
      <c r="L2616" s="1192" t="s">
        <v>2374</v>
      </c>
      <c r="P2616" s="1192" t="s">
        <v>2831</v>
      </c>
      <c r="V2616" s="1192">
        <v>63</v>
      </c>
    </row>
    <row r="2617" spans="1:22" s="1192" customFormat="1" ht="17.399999999999999" x14ac:dyDescent="0.3">
      <c r="A2617" s="1192" t="s">
        <v>179</v>
      </c>
      <c r="E2617" s="1746" t="s">
        <v>590</v>
      </c>
      <c r="F2617" s="1747"/>
      <c r="G2617" s="1747"/>
      <c r="H2617" s="1747"/>
      <c r="K2617" s="1192" t="s">
        <v>2428</v>
      </c>
      <c r="V2617" s="1192">
        <v>38</v>
      </c>
    </row>
    <row r="2618" spans="1:22" s="1192" customFormat="1" ht="14.4" x14ac:dyDescent="0.3">
      <c r="A2618" s="1192" t="s">
        <v>179</v>
      </c>
      <c r="E2618" s="1743" t="s">
        <v>3627</v>
      </c>
      <c r="F2618" s="1743"/>
      <c r="G2618" s="1743"/>
      <c r="H2618" s="1743"/>
      <c r="K2618" s="1192" t="s">
        <v>2428</v>
      </c>
      <c r="V2618" s="1192">
        <v>334</v>
      </c>
    </row>
    <row r="2619" spans="1:22" s="1192" customFormat="1" ht="14.4" x14ac:dyDescent="0.3">
      <c r="A2619" s="1192" t="s">
        <v>179</v>
      </c>
      <c r="E2619" s="1750" t="s">
        <v>2389</v>
      </c>
      <c r="F2619" s="1743"/>
      <c r="G2619" s="1743"/>
      <c r="H2619" s="1743"/>
      <c r="K2619" s="1192" t="s">
        <v>2430</v>
      </c>
      <c r="V2619" s="1192">
        <v>11</v>
      </c>
    </row>
    <row r="2620" spans="1:22" s="1192" customFormat="1" ht="14.4" x14ac:dyDescent="0.3">
      <c r="A2620" s="1192" t="s">
        <v>179</v>
      </c>
      <c r="E2620" s="1743" t="s">
        <v>2391</v>
      </c>
      <c r="F2620" s="1743"/>
      <c r="G2620" s="1743"/>
      <c r="H2620" s="1743"/>
      <c r="K2620" s="1192" t="s">
        <v>2428</v>
      </c>
      <c r="V2620" s="1192">
        <v>280</v>
      </c>
    </row>
    <row r="2621" spans="1:22" s="1192" customFormat="1" ht="14.4" x14ac:dyDescent="0.3">
      <c r="A2621" s="1192" t="s">
        <v>179</v>
      </c>
      <c r="E2621" s="1743" t="s">
        <v>2392</v>
      </c>
      <c r="F2621" s="1743"/>
      <c r="G2621" s="1743"/>
      <c r="H2621" s="1743"/>
      <c r="K2621" s="1192" t="s">
        <v>2428</v>
      </c>
      <c r="V2621" s="1192">
        <v>411</v>
      </c>
    </row>
    <row r="2622" spans="1:22" s="1192" customFormat="1" ht="14.4" x14ac:dyDescent="0.3">
      <c r="A2622" s="1192" t="s">
        <v>179</v>
      </c>
      <c r="E2622" s="1743" t="s">
        <v>2393</v>
      </c>
      <c r="F2622" s="1743"/>
      <c r="G2622" s="1743"/>
      <c r="H2622" s="1743"/>
      <c r="K2622" s="1192" t="s">
        <v>2428</v>
      </c>
      <c r="V2622" s="1192">
        <v>387</v>
      </c>
    </row>
    <row r="2623" spans="1:22" s="1192" customFormat="1" ht="14.4" x14ac:dyDescent="0.3">
      <c r="A2623" s="1192" t="s">
        <v>179</v>
      </c>
      <c r="E2623" s="1743" t="s">
        <v>4500</v>
      </c>
      <c r="F2623" s="1743"/>
      <c r="G2623" s="1743"/>
      <c r="H2623" s="1743"/>
      <c r="K2623" s="1192" t="s">
        <v>2428</v>
      </c>
      <c r="V2623" s="1192">
        <v>247</v>
      </c>
    </row>
    <row r="2624" spans="1:22" s="1192" customFormat="1" ht="14.4" x14ac:dyDescent="0.3">
      <c r="A2624" s="1192" t="s">
        <v>179</v>
      </c>
      <c r="E2624" s="1750" t="s">
        <v>2394</v>
      </c>
      <c r="F2624" s="1743"/>
      <c r="G2624" s="1743"/>
      <c r="H2624" s="1743"/>
      <c r="K2624" s="1192" t="s">
        <v>2431</v>
      </c>
      <c r="V2624" s="1192">
        <v>46</v>
      </c>
    </row>
    <row r="2625" spans="1:22" s="1192" customFormat="1" ht="14.4" x14ac:dyDescent="0.3">
      <c r="A2625" s="1192" t="s">
        <v>179</v>
      </c>
      <c r="E2625" s="1741" t="s">
        <v>3705</v>
      </c>
      <c r="F2625" s="1741"/>
      <c r="G2625" s="1277" t="s">
        <v>19</v>
      </c>
      <c r="H2625" s="1218">
        <v>0.61</v>
      </c>
      <c r="K2625" s="1192" t="s">
        <v>2428</v>
      </c>
      <c r="L2625" s="1192" t="s">
        <v>430</v>
      </c>
      <c r="P2625" s="1192" t="s">
        <v>2432</v>
      </c>
      <c r="V2625" s="1192">
        <v>32</v>
      </c>
    </row>
    <row r="2626" spans="1:22" s="1192" customFormat="1" ht="14.4" x14ac:dyDescent="0.3">
      <c r="A2626" s="1192" t="s">
        <v>179</v>
      </c>
      <c r="E2626" s="1741" t="s">
        <v>2426</v>
      </c>
      <c r="F2626" s="1741"/>
      <c r="G2626" s="1277" t="s">
        <v>29</v>
      </c>
      <c r="H2626" s="1219">
        <v>6.6280000000000001</v>
      </c>
      <c r="K2626" s="1192" t="s">
        <v>2428</v>
      </c>
      <c r="L2626" s="1192" t="s">
        <v>430</v>
      </c>
      <c r="P2626" s="1192" t="s">
        <v>2433</v>
      </c>
      <c r="V2626" s="1192">
        <v>29</v>
      </c>
    </row>
    <row r="2627" spans="1:22" s="1192" customFormat="1" ht="14.4" x14ac:dyDescent="0.3">
      <c r="A2627" s="1192" t="s">
        <v>179</v>
      </c>
      <c r="E2627" s="1741" t="s">
        <v>14</v>
      </c>
      <c r="F2627" s="1741"/>
      <c r="G2627" s="1277" t="s">
        <v>29</v>
      </c>
      <c r="H2627" s="1219">
        <v>0.4007</v>
      </c>
      <c r="K2627" s="1192" t="s">
        <v>2428</v>
      </c>
      <c r="L2627" s="1192" t="s">
        <v>431</v>
      </c>
      <c r="P2627" s="1192" t="s">
        <v>2764</v>
      </c>
      <c r="V2627" s="1192">
        <v>24</v>
      </c>
    </row>
    <row r="2628" spans="1:22" s="1192" customFormat="1" ht="14.4" x14ac:dyDescent="0.3">
      <c r="A2628" s="1192" t="s">
        <v>179</v>
      </c>
      <c r="E2628" s="1741" t="s">
        <v>6203</v>
      </c>
      <c r="F2628" s="1998"/>
      <c r="G2628" s="1277" t="s">
        <v>29</v>
      </c>
      <c r="H2628" s="1219">
        <v>-0.39379999999999998</v>
      </c>
      <c r="K2628" s="1192" t="s">
        <v>2428</v>
      </c>
      <c r="L2628" s="1192" t="s">
        <v>431</v>
      </c>
      <c r="P2628" s="1192" t="s">
        <v>2434</v>
      </c>
      <c r="T2628" s="1192">
        <v>44196</v>
      </c>
      <c r="V2628" s="1192">
        <v>134</v>
      </c>
    </row>
    <row r="2629" spans="1:22" s="1192" customFormat="1" ht="14.4" x14ac:dyDescent="0.3">
      <c r="A2629" s="1192" t="s">
        <v>179</v>
      </c>
      <c r="E2629" s="1741" t="s">
        <v>213</v>
      </c>
      <c r="F2629" s="1741"/>
      <c r="G2629" s="1277" t="s">
        <v>29</v>
      </c>
      <c r="H2629" s="1219">
        <v>1.9933000000000001</v>
      </c>
      <c r="K2629" s="1192" t="s">
        <v>2428</v>
      </c>
      <c r="L2629" s="1192" t="s">
        <v>432</v>
      </c>
      <c r="P2629" s="1192" t="s">
        <v>2436</v>
      </c>
      <c r="V2629" s="1192">
        <v>47</v>
      </c>
    </row>
    <row r="2630" spans="1:22" s="1192" customFormat="1" ht="14.4" x14ac:dyDescent="0.3">
      <c r="A2630" s="1192" t="s">
        <v>179</v>
      </c>
      <c r="E2630" s="1741" t="s">
        <v>209</v>
      </c>
      <c r="F2630" s="1741"/>
      <c r="G2630" s="1277" t="s">
        <v>29</v>
      </c>
      <c r="H2630" s="1219">
        <v>1.0774999999999999</v>
      </c>
      <c r="K2630" s="1192" t="s">
        <v>2428</v>
      </c>
      <c r="L2630" s="1192" t="s">
        <v>432</v>
      </c>
      <c r="P2630" s="1192" t="s">
        <v>2437</v>
      </c>
      <c r="V2630" s="1192">
        <v>74</v>
      </c>
    </row>
    <row r="2631" spans="1:22" s="1192" customFormat="1" ht="14.4" x14ac:dyDescent="0.3">
      <c r="A2631" s="1192" t="s">
        <v>179</v>
      </c>
      <c r="E2631" s="1750" t="s">
        <v>2405</v>
      </c>
      <c r="F2631" s="1741"/>
      <c r="G2631" s="1277"/>
      <c r="H2631" s="896"/>
      <c r="K2631" s="1192" t="s">
        <v>2438</v>
      </c>
      <c r="V2631" s="1192">
        <v>48</v>
      </c>
    </row>
    <row r="2632" spans="1:22" s="1192" customFormat="1" ht="14.4" x14ac:dyDescent="0.3">
      <c r="A2632" s="1192" t="s">
        <v>179</v>
      </c>
      <c r="E2632" s="1741" t="s">
        <v>2033</v>
      </c>
      <c r="F2632" s="1741"/>
      <c r="G2632" s="1277" t="s">
        <v>20</v>
      </c>
      <c r="H2632" s="1219">
        <v>3.0000000000000001E-3</v>
      </c>
      <c r="K2632" s="1192" t="s">
        <v>2428</v>
      </c>
      <c r="L2632" s="1192" t="s">
        <v>2374</v>
      </c>
      <c r="P2632" s="1192" t="s">
        <v>2439</v>
      </c>
      <c r="V2632" s="1192">
        <v>55</v>
      </c>
    </row>
    <row r="2633" spans="1:22" s="1192" customFormat="1" ht="14.4" x14ac:dyDescent="0.3">
      <c r="A2633" s="1192" t="s">
        <v>179</v>
      </c>
      <c r="E2633" s="1741" t="s">
        <v>2034</v>
      </c>
      <c r="F2633" s="1741"/>
      <c r="G2633" s="1277" t="s">
        <v>20</v>
      </c>
      <c r="H2633" s="1219">
        <v>4.0000000000000002E-4</v>
      </c>
      <c r="K2633" s="1192" t="s">
        <v>2428</v>
      </c>
      <c r="L2633" s="1192" t="s">
        <v>2374</v>
      </c>
      <c r="P2633" s="1192" t="s">
        <v>2439</v>
      </c>
      <c r="V2633" s="1192">
        <v>65</v>
      </c>
    </row>
    <row r="2634" spans="1:22" s="1192" customFormat="1" ht="14.4" x14ac:dyDescent="0.3">
      <c r="A2634" s="1192" t="s">
        <v>179</v>
      </c>
      <c r="E2634" s="1741" t="s">
        <v>428</v>
      </c>
      <c r="F2634" s="1741"/>
      <c r="G2634" s="1277" t="s">
        <v>20</v>
      </c>
      <c r="H2634" s="1219">
        <v>5.0000000000000001E-4</v>
      </c>
      <c r="K2634" s="1192" t="s">
        <v>2428</v>
      </c>
      <c r="L2634" s="1192" t="s">
        <v>2374</v>
      </c>
      <c r="P2634" s="1192" t="s">
        <v>2440</v>
      </c>
      <c r="V2634" s="1192">
        <v>57</v>
      </c>
    </row>
    <row r="2635" spans="1:22" s="1192" customFormat="1" ht="14.4" x14ac:dyDescent="0.3">
      <c r="A2635" s="1192" t="s">
        <v>179</v>
      </c>
      <c r="E2635" s="1741" t="s">
        <v>28</v>
      </c>
      <c r="F2635" s="1741"/>
      <c r="G2635" s="1277" t="s">
        <v>19</v>
      </c>
      <c r="H2635" s="1218">
        <v>0.25</v>
      </c>
      <c r="K2635" s="1192" t="s">
        <v>2428</v>
      </c>
      <c r="L2635" s="1192" t="s">
        <v>2374</v>
      </c>
      <c r="P2635" s="1192" t="s">
        <v>2441</v>
      </c>
      <c r="V2635" s="1192">
        <v>63</v>
      </c>
    </row>
    <row r="2636" spans="1:22" s="1192" customFormat="1" ht="17.399999999999999" x14ac:dyDescent="0.3">
      <c r="A2636" s="1192" t="s">
        <v>179</v>
      </c>
      <c r="E2636" s="1746" t="s">
        <v>593</v>
      </c>
      <c r="F2636" s="1747"/>
      <c r="G2636" s="1747"/>
      <c r="H2636" s="1747"/>
      <c r="K2636" s="1192" t="s">
        <v>2442</v>
      </c>
      <c r="V2636" s="1192">
        <v>31</v>
      </c>
    </row>
    <row r="2637" spans="1:22" s="1192" customFormat="1" ht="14.4" x14ac:dyDescent="0.3">
      <c r="A2637" s="1192" t="s">
        <v>179</v>
      </c>
      <c r="E2637" s="1743" t="s">
        <v>2699</v>
      </c>
      <c r="F2637" s="1743"/>
      <c r="G2637" s="1743"/>
      <c r="H2637" s="1743"/>
      <c r="K2637" s="1192" t="s">
        <v>2442</v>
      </c>
      <c r="V2637" s="1192">
        <v>285</v>
      </c>
    </row>
    <row r="2638" spans="1:22" s="1192" customFormat="1" ht="14.4" x14ac:dyDescent="0.3">
      <c r="A2638" s="1192" t="s">
        <v>179</v>
      </c>
      <c r="E2638" s="1750" t="s">
        <v>2389</v>
      </c>
      <c r="F2638" s="1743"/>
      <c r="G2638" s="1743"/>
      <c r="H2638" s="1743"/>
      <c r="K2638" s="1192" t="s">
        <v>2444</v>
      </c>
      <c r="V2638" s="1192">
        <v>11</v>
      </c>
    </row>
    <row r="2639" spans="1:22" s="1192" customFormat="1" ht="14.4" x14ac:dyDescent="0.3">
      <c r="A2639" s="1192" t="s">
        <v>179</v>
      </c>
      <c r="E2639" s="1743" t="s">
        <v>2391</v>
      </c>
      <c r="F2639" s="1743"/>
      <c r="G2639" s="1743"/>
      <c r="H2639" s="1743"/>
      <c r="K2639" s="1192" t="s">
        <v>2442</v>
      </c>
      <c r="V2639" s="1192">
        <v>280</v>
      </c>
    </row>
    <row r="2640" spans="1:22" s="1192" customFormat="1" ht="14.4" x14ac:dyDescent="0.3">
      <c r="A2640" s="1192" t="s">
        <v>179</v>
      </c>
      <c r="E2640" s="1743" t="s">
        <v>2392</v>
      </c>
      <c r="F2640" s="1743"/>
      <c r="G2640" s="1743"/>
      <c r="H2640" s="1743"/>
      <c r="K2640" s="1192" t="s">
        <v>2442</v>
      </c>
      <c r="V2640" s="1192">
        <v>411</v>
      </c>
    </row>
    <row r="2641" spans="1:22" s="1192" customFormat="1" ht="14.4" x14ac:dyDescent="0.3">
      <c r="A2641" s="1192" t="s">
        <v>179</v>
      </c>
      <c r="E2641" s="1743" t="s">
        <v>2508</v>
      </c>
      <c r="F2641" s="1743"/>
      <c r="G2641" s="1743"/>
      <c r="H2641" s="1743"/>
      <c r="K2641" s="1192" t="s">
        <v>2442</v>
      </c>
      <c r="V2641" s="1192">
        <v>386</v>
      </c>
    </row>
    <row r="2642" spans="1:22" s="1192" customFormat="1" ht="14.4" x14ac:dyDescent="0.3">
      <c r="A2642" s="1192" t="s">
        <v>179</v>
      </c>
      <c r="E2642" s="1743" t="s">
        <v>4500</v>
      </c>
      <c r="F2642" s="1743"/>
      <c r="G2642" s="1743"/>
      <c r="H2642" s="1743"/>
      <c r="K2642" s="1192" t="s">
        <v>2442</v>
      </c>
      <c r="V2642" s="1192">
        <v>247</v>
      </c>
    </row>
    <row r="2643" spans="1:22" s="1192" customFormat="1" ht="14.4" x14ac:dyDescent="0.3">
      <c r="A2643" s="1192" t="s">
        <v>179</v>
      </c>
      <c r="E2643" s="1750" t="s">
        <v>2394</v>
      </c>
      <c r="F2643" s="1743"/>
      <c r="G2643" s="1743"/>
      <c r="H2643" s="1743"/>
      <c r="K2643" s="1192" t="s">
        <v>2446</v>
      </c>
      <c r="V2643" s="1192">
        <v>46</v>
      </c>
    </row>
    <row r="2644" spans="1:22" s="1192" customFormat="1" ht="14.4" x14ac:dyDescent="0.3">
      <c r="A2644" s="1192" t="s">
        <v>179</v>
      </c>
      <c r="E2644" s="1741" t="s">
        <v>7</v>
      </c>
      <c r="F2644" s="1741"/>
      <c r="G2644" s="1277" t="s">
        <v>19</v>
      </c>
      <c r="H2644" s="1218">
        <v>10</v>
      </c>
      <c r="K2644" s="1192" t="s">
        <v>2442</v>
      </c>
      <c r="L2644" s="1192" t="s">
        <v>430</v>
      </c>
      <c r="P2644" s="1192" t="s">
        <v>2447</v>
      </c>
      <c r="V2644" s="1192">
        <v>14</v>
      </c>
    </row>
    <row r="2645" spans="1:22" s="1192" customFormat="1" x14ac:dyDescent="0.35">
      <c r="A2645" s="1192" t="s">
        <v>179</v>
      </c>
      <c r="E2645" s="1260" t="s">
        <v>81</v>
      </c>
      <c r="F2645" s="550"/>
      <c r="G2645" s="550"/>
      <c r="H2645" s="881"/>
      <c r="K2645" s="1192" t="s">
        <v>3628</v>
      </c>
      <c r="V2645" s="1192">
        <v>10</v>
      </c>
    </row>
    <row r="2646" spans="1:22" s="1192" customFormat="1" ht="14.4" x14ac:dyDescent="0.3">
      <c r="A2646" s="1192" t="s">
        <v>179</v>
      </c>
      <c r="E2646" s="1741" t="s">
        <v>2449</v>
      </c>
      <c r="F2646" s="1741"/>
      <c r="G2646" s="1277" t="s">
        <v>29</v>
      </c>
      <c r="H2646" s="1219">
        <v>-0.6</v>
      </c>
      <c r="V2646" s="1192">
        <v>68</v>
      </c>
    </row>
    <row r="2647" spans="1:22" s="1192" customFormat="1" ht="14.4" x14ac:dyDescent="0.3">
      <c r="A2647" s="1192" t="s">
        <v>179</v>
      </c>
      <c r="E2647" s="1741" t="s">
        <v>3993</v>
      </c>
      <c r="F2647" s="1741"/>
      <c r="G2647" s="1277" t="s">
        <v>82</v>
      </c>
      <c r="H2647" s="1218">
        <v>-1</v>
      </c>
      <c r="V2647" s="1192">
        <v>89</v>
      </c>
    </row>
    <row r="2648" spans="1:22" s="1192" customFormat="1" x14ac:dyDescent="0.3">
      <c r="A2648" s="1192" t="s">
        <v>179</v>
      </c>
      <c r="E2648" s="1260" t="s">
        <v>83</v>
      </c>
      <c r="F2648" s="823"/>
      <c r="G2648" s="823"/>
      <c r="H2648" s="878"/>
      <c r="K2648" s="1192" t="s">
        <v>3629</v>
      </c>
      <c r="V2648" s="1192">
        <v>24</v>
      </c>
    </row>
    <row r="2649" spans="1:22" s="1192" customFormat="1" ht="14.4" x14ac:dyDescent="0.3">
      <c r="A2649" s="1192" t="s">
        <v>179</v>
      </c>
      <c r="E2649" s="1743" t="s">
        <v>2391</v>
      </c>
      <c r="F2649" s="1743"/>
      <c r="G2649" s="1743"/>
      <c r="H2649" s="1743"/>
      <c r="V2649" s="1192">
        <v>280</v>
      </c>
    </row>
    <row r="2650" spans="1:22" s="1192" customFormat="1" ht="14.4" x14ac:dyDescent="0.3">
      <c r="A2650" s="1192" t="s">
        <v>179</v>
      </c>
      <c r="E2650" s="1743" t="s">
        <v>2452</v>
      </c>
      <c r="F2650" s="1743"/>
      <c r="G2650" s="1743"/>
      <c r="H2650" s="1743"/>
      <c r="V2650" s="1192">
        <v>353</v>
      </c>
    </row>
    <row r="2651" spans="1:22" s="1192" customFormat="1" ht="14.4" x14ac:dyDescent="0.3">
      <c r="A2651" s="1192" t="s">
        <v>179</v>
      </c>
      <c r="E2651" s="1743" t="s">
        <v>4500</v>
      </c>
      <c r="F2651" s="1743"/>
      <c r="G2651" s="1743"/>
      <c r="H2651" s="1743"/>
      <c r="V2651" s="1192">
        <v>247</v>
      </c>
    </row>
    <row r="2652" spans="1:22" s="1192" customFormat="1" ht="14.4" x14ac:dyDescent="0.3">
      <c r="A2652" s="1192" t="s">
        <v>179</v>
      </c>
      <c r="E2652" s="1258" t="s">
        <v>2453</v>
      </c>
      <c r="F2652" s="3"/>
      <c r="G2652" s="3"/>
      <c r="H2652" s="897"/>
      <c r="K2652" s="1192" t="s">
        <v>3630</v>
      </c>
      <c r="V2652" s="1192">
        <v>23</v>
      </c>
    </row>
    <row r="2653" spans="1:22" s="1192" customFormat="1" ht="14.4" x14ac:dyDescent="0.3">
      <c r="A2653" s="1192" t="s">
        <v>179</v>
      </c>
      <c r="E2653" s="1942" t="s">
        <v>2639</v>
      </c>
      <c r="F2653" s="1942"/>
      <c r="G2653" s="1277" t="s">
        <v>19</v>
      </c>
      <c r="H2653" s="1218">
        <v>15</v>
      </c>
      <c r="V2653" s="1192">
        <v>19</v>
      </c>
    </row>
    <row r="2654" spans="1:22" s="1192" customFormat="1" ht="14.4" x14ac:dyDescent="0.3">
      <c r="A2654" s="1192" t="s">
        <v>179</v>
      </c>
      <c r="E2654" s="1942" t="s">
        <v>2456</v>
      </c>
      <c r="F2654" s="1942"/>
      <c r="G2654" s="1277" t="s">
        <v>19</v>
      </c>
      <c r="H2654" s="1218">
        <v>15</v>
      </c>
      <c r="V2654" s="1192">
        <v>20</v>
      </c>
    </row>
    <row r="2655" spans="1:22" s="1192" customFormat="1" ht="14.4" x14ac:dyDescent="0.3">
      <c r="A2655" s="1192" t="s">
        <v>179</v>
      </c>
      <c r="E2655" s="1942" t="s">
        <v>2458</v>
      </c>
      <c r="F2655" s="1942"/>
      <c r="G2655" s="1277" t="s">
        <v>19</v>
      </c>
      <c r="H2655" s="1218">
        <v>15</v>
      </c>
      <c r="V2655" s="1192">
        <v>39</v>
      </c>
    </row>
    <row r="2656" spans="1:22" s="1192" customFormat="1" ht="14.4" x14ac:dyDescent="0.3">
      <c r="A2656" s="1192" t="s">
        <v>179</v>
      </c>
      <c r="E2656" s="1942" t="s">
        <v>2464</v>
      </c>
      <c r="F2656" s="1942"/>
      <c r="G2656" s="1277" t="s">
        <v>19</v>
      </c>
      <c r="H2656" s="1218">
        <v>15</v>
      </c>
      <c r="V2656" s="1192">
        <v>56</v>
      </c>
    </row>
    <row r="2657" spans="1:22" s="1192" customFormat="1" ht="14.4" x14ac:dyDescent="0.3">
      <c r="A2657" s="1192" t="s">
        <v>179</v>
      </c>
      <c r="E2657" s="1942" t="s">
        <v>119</v>
      </c>
      <c r="F2657" s="1942"/>
      <c r="G2657" s="1277" t="s">
        <v>19</v>
      </c>
      <c r="H2657" s="1218">
        <v>20</v>
      </c>
      <c r="V2657" s="1192">
        <v>35</v>
      </c>
    </row>
    <row r="2658" spans="1:22" s="1192" customFormat="1" ht="14.4" x14ac:dyDescent="0.3">
      <c r="A2658" s="1192" t="s">
        <v>179</v>
      </c>
      <c r="E2658" s="1942" t="s">
        <v>84</v>
      </c>
      <c r="F2658" s="1942"/>
      <c r="G2658" s="1277" t="s">
        <v>19</v>
      </c>
      <c r="H2658" s="1218">
        <v>40</v>
      </c>
      <c r="V2658" s="1192">
        <v>89</v>
      </c>
    </row>
    <row r="2659" spans="1:22" s="1192" customFormat="1" ht="14.4" x14ac:dyDescent="0.3">
      <c r="A2659" s="1192" t="s">
        <v>179</v>
      </c>
      <c r="E2659" s="1942" t="s">
        <v>88</v>
      </c>
      <c r="F2659" s="1942"/>
      <c r="G2659" s="1277" t="s">
        <v>19</v>
      </c>
      <c r="H2659" s="1218">
        <v>30</v>
      </c>
      <c r="V2659" s="1192">
        <v>74</v>
      </c>
    </row>
    <row r="2660" spans="1:22" s="1192" customFormat="1" ht="14.4" x14ac:dyDescent="0.3">
      <c r="A2660" s="1192" t="s">
        <v>179</v>
      </c>
      <c r="E2660" s="1258" t="s">
        <v>3631</v>
      </c>
      <c r="F2660" s="1287"/>
      <c r="G2660" s="1287"/>
      <c r="H2660" s="879"/>
      <c r="K2660" s="1192" t="s">
        <v>3632</v>
      </c>
      <c r="V2660" s="1192">
        <v>22</v>
      </c>
    </row>
    <row r="2661" spans="1:22" s="1192" customFormat="1" ht="14.4" x14ac:dyDescent="0.3">
      <c r="A2661" s="1192" t="s">
        <v>179</v>
      </c>
      <c r="E2661" s="1745" t="s">
        <v>6205</v>
      </c>
      <c r="F2661" s="1745"/>
      <c r="G2661" s="1277" t="s">
        <v>82</v>
      </c>
      <c r="H2661" s="1218">
        <v>1.5</v>
      </c>
      <c r="V2661" s="1192">
        <v>100</v>
      </c>
    </row>
    <row r="2662" spans="1:22" s="1192" customFormat="1" ht="14.4" x14ac:dyDescent="0.3">
      <c r="A2662" s="1192" t="s">
        <v>179</v>
      </c>
      <c r="E2662" s="1942" t="s">
        <v>6106</v>
      </c>
      <c r="F2662" s="1942"/>
      <c r="G2662" s="1277" t="s">
        <v>19</v>
      </c>
      <c r="H2662" s="1218">
        <v>30</v>
      </c>
      <c r="V2662" s="1192">
        <v>44</v>
      </c>
    </row>
    <row r="2663" spans="1:22" s="1192" customFormat="1" ht="14.4" x14ac:dyDescent="0.3">
      <c r="A2663" s="1192" t="s">
        <v>179</v>
      </c>
      <c r="E2663" s="1942" t="s">
        <v>6107</v>
      </c>
      <c r="F2663" s="1942"/>
      <c r="G2663" s="1277" t="s">
        <v>19</v>
      </c>
      <c r="H2663" s="1218">
        <v>165</v>
      </c>
      <c r="V2663" s="1192">
        <v>43</v>
      </c>
    </row>
    <row r="2664" spans="1:22" s="1192" customFormat="1" ht="14.4" x14ac:dyDescent="0.3">
      <c r="A2664" s="1192" t="s">
        <v>179</v>
      </c>
      <c r="E2664" s="1942" t="s">
        <v>6108</v>
      </c>
      <c r="F2664" s="1942"/>
      <c r="G2664" s="1277" t="s">
        <v>19</v>
      </c>
      <c r="H2664" s="1218">
        <v>100</v>
      </c>
      <c r="V2664" s="1192">
        <v>43</v>
      </c>
    </row>
    <row r="2665" spans="1:22" s="1192" customFormat="1" ht="14.4" x14ac:dyDescent="0.3">
      <c r="A2665" s="1192" t="s">
        <v>179</v>
      </c>
      <c r="E2665" s="1942" t="s">
        <v>6115</v>
      </c>
      <c r="F2665" s="1942"/>
      <c r="G2665" s="1277" t="s">
        <v>19</v>
      </c>
      <c r="H2665" s="1218">
        <v>300</v>
      </c>
      <c r="V2665" s="1192">
        <v>42</v>
      </c>
    </row>
    <row r="2666" spans="1:22" s="1192" customFormat="1" ht="14.4" x14ac:dyDescent="0.3">
      <c r="A2666" s="1192" t="s">
        <v>179</v>
      </c>
      <c r="E2666" s="1258" t="s">
        <v>2474</v>
      </c>
      <c r="F2666" s="843"/>
      <c r="G2666" s="1280"/>
      <c r="H2666" s="840"/>
      <c r="V2666" s="1192">
        <v>5</v>
      </c>
    </row>
    <row r="2667" spans="1:22" s="1192" customFormat="1" ht="14.4" x14ac:dyDescent="0.3">
      <c r="A2667" s="1192" t="s">
        <v>179</v>
      </c>
      <c r="E2667" s="1942" t="s">
        <v>2478</v>
      </c>
      <c r="F2667" s="1942"/>
      <c r="G2667" s="1277" t="s">
        <v>19</v>
      </c>
      <c r="H2667" s="1218">
        <v>165</v>
      </c>
      <c r="V2667" s="1192">
        <v>34</v>
      </c>
    </row>
    <row r="2668" spans="1:22" s="1192" customFormat="1" ht="14.4" x14ac:dyDescent="0.3">
      <c r="A2668" s="1192" t="s">
        <v>179</v>
      </c>
      <c r="E2668" s="1942" t="s">
        <v>2703</v>
      </c>
      <c r="F2668" s="1942"/>
      <c r="G2668" s="1277" t="s">
        <v>19</v>
      </c>
      <c r="H2668" s="1218">
        <v>500</v>
      </c>
      <c r="V2668" s="1192">
        <v>64</v>
      </c>
    </row>
    <row r="2669" spans="1:22" s="1192" customFormat="1" ht="14.4" x14ac:dyDescent="0.3">
      <c r="A2669" s="1192" t="s">
        <v>179</v>
      </c>
      <c r="E2669" s="1942" t="s">
        <v>2759</v>
      </c>
      <c r="F2669" s="1942"/>
      <c r="G2669" s="1277" t="s">
        <v>19</v>
      </c>
      <c r="H2669" s="1218">
        <v>1000</v>
      </c>
      <c r="V2669" s="1192">
        <v>66</v>
      </c>
    </row>
    <row r="2670" spans="1:22" s="1192" customFormat="1" ht="14.4" x14ac:dyDescent="0.3">
      <c r="A2670" s="1192" t="s">
        <v>179</v>
      </c>
      <c r="E2670" s="1942" t="s">
        <v>4555</v>
      </c>
      <c r="F2670" s="1942"/>
      <c r="G2670" s="558" t="s">
        <v>19</v>
      </c>
      <c r="H2670" s="1218">
        <v>44.5</v>
      </c>
      <c r="V2670" s="1192">
        <v>105</v>
      </c>
    </row>
    <row r="2671" spans="1:22" s="1192" customFormat="1" x14ac:dyDescent="0.35">
      <c r="A2671" s="1192" t="s">
        <v>179</v>
      </c>
      <c r="E2671" s="1746" t="s">
        <v>73</v>
      </c>
      <c r="F2671" s="1998"/>
      <c r="G2671" s="550"/>
      <c r="H2671" s="881"/>
      <c r="K2671" s="1192" t="s">
        <v>3633</v>
      </c>
      <c r="V2671" s="1192">
        <v>38</v>
      </c>
    </row>
    <row r="2672" spans="1:22" s="1192" customFormat="1" ht="14.4" x14ac:dyDescent="0.3">
      <c r="A2672" s="1192" t="s">
        <v>179</v>
      </c>
      <c r="E2672" s="1743" t="s">
        <v>2391</v>
      </c>
      <c r="F2672" s="1743"/>
      <c r="G2672" s="1743"/>
      <c r="H2672" s="1743"/>
      <c r="V2672" s="1192">
        <v>280</v>
      </c>
    </row>
    <row r="2673" spans="1:22" s="1192" customFormat="1" ht="14.4" x14ac:dyDescent="0.3">
      <c r="A2673" s="1192" t="s">
        <v>179</v>
      </c>
      <c r="E2673" s="1743" t="s">
        <v>2392</v>
      </c>
      <c r="F2673" s="1743"/>
      <c r="G2673" s="1743"/>
      <c r="H2673" s="1743"/>
      <c r="V2673" s="1192">
        <v>411</v>
      </c>
    </row>
    <row r="2674" spans="1:22" s="1192" customFormat="1" ht="14.4" x14ac:dyDescent="0.3">
      <c r="A2674" s="1192" t="s">
        <v>179</v>
      </c>
      <c r="E2674" s="1743" t="s">
        <v>2445</v>
      </c>
      <c r="F2674" s="1743"/>
      <c r="G2674" s="1743"/>
      <c r="H2674" s="1743"/>
      <c r="V2674" s="1192">
        <v>211</v>
      </c>
    </row>
    <row r="2675" spans="1:22" s="1192" customFormat="1" ht="14.4" x14ac:dyDescent="0.3">
      <c r="A2675" s="1192" t="s">
        <v>179</v>
      </c>
      <c r="E2675" s="1743" t="s">
        <v>4500</v>
      </c>
      <c r="F2675" s="1743"/>
      <c r="G2675" s="1743"/>
      <c r="H2675" s="1743"/>
      <c r="V2675" s="1192">
        <v>247</v>
      </c>
    </row>
    <row r="2676" spans="1:22" s="1192" customFormat="1" ht="14.4" x14ac:dyDescent="0.3">
      <c r="A2676" s="1192" t="s">
        <v>179</v>
      </c>
      <c r="E2676" s="1743" t="s">
        <v>2595</v>
      </c>
      <c r="F2676" s="1743"/>
      <c r="G2676" s="1743"/>
      <c r="H2676" s="1743"/>
      <c r="V2676" s="1192">
        <v>142</v>
      </c>
    </row>
    <row r="2677" spans="1:22" s="1192" customFormat="1" ht="14.4" x14ac:dyDescent="0.3">
      <c r="A2677" s="1192" t="s">
        <v>179</v>
      </c>
      <c r="E2677" s="1741" t="s">
        <v>2485</v>
      </c>
      <c r="F2677" s="1741"/>
      <c r="G2677" s="360" t="s">
        <v>19</v>
      </c>
      <c r="H2677" s="1218">
        <v>102</v>
      </c>
      <c r="V2677" s="1192">
        <v>106</v>
      </c>
    </row>
    <row r="2678" spans="1:22" s="1192" customFormat="1" ht="14.4" x14ac:dyDescent="0.3">
      <c r="A2678" s="1192" t="s">
        <v>179</v>
      </c>
      <c r="E2678" s="1741" t="s">
        <v>2486</v>
      </c>
      <c r="F2678" s="1741"/>
      <c r="G2678" s="1280" t="s">
        <v>19</v>
      </c>
      <c r="H2678" s="509">
        <v>40.799999999999997</v>
      </c>
      <c r="V2678" s="1192">
        <v>34</v>
      </c>
    </row>
    <row r="2679" spans="1:22" s="1192" customFormat="1" ht="14.4" x14ac:dyDescent="0.3">
      <c r="A2679" s="1192" t="s">
        <v>179</v>
      </c>
      <c r="E2679" s="1741" t="s">
        <v>2487</v>
      </c>
      <c r="F2679" s="1741"/>
      <c r="G2679" s="1280" t="s">
        <v>2488</v>
      </c>
      <c r="H2679" s="509">
        <v>1.02</v>
      </c>
      <c r="V2679" s="1192">
        <v>51</v>
      </c>
    </row>
    <row r="2680" spans="1:22" s="1192" customFormat="1" ht="14.4" x14ac:dyDescent="0.3">
      <c r="A2680" s="1192" t="s">
        <v>179</v>
      </c>
      <c r="E2680" s="1741" t="s">
        <v>2489</v>
      </c>
      <c r="F2680" s="1741"/>
      <c r="G2680" s="1280" t="s">
        <v>2488</v>
      </c>
      <c r="H2680" s="509">
        <v>0.61</v>
      </c>
      <c r="V2680" s="1192">
        <v>75</v>
      </c>
    </row>
    <row r="2681" spans="1:22" s="1192" customFormat="1" ht="14.4" x14ac:dyDescent="0.3">
      <c r="A2681" s="1192" t="s">
        <v>179</v>
      </c>
      <c r="E2681" s="1741" t="s">
        <v>2490</v>
      </c>
      <c r="F2681" s="1741"/>
      <c r="G2681" s="1280" t="s">
        <v>2488</v>
      </c>
      <c r="H2681" s="509">
        <v>-0.61</v>
      </c>
      <c r="V2681" s="1192">
        <v>72</v>
      </c>
    </row>
    <row r="2682" spans="1:22" s="1192" customFormat="1" ht="14.4" x14ac:dyDescent="0.3">
      <c r="A2682" s="1192" t="s">
        <v>179</v>
      </c>
      <c r="E2682" s="1741" t="s">
        <v>2596</v>
      </c>
      <c r="F2682" s="1741"/>
      <c r="G2682" s="1280"/>
      <c r="H2682" s="840"/>
      <c r="V2682" s="1192">
        <v>34</v>
      </c>
    </row>
    <row r="2683" spans="1:22" s="1192" customFormat="1" ht="14.4" x14ac:dyDescent="0.3">
      <c r="A2683" s="1192" t="s">
        <v>179</v>
      </c>
      <c r="E2683" s="1941" t="s">
        <v>2492</v>
      </c>
      <c r="F2683" s="1941"/>
      <c r="G2683" s="1280" t="s">
        <v>19</v>
      </c>
      <c r="H2683" s="509">
        <v>0.51</v>
      </c>
      <c r="V2683" s="1192">
        <v>57</v>
      </c>
    </row>
    <row r="2684" spans="1:22" s="1192" customFormat="1" ht="14.4" x14ac:dyDescent="0.3">
      <c r="A2684" s="1192" t="s">
        <v>179</v>
      </c>
      <c r="E2684" s="1941" t="s">
        <v>2493</v>
      </c>
      <c r="F2684" s="1941"/>
      <c r="G2684" s="1280" t="s">
        <v>19</v>
      </c>
      <c r="H2684" s="509">
        <v>1.02</v>
      </c>
      <c r="V2684" s="1192">
        <v>60</v>
      </c>
    </row>
    <row r="2685" spans="1:22" s="1192" customFormat="1" ht="14.4" x14ac:dyDescent="0.3">
      <c r="A2685" s="1192" t="s">
        <v>179</v>
      </c>
      <c r="E2685" s="1741" t="s">
        <v>2494</v>
      </c>
      <c r="F2685" s="1741"/>
      <c r="G2685" s="1280"/>
      <c r="H2685" s="840"/>
      <c r="V2685" s="1192">
        <v>91</v>
      </c>
    </row>
    <row r="2686" spans="1:22" s="1192" customFormat="1" ht="14.4" x14ac:dyDescent="0.3">
      <c r="A2686" s="1192" t="s">
        <v>179</v>
      </c>
      <c r="E2686" s="1741" t="s">
        <v>2495</v>
      </c>
      <c r="F2686" s="1741"/>
      <c r="G2686" s="1280"/>
      <c r="H2686" s="840"/>
      <c r="V2686" s="1192">
        <v>96</v>
      </c>
    </row>
    <row r="2687" spans="1:22" s="1192" customFormat="1" ht="14.4" x14ac:dyDescent="0.3">
      <c r="A2687" s="1192" t="s">
        <v>179</v>
      </c>
      <c r="E2687" s="1741" t="s">
        <v>2597</v>
      </c>
      <c r="F2687" s="1741"/>
      <c r="G2687" s="1280"/>
      <c r="H2687" s="840"/>
      <c r="V2687" s="1192">
        <v>77</v>
      </c>
    </row>
    <row r="2688" spans="1:22" s="1192" customFormat="1" ht="14.4" x14ac:dyDescent="0.3">
      <c r="A2688" s="1192" t="s">
        <v>179</v>
      </c>
      <c r="E2688" s="1941" t="s">
        <v>2497</v>
      </c>
      <c r="F2688" s="1941"/>
      <c r="G2688" s="1280" t="s">
        <v>19</v>
      </c>
      <c r="H2688" s="840" t="s">
        <v>2498</v>
      </c>
      <c r="V2688" s="1192">
        <v>18</v>
      </c>
    </row>
    <row r="2689" spans="1:22" s="1192" customFormat="1" ht="14.4" x14ac:dyDescent="0.3">
      <c r="A2689" s="1192" t="s">
        <v>179</v>
      </c>
      <c r="E2689" s="1941" t="s">
        <v>2499</v>
      </c>
      <c r="F2689" s="1941"/>
      <c r="G2689" s="1280" t="s">
        <v>19</v>
      </c>
      <c r="H2689" s="509">
        <v>4.08</v>
      </c>
      <c r="V2689" s="1192">
        <v>69</v>
      </c>
    </row>
    <row r="2690" spans="1:22" s="1192" customFormat="1" ht="14.4" x14ac:dyDescent="0.3">
      <c r="A2690" s="1192" t="s">
        <v>179</v>
      </c>
      <c r="E2690" s="1740" t="s">
        <v>4608</v>
      </c>
      <c r="F2690" s="1740"/>
      <c r="G2690" s="360" t="s">
        <v>19</v>
      </c>
      <c r="H2690" s="1218">
        <v>2.04</v>
      </c>
      <c r="V2690" s="1192">
        <v>199</v>
      </c>
    </row>
    <row r="2691" spans="1:22" s="1192" customFormat="1" x14ac:dyDescent="0.35">
      <c r="A2691" s="1192" t="s">
        <v>179</v>
      </c>
      <c r="E2691" s="1260" t="s">
        <v>143</v>
      </c>
      <c r="F2691" s="550"/>
      <c r="G2691" s="550"/>
      <c r="H2691" s="881"/>
      <c r="K2691" s="1192" t="s">
        <v>3634</v>
      </c>
      <c r="V2691" s="1192">
        <v>12</v>
      </c>
    </row>
    <row r="2692" spans="1:22" s="1192" customFormat="1" ht="14.4" x14ac:dyDescent="0.3">
      <c r="A2692" s="1192" t="s">
        <v>179</v>
      </c>
      <c r="E2692" s="1741" t="s">
        <v>2501</v>
      </c>
      <c r="F2692" s="1741"/>
      <c r="G2692" s="1741"/>
      <c r="H2692" s="1741"/>
      <c r="V2692" s="1192">
        <v>203</v>
      </c>
    </row>
    <row r="2693" spans="1:22" s="1192" customFormat="1" ht="14.4" x14ac:dyDescent="0.3">
      <c r="A2693" s="1192" t="s">
        <v>179</v>
      </c>
      <c r="E2693" s="1741" t="s">
        <v>2599</v>
      </c>
      <c r="F2693" s="1741"/>
      <c r="G2693" s="1277"/>
      <c r="H2693" s="837">
        <v>1.0508999999999999</v>
      </c>
      <c r="V2693" s="1192">
        <v>57</v>
      </c>
    </row>
    <row r="2694" spans="1:22" s="1192" customFormat="1" ht="14.4" x14ac:dyDescent="0.3">
      <c r="A2694" s="1192" t="s">
        <v>179</v>
      </c>
      <c r="E2694" s="1741" t="s">
        <v>2601</v>
      </c>
      <c r="F2694" s="1741"/>
      <c r="G2694" s="1277"/>
      <c r="H2694" s="837">
        <v>1.0409999999999999</v>
      </c>
      <c r="J2694" s="1192" t="s">
        <v>3635</v>
      </c>
      <c r="V2694" s="1192">
        <v>55</v>
      </c>
    </row>
    <row r="2695" spans="1:22" s="1192" customFormat="1" ht="22.8" x14ac:dyDescent="0.3">
      <c r="A2695" s="1192" t="s">
        <v>207</v>
      </c>
      <c r="B2695" s="1192" t="s">
        <v>3072</v>
      </c>
      <c r="C2695" s="1192" t="s">
        <v>2378</v>
      </c>
      <c r="E2695" s="1752" t="s">
        <v>207</v>
      </c>
      <c r="F2695" s="1752"/>
      <c r="G2695" s="1752"/>
      <c r="H2695" s="1752"/>
      <c r="I2695" s="1192" t="s">
        <v>603</v>
      </c>
      <c r="J2695" s="1192" t="s">
        <v>3073</v>
      </c>
      <c r="K2695" s="1192" t="s">
        <v>207</v>
      </c>
      <c r="M2695" s="1192">
        <v>8</v>
      </c>
      <c r="V2695" s="1192">
        <v>23</v>
      </c>
    </row>
    <row r="2696" spans="1:22" s="1192" customFormat="1" ht="17.399999999999999" x14ac:dyDescent="0.3">
      <c r="A2696" s="1192" t="s">
        <v>207</v>
      </c>
      <c r="B2696" s="1192" t="s">
        <v>3072</v>
      </c>
      <c r="C2696" s="1192" t="s">
        <v>2380</v>
      </c>
      <c r="E2696" s="2168" t="s">
        <v>2044</v>
      </c>
      <c r="F2696" s="2168"/>
      <c r="G2696" s="2168"/>
      <c r="H2696" s="2168"/>
      <c r="V2696" s="1192">
        <v>47</v>
      </c>
    </row>
    <row r="2697" spans="1:22" s="1192" customFormat="1" ht="17.399999999999999" x14ac:dyDescent="0.3">
      <c r="A2697" s="1192" t="s">
        <v>207</v>
      </c>
      <c r="B2697" s="1192" t="s">
        <v>3072</v>
      </c>
      <c r="C2697" s="1192" t="s">
        <v>2382</v>
      </c>
      <c r="E2697" s="1753" t="s">
        <v>2381</v>
      </c>
      <c r="F2697" s="1753"/>
      <c r="G2697" s="1753"/>
      <c r="H2697" s="1753"/>
      <c r="V2697" s="1192">
        <v>27</v>
      </c>
    </row>
    <row r="2698" spans="1:22" s="1192" customFormat="1" ht="15.6" x14ac:dyDescent="0.3">
      <c r="A2698" s="1192" t="s">
        <v>207</v>
      </c>
      <c r="B2698" s="1192" t="s">
        <v>3072</v>
      </c>
      <c r="C2698" s="1192" t="s">
        <v>2383</v>
      </c>
      <c r="E2698" s="1754" t="s">
        <v>5937</v>
      </c>
      <c r="F2698" s="1754"/>
      <c r="G2698" s="1754"/>
      <c r="H2698" s="1754"/>
      <c r="S2698" s="1192">
        <v>43831</v>
      </c>
      <c r="V2698" s="1192">
        <v>49</v>
      </c>
    </row>
    <row r="2699" spans="1:22" s="1192" customFormat="1" ht="14.4" x14ac:dyDescent="0.3">
      <c r="A2699" s="1192" t="s">
        <v>207</v>
      </c>
      <c r="B2699" s="1192" t="s">
        <v>3072</v>
      </c>
      <c r="E2699" s="1755" t="s">
        <v>2384</v>
      </c>
      <c r="F2699" s="1755"/>
      <c r="G2699" s="1755"/>
      <c r="H2699" s="1755"/>
      <c r="V2699" s="1192">
        <v>52</v>
      </c>
    </row>
    <row r="2700" spans="1:22" s="1192" customFormat="1" ht="14.4" x14ac:dyDescent="0.3">
      <c r="A2700" s="1192" t="s">
        <v>207</v>
      </c>
      <c r="B2700" s="1192" t="s">
        <v>3072</v>
      </c>
      <c r="E2700" s="1755" t="s">
        <v>2385</v>
      </c>
      <c r="F2700" s="1755"/>
      <c r="G2700" s="1755"/>
      <c r="H2700" s="1755"/>
      <c r="V2700" s="1192">
        <v>53</v>
      </c>
    </row>
    <row r="2701" spans="1:22" s="1192" customFormat="1" ht="14.4" x14ac:dyDescent="0.3">
      <c r="A2701" s="1192" t="s">
        <v>207</v>
      </c>
      <c r="B2701" s="1192" t="s">
        <v>3072</v>
      </c>
      <c r="E2701" s="1772" t="s">
        <v>6206</v>
      </c>
      <c r="F2701" s="1772"/>
      <c r="G2701" s="1772"/>
      <c r="H2701" s="1772"/>
      <c r="K2701" s="1192" t="s">
        <v>6206</v>
      </c>
      <c r="V2701" s="1192">
        <v>12</v>
      </c>
    </row>
    <row r="2702" spans="1:22" s="1192" customFormat="1" ht="14.4" x14ac:dyDescent="0.3">
      <c r="A2702" s="1192" t="s">
        <v>207</v>
      </c>
      <c r="B2702" s="1192" t="s">
        <v>3072</v>
      </c>
      <c r="E2702" s="2045" t="s">
        <v>427</v>
      </c>
      <c r="F2702" s="2176"/>
      <c r="G2702" s="2176"/>
      <c r="H2702" s="2176"/>
      <c r="K2702" s="1192" t="s">
        <v>2506</v>
      </c>
      <c r="V2702" s="1192">
        <v>34</v>
      </c>
    </row>
    <row r="2703" spans="1:22" s="1192" customFormat="1" ht="14.4" x14ac:dyDescent="0.3">
      <c r="A2703" s="1192" t="s">
        <v>207</v>
      </c>
      <c r="B2703" s="1192" t="s">
        <v>3072</v>
      </c>
      <c r="E2703" s="1743" t="s">
        <v>4097</v>
      </c>
      <c r="F2703" s="1743"/>
      <c r="G2703" s="1743"/>
      <c r="H2703" s="1743"/>
      <c r="K2703" s="1192" t="s">
        <v>2506</v>
      </c>
      <c r="V2703" s="1192">
        <v>799</v>
      </c>
    </row>
    <row r="2704" spans="1:22" s="1192" customFormat="1" ht="14.4" x14ac:dyDescent="0.3">
      <c r="A2704" s="1192" t="s">
        <v>207</v>
      </c>
      <c r="B2704" s="1192" t="s">
        <v>3072</v>
      </c>
      <c r="E2704" s="1750" t="s">
        <v>2389</v>
      </c>
      <c r="F2704" s="2037"/>
      <c r="G2704" s="2037"/>
      <c r="H2704" s="2037"/>
      <c r="K2704" s="1192" t="s">
        <v>2390</v>
      </c>
      <c r="V2704" s="1192">
        <v>11</v>
      </c>
    </row>
    <row r="2705" spans="1:22" s="1192" customFormat="1" ht="14.4" x14ac:dyDescent="0.3">
      <c r="A2705" s="1192" t="s">
        <v>207</v>
      </c>
      <c r="B2705" s="1192" t="s">
        <v>3072</v>
      </c>
      <c r="E2705" s="1743" t="s">
        <v>2391</v>
      </c>
      <c r="F2705" s="1743"/>
      <c r="G2705" s="1743"/>
      <c r="H2705" s="1743"/>
      <c r="K2705" s="1192" t="s">
        <v>2506</v>
      </c>
      <c r="V2705" s="1192">
        <v>280</v>
      </c>
    </row>
    <row r="2706" spans="1:22" s="1192" customFormat="1" ht="14.4" x14ac:dyDescent="0.3">
      <c r="A2706" s="1192" t="s">
        <v>207</v>
      </c>
      <c r="B2706" s="1192" t="s">
        <v>3072</v>
      </c>
      <c r="E2706" s="1743" t="s">
        <v>2392</v>
      </c>
      <c r="F2706" s="1743"/>
      <c r="G2706" s="1743"/>
      <c r="H2706" s="1743"/>
      <c r="K2706" s="1192" t="s">
        <v>2506</v>
      </c>
      <c r="V2706" s="1192">
        <v>411</v>
      </c>
    </row>
    <row r="2707" spans="1:22" s="1192" customFormat="1" ht="14.4" x14ac:dyDescent="0.3">
      <c r="A2707" s="1192" t="s">
        <v>207</v>
      </c>
      <c r="B2707" s="1192" t="s">
        <v>3072</v>
      </c>
      <c r="E2707" s="1743" t="s">
        <v>2508</v>
      </c>
      <c r="F2707" s="1743"/>
      <c r="G2707" s="1743"/>
      <c r="H2707" s="1743"/>
      <c r="K2707" s="1192" t="s">
        <v>2506</v>
      </c>
      <c r="V2707" s="1192">
        <v>386</v>
      </c>
    </row>
    <row r="2708" spans="1:22" s="1192" customFormat="1" ht="14.4" x14ac:dyDescent="0.3">
      <c r="A2708" s="1192" t="s">
        <v>207</v>
      </c>
      <c r="B2708" s="1192" t="s">
        <v>3072</v>
      </c>
      <c r="E2708" s="1743" t="s">
        <v>2986</v>
      </c>
      <c r="F2708" s="1743"/>
      <c r="G2708" s="1743"/>
      <c r="H2708" s="1743"/>
      <c r="K2708" s="1192" t="s">
        <v>2506</v>
      </c>
      <c r="V2708" s="1192">
        <v>246</v>
      </c>
    </row>
    <row r="2709" spans="1:22" s="1192" customFormat="1" ht="14.4" x14ac:dyDescent="0.3">
      <c r="A2709" s="1192" t="s">
        <v>207</v>
      </c>
      <c r="B2709" s="1192" t="s">
        <v>3072</v>
      </c>
      <c r="E2709" s="1750" t="s">
        <v>2394</v>
      </c>
      <c r="F2709" s="2037"/>
      <c r="G2709" s="2037"/>
      <c r="H2709" s="2037"/>
      <c r="K2709" s="1192" t="s">
        <v>2395</v>
      </c>
      <c r="V2709" s="1192">
        <v>46</v>
      </c>
    </row>
    <row r="2710" spans="1:22" s="1192" customFormat="1" ht="14.4" x14ac:dyDescent="0.3">
      <c r="A2710" s="1192" t="s">
        <v>207</v>
      </c>
      <c r="B2710" s="1192" t="s">
        <v>3072</v>
      </c>
      <c r="E2710" s="1741" t="s">
        <v>7</v>
      </c>
      <c r="F2710" s="1741"/>
      <c r="G2710" s="1262" t="s">
        <v>19</v>
      </c>
      <c r="H2710" s="509">
        <v>35.659999999999997</v>
      </c>
      <c r="K2710" s="1192" t="s">
        <v>2506</v>
      </c>
      <c r="L2710" s="1192" t="s">
        <v>430</v>
      </c>
      <c r="P2710" s="1192" t="s">
        <v>2510</v>
      </c>
      <c r="V2710" s="1192">
        <v>14</v>
      </c>
    </row>
    <row r="2711" spans="1:22" s="1192" customFormat="1" ht="14.4" x14ac:dyDescent="0.3">
      <c r="A2711" s="1192" t="s">
        <v>207</v>
      </c>
      <c r="B2711" s="1192" t="s">
        <v>3072</v>
      </c>
      <c r="E2711" s="1741" t="s">
        <v>6207</v>
      </c>
      <c r="F2711" s="1741"/>
      <c r="G2711" s="1262" t="s">
        <v>19</v>
      </c>
      <c r="H2711" s="509">
        <v>-0.36</v>
      </c>
      <c r="K2711" s="1192" t="s">
        <v>2506</v>
      </c>
      <c r="L2711" s="1192" t="s">
        <v>430</v>
      </c>
      <c r="P2711" s="1192" t="s">
        <v>4423</v>
      </c>
      <c r="T2711" s="1192">
        <v>44012</v>
      </c>
      <c r="V2711" s="1192">
        <v>88</v>
      </c>
    </row>
    <row r="2712" spans="1:22" s="1192" customFormat="1" ht="14.4" x14ac:dyDescent="0.3">
      <c r="A2712" s="1192" t="s">
        <v>207</v>
      </c>
      <c r="B2712" s="1192" t="s">
        <v>3072</v>
      </c>
      <c r="E2712" s="1741" t="s">
        <v>3900</v>
      </c>
      <c r="F2712" s="1741"/>
      <c r="G2712" s="1262" t="s">
        <v>19</v>
      </c>
      <c r="H2712" s="509">
        <v>0.56999999999999995</v>
      </c>
      <c r="K2712" s="1192" t="s">
        <v>2506</v>
      </c>
      <c r="L2712" s="1192" t="s">
        <v>431</v>
      </c>
      <c r="P2712" s="1192" t="s">
        <v>2511</v>
      </c>
      <c r="T2712" s="1192">
        <v>44926</v>
      </c>
      <c r="V2712" s="1192">
        <v>64</v>
      </c>
    </row>
    <row r="2713" spans="1:22" s="1192" customFormat="1" ht="14.4" x14ac:dyDescent="0.3">
      <c r="A2713" s="1192" t="s">
        <v>207</v>
      </c>
      <c r="B2713" s="1192" t="s">
        <v>3072</v>
      </c>
      <c r="E2713" s="1741" t="s">
        <v>14</v>
      </c>
      <c r="F2713" s="1741"/>
      <c r="G2713" s="1262" t="s">
        <v>20</v>
      </c>
      <c r="H2713" s="839">
        <v>4.0000000000000002E-4</v>
      </c>
      <c r="K2713" s="1192" t="s">
        <v>2506</v>
      </c>
      <c r="L2713" s="1192" t="s">
        <v>431</v>
      </c>
      <c r="P2713" s="1192" t="s">
        <v>2513</v>
      </c>
      <c r="V2713" s="1192">
        <v>24</v>
      </c>
    </row>
    <row r="2714" spans="1:22" s="1192" customFormat="1" ht="14.4" x14ac:dyDescent="0.3">
      <c r="A2714" s="1192" t="s">
        <v>207</v>
      </c>
      <c r="B2714" s="1192" t="s">
        <v>3072</v>
      </c>
      <c r="E2714" s="1741" t="s">
        <v>4683</v>
      </c>
      <c r="F2714" s="1741"/>
      <c r="G2714" s="1262" t="s">
        <v>20</v>
      </c>
      <c r="H2714" s="839">
        <v>2.0000000000000001E-4</v>
      </c>
      <c r="K2714" s="1192" t="s">
        <v>2506</v>
      </c>
      <c r="L2714" s="1192" t="s">
        <v>430</v>
      </c>
      <c r="P2714" s="1192" t="s">
        <v>3075</v>
      </c>
      <c r="V2714" s="1192">
        <v>132</v>
      </c>
    </row>
    <row r="2715" spans="1:22" s="1192" customFormat="1" ht="14.4" x14ac:dyDescent="0.3">
      <c r="A2715" s="1192" t="s">
        <v>207</v>
      </c>
      <c r="B2715" s="1192" t="s">
        <v>3072</v>
      </c>
      <c r="E2715" s="1741" t="s">
        <v>213</v>
      </c>
      <c r="F2715" s="1741"/>
      <c r="G2715" s="1262" t="s">
        <v>20</v>
      </c>
      <c r="H2715" s="837">
        <v>6.7000000000000002E-3</v>
      </c>
      <c r="K2715" s="1192" t="s">
        <v>2506</v>
      </c>
      <c r="L2715" s="1192" t="s">
        <v>432</v>
      </c>
      <c r="P2715" s="1192" t="s">
        <v>2517</v>
      </c>
      <c r="V2715" s="1192">
        <v>47</v>
      </c>
    </row>
    <row r="2716" spans="1:22" s="1192" customFormat="1" ht="14.4" x14ac:dyDescent="0.3">
      <c r="A2716" s="1192" t="s">
        <v>207</v>
      </c>
      <c r="B2716" s="1192" t="s">
        <v>3072</v>
      </c>
      <c r="E2716" s="1741" t="s">
        <v>209</v>
      </c>
      <c r="F2716" s="1741"/>
      <c r="G2716" s="1262" t="s">
        <v>20</v>
      </c>
      <c r="H2716" s="1219">
        <v>6.0000000000000001E-3</v>
      </c>
      <c r="K2716" s="1192" t="s">
        <v>2506</v>
      </c>
      <c r="L2716" s="1192" t="s">
        <v>432</v>
      </c>
      <c r="P2716" s="1192" t="s">
        <v>2518</v>
      </c>
      <c r="V2716" s="1192">
        <v>74</v>
      </c>
    </row>
    <row r="2717" spans="1:22" s="1192" customFormat="1" ht="14.4" x14ac:dyDescent="0.3">
      <c r="A2717" s="1192" t="s">
        <v>207</v>
      </c>
      <c r="B2717" s="1192" t="s">
        <v>3072</v>
      </c>
      <c r="E2717" s="1750" t="s">
        <v>2405</v>
      </c>
      <c r="F2717" s="2008"/>
      <c r="G2717" s="1262"/>
      <c r="H2717" s="839" t="s">
        <v>2045</v>
      </c>
      <c r="K2717" s="1192" t="s">
        <v>2406</v>
      </c>
      <c r="V2717" s="1192">
        <v>48</v>
      </c>
    </row>
    <row r="2718" spans="1:22" s="1192" customFormat="1" ht="14.4" x14ac:dyDescent="0.3">
      <c r="A2718" s="1192" t="s">
        <v>207</v>
      </c>
      <c r="B2718" s="1192" t="s">
        <v>3072</v>
      </c>
      <c r="E2718" s="1741" t="s">
        <v>2033</v>
      </c>
      <c r="F2718" s="1741"/>
      <c r="G2718" s="1262" t="s">
        <v>20</v>
      </c>
      <c r="H2718" s="1219">
        <v>3.0000000000000001E-3</v>
      </c>
      <c r="K2718" s="1192" t="s">
        <v>2506</v>
      </c>
      <c r="L2718" s="1192" t="s">
        <v>2374</v>
      </c>
      <c r="P2718" s="1192" t="s">
        <v>2519</v>
      </c>
      <c r="V2718" s="1192">
        <v>55</v>
      </c>
    </row>
    <row r="2719" spans="1:22" s="1192" customFormat="1" ht="14.4" x14ac:dyDescent="0.3">
      <c r="A2719" s="1192" t="s">
        <v>207</v>
      </c>
      <c r="B2719" s="1192" t="s">
        <v>3072</v>
      </c>
      <c r="E2719" s="1741" t="s">
        <v>2034</v>
      </c>
      <c r="F2719" s="1741"/>
      <c r="G2719" s="1262" t="s">
        <v>20</v>
      </c>
      <c r="H2719" s="839">
        <v>4.0000000000000002E-4</v>
      </c>
      <c r="K2719" s="1192" t="s">
        <v>2506</v>
      </c>
      <c r="L2719" s="1192" t="s">
        <v>2374</v>
      </c>
      <c r="P2719" s="1192" t="s">
        <v>2519</v>
      </c>
      <c r="V2719" s="1192">
        <v>65</v>
      </c>
    </row>
    <row r="2720" spans="1:22" s="1192" customFormat="1" ht="14.4" x14ac:dyDescent="0.3">
      <c r="A2720" s="1192" t="s">
        <v>207</v>
      </c>
      <c r="B2720" s="1192" t="s">
        <v>3072</v>
      </c>
      <c r="E2720" s="1741" t="s">
        <v>428</v>
      </c>
      <c r="F2720" s="1741"/>
      <c r="G2720" s="1262" t="s">
        <v>20</v>
      </c>
      <c r="H2720" s="839">
        <v>5.0000000000000001E-4</v>
      </c>
      <c r="K2720" s="1192" t="s">
        <v>2506</v>
      </c>
      <c r="L2720" s="1192" t="s">
        <v>2374</v>
      </c>
      <c r="P2720" s="1192" t="s">
        <v>2520</v>
      </c>
      <c r="V2720" s="1192">
        <v>57</v>
      </c>
    </row>
    <row r="2721" spans="1:22" s="1192" customFormat="1" ht="14.4" x14ac:dyDescent="0.3">
      <c r="A2721" s="1192" t="s">
        <v>207</v>
      </c>
      <c r="B2721" s="1192" t="s">
        <v>3072</v>
      </c>
      <c r="E2721" s="1741" t="s">
        <v>28</v>
      </c>
      <c r="F2721" s="1741"/>
      <c r="G2721" s="1262" t="s">
        <v>19</v>
      </c>
      <c r="H2721" s="839">
        <v>0.25</v>
      </c>
      <c r="K2721" s="1192" t="s">
        <v>2506</v>
      </c>
      <c r="L2721" s="1192" t="s">
        <v>2374</v>
      </c>
      <c r="P2721" s="1192" t="s">
        <v>2521</v>
      </c>
      <c r="V2721" s="1192">
        <v>63</v>
      </c>
    </row>
    <row r="2722" spans="1:22" s="1192" customFormat="1" ht="17.399999999999999" x14ac:dyDescent="0.3">
      <c r="A2722" s="1192" t="s">
        <v>207</v>
      </c>
      <c r="B2722" s="1192" t="s">
        <v>3072</v>
      </c>
      <c r="E2722" s="1746" t="s">
        <v>2522</v>
      </c>
      <c r="F2722" s="1746"/>
      <c r="G2722" s="1746"/>
      <c r="H2722" s="1746"/>
      <c r="K2722" s="1192" t="s">
        <v>3901</v>
      </c>
      <c r="V2722" s="1192">
        <v>54</v>
      </c>
    </row>
    <row r="2723" spans="1:22" s="1192" customFormat="1" ht="14.4" x14ac:dyDescent="0.3">
      <c r="A2723" s="1192" t="s">
        <v>207</v>
      </c>
      <c r="B2723" s="1192" t="s">
        <v>3072</v>
      </c>
      <c r="E2723" s="1743" t="s">
        <v>4098</v>
      </c>
      <c r="F2723" s="1743"/>
      <c r="G2723" s="1743"/>
      <c r="H2723" s="1743"/>
      <c r="K2723" s="1192" t="s">
        <v>3901</v>
      </c>
      <c r="V2723" s="1192">
        <v>598</v>
      </c>
    </row>
    <row r="2724" spans="1:22" s="1192" customFormat="1" ht="14.4" x14ac:dyDescent="0.3">
      <c r="A2724" s="1192" t="s">
        <v>207</v>
      </c>
      <c r="B2724" s="1192" t="s">
        <v>3072</v>
      </c>
      <c r="E2724" s="1750" t="s">
        <v>2389</v>
      </c>
      <c r="F2724" s="2037"/>
      <c r="G2724" s="2037"/>
      <c r="H2724" s="2037"/>
      <c r="K2724" s="1192" t="s">
        <v>2412</v>
      </c>
      <c r="V2724" s="1192">
        <v>11</v>
      </c>
    </row>
    <row r="2725" spans="1:22" s="1192" customFormat="1" ht="14.4" x14ac:dyDescent="0.3">
      <c r="A2725" s="1192" t="s">
        <v>207</v>
      </c>
      <c r="B2725" s="1192" t="s">
        <v>3072</v>
      </c>
      <c r="E2725" s="1743" t="s">
        <v>2391</v>
      </c>
      <c r="F2725" s="1743"/>
      <c r="G2725" s="1743"/>
      <c r="H2725" s="1743"/>
      <c r="K2725" s="1192" t="s">
        <v>3901</v>
      </c>
      <c r="V2725" s="1192">
        <v>280</v>
      </c>
    </row>
    <row r="2726" spans="1:22" s="1192" customFormat="1" ht="14.4" x14ac:dyDescent="0.3">
      <c r="A2726" s="1192" t="s">
        <v>207</v>
      </c>
      <c r="B2726" s="1192" t="s">
        <v>3072</v>
      </c>
      <c r="E2726" s="1743" t="s">
        <v>2392</v>
      </c>
      <c r="F2726" s="1743"/>
      <c r="G2726" s="1743"/>
      <c r="H2726" s="1743"/>
      <c r="K2726" s="1192" t="s">
        <v>3901</v>
      </c>
      <c r="V2726" s="1192">
        <v>411</v>
      </c>
    </row>
    <row r="2727" spans="1:22" s="1192" customFormat="1" ht="14.4" x14ac:dyDescent="0.3">
      <c r="A2727" s="1192" t="s">
        <v>207</v>
      </c>
      <c r="B2727" s="1192" t="s">
        <v>3072</v>
      </c>
      <c r="E2727" s="1743" t="s">
        <v>2508</v>
      </c>
      <c r="F2727" s="1743"/>
      <c r="G2727" s="1743"/>
      <c r="H2727" s="1743"/>
      <c r="K2727" s="1192" t="s">
        <v>3901</v>
      </c>
      <c r="V2727" s="1192">
        <v>386</v>
      </c>
    </row>
    <row r="2728" spans="1:22" s="1192" customFormat="1" ht="14.4" x14ac:dyDescent="0.3">
      <c r="A2728" s="1192" t="s">
        <v>207</v>
      </c>
      <c r="B2728" s="1192" t="s">
        <v>3072</v>
      </c>
      <c r="E2728" s="1743" t="s">
        <v>2986</v>
      </c>
      <c r="F2728" s="1743"/>
      <c r="G2728" s="1743"/>
      <c r="H2728" s="1743"/>
      <c r="K2728" s="1192" t="s">
        <v>3901</v>
      </c>
      <c r="V2728" s="1192">
        <v>246</v>
      </c>
    </row>
    <row r="2729" spans="1:22" s="1192" customFormat="1" ht="14.4" x14ac:dyDescent="0.3">
      <c r="A2729" s="1192" t="s">
        <v>207</v>
      </c>
      <c r="B2729" s="1192" t="s">
        <v>3072</v>
      </c>
      <c r="E2729" s="1750" t="s">
        <v>2394</v>
      </c>
      <c r="F2729" s="2037"/>
      <c r="G2729" s="2037"/>
      <c r="H2729" s="2037"/>
      <c r="K2729" s="1192" t="s">
        <v>2413</v>
      </c>
      <c r="V2729" s="1192">
        <v>46</v>
      </c>
    </row>
    <row r="2730" spans="1:22" s="1192" customFormat="1" ht="14.4" x14ac:dyDescent="0.3">
      <c r="A2730" s="1192" t="s">
        <v>207</v>
      </c>
      <c r="B2730" s="1192" t="s">
        <v>3072</v>
      </c>
      <c r="E2730" s="1741" t="s">
        <v>7</v>
      </c>
      <c r="F2730" s="1741"/>
      <c r="G2730" s="1262" t="s">
        <v>19</v>
      </c>
      <c r="H2730" s="837">
        <v>26.94</v>
      </c>
      <c r="K2730" s="1192" t="s">
        <v>3901</v>
      </c>
      <c r="L2730" s="1192" t="s">
        <v>430</v>
      </c>
      <c r="P2730" s="1192" t="s">
        <v>3902</v>
      </c>
      <c r="V2730" s="1192">
        <v>14</v>
      </c>
    </row>
    <row r="2731" spans="1:22" s="1192" customFormat="1" ht="14.4" x14ac:dyDescent="0.3">
      <c r="A2731" s="1192" t="s">
        <v>207</v>
      </c>
      <c r="B2731" s="1192" t="s">
        <v>3072</v>
      </c>
      <c r="E2731" s="1741" t="s">
        <v>3074</v>
      </c>
      <c r="F2731" s="1741"/>
      <c r="G2731" s="1262" t="s">
        <v>19</v>
      </c>
      <c r="H2731" s="509">
        <v>-0.27</v>
      </c>
      <c r="K2731" s="1192" t="s">
        <v>3901</v>
      </c>
      <c r="L2731" s="1192" t="s">
        <v>430</v>
      </c>
      <c r="P2731" s="1192" t="s">
        <v>6208</v>
      </c>
      <c r="T2731" s="1192">
        <v>44012</v>
      </c>
      <c r="V2731" s="1192">
        <v>88</v>
      </c>
    </row>
    <row r="2732" spans="1:22" s="1192" customFormat="1" ht="14.4" x14ac:dyDescent="0.3">
      <c r="A2732" s="1192" t="s">
        <v>207</v>
      </c>
      <c r="B2732" s="1192" t="s">
        <v>3072</v>
      </c>
      <c r="E2732" s="1741" t="s">
        <v>3900</v>
      </c>
      <c r="F2732" s="1741"/>
      <c r="G2732" s="1262" t="s">
        <v>19</v>
      </c>
      <c r="H2732" s="932">
        <v>0.56999999999999995</v>
      </c>
      <c r="K2732" s="1192" t="s">
        <v>3901</v>
      </c>
      <c r="L2732" s="1192" t="s">
        <v>431</v>
      </c>
      <c r="P2732" s="1192" t="s">
        <v>3903</v>
      </c>
      <c r="T2732" s="1192">
        <v>44926</v>
      </c>
      <c r="V2732" s="1192">
        <v>64</v>
      </c>
    </row>
    <row r="2733" spans="1:22" s="1192" customFormat="1" ht="14.4" x14ac:dyDescent="0.3">
      <c r="A2733" s="1192" t="s">
        <v>207</v>
      </c>
      <c r="B2733" s="1192" t="s">
        <v>3072</v>
      </c>
      <c r="E2733" s="1741" t="s">
        <v>80</v>
      </c>
      <c r="F2733" s="1741"/>
      <c r="G2733" s="1262" t="s">
        <v>20</v>
      </c>
      <c r="H2733" s="1219">
        <v>1.9E-2</v>
      </c>
      <c r="K2733" s="1192" t="s">
        <v>3901</v>
      </c>
      <c r="L2733" s="1192" t="s">
        <v>430</v>
      </c>
      <c r="P2733" s="1192" t="s">
        <v>3904</v>
      </c>
      <c r="V2733" s="1192">
        <v>28</v>
      </c>
    </row>
    <row r="2734" spans="1:22" s="1192" customFormat="1" ht="14.4" x14ac:dyDescent="0.3">
      <c r="A2734" s="1192" t="s">
        <v>207</v>
      </c>
      <c r="B2734" s="1192" t="s">
        <v>3072</v>
      </c>
      <c r="E2734" s="1741" t="s">
        <v>14</v>
      </c>
      <c r="F2734" s="1741"/>
      <c r="G2734" s="1262" t="s">
        <v>20</v>
      </c>
      <c r="H2734" s="932">
        <v>4.0000000000000002E-4</v>
      </c>
      <c r="K2734" s="1192" t="s">
        <v>3901</v>
      </c>
      <c r="L2734" s="1192" t="s">
        <v>431</v>
      </c>
      <c r="P2734" s="1192" t="s">
        <v>3905</v>
      </c>
      <c r="V2734" s="1192">
        <v>24</v>
      </c>
    </row>
    <row r="2735" spans="1:22" s="1192" customFormat="1" ht="14.4" x14ac:dyDescent="0.3">
      <c r="A2735" s="1192" t="s">
        <v>207</v>
      </c>
      <c r="B2735" s="1192" t="s">
        <v>3072</v>
      </c>
      <c r="E2735" s="1741" t="s">
        <v>3074</v>
      </c>
      <c r="F2735" s="1741"/>
      <c r="G2735" s="1262" t="s">
        <v>20</v>
      </c>
      <c r="H2735" s="1219">
        <v>-2.0000000000000001E-4</v>
      </c>
      <c r="K2735" s="1192" t="s">
        <v>3901</v>
      </c>
      <c r="L2735" s="1192" t="s">
        <v>430</v>
      </c>
      <c r="P2735" s="1192" t="s">
        <v>6209</v>
      </c>
      <c r="T2735" s="1192">
        <v>44012</v>
      </c>
      <c r="V2735" s="1192">
        <v>88</v>
      </c>
    </row>
    <row r="2736" spans="1:22" s="1192" customFormat="1" ht="14.4" x14ac:dyDescent="0.3">
      <c r="A2736" s="1192" t="s">
        <v>207</v>
      </c>
      <c r="B2736" s="1192" t="s">
        <v>3072</v>
      </c>
      <c r="E2736" s="1741" t="s">
        <v>4685</v>
      </c>
      <c r="F2736" s="1741"/>
      <c r="G2736" s="1262" t="s">
        <v>20</v>
      </c>
      <c r="H2736" s="932">
        <v>2.0000000000000001E-4</v>
      </c>
      <c r="K2736" s="1192" t="s">
        <v>3901</v>
      </c>
      <c r="L2736" s="1192" t="s">
        <v>430</v>
      </c>
      <c r="P2736" s="1192" t="s">
        <v>4099</v>
      </c>
      <c r="V2736" s="1192">
        <v>131</v>
      </c>
    </row>
    <row r="2737" spans="1:22" s="1192" customFormat="1" ht="14.4" x14ac:dyDescent="0.3">
      <c r="A2737" s="1192" t="s">
        <v>207</v>
      </c>
      <c r="B2737" s="1192" t="s">
        <v>3072</v>
      </c>
      <c r="E2737" s="1741" t="s">
        <v>213</v>
      </c>
      <c r="F2737" s="1741"/>
      <c r="G2737" s="1262" t="s">
        <v>20</v>
      </c>
      <c r="H2737" s="837">
        <v>6.1000000000000004E-3</v>
      </c>
      <c r="K2737" s="1192" t="s">
        <v>3901</v>
      </c>
      <c r="L2737" s="1192" t="s">
        <v>432</v>
      </c>
      <c r="P2737" s="1192" t="s">
        <v>3906</v>
      </c>
      <c r="V2737" s="1192">
        <v>47</v>
      </c>
    </row>
    <row r="2738" spans="1:22" s="1192" customFormat="1" ht="14.4" x14ac:dyDescent="0.3">
      <c r="A2738" s="1192" t="s">
        <v>207</v>
      </c>
      <c r="B2738" s="1192" t="s">
        <v>3072</v>
      </c>
      <c r="E2738" s="1741" t="s">
        <v>209</v>
      </c>
      <c r="F2738" s="1741"/>
      <c r="G2738" s="1262" t="s">
        <v>20</v>
      </c>
      <c r="H2738" s="837">
        <v>5.5999999999999999E-3</v>
      </c>
      <c r="K2738" s="1192" t="s">
        <v>3901</v>
      </c>
      <c r="L2738" s="1192" t="s">
        <v>432</v>
      </c>
      <c r="P2738" s="1192" t="s">
        <v>3907</v>
      </c>
      <c r="V2738" s="1192">
        <v>74</v>
      </c>
    </row>
    <row r="2739" spans="1:22" s="1192" customFormat="1" ht="14.4" x14ac:dyDescent="0.3">
      <c r="A2739" s="1192" t="s">
        <v>207</v>
      </c>
      <c r="B2739" s="1192" t="s">
        <v>3072</v>
      </c>
      <c r="E2739" s="1741" t="s">
        <v>2045</v>
      </c>
      <c r="F2739" s="1741"/>
      <c r="G2739" s="1262"/>
      <c r="H2739" s="933"/>
      <c r="K2739" s="1192" t="s">
        <v>3901</v>
      </c>
      <c r="V2739" s="1192">
        <v>0</v>
      </c>
    </row>
    <row r="2740" spans="1:22" s="1192" customFormat="1" ht="14.4" x14ac:dyDescent="0.3">
      <c r="A2740" s="1192" t="s">
        <v>207</v>
      </c>
      <c r="B2740" s="1192" t="s">
        <v>3072</v>
      </c>
      <c r="E2740" s="1750" t="s">
        <v>2405</v>
      </c>
      <c r="F2740" s="2008"/>
      <c r="G2740" s="1262"/>
      <c r="H2740" s="933"/>
      <c r="K2740" s="1192" t="s">
        <v>2418</v>
      </c>
      <c r="V2740" s="1192">
        <v>48</v>
      </c>
    </row>
    <row r="2741" spans="1:22" s="1192" customFormat="1" ht="14.4" x14ac:dyDescent="0.3">
      <c r="A2741" s="1192" t="s">
        <v>207</v>
      </c>
      <c r="B2741" s="1192" t="s">
        <v>3072</v>
      </c>
      <c r="E2741" s="1741" t="s">
        <v>2033</v>
      </c>
      <c r="F2741" s="1741"/>
      <c r="G2741" s="1262" t="s">
        <v>20</v>
      </c>
      <c r="H2741" s="1219">
        <v>3.0000000000000001E-3</v>
      </c>
      <c r="K2741" s="1192" t="s">
        <v>3901</v>
      </c>
      <c r="L2741" s="1192" t="s">
        <v>2374</v>
      </c>
      <c r="P2741" s="1192" t="s">
        <v>3908</v>
      </c>
      <c r="V2741" s="1192">
        <v>55</v>
      </c>
    </row>
    <row r="2742" spans="1:22" s="1192" customFormat="1" ht="14.4" x14ac:dyDescent="0.3">
      <c r="A2742" s="1192" t="s">
        <v>207</v>
      </c>
      <c r="B2742" s="1192" t="s">
        <v>3072</v>
      </c>
      <c r="E2742" s="1741" t="s">
        <v>2034</v>
      </c>
      <c r="F2742" s="1741"/>
      <c r="G2742" s="1262" t="s">
        <v>20</v>
      </c>
      <c r="H2742" s="839">
        <v>4.0000000000000002E-4</v>
      </c>
      <c r="K2742" s="1192" t="s">
        <v>3901</v>
      </c>
      <c r="L2742" s="1192" t="s">
        <v>2374</v>
      </c>
      <c r="P2742" s="1192" t="s">
        <v>3908</v>
      </c>
      <c r="V2742" s="1192">
        <v>65</v>
      </c>
    </row>
    <row r="2743" spans="1:22" s="1192" customFormat="1" ht="14.4" x14ac:dyDescent="0.3">
      <c r="A2743" s="1192" t="s">
        <v>207</v>
      </c>
      <c r="B2743" s="1192" t="s">
        <v>3072</v>
      </c>
      <c r="E2743" s="1741" t="s">
        <v>428</v>
      </c>
      <c r="F2743" s="1741"/>
      <c r="G2743" s="1262" t="s">
        <v>20</v>
      </c>
      <c r="H2743" s="839">
        <v>5.0000000000000001E-4</v>
      </c>
      <c r="K2743" s="1192" t="s">
        <v>3901</v>
      </c>
      <c r="L2743" s="1192" t="s">
        <v>2374</v>
      </c>
      <c r="P2743" s="1192" t="s">
        <v>3909</v>
      </c>
      <c r="V2743" s="1192">
        <v>57</v>
      </c>
    </row>
    <row r="2744" spans="1:22" s="1192" customFormat="1" ht="14.4" x14ac:dyDescent="0.3">
      <c r="A2744" s="1192" t="s">
        <v>207</v>
      </c>
      <c r="B2744" s="1192" t="s">
        <v>3072</v>
      </c>
      <c r="E2744" s="1741" t="s">
        <v>28</v>
      </c>
      <c r="F2744" s="1741"/>
      <c r="G2744" s="1262" t="s">
        <v>19</v>
      </c>
      <c r="H2744" s="932">
        <v>0.25</v>
      </c>
      <c r="K2744" s="1192" t="s">
        <v>3901</v>
      </c>
      <c r="L2744" s="1192" t="s">
        <v>2374</v>
      </c>
      <c r="P2744" s="1192" t="s">
        <v>3910</v>
      </c>
      <c r="V2744" s="1192">
        <v>63</v>
      </c>
    </row>
    <row r="2745" spans="1:22" s="1192" customFormat="1" ht="17.399999999999999" x14ac:dyDescent="0.3">
      <c r="A2745" s="1192" t="s">
        <v>207</v>
      </c>
      <c r="B2745" s="1192" t="s">
        <v>3072</v>
      </c>
      <c r="E2745" s="1746" t="s">
        <v>591</v>
      </c>
      <c r="F2745" s="1746"/>
      <c r="G2745" s="1746"/>
      <c r="H2745" s="1746"/>
      <c r="K2745" s="1192" t="s">
        <v>4388</v>
      </c>
      <c r="V2745" s="1192">
        <v>53</v>
      </c>
    </row>
    <row r="2746" spans="1:22" s="1192" customFormat="1" ht="14.4" x14ac:dyDescent="0.3">
      <c r="A2746" s="1192" t="s">
        <v>207</v>
      </c>
      <c r="B2746" s="1192" t="s">
        <v>3072</v>
      </c>
      <c r="E2746" s="1743" t="s">
        <v>4100</v>
      </c>
      <c r="F2746" s="1743"/>
      <c r="G2746" s="1743"/>
      <c r="H2746" s="1743"/>
      <c r="K2746" s="1192" t="s">
        <v>4388</v>
      </c>
      <c r="V2746" s="1192">
        <v>689</v>
      </c>
    </row>
    <row r="2747" spans="1:22" s="1192" customFormat="1" ht="14.4" x14ac:dyDescent="0.3">
      <c r="A2747" s="1192" t="s">
        <v>207</v>
      </c>
      <c r="B2747" s="1192" t="s">
        <v>3072</v>
      </c>
      <c r="E2747" s="1750" t="s">
        <v>2389</v>
      </c>
      <c r="F2747" s="2037"/>
      <c r="G2747" s="2037"/>
      <c r="H2747" s="2037"/>
      <c r="K2747" s="1192" t="s">
        <v>2422</v>
      </c>
      <c r="V2747" s="1192">
        <v>11</v>
      </c>
    </row>
    <row r="2748" spans="1:22" s="1192" customFormat="1" ht="14.4" x14ac:dyDescent="0.3">
      <c r="A2748" s="1192" t="s">
        <v>207</v>
      </c>
      <c r="B2748" s="1192" t="s">
        <v>3072</v>
      </c>
      <c r="E2748" s="2037" t="s">
        <v>2045</v>
      </c>
      <c r="F2748" s="1743"/>
      <c r="G2748" s="1743"/>
      <c r="H2748" s="1743"/>
      <c r="K2748" s="1192" t="s">
        <v>4388</v>
      </c>
      <c r="V2748" s="1192">
        <v>0</v>
      </c>
    </row>
    <row r="2749" spans="1:22" s="1192" customFormat="1" ht="14.4" x14ac:dyDescent="0.3">
      <c r="A2749" s="1192" t="s">
        <v>207</v>
      </c>
      <c r="B2749" s="1192" t="s">
        <v>3072</v>
      </c>
      <c r="E2749" s="1743" t="s">
        <v>2391</v>
      </c>
      <c r="F2749" s="1743"/>
      <c r="G2749" s="1743"/>
      <c r="H2749" s="1743"/>
      <c r="K2749" s="1192" t="s">
        <v>4388</v>
      </c>
      <c r="V2749" s="1192">
        <v>280</v>
      </c>
    </row>
    <row r="2750" spans="1:22" s="1192" customFormat="1" ht="14.4" x14ac:dyDescent="0.3">
      <c r="A2750" s="1192" t="s">
        <v>207</v>
      </c>
      <c r="B2750" s="1192" t="s">
        <v>3072</v>
      </c>
      <c r="E2750" s="1743" t="s">
        <v>2392</v>
      </c>
      <c r="F2750" s="1743"/>
      <c r="G2750" s="1743"/>
      <c r="H2750" s="1743"/>
      <c r="K2750" s="1192" t="s">
        <v>4388</v>
      </c>
      <c r="V2750" s="1192">
        <v>411</v>
      </c>
    </row>
    <row r="2751" spans="1:22" s="1192" customFormat="1" ht="14.4" x14ac:dyDescent="0.3">
      <c r="A2751" s="1192" t="s">
        <v>207</v>
      </c>
      <c r="B2751" s="1192" t="s">
        <v>3072</v>
      </c>
      <c r="E2751" s="1743" t="s">
        <v>2508</v>
      </c>
      <c r="F2751" s="1743"/>
      <c r="G2751" s="1743"/>
      <c r="H2751" s="1743"/>
      <c r="K2751" s="1192" t="s">
        <v>4388</v>
      </c>
      <c r="V2751" s="1192">
        <v>386</v>
      </c>
    </row>
    <row r="2752" spans="1:22" s="1192" customFormat="1" ht="14.4" x14ac:dyDescent="0.3">
      <c r="A2752" s="1192" t="s">
        <v>207</v>
      </c>
      <c r="B2752" s="1192" t="s">
        <v>3072</v>
      </c>
      <c r="E2752" s="1743" t="s">
        <v>4503</v>
      </c>
      <c r="F2752" s="1743"/>
      <c r="G2752" s="1743"/>
      <c r="H2752" s="1743"/>
      <c r="K2752" s="1192" t="s">
        <v>4388</v>
      </c>
      <c r="V2752" s="1192">
        <v>677</v>
      </c>
    </row>
    <row r="2753" spans="1:22" s="1192" customFormat="1" ht="14.4" x14ac:dyDescent="0.3">
      <c r="A2753" s="1192" t="s">
        <v>207</v>
      </c>
      <c r="B2753" s="1192" t="s">
        <v>3072</v>
      </c>
      <c r="E2753" s="1743" t="s">
        <v>4644</v>
      </c>
      <c r="F2753" s="1743"/>
      <c r="G2753" s="1743"/>
      <c r="H2753" s="1743"/>
      <c r="K2753" s="1192" t="s">
        <v>4388</v>
      </c>
      <c r="V2753" s="1192">
        <v>693</v>
      </c>
    </row>
    <row r="2754" spans="1:22" s="1192" customFormat="1" ht="14.4" x14ac:dyDescent="0.3">
      <c r="A2754" s="1192" t="s">
        <v>207</v>
      </c>
      <c r="B2754" s="1192" t="s">
        <v>3072</v>
      </c>
      <c r="E2754" s="1743" t="s">
        <v>2986</v>
      </c>
      <c r="F2754" s="1743"/>
      <c r="G2754" s="1743"/>
      <c r="H2754" s="1743"/>
      <c r="K2754" s="1192" t="s">
        <v>4388</v>
      </c>
      <c r="V2754" s="1192">
        <v>246</v>
      </c>
    </row>
    <row r="2755" spans="1:22" s="1192" customFormat="1" ht="14.4" x14ac:dyDescent="0.3">
      <c r="A2755" s="1192" t="s">
        <v>207</v>
      </c>
      <c r="B2755" s="1192" t="s">
        <v>3072</v>
      </c>
      <c r="E2755" s="2175" t="s">
        <v>2394</v>
      </c>
      <c r="F2755" s="2176"/>
      <c r="G2755" s="2176"/>
      <c r="H2755" s="2176"/>
      <c r="K2755" s="1192" t="s">
        <v>2423</v>
      </c>
      <c r="V2755" s="1192">
        <v>46</v>
      </c>
    </row>
    <row r="2756" spans="1:22" s="1192" customFormat="1" ht="14.4" x14ac:dyDescent="0.3">
      <c r="A2756" s="1192" t="s">
        <v>207</v>
      </c>
      <c r="B2756" s="1192" t="s">
        <v>3072</v>
      </c>
      <c r="E2756" s="1741" t="s">
        <v>7</v>
      </c>
      <c r="F2756" s="1741"/>
      <c r="G2756" s="1262" t="s">
        <v>19</v>
      </c>
      <c r="H2756" s="837">
        <v>83.61</v>
      </c>
      <c r="K2756" s="1192" t="s">
        <v>4388</v>
      </c>
      <c r="L2756" s="1192" t="s">
        <v>430</v>
      </c>
      <c r="P2756" s="1192" t="s">
        <v>4389</v>
      </c>
      <c r="V2756" s="1192">
        <v>14</v>
      </c>
    </row>
    <row r="2757" spans="1:22" s="1192" customFormat="1" ht="14.4" x14ac:dyDescent="0.3">
      <c r="A2757" s="1192" t="s">
        <v>207</v>
      </c>
      <c r="B2757" s="1192" t="s">
        <v>3072</v>
      </c>
      <c r="E2757" s="1741" t="s">
        <v>3074</v>
      </c>
      <c r="F2757" s="1741"/>
      <c r="G2757" s="1262" t="s">
        <v>19</v>
      </c>
      <c r="H2757" s="509">
        <v>-0.84</v>
      </c>
      <c r="K2757" s="1192" t="s">
        <v>4388</v>
      </c>
      <c r="L2757" s="1192" t="s">
        <v>430</v>
      </c>
      <c r="P2757" s="1192" t="s">
        <v>6210</v>
      </c>
      <c r="T2757" s="1192">
        <v>44012</v>
      </c>
      <c r="V2757" s="1192">
        <v>88</v>
      </c>
    </row>
    <row r="2758" spans="1:22" s="1192" customFormat="1" ht="14.4" x14ac:dyDescent="0.3">
      <c r="A2758" s="1192" t="s">
        <v>207</v>
      </c>
      <c r="B2758" s="1192" t="s">
        <v>3072</v>
      </c>
      <c r="E2758" s="1741" t="s">
        <v>80</v>
      </c>
      <c r="F2758" s="1741"/>
      <c r="G2758" s="1262" t="s">
        <v>29</v>
      </c>
      <c r="H2758" s="837">
        <v>3.9339</v>
      </c>
      <c r="K2758" s="1192" t="s">
        <v>4388</v>
      </c>
      <c r="L2758" s="1192" t="s">
        <v>430</v>
      </c>
      <c r="P2758" s="1192" t="s">
        <v>4390</v>
      </c>
      <c r="V2758" s="1192">
        <v>28</v>
      </c>
    </row>
    <row r="2759" spans="1:22" s="1192" customFormat="1" ht="14.4" x14ac:dyDescent="0.3">
      <c r="A2759" s="1192" t="s">
        <v>207</v>
      </c>
      <c r="B2759" s="1192" t="s">
        <v>3072</v>
      </c>
      <c r="E2759" s="1741" t="s">
        <v>14</v>
      </c>
      <c r="F2759" s="1741"/>
      <c r="G2759" s="1262" t="s">
        <v>29</v>
      </c>
      <c r="H2759" s="1219">
        <v>0.155</v>
      </c>
      <c r="K2759" s="1192" t="s">
        <v>4388</v>
      </c>
      <c r="L2759" s="1192" t="s">
        <v>431</v>
      </c>
      <c r="P2759" s="1192" t="s">
        <v>4391</v>
      </c>
      <c r="V2759" s="1192">
        <v>24</v>
      </c>
    </row>
    <row r="2760" spans="1:22" s="1192" customFormat="1" ht="14.4" x14ac:dyDescent="0.3">
      <c r="A2760" s="1192" t="s">
        <v>207</v>
      </c>
      <c r="B2760" s="1192" t="s">
        <v>3072</v>
      </c>
      <c r="E2760" s="1741" t="s">
        <v>3074</v>
      </c>
      <c r="F2760" s="1741"/>
      <c r="G2760" s="1262" t="s">
        <v>29</v>
      </c>
      <c r="H2760" s="1219">
        <v>-3.9300000000000002E-2</v>
      </c>
      <c r="K2760" s="1192" t="s">
        <v>4388</v>
      </c>
      <c r="L2760" s="1192" t="s">
        <v>430</v>
      </c>
      <c r="P2760" s="1192" t="s">
        <v>6211</v>
      </c>
      <c r="T2760" s="1192">
        <v>44012</v>
      </c>
      <c r="V2760" s="1192">
        <v>88</v>
      </c>
    </row>
    <row r="2761" spans="1:22" s="1192" customFormat="1" ht="14.4" x14ac:dyDescent="0.3">
      <c r="A2761" s="1192" t="s">
        <v>207</v>
      </c>
      <c r="B2761" s="1192" t="s">
        <v>3072</v>
      </c>
      <c r="E2761" s="1741" t="s">
        <v>4685</v>
      </c>
      <c r="F2761" s="1741"/>
      <c r="G2761" s="1262" t="s">
        <v>29</v>
      </c>
      <c r="H2761" s="932">
        <v>1.95E-2</v>
      </c>
      <c r="K2761" s="1192" t="s">
        <v>4388</v>
      </c>
      <c r="L2761" s="1192" t="s">
        <v>430</v>
      </c>
      <c r="P2761" s="1192" t="s">
        <v>4425</v>
      </c>
      <c r="V2761" s="1192">
        <v>131</v>
      </c>
    </row>
    <row r="2762" spans="1:22" s="1192" customFormat="1" ht="14.4" x14ac:dyDescent="0.3">
      <c r="A2762" s="1192" t="s">
        <v>207</v>
      </c>
      <c r="B2762" s="1192" t="s">
        <v>3072</v>
      </c>
      <c r="E2762" s="1741" t="s">
        <v>213</v>
      </c>
      <c r="F2762" s="1741"/>
      <c r="G2762" s="1262" t="s">
        <v>29</v>
      </c>
      <c r="H2762" s="837">
        <v>2.5827</v>
      </c>
      <c r="K2762" s="1192" t="s">
        <v>4388</v>
      </c>
      <c r="L2762" s="1192" t="s">
        <v>432</v>
      </c>
      <c r="P2762" s="1192" t="s">
        <v>4392</v>
      </c>
      <c r="V2762" s="1192">
        <v>47</v>
      </c>
    </row>
    <row r="2763" spans="1:22" s="1192" customFormat="1" ht="14.4" x14ac:dyDescent="0.3">
      <c r="A2763" s="1192" t="s">
        <v>207</v>
      </c>
      <c r="B2763" s="1192" t="s">
        <v>3072</v>
      </c>
      <c r="E2763" s="1741" t="s">
        <v>209</v>
      </c>
      <c r="F2763" s="1741"/>
      <c r="G2763" s="1262" t="s">
        <v>29</v>
      </c>
      <c r="H2763" s="837">
        <v>2.3668999999999998</v>
      </c>
      <c r="K2763" s="1192" t="s">
        <v>4388</v>
      </c>
      <c r="L2763" s="1192" t="s">
        <v>432</v>
      </c>
      <c r="P2763" s="1192" t="s">
        <v>4393</v>
      </c>
      <c r="V2763" s="1192">
        <v>74</v>
      </c>
    </row>
    <row r="2764" spans="1:22" s="1192" customFormat="1" ht="14.4" x14ac:dyDescent="0.3">
      <c r="A2764" s="1192" t="s">
        <v>207</v>
      </c>
      <c r="B2764" s="1192" t="s">
        <v>3072</v>
      </c>
      <c r="E2764" s="1750" t="s">
        <v>2405</v>
      </c>
      <c r="F2764" s="2008"/>
      <c r="G2764" s="1255"/>
      <c r="H2764" s="931"/>
      <c r="K2764" s="1192" t="s">
        <v>2526</v>
      </c>
      <c r="V2764" s="1192">
        <v>48</v>
      </c>
    </row>
    <row r="2765" spans="1:22" s="1192" customFormat="1" ht="14.4" x14ac:dyDescent="0.3">
      <c r="A2765" s="1192" t="s">
        <v>207</v>
      </c>
      <c r="B2765" s="1192" t="s">
        <v>3072</v>
      </c>
      <c r="E2765" s="1741" t="s">
        <v>2033</v>
      </c>
      <c r="F2765" s="1741"/>
      <c r="G2765" s="1262" t="s">
        <v>20</v>
      </c>
      <c r="H2765" s="1219">
        <v>3.0000000000000001E-3</v>
      </c>
      <c r="K2765" s="1192" t="s">
        <v>4388</v>
      </c>
      <c r="L2765" s="1192" t="s">
        <v>2374</v>
      </c>
      <c r="P2765" s="1192" t="s">
        <v>4394</v>
      </c>
      <c r="V2765" s="1192">
        <v>55</v>
      </c>
    </row>
    <row r="2766" spans="1:22" s="1192" customFormat="1" ht="14.4" x14ac:dyDescent="0.3">
      <c r="A2766" s="1192" t="s">
        <v>207</v>
      </c>
      <c r="B2766" s="1192" t="s">
        <v>3072</v>
      </c>
      <c r="E2766" s="2007" t="s">
        <v>2034</v>
      </c>
      <c r="F2766" s="2007"/>
      <c r="G2766" s="1262" t="s">
        <v>20</v>
      </c>
      <c r="H2766" s="839">
        <v>4.0000000000000002E-4</v>
      </c>
      <c r="K2766" s="1192" t="s">
        <v>4388</v>
      </c>
      <c r="L2766" s="1192" t="s">
        <v>2374</v>
      </c>
      <c r="P2766" s="1192" t="s">
        <v>4394</v>
      </c>
      <c r="V2766" s="1192">
        <v>65</v>
      </c>
    </row>
    <row r="2767" spans="1:22" s="1192" customFormat="1" ht="14.4" x14ac:dyDescent="0.3">
      <c r="A2767" s="1192" t="s">
        <v>207</v>
      </c>
      <c r="B2767" s="1192" t="s">
        <v>3072</v>
      </c>
      <c r="E2767" s="1741" t="s">
        <v>428</v>
      </c>
      <c r="F2767" s="1741"/>
      <c r="G2767" s="1262" t="s">
        <v>20</v>
      </c>
      <c r="H2767" s="839">
        <v>5.0000000000000001E-4</v>
      </c>
      <c r="K2767" s="1192" t="s">
        <v>4388</v>
      </c>
      <c r="L2767" s="1192" t="s">
        <v>2374</v>
      </c>
      <c r="P2767" s="1192" t="s">
        <v>4395</v>
      </c>
      <c r="V2767" s="1192">
        <v>57</v>
      </c>
    </row>
    <row r="2768" spans="1:22" s="1192" customFormat="1" ht="14.4" x14ac:dyDescent="0.3">
      <c r="A2768" s="1192" t="s">
        <v>207</v>
      </c>
      <c r="B2768" s="1192" t="s">
        <v>3072</v>
      </c>
      <c r="E2768" s="1741" t="s">
        <v>28</v>
      </c>
      <c r="F2768" s="1741"/>
      <c r="G2768" s="1262" t="s">
        <v>19</v>
      </c>
      <c r="H2768" s="932">
        <v>0.25</v>
      </c>
      <c r="K2768" s="1192" t="s">
        <v>4388</v>
      </c>
      <c r="L2768" s="1192" t="s">
        <v>2374</v>
      </c>
      <c r="P2768" s="1192" t="s">
        <v>4396</v>
      </c>
      <c r="V2768" s="1192">
        <v>63</v>
      </c>
    </row>
    <row r="2769" spans="1:22" s="1192" customFormat="1" ht="17.399999999999999" x14ac:dyDescent="0.3">
      <c r="A2769" s="1192" t="s">
        <v>207</v>
      </c>
      <c r="B2769" s="1192" t="s">
        <v>3072</v>
      </c>
      <c r="E2769" s="1746" t="s">
        <v>592</v>
      </c>
      <c r="F2769" s="1746"/>
      <c r="G2769" s="1746"/>
      <c r="H2769" s="1746"/>
      <c r="K2769" s="1192" t="s">
        <v>2676</v>
      </c>
      <c r="V2769" s="1192">
        <v>47</v>
      </c>
    </row>
    <row r="2770" spans="1:22" s="1192" customFormat="1" ht="14.4" x14ac:dyDescent="0.3">
      <c r="A2770" s="1192" t="s">
        <v>207</v>
      </c>
      <c r="B2770" s="1192" t="s">
        <v>3072</v>
      </c>
      <c r="E2770" s="1743" t="s">
        <v>3179</v>
      </c>
      <c r="F2770" s="1743"/>
      <c r="G2770" s="1743"/>
      <c r="H2770" s="1743"/>
      <c r="K2770" s="1192" t="s">
        <v>2676</v>
      </c>
      <c r="V2770" s="1192">
        <v>720</v>
      </c>
    </row>
    <row r="2771" spans="1:22" s="1192" customFormat="1" ht="14.4" x14ac:dyDescent="0.3">
      <c r="A2771" s="1192" t="s">
        <v>207</v>
      </c>
      <c r="B2771" s="1192" t="s">
        <v>3072</v>
      </c>
      <c r="E2771" s="1750" t="s">
        <v>2389</v>
      </c>
      <c r="F2771" s="2037"/>
      <c r="G2771" s="2037"/>
      <c r="H2771" s="2037"/>
      <c r="K2771" s="1192" t="s">
        <v>2529</v>
      </c>
      <c r="V2771" s="1192">
        <v>11</v>
      </c>
    </row>
    <row r="2772" spans="1:22" s="1192" customFormat="1" ht="14.4" x14ac:dyDescent="0.3">
      <c r="A2772" s="1192" t="s">
        <v>207</v>
      </c>
      <c r="B2772" s="1192" t="s">
        <v>3072</v>
      </c>
      <c r="E2772" s="1743" t="s">
        <v>2391</v>
      </c>
      <c r="F2772" s="1743"/>
      <c r="G2772" s="1743"/>
      <c r="H2772" s="1743"/>
      <c r="K2772" s="1192" t="s">
        <v>2676</v>
      </c>
      <c r="V2772" s="1192">
        <v>280</v>
      </c>
    </row>
    <row r="2773" spans="1:22" s="1192" customFormat="1" ht="14.4" x14ac:dyDescent="0.3">
      <c r="A2773" s="1192" t="s">
        <v>207</v>
      </c>
      <c r="B2773" s="1192" t="s">
        <v>3072</v>
      </c>
      <c r="E2773" s="1743" t="s">
        <v>2392</v>
      </c>
      <c r="F2773" s="1743"/>
      <c r="G2773" s="1743"/>
      <c r="H2773" s="1743"/>
      <c r="K2773" s="1192" t="s">
        <v>2676</v>
      </c>
      <c r="V2773" s="1192">
        <v>411</v>
      </c>
    </row>
    <row r="2774" spans="1:22" s="1192" customFormat="1" ht="14.4" x14ac:dyDescent="0.3">
      <c r="A2774" s="1192" t="s">
        <v>207</v>
      </c>
      <c r="B2774" s="1192" t="s">
        <v>3072</v>
      </c>
      <c r="E2774" s="1743" t="s">
        <v>2508</v>
      </c>
      <c r="F2774" s="1743"/>
      <c r="G2774" s="1743"/>
      <c r="H2774" s="1743"/>
      <c r="K2774" s="1192" t="s">
        <v>2676</v>
      </c>
      <c r="V2774" s="1192">
        <v>386</v>
      </c>
    </row>
    <row r="2775" spans="1:22" s="1192" customFormat="1" ht="14.4" x14ac:dyDescent="0.3">
      <c r="A2775" s="1192" t="s">
        <v>207</v>
      </c>
      <c r="B2775" s="1192" t="s">
        <v>3072</v>
      </c>
      <c r="E2775" s="1743" t="s">
        <v>2986</v>
      </c>
      <c r="F2775" s="1743"/>
      <c r="G2775" s="1743"/>
      <c r="H2775" s="1743"/>
      <c r="K2775" s="1192" t="s">
        <v>2676</v>
      </c>
      <c r="V2775" s="1192">
        <v>246</v>
      </c>
    </row>
    <row r="2776" spans="1:22" s="1192" customFormat="1" ht="14.4" x14ac:dyDescent="0.3">
      <c r="A2776" s="1192" t="s">
        <v>207</v>
      </c>
      <c r="B2776" s="1192" t="s">
        <v>3072</v>
      </c>
      <c r="E2776" s="1750" t="s">
        <v>2394</v>
      </c>
      <c r="F2776" s="2037"/>
      <c r="G2776" s="2037"/>
      <c r="H2776" s="2037"/>
      <c r="K2776" s="1192" t="s">
        <v>2531</v>
      </c>
      <c r="V2776" s="1192">
        <v>46</v>
      </c>
    </row>
    <row r="2777" spans="1:22" s="1192" customFormat="1" ht="14.4" x14ac:dyDescent="0.3">
      <c r="A2777" s="1192" t="s">
        <v>207</v>
      </c>
      <c r="B2777" s="1192" t="s">
        <v>3072</v>
      </c>
      <c r="E2777" s="1741" t="s">
        <v>8</v>
      </c>
      <c r="F2777" s="1741"/>
      <c r="G2777" s="1262" t="s">
        <v>19</v>
      </c>
      <c r="H2777" s="837">
        <v>19.510000000000002</v>
      </c>
      <c r="K2777" s="1192" t="s">
        <v>2676</v>
      </c>
      <c r="L2777" s="1192" t="s">
        <v>430</v>
      </c>
      <c r="P2777" s="1192" t="s">
        <v>2678</v>
      </c>
      <c r="V2777" s="1192">
        <v>31</v>
      </c>
    </row>
    <row r="2778" spans="1:22" s="1192" customFormat="1" ht="14.4" x14ac:dyDescent="0.3">
      <c r="A2778" s="1192" t="s">
        <v>207</v>
      </c>
      <c r="B2778" s="1192" t="s">
        <v>3072</v>
      </c>
      <c r="E2778" s="1741" t="s">
        <v>3076</v>
      </c>
      <c r="F2778" s="1741"/>
      <c r="G2778" s="1262" t="s">
        <v>19</v>
      </c>
      <c r="H2778" s="509">
        <v>-0.2</v>
      </c>
      <c r="K2778" s="1192" t="s">
        <v>2676</v>
      </c>
      <c r="L2778" s="1192" t="s">
        <v>430</v>
      </c>
      <c r="P2778" s="1192" t="s">
        <v>6212</v>
      </c>
      <c r="T2778" s="1192">
        <v>44012</v>
      </c>
      <c r="V2778" s="1192">
        <v>105</v>
      </c>
    </row>
    <row r="2779" spans="1:22" s="1192" customFormat="1" ht="14.4" x14ac:dyDescent="0.3">
      <c r="A2779" s="1192" t="s">
        <v>207</v>
      </c>
      <c r="B2779" s="1192" t="s">
        <v>3072</v>
      </c>
      <c r="E2779" s="1741" t="s">
        <v>80</v>
      </c>
      <c r="F2779" s="1741"/>
      <c r="G2779" s="1262" t="s">
        <v>20</v>
      </c>
      <c r="H2779" s="837">
        <v>2.5000000000000001E-3</v>
      </c>
      <c r="K2779" s="1192" t="s">
        <v>2676</v>
      </c>
      <c r="L2779" s="1192" t="s">
        <v>430</v>
      </c>
      <c r="P2779" s="1192" t="s">
        <v>2679</v>
      </c>
      <c r="V2779" s="1192">
        <v>28</v>
      </c>
    </row>
    <row r="2780" spans="1:22" s="1192" customFormat="1" ht="14.4" x14ac:dyDescent="0.3">
      <c r="A2780" s="1192" t="s">
        <v>207</v>
      </c>
      <c r="B2780" s="1192" t="s">
        <v>3072</v>
      </c>
      <c r="E2780" s="1741" t="s">
        <v>14</v>
      </c>
      <c r="F2780" s="1741"/>
      <c r="G2780" s="1262" t="s">
        <v>20</v>
      </c>
      <c r="H2780" s="932">
        <v>4.0000000000000002E-4</v>
      </c>
      <c r="K2780" s="1192" t="s">
        <v>2676</v>
      </c>
      <c r="L2780" s="1192" t="s">
        <v>431</v>
      </c>
      <c r="P2780" s="1192" t="s">
        <v>2809</v>
      </c>
      <c r="V2780" s="1192">
        <v>24</v>
      </c>
    </row>
    <row r="2781" spans="1:22" s="1192" customFormat="1" ht="14.4" x14ac:dyDescent="0.3">
      <c r="A2781" s="1192" t="s">
        <v>207</v>
      </c>
      <c r="B2781" s="1192" t="s">
        <v>3072</v>
      </c>
      <c r="E2781" s="1741" t="s">
        <v>3074</v>
      </c>
      <c r="F2781" s="1741"/>
      <c r="G2781" s="1262" t="s">
        <v>20</v>
      </c>
      <c r="H2781" s="1385">
        <v>-3.0000000000000001E-5</v>
      </c>
      <c r="K2781" s="1192" t="s">
        <v>2676</v>
      </c>
      <c r="L2781" s="1192" t="s">
        <v>430</v>
      </c>
      <c r="P2781" s="1192" t="s">
        <v>6213</v>
      </c>
      <c r="T2781" s="1192">
        <v>44012</v>
      </c>
      <c r="V2781" s="1192">
        <v>88</v>
      </c>
    </row>
    <row r="2782" spans="1:22" s="1192" customFormat="1" ht="14.4" x14ac:dyDescent="0.3">
      <c r="A2782" s="1192" t="s">
        <v>207</v>
      </c>
      <c r="B2782" s="1192" t="s">
        <v>3072</v>
      </c>
      <c r="E2782" s="1741" t="s">
        <v>4686</v>
      </c>
      <c r="F2782" s="1741"/>
      <c r="G2782" s="1262" t="s">
        <v>20</v>
      </c>
      <c r="H2782" s="932">
        <v>2.0000000000000001E-4</v>
      </c>
      <c r="K2782" s="1192" t="s">
        <v>2676</v>
      </c>
      <c r="L2782" s="1192" t="s">
        <v>430</v>
      </c>
      <c r="P2782" s="1192" t="s">
        <v>4101</v>
      </c>
      <c r="V2782" s="1192">
        <v>130</v>
      </c>
    </row>
    <row r="2783" spans="1:22" s="1192" customFormat="1" ht="14.4" x14ac:dyDescent="0.3">
      <c r="A2783" s="1192" t="s">
        <v>207</v>
      </c>
      <c r="B2783" s="1192" t="s">
        <v>3072</v>
      </c>
      <c r="E2783" s="1741" t="s">
        <v>213</v>
      </c>
      <c r="F2783" s="1741"/>
      <c r="G2783" s="1262" t="s">
        <v>20</v>
      </c>
      <c r="H2783" s="837">
        <v>6.1000000000000004E-3</v>
      </c>
      <c r="K2783" s="1192" t="s">
        <v>2676</v>
      </c>
      <c r="L2783" s="1192" t="s">
        <v>432</v>
      </c>
      <c r="P2783" s="1192" t="s">
        <v>2682</v>
      </c>
      <c r="V2783" s="1192">
        <v>47</v>
      </c>
    </row>
    <row r="2784" spans="1:22" s="1192" customFormat="1" ht="14.4" x14ac:dyDescent="0.3">
      <c r="A2784" s="1192" t="s">
        <v>207</v>
      </c>
      <c r="B2784" s="1192" t="s">
        <v>3072</v>
      </c>
      <c r="E2784" s="1741" t="s">
        <v>209</v>
      </c>
      <c r="F2784" s="1741"/>
      <c r="G2784" s="1262" t="s">
        <v>20</v>
      </c>
      <c r="H2784" s="837">
        <v>5.5999999999999999E-3</v>
      </c>
      <c r="K2784" s="1192" t="s">
        <v>2676</v>
      </c>
      <c r="L2784" s="1192" t="s">
        <v>432</v>
      </c>
      <c r="P2784" s="1192" t="s">
        <v>2683</v>
      </c>
      <c r="V2784" s="1192">
        <v>74</v>
      </c>
    </row>
    <row r="2785" spans="1:22" s="1192" customFormat="1" ht="14.4" x14ac:dyDescent="0.3">
      <c r="A2785" s="1192" t="s">
        <v>207</v>
      </c>
      <c r="B2785" s="1192" t="s">
        <v>3072</v>
      </c>
      <c r="E2785" s="1750" t="s">
        <v>2405</v>
      </c>
      <c r="F2785" s="2008"/>
      <c r="G2785" s="2008"/>
      <c r="H2785" s="2008"/>
      <c r="K2785" s="1192" t="s">
        <v>2532</v>
      </c>
      <c r="V2785" s="1192">
        <v>48</v>
      </c>
    </row>
    <row r="2786" spans="1:22" s="1192" customFormat="1" ht="14.4" x14ac:dyDescent="0.3">
      <c r="A2786" s="1192" t="s">
        <v>207</v>
      </c>
      <c r="B2786" s="1192" t="s">
        <v>3072</v>
      </c>
      <c r="E2786" s="1741" t="s">
        <v>2033</v>
      </c>
      <c r="F2786" s="1741"/>
      <c r="G2786" s="1262" t="s">
        <v>20</v>
      </c>
      <c r="H2786" s="1219">
        <v>3.0000000000000001E-3</v>
      </c>
      <c r="K2786" s="1192" t="s">
        <v>2676</v>
      </c>
      <c r="L2786" s="1192" t="s">
        <v>2374</v>
      </c>
      <c r="P2786" s="1192" t="s">
        <v>2684</v>
      </c>
      <c r="V2786" s="1192">
        <v>55</v>
      </c>
    </row>
    <row r="2787" spans="1:22" s="1192" customFormat="1" ht="14.4" x14ac:dyDescent="0.3">
      <c r="A2787" s="1192" t="s">
        <v>207</v>
      </c>
      <c r="B2787" s="1192" t="s">
        <v>3072</v>
      </c>
      <c r="E2787" s="1741" t="s">
        <v>2034</v>
      </c>
      <c r="F2787" s="1741"/>
      <c r="G2787" s="1262" t="s">
        <v>20</v>
      </c>
      <c r="H2787" s="839">
        <v>4.0000000000000002E-4</v>
      </c>
      <c r="K2787" s="1192" t="s">
        <v>2676</v>
      </c>
      <c r="L2787" s="1192" t="s">
        <v>2374</v>
      </c>
      <c r="P2787" s="1192" t="s">
        <v>2684</v>
      </c>
      <c r="V2787" s="1192">
        <v>65</v>
      </c>
    </row>
    <row r="2788" spans="1:22" s="1192" customFormat="1" ht="14.4" x14ac:dyDescent="0.3">
      <c r="A2788" s="1192" t="s">
        <v>207</v>
      </c>
      <c r="B2788" s="1192" t="s">
        <v>3072</v>
      </c>
      <c r="E2788" s="1741" t="s">
        <v>428</v>
      </c>
      <c r="F2788" s="1741"/>
      <c r="G2788" s="1262" t="s">
        <v>20</v>
      </c>
      <c r="H2788" s="839">
        <v>5.0000000000000001E-4</v>
      </c>
      <c r="K2788" s="1192" t="s">
        <v>2676</v>
      </c>
      <c r="L2788" s="1192" t="s">
        <v>2374</v>
      </c>
      <c r="P2788" s="1192" t="s">
        <v>2685</v>
      </c>
      <c r="V2788" s="1192">
        <v>57</v>
      </c>
    </row>
    <row r="2789" spans="1:22" s="1192" customFormat="1" ht="14.4" x14ac:dyDescent="0.3">
      <c r="A2789" s="1192" t="s">
        <v>207</v>
      </c>
      <c r="B2789" s="1192" t="s">
        <v>3072</v>
      </c>
      <c r="E2789" s="1741" t="s">
        <v>28</v>
      </c>
      <c r="F2789" s="1741"/>
      <c r="G2789" s="1262" t="s">
        <v>19</v>
      </c>
      <c r="H2789" s="932">
        <v>0.25</v>
      </c>
      <c r="K2789" s="1192" t="s">
        <v>2676</v>
      </c>
      <c r="L2789" s="1192" t="s">
        <v>2374</v>
      </c>
      <c r="P2789" s="1192" t="s">
        <v>2686</v>
      </c>
      <c r="V2789" s="1192">
        <v>63</v>
      </c>
    </row>
    <row r="2790" spans="1:22" s="1192" customFormat="1" ht="17.399999999999999" x14ac:dyDescent="0.3">
      <c r="A2790" s="1192" t="s">
        <v>207</v>
      </c>
      <c r="B2790" s="1192" t="s">
        <v>3072</v>
      </c>
      <c r="E2790" s="1746" t="s">
        <v>604</v>
      </c>
      <c r="F2790" s="1746"/>
      <c r="G2790" s="1746"/>
      <c r="H2790" s="1746"/>
      <c r="K2790" s="1192" t="s">
        <v>2823</v>
      </c>
      <c r="V2790" s="1192">
        <v>40</v>
      </c>
    </row>
    <row r="2791" spans="1:22" s="1192" customFormat="1" ht="14.4" x14ac:dyDescent="0.3">
      <c r="A2791" s="1192" t="s">
        <v>207</v>
      </c>
      <c r="B2791" s="1192" t="s">
        <v>3072</v>
      </c>
      <c r="E2791" s="1743" t="s">
        <v>4102</v>
      </c>
      <c r="F2791" s="1743"/>
      <c r="G2791" s="1743"/>
      <c r="H2791" s="1743"/>
      <c r="K2791" s="1192" t="s">
        <v>2823</v>
      </c>
      <c r="V2791" s="1192">
        <v>462</v>
      </c>
    </row>
    <row r="2792" spans="1:22" s="1192" customFormat="1" ht="14.4" x14ac:dyDescent="0.3">
      <c r="A2792" s="1192" t="s">
        <v>207</v>
      </c>
      <c r="B2792" s="1192" t="s">
        <v>3072</v>
      </c>
      <c r="E2792" s="1750" t="s">
        <v>2389</v>
      </c>
      <c r="F2792" s="2037"/>
      <c r="G2792" s="2037"/>
      <c r="H2792" s="2037"/>
      <c r="K2792" s="1192" t="s">
        <v>2424</v>
      </c>
      <c r="V2792" s="1192">
        <v>11</v>
      </c>
    </row>
    <row r="2793" spans="1:22" s="1192" customFormat="1" ht="14.4" x14ac:dyDescent="0.3">
      <c r="A2793" s="1192" t="s">
        <v>207</v>
      </c>
      <c r="B2793" s="1192" t="s">
        <v>3072</v>
      </c>
      <c r="E2793" s="1743" t="s">
        <v>2391</v>
      </c>
      <c r="F2793" s="1743"/>
      <c r="G2793" s="1743"/>
      <c r="H2793" s="1743"/>
      <c r="K2793" s="1192" t="s">
        <v>2823</v>
      </c>
      <c r="V2793" s="1192">
        <v>280</v>
      </c>
    </row>
    <row r="2794" spans="1:22" s="1192" customFormat="1" ht="14.4" x14ac:dyDescent="0.3">
      <c r="A2794" s="1192" t="s">
        <v>207</v>
      </c>
      <c r="B2794" s="1192" t="s">
        <v>3072</v>
      </c>
      <c r="E2794" s="1743" t="s">
        <v>2392</v>
      </c>
      <c r="F2794" s="1743"/>
      <c r="G2794" s="1743"/>
      <c r="H2794" s="1743"/>
      <c r="K2794" s="1192" t="s">
        <v>2823</v>
      </c>
      <c r="V2794" s="1192">
        <v>411</v>
      </c>
    </row>
    <row r="2795" spans="1:22" s="1192" customFormat="1" ht="14.4" x14ac:dyDescent="0.3">
      <c r="A2795" s="1192" t="s">
        <v>207</v>
      </c>
      <c r="B2795" s="1192" t="s">
        <v>3072</v>
      </c>
      <c r="E2795" s="1743" t="s">
        <v>2508</v>
      </c>
      <c r="F2795" s="1743"/>
      <c r="G2795" s="1743"/>
      <c r="H2795" s="1743"/>
      <c r="K2795" s="1192" t="s">
        <v>2823</v>
      </c>
      <c r="V2795" s="1192">
        <v>386</v>
      </c>
    </row>
    <row r="2796" spans="1:22" s="1192" customFormat="1" ht="14.4" x14ac:dyDescent="0.3">
      <c r="A2796" s="1192" t="s">
        <v>207</v>
      </c>
      <c r="B2796" s="1192" t="s">
        <v>3072</v>
      </c>
      <c r="E2796" s="1743" t="s">
        <v>2986</v>
      </c>
      <c r="F2796" s="1743"/>
      <c r="G2796" s="1743"/>
      <c r="H2796" s="1743"/>
      <c r="K2796" s="1192" t="s">
        <v>2823</v>
      </c>
      <c r="V2796" s="1192">
        <v>246</v>
      </c>
    </row>
    <row r="2797" spans="1:22" s="1192" customFormat="1" ht="14.4" x14ac:dyDescent="0.3">
      <c r="A2797" s="1192" t="s">
        <v>207</v>
      </c>
      <c r="B2797" s="1192" t="s">
        <v>3072</v>
      </c>
      <c r="E2797" s="1750" t="s">
        <v>2394</v>
      </c>
      <c r="F2797" s="2037"/>
      <c r="G2797" s="2037"/>
      <c r="H2797" s="2037"/>
      <c r="K2797" s="1192" t="s">
        <v>2425</v>
      </c>
      <c r="V2797" s="1192">
        <v>46</v>
      </c>
    </row>
    <row r="2798" spans="1:22" s="1192" customFormat="1" ht="14.4" x14ac:dyDescent="0.3">
      <c r="A2798" s="1192" t="s">
        <v>207</v>
      </c>
      <c r="B2798" s="1192" t="s">
        <v>3072</v>
      </c>
      <c r="E2798" s="1741" t="s">
        <v>8</v>
      </c>
      <c r="F2798" s="1741"/>
      <c r="G2798" s="1262" t="s">
        <v>19</v>
      </c>
      <c r="H2798" s="837">
        <v>14.23</v>
      </c>
      <c r="K2798" s="1192" t="s">
        <v>2823</v>
      </c>
      <c r="L2798" s="1192" t="s">
        <v>430</v>
      </c>
      <c r="P2798" s="1192" t="s">
        <v>2824</v>
      </c>
      <c r="V2798" s="1192">
        <v>31</v>
      </c>
    </row>
    <row r="2799" spans="1:22" s="1192" customFormat="1" ht="14.4" x14ac:dyDescent="0.3">
      <c r="A2799" s="1192" t="s">
        <v>207</v>
      </c>
      <c r="B2799" s="1192" t="s">
        <v>3072</v>
      </c>
      <c r="E2799" s="1741" t="s">
        <v>3076</v>
      </c>
      <c r="F2799" s="1741"/>
      <c r="G2799" s="1262" t="s">
        <v>19</v>
      </c>
      <c r="H2799" s="509">
        <v>-0.14000000000000001</v>
      </c>
      <c r="K2799" s="1192" t="s">
        <v>2823</v>
      </c>
      <c r="L2799" s="1192" t="s">
        <v>430</v>
      </c>
      <c r="P2799" s="1192" t="s">
        <v>6214</v>
      </c>
      <c r="T2799" s="1192">
        <v>44012</v>
      </c>
      <c r="V2799" s="1192">
        <v>105</v>
      </c>
    </row>
    <row r="2800" spans="1:22" s="1192" customFormat="1" ht="14.4" x14ac:dyDescent="0.3">
      <c r="A2800" s="1192" t="s">
        <v>207</v>
      </c>
      <c r="B2800" s="1192" t="s">
        <v>3072</v>
      </c>
      <c r="E2800" s="1741" t="s">
        <v>80</v>
      </c>
      <c r="F2800" s="1741"/>
      <c r="G2800" s="1262" t="s">
        <v>29</v>
      </c>
      <c r="H2800" s="837">
        <v>36.726100000000002</v>
      </c>
      <c r="K2800" s="1192" t="s">
        <v>2823</v>
      </c>
      <c r="L2800" s="1192" t="s">
        <v>430</v>
      </c>
      <c r="P2800" s="1192" t="s">
        <v>2825</v>
      </c>
      <c r="V2800" s="1192">
        <v>28</v>
      </c>
    </row>
    <row r="2801" spans="1:22" s="1192" customFormat="1" ht="14.4" x14ac:dyDescent="0.3">
      <c r="A2801" s="1192" t="s">
        <v>207</v>
      </c>
      <c r="B2801" s="1192" t="s">
        <v>3072</v>
      </c>
      <c r="E2801" s="1741" t="s">
        <v>14</v>
      </c>
      <c r="F2801" s="1741"/>
      <c r="G2801" s="1262" t="s">
        <v>29</v>
      </c>
      <c r="H2801" s="932">
        <v>0.1099</v>
      </c>
      <c r="K2801" s="1192" t="s">
        <v>2823</v>
      </c>
      <c r="L2801" s="1192" t="s">
        <v>431</v>
      </c>
      <c r="P2801" s="1192" t="s">
        <v>2826</v>
      </c>
      <c r="V2801" s="1192">
        <v>24</v>
      </c>
    </row>
    <row r="2802" spans="1:22" s="1192" customFormat="1" ht="14.4" x14ac:dyDescent="0.3">
      <c r="A2802" s="1192" t="s">
        <v>207</v>
      </c>
      <c r="B2802" s="1192" t="s">
        <v>3072</v>
      </c>
      <c r="E2802" s="1741" t="s">
        <v>3074</v>
      </c>
      <c r="F2802" s="1741"/>
      <c r="G2802" s="1262" t="s">
        <v>29</v>
      </c>
      <c r="H2802" s="1219">
        <v>-0.36730000000000002</v>
      </c>
      <c r="K2802" s="1192" t="s">
        <v>2823</v>
      </c>
      <c r="L2802" s="1192" t="s">
        <v>430</v>
      </c>
      <c r="P2802" s="1192" t="s">
        <v>6215</v>
      </c>
      <c r="T2802" s="1192">
        <v>44012</v>
      </c>
      <c r="V2802" s="1192">
        <v>88</v>
      </c>
    </row>
    <row r="2803" spans="1:22" s="1192" customFormat="1" ht="14.4" x14ac:dyDescent="0.3">
      <c r="A2803" s="1192" t="s">
        <v>207</v>
      </c>
      <c r="B2803" s="1192" t="s">
        <v>3072</v>
      </c>
      <c r="E2803" s="1741" t="s">
        <v>4685</v>
      </c>
      <c r="F2803" s="1741"/>
      <c r="G2803" s="1262" t="s">
        <v>29</v>
      </c>
      <c r="H2803" s="932">
        <v>0.62239999999999995</v>
      </c>
      <c r="K2803" s="1192" t="s">
        <v>2823</v>
      </c>
      <c r="L2803" s="1192" t="s">
        <v>430</v>
      </c>
      <c r="P2803" s="1192" t="s">
        <v>4103</v>
      </c>
      <c r="V2803" s="1192">
        <v>131</v>
      </c>
    </row>
    <row r="2804" spans="1:22" s="1192" customFormat="1" ht="14.4" x14ac:dyDescent="0.3">
      <c r="A2804" s="1192" t="s">
        <v>207</v>
      </c>
      <c r="B2804" s="1192" t="s">
        <v>3072</v>
      </c>
      <c r="E2804" s="1741" t="s">
        <v>213</v>
      </c>
      <c r="F2804" s="1741"/>
      <c r="G2804" s="1262" t="s">
        <v>29</v>
      </c>
      <c r="H2804" s="837">
        <v>1.8749</v>
      </c>
      <c r="K2804" s="1192" t="s">
        <v>2823</v>
      </c>
      <c r="L2804" s="1192" t="s">
        <v>432</v>
      </c>
      <c r="P2804" s="1192" t="s">
        <v>2827</v>
      </c>
      <c r="V2804" s="1192">
        <v>47</v>
      </c>
    </row>
    <row r="2805" spans="1:22" s="1192" customFormat="1" ht="14.4" x14ac:dyDescent="0.3">
      <c r="A2805" s="1192" t="s">
        <v>207</v>
      </c>
      <c r="B2805" s="1192" t="s">
        <v>3072</v>
      </c>
      <c r="E2805" s="1741" t="s">
        <v>209</v>
      </c>
      <c r="F2805" s="1741"/>
      <c r="G2805" s="1262" t="s">
        <v>29</v>
      </c>
      <c r="H2805" s="837">
        <v>1.7359</v>
      </c>
      <c r="K2805" s="1192" t="s">
        <v>2823</v>
      </c>
      <c r="L2805" s="1192" t="s">
        <v>432</v>
      </c>
      <c r="P2805" s="1192" t="s">
        <v>2828</v>
      </c>
      <c r="V2805" s="1192">
        <v>74</v>
      </c>
    </row>
    <row r="2806" spans="1:22" s="1192" customFormat="1" ht="14.4" x14ac:dyDescent="0.3">
      <c r="A2806" s="1192" t="s">
        <v>207</v>
      </c>
      <c r="B2806" s="1192" t="s">
        <v>3072</v>
      </c>
      <c r="E2806" s="1750" t="s">
        <v>2405</v>
      </c>
      <c r="F2806" s="2008"/>
      <c r="G2806" s="1262"/>
      <c r="H2806" s="933"/>
      <c r="K2806" s="1192" t="s">
        <v>2427</v>
      </c>
      <c r="V2806" s="1192">
        <v>48</v>
      </c>
    </row>
    <row r="2807" spans="1:22" s="1192" customFormat="1" ht="14.4" x14ac:dyDescent="0.3">
      <c r="A2807" s="1192" t="s">
        <v>207</v>
      </c>
      <c r="B2807" s="1192" t="s">
        <v>3072</v>
      </c>
      <c r="E2807" s="1741" t="s">
        <v>2033</v>
      </c>
      <c r="F2807" s="1741"/>
      <c r="G2807" s="1262" t="s">
        <v>20</v>
      </c>
      <c r="H2807" s="1219">
        <v>3.0000000000000001E-3</v>
      </c>
      <c r="K2807" s="1192" t="s">
        <v>2823</v>
      </c>
      <c r="L2807" s="1192" t="s">
        <v>2374</v>
      </c>
      <c r="P2807" s="1192" t="s">
        <v>2829</v>
      </c>
      <c r="V2807" s="1192">
        <v>55</v>
      </c>
    </row>
    <row r="2808" spans="1:22" s="1192" customFormat="1" ht="14.4" x14ac:dyDescent="0.3">
      <c r="A2808" s="1192" t="s">
        <v>207</v>
      </c>
      <c r="B2808" s="1192" t="s">
        <v>3072</v>
      </c>
      <c r="E2808" s="1741" t="s">
        <v>2034</v>
      </c>
      <c r="F2808" s="1741"/>
      <c r="G2808" s="1262" t="s">
        <v>20</v>
      </c>
      <c r="H2808" s="839">
        <v>4.0000000000000002E-4</v>
      </c>
      <c r="K2808" s="1192" t="s">
        <v>2823</v>
      </c>
      <c r="L2808" s="1192" t="s">
        <v>2374</v>
      </c>
      <c r="P2808" s="1192" t="s">
        <v>2829</v>
      </c>
      <c r="V2808" s="1192">
        <v>65</v>
      </c>
    </row>
    <row r="2809" spans="1:22" s="1192" customFormat="1" ht="14.4" x14ac:dyDescent="0.3">
      <c r="A2809" s="1192" t="s">
        <v>207</v>
      </c>
      <c r="B2809" s="1192" t="s">
        <v>3072</v>
      </c>
      <c r="E2809" s="1741" t="s">
        <v>428</v>
      </c>
      <c r="F2809" s="1741"/>
      <c r="G2809" s="1262" t="s">
        <v>20</v>
      </c>
      <c r="H2809" s="839">
        <v>5.0000000000000001E-4</v>
      </c>
      <c r="K2809" s="1192" t="s">
        <v>2823</v>
      </c>
      <c r="L2809" s="1192" t="s">
        <v>2374</v>
      </c>
      <c r="P2809" s="1192" t="s">
        <v>2830</v>
      </c>
      <c r="V2809" s="1192">
        <v>57</v>
      </c>
    </row>
    <row r="2810" spans="1:22" s="1192" customFormat="1" ht="14.4" x14ac:dyDescent="0.3">
      <c r="A2810" s="1192" t="s">
        <v>207</v>
      </c>
      <c r="B2810" s="1192" t="s">
        <v>3072</v>
      </c>
      <c r="E2810" s="1741" t="s">
        <v>28</v>
      </c>
      <c r="F2810" s="1741"/>
      <c r="G2810" s="1262" t="s">
        <v>19</v>
      </c>
      <c r="H2810" s="932">
        <v>0.25</v>
      </c>
      <c r="K2810" s="1192" t="s">
        <v>2823</v>
      </c>
      <c r="L2810" s="1192" t="s">
        <v>2374</v>
      </c>
      <c r="P2810" s="1192" t="s">
        <v>2831</v>
      </c>
      <c r="V2810" s="1192">
        <v>63</v>
      </c>
    </row>
    <row r="2811" spans="1:22" s="1192" customFormat="1" ht="17.399999999999999" x14ac:dyDescent="0.3">
      <c r="A2811" s="1192" t="s">
        <v>207</v>
      </c>
      <c r="B2811" s="1192" t="s">
        <v>3072</v>
      </c>
      <c r="E2811" s="1746" t="s">
        <v>590</v>
      </c>
      <c r="F2811" s="1746"/>
      <c r="G2811" s="1746"/>
      <c r="H2811" s="1746"/>
      <c r="K2811" s="1192" t="s">
        <v>2428</v>
      </c>
      <c r="V2811" s="1192">
        <v>38</v>
      </c>
    </row>
    <row r="2812" spans="1:22" s="1192" customFormat="1" ht="14.4" x14ac:dyDescent="0.3">
      <c r="A2812" s="1192" t="s">
        <v>207</v>
      </c>
      <c r="B2812" s="1192" t="s">
        <v>3072</v>
      </c>
      <c r="E2812" s="1743" t="s">
        <v>3180</v>
      </c>
      <c r="F2812" s="1743"/>
      <c r="G2812" s="1743"/>
      <c r="H2812" s="1743"/>
      <c r="K2812" s="1192" t="s">
        <v>2428</v>
      </c>
      <c r="V2812" s="1192">
        <v>542</v>
      </c>
    </row>
    <row r="2813" spans="1:22" s="1192" customFormat="1" ht="14.4" x14ac:dyDescent="0.3">
      <c r="A2813" s="1192" t="s">
        <v>207</v>
      </c>
      <c r="B2813" s="1192" t="s">
        <v>3072</v>
      </c>
      <c r="E2813" s="1750" t="s">
        <v>2389</v>
      </c>
      <c r="F2813" s="2037"/>
      <c r="G2813" s="2037"/>
      <c r="H2813" s="2037"/>
      <c r="K2813" s="1192" t="s">
        <v>2430</v>
      </c>
      <c r="V2813" s="1192">
        <v>11</v>
      </c>
    </row>
    <row r="2814" spans="1:22" s="1192" customFormat="1" ht="14.4" x14ac:dyDescent="0.3">
      <c r="A2814" s="1192" t="s">
        <v>207</v>
      </c>
      <c r="B2814" s="1192" t="s">
        <v>3072</v>
      </c>
      <c r="E2814" s="1743" t="s">
        <v>2391</v>
      </c>
      <c r="F2814" s="1743"/>
      <c r="G2814" s="1743"/>
      <c r="H2814" s="1743"/>
      <c r="K2814" s="1192" t="s">
        <v>2428</v>
      </c>
      <c r="V2814" s="1192">
        <v>280</v>
      </c>
    </row>
    <row r="2815" spans="1:22" s="1192" customFormat="1" ht="14.4" x14ac:dyDescent="0.3">
      <c r="A2815" s="1192" t="s">
        <v>207</v>
      </c>
      <c r="B2815" s="1192" t="s">
        <v>3072</v>
      </c>
      <c r="E2815" s="1743" t="s">
        <v>2392</v>
      </c>
      <c r="F2815" s="1743"/>
      <c r="G2815" s="1743"/>
      <c r="H2815" s="1743"/>
      <c r="K2815" s="1192" t="s">
        <v>2428</v>
      </c>
      <c r="V2815" s="1192">
        <v>411</v>
      </c>
    </row>
    <row r="2816" spans="1:22" s="1192" customFormat="1" ht="14.4" x14ac:dyDescent="0.3">
      <c r="A2816" s="1192" t="s">
        <v>207</v>
      </c>
      <c r="B2816" s="1192" t="s">
        <v>3072</v>
      </c>
      <c r="E2816" s="1743" t="s">
        <v>2508</v>
      </c>
      <c r="F2816" s="1743"/>
      <c r="G2816" s="1743"/>
      <c r="H2816" s="1743"/>
      <c r="K2816" s="1192" t="s">
        <v>2428</v>
      </c>
      <c r="V2816" s="1192">
        <v>386</v>
      </c>
    </row>
    <row r="2817" spans="1:22" s="1192" customFormat="1" ht="14.4" x14ac:dyDescent="0.3">
      <c r="A2817" s="1192" t="s">
        <v>207</v>
      </c>
      <c r="B2817" s="1192" t="s">
        <v>3072</v>
      </c>
      <c r="E2817" s="1743" t="s">
        <v>2986</v>
      </c>
      <c r="F2817" s="1743"/>
      <c r="G2817" s="1743"/>
      <c r="H2817" s="1743"/>
      <c r="K2817" s="1192" t="s">
        <v>2428</v>
      </c>
      <c r="V2817" s="1192">
        <v>246</v>
      </c>
    </row>
    <row r="2818" spans="1:22" s="1192" customFormat="1" ht="14.4" x14ac:dyDescent="0.3">
      <c r="A2818" s="1192" t="s">
        <v>207</v>
      </c>
      <c r="B2818" s="1192" t="s">
        <v>3072</v>
      </c>
      <c r="E2818" s="1750" t="s">
        <v>2394</v>
      </c>
      <c r="F2818" s="2037"/>
      <c r="G2818" s="2037"/>
      <c r="H2818" s="2037"/>
      <c r="K2818" s="1192" t="s">
        <v>2431</v>
      </c>
      <c r="V2818" s="1192">
        <v>46</v>
      </c>
    </row>
    <row r="2819" spans="1:22" s="1192" customFormat="1" ht="14.4" x14ac:dyDescent="0.3">
      <c r="A2819" s="1192" t="s">
        <v>207</v>
      </c>
      <c r="B2819" s="1192" t="s">
        <v>3072</v>
      </c>
      <c r="E2819" s="1741" t="s">
        <v>8</v>
      </c>
      <c r="F2819" s="1741"/>
      <c r="G2819" s="1262" t="s">
        <v>19</v>
      </c>
      <c r="H2819" s="509">
        <v>5.7</v>
      </c>
      <c r="K2819" s="1192" t="s">
        <v>2428</v>
      </c>
      <c r="L2819" s="1192" t="s">
        <v>430</v>
      </c>
      <c r="P2819" s="1192" t="s">
        <v>2432</v>
      </c>
      <c r="V2819" s="1192">
        <v>31</v>
      </c>
    </row>
    <row r="2820" spans="1:22" s="1192" customFormat="1" ht="14.4" x14ac:dyDescent="0.3">
      <c r="A2820" s="1192" t="s">
        <v>207</v>
      </c>
      <c r="B2820" s="1192" t="s">
        <v>3072</v>
      </c>
      <c r="E2820" s="1741" t="s">
        <v>3076</v>
      </c>
      <c r="F2820" s="1741"/>
      <c r="G2820" s="1262" t="s">
        <v>19</v>
      </c>
      <c r="H2820" s="509">
        <v>-0.06</v>
      </c>
      <c r="K2820" s="1192" t="s">
        <v>2428</v>
      </c>
      <c r="L2820" s="1192" t="s">
        <v>430</v>
      </c>
      <c r="P2820" s="1192" t="s">
        <v>6216</v>
      </c>
      <c r="T2820" s="1192">
        <v>44012</v>
      </c>
      <c r="V2820" s="1192">
        <v>105</v>
      </c>
    </row>
    <row r="2821" spans="1:22" s="1192" customFormat="1" ht="14.4" x14ac:dyDescent="0.3">
      <c r="A2821" s="1192" t="s">
        <v>207</v>
      </c>
      <c r="B2821" s="1192" t="s">
        <v>3072</v>
      </c>
      <c r="E2821" s="1741" t="s">
        <v>80</v>
      </c>
      <c r="F2821" s="1741"/>
      <c r="G2821" s="1262" t="s">
        <v>29</v>
      </c>
      <c r="H2821" s="837">
        <v>14.588200000000001</v>
      </c>
      <c r="K2821" s="1192" t="s">
        <v>2428</v>
      </c>
      <c r="L2821" s="1192" t="s">
        <v>430</v>
      </c>
      <c r="P2821" s="1192" t="s">
        <v>2433</v>
      </c>
      <c r="V2821" s="1192">
        <v>28</v>
      </c>
    </row>
    <row r="2822" spans="1:22" s="1192" customFormat="1" ht="14.4" x14ac:dyDescent="0.3">
      <c r="A2822" s="1192" t="s">
        <v>207</v>
      </c>
      <c r="B2822" s="1192" t="s">
        <v>3072</v>
      </c>
      <c r="E2822" s="1741" t="s">
        <v>14</v>
      </c>
      <c r="F2822" s="1741"/>
      <c r="G2822" s="1262" t="s">
        <v>29</v>
      </c>
      <c r="H2822" s="1219">
        <v>0.113</v>
      </c>
      <c r="K2822" s="1192" t="s">
        <v>2428</v>
      </c>
      <c r="L2822" s="1192" t="s">
        <v>431</v>
      </c>
      <c r="P2822" s="1192" t="s">
        <v>2764</v>
      </c>
      <c r="V2822" s="1192">
        <v>24</v>
      </c>
    </row>
    <row r="2823" spans="1:22" s="1192" customFormat="1" ht="14.4" x14ac:dyDescent="0.3">
      <c r="A2823" s="1192" t="s">
        <v>207</v>
      </c>
      <c r="B2823" s="1192" t="s">
        <v>3072</v>
      </c>
      <c r="E2823" s="1741" t="s">
        <v>3074</v>
      </c>
      <c r="F2823" s="1741"/>
      <c r="G2823" s="1262" t="s">
        <v>29</v>
      </c>
      <c r="H2823" s="1219">
        <v>-0.1459</v>
      </c>
      <c r="K2823" s="1192" t="s">
        <v>2428</v>
      </c>
      <c r="L2823" s="1192" t="s">
        <v>430</v>
      </c>
      <c r="P2823" s="1192" t="s">
        <v>6217</v>
      </c>
      <c r="T2823" s="1192">
        <v>44012</v>
      </c>
      <c r="V2823" s="1192">
        <v>88</v>
      </c>
    </row>
    <row r="2824" spans="1:22" s="1192" customFormat="1" ht="14.4" x14ac:dyDescent="0.3">
      <c r="A2824" s="1192" t="s">
        <v>207</v>
      </c>
      <c r="B2824" s="1192" t="s">
        <v>3072</v>
      </c>
      <c r="E2824" s="1741" t="s">
        <v>4685</v>
      </c>
      <c r="F2824" s="1741"/>
      <c r="G2824" s="1262" t="s">
        <v>29</v>
      </c>
      <c r="H2824" s="932">
        <v>0.2152</v>
      </c>
      <c r="K2824" s="1192" t="s">
        <v>2428</v>
      </c>
      <c r="L2824" s="1192" t="s">
        <v>430</v>
      </c>
      <c r="P2824" s="1192" t="s">
        <v>4104</v>
      </c>
      <c r="V2824" s="1192">
        <v>131</v>
      </c>
    </row>
    <row r="2825" spans="1:22" s="1192" customFormat="1" ht="14.4" x14ac:dyDescent="0.3">
      <c r="A2825" s="1192" t="s">
        <v>207</v>
      </c>
      <c r="B2825" s="1192" t="s">
        <v>3072</v>
      </c>
      <c r="E2825" s="1741" t="s">
        <v>213</v>
      </c>
      <c r="F2825" s="1741"/>
      <c r="G2825" s="1262" t="s">
        <v>29</v>
      </c>
      <c r="H2825" s="837">
        <v>1.8654999999999999</v>
      </c>
      <c r="K2825" s="1192" t="s">
        <v>2428</v>
      </c>
      <c r="L2825" s="1192" t="s">
        <v>432</v>
      </c>
      <c r="P2825" s="1192" t="s">
        <v>2436</v>
      </c>
      <c r="V2825" s="1192">
        <v>47</v>
      </c>
    </row>
    <row r="2826" spans="1:22" s="1192" customFormat="1" ht="14.4" x14ac:dyDescent="0.3">
      <c r="A2826" s="1192" t="s">
        <v>207</v>
      </c>
      <c r="B2826" s="1192" t="s">
        <v>3072</v>
      </c>
      <c r="E2826" s="1741" t="s">
        <v>209</v>
      </c>
      <c r="F2826" s="1741"/>
      <c r="G2826" s="1262" t="s">
        <v>29</v>
      </c>
      <c r="H2826" s="837">
        <v>1.7003999999999999</v>
      </c>
      <c r="K2826" s="1192" t="s">
        <v>2428</v>
      </c>
      <c r="L2826" s="1192" t="s">
        <v>432</v>
      </c>
      <c r="P2826" s="1192" t="s">
        <v>2437</v>
      </c>
      <c r="V2826" s="1192">
        <v>74</v>
      </c>
    </row>
    <row r="2827" spans="1:22" s="1192" customFormat="1" ht="14.4" x14ac:dyDescent="0.3">
      <c r="A2827" s="1192" t="s">
        <v>207</v>
      </c>
      <c r="B2827" s="1192" t="s">
        <v>3072</v>
      </c>
      <c r="E2827" s="1750" t="s">
        <v>2405</v>
      </c>
      <c r="F2827" s="2008"/>
      <c r="G2827" s="1262"/>
      <c r="H2827" s="933"/>
      <c r="K2827" s="1192" t="s">
        <v>2438</v>
      </c>
      <c r="V2827" s="1192">
        <v>48</v>
      </c>
    </row>
    <row r="2828" spans="1:22" s="1192" customFormat="1" ht="14.4" x14ac:dyDescent="0.3">
      <c r="A2828" s="1192" t="s">
        <v>207</v>
      </c>
      <c r="B2828" s="1192" t="s">
        <v>3072</v>
      </c>
      <c r="E2828" s="1741" t="s">
        <v>2033</v>
      </c>
      <c r="F2828" s="1741"/>
      <c r="G2828" s="1262" t="s">
        <v>20</v>
      </c>
      <c r="H2828" s="1219">
        <v>3.0000000000000001E-3</v>
      </c>
      <c r="K2828" s="1192" t="s">
        <v>2428</v>
      </c>
      <c r="L2828" s="1192" t="s">
        <v>2374</v>
      </c>
      <c r="P2828" s="1192" t="s">
        <v>2439</v>
      </c>
      <c r="V2828" s="1192">
        <v>55</v>
      </c>
    </row>
    <row r="2829" spans="1:22" s="1192" customFormat="1" ht="14.4" x14ac:dyDescent="0.3">
      <c r="A2829" s="1192" t="s">
        <v>207</v>
      </c>
      <c r="B2829" s="1192" t="s">
        <v>3072</v>
      </c>
      <c r="E2829" s="1741" t="s">
        <v>2034</v>
      </c>
      <c r="F2829" s="1741"/>
      <c r="G2829" s="1262" t="s">
        <v>20</v>
      </c>
      <c r="H2829" s="839">
        <v>4.0000000000000002E-4</v>
      </c>
      <c r="K2829" s="1192" t="s">
        <v>2428</v>
      </c>
      <c r="L2829" s="1192" t="s">
        <v>2374</v>
      </c>
      <c r="P2829" s="1192" t="s">
        <v>2439</v>
      </c>
      <c r="V2829" s="1192">
        <v>65</v>
      </c>
    </row>
    <row r="2830" spans="1:22" s="1192" customFormat="1" ht="14.4" x14ac:dyDescent="0.3">
      <c r="A2830" s="1192" t="s">
        <v>207</v>
      </c>
      <c r="B2830" s="1192" t="s">
        <v>3072</v>
      </c>
      <c r="E2830" s="1741" t="s">
        <v>428</v>
      </c>
      <c r="F2830" s="1741"/>
      <c r="G2830" s="1262" t="s">
        <v>20</v>
      </c>
      <c r="H2830" s="839">
        <v>5.0000000000000001E-4</v>
      </c>
      <c r="K2830" s="1192" t="s">
        <v>2428</v>
      </c>
      <c r="L2830" s="1192" t="s">
        <v>2374</v>
      </c>
      <c r="P2830" s="1192" t="s">
        <v>2440</v>
      </c>
      <c r="V2830" s="1192">
        <v>57</v>
      </c>
    </row>
    <row r="2831" spans="1:22" s="1192" customFormat="1" ht="14.4" x14ac:dyDescent="0.3">
      <c r="A2831" s="1192" t="s">
        <v>207</v>
      </c>
      <c r="B2831" s="1192" t="s">
        <v>3072</v>
      </c>
      <c r="E2831" s="1741" t="s">
        <v>28</v>
      </c>
      <c r="F2831" s="1741"/>
      <c r="G2831" s="1262" t="s">
        <v>19</v>
      </c>
      <c r="H2831" s="932">
        <v>0.25</v>
      </c>
      <c r="K2831" s="1192" t="s">
        <v>2428</v>
      </c>
      <c r="L2831" s="1192" t="s">
        <v>2374</v>
      </c>
      <c r="P2831" s="1192" t="s">
        <v>2441</v>
      </c>
      <c r="V2831" s="1192">
        <v>63</v>
      </c>
    </row>
    <row r="2832" spans="1:22" s="1192" customFormat="1" ht="17.399999999999999" x14ac:dyDescent="0.3">
      <c r="A2832" s="1192" t="s">
        <v>207</v>
      </c>
      <c r="B2832" s="1192" t="s">
        <v>3072</v>
      </c>
      <c r="E2832" s="1746" t="s">
        <v>3078</v>
      </c>
      <c r="F2832" s="1746"/>
      <c r="G2832" s="1746"/>
      <c r="H2832" s="1746"/>
      <c r="K2832" s="1192" t="s">
        <v>4105</v>
      </c>
      <c r="V2832" s="1192">
        <v>71</v>
      </c>
    </row>
    <row r="2833" spans="1:22" s="1192" customFormat="1" ht="14.4" x14ac:dyDescent="0.3">
      <c r="A2833" s="1192" t="s">
        <v>207</v>
      </c>
      <c r="B2833" s="1192" t="s">
        <v>3072</v>
      </c>
      <c r="E2833" s="1743" t="s">
        <v>3079</v>
      </c>
      <c r="F2833" s="1743"/>
      <c r="G2833" s="1743"/>
      <c r="H2833" s="1743"/>
      <c r="K2833" s="1192" t="s">
        <v>4105</v>
      </c>
      <c r="V2833" s="1192">
        <v>361</v>
      </c>
    </row>
    <row r="2834" spans="1:22" s="1192" customFormat="1" ht="14.4" x14ac:dyDescent="0.3">
      <c r="A2834" s="1192" t="s">
        <v>207</v>
      </c>
      <c r="B2834" s="1192" t="s">
        <v>3072</v>
      </c>
      <c r="E2834" s="1750" t="s">
        <v>2389</v>
      </c>
      <c r="F2834" s="2037"/>
      <c r="G2834" s="2037"/>
      <c r="H2834" s="2037"/>
      <c r="K2834" s="1192" t="s">
        <v>2444</v>
      </c>
      <c r="V2834" s="1192">
        <v>11</v>
      </c>
    </row>
    <row r="2835" spans="1:22" s="1192" customFormat="1" ht="14.4" x14ac:dyDescent="0.3">
      <c r="A2835" s="1192" t="s">
        <v>207</v>
      </c>
      <c r="B2835" s="1192" t="s">
        <v>3072</v>
      </c>
      <c r="E2835" s="1743" t="s">
        <v>2391</v>
      </c>
      <c r="F2835" s="1743"/>
      <c r="G2835" s="1743"/>
      <c r="H2835" s="1743"/>
      <c r="K2835" s="1192" t="s">
        <v>4105</v>
      </c>
      <c r="V2835" s="1192">
        <v>280</v>
      </c>
    </row>
    <row r="2836" spans="1:22" s="1192" customFormat="1" ht="14.4" x14ac:dyDescent="0.3">
      <c r="A2836" s="1192" t="s">
        <v>207</v>
      </c>
      <c r="B2836" s="1192" t="s">
        <v>3072</v>
      </c>
      <c r="E2836" s="1743" t="s">
        <v>2392</v>
      </c>
      <c r="F2836" s="1743"/>
      <c r="G2836" s="1743"/>
      <c r="H2836" s="1743"/>
      <c r="K2836" s="1192" t="s">
        <v>4105</v>
      </c>
      <c r="V2836" s="1192">
        <v>411</v>
      </c>
    </row>
    <row r="2837" spans="1:22" s="1192" customFormat="1" ht="14.4" x14ac:dyDescent="0.3">
      <c r="A2837" s="1192" t="s">
        <v>207</v>
      </c>
      <c r="B2837" s="1192" t="s">
        <v>3072</v>
      </c>
      <c r="E2837" s="1743" t="s">
        <v>2508</v>
      </c>
      <c r="F2837" s="1743"/>
      <c r="G2837" s="1743"/>
      <c r="H2837" s="1743"/>
      <c r="K2837" s="1192" t="s">
        <v>4105</v>
      </c>
      <c r="V2837" s="1192">
        <v>386</v>
      </c>
    </row>
    <row r="2838" spans="1:22" s="1192" customFormat="1" ht="14.4" x14ac:dyDescent="0.3">
      <c r="A2838" s="1192" t="s">
        <v>207</v>
      </c>
      <c r="B2838" s="1192" t="s">
        <v>3072</v>
      </c>
      <c r="E2838" s="1743" t="s">
        <v>2986</v>
      </c>
      <c r="F2838" s="1743"/>
      <c r="G2838" s="1743"/>
      <c r="H2838" s="1743"/>
      <c r="K2838" s="1192" t="s">
        <v>4105</v>
      </c>
      <c r="V2838" s="1192">
        <v>246</v>
      </c>
    </row>
    <row r="2839" spans="1:22" s="1192" customFormat="1" ht="14.4" x14ac:dyDescent="0.3">
      <c r="A2839" s="1192" t="s">
        <v>207</v>
      </c>
      <c r="B2839" s="1192" t="s">
        <v>3072</v>
      </c>
      <c r="E2839" s="2175" t="s">
        <v>2394</v>
      </c>
      <c r="F2839" s="2176"/>
      <c r="G2839" s="2176"/>
      <c r="H2839" s="2176"/>
      <c r="K2839" s="1192" t="s">
        <v>2446</v>
      </c>
      <c r="V2839" s="1192">
        <v>46</v>
      </c>
    </row>
    <row r="2840" spans="1:22" s="1192" customFormat="1" ht="14.4" x14ac:dyDescent="0.3">
      <c r="A2840" s="1192" t="s">
        <v>207</v>
      </c>
      <c r="B2840" s="1192" t="s">
        <v>3072</v>
      </c>
      <c r="E2840" s="1741" t="s">
        <v>7</v>
      </c>
      <c r="F2840" s="1741"/>
      <c r="G2840" s="1262" t="s">
        <v>19</v>
      </c>
      <c r="H2840" s="837">
        <v>464.17</v>
      </c>
      <c r="K2840" s="1192" t="s">
        <v>4105</v>
      </c>
      <c r="L2840" s="1192" t="s">
        <v>430</v>
      </c>
      <c r="P2840" s="1192" t="s">
        <v>4106</v>
      </c>
      <c r="V2840" s="1192">
        <v>14</v>
      </c>
    </row>
    <row r="2841" spans="1:22" s="1192" customFormat="1" ht="14.4" x14ac:dyDescent="0.3">
      <c r="A2841" s="1192" t="s">
        <v>207</v>
      </c>
      <c r="B2841" s="1192" t="s">
        <v>3072</v>
      </c>
      <c r="E2841" s="1741" t="s">
        <v>3074</v>
      </c>
      <c r="F2841" s="1741"/>
      <c r="G2841" s="1262" t="s">
        <v>19</v>
      </c>
      <c r="H2841" s="509">
        <v>-4.6399999999999997</v>
      </c>
      <c r="K2841" s="1192" t="s">
        <v>4105</v>
      </c>
      <c r="L2841" s="1192" t="s">
        <v>430</v>
      </c>
      <c r="P2841" s="1192" t="s">
        <v>6218</v>
      </c>
      <c r="T2841" s="1192">
        <v>44012</v>
      </c>
      <c r="V2841" s="1192">
        <v>88</v>
      </c>
    </row>
    <row r="2842" spans="1:22" s="1192" customFormat="1" ht="14.4" x14ac:dyDescent="0.3">
      <c r="A2842" s="1192" t="s">
        <v>207</v>
      </c>
      <c r="B2842" s="1192" t="s">
        <v>3072</v>
      </c>
      <c r="E2842" s="1741" t="s">
        <v>363</v>
      </c>
      <c r="F2842" s="1741"/>
      <c r="G2842" s="1262" t="s">
        <v>29</v>
      </c>
      <c r="H2842" s="932">
        <v>1.4303999999999999</v>
      </c>
      <c r="K2842" s="1192" t="s">
        <v>4105</v>
      </c>
      <c r="L2842" s="1192" t="s">
        <v>430</v>
      </c>
      <c r="P2842" s="1192" t="s">
        <v>4107</v>
      </c>
      <c r="V2842" s="1192">
        <v>34</v>
      </c>
    </row>
    <row r="2843" spans="1:22" s="1192" customFormat="1" ht="14.4" x14ac:dyDescent="0.3">
      <c r="A2843" s="1192" t="s">
        <v>207</v>
      </c>
      <c r="B2843" s="1192" t="s">
        <v>3072</v>
      </c>
      <c r="E2843" s="1741" t="s">
        <v>3074</v>
      </c>
      <c r="F2843" s="1741"/>
      <c r="G2843" s="1262" t="s">
        <v>29</v>
      </c>
      <c r="H2843" s="1219">
        <v>-1.43E-2</v>
      </c>
      <c r="K2843" s="1192" t="s">
        <v>4105</v>
      </c>
      <c r="L2843" s="1192" t="s">
        <v>430</v>
      </c>
      <c r="P2843" s="1192" t="s">
        <v>6219</v>
      </c>
      <c r="T2843" s="1192">
        <v>44012</v>
      </c>
      <c r="V2843" s="1192">
        <v>88</v>
      </c>
    </row>
    <row r="2844" spans="1:22" s="1192" customFormat="1" ht="14.4" x14ac:dyDescent="0.3">
      <c r="A2844" s="1192" t="s">
        <v>207</v>
      </c>
      <c r="B2844" s="1192" t="s">
        <v>3072</v>
      </c>
      <c r="E2844" s="1741" t="s">
        <v>213</v>
      </c>
      <c r="F2844" s="1741"/>
      <c r="G2844" s="1262" t="s">
        <v>29</v>
      </c>
      <c r="H2844" s="837">
        <v>3.0924999999999998</v>
      </c>
      <c r="K2844" s="1192" t="s">
        <v>4105</v>
      </c>
      <c r="L2844" s="1192" t="s">
        <v>432</v>
      </c>
      <c r="P2844" s="1192" t="s">
        <v>4108</v>
      </c>
      <c r="V2844" s="1192">
        <v>47</v>
      </c>
    </row>
    <row r="2845" spans="1:22" s="1192" customFormat="1" ht="14.4" x14ac:dyDescent="0.3">
      <c r="A2845" s="1192" t="s">
        <v>207</v>
      </c>
      <c r="B2845" s="1192" t="s">
        <v>3072</v>
      </c>
      <c r="E2845" s="1741" t="s">
        <v>209</v>
      </c>
      <c r="F2845" s="1741"/>
      <c r="G2845" s="1262" t="s">
        <v>29</v>
      </c>
      <c r="H2845" s="837">
        <v>2.9634</v>
      </c>
      <c r="K2845" s="1192" t="s">
        <v>4105</v>
      </c>
      <c r="L2845" s="1192" t="s">
        <v>432</v>
      </c>
      <c r="P2845" s="1192" t="s">
        <v>4109</v>
      </c>
      <c r="V2845" s="1192">
        <v>74</v>
      </c>
    </row>
    <row r="2846" spans="1:22" s="1192" customFormat="1" ht="14.4" x14ac:dyDescent="0.3">
      <c r="A2846" s="1192" t="s">
        <v>207</v>
      </c>
      <c r="B2846" s="1192" t="s">
        <v>3072</v>
      </c>
      <c r="E2846" s="1750" t="s">
        <v>2405</v>
      </c>
      <c r="F2846" s="2008"/>
      <c r="G2846" s="1262"/>
      <c r="H2846" s="933"/>
      <c r="K2846" s="1192" t="s">
        <v>2565</v>
      </c>
      <c r="V2846" s="1192">
        <v>48</v>
      </c>
    </row>
    <row r="2847" spans="1:22" s="1192" customFormat="1" ht="14.4" x14ac:dyDescent="0.3">
      <c r="A2847" s="1192" t="s">
        <v>207</v>
      </c>
      <c r="B2847" s="1192" t="s">
        <v>3072</v>
      </c>
      <c r="E2847" s="1741" t="s">
        <v>2033</v>
      </c>
      <c r="F2847" s="1741"/>
      <c r="G2847" s="1262" t="s">
        <v>20</v>
      </c>
      <c r="H2847" s="1219">
        <v>3.0000000000000001E-3</v>
      </c>
      <c r="K2847" s="1192" t="s">
        <v>4105</v>
      </c>
      <c r="L2847" s="1192" t="s">
        <v>2374</v>
      </c>
      <c r="P2847" s="1192" t="s">
        <v>4110</v>
      </c>
      <c r="V2847" s="1192">
        <v>55</v>
      </c>
    </row>
    <row r="2848" spans="1:22" s="1192" customFormat="1" ht="14.4" x14ac:dyDescent="0.3">
      <c r="A2848" s="1192" t="s">
        <v>207</v>
      </c>
      <c r="B2848" s="1192" t="s">
        <v>3072</v>
      </c>
      <c r="E2848" s="1741" t="s">
        <v>2034</v>
      </c>
      <c r="F2848" s="1741"/>
      <c r="G2848" s="1262" t="s">
        <v>20</v>
      </c>
      <c r="H2848" s="839">
        <v>4.0000000000000002E-4</v>
      </c>
      <c r="K2848" s="1192" t="s">
        <v>4105</v>
      </c>
      <c r="L2848" s="1192" t="s">
        <v>2374</v>
      </c>
      <c r="P2848" s="1192" t="s">
        <v>4110</v>
      </c>
      <c r="V2848" s="1192">
        <v>65</v>
      </c>
    </row>
    <row r="2849" spans="1:22" s="1192" customFormat="1" ht="14.4" x14ac:dyDescent="0.3">
      <c r="A2849" s="1192" t="s">
        <v>207</v>
      </c>
      <c r="B2849" s="1192" t="s">
        <v>3072</v>
      </c>
      <c r="E2849" s="1741" t="s">
        <v>428</v>
      </c>
      <c r="F2849" s="1741"/>
      <c r="G2849" s="1262" t="s">
        <v>20</v>
      </c>
      <c r="H2849" s="839">
        <v>5.0000000000000001E-4</v>
      </c>
      <c r="K2849" s="1192" t="s">
        <v>4105</v>
      </c>
      <c r="L2849" s="1192" t="s">
        <v>2374</v>
      </c>
      <c r="P2849" s="1192" t="s">
        <v>4111</v>
      </c>
      <c r="V2849" s="1192">
        <v>57</v>
      </c>
    </row>
    <row r="2850" spans="1:22" s="1192" customFormat="1" ht="14.4" x14ac:dyDescent="0.3">
      <c r="A2850" s="1192" t="s">
        <v>207</v>
      </c>
      <c r="B2850" s="1192" t="s">
        <v>3072</v>
      </c>
      <c r="E2850" s="1741" t="s">
        <v>28</v>
      </c>
      <c r="F2850" s="1741"/>
      <c r="G2850" s="1262" t="s">
        <v>19</v>
      </c>
      <c r="H2850" s="932">
        <v>0.25</v>
      </c>
      <c r="K2850" s="1192" t="s">
        <v>4105</v>
      </c>
      <c r="L2850" s="1192" t="s">
        <v>2374</v>
      </c>
      <c r="P2850" s="1192" t="s">
        <v>4112</v>
      </c>
      <c r="V2850" s="1192">
        <v>63</v>
      </c>
    </row>
    <row r="2851" spans="1:22" s="1192" customFormat="1" ht="17.399999999999999" x14ac:dyDescent="0.3">
      <c r="A2851" s="1192" t="s">
        <v>207</v>
      </c>
      <c r="B2851" s="1192" t="s">
        <v>3072</v>
      </c>
      <c r="E2851" s="1746" t="s">
        <v>593</v>
      </c>
      <c r="F2851" s="1746"/>
      <c r="G2851" s="1746"/>
      <c r="H2851" s="1746"/>
      <c r="K2851" s="1192" t="s">
        <v>2756</v>
      </c>
      <c r="V2851" s="1192">
        <v>31</v>
      </c>
    </row>
    <row r="2852" spans="1:22" s="1192" customFormat="1" ht="14.4" x14ac:dyDescent="0.3">
      <c r="A2852" s="1192" t="s">
        <v>207</v>
      </c>
      <c r="B2852" s="1192" t="s">
        <v>3072</v>
      </c>
      <c r="E2852" s="1743" t="s">
        <v>2652</v>
      </c>
      <c r="F2852" s="1743"/>
      <c r="G2852" s="1743"/>
      <c r="H2852" s="1743"/>
      <c r="K2852" s="1192" t="s">
        <v>2756</v>
      </c>
      <c r="V2852" s="1192">
        <v>285</v>
      </c>
    </row>
    <row r="2853" spans="1:22" s="1192" customFormat="1" ht="14.4" x14ac:dyDescent="0.3">
      <c r="A2853" s="1192" t="s">
        <v>207</v>
      </c>
      <c r="B2853" s="1192" t="s">
        <v>3072</v>
      </c>
      <c r="E2853" s="1750" t="s">
        <v>2389</v>
      </c>
      <c r="F2853" s="2037"/>
      <c r="G2853" s="2037"/>
      <c r="H2853" s="2037"/>
      <c r="K2853" s="1192" t="s">
        <v>2571</v>
      </c>
      <c r="V2853" s="1192">
        <v>11</v>
      </c>
    </row>
    <row r="2854" spans="1:22" s="1192" customFormat="1" ht="14.4" x14ac:dyDescent="0.3">
      <c r="A2854" s="1192" t="s">
        <v>207</v>
      </c>
      <c r="B2854" s="1192" t="s">
        <v>3072</v>
      </c>
      <c r="E2854" s="1743" t="s">
        <v>2391</v>
      </c>
      <c r="F2854" s="1743"/>
      <c r="G2854" s="1743"/>
      <c r="H2854" s="1743"/>
      <c r="K2854" s="1192" t="s">
        <v>2756</v>
      </c>
      <c r="V2854" s="1192">
        <v>280</v>
      </c>
    </row>
    <row r="2855" spans="1:22" s="1192" customFormat="1" ht="14.4" x14ac:dyDescent="0.3">
      <c r="A2855" s="1192" t="s">
        <v>207</v>
      </c>
      <c r="B2855" s="1192" t="s">
        <v>3072</v>
      </c>
      <c r="E2855" s="1743" t="s">
        <v>2392</v>
      </c>
      <c r="F2855" s="1743"/>
      <c r="G2855" s="1743"/>
      <c r="H2855" s="1743"/>
      <c r="K2855" s="1192" t="s">
        <v>2756</v>
      </c>
      <c r="V2855" s="1192">
        <v>411</v>
      </c>
    </row>
    <row r="2856" spans="1:22" s="1192" customFormat="1" ht="14.4" x14ac:dyDescent="0.3">
      <c r="A2856" s="1192" t="s">
        <v>207</v>
      </c>
      <c r="B2856" s="1192" t="s">
        <v>3072</v>
      </c>
      <c r="E2856" s="1743" t="s">
        <v>2445</v>
      </c>
      <c r="F2856" s="1743"/>
      <c r="G2856" s="1743"/>
      <c r="H2856" s="1743"/>
      <c r="K2856" s="1192" t="s">
        <v>2756</v>
      </c>
      <c r="V2856" s="1192">
        <v>211</v>
      </c>
    </row>
    <row r="2857" spans="1:22" s="1192" customFormat="1" ht="14.4" x14ac:dyDescent="0.3">
      <c r="A2857" s="1192" t="s">
        <v>207</v>
      </c>
      <c r="B2857" s="1192" t="s">
        <v>3072</v>
      </c>
      <c r="E2857" s="1743" t="s">
        <v>2986</v>
      </c>
      <c r="F2857" s="1743"/>
      <c r="G2857" s="1743"/>
      <c r="H2857" s="1743"/>
      <c r="K2857" s="1192" t="s">
        <v>2756</v>
      </c>
      <c r="V2857" s="1192">
        <v>246</v>
      </c>
    </row>
    <row r="2858" spans="1:22" s="1192" customFormat="1" ht="14.4" x14ac:dyDescent="0.3">
      <c r="A2858" s="1192" t="s">
        <v>207</v>
      </c>
      <c r="B2858" s="1192" t="s">
        <v>3072</v>
      </c>
      <c r="E2858" s="1750" t="s">
        <v>2394</v>
      </c>
      <c r="F2858" s="2037"/>
      <c r="G2858" s="2037"/>
      <c r="H2858" s="2037"/>
      <c r="K2858" s="1192" t="s">
        <v>2572</v>
      </c>
      <c r="V2858" s="1192">
        <v>46</v>
      </c>
    </row>
    <row r="2859" spans="1:22" s="1192" customFormat="1" ht="14.4" x14ac:dyDescent="0.3">
      <c r="A2859" s="1192" t="s">
        <v>207</v>
      </c>
      <c r="B2859" s="1192" t="s">
        <v>3072</v>
      </c>
      <c r="E2859" s="1741" t="s">
        <v>7</v>
      </c>
      <c r="F2859" s="1741"/>
      <c r="G2859" s="1262" t="s">
        <v>19</v>
      </c>
      <c r="H2859" s="509">
        <v>5.4</v>
      </c>
      <c r="K2859" s="1192" t="s">
        <v>2756</v>
      </c>
      <c r="L2859" s="1192" t="s">
        <v>430</v>
      </c>
      <c r="P2859" s="1192" t="s">
        <v>2757</v>
      </c>
      <c r="V2859" s="1192">
        <v>14</v>
      </c>
    </row>
    <row r="2860" spans="1:22" s="1192" customFormat="1" ht="14.4" x14ac:dyDescent="0.3">
      <c r="A2860" s="1192" t="s">
        <v>207</v>
      </c>
      <c r="B2860" s="1192" t="s">
        <v>3072</v>
      </c>
      <c r="E2860" s="2179" t="s">
        <v>2045</v>
      </c>
      <c r="F2860" s="1741"/>
      <c r="G2860" s="1262"/>
      <c r="H2860" s="933"/>
      <c r="K2860" s="1192" t="s">
        <v>2756</v>
      </c>
      <c r="V2860" s="1192">
        <v>0</v>
      </c>
    </row>
    <row r="2861" spans="1:22" s="1192" customFormat="1" ht="17.399999999999999" x14ac:dyDescent="0.3">
      <c r="A2861" s="1192" t="s">
        <v>207</v>
      </c>
      <c r="B2861" s="1192" t="s">
        <v>3072</v>
      </c>
      <c r="E2861" s="1260" t="s">
        <v>81</v>
      </c>
      <c r="F2861" s="1264"/>
      <c r="G2861" s="1264"/>
      <c r="H2861" s="934"/>
      <c r="K2861" s="1192" t="s">
        <v>3100</v>
      </c>
      <c r="V2861" s="1192">
        <v>10</v>
      </c>
    </row>
    <row r="2862" spans="1:22" s="1192" customFormat="1" ht="14.4" x14ac:dyDescent="0.3">
      <c r="A2862" s="1192" t="s">
        <v>207</v>
      </c>
      <c r="B2862" s="1192" t="s">
        <v>3072</v>
      </c>
      <c r="E2862" s="1741" t="s">
        <v>2449</v>
      </c>
      <c r="F2862" s="1741"/>
      <c r="G2862" s="1255" t="s">
        <v>29</v>
      </c>
      <c r="H2862" s="509">
        <v>-0.6</v>
      </c>
      <c r="V2862" s="1192">
        <v>68</v>
      </c>
    </row>
    <row r="2863" spans="1:22" s="1192" customFormat="1" ht="14.4" x14ac:dyDescent="0.3">
      <c r="A2863" s="1192" t="s">
        <v>207</v>
      </c>
      <c r="B2863" s="1192" t="s">
        <v>3072</v>
      </c>
      <c r="E2863" s="1741" t="s">
        <v>2450</v>
      </c>
      <c r="F2863" s="1741"/>
      <c r="G2863" s="1255" t="s">
        <v>82</v>
      </c>
      <c r="H2863" s="509">
        <v>-1</v>
      </c>
      <c r="V2863" s="1192">
        <v>87</v>
      </c>
    </row>
    <row r="2864" spans="1:22" s="1192" customFormat="1" ht="17.399999999999999" x14ac:dyDescent="0.3">
      <c r="A2864" s="1192" t="s">
        <v>207</v>
      </c>
      <c r="B2864" s="1192" t="s">
        <v>3072</v>
      </c>
      <c r="E2864" s="1746" t="s">
        <v>83</v>
      </c>
      <c r="F2864" s="1746"/>
      <c r="G2864" s="1746"/>
      <c r="H2864" s="1746"/>
      <c r="K2864" s="1192" t="s">
        <v>3101</v>
      </c>
      <c r="V2864" s="1192">
        <v>24</v>
      </c>
    </row>
    <row r="2865" spans="1:22" s="1192" customFormat="1" ht="14.4" x14ac:dyDescent="0.3">
      <c r="A2865" s="1192" t="s">
        <v>207</v>
      </c>
      <c r="B2865" s="1192" t="s">
        <v>3072</v>
      </c>
      <c r="E2865" s="2037" t="s">
        <v>2389</v>
      </c>
      <c r="F2865" s="2037"/>
      <c r="G2865" s="2037"/>
      <c r="H2865" s="2037"/>
      <c r="V2865" s="1192">
        <v>11</v>
      </c>
    </row>
    <row r="2866" spans="1:22" s="1192" customFormat="1" ht="14.4" x14ac:dyDescent="0.3">
      <c r="A2866" s="1192" t="s">
        <v>207</v>
      </c>
      <c r="B2866" s="1192" t="s">
        <v>3072</v>
      </c>
      <c r="E2866" s="2115" t="s">
        <v>2391</v>
      </c>
      <c r="F2866" s="2115"/>
      <c r="G2866" s="2115"/>
      <c r="H2866" s="2115"/>
      <c r="V2866" s="1192">
        <v>280</v>
      </c>
    </row>
    <row r="2867" spans="1:22" s="1192" customFormat="1" ht="14.4" x14ac:dyDescent="0.3">
      <c r="A2867" s="1192" t="s">
        <v>207</v>
      </c>
      <c r="B2867" s="1192" t="s">
        <v>3072</v>
      </c>
      <c r="E2867" s="2115" t="s">
        <v>2452</v>
      </c>
      <c r="F2867" s="2115"/>
      <c r="G2867" s="2115"/>
      <c r="H2867" s="2115"/>
      <c r="V2867" s="1192">
        <v>353</v>
      </c>
    </row>
    <row r="2868" spans="1:22" s="1192" customFormat="1" ht="14.4" x14ac:dyDescent="0.3">
      <c r="A2868" s="1192" t="s">
        <v>207</v>
      </c>
      <c r="B2868" s="1192" t="s">
        <v>3072</v>
      </c>
      <c r="E2868" s="2115" t="s">
        <v>2986</v>
      </c>
      <c r="F2868" s="2115"/>
      <c r="G2868" s="2115"/>
      <c r="H2868" s="2115"/>
      <c r="V2868" s="1192">
        <v>246</v>
      </c>
    </row>
    <row r="2869" spans="1:22" s="1192" customFormat="1" ht="14.4" x14ac:dyDescent="0.3">
      <c r="A2869" s="1192" t="s">
        <v>207</v>
      </c>
      <c r="B2869" s="1192" t="s">
        <v>3072</v>
      </c>
      <c r="E2869" s="1750" t="s">
        <v>2453</v>
      </c>
      <c r="F2869" s="1750"/>
      <c r="G2869" s="1750"/>
      <c r="H2869" s="1750"/>
      <c r="K2869" s="1192" t="s">
        <v>3102</v>
      </c>
      <c r="V2869" s="1192">
        <v>23</v>
      </c>
    </row>
    <row r="2870" spans="1:22" s="1192" customFormat="1" ht="14.4" x14ac:dyDescent="0.3">
      <c r="A2870" s="1192" t="s">
        <v>207</v>
      </c>
      <c r="B2870" s="1192" t="s">
        <v>3072</v>
      </c>
      <c r="E2870" s="1942" t="s">
        <v>2467</v>
      </c>
      <c r="F2870" s="1942"/>
      <c r="G2870" s="1255" t="s">
        <v>19</v>
      </c>
      <c r="H2870" s="509">
        <v>15</v>
      </c>
      <c r="V2870" s="1192">
        <v>19</v>
      </c>
    </row>
    <row r="2871" spans="1:22" s="1192" customFormat="1" ht="14.4" x14ac:dyDescent="0.3">
      <c r="A2871" s="1192" t="s">
        <v>207</v>
      </c>
      <c r="B2871" s="1192" t="s">
        <v>3072</v>
      </c>
      <c r="E2871" s="1942" t="s">
        <v>2464</v>
      </c>
      <c r="F2871" s="1942"/>
      <c r="G2871" s="1255" t="s">
        <v>19</v>
      </c>
      <c r="H2871" s="509">
        <v>15</v>
      </c>
      <c r="V2871" s="1192">
        <v>56</v>
      </c>
    </row>
    <row r="2872" spans="1:22" s="1192" customFormat="1" ht="14.4" x14ac:dyDescent="0.3">
      <c r="A2872" s="1192" t="s">
        <v>207</v>
      </c>
      <c r="B2872" s="1192" t="s">
        <v>3072</v>
      </c>
      <c r="E2872" s="1942" t="s">
        <v>119</v>
      </c>
      <c r="F2872" s="1942"/>
      <c r="G2872" s="1255" t="s">
        <v>19</v>
      </c>
      <c r="H2872" s="509">
        <v>15</v>
      </c>
      <c r="V2872" s="1192">
        <v>35</v>
      </c>
    </row>
    <row r="2873" spans="1:22" s="1192" customFormat="1" ht="14.4" x14ac:dyDescent="0.3">
      <c r="A2873" s="1192" t="s">
        <v>207</v>
      </c>
      <c r="B2873" s="1192" t="s">
        <v>3072</v>
      </c>
      <c r="E2873" s="1942" t="s">
        <v>84</v>
      </c>
      <c r="F2873" s="1942"/>
      <c r="G2873" s="1255" t="s">
        <v>19</v>
      </c>
      <c r="H2873" s="509">
        <v>30</v>
      </c>
      <c r="V2873" s="1192">
        <v>89</v>
      </c>
    </row>
    <row r="2874" spans="1:22" s="1192" customFormat="1" ht="14.4" x14ac:dyDescent="0.3">
      <c r="A2874" s="1192" t="s">
        <v>207</v>
      </c>
      <c r="B2874" s="1192" t="s">
        <v>3072</v>
      </c>
      <c r="E2874" s="1942" t="s">
        <v>88</v>
      </c>
      <c r="F2874" s="1942"/>
      <c r="G2874" s="1255" t="s">
        <v>19</v>
      </c>
      <c r="H2874" s="509">
        <v>30</v>
      </c>
      <c r="V2874" s="1192">
        <v>74</v>
      </c>
    </row>
    <row r="2875" spans="1:22" s="1192" customFormat="1" ht="14.4" x14ac:dyDescent="0.3">
      <c r="A2875" s="1192" t="s">
        <v>207</v>
      </c>
      <c r="B2875" s="1192" t="s">
        <v>3072</v>
      </c>
      <c r="E2875" s="1942" t="s">
        <v>2045</v>
      </c>
      <c r="F2875" s="1942"/>
      <c r="G2875" s="1255"/>
      <c r="H2875" s="839"/>
      <c r="V2875" s="1192">
        <v>0</v>
      </c>
    </row>
    <row r="2876" spans="1:22" s="1192" customFormat="1" ht="14.4" x14ac:dyDescent="0.3">
      <c r="A2876" s="1192" t="s">
        <v>207</v>
      </c>
      <c r="B2876" s="1192" t="s">
        <v>3072</v>
      </c>
      <c r="E2876" s="1750" t="s">
        <v>6191</v>
      </c>
      <c r="F2876" s="1750"/>
      <c r="G2876" s="1750"/>
      <c r="H2876" s="1750"/>
      <c r="V2876" s="1192">
        <v>23</v>
      </c>
    </row>
    <row r="2877" spans="1:22" s="1192" customFormat="1" ht="14.4" x14ac:dyDescent="0.3">
      <c r="A2877" s="1192" t="s">
        <v>207</v>
      </c>
      <c r="B2877" s="1192" t="s">
        <v>3072</v>
      </c>
      <c r="E2877" s="1942" t="s">
        <v>6220</v>
      </c>
      <c r="F2877" s="1942"/>
      <c r="G2877" s="1255" t="s">
        <v>82</v>
      </c>
      <c r="H2877" s="509">
        <v>1.5</v>
      </c>
      <c r="V2877" s="1192">
        <v>102</v>
      </c>
    </row>
    <row r="2878" spans="1:22" s="1192" customFormat="1" ht="14.4" x14ac:dyDescent="0.3">
      <c r="A2878" s="1192" t="s">
        <v>207</v>
      </c>
      <c r="B2878" s="1192" t="s">
        <v>3072</v>
      </c>
      <c r="E2878" s="1942" t="s">
        <v>6221</v>
      </c>
      <c r="F2878" s="1942"/>
      <c r="G2878" s="1255" t="s">
        <v>19</v>
      </c>
      <c r="H2878" s="509">
        <v>65</v>
      </c>
      <c r="V2878" s="1192">
        <v>51</v>
      </c>
    </row>
    <row r="2879" spans="1:22" s="1192" customFormat="1" ht="14.4" x14ac:dyDescent="0.3">
      <c r="A2879" s="1192" t="s">
        <v>207</v>
      </c>
      <c r="B2879" s="1192" t="s">
        <v>3072</v>
      </c>
      <c r="E2879" s="1942" t="s">
        <v>6222</v>
      </c>
      <c r="F2879" s="1942"/>
      <c r="G2879" s="1255" t="s">
        <v>19</v>
      </c>
      <c r="H2879" s="509">
        <v>185</v>
      </c>
      <c r="V2879" s="1192">
        <v>50</v>
      </c>
    </row>
    <row r="2880" spans="1:22" s="1192" customFormat="1" ht="14.4" x14ac:dyDescent="0.3">
      <c r="A2880" s="1192" t="s">
        <v>207</v>
      </c>
      <c r="B2880" s="1192" t="s">
        <v>3072</v>
      </c>
      <c r="E2880" s="1942" t="s">
        <v>6108</v>
      </c>
      <c r="F2880" s="1942"/>
      <c r="G2880" s="1255" t="s">
        <v>19</v>
      </c>
      <c r="H2880" s="509">
        <v>185</v>
      </c>
      <c r="V2880" s="1192">
        <v>43</v>
      </c>
    </row>
    <row r="2881" spans="1:22" s="1192" customFormat="1" ht="14.4" x14ac:dyDescent="0.3">
      <c r="A2881" s="1192" t="s">
        <v>207</v>
      </c>
      <c r="B2881" s="1192" t="s">
        <v>3072</v>
      </c>
      <c r="E2881" s="1942" t="s">
        <v>6115</v>
      </c>
      <c r="F2881" s="1942"/>
      <c r="G2881" s="1255" t="s">
        <v>19</v>
      </c>
      <c r="H2881" s="509">
        <v>415</v>
      </c>
      <c r="V2881" s="1192">
        <v>42</v>
      </c>
    </row>
    <row r="2882" spans="1:22" s="1192" customFormat="1" ht="14.4" x14ac:dyDescent="0.3">
      <c r="A2882" s="1192" t="s">
        <v>207</v>
      </c>
      <c r="B2882" s="1192" t="s">
        <v>3072</v>
      </c>
      <c r="E2882" s="1750" t="s">
        <v>2474</v>
      </c>
      <c r="F2882" s="1750"/>
      <c r="G2882" s="1750"/>
      <c r="H2882" s="1750"/>
      <c r="V2882" s="1192">
        <v>5</v>
      </c>
    </row>
    <row r="2883" spans="1:22" s="1192" customFormat="1" ht="14.4" x14ac:dyDescent="0.3">
      <c r="A2883" s="1192" t="s">
        <v>207</v>
      </c>
      <c r="B2883" s="1192" t="s">
        <v>3072</v>
      </c>
      <c r="E2883" s="1942" t="s">
        <v>3041</v>
      </c>
      <c r="F2883" s="1942"/>
      <c r="G2883" s="1255" t="s">
        <v>19</v>
      </c>
      <c r="H2883" s="509">
        <v>500</v>
      </c>
      <c r="V2883" s="1192">
        <v>62</v>
      </c>
    </row>
    <row r="2884" spans="1:22" s="1192" customFormat="1" ht="14.4" x14ac:dyDescent="0.3">
      <c r="A2884" s="1192" t="s">
        <v>207</v>
      </c>
      <c r="B2884" s="1192" t="s">
        <v>3072</v>
      </c>
      <c r="E2884" s="1942" t="s">
        <v>2768</v>
      </c>
      <c r="F2884" s="1942"/>
      <c r="G2884" s="1255" t="s">
        <v>19</v>
      </c>
      <c r="H2884" s="509">
        <v>44.5</v>
      </c>
      <c r="V2884" s="1192">
        <v>104</v>
      </c>
    </row>
    <row r="2885" spans="1:22" s="1192" customFormat="1" ht="14.4" x14ac:dyDescent="0.3">
      <c r="A2885" s="1192" t="s">
        <v>207</v>
      </c>
      <c r="B2885" s="1192" t="s">
        <v>3072</v>
      </c>
      <c r="E2885" s="1942" t="s">
        <v>4687</v>
      </c>
      <c r="F2885" s="1942"/>
      <c r="G2885" s="1255" t="s">
        <v>19</v>
      </c>
      <c r="H2885" s="509">
        <v>18.079999999999998</v>
      </c>
      <c r="V2885" s="1192">
        <v>24</v>
      </c>
    </row>
    <row r="2886" spans="1:22" s="1192" customFormat="1" ht="14.4" x14ac:dyDescent="0.3">
      <c r="A2886" s="1192" t="s">
        <v>207</v>
      </c>
      <c r="B2886" s="1192" t="s">
        <v>3072</v>
      </c>
      <c r="E2886" s="1942" t="s">
        <v>4688</v>
      </c>
      <c r="F2886" s="1942"/>
      <c r="G2886" s="1255" t="s">
        <v>19</v>
      </c>
      <c r="H2886" s="509">
        <v>28.61</v>
      </c>
      <c r="V2886" s="1192">
        <v>29</v>
      </c>
    </row>
    <row r="2887" spans="1:22" s="1192" customFormat="1" ht="17.399999999999999" x14ac:dyDescent="0.3">
      <c r="A2887" s="1192" t="s">
        <v>207</v>
      </c>
      <c r="B2887" s="1192" t="s">
        <v>3072</v>
      </c>
      <c r="E2887" s="1746" t="s">
        <v>73</v>
      </c>
      <c r="F2887" s="1746"/>
      <c r="G2887" s="1746"/>
      <c r="H2887" s="1746"/>
      <c r="K2887" s="1192" t="s">
        <v>3103</v>
      </c>
      <c r="V2887" s="1192">
        <v>38</v>
      </c>
    </row>
    <row r="2888" spans="1:22" s="1192" customFormat="1" ht="14.4" x14ac:dyDescent="0.3">
      <c r="A2888" s="1192" t="s">
        <v>207</v>
      </c>
      <c r="B2888" s="1192" t="s">
        <v>3072</v>
      </c>
      <c r="E2888" s="2037" t="s">
        <v>2389</v>
      </c>
      <c r="F2888" s="2037"/>
      <c r="G2888" s="2037"/>
      <c r="H2888" s="2037"/>
      <c r="K2888" s="1192" t="s">
        <v>2571</v>
      </c>
      <c r="V2888" s="1192">
        <v>11</v>
      </c>
    </row>
    <row r="2889" spans="1:22" s="1192" customFormat="1" ht="14.4" x14ac:dyDescent="0.3">
      <c r="A2889" s="1192" t="s">
        <v>207</v>
      </c>
      <c r="B2889" s="1192" t="s">
        <v>3072</v>
      </c>
      <c r="E2889" s="2115" t="s">
        <v>2391</v>
      </c>
      <c r="F2889" s="2115"/>
      <c r="G2889" s="2115"/>
      <c r="H2889" s="2115"/>
      <c r="V2889" s="1192">
        <v>280</v>
      </c>
    </row>
    <row r="2890" spans="1:22" s="1192" customFormat="1" ht="14.4" x14ac:dyDescent="0.3">
      <c r="A2890" s="1192" t="s">
        <v>207</v>
      </c>
      <c r="B2890" s="1192" t="s">
        <v>3072</v>
      </c>
      <c r="E2890" s="2115" t="s">
        <v>2392</v>
      </c>
      <c r="F2890" s="2115"/>
      <c r="G2890" s="2115"/>
      <c r="H2890" s="2115"/>
      <c r="V2890" s="1192">
        <v>411</v>
      </c>
    </row>
    <row r="2891" spans="1:22" s="1192" customFormat="1" ht="14.4" x14ac:dyDescent="0.3">
      <c r="A2891" s="1192" t="s">
        <v>207</v>
      </c>
      <c r="B2891" s="1192" t="s">
        <v>3072</v>
      </c>
      <c r="E2891" s="2115" t="s">
        <v>2445</v>
      </c>
      <c r="F2891" s="2115"/>
      <c r="G2891" s="2115"/>
      <c r="H2891" s="2115"/>
      <c r="V2891" s="1192">
        <v>211</v>
      </c>
    </row>
    <row r="2892" spans="1:22" s="1192" customFormat="1" ht="14.4" x14ac:dyDescent="0.3">
      <c r="A2892" s="1192" t="s">
        <v>207</v>
      </c>
      <c r="B2892" s="1192" t="s">
        <v>3072</v>
      </c>
      <c r="E2892" s="2115" t="s">
        <v>2986</v>
      </c>
      <c r="F2892" s="2115"/>
      <c r="G2892" s="2115"/>
      <c r="H2892" s="2115"/>
      <c r="V2892" s="1192">
        <v>246</v>
      </c>
    </row>
    <row r="2893" spans="1:22" s="1192" customFormat="1" ht="14.4" x14ac:dyDescent="0.3">
      <c r="A2893" s="1192" t="s">
        <v>207</v>
      </c>
      <c r="B2893" s="1192" t="s">
        <v>3072</v>
      </c>
      <c r="E2893" s="2044" t="s">
        <v>2595</v>
      </c>
      <c r="F2893" s="2044"/>
      <c r="G2893" s="2115"/>
      <c r="H2893" s="2115"/>
      <c r="V2893" s="1192">
        <v>142</v>
      </c>
    </row>
    <row r="2894" spans="1:22" s="1192" customFormat="1" ht="14.4" x14ac:dyDescent="0.3">
      <c r="A2894" s="1192" t="s">
        <v>207</v>
      </c>
      <c r="B2894" s="1192" t="s">
        <v>3072</v>
      </c>
      <c r="E2894" s="1741" t="s">
        <v>2485</v>
      </c>
      <c r="F2894" s="1741"/>
      <c r="G2894" s="1276" t="s">
        <v>19</v>
      </c>
      <c r="H2894" s="509">
        <v>102</v>
      </c>
      <c r="V2894" s="1192">
        <v>106</v>
      </c>
    </row>
    <row r="2895" spans="1:22" s="1192" customFormat="1" ht="14.4" x14ac:dyDescent="0.3">
      <c r="A2895" s="1192" t="s">
        <v>207</v>
      </c>
      <c r="B2895" s="1192" t="s">
        <v>3072</v>
      </c>
      <c r="E2895" s="1741" t="s">
        <v>3919</v>
      </c>
      <c r="F2895" s="1741"/>
      <c r="G2895" s="1276" t="s">
        <v>19</v>
      </c>
      <c r="H2895" s="509">
        <v>40.799999999999997</v>
      </c>
      <c r="V2895" s="1192">
        <v>34</v>
      </c>
    </row>
    <row r="2896" spans="1:22" s="1192" customFormat="1" ht="14.4" x14ac:dyDescent="0.3">
      <c r="A2896" s="1192" t="s">
        <v>207</v>
      </c>
      <c r="B2896" s="1192" t="s">
        <v>3072</v>
      </c>
      <c r="E2896" s="1741" t="s">
        <v>3920</v>
      </c>
      <c r="F2896" s="1741"/>
      <c r="G2896" s="1276" t="s">
        <v>2488</v>
      </c>
      <c r="H2896" s="509">
        <v>1.02</v>
      </c>
      <c r="V2896" s="1192">
        <v>51</v>
      </c>
    </row>
    <row r="2897" spans="1:22" s="1192" customFormat="1" ht="14.4" x14ac:dyDescent="0.3">
      <c r="A2897" s="1192" t="s">
        <v>207</v>
      </c>
      <c r="B2897" s="1192" t="s">
        <v>3072</v>
      </c>
      <c r="E2897" s="1741" t="s">
        <v>2489</v>
      </c>
      <c r="F2897" s="1741"/>
      <c r="G2897" s="1276" t="s">
        <v>2488</v>
      </c>
      <c r="H2897" s="935">
        <v>0.61</v>
      </c>
      <c r="V2897" s="1192">
        <v>75</v>
      </c>
    </row>
    <row r="2898" spans="1:22" s="1192" customFormat="1" ht="14.4" x14ac:dyDescent="0.3">
      <c r="A2898" s="1192" t="s">
        <v>207</v>
      </c>
      <c r="B2898" s="1192" t="s">
        <v>3072</v>
      </c>
      <c r="E2898" s="1941" t="s">
        <v>2490</v>
      </c>
      <c r="F2898" s="1941"/>
      <c r="G2898" s="1276" t="s">
        <v>2488</v>
      </c>
      <c r="H2898" s="509">
        <v>-0.61</v>
      </c>
      <c r="V2898" s="1192">
        <v>72</v>
      </c>
    </row>
    <row r="2899" spans="1:22" s="1192" customFormat="1" ht="14.4" x14ac:dyDescent="0.3">
      <c r="A2899" s="1192" t="s">
        <v>207</v>
      </c>
      <c r="B2899" s="1192" t="s">
        <v>3072</v>
      </c>
      <c r="E2899" s="1941" t="s">
        <v>2596</v>
      </c>
      <c r="F2899" s="1941"/>
      <c r="G2899" s="1275"/>
      <c r="H2899" s="936"/>
      <c r="V2899" s="1192">
        <v>34</v>
      </c>
    </row>
    <row r="2900" spans="1:22" s="1192" customFormat="1" ht="14.4" x14ac:dyDescent="0.3">
      <c r="A2900" s="1192" t="s">
        <v>207</v>
      </c>
      <c r="B2900" s="1192" t="s">
        <v>3072</v>
      </c>
      <c r="E2900" s="1941" t="s">
        <v>2492</v>
      </c>
      <c r="F2900" s="1941"/>
      <c r="G2900" s="1276" t="s">
        <v>19</v>
      </c>
      <c r="H2900" s="935">
        <v>0.51</v>
      </c>
      <c r="V2900" s="1192">
        <v>57</v>
      </c>
    </row>
    <row r="2901" spans="1:22" s="1192" customFormat="1" ht="14.4" x14ac:dyDescent="0.3">
      <c r="A2901" s="1192" t="s">
        <v>207</v>
      </c>
      <c r="B2901" s="1192" t="s">
        <v>3072</v>
      </c>
      <c r="E2901" s="1741" t="s">
        <v>2493</v>
      </c>
      <c r="F2901" s="1741"/>
      <c r="G2901" s="1276" t="s">
        <v>19</v>
      </c>
      <c r="H2901" s="935">
        <v>1.02</v>
      </c>
      <c r="V2901" s="1192">
        <v>60</v>
      </c>
    </row>
    <row r="2902" spans="1:22" s="1192" customFormat="1" ht="14.4" x14ac:dyDescent="0.3">
      <c r="A2902" s="1192" t="s">
        <v>207</v>
      </c>
      <c r="B2902" s="1192" t="s">
        <v>3072</v>
      </c>
      <c r="E2902" s="1741" t="s">
        <v>2494</v>
      </c>
      <c r="F2902" s="1741"/>
      <c r="G2902" s="1275"/>
      <c r="H2902" s="936"/>
      <c r="V2902" s="1192">
        <v>91</v>
      </c>
    </row>
    <row r="2903" spans="1:22" s="1192" customFormat="1" ht="14.4" x14ac:dyDescent="0.3">
      <c r="A2903" s="1192" t="s">
        <v>207</v>
      </c>
      <c r="B2903" s="1192" t="s">
        <v>3072</v>
      </c>
      <c r="E2903" s="1741" t="s">
        <v>2495</v>
      </c>
      <c r="F2903" s="1741"/>
      <c r="G2903" s="1275"/>
      <c r="H2903" s="936"/>
      <c r="V2903" s="1192">
        <v>96</v>
      </c>
    </row>
    <row r="2904" spans="1:22" s="1192" customFormat="1" ht="14.4" x14ac:dyDescent="0.3">
      <c r="A2904" s="1192" t="s">
        <v>207</v>
      </c>
      <c r="B2904" s="1192" t="s">
        <v>3072</v>
      </c>
      <c r="E2904" s="1941" t="s">
        <v>2597</v>
      </c>
      <c r="F2904" s="1941"/>
      <c r="G2904" s="1275"/>
      <c r="H2904" s="936"/>
      <c r="V2904" s="1192">
        <v>77</v>
      </c>
    </row>
    <row r="2905" spans="1:22" s="1192" customFormat="1" ht="14.4" x14ac:dyDescent="0.3">
      <c r="A2905" s="1192" t="s">
        <v>207</v>
      </c>
      <c r="B2905" s="1192" t="s">
        <v>3072</v>
      </c>
      <c r="E2905" s="1941" t="s">
        <v>2497</v>
      </c>
      <c r="F2905" s="1941"/>
      <c r="G2905" s="1275"/>
      <c r="H2905" s="937" t="s">
        <v>2498</v>
      </c>
      <c r="V2905" s="1192">
        <v>18</v>
      </c>
    </row>
    <row r="2906" spans="1:22" s="1192" customFormat="1" ht="14.4" x14ac:dyDescent="0.3">
      <c r="A2906" s="1192" t="s">
        <v>207</v>
      </c>
      <c r="B2906" s="1192" t="s">
        <v>3072</v>
      </c>
      <c r="E2906" s="1741" t="s">
        <v>2499</v>
      </c>
      <c r="F2906" s="1741"/>
      <c r="G2906" s="1276" t="s">
        <v>19</v>
      </c>
      <c r="H2906" s="935">
        <v>4.08</v>
      </c>
      <c r="V2906" s="1192">
        <v>69</v>
      </c>
    </row>
    <row r="2907" spans="1:22" s="1192" customFormat="1" ht="14.4" x14ac:dyDescent="0.3">
      <c r="A2907" s="1192" t="s">
        <v>207</v>
      </c>
      <c r="B2907" s="1192" t="s">
        <v>3072</v>
      </c>
      <c r="E2907" s="1741" t="s">
        <v>4608</v>
      </c>
      <c r="F2907" s="1741"/>
      <c r="G2907" s="1276" t="s">
        <v>19</v>
      </c>
      <c r="H2907" s="935">
        <v>2.04</v>
      </c>
      <c r="V2907" s="1192">
        <v>199</v>
      </c>
    </row>
    <row r="2908" spans="1:22" s="1192" customFormat="1" x14ac:dyDescent="0.35">
      <c r="A2908" s="1192" t="s">
        <v>207</v>
      </c>
      <c r="B2908" s="1192" t="s">
        <v>3072</v>
      </c>
      <c r="E2908" s="1260" t="s">
        <v>143</v>
      </c>
      <c r="F2908" s="811"/>
      <c r="G2908" s="811"/>
      <c r="H2908" s="938"/>
      <c r="K2908" s="1192" t="s">
        <v>3104</v>
      </c>
      <c r="V2908" s="1192">
        <v>12</v>
      </c>
    </row>
    <row r="2909" spans="1:22" s="1192" customFormat="1" ht="14.4" x14ac:dyDescent="0.3">
      <c r="A2909" s="1192" t="s">
        <v>207</v>
      </c>
      <c r="B2909" s="1192" t="s">
        <v>3072</v>
      </c>
      <c r="E2909" s="2008" t="s">
        <v>2045</v>
      </c>
      <c r="F2909" s="1741"/>
      <c r="G2909" s="1741"/>
      <c r="H2909" s="1741"/>
      <c r="V2909" s="1192">
        <v>0</v>
      </c>
    </row>
    <row r="2910" spans="1:22" s="1192" customFormat="1" ht="14.4" x14ac:dyDescent="0.3">
      <c r="A2910" s="1192" t="s">
        <v>207</v>
      </c>
      <c r="B2910" s="1192" t="s">
        <v>3072</v>
      </c>
      <c r="E2910" s="2044" t="s">
        <v>2501</v>
      </c>
      <c r="F2910" s="2044"/>
      <c r="G2910" s="2044"/>
      <c r="H2910" s="2044"/>
      <c r="V2910" s="1192">
        <v>203</v>
      </c>
    </row>
    <row r="2911" spans="1:22" s="1192" customFormat="1" ht="14.4" x14ac:dyDescent="0.3">
      <c r="A2911" s="1192" t="s">
        <v>207</v>
      </c>
      <c r="B2911" s="1192" t="s">
        <v>3072</v>
      </c>
      <c r="E2911" s="1741" t="s">
        <v>2599</v>
      </c>
      <c r="F2911" s="1741"/>
      <c r="G2911" s="1255"/>
      <c r="H2911" s="839">
        <v>1.0654999999999999</v>
      </c>
      <c r="V2911" s="1192">
        <v>57</v>
      </c>
    </row>
    <row r="2912" spans="1:22" s="1192" customFormat="1" ht="14.4" x14ac:dyDescent="0.3">
      <c r="A2912" s="1192" t="s">
        <v>207</v>
      </c>
      <c r="B2912" s="1192" t="s">
        <v>3072</v>
      </c>
      <c r="E2912" s="1741" t="s">
        <v>2601</v>
      </c>
      <c r="F2912" s="1741"/>
      <c r="G2912" s="1255"/>
      <c r="H2912" s="839">
        <v>1.0548</v>
      </c>
      <c r="V2912" s="1192">
        <v>55</v>
      </c>
    </row>
    <row r="2913" spans="1:22" s="1192" customFormat="1" ht="14.4" x14ac:dyDescent="0.3">
      <c r="A2913" s="1192" t="s">
        <v>207</v>
      </c>
      <c r="B2913" s="1192" t="s">
        <v>3072</v>
      </c>
      <c r="E2913" s="1741" t="s">
        <v>3080</v>
      </c>
      <c r="F2913" s="1741"/>
      <c r="G2913" s="1255"/>
      <c r="H2913" s="839">
        <v>1.0287999999999999</v>
      </c>
      <c r="J2913" s="1192" t="s">
        <v>3081</v>
      </c>
      <c r="V2913" s="1192">
        <v>66</v>
      </c>
    </row>
    <row r="2914" spans="1:22" s="1192" customFormat="1" ht="22.8" x14ac:dyDescent="0.3">
      <c r="A2914" s="1192" t="s">
        <v>207</v>
      </c>
      <c r="B2914" s="1192" t="s">
        <v>3082</v>
      </c>
      <c r="C2914" s="1192" t="s">
        <v>2378</v>
      </c>
      <c r="E2914" s="2177" t="s">
        <v>207</v>
      </c>
      <c r="F2914" s="1752"/>
      <c r="G2914" s="1752"/>
      <c r="H2914" s="1752"/>
      <c r="I2914" s="1192" t="s">
        <v>603</v>
      </c>
      <c r="J2914" s="1192" t="s">
        <v>3083</v>
      </c>
      <c r="K2914" s="1192" t="s">
        <v>207</v>
      </c>
      <c r="M2914" s="1192">
        <v>8</v>
      </c>
      <c r="V2914" s="1192">
        <v>23</v>
      </c>
    </row>
    <row r="2915" spans="1:22" s="1192" customFormat="1" ht="22.8" x14ac:dyDescent="0.3">
      <c r="A2915" s="1192" t="s">
        <v>207</v>
      </c>
      <c r="B2915" s="1192" t="s">
        <v>3082</v>
      </c>
      <c r="C2915" s="1192" t="s">
        <v>2380</v>
      </c>
      <c r="E2915" s="1752" t="s">
        <v>2046</v>
      </c>
      <c r="F2915" s="1752"/>
      <c r="G2915" s="1752"/>
      <c r="H2915" s="1752"/>
      <c r="V2915" s="1192">
        <v>51</v>
      </c>
    </row>
    <row r="2916" spans="1:22" s="1192" customFormat="1" ht="17.399999999999999" x14ac:dyDescent="0.3">
      <c r="A2916" s="1192" t="s">
        <v>207</v>
      </c>
      <c r="B2916" s="1192" t="s">
        <v>3082</v>
      </c>
      <c r="C2916" s="1192" t="s">
        <v>2382</v>
      </c>
      <c r="E2916" s="1753" t="s">
        <v>2381</v>
      </c>
      <c r="F2916" s="1753"/>
      <c r="G2916" s="1753"/>
      <c r="H2916" s="1753"/>
      <c r="V2916" s="1192">
        <v>27</v>
      </c>
    </row>
    <row r="2917" spans="1:22" s="1192" customFormat="1" ht="15.6" x14ac:dyDescent="0.3">
      <c r="A2917" s="1192" t="s">
        <v>207</v>
      </c>
      <c r="B2917" s="1192" t="s">
        <v>3082</v>
      </c>
      <c r="C2917" s="1192" t="s">
        <v>2383</v>
      </c>
      <c r="E2917" s="1754" t="s">
        <v>5937</v>
      </c>
      <c r="F2917" s="1754"/>
      <c r="G2917" s="1754"/>
      <c r="H2917" s="1754"/>
      <c r="S2917" s="1192">
        <v>43831</v>
      </c>
      <c r="V2917" s="1192">
        <v>49</v>
      </c>
    </row>
    <row r="2918" spans="1:22" s="1192" customFormat="1" ht="14.4" x14ac:dyDescent="0.3">
      <c r="A2918" s="1192" t="s">
        <v>207</v>
      </c>
      <c r="B2918" s="1192" t="s">
        <v>3082</v>
      </c>
      <c r="E2918" s="1755" t="s">
        <v>2384</v>
      </c>
      <c r="F2918" s="1755"/>
      <c r="G2918" s="1755"/>
      <c r="H2918" s="1755"/>
      <c r="V2918" s="1192">
        <v>52</v>
      </c>
    </row>
    <row r="2919" spans="1:22" s="1192" customFormat="1" ht="14.4" x14ac:dyDescent="0.3">
      <c r="A2919" s="1192" t="s">
        <v>207</v>
      </c>
      <c r="B2919" s="1192" t="s">
        <v>3082</v>
      </c>
      <c r="E2919" s="1755" t="s">
        <v>2385</v>
      </c>
      <c r="F2919" s="1755"/>
      <c r="G2919" s="1755"/>
      <c r="H2919" s="1755"/>
      <c r="V2919" s="1192">
        <v>53</v>
      </c>
    </row>
    <row r="2920" spans="1:22" s="1192" customFormat="1" ht="14.4" x14ac:dyDescent="0.3">
      <c r="A2920" s="1192" t="s">
        <v>207</v>
      </c>
      <c r="B2920" s="1192" t="s">
        <v>3082</v>
      </c>
      <c r="E2920" s="1772" t="s">
        <v>6206</v>
      </c>
      <c r="F2920" s="1772"/>
      <c r="G2920" s="1772"/>
      <c r="H2920" s="1772"/>
      <c r="K2920" s="1192" t="s">
        <v>6206</v>
      </c>
      <c r="V2920" s="1192">
        <v>12</v>
      </c>
    </row>
    <row r="2921" spans="1:22" s="1192" customFormat="1" ht="14.4" x14ac:dyDescent="0.3">
      <c r="A2921" s="1192" t="s">
        <v>207</v>
      </c>
      <c r="B2921" s="1192" t="s">
        <v>3082</v>
      </c>
      <c r="E2921" s="2045" t="s">
        <v>427</v>
      </c>
      <c r="F2921" s="2176"/>
      <c r="G2921" s="2176"/>
      <c r="H2921" s="2176"/>
      <c r="K2921" s="1192" t="s">
        <v>2506</v>
      </c>
      <c r="V2921" s="1192">
        <v>34</v>
      </c>
    </row>
    <row r="2922" spans="1:22" s="1192" customFormat="1" ht="14.4" x14ac:dyDescent="0.3">
      <c r="A2922" s="1192" t="s">
        <v>207</v>
      </c>
      <c r="B2922" s="1192" t="s">
        <v>3082</v>
      </c>
      <c r="E2922" s="1743" t="s">
        <v>3084</v>
      </c>
      <c r="F2922" s="1743"/>
      <c r="G2922" s="1743"/>
      <c r="H2922" s="1743"/>
      <c r="K2922" s="1192" t="s">
        <v>2506</v>
      </c>
      <c r="V2922" s="1192">
        <v>652</v>
      </c>
    </row>
    <row r="2923" spans="1:22" s="1192" customFormat="1" ht="14.4" x14ac:dyDescent="0.3">
      <c r="A2923" s="1192" t="s">
        <v>207</v>
      </c>
      <c r="B2923" s="1192" t="s">
        <v>3082</v>
      </c>
      <c r="E2923" s="1750" t="s">
        <v>2389</v>
      </c>
      <c r="F2923" s="1743"/>
      <c r="G2923" s="1743"/>
      <c r="H2923" s="1743"/>
      <c r="K2923" s="1192" t="s">
        <v>2390</v>
      </c>
      <c r="V2923" s="1192">
        <v>11</v>
      </c>
    </row>
    <row r="2924" spans="1:22" s="1192" customFormat="1" ht="14.4" x14ac:dyDescent="0.3">
      <c r="A2924" s="1192" t="s">
        <v>207</v>
      </c>
      <c r="B2924" s="1192" t="s">
        <v>3082</v>
      </c>
      <c r="E2924" s="1743" t="s">
        <v>2391</v>
      </c>
      <c r="F2924" s="1743"/>
      <c r="G2924" s="1743"/>
      <c r="H2924" s="1743"/>
      <c r="K2924" s="1192" t="s">
        <v>2506</v>
      </c>
      <c r="V2924" s="1192">
        <v>280</v>
      </c>
    </row>
    <row r="2925" spans="1:22" s="1192" customFormat="1" ht="14.4" x14ac:dyDescent="0.3">
      <c r="A2925" s="1192" t="s">
        <v>207</v>
      </c>
      <c r="B2925" s="1192" t="s">
        <v>3082</v>
      </c>
      <c r="E2925" s="1743" t="s">
        <v>2392</v>
      </c>
      <c r="F2925" s="1743"/>
      <c r="G2925" s="1743"/>
      <c r="H2925" s="1743"/>
      <c r="K2925" s="1192" t="s">
        <v>2506</v>
      </c>
      <c r="V2925" s="1192">
        <v>411</v>
      </c>
    </row>
    <row r="2926" spans="1:22" s="1192" customFormat="1" ht="14.4" x14ac:dyDescent="0.3">
      <c r="A2926" s="1192" t="s">
        <v>207</v>
      </c>
      <c r="B2926" s="1192" t="s">
        <v>3082</v>
      </c>
      <c r="E2926" s="1743" t="s">
        <v>2445</v>
      </c>
      <c r="F2926" s="1743"/>
      <c r="G2926" s="1743"/>
      <c r="H2926" s="1743"/>
      <c r="K2926" s="1192" t="s">
        <v>2506</v>
      </c>
      <c r="V2926" s="1192">
        <v>211</v>
      </c>
    </row>
    <row r="2927" spans="1:22" s="1192" customFormat="1" ht="14.4" x14ac:dyDescent="0.3">
      <c r="A2927" s="1192" t="s">
        <v>207</v>
      </c>
      <c r="B2927" s="1192" t="s">
        <v>3082</v>
      </c>
      <c r="E2927" s="1743" t="s">
        <v>2986</v>
      </c>
      <c r="F2927" s="1743"/>
      <c r="G2927" s="1743"/>
      <c r="H2927" s="1743"/>
      <c r="K2927" s="1192" t="s">
        <v>2506</v>
      </c>
      <c r="V2927" s="1192">
        <v>246</v>
      </c>
    </row>
    <row r="2928" spans="1:22" s="1192" customFormat="1" ht="14.4" x14ac:dyDescent="0.3">
      <c r="A2928" s="1192" t="s">
        <v>207</v>
      </c>
      <c r="B2928" s="1192" t="s">
        <v>3082</v>
      </c>
      <c r="E2928" s="1750" t="s">
        <v>2394</v>
      </c>
      <c r="F2928" s="2037"/>
      <c r="G2928" s="1743"/>
      <c r="H2928" s="1743"/>
      <c r="K2928" s="1192" t="s">
        <v>2395</v>
      </c>
      <c r="V2928" s="1192">
        <v>46</v>
      </c>
    </row>
    <row r="2929" spans="1:22" s="1192" customFormat="1" ht="14.4" x14ac:dyDescent="0.3">
      <c r="A2929" s="1192" t="s">
        <v>207</v>
      </c>
      <c r="B2929" s="1192" t="s">
        <v>3082</v>
      </c>
      <c r="E2929" s="2044" t="s">
        <v>7</v>
      </c>
      <c r="F2929" s="2044"/>
      <c r="G2929" s="1262" t="s">
        <v>19</v>
      </c>
      <c r="H2929" s="837">
        <v>37.369999999999997</v>
      </c>
      <c r="K2929" s="1192" t="s">
        <v>2506</v>
      </c>
      <c r="L2929" s="1192" t="s">
        <v>430</v>
      </c>
      <c r="P2929" s="1192" t="s">
        <v>2510</v>
      </c>
      <c r="V2929" s="1192">
        <v>14</v>
      </c>
    </row>
    <row r="2930" spans="1:22" s="1192" customFormat="1" ht="14.4" x14ac:dyDescent="0.3">
      <c r="A2930" s="1192" t="s">
        <v>207</v>
      </c>
      <c r="B2930" s="1192" t="s">
        <v>3082</v>
      </c>
      <c r="E2930" s="2044" t="s">
        <v>3900</v>
      </c>
      <c r="F2930" s="2044"/>
      <c r="G2930" s="1262" t="s">
        <v>19</v>
      </c>
      <c r="H2930" s="932">
        <v>0.56999999999999995</v>
      </c>
      <c r="K2930" s="1192" t="s">
        <v>2506</v>
      </c>
      <c r="L2930" s="1192" t="s">
        <v>431</v>
      </c>
      <c r="P2930" s="1192" t="s">
        <v>2511</v>
      </c>
      <c r="T2930" s="1192">
        <v>44926</v>
      </c>
      <c r="V2930" s="1192">
        <v>64</v>
      </c>
    </row>
    <row r="2931" spans="1:22" s="1192" customFormat="1" ht="14.4" x14ac:dyDescent="0.3">
      <c r="A2931" s="1192" t="s">
        <v>207</v>
      </c>
      <c r="B2931" s="1192" t="s">
        <v>3082</v>
      </c>
      <c r="E2931" s="2044" t="s">
        <v>14</v>
      </c>
      <c r="F2931" s="2044"/>
      <c r="G2931" s="1262" t="s">
        <v>20</v>
      </c>
      <c r="H2931" s="932">
        <v>8.9999999999999998E-4</v>
      </c>
      <c r="K2931" s="1192" t="s">
        <v>2506</v>
      </c>
      <c r="L2931" s="1192" t="s">
        <v>431</v>
      </c>
      <c r="P2931" s="1192" t="s">
        <v>2513</v>
      </c>
      <c r="V2931" s="1192">
        <v>24</v>
      </c>
    </row>
    <row r="2932" spans="1:22" s="1192" customFormat="1" ht="14.4" x14ac:dyDescent="0.3">
      <c r="A2932" s="1192" t="s">
        <v>207</v>
      </c>
      <c r="B2932" s="1192" t="s">
        <v>3082</v>
      </c>
      <c r="E2932" s="2044" t="s">
        <v>4190</v>
      </c>
      <c r="F2932" s="2044"/>
      <c r="G2932" s="1262" t="s">
        <v>20</v>
      </c>
      <c r="H2932" s="932">
        <v>2.0000000000000001E-4</v>
      </c>
      <c r="K2932" s="1192" t="s">
        <v>2506</v>
      </c>
      <c r="L2932" s="1192" t="s">
        <v>430</v>
      </c>
      <c r="P2932" s="1192" t="s">
        <v>3085</v>
      </c>
      <c r="V2932" s="1192">
        <v>128</v>
      </c>
    </row>
    <row r="2933" spans="1:22" s="1192" customFormat="1" ht="14.4" x14ac:dyDescent="0.3">
      <c r="A2933" s="1192" t="s">
        <v>207</v>
      </c>
      <c r="B2933" s="1192" t="s">
        <v>3082</v>
      </c>
      <c r="E2933" s="2044" t="s">
        <v>213</v>
      </c>
      <c r="F2933" s="2044"/>
      <c r="G2933" s="1262" t="s">
        <v>20</v>
      </c>
      <c r="H2933" s="1219">
        <v>7.0000000000000001E-3</v>
      </c>
      <c r="K2933" s="1192" t="s">
        <v>2506</v>
      </c>
      <c r="L2933" s="1192" t="s">
        <v>432</v>
      </c>
      <c r="P2933" s="1192" t="s">
        <v>2517</v>
      </c>
      <c r="V2933" s="1192">
        <v>47</v>
      </c>
    </row>
    <row r="2934" spans="1:22" s="1192" customFormat="1" ht="14.4" x14ac:dyDescent="0.3">
      <c r="A2934" s="1192" t="s">
        <v>207</v>
      </c>
      <c r="B2934" s="1192" t="s">
        <v>3082</v>
      </c>
      <c r="E2934" s="2044" t="s">
        <v>209</v>
      </c>
      <c r="F2934" s="2044"/>
      <c r="G2934" s="1262" t="s">
        <v>20</v>
      </c>
      <c r="H2934" s="1219">
        <v>4.0000000000000001E-3</v>
      </c>
      <c r="K2934" s="1192" t="s">
        <v>2506</v>
      </c>
      <c r="L2934" s="1192" t="s">
        <v>432</v>
      </c>
      <c r="P2934" s="1192" t="s">
        <v>2518</v>
      </c>
      <c r="V2934" s="1192">
        <v>74</v>
      </c>
    </row>
    <row r="2935" spans="1:22" s="1192" customFormat="1" ht="14.4" x14ac:dyDescent="0.3">
      <c r="A2935" s="1192" t="s">
        <v>207</v>
      </c>
      <c r="B2935" s="1192" t="s">
        <v>3082</v>
      </c>
      <c r="E2935" s="1750" t="s">
        <v>2405</v>
      </c>
      <c r="F2935" s="2008"/>
      <c r="G2935" s="1255"/>
      <c r="H2935" s="931"/>
      <c r="K2935" s="1192" t="s">
        <v>2406</v>
      </c>
      <c r="V2935" s="1192">
        <v>48</v>
      </c>
    </row>
    <row r="2936" spans="1:22" s="1192" customFormat="1" ht="14.4" x14ac:dyDescent="0.3">
      <c r="A2936" s="1192" t="s">
        <v>207</v>
      </c>
      <c r="B2936" s="1192" t="s">
        <v>3082</v>
      </c>
      <c r="E2936" s="2044" t="s">
        <v>2033</v>
      </c>
      <c r="F2936" s="2044"/>
      <c r="G2936" s="1262" t="s">
        <v>20</v>
      </c>
      <c r="H2936" s="1219">
        <v>3.0000000000000001E-3</v>
      </c>
      <c r="K2936" s="1192" t="s">
        <v>2506</v>
      </c>
      <c r="L2936" s="1192" t="s">
        <v>2374</v>
      </c>
      <c r="P2936" s="1192" t="s">
        <v>2519</v>
      </c>
      <c r="V2936" s="1192">
        <v>55</v>
      </c>
    </row>
    <row r="2937" spans="1:22" s="1192" customFormat="1" ht="14.4" x14ac:dyDescent="0.3">
      <c r="A2937" s="1192" t="s">
        <v>207</v>
      </c>
      <c r="B2937" s="1192" t="s">
        <v>3082</v>
      </c>
      <c r="E2937" s="2044" t="s">
        <v>2034</v>
      </c>
      <c r="F2937" s="2044"/>
      <c r="G2937" s="1262" t="s">
        <v>20</v>
      </c>
      <c r="H2937" s="932">
        <v>4.0000000000000002E-4</v>
      </c>
      <c r="K2937" s="1192" t="s">
        <v>2506</v>
      </c>
      <c r="L2937" s="1192" t="s">
        <v>2374</v>
      </c>
      <c r="P2937" s="1192" t="s">
        <v>2519</v>
      </c>
      <c r="V2937" s="1192">
        <v>65</v>
      </c>
    </row>
    <row r="2938" spans="1:22" s="1192" customFormat="1" ht="14.4" x14ac:dyDescent="0.3">
      <c r="A2938" s="1192" t="s">
        <v>207</v>
      </c>
      <c r="B2938" s="1192" t="s">
        <v>3082</v>
      </c>
      <c r="E2938" s="2044" t="s">
        <v>428</v>
      </c>
      <c r="F2938" s="2044"/>
      <c r="G2938" s="1262" t="s">
        <v>20</v>
      </c>
      <c r="H2938" s="932">
        <v>5.0000000000000001E-4</v>
      </c>
      <c r="K2938" s="1192" t="s">
        <v>2506</v>
      </c>
      <c r="L2938" s="1192" t="s">
        <v>2374</v>
      </c>
      <c r="P2938" s="1192" t="s">
        <v>2520</v>
      </c>
      <c r="V2938" s="1192">
        <v>57</v>
      </c>
    </row>
    <row r="2939" spans="1:22" s="1192" customFormat="1" ht="14.4" x14ac:dyDescent="0.3">
      <c r="A2939" s="1192" t="s">
        <v>207</v>
      </c>
      <c r="B2939" s="1192" t="s">
        <v>3082</v>
      </c>
      <c r="E2939" s="2044" t="s">
        <v>28</v>
      </c>
      <c r="F2939" s="2044"/>
      <c r="G2939" s="1262" t="s">
        <v>19</v>
      </c>
      <c r="H2939" s="932">
        <v>0.25</v>
      </c>
      <c r="K2939" s="1192" t="s">
        <v>2506</v>
      </c>
      <c r="L2939" s="1192" t="s">
        <v>2374</v>
      </c>
      <c r="P2939" s="1192" t="s">
        <v>2521</v>
      </c>
      <c r="V2939" s="1192">
        <v>63</v>
      </c>
    </row>
    <row r="2940" spans="1:22" s="1192" customFormat="1" ht="17.399999999999999" x14ac:dyDescent="0.3">
      <c r="A2940" s="1192" t="s">
        <v>207</v>
      </c>
      <c r="B2940" s="1192" t="s">
        <v>3082</v>
      </c>
      <c r="E2940" s="2045" t="s">
        <v>2522</v>
      </c>
      <c r="F2940" s="2045"/>
      <c r="G2940" s="2045"/>
      <c r="H2940" s="2045"/>
      <c r="K2940" s="1192" t="s">
        <v>3901</v>
      </c>
      <c r="V2940" s="1192">
        <v>54</v>
      </c>
    </row>
    <row r="2941" spans="1:22" s="1192" customFormat="1" ht="14.4" x14ac:dyDescent="0.3">
      <c r="A2941" s="1192" t="s">
        <v>207</v>
      </c>
      <c r="B2941" s="1192" t="s">
        <v>3082</v>
      </c>
      <c r="E2941" s="1743" t="s">
        <v>3086</v>
      </c>
      <c r="F2941" s="1743"/>
      <c r="G2941" s="1743"/>
      <c r="H2941" s="1743"/>
      <c r="K2941" s="1192" t="s">
        <v>3901</v>
      </c>
      <c r="V2941" s="1192">
        <v>336</v>
      </c>
    </row>
    <row r="2942" spans="1:22" s="1192" customFormat="1" ht="14.4" x14ac:dyDescent="0.3">
      <c r="A2942" s="1192" t="s">
        <v>207</v>
      </c>
      <c r="B2942" s="1192" t="s">
        <v>3082</v>
      </c>
      <c r="E2942" s="1750" t="s">
        <v>2389</v>
      </c>
      <c r="F2942" s="1743"/>
      <c r="G2942" s="1743"/>
      <c r="H2942" s="1743"/>
      <c r="K2942" s="1192" t="s">
        <v>2412</v>
      </c>
      <c r="V2942" s="1192">
        <v>11</v>
      </c>
    </row>
    <row r="2943" spans="1:22" s="1192" customFormat="1" ht="14.4" x14ac:dyDescent="0.3">
      <c r="A2943" s="1192" t="s">
        <v>207</v>
      </c>
      <c r="B2943" s="1192" t="s">
        <v>3082</v>
      </c>
      <c r="E2943" s="1743" t="s">
        <v>2391</v>
      </c>
      <c r="F2943" s="1743"/>
      <c r="G2943" s="1743"/>
      <c r="H2943" s="1743"/>
      <c r="K2943" s="1192" t="s">
        <v>3901</v>
      </c>
      <c r="V2943" s="1192">
        <v>280</v>
      </c>
    </row>
    <row r="2944" spans="1:22" s="1192" customFormat="1" ht="14.4" x14ac:dyDescent="0.3">
      <c r="A2944" s="1192" t="s">
        <v>207</v>
      </c>
      <c r="B2944" s="1192" t="s">
        <v>3082</v>
      </c>
      <c r="E2944" s="1743" t="s">
        <v>2392</v>
      </c>
      <c r="F2944" s="1743"/>
      <c r="G2944" s="1743"/>
      <c r="H2944" s="1743"/>
      <c r="K2944" s="1192" t="s">
        <v>3901</v>
      </c>
      <c r="V2944" s="1192">
        <v>411</v>
      </c>
    </row>
    <row r="2945" spans="1:22" s="1192" customFormat="1" ht="14.4" x14ac:dyDescent="0.3">
      <c r="A2945" s="1192" t="s">
        <v>207</v>
      </c>
      <c r="B2945" s="1192" t="s">
        <v>3082</v>
      </c>
      <c r="E2945" s="1743" t="s">
        <v>2445</v>
      </c>
      <c r="F2945" s="1743"/>
      <c r="G2945" s="1743"/>
      <c r="H2945" s="1743"/>
      <c r="K2945" s="1192" t="s">
        <v>3901</v>
      </c>
      <c r="V2945" s="1192">
        <v>211</v>
      </c>
    </row>
    <row r="2946" spans="1:22" s="1192" customFormat="1" ht="14.4" x14ac:dyDescent="0.3">
      <c r="A2946" s="1192" t="s">
        <v>207</v>
      </c>
      <c r="B2946" s="1192" t="s">
        <v>3082</v>
      </c>
      <c r="E2946" s="1743" t="s">
        <v>2986</v>
      </c>
      <c r="F2946" s="1743"/>
      <c r="G2946" s="1743"/>
      <c r="H2946" s="1743"/>
      <c r="K2946" s="1192" t="s">
        <v>3901</v>
      </c>
      <c r="V2946" s="1192">
        <v>246</v>
      </c>
    </row>
    <row r="2947" spans="1:22" s="1192" customFormat="1" ht="14.4" x14ac:dyDescent="0.3">
      <c r="A2947" s="1192" t="s">
        <v>207</v>
      </c>
      <c r="B2947" s="1192" t="s">
        <v>3082</v>
      </c>
      <c r="E2947" s="1750" t="s">
        <v>2394</v>
      </c>
      <c r="F2947" s="1743"/>
      <c r="G2947" s="1743"/>
      <c r="H2947" s="1743"/>
      <c r="K2947" s="1192" t="s">
        <v>2413</v>
      </c>
      <c r="V2947" s="1192">
        <v>46</v>
      </c>
    </row>
    <row r="2948" spans="1:22" s="1192" customFormat="1" ht="14.4" x14ac:dyDescent="0.3">
      <c r="A2948" s="1192" t="s">
        <v>207</v>
      </c>
      <c r="B2948" s="1192" t="s">
        <v>3082</v>
      </c>
      <c r="E2948" s="2044" t="s">
        <v>7</v>
      </c>
      <c r="F2948" s="2044"/>
      <c r="G2948" s="1262" t="s">
        <v>19</v>
      </c>
      <c r="H2948" s="837">
        <v>50.75</v>
      </c>
      <c r="K2948" s="1192" t="s">
        <v>3901</v>
      </c>
      <c r="L2948" s="1192" t="s">
        <v>430</v>
      </c>
      <c r="P2948" s="1192" t="s">
        <v>3902</v>
      </c>
      <c r="V2948" s="1192">
        <v>14</v>
      </c>
    </row>
    <row r="2949" spans="1:22" s="1192" customFormat="1" ht="14.4" x14ac:dyDescent="0.3">
      <c r="A2949" s="1192" t="s">
        <v>207</v>
      </c>
      <c r="B2949" s="1192" t="s">
        <v>3082</v>
      </c>
      <c r="E2949" s="2044" t="s">
        <v>3900</v>
      </c>
      <c r="F2949" s="2044"/>
      <c r="G2949" s="1262" t="s">
        <v>19</v>
      </c>
      <c r="H2949" s="839">
        <v>0.56999999999999995</v>
      </c>
      <c r="K2949" s="1192" t="s">
        <v>3901</v>
      </c>
      <c r="L2949" s="1192" t="s">
        <v>431</v>
      </c>
      <c r="P2949" s="1192" t="s">
        <v>3903</v>
      </c>
      <c r="T2949" s="1192">
        <v>44926</v>
      </c>
      <c r="V2949" s="1192">
        <v>64</v>
      </c>
    </row>
    <row r="2950" spans="1:22" s="1192" customFormat="1" ht="14.4" x14ac:dyDescent="0.3">
      <c r="A2950" s="1192" t="s">
        <v>207</v>
      </c>
      <c r="B2950" s="1192" t="s">
        <v>3082</v>
      </c>
      <c r="E2950" s="2044" t="s">
        <v>80</v>
      </c>
      <c r="F2950" s="2044"/>
      <c r="G2950" s="1262" t="s">
        <v>20</v>
      </c>
      <c r="H2950" s="837">
        <v>1.5800000000000002E-2</v>
      </c>
      <c r="K2950" s="1192" t="s">
        <v>3901</v>
      </c>
      <c r="L2950" s="1192" t="s">
        <v>430</v>
      </c>
      <c r="P2950" s="1192" t="s">
        <v>3904</v>
      </c>
      <c r="V2950" s="1192">
        <v>28</v>
      </c>
    </row>
    <row r="2951" spans="1:22" s="1192" customFormat="1" ht="14.4" x14ac:dyDescent="0.3">
      <c r="A2951" s="1192" t="s">
        <v>207</v>
      </c>
      <c r="B2951" s="1192" t="s">
        <v>3082</v>
      </c>
      <c r="E2951" s="2044" t="s">
        <v>14</v>
      </c>
      <c r="F2951" s="2044"/>
      <c r="G2951" s="1262" t="s">
        <v>20</v>
      </c>
      <c r="H2951" s="932">
        <v>8.0000000000000004E-4</v>
      </c>
      <c r="K2951" s="1192" t="s">
        <v>3901</v>
      </c>
      <c r="L2951" s="1192" t="s">
        <v>431</v>
      </c>
      <c r="P2951" s="1192" t="s">
        <v>3905</v>
      </c>
      <c r="V2951" s="1192">
        <v>24</v>
      </c>
    </row>
    <row r="2952" spans="1:22" s="1192" customFormat="1" ht="14.4" x14ac:dyDescent="0.3">
      <c r="A2952" s="1192" t="s">
        <v>207</v>
      </c>
      <c r="B2952" s="1192" t="s">
        <v>3082</v>
      </c>
      <c r="E2952" s="2044" t="s">
        <v>4191</v>
      </c>
      <c r="F2952" s="2044"/>
      <c r="G2952" s="1262" t="s">
        <v>20</v>
      </c>
      <c r="H2952" s="932">
        <v>1E-4</v>
      </c>
      <c r="K2952" s="1192" t="s">
        <v>3901</v>
      </c>
      <c r="L2952" s="1192" t="s">
        <v>430</v>
      </c>
      <c r="P2952" s="1192" t="s">
        <v>4062</v>
      </c>
      <c r="V2952" s="1192">
        <v>128</v>
      </c>
    </row>
    <row r="2953" spans="1:22" s="1192" customFormat="1" ht="14.4" x14ac:dyDescent="0.3">
      <c r="A2953" s="1192" t="s">
        <v>207</v>
      </c>
      <c r="B2953" s="1192" t="s">
        <v>3082</v>
      </c>
      <c r="E2953" s="2044" t="s">
        <v>213</v>
      </c>
      <c r="F2953" s="2044"/>
      <c r="G2953" s="1262" t="s">
        <v>20</v>
      </c>
      <c r="H2953" s="837">
        <v>6.4999999999999997E-3</v>
      </c>
      <c r="K2953" s="1192" t="s">
        <v>3901</v>
      </c>
      <c r="L2953" s="1192" t="s">
        <v>432</v>
      </c>
      <c r="P2953" s="1192" t="s">
        <v>3906</v>
      </c>
      <c r="V2953" s="1192">
        <v>47</v>
      </c>
    </row>
    <row r="2954" spans="1:22" s="1192" customFormat="1" ht="14.4" x14ac:dyDescent="0.3">
      <c r="A2954" s="1192" t="s">
        <v>207</v>
      </c>
      <c r="B2954" s="1192" t="s">
        <v>3082</v>
      </c>
      <c r="E2954" s="2044" t="s">
        <v>209</v>
      </c>
      <c r="F2954" s="2044"/>
      <c r="G2954" s="1262" t="s">
        <v>20</v>
      </c>
      <c r="H2954" s="837">
        <v>3.3999999999999998E-3</v>
      </c>
      <c r="K2954" s="1192" t="s">
        <v>3901</v>
      </c>
      <c r="L2954" s="1192" t="s">
        <v>432</v>
      </c>
      <c r="P2954" s="1192" t="s">
        <v>3907</v>
      </c>
      <c r="V2954" s="1192">
        <v>74</v>
      </c>
    </row>
    <row r="2955" spans="1:22" s="1192" customFormat="1" ht="14.4" x14ac:dyDescent="0.3">
      <c r="A2955" s="1192" t="s">
        <v>207</v>
      </c>
      <c r="B2955" s="1192" t="s">
        <v>3082</v>
      </c>
      <c r="E2955" s="1750" t="s">
        <v>2405</v>
      </c>
      <c r="F2955" s="1741"/>
      <c r="G2955" s="1255"/>
      <c r="H2955" s="931"/>
      <c r="K2955" s="1192" t="s">
        <v>2418</v>
      </c>
      <c r="V2955" s="1192">
        <v>48</v>
      </c>
    </row>
    <row r="2956" spans="1:22" s="1192" customFormat="1" ht="14.4" x14ac:dyDescent="0.3">
      <c r="A2956" s="1192" t="s">
        <v>207</v>
      </c>
      <c r="B2956" s="1192" t="s">
        <v>3082</v>
      </c>
      <c r="E2956" s="2044" t="s">
        <v>2033</v>
      </c>
      <c r="F2956" s="2044"/>
      <c r="G2956" s="1262" t="s">
        <v>20</v>
      </c>
      <c r="H2956" s="1219">
        <v>3.0000000000000001E-3</v>
      </c>
      <c r="K2956" s="1192" t="s">
        <v>3901</v>
      </c>
      <c r="L2956" s="1192" t="s">
        <v>2374</v>
      </c>
      <c r="P2956" s="1192" t="s">
        <v>3908</v>
      </c>
      <c r="V2956" s="1192">
        <v>55</v>
      </c>
    </row>
    <row r="2957" spans="1:22" s="1192" customFormat="1" ht="14.4" x14ac:dyDescent="0.3">
      <c r="A2957" s="1192" t="s">
        <v>207</v>
      </c>
      <c r="B2957" s="1192" t="s">
        <v>3082</v>
      </c>
      <c r="E2957" s="2044" t="s">
        <v>2034</v>
      </c>
      <c r="F2957" s="2044"/>
      <c r="G2957" s="1262" t="s">
        <v>20</v>
      </c>
      <c r="H2957" s="932">
        <v>4.0000000000000002E-4</v>
      </c>
      <c r="K2957" s="1192" t="s">
        <v>3901</v>
      </c>
      <c r="L2957" s="1192" t="s">
        <v>2374</v>
      </c>
      <c r="P2957" s="1192" t="s">
        <v>3908</v>
      </c>
      <c r="V2957" s="1192">
        <v>65</v>
      </c>
    </row>
    <row r="2958" spans="1:22" s="1192" customFormat="1" ht="14.4" x14ac:dyDescent="0.3">
      <c r="A2958" s="1192" t="s">
        <v>207</v>
      </c>
      <c r="B2958" s="1192" t="s">
        <v>3082</v>
      </c>
      <c r="E2958" s="2044" t="s">
        <v>428</v>
      </c>
      <c r="F2958" s="2044"/>
      <c r="G2958" s="1262" t="s">
        <v>20</v>
      </c>
      <c r="H2958" s="932">
        <v>5.0000000000000001E-4</v>
      </c>
      <c r="K2958" s="1192" t="s">
        <v>3901</v>
      </c>
      <c r="L2958" s="1192" t="s">
        <v>2374</v>
      </c>
      <c r="P2958" s="1192" t="s">
        <v>3909</v>
      </c>
      <c r="V2958" s="1192">
        <v>57</v>
      </c>
    </row>
    <row r="2959" spans="1:22" s="1192" customFormat="1" ht="14.4" x14ac:dyDescent="0.3">
      <c r="A2959" s="1192" t="s">
        <v>207</v>
      </c>
      <c r="B2959" s="1192" t="s">
        <v>3082</v>
      </c>
      <c r="E2959" s="2044" t="s">
        <v>28</v>
      </c>
      <c r="F2959" s="2044"/>
      <c r="G2959" s="1262" t="s">
        <v>19</v>
      </c>
      <c r="H2959" s="932">
        <v>0.25</v>
      </c>
      <c r="K2959" s="1192" t="s">
        <v>3901</v>
      </c>
      <c r="L2959" s="1192" t="s">
        <v>2374</v>
      </c>
      <c r="P2959" s="1192" t="s">
        <v>3910</v>
      </c>
      <c r="V2959" s="1192">
        <v>63</v>
      </c>
    </row>
    <row r="2960" spans="1:22" s="1192" customFormat="1" ht="17.399999999999999" x14ac:dyDescent="0.3">
      <c r="A2960" s="1192" t="s">
        <v>207</v>
      </c>
      <c r="B2960" s="1192" t="s">
        <v>3082</v>
      </c>
      <c r="E2960" s="2045" t="s">
        <v>591</v>
      </c>
      <c r="F2960" s="2045"/>
      <c r="G2960" s="2045"/>
      <c r="H2960" s="2045"/>
      <c r="K2960" s="1192" t="s">
        <v>4388</v>
      </c>
      <c r="V2960" s="1192">
        <v>53</v>
      </c>
    </row>
    <row r="2961" spans="1:22" s="1192" customFormat="1" ht="14.4" x14ac:dyDescent="0.3">
      <c r="A2961" s="1192" t="s">
        <v>207</v>
      </c>
      <c r="B2961" s="1192" t="s">
        <v>3082</v>
      </c>
      <c r="E2961" s="1743" t="s">
        <v>3087</v>
      </c>
      <c r="F2961" s="1743"/>
      <c r="G2961" s="1743"/>
      <c r="H2961" s="1743"/>
      <c r="K2961" s="1192" t="s">
        <v>4388</v>
      </c>
      <c r="V2961" s="1192">
        <v>387</v>
      </c>
    </row>
    <row r="2962" spans="1:22" s="1192" customFormat="1" ht="14.4" x14ac:dyDescent="0.3">
      <c r="A2962" s="1192" t="s">
        <v>207</v>
      </c>
      <c r="B2962" s="1192" t="s">
        <v>3082</v>
      </c>
      <c r="E2962" s="1750" t="s">
        <v>2389</v>
      </c>
      <c r="F2962" s="1743"/>
      <c r="G2962" s="1743"/>
      <c r="H2962" s="1743"/>
      <c r="K2962" s="1192" t="s">
        <v>2422</v>
      </c>
      <c r="V2962" s="1192">
        <v>11</v>
      </c>
    </row>
    <row r="2963" spans="1:22" s="1192" customFormat="1" ht="14.4" x14ac:dyDescent="0.3">
      <c r="A2963" s="1192" t="s">
        <v>207</v>
      </c>
      <c r="B2963" s="1192" t="s">
        <v>3082</v>
      </c>
      <c r="E2963" s="1743" t="s">
        <v>2391</v>
      </c>
      <c r="F2963" s="1743"/>
      <c r="G2963" s="1743"/>
      <c r="H2963" s="1743"/>
      <c r="K2963" s="1192" t="s">
        <v>4388</v>
      </c>
      <c r="V2963" s="1192">
        <v>280</v>
      </c>
    </row>
    <row r="2964" spans="1:22" s="1192" customFormat="1" ht="14.4" x14ac:dyDescent="0.3">
      <c r="A2964" s="1192" t="s">
        <v>207</v>
      </c>
      <c r="B2964" s="1192" t="s">
        <v>3082</v>
      </c>
      <c r="E2964" s="1743" t="s">
        <v>2392</v>
      </c>
      <c r="F2964" s="1743"/>
      <c r="G2964" s="1743"/>
      <c r="H2964" s="1743"/>
      <c r="K2964" s="1192" t="s">
        <v>4388</v>
      </c>
      <c r="V2964" s="1192">
        <v>411</v>
      </c>
    </row>
    <row r="2965" spans="1:22" s="1192" customFormat="1" ht="14.4" x14ac:dyDescent="0.3">
      <c r="A2965" s="1192" t="s">
        <v>207</v>
      </c>
      <c r="B2965" s="1192" t="s">
        <v>3082</v>
      </c>
      <c r="E2965" s="1743" t="s">
        <v>2445</v>
      </c>
      <c r="F2965" s="1743"/>
      <c r="G2965" s="1743"/>
      <c r="H2965" s="1743"/>
      <c r="K2965" s="1192" t="s">
        <v>4388</v>
      </c>
      <c r="V2965" s="1192">
        <v>211</v>
      </c>
    </row>
    <row r="2966" spans="1:22" s="1192" customFormat="1" ht="14.4" x14ac:dyDescent="0.3">
      <c r="A2966" s="1192" t="s">
        <v>207</v>
      </c>
      <c r="B2966" s="1192" t="s">
        <v>3082</v>
      </c>
      <c r="E2966" s="1743" t="s">
        <v>4503</v>
      </c>
      <c r="F2966" s="1743"/>
      <c r="G2966" s="1743"/>
      <c r="H2966" s="1743"/>
      <c r="K2966" s="1192" t="s">
        <v>4388</v>
      </c>
      <c r="V2966" s="1192">
        <v>677</v>
      </c>
    </row>
    <row r="2967" spans="1:22" s="1192" customFormat="1" ht="14.4" x14ac:dyDescent="0.3">
      <c r="A2967" s="1192" t="s">
        <v>207</v>
      </c>
      <c r="B2967" s="1192" t="s">
        <v>3082</v>
      </c>
      <c r="E2967" s="1743" t="s">
        <v>4644</v>
      </c>
      <c r="F2967" s="1743"/>
      <c r="G2967" s="1743"/>
      <c r="H2967" s="1743"/>
      <c r="K2967" s="1192" t="s">
        <v>4388</v>
      </c>
      <c r="V2967" s="1192">
        <v>693</v>
      </c>
    </row>
    <row r="2968" spans="1:22" s="1192" customFormat="1" ht="14.4" x14ac:dyDescent="0.3">
      <c r="A2968" s="1192" t="s">
        <v>207</v>
      </c>
      <c r="B2968" s="1192" t="s">
        <v>3082</v>
      </c>
      <c r="E2968" s="1743" t="s">
        <v>2986</v>
      </c>
      <c r="F2968" s="1743"/>
      <c r="G2968" s="1743"/>
      <c r="H2968" s="1743"/>
      <c r="K2968" s="1192" t="s">
        <v>4388</v>
      </c>
      <c r="V2968" s="1192">
        <v>246</v>
      </c>
    </row>
    <row r="2969" spans="1:22" s="1192" customFormat="1" ht="14.4" x14ac:dyDescent="0.3">
      <c r="A2969" s="1192" t="s">
        <v>207</v>
      </c>
      <c r="B2969" s="1192" t="s">
        <v>3082</v>
      </c>
      <c r="E2969" s="1750" t="s">
        <v>2394</v>
      </c>
      <c r="F2969" s="1743"/>
      <c r="G2969" s="1743"/>
      <c r="H2969" s="1743"/>
      <c r="K2969" s="1192" t="s">
        <v>2423</v>
      </c>
      <c r="V2969" s="1192">
        <v>46</v>
      </c>
    </row>
    <row r="2970" spans="1:22" s="1192" customFormat="1" ht="14.4" x14ac:dyDescent="0.3">
      <c r="A2970" s="1192" t="s">
        <v>207</v>
      </c>
      <c r="B2970" s="1192" t="s">
        <v>3082</v>
      </c>
      <c r="E2970" s="2044" t="s">
        <v>7</v>
      </c>
      <c r="F2970" s="2044"/>
      <c r="G2970" s="1262" t="s">
        <v>19</v>
      </c>
      <c r="H2970" s="837">
        <v>249.36</v>
      </c>
      <c r="K2970" s="1192" t="s">
        <v>4388</v>
      </c>
      <c r="L2970" s="1192" t="s">
        <v>430</v>
      </c>
      <c r="P2970" s="1192" t="s">
        <v>4389</v>
      </c>
      <c r="V2970" s="1192">
        <v>14</v>
      </c>
    </row>
    <row r="2971" spans="1:22" s="1192" customFormat="1" ht="14.4" x14ac:dyDescent="0.3">
      <c r="A2971" s="1192" t="s">
        <v>207</v>
      </c>
      <c r="B2971" s="1192" t="s">
        <v>3082</v>
      </c>
      <c r="E2971" s="2044" t="s">
        <v>80</v>
      </c>
      <c r="F2971" s="2044"/>
      <c r="G2971" s="1262" t="s">
        <v>29</v>
      </c>
      <c r="H2971" s="837">
        <v>4.0216000000000003</v>
      </c>
      <c r="K2971" s="1192" t="s">
        <v>4388</v>
      </c>
      <c r="L2971" s="1192" t="s">
        <v>430</v>
      </c>
      <c r="P2971" s="1192" t="s">
        <v>4390</v>
      </c>
      <c r="V2971" s="1192">
        <v>28</v>
      </c>
    </row>
    <row r="2972" spans="1:22" s="1192" customFormat="1" ht="14.4" x14ac:dyDescent="0.3">
      <c r="A2972" s="1192" t="s">
        <v>207</v>
      </c>
      <c r="B2972" s="1192" t="s">
        <v>3082</v>
      </c>
      <c r="E2972" s="2044" t="s">
        <v>14</v>
      </c>
      <c r="F2972" s="2044"/>
      <c r="G2972" s="1262" t="s">
        <v>29</v>
      </c>
      <c r="H2972" s="932">
        <v>0.30499999999999999</v>
      </c>
      <c r="K2972" s="1192" t="s">
        <v>4388</v>
      </c>
      <c r="L2972" s="1192" t="s">
        <v>431</v>
      </c>
      <c r="P2972" s="1192" t="s">
        <v>4391</v>
      </c>
      <c r="V2972" s="1192">
        <v>24</v>
      </c>
    </row>
    <row r="2973" spans="1:22" s="1192" customFormat="1" ht="14.4" x14ac:dyDescent="0.3">
      <c r="A2973" s="1192" t="s">
        <v>207</v>
      </c>
      <c r="B2973" s="1192" t="s">
        <v>3082</v>
      </c>
      <c r="E2973" s="2044" t="s">
        <v>4191</v>
      </c>
      <c r="F2973" s="2044"/>
      <c r="G2973" s="1262" t="s">
        <v>29</v>
      </c>
      <c r="H2973" s="932">
        <v>2.1100000000000001E-2</v>
      </c>
      <c r="K2973" s="1192" t="s">
        <v>4388</v>
      </c>
      <c r="L2973" s="1192" t="s">
        <v>430</v>
      </c>
      <c r="P2973" s="1192" t="s">
        <v>4424</v>
      </c>
      <c r="V2973" s="1192">
        <v>128</v>
      </c>
    </row>
    <row r="2974" spans="1:22" s="1192" customFormat="1" ht="14.4" x14ac:dyDescent="0.3">
      <c r="A2974" s="1192" t="s">
        <v>207</v>
      </c>
      <c r="B2974" s="1192" t="s">
        <v>3082</v>
      </c>
      <c r="E2974" s="2044" t="s">
        <v>213</v>
      </c>
      <c r="F2974" s="2044"/>
      <c r="G2974" s="1262" t="s">
        <v>29</v>
      </c>
      <c r="H2974" s="837">
        <v>2.6307999999999998</v>
      </c>
      <c r="K2974" s="1192" t="s">
        <v>4388</v>
      </c>
      <c r="L2974" s="1192" t="s">
        <v>432</v>
      </c>
      <c r="P2974" s="1192" t="s">
        <v>4392</v>
      </c>
      <c r="V2974" s="1192">
        <v>47</v>
      </c>
    </row>
    <row r="2975" spans="1:22" s="1192" customFormat="1" ht="14.4" x14ac:dyDescent="0.3">
      <c r="A2975" s="1192" t="s">
        <v>207</v>
      </c>
      <c r="B2975" s="1192" t="s">
        <v>3082</v>
      </c>
      <c r="E2975" s="2044" t="s">
        <v>209</v>
      </c>
      <c r="F2975" s="2044"/>
      <c r="G2975" s="1262" t="s">
        <v>29</v>
      </c>
      <c r="H2975" s="837">
        <v>1.3594999999999999</v>
      </c>
      <c r="K2975" s="1192" t="s">
        <v>4388</v>
      </c>
      <c r="L2975" s="1192" t="s">
        <v>432</v>
      </c>
      <c r="P2975" s="1192" t="s">
        <v>4393</v>
      </c>
      <c r="V2975" s="1192">
        <v>74</v>
      </c>
    </row>
    <row r="2976" spans="1:22" s="1192" customFormat="1" ht="14.4" x14ac:dyDescent="0.3">
      <c r="A2976" s="1192" t="s">
        <v>207</v>
      </c>
      <c r="B2976" s="1192" t="s">
        <v>3082</v>
      </c>
      <c r="E2976" s="1750" t="s">
        <v>2405</v>
      </c>
      <c r="F2976" s="1741"/>
      <c r="G2976" s="1255"/>
      <c r="H2976" s="931"/>
      <c r="K2976" s="1192" t="s">
        <v>2526</v>
      </c>
      <c r="V2976" s="1192">
        <v>48</v>
      </c>
    </row>
    <row r="2977" spans="1:22" s="1192" customFormat="1" ht="14.4" x14ac:dyDescent="0.3">
      <c r="A2977" s="1192" t="s">
        <v>207</v>
      </c>
      <c r="B2977" s="1192" t="s">
        <v>3082</v>
      </c>
      <c r="E2977" s="2044" t="s">
        <v>2033</v>
      </c>
      <c r="F2977" s="2044"/>
      <c r="G2977" s="1262" t="s">
        <v>20</v>
      </c>
      <c r="H2977" s="1219">
        <v>3.0000000000000001E-3</v>
      </c>
      <c r="K2977" s="1192" t="s">
        <v>4388</v>
      </c>
      <c r="L2977" s="1192" t="s">
        <v>2374</v>
      </c>
      <c r="P2977" s="1192" t="s">
        <v>4394</v>
      </c>
      <c r="V2977" s="1192">
        <v>55</v>
      </c>
    </row>
    <row r="2978" spans="1:22" s="1192" customFormat="1" ht="14.4" x14ac:dyDescent="0.3">
      <c r="A2978" s="1192" t="s">
        <v>207</v>
      </c>
      <c r="B2978" s="1192" t="s">
        <v>3082</v>
      </c>
      <c r="E2978" s="2044" t="s">
        <v>2034</v>
      </c>
      <c r="F2978" s="2044"/>
      <c r="G2978" s="1262" t="s">
        <v>20</v>
      </c>
      <c r="H2978" s="932">
        <v>4.0000000000000002E-4</v>
      </c>
      <c r="K2978" s="1192" t="s">
        <v>4388</v>
      </c>
      <c r="L2978" s="1192" t="s">
        <v>2374</v>
      </c>
      <c r="P2978" s="1192" t="s">
        <v>4394</v>
      </c>
      <c r="V2978" s="1192">
        <v>65</v>
      </c>
    </row>
    <row r="2979" spans="1:22" s="1192" customFormat="1" ht="14.4" x14ac:dyDescent="0.3">
      <c r="A2979" s="1192" t="s">
        <v>207</v>
      </c>
      <c r="B2979" s="1192" t="s">
        <v>3082</v>
      </c>
      <c r="E2979" s="2044" t="s">
        <v>428</v>
      </c>
      <c r="F2979" s="2044"/>
      <c r="G2979" s="1262" t="s">
        <v>20</v>
      </c>
      <c r="H2979" s="932">
        <v>5.0000000000000001E-4</v>
      </c>
      <c r="K2979" s="1192" t="s">
        <v>4388</v>
      </c>
      <c r="L2979" s="1192" t="s">
        <v>2374</v>
      </c>
      <c r="P2979" s="1192" t="s">
        <v>4395</v>
      </c>
      <c r="V2979" s="1192">
        <v>57</v>
      </c>
    </row>
    <row r="2980" spans="1:22" s="1192" customFormat="1" ht="14.4" x14ac:dyDescent="0.3">
      <c r="A2980" s="1192" t="s">
        <v>207</v>
      </c>
      <c r="B2980" s="1192" t="s">
        <v>3082</v>
      </c>
      <c r="E2980" s="2044" t="s">
        <v>28</v>
      </c>
      <c r="F2980" s="2044"/>
      <c r="G2980" s="1262" t="s">
        <v>19</v>
      </c>
      <c r="H2980" s="932">
        <v>0.25</v>
      </c>
      <c r="K2980" s="1192" t="s">
        <v>4388</v>
      </c>
      <c r="L2980" s="1192" t="s">
        <v>2374</v>
      </c>
      <c r="P2980" s="1192" t="s">
        <v>4396</v>
      </c>
      <c r="V2980" s="1192">
        <v>63</v>
      </c>
    </row>
    <row r="2981" spans="1:22" s="1192" customFormat="1" ht="17.399999999999999" x14ac:dyDescent="0.3">
      <c r="A2981" s="1192" t="s">
        <v>207</v>
      </c>
      <c r="B2981" s="1192" t="s">
        <v>3082</v>
      </c>
      <c r="E2981" s="2045" t="s">
        <v>592</v>
      </c>
      <c r="F2981" s="2045"/>
      <c r="G2981" s="2045"/>
      <c r="H2981" s="2045"/>
      <c r="K2981" s="1192" t="s">
        <v>2676</v>
      </c>
      <c r="V2981" s="1192">
        <v>47</v>
      </c>
    </row>
    <row r="2982" spans="1:22" s="1192" customFormat="1" ht="14.4" x14ac:dyDescent="0.3">
      <c r="A2982" s="1192" t="s">
        <v>207</v>
      </c>
      <c r="B2982" s="1192" t="s">
        <v>3082</v>
      </c>
      <c r="E2982" s="1743" t="s">
        <v>3067</v>
      </c>
      <c r="F2982" s="1743"/>
      <c r="G2982" s="1743"/>
      <c r="H2982" s="1743"/>
      <c r="K2982" s="1192" t="s">
        <v>2676</v>
      </c>
      <c r="V2982" s="1192">
        <v>722</v>
      </c>
    </row>
    <row r="2983" spans="1:22" s="1192" customFormat="1" ht="14.4" x14ac:dyDescent="0.3">
      <c r="A2983" s="1192" t="s">
        <v>207</v>
      </c>
      <c r="B2983" s="1192" t="s">
        <v>3082</v>
      </c>
      <c r="E2983" s="1750" t="s">
        <v>2389</v>
      </c>
      <c r="F2983" s="1743"/>
      <c r="G2983" s="1743"/>
      <c r="H2983" s="1743"/>
      <c r="K2983" s="1192" t="s">
        <v>2529</v>
      </c>
      <c r="V2983" s="1192">
        <v>11</v>
      </c>
    </row>
    <row r="2984" spans="1:22" s="1192" customFormat="1" ht="14.4" x14ac:dyDescent="0.3">
      <c r="A2984" s="1192" t="s">
        <v>207</v>
      </c>
      <c r="B2984" s="1192" t="s">
        <v>3082</v>
      </c>
      <c r="E2984" s="1743" t="s">
        <v>2391</v>
      </c>
      <c r="F2984" s="1743"/>
      <c r="G2984" s="1743"/>
      <c r="H2984" s="1743"/>
      <c r="K2984" s="1192" t="s">
        <v>2676</v>
      </c>
      <c r="V2984" s="1192">
        <v>280</v>
      </c>
    </row>
    <row r="2985" spans="1:22" s="1192" customFormat="1" ht="14.4" x14ac:dyDescent="0.3">
      <c r="A2985" s="1192" t="s">
        <v>207</v>
      </c>
      <c r="B2985" s="1192" t="s">
        <v>3082</v>
      </c>
      <c r="E2985" s="1743" t="s">
        <v>2392</v>
      </c>
      <c r="F2985" s="1743"/>
      <c r="G2985" s="1743"/>
      <c r="H2985" s="1743"/>
      <c r="K2985" s="1192" t="s">
        <v>2676</v>
      </c>
      <c r="V2985" s="1192">
        <v>411</v>
      </c>
    </row>
    <row r="2986" spans="1:22" s="1192" customFormat="1" ht="14.4" x14ac:dyDescent="0.3">
      <c r="A2986" s="1192" t="s">
        <v>207</v>
      </c>
      <c r="B2986" s="1192" t="s">
        <v>3082</v>
      </c>
      <c r="E2986" s="1743" t="s">
        <v>2445</v>
      </c>
      <c r="F2986" s="1743"/>
      <c r="G2986" s="1743"/>
      <c r="H2986" s="1743"/>
      <c r="K2986" s="1192" t="s">
        <v>2676</v>
      </c>
      <c r="V2986" s="1192">
        <v>211</v>
      </c>
    </row>
    <row r="2987" spans="1:22" s="1192" customFormat="1" ht="14.4" x14ac:dyDescent="0.3">
      <c r="A2987" s="1192" t="s">
        <v>207</v>
      </c>
      <c r="B2987" s="1192" t="s">
        <v>3082</v>
      </c>
      <c r="E2987" s="1743" t="s">
        <v>2986</v>
      </c>
      <c r="F2987" s="1743"/>
      <c r="G2987" s="1743"/>
      <c r="H2987" s="1743"/>
      <c r="K2987" s="1192" t="s">
        <v>2676</v>
      </c>
      <c r="V2987" s="1192">
        <v>246</v>
      </c>
    </row>
    <row r="2988" spans="1:22" s="1192" customFormat="1" ht="14.4" x14ac:dyDescent="0.3">
      <c r="A2988" s="1192" t="s">
        <v>207</v>
      </c>
      <c r="B2988" s="1192" t="s">
        <v>3082</v>
      </c>
      <c r="E2988" s="1750" t="s">
        <v>2394</v>
      </c>
      <c r="F2988" s="1743"/>
      <c r="G2988" s="1743"/>
      <c r="H2988" s="1743"/>
      <c r="K2988" s="1192" t="s">
        <v>2531</v>
      </c>
      <c r="V2988" s="1192">
        <v>46</v>
      </c>
    </row>
    <row r="2989" spans="1:22" s="1192" customFormat="1" ht="14.4" x14ac:dyDescent="0.3">
      <c r="A2989" s="1192" t="s">
        <v>207</v>
      </c>
      <c r="B2989" s="1192" t="s">
        <v>3082</v>
      </c>
      <c r="E2989" s="2044" t="s">
        <v>7</v>
      </c>
      <c r="F2989" s="2044"/>
      <c r="G2989" s="1262" t="s">
        <v>19</v>
      </c>
      <c r="H2989" s="837">
        <v>15.73</v>
      </c>
      <c r="K2989" s="1192" t="s">
        <v>2676</v>
      </c>
      <c r="L2989" s="1192" t="s">
        <v>430</v>
      </c>
      <c r="P2989" s="1192" t="s">
        <v>2678</v>
      </c>
      <c r="V2989" s="1192">
        <v>14</v>
      </c>
    </row>
    <row r="2990" spans="1:22" s="1192" customFormat="1" ht="14.4" x14ac:dyDescent="0.3">
      <c r="A2990" s="1192" t="s">
        <v>207</v>
      </c>
      <c r="B2990" s="1192" t="s">
        <v>3082</v>
      </c>
      <c r="E2990" s="2044" t="s">
        <v>80</v>
      </c>
      <c r="F2990" s="2044"/>
      <c r="G2990" s="1262" t="s">
        <v>20</v>
      </c>
      <c r="H2990" s="837">
        <v>8.8000000000000005E-3</v>
      </c>
      <c r="K2990" s="1192" t="s">
        <v>2676</v>
      </c>
      <c r="L2990" s="1192" t="s">
        <v>430</v>
      </c>
      <c r="P2990" s="1192" t="s">
        <v>2679</v>
      </c>
      <c r="V2990" s="1192">
        <v>28</v>
      </c>
    </row>
    <row r="2991" spans="1:22" s="1192" customFormat="1" ht="14.4" x14ac:dyDescent="0.3">
      <c r="A2991" s="1192" t="s">
        <v>207</v>
      </c>
      <c r="B2991" s="1192" t="s">
        <v>3082</v>
      </c>
      <c r="E2991" s="2044" t="s">
        <v>14</v>
      </c>
      <c r="F2991" s="2044"/>
      <c r="G2991" s="1262" t="s">
        <v>20</v>
      </c>
      <c r="H2991" s="932">
        <v>8.0000000000000004E-4</v>
      </c>
      <c r="K2991" s="1192" t="s">
        <v>2676</v>
      </c>
      <c r="L2991" s="1192" t="s">
        <v>431</v>
      </c>
      <c r="P2991" s="1192" t="s">
        <v>2809</v>
      </c>
      <c r="V2991" s="1192">
        <v>24</v>
      </c>
    </row>
    <row r="2992" spans="1:22" s="1192" customFormat="1" ht="14.4" x14ac:dyDescent="0.3">
      <c r="A2992" s="1192" t="s">
        <v>207</v>
      </c>
      <c r="B2992" s="1192" t="s">
        <v>3082</v>
      </c>
      <c r="E2992" s="2044" t="s">
        <v>4192</v>
      </c>
      <c r="F2992" s="2044"/>
      <c r="G2992" s="1262" t="s">
        <v>20</v>
      </c>
      <c r="H2992" s="932">
        <v>2.0000000000000001E-4</v>
      </c>
      <c r="K2992" s="1192" t="s">
        <v>2676</v>
      </c>
      <c r="L2992" s="1192" t="s">
        <v>430</v>
      </c>
      <c r="P2992" s="1192" t="s">
        <v>3254</v>
      </c>
      <c r="V2992" s="1192">
        <v>127</v>
      </c>
    </row>
    <row r="2993" spans="1:22" s="1192" customFormat="1" ht="14.4" x14ac:dyDescent="0.3">
      <c r="A2993" s="1192" t="s">
        <v>207</v>
      </c>
      <c r="B2993" s="1192" t="s">
        <v>3082</v>
      </c>
      <c r="E2993" s="2044" t="s">
        <v>213</v>
      </c>
      <c r="F2993" s="2044"/>
      <c r="G2993" s="1262" t="s">
        <v>20</v>
      </c>
      <c r="H2993" s="837">
        <v>6.4999999999999997E-3</v>
      </c>
      <c r="K2993" s="1192" t="s">
        <v>2676</v>
      </c>
      <c r="L2993" s="1192" t="s">
        <v>432</v>
      </c>
      <c r="P2993" s="1192" t="s">
        <v>2682</v>
      </c>
      <c r="V2993" s="1192">
        <v>47</v>
      </c>
    </row>
    <row r="2994" spans="1:22" s="1192" customFormat="1" ht="14.4" x14ac:dyDescent="0.3">
      <c r="A2994" s="1192" t="s">
        <v>207</v>
      </c>
      <c r="B2994" s="1192" t="s">
        <v>3082</v>
      </c>
      <c r="E2994" s="2044" t="s">
        <v>209</v>
      </c>
      <c r="F2994" s="2044"/>
      <c r="G2994" s="1262" t="s">
        <v>20</v>
      </c>
      <c r="H2994" s="837">
        <v>3.3999999999999998E-3</v>
      </c>
      <c r="K2994" s="1192" t="s">
        <v>2676</v>
      </c>
      <c r="L2994" s="1192" t="s">
        <v>432</v>
      </c>
      <c r="P2994" s="1192" t="s">
        <v>2683</v>
      </c>
      <c r="V2994" s="1192">
        <v>74</v>
      </c>
    </row>
    <row r="2995" spans="1:22" s="1192" customFormat="1" ht="14.4" x14ac:dyDescent="0.3">
      <c r="A2995" s="1192" t="s">
        <v>207</v>
      </c>
      <c r="B2995" s="1192" t="s">
        <v>3082</v>
      </c>
      <c r="E2995" s="1750" t="s">
        <v>2405</v>
      </c>
      <c r="F2995" s="2008"/>
      <c r="G2995" s="1255"/>
      <c r="H2995" s="931"/>
      <c r="K2995" s="1192" t="s">
        <v>2532</v>
      </c>
      <c r="V2995" s="1192">
        <v>48</v>
      </c>
    </row>
    <row r="2996" spans="1:22" s="1192" customFormat="1" ht="14.4" x14ac:dyDescent="0.3">
      <c r="A2996" s="1192" t="s">
        <v>207</v>
      </c>
      <c r="B2996" s="1192" t="s">
        <v>3082</v>
      </c>
      <c r="E2996" s="2044" t="s">
        <v>2033</v>
      </c>
      <c r="F2996" s="2044"/>
      <c r="G2996" s="1262" t="s">
        <v>20</v>
      </c>
      <c r="H2996" s="1219">
        <v>3.0000000000000001E-3</v>
      </c>
      <c r="K2996" s="1192" t="s">
        <v>2676</v>
      </c>
      <c r="L2996" s="1192" t="s">
        <v>2374</v>
      </c>
      <c r="P2996" s="1192" t="s">
        <v>2684</v>
      </c>
      <c r="V2996" s="1192">
        <v>55</v>
      </c>
    </row>
    <row r="2997" spans="1:22" s="1192" customFormat="1" ht="14.4" x14ac:dyDescent="0.3">
      <c r="A2997" s="1192" t="s">
        <v>207</v>
      </c>
      <c r="B2997" s="1192" t="s">
        <v>3082</v>
      </c>
      <c r="E2997" s="2044" t="s">
        <v>2034</v>
      </c>
      <c r="F2997" s="2044"/>
      <c r="G2997" s="1262" t="s">
        <v>20</v>
      </c>
      <c r="H2997" s="932">
        <v>4.0000000000000002E-4</v>
      </c>
      <c r="K2997" s="1192" t="s">
        <v>2676</v>
      </c>
      <c r="L2997" s="1192" t="s">
        <v>2374</v>
      </c>
      <c r="P2997" s="1192" t="s">
        <v>2684</v>
      </c>
      <c r="V2997" s="1192">
        <v>65</v>
      </c>
    </row>
    <row r="2998" spans="1:22" s="1192" customFormat="1" ht="14.4" x14ac:dyDescent="0.3">
      <c r="A2998" s="1192" t="s">
        <v>207</v>
      </c>
      <c r="B2998" s="1192" t="s">
        <v>3082</v>
      </c>
      <c r="E2998" s="2044" t="s">
        <v>428</v>
      </c>
      <c r="F2998" s="2044"/>
      <c r="G2998" s="1262" t="s">
        <v>20</v>
      </c>
      <c r="H2998" s="932">
        <v>5.0000000000000001E-4</v>
      </c>
      <c r="K2998" s="1192" t="s">
        <v>2676</v>
      </c>
      <c r="L2998" s="1192" t="s">
        <v>2374</v>
      </c>
      <c r="P2998" s="1192" t="s">
        <v>2685</v>
      </c>
      <c r="V2998" s="1192">
        <v>57</v>
      </c>
    </row>
    <row r="2999" spans="1:22" s="1192" customFormat="1" ht="14.4" x14ac:dyDescent="0.3">
      <c r="A2999" s="1192" t="s">
        <v>207</v>
      </c>
      <c r="B2999" s="1192" t="s">
        <v>3082</v>
      </c>
      <c r="E2999" s="2044" t="s">
        <v>28</v>
      </c>
      <c r="F2999" s="2044"/>
      <c r="G2999" s="1262" t="s">
        <v>19</v>
      </c>
      <c r="H2999" s="932">
        <v>0.25</v>
      </c>
      <c r="K2999" s="1192" t="s">
        <v>2676</v>
      </c>
      <c r="L2999" s="1192" t="s">
        <v>2374</v>
      </c>
      <c r="P2999" s="1192" t="s">
        <v>2686</v>
      </c>
      <c r="V2999" s="1192">
        <v>63</v>
      </c>
    </row>
    <row r="3000" spans="1:22" s="1192" customFormat="1" ht="17.399999999999999" x14ac:dyDescent="0.3">
      <c r="A3000" s="1192" t="s">
        <v>207</v>
      </c>
      <c r="B3000" s="1192" t="s">
        <v>3082</v>
      </c>
      <c r="E3000" s="2045" t="s">
        <v>604</v>
      </c>
      <c r="F3000" s="2045"/>
      <c r="G3000" s="2045"/>
      <c r="H3000" s="2045"/>
      <c r="K3000" s="1192" t="s">
        <v>2823</v>
      </c>
      <c r="V3000" s="1192">
        <v>40</v>
      </c>
    </row>
    <row r="3001" spans="1:22" s="1192" customFormat="1" ht="14.4" x14ac:dyDescent="0.3">
      <c r="A3001" s="1192" t="s">
        <v>207</v>
      </c>
      <c r="B3001" s="1192" t="s">
        <v>3082</v>
      </c>
      <c r="E3001" s="1743" t="s">
        <v>3089</v>
      </c>
      <c r="F3001" s="1743"/>
      <c r="G3001" s="1743"/>
      <c r="H3001" s="1743"/>
      <c r="K3001" s="1192" t="s">
        <v>2823</v>
      </c>
      <c r="V3001" s="1192">
        <v>250</v>
      </c>
    </row>
    <row r="3002" spans="1:22" s="1192" customFormat="1" ht="14.4" x14ac:dyDescent="0.3">
      <c r="A3002" s="1192" t="s">
        <v>207</v>
      </c>
      <c r="B3002" s="1192" t="s">
        <v>3082</v>
      </c>
      <c r="E3002" s="1750" t="s">
        <v>2389</v>
      </c>
      <c r="F3002" s="1743"/>
      <c r="G3002" s="1743"/>
      <c r="H3002" s="1743"/>
      <c r="K3002" s="1192" t="s">
        <v>2424</v>
      </c>
      <c r="V3002" s="1192">
        <v>11</v>
      </c>
    </row>
    <row r="3003" spans="1:22" s="1192" customFormat="1" ht="14.4" x14ac:dyDescent="0.3">
      <c r="A3003" s="1192" t="s">
        <v>207</v>
      </c>
      <c r="B3003" s="1192" t="s">
        <v>3082</v>
      </c>
      <c r="E3003" s="1743" t="s">
        <v>2391</v>
      </c>
      <c r="F3003" s="1743"/>
      <c r="G3003" s="1743"/>
      <c r="H3003" s="1743"/>
      <c r="K3003" s="1192" t="s">
        <v>2823</v>
      </c>
      <c r="V3003" s="1192">
        <v>280</v>
      </c>
    </row>
    <row r="3004" spans="1:22" s="1192" customFormat="1" ht="14.4" x14ac:dyDescent="0.3">
      <c r="A3004" s="1192" t="s">
        <v>207</v>
      </c>
      <c r="B3004" s="1192" t="s">
        <v>3082</v>
      </c>
      <c r="E3004" s="1743" t="s">
        <v>2392</v>
      </c>
      <c r="F3004" s="1743"/>
      <c r="G3004" s="1743"/>
      <c r="H3004" s="1743"/>
      <c r="K3004" s="1192" t="s">
        <v>2823</v>
      </c>
      <c r="V3004" s="1192">
        <v>411</v>
      </c>
    </row>
    <row r="3005" spans="1:22" s="1192" customFormat="1" ht="14.4" x14ac:dyDescent="0.3">
      <c r="A3005" s="1192" t="s">
        <v>207</v>
      </c>
      <c r="B3005" s="1192" t="s">
        <v>3082</v>
      </c>
      <c r="E3005" s="1743" t="s">
        <v>2445</v>
      </c>
      <c r="F3005" s="1743"/>
      <c r="G3005" s="1743"/>
      <c r="H3005" s="1743"/>
      <c r="K3005" s="1192" t="s">
        <v>2823</v>
      </c>
      <c r="V3005" s="1192">
        <v>211</v>
      </c>
    </row>
    <row r="3006" spans="1:22" s="1192" customFormat="1" ht="14.4" x14ac:dyDescent="0.3">
      <c r="A3006" s="1192" t="s">
        <v>207</v>
      </c>
      <c r="B3006" s="1192" t="s">
        <v>3082</v>
      </c>
      <c r="E3006" s="1743" t="s">
        <v>2986</v>
      </c>
      <c r="F3006" s="1743"/>
      <c r="G3006" s="1743"/>
      <c r="H3006" s="1743"/>
      <c r="K3006" s="1192" t="s">
        <v>2823</v>
      </c>
      <c r="V3006" s="1192">
        <v>246</v>
      </c>
    </row>
    <row r="3007" spans="1:22" s="1192" customFormat="1" ht="14.4" x14ac:dyDescent="0.3">
      <c r="A3007" s="1192" t="s">
        <v>207</v>
      </c>
      <c r="B3007" s="1192" t="s">
        <v>3082</v>
      </c>
      <c r="E3007" s="1750" t="s">
        <v>2394</v>
      </c>
      <c r="F3007" s="1743"/>
      <c r="G3007" s="1743"/>
      <c r="H3007" s="1743"/>
      <c r="K3007" s="1192" t="s">
        <v>2425</v>
      </c>
      <c r="V3007" s="1192">
        <v>46</v>
      </c>
    </row>
    <row r="3008" spans="1:22" s="1192" customFormat="1" ht="14.4" x14ac:dyDescent="0.3">
      <c r="A3008" s="1192" t="s">
        <v>207</v>
      </c>
      <c r="B3008" s="1192" t="s">
        <v>3082</v>
      </c>
      <c r="E3008" s="2044" t="s">
        <v>7</v>
      </c>
      <c r="F3008" s="2044"/>
      <c r="G3008" s="1262" t="s">
        <v>19</v>
      </c>
      <c r="H3008" s="837">
        <v>6.63</v>
      </c>
      <c r="K3008" s="1192" t="s">
        <v>2823</v>
      </c>
      <c r="L3008" s="1192" t="s">
        <v>430</v>
      </c>
      <c r="P3008" s="1192" t="s">
        <v>2824</v>
      </c>
      <c r="V3008" s="1192">
        <v>14</v>
      </c>
    </row>
    <row r="3009" spans="1:22" s="1192" customFormat="1" ht="14.4" x14ac:dyDescent="0.3">
      <c r="A3009" s="1192" t="s">
        <v>207</v>
      </c>
      <c r="B3009" s="1192" t="s">
        <v>3082</v>
      </c>
      <c r="E3009" s="2044" t="s">
        <v>80</v>
      </c>
      <c r="F3009" s="2044"/>
      <c r="G3009" s="1262" t="s">
        <v>29</v>
      </c>
      <c r="H3009" s="837">
        <v>19.734200000000001</v>
      </c>
      <c r="K3009" s="1192" t="s">
        <v>2823</v>
      </c>
      <c r="L3009" s="1192" t="s">
        <v>430</v>
      </c>
      <c r="P3009" s="1192" t="s">
        <v>2825</v>
      </c>
      <c r="V3009" s="1192">
        <v>28</v>
      </c>
    </row>
    <row r="3010" spans="1:22" s="1192" customFormat="1" ht="14.4" x14ac:dyDescent="0.3">
      <c r="A3010" s="1192" t="s">
        <v>207</v>
      </c>
      <c r="B3010" s="1192" t="s">
        <v>3082</v>
      </c>
      <c r="E3010" s="2044" t="s">
        <v>14</v>
      </c>
      <c r="F3010" s="2044"/>
      <c r="G3010" s="1262" t="s">
        <v>29</v>
      </c>
      <c r="H3010" s="932">
        <v>0.2407</v>
      </c>
      <c r="K3010" s="1192" t="s">
        <v>2823</v>
      </c>
      <c r="L3010" s="1192" t="s">
        <v>431</v>
      </c>
      <c r="P3010" s="1192" t="s">
        <v>2826</v>
      </c>
      <c r="V3010" s="1192">
        <v>24</v>
      </c>
    </row>
    <row r="3011" spans="1:22" s="1192" customFormat="1" ht="14.4" x14ac:dyDescent="0.3">
      <c r="A3011" s="1192" t="s">
        <v>207</v>
      </c>
      <c r="B3011" s="1192" t="s">
        <v>3082</v>
      </c>
      <c r="E3011" s="2044" t="s">
        <v>4191</v>
      </c>
      <c r="F3011" s="2044"/>
      <c r="G3011" s="1262" t="s">
        <v>29</v>
      </c>
      <c r="H3011" s="932">
        <v>0.2079</v>
      </c>
      <c r="K3011" s="1192" t="s">
        <v>2823</v>
      </c>
      <c r="L3011" s="1192" t="s">
        <v>430</v>
      </c>
      <c r="P3011" s="1192" t="s">
        <v>3256</v>
      </c>
      <c r="V3011" s="1192">
        <v>128</v>
      </c>
    </row>
    <row r="3012" spans="1:22" s="1192" customFormat="1" ht="14.4" x14ac:dyDescent="0.3">
      <c r="A3012" s="1192" t="s">
        <v>207</v>
      </c>
      <c r="B3012" s="1192" t="s">
        <v>3082</v>
      </c>
      <c r="E3012" s="2044" t="s">
        <v>213</v>
      </c>
      <c r="F3012" s="2044"/>
      <c r="G3012" s="1262" t="s">
        <v>29</v>
      </c>
      <c r="H3012" s="837">
        <v>1.9942</v>
      </c>
      <c r="K3012" s="1192" t="s">
        <v>2823</v>
      </c>
      <c r="L3012" s="1192" t="s">
        <v>432</v>
      </c>
      <c r="P3012" s="1192" t="s">
        <v>2827</v>
      </c>
      <c r="V3012" s="1192">
        <v>47</v>
      </c>
    </row>
    <row r="3013" spans="1:22" s="1192" customFormat="1" ht="14.4" x14ac:dyDescent="0.3">
      <c r="A3013" s="1192" t="s">
        <v>207</v>
      </c>
      <c r="B3013" s="1192" t="s">
        <v>3082</v>
      </c>
      <c r="E3013" s="2044" t="s">
        <v>209</v>
      </c>
      <c r="F3013" s="2044"/>
      <c r="G3013" s="1262" t="s">
        <v>29</v>
      </c>
      <c r="H3013" s="837">
        <v>1.0729</v>
      </c>
      <c r="K3013" s="1192" t="s">
        <v>2823</v>
      </c>
      <c r="L3013" s="1192" t="s">
        <v>432</v>
      </c>
      <c r="P3013" s="1192" t="s">
        <v>2828</v>
      </c>
      <c r="V3013" s="1192">
        <v>74</v>
      </c>
    </row>
    <row r="3014" spans="1:22" s="1192" customFormat="1" ht="14.4" x14ac:dyDescent="0.3">
      <c r="A3014" s="1192" t="s">
        <v>207</v>
      </c>
      <c r="B3014" s="1192" t="s">
        <v>3082</v>
      </c>
      <c r="E3014" s="1750" t="s">
        <v>2405</v>
      </c>
      <c r="F3014" s="1741"/>
      <c r="G3014" s="1255"/>
      <c r="H3014" s="931"/>
      <c r="K3014" s="1192" t="s">
        <v>2427</v>
      </c>
      <c r="V3014" s="1192">
        <v>48</v>
      </c>
    </row>
    <row r="3015" spans="1:22" s="1192" customFormat="1" ht="14.4" x14ac:dyDescent="0.3">
      <c r="A3015" s="1192" t="s">
        <v>207</v>
      </c>
      <c r="B3015" s="1192" t="s">
        <v>3082</v>
      </c>
      <c r="E3015" s="2044" t="s">
        <v>2033</v>
      </c>
      <c r="F3015" s="2044"/>
      <c r="G3015" s="1262" t="s">
        <v>20</v>
      </c>
      <c r="H3015" s="1219">
        <v>3.0000000000000001E-3</v>
      </c>
      <c r="K3015" s="1192" t="s">
        <v>2823</v>
      </c>
      <c r="L3015" s="1192" t="s">
        <v>2374</v>
      </c>
      <c r="P3015" s="1192" t="s">
        <v>2829</v>
      </c>
      <c r="V3015" s="1192">
        <v>55</v>
      </c>
    </row>
    <row r="3016" spans="1:22" s="1192" customFormat="1" ht="14.4" x14ac:dyDescent="0.3">
      <c r="A3016" s="1192" t="s">
        <v>207</v>
      </c>
      <c r="B3016" s="1192" t="s">
        <v>3082</v>
      </c>
      <c r="E3016" s="2044" t="s">
        <v>2034</v>
      </c>
      <c r="F3016" s="2044"/>
      <c r="G3016" s="1262" t="s">
        <v>20</v>
      </c>
      <c r="H3016" s="932">
        <v>4.0000000000000002E-4</v>
      </c>
      <c r="K3016" s="1192" t="s">
        <v>2823</v>
      </c>
      <c r="L3016" s="1192" t="s">
        <v>2374</v>
      </c>
      <c r="P3016" s="1192" t="s">
        <v>2829</v>
      </c>
      <c r="V3016" s="1192">
        <v>65</v>
      </c>
    </row>
    <row r="3017" spans="1:22" s="1192" customFormat="1" ht="14.4" x14ac:dyDescent="0.3">
      <c r="A3017" s="1192" t="s">
        <v>207</v>
      </c>
      <c r="B3017" s="1192" t="s">
        <v>3082</v>
      </c>
      <c r="E3017" s="2044" t="s">
        <v>428</v>
      </c>
      <c r="F3017" s="2044"/>
      <c r="G3017" s="1262" t="s">
        <v>20</v>
      </c>
      <c r="H3017" s="932">
        <v>5.0000000000000001E-4</v>
      </c>
      <c r="K3017" s="1192" t="s">
        <v>2823</v>
      </c>
      <c r="L3017" s="1192" t="s">
        <v>2374</v>
      </c>
      <c r="P3017" s="1192" t="s">
        <v>2830</v>
      </c>
      <c r="V3017" s="1192">
        <v>57</v>
      </c>
    </row>
    <row r="3018" spans="1:22" s="1192" customFormat="1" ht="14.4" x14ac:dyDescent="0.3">
      <c r="A3018" s="1192" t="s">
        <v>207</v>
      </c>
      <c r="B3018" s="1192" t="s">
        <v>3082</v>
      </c>
      <c r="E3018" s="2044" t="s">
        <v>28</v>
      </c>
      <c r="F3018" s="2044"/>
      <c r="G3018" s="1262" t="s">
        <v>19</v>
      </c>
      <c r="H3018" s="932">
        <v>0.25</v>
      </c>
      <c r="K3018" s="1192" t="s">
        <v>2823</v>
      </c>
      <c r="L3018" s="1192" t="s">
        <v>2374</v>
      </c>
      <c r="P3018" s="1192" t="s">
        <v>2831</v>
      </c>
      <c r="V3018" s="1192">
        <v>63</v>
      </c>
    </row>
    <row r="3019" spans="1:22" s="1192" customFormat="1" ht="17.399999999999999" x14ac:dyDescent="0.3">
      <c r="A3019" s="1192" t="s">
        <v>207</v>
      </c>
      <c r="B3019" s="1192" t="s">
        <v>3082</v>
      </c>
      <c r="E3019" s="2045" t="s">
        <v>590</v>
      </c>
      <c r="F3019" s="2045"/>
      <c r="G3019" s="2045"/>
      <c r="H3019" s="2045"/>
      <c r="K3019" s="1192" t="s">
        <v>2428</v>
      </c>
      <c r="V3019" s="1192">
        <v>38</v>
      </c>
    </row>
    <row r="3020" spans="1:22" s="1192" customFormat="1" ht="14.4" x14ac:dyDescent="0.3">
      <c r="A3020" s="1192" t="s">
        <v>207</v>
      </c>
      <c r="B3020" s="1192" t="s">
        <v>3082</v>
      </c>
      <c r="E3020" s="1743" t="s">
        <v>3077</v>
      </c>
      <c r="F3020" s="1743"/>
      <c r="G3020" s="1743"/>
      <c r="H3020" s="1743"/>
      <c r="K3020" s="1192" t="s">
        <v>2428</v>
      </c>
      <c r="V3020" s="1192">
        <v>544</v>
      </c>
    </row>
    <row r="3021" spans="1:22" s="1192" customFormat="1" ht="14.4" x14ac:dyDescent="0.3">
      <c r="A3021" s="1192" t="s">
        <v>207</v>
      </c>
      <c r="B3021" s="1192" t="s">
        <v>3082</v>
      </c>
      <c r="E3021" s="1750" t="s">
        <v>2389</v>
      </c>
      <c r="F3021" s="1743"/>
      <c r="G3021" s="1743"/>
      <c r="H3021" s="1743"/>
      <c r="K3021" s="1192" t="s">
        <v>2430</v>
      </c>
      <c r="V3021" s="1192">
        <v>11</v>
      </c>
    </row>
    <row r="3022" spans="1:22" s="1192" customFormat="1" ht="14.4" x14ac:dyDescent="0.3">
      <c r="A3022" s="1192" t="s">
        <v>207</v>
      </c>
      <c r="B3022" s="1192" t="s">
        <v>3082</v>
      </c>
      <c r="E3022" s="1743" t="s">
        <v>2391</v>
      </c>
      <c r="F3022" s="1743"/>
      <c r="G3022" s="1743"/>
      <c r="H3022" s="1743"/>
      <c r="K3022" s="1192" t="s">
        <v>2428</v>
      </c>
      <c r="V3022" s="1192">
        <v>280</v>
      </c>
    </row>
    <row r="3023" spans="1:22" s="1192" customFormat="1" ht="14.4" x14ac:dyDescent="0.3">
      <c r="A3023" s="1192" t="s">
        <v>207</v>
      </c>
      <c r="B3023" s="1192" t="s">
        <v>3082</v>
      </c>
      <c r="E3023" s="1743" t="s">
        <v>2392</v>
      </c>
      <c r="F3023" s="1743"/>
      <c r="G3023" s="1743"/>
      <c r="H3023" s="1743"/>
      <c r="K3023" s="1192" t="s">
        <v>2428</v>
      </c>
      <c r="V3023" s="1192">
        <v>411</v>
      </c>
    </row>
    <row r="3024" spans="1:22" s="1192" customFormat="1" ht="14.4" x14ac:dyDescent="0.3">
      <c r="A3024" s="1192" t="s">
        <v>207</v>
      </c>
      <c r="B3024" s="1192" t="s">
        <v>3082</v>
      </c>
      <c r="E3024" s="1743" t="s">
        <v>2445</v>
      </c>
      <c r="F3024" s="1743"/>
      <c r="G3024" s="1743"/>
      <c r="H3024" s="1743"/>
      <c r="K3024" s="1192" t="s">
        <v>2428</v>
      </c>
      <c r="V3024" s="1192">
        <v>211</v>
      </c>
    </row>
    <row r="3025" spans="1:22" s="1192" customFormat="1" ht="14.4" x14ac:dyDescent="0.3">
      <c r="A3025" s="1192" t="s">
        <v>207</v>
      </c>
      <c r="B3025" s="1192" t="s">
        <v>3082</v>
      </c>
      <c r="E3025" s="1743" t="s">
        <v>2986</v>
      </c>
      <c r="F3025" s="1743"/>
      <c r="G3025" s="1743"/>
      <c r="H3025" s="1743"/>
      <c r="K3025" s="1192" t="s">
        <v>2428</v>
      </c>
      <c r="V3025" s="1192">
        <v>246</v>
      </c>
    </row>
    <row r="3026" spans="1:22" s="1192" customFormat="1" ht="14.4" x14ac:dyDescent="0.3">
      <c r="A3026" s="1192" t="s">
        <v>207</v>
      </c>
      <c r="B3026" s="1192" t="s">
        <v>3082</v>
      </c>
      <c r="E3026" s="1750" t="s">
        <v>2394</v>
      </c>
      <c r="F3026" s="1743"/>
      <c r="G3026" s="1743"/>
      <c r="H3026" s="1743"/>
      <c r="K3026" s="1192" t="s">
        <v>2431</v>
      </c>
      <c r="V3026" s="1192">
        <v>46</v>
      </c>
    </row>
    <row r="3027" spans="1:22" s="1192" customFormat="1" ht="14.4" x14ac:dyDescent="0.3">
      <c r="A3027" s="1192" t="s">
        <v>207</v>
      </c>
      <c r="B3027" s="1192" t="s">
        <v>3082</v>
      </c>
      <c r="E3027" s="2044" t="s">
        <v>8</v>
      </c>
      <c r="F3027" s="2044"/>
      <c r="G3027" s="1262" t="s">
        <v>19</v>
      </c>
      <c r="H3027" s="509">
        <v>2</v>
      </c>
      <c r="K3027" s="1192" t="s">
        <v>2428</v>
      </c>
      <c r="L3027" s="1192" t="s">
        <v>430</v>
      </c>
      <c r="P3027" s="1192" t="s">
        <v>2432</v>
      </c>
      <c r="V3027" s="1192">
        <v>31</v>
      </c>
    </row>
    <row r="3028" spans="1:22" s="1192" customFormat="1" ht="14.4" x14ac:dyDescent="0.3">
      <c r="A3028" s="1192" t="s">
        <v>207</v>
      </c>
      <c r="B3028" s="1192" t="s">
        <v>3082</v>
      </c>
      <c r="E3028" s="2044" t="s">
        <v>80</v>
      </c>
      <c r="F3028" s="2044"/>
      <c r="G3028" s="1262" t="s">
        <v>29</v>
      </c>
      <c r="H3028" s="837">
        <v>7.5419999999999998</v>
      </c>
      <c r="K3028" s="1192" t="s">
        <v>2428</v>
      </c>
      <c r="L3028" s="1192" t="s">
        <v>430</v>
      </c>
      <c r="P3028" s="1192" t="s">
        <v>2433</v>
      </c>
      <c r="V3028" s="1192">
        <v>28</v>
      </c>
    </row>
    <row r="3029" spans="1:22" s="1192" customFormat="1" ht="14.4" x14ac:dyDescent="0.3">
      <c r="A3029" s="1192" t="s">
        <v>207</v>
      </c>
      <c r="B3029" s="1192" t="s">
        <v>3082</v>
      </c>
      <c r="E3029" s="2044" t="s">
        <v>14</v>
      </c>
      <c r="F3029" s="2044"/>
      <c r="G3029" s="1262" t="s">
        <v>29</v>
      </c>
      <c r="H3029" s="932">
        <v>0.23580000000000001</v>
      </c>
      <c r="K3029" s="1192" t="s">
        <v>2428</v>
      </c>
      <c r="L3029" s="1192" t="s">
        <v>431</v>
      </c>
      <c r="P3029" s="1192" t="s">
        <v>2764</v>
      </c>
      <c r="V3029" s="1192">
        <v>24</v>
      </c>
    </row>
    <row r="3030" spans="1:22" s="1192" customFormat="1" ht="14.4" x14ac:dyDescent="0.3">
      <c r="A3030" s="1192" t="s">
        <v>207</v>
      </c>
      <c r="B3030" s="1192" t="s">
        <v>3082</v>
      </c>
      <c r="E3030" s="2044" t="s">
        <v>4192</v>
      </c>
      <c r="F3030" s="2044"/>
      <c r="G3030" s="1262" t="s">
        <v>29</v>
      </c>
      <c r="H3030" s="932">
        <v>6.5500000000000003E-2</v>
      </c>
      <c r="K3030" s="1192" t="s">
        <v>2428</v>
      </c>
      <c r="L3030" s="1192" t="s">
        <v>430</v>
      </c>
      <c r="P3030" s="1192" t="s">
        <v>3259</v>
      </c>
      <c r="V3030" s="1192">
        <v>127</v>
      </c>
    </row>
    <row r="3031" spans="1:22" s="1192" customFormat="1" ht="14.4" x14ac:dyDescent="0.3">
      <c r="A3031" s="1192" t="s">
        <v>207</v>
      </c>
      <c r="B3031" s="1192" t="s">
        <v>3082</v>
      </c>
      <c r="E3031" s="2044" t="s">
        <v>213</v>
      </c>
      <c r="F3031" s="2044"/>
      <c r="G3031" s="1262" t="s">
        <v>29</v>
      </c>
      <c r="H3031" s="837">
        <v>1.9841</v>
      </c>
      <c r="K3031" s="1192" t="s">
        <v>2428</v>
      </c>
      <c r="L3031" s="1192" t="s">
        <v>432</v>
      </c>
      <c r="P3031" s="1192" t="s">
        <v>2436</v>
      </c>
      <c r="V3031" s="1192">
        <v>47</v>
      </c>
    </row>
    <row r="3032" spans="1:22" s="1192" customFormat="1" ht="14.4" x14ac:dyDescent="0.3">
      <c r="A3032" s="1192" t="s">
        <v>207</v>
      </c>
      <c r="B3032" s="1192" t="s">
        <v>3082</v>
      </c>
      <c r="E3032" s="2044" t="s">
        <v>209</v>
      </c>
      <c r="F3032" s="2044"/>
      <c r="G3032" s="1262" t="s">
        <v>29</v>
      </c>
      <c r="H3032" s="837">
        <v>1.0509999999999999</v>
      </c>
      <c r="K3032" s="1192" t="s">
        <v>2428</v>
      </c>
      <c r="L3032" s="1192" t="s">
        <v>432</v>
      </c>
      <c r="P3032" s="1192" t="s">
        <v>2437</v>
      </c>
      <c r="V3032" s="1192">
        <v>74</v>
      </c>
    </row>
    <row r="3033" spans="1:22" s="1192" customFormat="1" ht="14.4" x14ac:dyDescent="0.3">
      <c r="A3033" s="1192" t="s">
        <v>207</v>
      </c>
      <c r="B3033" s="1192" t="s">
        <v>3082</v>
      </c>
      <c r="E3033" s="1750" t="s">
        <v>2405</v>
      </c>
      <c r="F3033" s="1741"/>
      <c r="G3033" s="1255"/>
      <c r="H3033" s="931"/>
      <c r="K3033" s="1192" t="s">
        <v>2438</v>
      </c>
      <c r="V3033" s="1192">
        <v>48</v>
      </c>
    </row>
    <row r="3034" spans="1:22" s="1192" customFormat="1" ht="14.4" x14ac:dyDescent="0.3">
      <c r="A3034" s="1192" t="s">
        <v>207</v>
      </c>
      <c r="B3034" s="1192" t="s">
        <v>3082</v>
      </c>
      <c r="E3034" s="2044" t="s">
        <v>2033</v>
      </c>
      <c r="F3034" s="2044"/>
      <c r="G3034" s="1262" t="s">
        <v>20</v>
      </c>
      <c r="H3034" s="1219">
        <v>3.0000000000000001E-3</v>
      </c>
      <c r="K3034" s="1192" t="s">
        <v>2428</v>
      </c>
      <c r="L3034" s="1192" t="s">
        <v>2374</v>
      </c>
      <c r="P3034" s="1192" t="s">
        <v>2439</v>
      </c>
      <c r="V3034" s="1192">
        <v>55</v>
      </c>
    </row>
    <row r="3035" spans="1:22" s="1192" customFormat="1" ht="14.4" x14ac:dyDescent="0.3">
      <c r="A3035" s="1192" t="s">
        <v>207</v>
      </c>
      <c r="B3035" s="1192" t="s">
        <v>3082</v>
      </c>
      <c r="E3035" s="2044" t="s">
        <v>2034</v>
      </c>
      <c r="F3035" s="2044"/>
      <c r="G3035" s="1262" t="s">
        <v>20</v>
      </c>
      <c r="H3035" s="932">
        <v>4.0000000000000002E-4</v>
      </c>
      <c r="K3035" s="1192" t="s">
        <v>2428</v>
      </c>
      <c r="L3035" s="1192" t="s">
        <v>2374</v>
      </c>
      <c r="P3035" s="1192" t="s">
        <v>2439</v>
      </c>
      <c r="V3035" s="1192">
        <v>65</v>
      </c>
    </row>
    <row r="3036" spans="1:22" s="1192" customFormat="1" ht="14.4" x14ac:dyDescent="0.3">
      <c r="A3036" s="1192" t="s">
        <v>207</v>
      </c>
      <c r="B3036" s="1192" t="s">
        <v>3082</v>
      </c>
      <c r="E3036" s="2044" t="s">
        <v>428</v>
      </c>
      <c r="F3036" s="2044"/>
      <c r="G3036" s="1262" t="s">
        <v>20</v>
      </c>
      <c r="H3036" s="932">
        <v>5.0000000000000001E-4</v>
      </c>
      <c r="K3036" s="1192" t="s">
        <v>2428</v>
      </c>
      <c r="L3036" s="1192" t="s">
        <v>2374</v>
      </c>
      <c r="P3036" s="1192" t="s">
        <v>2440</v>
      </c>
      <c r="V3036" s="1192">
        <v>57</v>
      </c>
    </row>
    <row r="3037" spans="1:22" s="1192" customFormat="1" ht="14.4" x14ac:dyDescent="0.3">
      <c r="A3037" s="1192" t="s">
        <v>207</v>
      </c>
      <c r="B3037" s="1192" t="s">
        <v>3082</v>
      </c>
      <c r="E3037" s="2044" t="s">
        <v>28</v>
      </c>
      <c r="F3037" s="2044"/>
      <c r="G3037" s="1262" t="s">
        <v>19</v>
      </c>
      <c r="H3037" s="932">
        <v>0.25</v>
      </c>
      <c r="K3037" s="1192" t="s">
        <v>2428</v>
      </c>
      <c r="L3037" s="1192" t="s">
        <v>2374</v>
      </c>
      <c r="P3037" s="1192" t="s">
        <v>2441</v>
      </c>
      <c r="V3037" s="1192">
        <v>63</v>
      </c>
    </row>
    <row r="3038" spans="1:22" s="1192" customFormat="1" ht="17.399999999999999" x14ac:dyDescent="0.3">
      <c r="A3038" s="1192" t="s">
        <v>207</v>
      </c>
      <c r="B3038" s="1192" t="s">
        <v>3082</v>
      </c>
      <c r="E3038" s="1746" t="s">
        <v>597</v>
      </c>
      <c r="F3038" s="1747"/>
      <c r="G3038" s="1747"/>
      <c r="H3038" s="1747"/>
      <c r="K3038" s="1192" t="s">
        <v>2991</v>
      </c>
      <c r="V3038" s="1192">
        <v>43</v>
      </c>
    </row>
    <row r="3039" spans="1:22" s="1192" customFormat="1" ht="14.4" x14ac:dyDescent="0.3">
      <c r="A3039" s="1192" t="s">
        <v>207</v>
      </c>
      <c r="B3039" s="1192" t="s">
        <v>3082</v>
      </c>
      <c r="E3039" s="1743" t="s">
        <v>4193</v>
      </c>
      <c r="F3039" s="1743"/>
      <c r="G3039" s="1743"/>
      <c r="H3039" s="1743"/>
      <c r="K3039" s="1192" t="s">
        <v>2991</v>
      </c>
      <c r="V3039" s="1192">
        <v>341</v>
      </c>
    </row>
    <row r="3040" spans="1:22" s="1192" customFormat="1" ht="14.4" x14ac:dyDescent="0.3">
      <c r="A3040" s="1192" t="s">
        <v>207</v>
      </c>
      <c r="B3040" s="1192" t="s">
        <v>3082</v>
      </c>
      <c r="E3040" s="1750" t="s">
        <v>2389</v>
      </c>
      <c r="F3040" s="1743"/>
      <c r="G3040" s="1743"/>
      <c r="H3040" s="1743"/>
      <c r="K3040" s="1192" t="s">
        <v>2444</v>
      </c>
      <c r="V3040" s="1192">
        <v>11</v>
      </c>
    </row>
    <row r="3041" spans="1:22" s="1192" customFormat="1" ht="14.4" x14ac:dyDescent="0.3">
      <c r="A3041" s="1192" t="s">
        <v>207</v>
      </c>
      <c r="B3041" s="1192" t="s">
        <v>3082</v>
      </c>
      <c r="E3041" s="1743" t="s">
        <v>2391</v>
      </c>
      <c r="F3041" s="1743"/>
      <c r="G3041" s="1743"/>
      <c r="H3041" s="1743"/>
      <c r="K3041" s="1192" t="s">
        <v>2991</v>
      </c>
      <c r="V3041" s="1192">
        <v>280</v>
      </c>
    </row>
    <row r="3042" spans="1:22" s="1192" customFormat="1" ht="14.4" x14ac:dyDescent="0.3">
      <c r="A3042" s="1192" t="s">
        <v>207</v>
      </c>
      <c r="B3042" s="1192" t="s">
        <v>3082</v>
      </c>
      <c r="E3042" s="1743" t="s">
        <v>2392</v>
      </c>
      <c r="F3042" s="1743"/>
      <c r="G3042" s="1743"/>
      <c r="H3042" s="1743"/>
      <c r="K3042" s="1192" t="s">
        <v>2991</v>
      </c>
      <c r="V3042" s="1192">
        <v>411</v>
      </c>
    </row>
    <row r="3043" spans="1:22" s="1192" customFormat="1" ht="14.4" x14ac:dyDescent="0.3">
      <c r="A3043" s="1192" t="s">
        <v>207</v>
      </c>
      <c r="B3043" s="1192" t="s">
        <v>3082</v>
      </c>
      <c r="E3043" s="1743" t="s">
        <v>2445</v>
      </c>
      <c r="F3043" s="1743"/>
      <c r="G3043" s="1743"/>
      <c r="H3043" s="1743"/>
      <c r="K3043" s="1192" t="s">
        <v>2991</v>
      </c>
      <c r="V3043" s="1192">
        <v>211</v>
      </c>
    </row>
    <row r="3044" spans="1:22" s="1192" customFormat="1" ht="14.4" x14ac:dyDescent="0.3">
      <c r="A3044" s="1192" t="s">
        <v>207</v>
      </c>
      <c r="B3044" s="1192" t="s">
        <v>3082</v>
      </c>
      <c r="E3044" s="1743" t="s">
        <v>2986</v>
      </c>
      <c r="F3044" s="1743"/>
      <c r="G3044" s="1743"/>
      <c r="H3044" s="1743"/>
      <c r="K3044" s="1192" t="s">
        <v>2991</v>
      </c>
      <c r="V3044" s="1192">
        <v>246</v>
      </c>
    </row>
    <row r="3045" spans="1:22" s="1192" customFormat="1" ht="14.4" x14ac:dyDescent="0.3">
      <c r="A3045" s="1192" t="s">
        <v>207</v>
      </c>
      <c r="B3045" s="1192" t="s">
        <v>3082</v>
      </c>
      <c r="E3045" s="1750" t="s">
        <v>2394</v>
      </c>
      <c r="F3045" s="1743"/>
      <c r="G3045" s="1743"/>
      <c r="H3045" s="1743"/>
      <c r="K3045" s="1192" t="s">
        <v>2446</v>
      </c>
      <c r="V3045" s="1192">
        <v>46</v>
      </c>
    </row>
    <row r="3046" spans="1:22" s="1192" customFormat="1" ht="14.4" x14ac:dyDescent="0.3">
      <c r="A3046" s="1192" t="s">
        <v>207</v>
      </c>
      <c r="B3046" s="1192" t="s">
        <v>3082</v>
      </c>
      <c r="E3046" s="2044" t="s">
        <v>8</v>
      </c>
      <c r="F3046" s="2044"/>
      <c r="G3046" s="1262" t="s">
        <v>19</v>
      </c>
      <c r="H3046" s="837">
        <v>626.41999999999996</v>
      </c>
      <c r="K3046" s="1192" t="s">
        <v>2991</v>
      </c>
      <c r="L3046" s="1192" t="s">
        <v>430</v>
      </c>
      <c r="P3046" s="1192" t="s">
        <v>2993</v>
      </c>
      <c r="V3046" s="1192">
        <v>31</v>
      </c>
    </row>
    <row r="3047" spans="1:22" s="1192" customFormat="1" ht="14.4" x14ac:dyDescent="0.3">
      <c r="A3047" s="1192" t="s">
        <v>207</v>
      </c>
      <c r="B3047" s="1192" t="s">
        <v>3082</v>
      </c>
      <c r="E3047" s="1750" t="s">
        <v>2405</v>
      </c>
      <c r="F3047" s="1741"/>
      <c r="G3047" s="1255"/>
      <c r="H3047" s="931"/>
      <c r="K3047" s="1192" t="s">
        <v>2565</v>
      </c>
      <c r="V3047" s="1192">
        <v>48</v>
      </c>
    </row>
    <row r="3048" spans="1:22" s="1192" customFormat="1" ht="14.4" x14ac:dyDescent="0.3">
      <c r="A3048" s="1192" t="s">
        <v>207</v>
      </c>
      <c r="B3048" s="1192" t="s">
        <v>3082</v>
      </c>
      <c r="E3048" s="2044" t="s">
        <v>2033</v>
      </c>
      <c r="F3048" s="2044"/>
      <c r="G3048" s="1262" t="s">
        <v>20</v>
      </c>
      <c r="H3048" s="932">
        <v>3.0000000000000001E-3</v>
      </c>
      <c r="K3048" s="1192" t="s">
        <v>2991</v>
      </c>
      <c r="L3048" s="1192" t="s">
        <v>2374</v>
      </c>
      <c r="P3048" s="1192" t="s">
        <v>4067</v>
      </c>
      <c r="V3048" s="1192">
        <v>55</v>
      </c>
    </row>
    <row r="3049" spans="1:22" s="1192" customFormat="1" ht="14.4" x14ac:dyDescent="0.3">
      <c r="A3049" s="1192" t="s">
        <v>207</v>
      </c>
      <c r="B3049" s="1192" t="s">
        <v>3082</v>
      </c>
      <c r="E3049" s="2044" t="s">
        <v>2034</v>
      </c>
      <c r="F3049" s="2044"/>
      <c r="G3049" s="1262" t="s">
        <v>20</v>
      </c>
      <c r="H3049" s="932">
        <v>4.0000000000000002E-4</v>
      </c>
      <c r="K3049" s="1192" t="s">
        <v>2991</v>
      </c>
      <c r="L3049" s="1192" t="s">
        <v>2374</v>
      </c>
      <c r="P3049" s="1192" t="s">
        <v>4067</v>
      </c>
      <c r="V3049" s="1192">
        <v>65</v>
      </c>
    </row>
    <row r="3050" spans="1:22" s="1192" customFormat="1" ht="14.4" x14ac:dyDescent="0.3">
      <c r="A3050" s="1192" t="s">
        <v>207</v>
      </c>
      <c r="B3050" s="1192" t="s">
        <v>3082</v>
      </c>
      <c r="E3050" s="2044" t="s">
        <v>428</v>
      </c>
      <c r="F3050" s="2044"/>
      <c r="G3050" s="1262" t="s">
        <v>20</v>
      </c>
      <c r="H3050" s="932">
        <v>5.0000000000000001E-4</v>
      </c>
      <c r="K3050" s="1192" t="s">
        <v>2991</v>
      </c>
      <c r="L3050" s="1192" t="s">
        <v>2374</v>
      </c>
      <c r="P3050" s="1192" t="s">
        <v>4068</v>
      </c>
      <c r="V3050" s="1192">
        <v>57</v>
      </c>
    </row>
    <row r="3051" spans="1:22" s="1192" customFormat="1" ht="14.4" x14ac:dyDescent="0.3">
      <c r="A3051" s="1192" t="s">
        <v>207</v>
      </c>
      <c r="B3051" s="1192" t="s">
        <v>3082</v>
      </c>
      <c r="E3051" s="2044" t="s">
        <v>28</v>
      </c>
      <c r="F3051" s="2044"/>
      <c r="G3051" s="1262" t="s">
        <v>19</v>
      </c>
      <c r="H3051" s="932">
        <v>0.25</v>
      </c>
      <c r="K3051" s="1192" t="s">
        <v>2991</v>
      </c>
      <c r="L3051" s="1192" t="s">
        <v>2374</v>
      </c>
      <c r="P3051" s="1192" t="s">
        <v>4069</v>
      </c>
      <c r="V3051" s="1192">
        <v>63</v>
      </c>
    </row>
    <row r="3052" spans="1:22" s="1192" customFormat="1" ht="17.399999999999999" x14ac:dyDescent="0.3">
      <c r="A3052" s="1192" t="s">
        <v>207</v>
      </c>
      <c r="B3052" s="1192" t="s">
        <v>3082</v>
      </c>
      <c r="E3052" s="1746" t="s">
        <v>593</v>
      </c>
      <c r="F3052" s="1747"/>
      <c r="G3052" s="1747"/>
      <c r="H3052" s="1747"/>
      <c r="K3052" s="1192" t="s">
        <v>2756</v>
      </c>
      <c r="V3052" s="1192">
        <v>31</v>
      </c>
    </row>
    <row r="3053" spans="1:22" s="1192" customFormat="1" ht="14.4" x14ac:dyDescent="0.3">
      <c r="A3053" s="1192" t="s">
        <v>207</v>
      </c>
      <c r="B3053" s="1192" t="s">
        <v>3082</v>
      </c>
      <c r="E3053" s="1743" t="s">
        <v>2443</v>
      </c>
      <c r="F3053" s="1743"/>
      <c r="G3053" s="1743"/>
      <c r="H3053" s="1743"/>
      <c r="K3053" s="1192" t="s">
        <v>2756</v>
      </c>
      <c r="V3053" s="1192">
        <v>286</v>
      </c>
    </row>
    <row r="3054" spans="1:22" s="1192" customFormat="1" ht="14.4" x14ac:dyDescent="0.3">
      <c r="A3054" s="1192" t="s">
        <v>207</v>
      </c>
      <c r="B3054" s="1192" t="s">
        <v>3082</v>
      </c>
      <c r="E3054" s="1750" t="s">
        <v>2389</v>
      </c>
      <c r="F3054" s="1743"/>
      <c r="G3054" s="1743"/>
      <c r="H3054" s="1743"/>
      <c r="K3054" s="1192" t="s">
        <v>2571</v>
      </c>
      <c r="V3054" s="1192">
        <v>11</v>
      </c>
    </row>
    <row r="3055" spans="1:22" s="1192" customFormat="1" ht="14.4" x14ac:dyDescent="0.3">
      <c r="A3055" s="1192" t="s">
        <v>207</v>
      </c>
      <c r="B3055" s="1192" t="s">
        <v>3082</v>
      </c>
      <c r="E3055" s="1743" t="s">
        <v>2391</v>
      </c>
      <c r="F3055" s="1743"/>
      <c r="G3055" s="1743"/>
      <c r="H3055" s="1743"/>
      <c r="K3055" s="1192" t="s">
        <v>2756</v>
      </c>
      <c r="V3055" s="1192">
        <v>280</v>
      </c>
    </row>
    <row r="3056" spans="1:22" s="1192" customFormat="1" ht="14.4" x14ac:dyDescent="0.3">
      <c r="A3056" s="1192" t="s">
        <v>207</v>
      </c>
      <c r="B3056" s="1192" t="s">
        <v>3082</v>
      </c>
      <c r="E3056" s="1743" t="s">
        <v>2392</v>
      </c>
      <c r="F3056" s="1743"/>
      <c r="G3056" s="1743"/>
      <c r="H3056" s="1743"/>
      <c r="K3056" s="1192" t="s">
        <v>2756</v>
      </c>
      <c r="V3056" s="1192">
        <v>411</v>
      </c>
    </row>
    <row r="3057" spans="1:22" s="1192" customFormat="1" ht="14.4" x14ac:dyDescent="0.3">
      <c r="A3057" s="1192" t="s">
        <v>207</v>
      </c>
      <c r="B3057" s="1192" t="s">
        <v>3082</v>
      </c>
      <c r="E3057" s="1743" t="s">
        <v>2445</v>
      </c>
      <c r="F3057" s="1743"/>
      <c r="G3057" s="1743"/>
      <c r="H3057" s="1743"/>
      <c r="K3057" s="1192" t="s">
        <v>2756</v>
      </c>
      <c r="V3057" s="1192">
        <v>211</v>
      </c>
    </row>
    <row r="3058" spans="1:22" s="1192" customFormat="1" ht="14.4" x14ac:dyDescent="0.3">
      <c r="A3058" s="1192" t="s">
        <v>207</v>
      </c>
      <c r="B3058" s="1192" t="s">
        <v>3082</v>
      </c>
      <c r="E3058" s="1743" t="s">
        <v>2986</v>
      </c>
      <c r="F3058" s="1743"/>
      <c r="G3058" s="1743"/>
      <c r="H3058" s="1743"/>
      <c r="K3058" s="1192" t="s">
        <v>2756</v>
      </c>
      <c r="V3058" s="1192">
        <v>246</v>
      </c>
    </row>
    <row r="3059" spans="1:22" s="1192" customFormat="1" ht="14.4" x14ac:dyDescent="0.3">
      <c r="A3059" s="1192" t="s">
        <v>207</v>
      </c>
      <c r="B3059" s="1192" t="s">
        <v>3082</v>
      </c>
      <c r="E3059" s="1750" t="s">
        <v>2849</v>
      </c>
      <c r="F3059" s="1743"/>
      <c r="G3059" s="1743"/>
      <c r="H3059" s="1743"/>
      <c r="K3059" s="1192" t="s">
        <v>2572</v>
      </c>
      <c r="V3059" s="1192">
        <v>47</v>
      </c>
    </row>
    <row r="3060" spans="1:22" s="1192" customFormat="1" ht="14.4" x14ac:dyDescent="0.3">
      <c r="A3060" s="1192" t="s">
        <v>207</v>
      </c>
      <c r="B3060" s="1192" t="s">
        <v>3082</v>
      </c>
      <c r="E3060" s="2044" t="s">
        <v>7</v>
      </c>
      <c r="F3060" s="2044"/>
      <c r="G3060" s="1262" t="s">
        <v>19</v>
      </c>
      <c r="H3060" s="509">
        <v>5.4</v>
      </c>
      <c r="K3060" s="1192" t="s">
        <v>2756</v>
      </c>
      <c r="L3060" s="1192" t="s">
        <v>430</v>
      </c>
      <c r="P3060" s="1192" t="s">
        <v>2757</v>
      </c>
      <c r="V3060" s="1192">
        <v>14</v>
      </c>
    </row>
    <row r="3061" spans="1:22" s="1192" customFormat="1" x14ac:dyDescent="0.35">
      <c r="A3061" s="1192" t="s">
        <v>207</v>
      </c>
      <c r="B3061" s="1192" t="s">
        <v>3082</v>
      </c>
      <c r="E3061" s="1260" t="s">
        <v>81</v>
      </c>
      <c r="F3061" s="811"/>
      <c r="G3061" s="811"/>
      <c r="H3061" s="938"/>
      <c r="K3061" s="1192" t="s">
        <v>3100</v>
      </c>
      <c r="V3061" s="1192">
        <v>10</v>
      </c>
    </row>
    <row r="3062" spans="1:22" s="1192" customFormat="1" ht="14.4" x14ac:dyDescent="0.3">
      <c r="A3062" s="1192" t="s">
        <v>207</v>
      </c>
      <c r="B3062" s="1192" t="s">
        <v>3082</v>
      </c>
      <c r="E3062" s="1741" t="s">
        <v>2449</v>
      </c>
      <c r="F3062" s="1741"/>
      <c r="G3062" s="1255" t="s">
        <v>29</v>
      </c>
      <c r="H3062" s="509">
        <v>-0.6</v>
      </c>
      <c r="V3062" s="1192">
        <v>68</v>
      </c>
    </row>
    <row r="3063" spans="1:22" s="1192" customFormat="1" ht="14.4" x14ac:dyDescent="0.3">
      <c r="A3063" s="1192" t="s">
        <v>207</v>
      </c>
      <c r="B3063" s="1192" t="s">
        <v>3082</v>
      </c>
      <c r="E3063" s="1741" t="s">
        <v>2450</v>
      </c>
      <c r="F3063" s="1741"/>
      <c r="G3063" s="1255" t="s">
        <v>82</v>
      </c>
      <c r="H3063" s="509">
        <v>-1</v>
      </c>
      <c r="V3063" s="1192">
        <v>87</v>
      </c>
    </row>
    <row r="3064" spans="1:22" s="1192" customFormat="1" ht="17.399999999999999" x14ac:dyDescent="0.3">
      <c r="A3064" s="1192" t="s">
        <v>207</v>
      </c>
      <c r="B3064" s="1192" t="s">
        <v>3082</v>
      </c>
      <c r="E3064" s="2045" t="s">
        <v>83</v>
      </c>
      <c r="F3064" s="2045"/>
      <c r="G3064" s="2045"/>
      <c r="H3064" s="2045"/>
      <c r="K3064" s="1192" t="s">
        <v>3101</v>
      </c>
      <c r="V3064" s="1192">
        <v>24</v>
      </c>
    </row>
    <row r="3065" spans="1:22" s="1192" customFormat="1" ht="14.4" x14ac:dyDescent="0.3">
      <c r="A3065" s="1192" t="s">
        <v>207</v>
      </c>
      <c r="B3065" s="1192" t="s">
        <v>3082</v>
      </c>
      <c r="E3065" s="2037" t="s">
        <v>2389</v>
      </c>
      <c r="F3065" s="1743"/>
      <c r="G3065" s="1743"/>
      <c r="H3065" s="1743"/>
      <c r="V3065" s="1192">
        <v>11</v>
      </c>
    </row>
    <row r="3066" spans="1:22" s="1192" customFormat="1" ht="14.4" x14ac:dyDescent="0.3">
      <c r="A3066" s="1192" t="s">
        <v>207</v>
      </c>
      <c r="B3066" s="1192" t="s">
        <v>3082</v>
      </c>
      <c r="E3066" s="1743" t="s">
        <v>2391</v>
      </c>
      <c r="F3066" s="1743"/>
      <c r="G3066" s="1743"/>
      <c r="H3066" s="1743"/>
      <c r="V3066" s="1192">
        <v>280</v>
      </c>
    </row>
    <row r="3067" spans="1:22" s="1192" customFormat="1" ht="14.4" x14ac:dyDescent="0.3">
      <c r="A3067" s="1192" t="s">
        <v>207</v>
      </c>
      <c r="B3067" s="1192" t="s">
        <v>3082</v>
      </c>
      <c r="E3067" s="1743" t="s">
        <v>2452</v>
      </c>
      <c r="F3067" s="1743"/>
      <c r="G3067" s="1743"/>
      <c r="H3067" s="1743"/>
      <c r="V3067" s="1192">
        <v>353</v>
      </c>
    </row>
    <row r="3068" spans="1:22" s="1192" customFormat="1" ht="14.4" x14ac:dyDescent="0.3">
      <c r="A3068" s="1192" t="s">
        <v>207</v>
      </c>
      <c r="B3068" s="1192" t="s">
        <v>3082</v>
      </c>
      <c r="E3068" s="1743" t="s">
        <v>2986</v>
      </c>
      <c r="F3068" s="1743"/>
      <c r="G3068" s="1743"/>
      <c r="H3068" s="1743"/>
      <c r="V3068" s="1192">
        <v>246</v>
      </c>
    </row>
    <row r="3069" spans="1:22" s="1192" customFormat="1" ht="14.4" x14ac:dyDescent="0.3">
      <c r="A3069" s="1192" t="s">
        <v>207</v>
      </c>
      <c r="B3069" s="1192" t="s">
        <v>3082</v>
      </c>
      <c r="E3069" s="1750" t="s">
        <v>2453</v>
      </c>
      <c r="F3069" s="1750"/>
      <c r="G3069" s="1750"/>
      <c r="H3069" s="1750"/>
      <c r="K3069" s="1192" t="s">
        <v>3102</v>
      </c>
      <c r="V3069" s="1192">
        <v>23</v>
      </c>
    </row>
    <row r="3070" spans="1:22" s="1192" customFormat="1" ht="14.4" x14ac:dyDescent="0.3">
      <c r="A3070" s="1192" t="s">
        <v>207</v>
      </c>
      <c r="B3070" s="1192" t="s">
        <v>3082</v>
      </c>
      <c r="E3070" s="1942" t="s">
        <v>2639</v>
      </c>
      <c r="F3070" s="1942"/>
      <c r="G3070" s="1255" t="s">
        <v>19</v>
      </c>
      <c r="H3070" s="509">
        <v>15</v>
      </c>
      <c r="V3070" s="1192">
        <v>19</v>
      </c>
    </row>
    <row r="3071" spans="1:22" s="1192" customFormat="1" ht="14.4" x14ac:dyDescent="0.3">
      <c r="A3071" s="1192" t="s">
        <v>207</v>
      </c>
      <c r="B3071" s="1192" t="s">
        <v>3082</v>
      </c>
      <c r="E3071" s="1942" t="s">
        <v>2456</v>
      </c>
      <c r="F3071" s="1942"/>
      <c r="G3071" s="1255" t="s">
        <v>19</v>
      </c>
      <c r="H3071" s="509">
        <v>15</v>
      </c>
      <c r="V3071" s="1192">
        <v>20</v>
      </c>
    </row>
    <row r="3072" spans="1:22" s="1192" customFormat="1" ht="14.4" x14ac:dyDescent="0.3">
      <c r="A3072" s="1192" t="s">
        <v>207</v>
      </c>
      <c r="B3072" s="1192" t="s">
        <v>3082</v>
      </c>
      <c r="E3072" s="1942" t="s">
        <v>3090</v>
      </c>
      <c r="F3072" s="1942"/>
      <c r="G3072" s="1255" t="s">
        <v>19</v>
      </c>
      <c r="H3072" s="509">
        <v>15</v>
      </c>
      <c r="V3072" s="1192">
        <v>26</v>
      </c>
    </row>
    <row r="3073" spans="1:22" s="1192" customFormat="1" ht="14.4" x14ac:dyDescent="0.3">
      <c r="A3073" s="1192" t="s">
        <v>207</v>
      </c>
      <c r="B3073" s="1192" t="s">
        <v>3082</v>
      </c>
      <c r="E3073" s="1942" t="s">
        <v>2458</v>
      </c>
      <c r="F3073" s="1942"/>
      <c r="G3073" s="1255" t="s">
        <v>19</v>
      </c>
      <c r="H3073" s="509">
        <v>15</v>
      </c>
      <c r="V3073" s="1192">
        <v>39</v>
      </c>
    </row>
    <row r="3074" spans="1:22" s="1192" customFormat="1" ht="14.4" x14ac:dyDescent="0.3">
      <c r="A3074" s="1192" t="s">
        <v>207</v>
      </c>
      <c r="B3074" s="1192" t="s">
        <v>3082</v>
      </c>
      <c r="E3074" s="1942" t="s">
        <v>2459</v>
      </c>
      <c r="F3074" s="1942"/>
      <c r="G3074" s="1255" t="s">
        <v>19</v>
      </c>
      <c r="H3074" s="509">
        <v>15</v>
      </c>
      <c r="V3074" s="1192">
        <v>37</v>
      </c>
    </row>
    <row r="3075" spans="1:22" s="1192" customFormat="1" ht="14.4" x14ac:dyDescent="0.3">
      <c r="A3075" s="1192" t="s">
        <v>207</v>
      </c>
      <c r="B3075" s="1192" t="s">
        <v>3082</v>
      </c>
      <c r="E3075" s="1942" t="s">
        <v>2460</v>
      </c>
      <c r="F3075" s="1942"/>
      <c r="G3075" s="1255" t="s">
        <v>19</v>
      </c>
      <c r="H3075" s="509">
        <v>15</v>
      </c>
      <c r="V3075" s="1192">
        <v>15</v>
      </c>
    </row>
    <row r="3076" spans="1:22" s="1192" customFormat="1" ht="14.4" x14ac:dyDescent="0.3">
      <c r="A3076" s="1192" t="s">
        <v>207</v>
      </c>
      <c r="B3076" s="1192" t="s">
        <v>3082</v>
      </c>
      <c r="E3076" s="1942" t="s">
        <v>2461</v>
      </c>
      <c r="F3076" s="1942"/>
      <c r="G3076" s="1255" t="s">
        <v>19</v>
      </c>
      <c r="H3076" s="509">
        <v>15</v>
      </c>
      <c r="V3076" s="1192">
        <v>17</v>
      </c>
    </row>
    <row r="3077" spans="1:22" s="1192" customFormat="1" ht="14.4" x14ac:dyDescent="0.3">
      <c r="A3077" s="1192" t="s">
        <v>207</v>
      </c>
      <c r="B3077" s="1192" t="s">
        <v>3082</v>
      </c>
      <c r="E3077" s="1942" t="s">
        <v>2462</v>
      </c>
      <c r="F3077" s="1942"/>
      <c r="G3077" s="1255" t="s">
        <v>19</v>
      </c>
      <c r="H3077" s="509">
        <v>15</v>
      </c>
      <c r="V3077" s="1192">
        <v>19</v>
      </c>
    </row>
    <row r="3078" spans="1:22" s="1192" customFormat="1" ht="14.4" x14ac:dyDescent="0.3">
      <c r="A3078" s="1192" t="s">
        <v>207</v>
      </c>
      <c r="B3078" s="1192" t="s">
        <v>3082</v>
      </c>
      <c r="E3078" s="1942" t="s">
        <v>2463</v>
      </c>
      <c r="F3078" s="1942"/>
      <c r="G3078" s="1255" t="s">
        <v>19</v>
      </c>
      <c r="H3078" s="509">
        <v>15</v>
      </c>
      <c r="V3078" s="1192">
        <v>15</v>
      </c>
    </row>
    <row r="3079" spans="1:22" s="1192" customFormat="1" ht="14.4" x14ac:dyDescent="0.3">
      <c r="A3079" s="1192" t="s">
        <v>207</v>
      </c>
      <c r="B3079" s="1192" t="s">
        <v>3082</v>
      </c>
      <c r="E3079" s="1942" t="s">
        <v>2464</v>
      </c>
      <c r="F3079" s="1942"/>
      <c r="G3079" s="1255" t="s">
        <v>19</v>
      </c>
      <c r="H3079" s="509">
        <v>15</v>
      </c>
      <c r="V3079" s="1192">
        <v>56</v>
      </c>
    </row>
    <row r="3080" spans="1:22" s="1192" customFormat="1" ht="14.4" x14ac:dyDescent="0.3">
      <c r="A3080" s="1192" t="s">
        <v>207</v>
      </c>
      <c r="B3080" s="1192" t="s">
        <v>3082</v>
      </c>
      <c r="E3080" s="1942" t="s">
        <v>2465</v>
      </c>
      <c r="F3080" s="1942"/>
      <c r="G3080" s="1255" t="s">
        <v>19</v>
      </c>
      <c r="H3080" s="509">
        <v>15</v>
      </c>
      <c r="V3080" s="1192">
        <v>35</v>
      </c>
    </row>
    <row r="3081" spans="1:22" s="1192" customFormat="1" ht="14.4" x14ac:dyDescent="0.3">
      <c r="A3081" s="1192" t="s">
        <v>207</v>
      </c>
      <c r="B3081" s="1192" t="s">
        <v>3082</v>
      </c>
      <c r="E3081" s="1942" t="s">
        <v>2466</v>
      </c>
      <c r="F3081" s="1942"/>
      <c r="G3081" s="1255" t="s">
        <v>19</v>
      </c>
      <c r="H3081" s="509">
        <v>15</v>
      </c>
      <c r="V3081" s="1192">
        <v>24</v>
      </c>
    </row>
    <row r="3082" spans="1:22" s="1192" customFormat="1" ht="14.4" x14ac:dyDescent="0.3">
      <c r="A3082" s="1192" t="s">
        <v>207</v>
      </c>
      <c r="B3082" s="1192" t="s">
        <v>3082</v>
      </c>
      <c r="E3082" s="1942" t="s">
        <v>2467</v>
      </c>
      <c r="F3082" s="1942"/>
      <c r="G3082" s="1255" t="s">
        <v>19</v>
      </c>
      <c r="H3082" s="509">
        <v>15</v>
      </c>
      <c r="V3082" s="1192">
        <v>19</v>
      </c>
    </row>
    <row r="3083" spans="1:22" s="1192" customFormat="1" ht="14.4" x14ac:dyDescent="0.3">
      <c r="A3083" s="1192" t="s">
        <v>207</v>
      </c>
      <c r="B3083" s="1192" t="s">
        <v>3082</v>
      </c>
      <c r="E3083" s="1942" t="s">
        <v>3091</v>
      </c>
      <c r="F3083" s="1942"/>
      <c r="G3083" s="1255" t="s">
        <v>19</v>
      </c>
      <c r="H3083" s="509">
        <v>30</v>
      </c>
      <c r="V3083" s="1192">
        <v>91</v>
      </c>
    </row>
    <row r="3084" spans="1:22" s="1192" customFormat="1" ht="14.4" x14ac:dyDescent="0.3">
      <c r="A3084" s="1192" t="s">
        <v>207</v>
      </c>
      <c r="B3084" s="1192" t="s">
        <v>3082</v>
      </c>
      <c r="E3084" s="1942" t="s">
        <v>90</v>
      </c>
      <c r="F3084" s="1942"/>
      <c r="G3084" s="1255" t="s">
        <v>19</v>
      </c>
      <c r="H3084" s="509">
        <v>30</v>
      </c>
      <c r="V3084" s="1192">
        <v>19</v>
      </c>
    </row>
    <row r="3085" spans="1:22" s="1192" customFormat="1" ht="14.4" x14ac:dyDescent="0.3">
      <c r="A3085" s="1192" t="s">
        <v>207</v>
      </c>
      <c r="B3085" s="1192" t="s">
        <v>3082</v>
      </c>
      <c r="E3085" s="1942" t="s">
        <v>88</v>
      </c>
      <c r="F3085" s="1942"/>
      <c r="G3085" s="1255" t="s">
        <v>19</v>
      </c>
      <c r="H3085" s="509">
        <v>30</v>
      </c>
      <c r="V3085" s="1192">
        <v>74</v>
      </c>
    </row>
    <row r="3086" spans="1:22" s="1192" customFormat="1" ht="14.4" x14ac:dyDescent="0.3">
      <c r="A3086" s="1192" t="s">
        <v>207</v>
      </c>
      <c r="B3086" s="1192" t="s">
        <v>3082</v>
      </c>
      <c r="E3086" s="1750" t="s">
        <v>2468</v>
      </c>
      <c r="F3086" s="1750"/>
      <c r="G3086" s="1750"/>
      <c r="H3086" s="1750"/>
      <c r="K3086" s="1192" t="s">
        <v>6223</v>
      </c>
      <c r="V3086" s="1192">
        <v>22</v>
      </c>
    </row>
    <row r="3087" spans="1:22" s="1192" customFormat="1" ht="14.4" x14ac:dyDescent="0.3">
      <c r="A3087" s="1192" t="s">
        <v>207</v>
      </c>
      <c r="B3087" s="1192" t="s">
        <v>3082</v>
      </c>
      <c r="E3087" s="1942" t="s">
        <v>5940</v>
      </c>
      <c r="F3087" s="1942"/>
      <c r="G3087" s="1255" t="s">
        <v>82</v>
      </c>
      <c r="H3087" s="509">
        <v>1.5</v>
      </c>
      <c r="V3087" s="1192">
        <v>99</v>
      </c>
    </row>
    <row r="3088" spans="1:22" s="1192" customFormat="1" ht="14.4" x14ac:dyDescent="0.3">
      <c r="A3088" s="1192" t="s">
        <v>207</v>
      </c>
      <c r="B3088" s="1192" t="s">
        <v>3082</v>
      </c>
      <c r="E3088" s="1942" t="s">
        <v>6106</v>
      </c>
      <c r="F3088" s="1942"/>
      <c r="G3088" s="1255" t="s">
        <v>19</v>
      </c>
      <c r="H3088" s="509">
        <v>65</v>
      </c>
      <c r="V3088" s="1192">
        <v>44</v>
      </c>
    </row>
    <row r="3089" spans="1:22" s="1192" customFormat="1" ht="14.4" x14ac:dyDescent="0.3">
      <c r="A3089" s="1192" t="s">
        <v>207</v>
      </c>
      <c r="B3089" s="1192" t="s">
        <v>3082</v>
      </c>
      <c r="E3089" s="1942" t="s">
        <v>6107</v>
      </c>
      <c r="F3089" s="1942"/>
      <c r="G3089" s="1255" t="s">
        <v>19</v>
      </c>
      <c r="H3089" s="509">
        <v>185</v>
      </c>
      <c r="V3089" s="1192">
        <v>43</v>
      </c>
    </row>
    <row r="3090" spans="1:22" s="1192" customFormat="1" ht="14.4" x14ac:dyDescent="0.3">
      <c r="A3090" s="1192" t="s">
        <v>207</v>
      </c>
      <c r="B3090" s="1192" t="s">
        <v>3082</v>
      </c>
      <c r="E3090" s="1942" t="s">
        <v>6108</v>
      </c>
      <c r="F3090" s="1942"/>
      <c r="G3090" s="1255" t="s">
        <v>19</v>
      </c>
      <c r="H3090" s="509">
        <v>185</v>
      </c>
      <c r="V3090" s="1192">
        <v>43</v>
      </c>
    </row>
    <row r="3091" spans="1:22" s="1192" customFormat="1" ht="14.4" x14ac:dyDescent="0.3">
      <c r="A3091" s="1192" t="s">
        <v>207</v>
      </c>
      <c r="B3091" s="1192" t="s">
        <v>3082</v>
      </c>
      <c r="E3091" s="1942" t="s">
        <v>6115</v>
      </c>
      <c r="F3091" s="1942"/>
      <c r="G3091" s="1255" t="s">
        <v>19</v>
      </c>
      <c r="H3091" s="509">
        <v>415</v>
      </c>
      <c r="V3091" s="1192">
        <v>42</v>
      </c>
    </row>
    <row r="3092" spans="1:22" s="1192" customFormat="1" ht="14.4" x14ac:dyDescent="0.3">
      <c r="A3092" s="1192" t="s">
        <v>207</v>
      </c>
      <c r="B3092" s="1192" t="s">
        <v>3082</v>
      </c>
      <c r="E3092" s="1750" t="s">
        <v>2474</v>
      </c>
      <c r="F3092" s="1750"/>
      <c r="G3092" s="1750"/>
      <c r="H3092" s="1750"/>
      <c r="V3092" s="1192">
        <v>5</v>
      </c>
    </row>
    <row r="3093" spans="1:22" s="1192" customFormat="1" ht="14.4" x14ac:dyDescent="0.3">
      <c r="A3093" s="1192" t="s">
        <v>207</v>
      </c>
      <c r="B3093" s="1192" t="s">
        <v>3082</v>
      </c>
      <c r="E3093" s="1942" t="s">
        <v>2477</v>
      </c>
      <c r="F3093" s="1942"/>
      <c r="G3093" s="1255" t="s">
        <v>19</v>
      </c>
      <c r="H3093" s="509">
        <v>30</v>
      </c>
      <c r="V3093" s="1192">
        <v>39</v>
      </c>
    </row>
    <row r="3094" spans="1:22" s="1192" customFormat="1" ht="14.4" x14ac:dyDescent="0.3">
      <c r="A3094" s="1192" t="s">
        <v>207</v>
      </c>
      <c r="B3094" s="1192" t="s">
        <v>3082</v>
      </c>
      <c r="E3094" s="1942" t="s">
        <v>2478</v>
      </c>
      <c r="F3094" s="1942"/>
      <c r="G3094" s="1255" t="s">
        <v>19</v>
      </c>
      <c r="H3094" s="509">
        <v>165</v>
      </c>
      <c r="V3094" s="1192">
        <v>34</v>
      </c>
    </row>
    <row r="3095" spans="1:22" s="1192" customFormat="1" ht="14.4" x14ac:dyDescent="0.3">
      <c r="A3095" s="1192" t="s">
        <v>207</v>
      </c>
      <c r="B3095" s="1192" t="s">
        <v>3082</v>
      </c>
      <c r="E3095" s="1942" t="s">
        <v>2768</v>
      </c>
      <c r="F3095" s="1942"/>
      <c r="G3095" s="1255" t="s">
        <v>19</v>
      </c>
      <c r="H3095" s="509">
        <v>44.5</v>
      </c>
      <c r="V3095" s="1192">
        <v>104</v>
      </c>
    </row>
    <row r="3096" spans="1:22" s="1192" customFormat="1" ht="17.399999999999999" x14ac:dyDescent="0.3">
      <c r="A3096" s="1192" t="s">
        <v>207</v>
      </c>
      <c r="B3096" s="1192" t="s">
        <v>3082</v>
      </c>
      <c r="E3096" s="2045" t="s">
        <v>73</v>
      </c>
      <c r="F3096" s="2045"/>
      <c r="G3096" s="2045"/>
      <c r="H3096" s="2045"/>
      <c r="K3096" s="1192" t="s">
        <v>3103</v>
      </c>
      <c r="V3096" s="1192">
        <v>38</v>
      </c>
    </row>
    <row r="3097" spans="1:22" s="1192" customFormat="1" ht="14.4" x14ac:dyDescent="0.3">
      <c r="A3097" s="1192" t="s">
        <v>207</v>
      </c>
      <c r="B3097" s="1192" t="s">
        <v>3082</v>
      </c>
      <c r="E3097" s="2037" t="s">
        <v>2389</v>
      </c>
      <c r="F3097" s="1743"/>
      <c r="G3097" s="1743"/>
      <c r="H3097" s="1743"/>
      <c r="K3097" s="1192" t="s">
        <v>2571</v>
      </c>
      <c r="V3097" s="1192">
        <v>11</v>
      </c>
    </row>
    <row r="3098" spans="1:22" s="1192" customFormat="1" ht="14.4" x14ac:dyDescent="0.3">
      <c r="A3098" s="1192" t="s">
        <v>207</v>
      </c>
      <c r="B3098" s="1192" t="s">
        <v>3082</v>
      </c>
      <c r="E3098" s="1743" t="s">
        <v>2391</v>
      </c>
      <c r="F3098" s="1743"/>
      <c r="G3098" s="1743"/>
      <c r="H3098" s="1743"/>
      <c r="V3098" s="1192">
        <v>280</v>
      </c>
    </row>
    <row r="3099" spans="1:22" s="1192" customFormat="1" ht="14.4" x14ac:dyDescent="0.3">
      <c r="A3099" s="1192" t="s">
        <v>207</v>
      </c>
      <c r="B3099" s="1192" t="s">
        <v>3082</v>
      </c>
      <c r="E3099" s="1743" t="s">
        <v>2392</v>
      </c>
      <c r="F3099" s="1743"/>
      <c r="G3099" s="1743"/>
      <c r="H3099" s="1743"/>
      <c r="V3099" s="1192">
        <v>411</v>
      </c>
    </row>
    <row r="3100" spans="1:22" s="1192" customFormat="1" ht="14.4" x14ac:dyDescent="0.3">
      <c r="A3100" s="1192" t="s">
        <v>207</v>
      </c>
      <c r="B3100" s="1192" t="s">
        <v>3082</v>
      </c>
      <c r="E3100" s="1743" t="s">
        <v>2445</v>
      </c>
      <c r="F3100" s="1743"/>
      <c r="G3100" s="1743"/>
      <c r="H3100" s="1743"/>
      <c r="V3100" s="1192">
        <v>211</v>
      </c>
    </row>
    <row r="3101" spans="1:22" s="1192" customFormat="1" ht="14.4" x14ac:dyDescent="0.3">
      <c r="A3101" s="1192" t="s">
        <v>207</v>
      </c>
      <c r="B3101" s="1192" t="s">
        <v>3082</v>
      </c>
      <c r="E3101" s="1743" t="s">
        <v>2986</v>
      </c>
      <c r="F3101" s="1743"/>
      <c r="G3101" s="1743"/>
      <c r="H3101" s="1743"/>
      <c r="V3101" s="1192">
        <v>246</v>
      </c>
    </row>
    <row r="3102" spans="1:22" s="1192" customFormat="1" ht="14.4" x14ac:dyDescent="0.3">
      <c r="A3102" s="1192" t="s">
        <v>207</v>
      </c>
      <c r="B3102" s="1192" t="s">
        <v>3082</v>
      </c>
      <c r="E3102" s="1741" t="s">
        <v>2595</v>
      </c>
      <c r="F3102" s="1741"/>
      <c r="G3102" s="1743"/>
      <c r="H3102" s="1743"/>
      <c r="V3102" s="1192">
        <v>142</v>
      </c>
    </row>
    <row r="3103" spans="1:22" s="1192" customFormat="1" ht="14.4" x14ac:dyDescent="0.3">
      <c r="A3103" s="1192" t="s">
        <v>207</v>
      </c>
      <c r="B3103" s="1192" t="s">
        <v>3082</v>
      </c>
      <c r="E3103" s="1741" t="s">
        <v>2485</v>
      </c>
      <c r="F3103" s="1741"/>
      <c r="G3103" s="1276" t="s">
        <v>19</v>
      </c>
      <c r="H3103" s="509">
        <v>102</v>
      </c>
      <c r="V3103" s="1192">
        <v>106</v>
      </c>
    </row>
    <row r="3104" spans="1:22" s="1192" customFormat="1" ht="14.4" x14ac:dyDescent="0.3">
      <c r="A3104" s="1192" t="s">
        <v>207</v>
      </c>
      <c r="B3104" s="1192" t="s">
        <v>3082</v>
      </c>
      <c r="E3104" s="1741" t="s">
        <v>3919</v>
      </c>
      <c r="F3104" s="1741"/>
      <c r="G3104" s="1276" t="s">
        <v>19</v>
      </c>
      <c r="H3104" s="509">
        <v>40.799999999999997</v>
      </c>
      <c r="V3104" s="1192">
        <v>34</v>
      </c>
    </row>
    <row r="3105" spans="1:22" s="1192" customFormat="1" ht="14.4" x14ac:dyDescent="0.3">
      <c r="A3105" s="1192" t="s">
        <v>207</v>
      </c>
      <c r="B3105" s="1192" t="s">
        <v>3082</v>
      </c>
      <c r="E3105" s="1741" t="s">
        <v>3920</v>
      </c>
      <c r="F3105" s="1741"/>
      <c r="G3105" s="1276" t="s">
        <v>2488</v>
      </c>
      <c r="H3105" s="509">
        <v>1.02</v>
      </c>
      <c r="V3105" s="1192">
        <v>51</v>
      </c>
    </row>
    <row r="3106" spans="1:22" s="1192" customFormat="1" ht="14.4" x14ac:dyDescent="0.3">
      <c r="A3106" s="1192" t="s">
        <v>207</v>
      </c>
      <c r="B3106" s="1192" t="s">
        <v>3082</v>
      </c>
      <c r="E3106" s="1741" t="s">
        <v>2489</v>
      </c>
      <c r="F3106" s="1741"/>
      <c r="G3106" s="1276" t="s">
        <v>2488</v>
      </c>
      <c r="H3106" s="509">
        <v>0.61</v>
      </c>
      <c r="V3106" s="1192">
        <v>75</v>
      </c>
    </row>
    <row r="3107" spans="1:22" s="1192" customFormat="1" ht="14.4" x14ac:dyDescent="0.3">
      <c r="A3107" s="1192" t="s">
        <v>207</v>
      </c>
      <c r="B3107" s="1192" t="s">
        <v>3082</v>
      </c>
      <c r="E3107" s="1741" t="s">
        <v>2490</v>
      </c>
      <c r="F3107" s="1741"/>
      <c r="G3107" s="1276" t="s">
        <v>2488</v>
      </c>
      <c r="H3107" s="509">
        <v>-0.61</v>
      </c>
      <c r="V3107" s="1192">
        <v>72</v>
      </c>
    </row>
    <row r="3108" spans="1:22" s="1192" customFormat="1" ht="14.4" x14ac:dyDescent="0.3">
      <c r="A3108" s="1192" t="s">
        <v>207</v>
      </c>
      <c r="B3108" s="1192" t="s">
        <v>3082</v>
      </c>
      <c r="E3108" s="1941" t="s">
        <v>2596</v>
      </c>
      <c r="F3108" s="1941"/>
      <c r="G3108" s="1275"/>
      <c r="H3108" s="936"/>
      <c r="V3108" s="1192">
        <v>34</v>
      </c>
    </row>
    <row r="3109" spans="1:22" s="1192" customFormat="1" ht="14.4" x14ac:dyDescent="0.3">
      <c r="A3109" s="1192" t="s">
        <v>207</v>
      </c>
      <c r="B3109" s="1192" t="s">
        <v>3082</v>
      </c>
      <c r="E3109" s="1941" t="s">
        <v>2492</v>
      </c>
      <c r="F3109" s="1941"/>
      <c r="G3109" s="1276" t="s">
        <v>19</v>
      </c>
      <c r="H3109" s="509">
        <v>0.51</v>
      </c>
      <c r="V3109" s="1192">
        <v>57</v>
      </c>
    </row>
    <row r="3110" spans="1:22" s="1192" customFormat="1" ht="14.4" x14ac:dyDescent="0.3">
      <c r="A3110" s="1192" t="s">
        <v>207</v>
      </c>
      <c r="B3110" s="1192" t="s">
        <v>3082</v>
      </c>
      <c r="E3110" s="1741" t="s">
        <v>2493</v>
      </c>
      <c r="F3110" s="1741"/>
      <c r="G3110" s="1276" t="s">
        <v>19</v>
      </c>
      <c r="H3110" s="509">
        <v>1.02</v>
      </c>
      <c r="V3110" s="1192">
        <v>60</v>
      </c>
    </row>
    <row r="3111" spans="1:22" s="1192" customFormat="1" ht="14.4" x14ac:dyDescent="0.3">
      <c r="A3111" s="1192" t="s">
        <v>207</v>
      </c>
      <c r="B3111" s="1192" t="s">
        <v>3082</v>
      </c>
      <c r="E3111" s="1741" t="s">
        <v>2878</v>
      </c>
      <c r="F3111" s="1741"/>
      <c r="G3111" s="1275"/>
      <c r="H3111" s="936"/>
      <c r="V3111" s="1192">
        <v>92</v>
      </c>
    </row>
    <row r="3112" spans="1:22" s="1192" customFormat="1" ht="14.4" x14ac:dyDescent="0.3">
      <c r="A3112" s="1192" t="s">
        <v>207</v>
      </c>
      <c r="B3112" s="1192" t="s">
        <v>3082</v>
      </c>
      <c r="E3112" s="1741" t="s">
        <v>2879</v>
      </c>
      <c r="F3112" s="1741"/>
      <c r="G3112" s="1275"/>
      <c r="H3112" s="936"/>
      <c r="V3112" s="1192">
        <v>97</v>
      </c>
    </row>
    <row r="3113" spans="1:22" s="1192" customFormat="1" ht="14.4" x14ac:dyDescent="0.3">
      <c r="A3113" s="1192" t="s">
        <v>207</v>
      </c>
      <c r="B3113" s="1192" t="s">
        <v>3082</v>
      </c>
      <c r="E3113" s="1941" t="s">
        <v>2597</v>
      </c>
      <c r="F3113" s="1941"/>
      <c r="G3113" s="1275"/>
      <c r="H3113" s="936"/>
      <c r="V3113" s="1192">
        <v>77</v>
      </c>
    </row>
    <row r="3114" spans="1:22" s="1192" customFormat="1" ht="14.4" x14ac:dyDescent="0.3">
      <c r="A3114" s="1192" t="s">
        <v>207</v>
      </c>
      <c r="B3114" s="1192" t="s">
        <v>3082</v>
      </c>
      <c r="E3114" s="1941" t="s">
        <v>2497</v>
      </c>
      <c r="F3114" s="1941"/>
      <c r="G3114" s="1275"/>
      <c r="H3114" s="937" t="s">
        <v>2498</v>
      </c>
      <c r="V3114" s="1192">
        <v>18</v>
      </c>
    </row>
    <row r="3115" spans="1:22" s="1192" customFormat="1" ht="14.4" x14ac:dyDescent="0.3">
      <c r="A3115" s="1192" t="s">
        <v>207</v>
      </c>
      <c r="B3115" s="1192" t="s">
        <v>3082</v>
      </c>
      <c r="E3115" s="1741" t="s">
        <v>2499</v>
      </c>
      <c r="F3115" s="1741"/>
      <c r="G3115" s="1276" t="s">
        <v>19</v>
      </c>
      <c r="H3115" s="509">
        <v>4.08</v>
      </c>
      <c r="V3115" s="1192">
        <v>69</v>
      </c>
    </row>
    <row r="3116" spans="1:22" s="1192" customFormat="1" ht="14.4" x14ac:dyDescent="0.3">
      <c r="A3116" s="1192" t="s">
        <v>207</v>
      </c>
      <c r="B3116" s="1192" t="s">
        <v>3082</v>
      </c>
      <c r="E3116" s="1741" t="s">
        <v>4608</v>
      </c>
      <c r="F3116" s="1741"/>
      <c r="G3116" s="1276" t="s">
        <v>19</v>
      </c>
      <c r="H3116" s="509">
        <v>2.04</v>
      </c>
      <c r="V3116" s="1192">
        <v>199</v>
      </c>
    </row>
    <row r="3117" spans="1:22" s="1192" customFormat="1" ht="17.399999999999999" x14ac:dyDescent="0.3">
      <c r="A3117" s="1192" t="s">
        <v>207</v>
      </c>
      <c r="B3117" s="1192" t="s">
        <v>3082</v>
      </c>
      <c r="E3117" s="2045" t="s">
        <v>143</v>
      </c>
      <c r="F3117" s="2045"/>
      <c r="G3117" s="2045"/>
      <c r="H3117" s="2045"/>
      <c r="K3117" s="1192" t="s">
        <v>3104</v>
      </c>
      <c r="V3117" s="1192">
        <v>12</v>
      </c>
    </row>
    <row r="3118" spans="1:22" s="1192" customFormat="1" ht="14.4" x14ac:dyDescent="0.3">
      <c r="A3118" s="1192" t="s">
        <v>207</v>
      </c>
      <c r="B3118" s="1192" t="s">
        <v>3082</v>
      </c>
      <c r="E3118" s="1741" t="s">
        <v>2501</v>
      </c>
      <c r="F3118" s="1741"/>
      <c r="G3118" s="1741"/>
      <c r="H3118" s="1741"/>
      <c r="V3118" s="1192">
        <v>203</v>
      </c>
    </row>
    <row r="3119" spans="1:22" s="1192" customFormat="1" ht="14.4" x14ac:dyDescent="0.3">
      <c r="A3119" s="1192" t="s">
        <v>207</v>
      </c>
      <c r="B3119" s="1192" t="s">
        <v>3082</v>
      </c>
      <c r="E3119" s="1741" t="s">
        <v>2599</v>
      </c>
      <c r="F3119" s="1741"/>
      <c r="G3119" s="1255"/>
      <c r="H3119" s="839">
        <v>1.0564</v>
      </c>
      <c r="V3119" s="1192">
        <v>57</v>
      </c>
    </row>
    <row r="3120" spans="1:22" s="1192" customFormat="1" ht="14.4" x14ac:dyDescent="0.3">
      <c r="A3120" s="1192" t="s">
        <v>207</v>
      </c>
      <c r="B3120" s="1192" t="s">
        <v>3082</v>
      </c>
      <c r="E3120" s="1741" t="s">
        <v>2600</v>
      </c>
      <c r="F3120" s="1741"/>
      <c r="G3120" s="1255"/>
      <c r="H3120" s="839">
        <v>1.0564</v>
      </c>
      <c r="V3120" s="1192">
        <v>57</v>
      </c>
    </row>
    <row r="3121" spans="1:22" s="1192" customFormat="1" ht="14.4" x14ac:dyDescent="0.3">
      <c r="A3121" s="1192" t="s">
        <v>207</v>
      </c>
      <c r="B3121" s="1192" t="s">
        <v>3082</v>
      </c>
      <c r="E3121" s="1741" t="s">
        <v>2601</v>
      </c>
      <c r="F3121" s="1741"/>
      <c r="G3121" s="1255"/>
      <c r="H3121" s="839">
        <v>1.0464</v>
      </c>
      <c r="V3121" s="1192">
        <v>55</v>
      </c>
    </row>
    <row r="3122" spans="1:22" s="1192" customFormat="1" ht="14.4" x14ac:dyDescent="0.3">
      <c r="A3122" s="1192" t="s">
        <v>207</v>
      </c>
      <c r="B3122" s="1192" t="s">
        <v>3082</v>
      </c>
      <c r="E3122" s="1741" t="s">
        <v>2602</v>
      </c>
      <c r="F3122" s="1741"/>
      <c r="G3122" s="1255"/>
      <c r="H3122" s="839">
        <v>1.0464</v>
      </c>
      <c r="J3122" s="1192" t="s">
        <v>3092</v>
      </c>
      <c r="V3122" s="1192">
        <v>55</v>
      </c>
    </row>
    <row r="3123" spans="1:22" s="1192" customFormat="1" ht="22.8" x14ac:dyDescent="0.3">
      <c r="A3123" s="1192" t="s">
        <v>207</v>
      </c>
      <c r="B3123" s="1192" t="s">
        <v>3093</v>
      </c>
      <c r="C3123" s="1192" t="s">
        <v>2378</v>
      </c>
      <c r="E3123" s="1752" t="s">
        <v>207</v>
      </c>
      <c r="F3123" s="1752"/>
      <c r="G3123" s="1752"/>
      <c r="H3123" s="1752"/>
      <c r="I3123" s="1192" t="s">
        <v>603</v>
      </c>
      <c r="J3123" s="1192" t="s">
        <v>3094</v>
      </c>
      <c r="K3123" s="1192" t="s">
        <v>207</v>
      </c>
      <c r="M3123" s="1192">
        <v>7</v>
      </c>
      <c r="V3123" s="1192">
        <v>23</v>
      </c>
    </row>
    <row r="3124" spans="1:22" s="1192" customFormat="1" ht="21" x14ac:dyDescent="0.3">
      <c r="A3124" s="1192" t="s">
        <v>207</v>
      </c>
      <c r="B3124" s="1192" t="s">
        <v>3093</v>
      </c>
      <c r="C3124" s="1192" t="s">
        <v>2380</v>
      </c>
      <c r="E3124" s="2212" t="s">
        <v>2047</v>
      </c>
      <c r="F3124" s="2212"/>
      <c r="G3124" s="2212"/>
      <c r="H3124" s="2212"/>
      <c r="V3124" s="1192">
        <v>49</v>
      </c>
    </row>
    <row r="3125" spans="1:22" s="1192" customFormat="1" ht="17.399999999999999" x14ac:dyDescent="0.3">
      <c r="A3125" s="1192" t="s">
        <v>207</v>
      </c>
      <c r="B3125" s="1192" t="s">
        <v>3093</v>
      </c>
      <c r="C3125" s="1192" t="s">
        <v>2382</v>
      </c>
      <c r="E3125" s="1753" t="s">
        <v>2381</v>
      </c>
      <c r="F3125" s="1753"/>
      <c r="G3125" s="1753"/>
      <c r="H3125" s="1753"/>
      <c r="V3125" s="1192">
        <v>27</v>
      </c>
    </row>
    <row r="3126" spans="1:22" s="1192" customFormat="1" ht="15.6" x14ac:dyDescent="0.3">
      <c r="A3126" s="1192" t="s">
        <v>207</v>
      </c>
      <c r="B3126" s="1192" t="s">
        <v>3093</v>
      </c>
      <c r="C3126" s="1192" t="s">
        <v>2383</v>
      </c>
      <c r="E3126" s="1754" t="s">
        <v>5937</v>
      </c>
      <c r="F3126" s="1754"/>
      <c r="G3126" s="1754"/>
      <c r="H3126" s="1754"/>
      <c r="S3126" s="1192">
        <v>43831</v>
      </c>
      <c r="V3126" s="1192">
        <v>49</v>
      </c>
    </row>
    <row r="3127" spans="1:22" s="1192" customFormat="1" ht="14.4" x14ac:dyDescent="0.3">
      <c r="A3127" s="1192" t="s">
        <v>207</v>
      </c>
      <c r="B3127" s="1192" t="s">
        <v>3093</v>
      </c>
      <c r="E3127" s="1755" t="s">
        <v>2842</v>
      </c>
      <c r="F3127" s="1755"/>
      <c r="G3127" s="1755"/>
      <c r="H3127" s="1755"/>
      <c r="V3127" s="1192">
        <v>53</v>
      </c>
    </row>
    <row r="3128" spans="1:22" s="1192" customFormat="1" ht="14.4" x14ac:dyDescent="0.3">
      <c r="A3128" s="1192" t="s">
        <v>207</v>
      </c>
      <c r="B3128" s="1192" t="s">
        <v>3093</v>
      </c>
      <c r="E3128" s="1755" t="s">
        <v>2385</v>
      </c>
      <c r="F3128" s="1755"/>
      <c r="G3128" s="1755"/>
      <c r="H3128" s="1755"/>
      <c r="V3128" s="1192">
        <v>53</v>
      </c>
    </row>
    <row r="3129" spans="1:22" s="1192" customFormat="1" ht="14.4" x14ac:dyDescent="0.3">
      <c r="A3129" s="1192" t="s">
        <v>207</v>
      </c>
      <c r="B3129" s="1192" t="s">
        <v>3093</v>
      </c>
      <c r="E3129" s="1772" t="s">
        <v>6206</v>
      </c>
      <c r="F3129" s="1772"/>
      <c r="G3129" s="1772"/>
      <c r="H3129" s="1772"/>
      <c r="K3129" s="1192" t="s">
        <v>6206</v>
      </c>
      <c r="V3129" s="1192">
        <v>12</v>
      </c>
    </row>
    <row r="3130" spans="1:22" s="1192" customFormat="1" ht="14.4" x14ac:dyDescent="0.3">
      <c r="A3130" s="1192" t="s">
        <v>207</v>
      </c>
      <c r="B3130" s="1192" t="s">
        <v>3093</v>
      </c>
      <c r="E3130" s="2045" t="s">
        <v>427</v>
      </c>
      <c r="F3130" s="1743"/>
      <c r="G3130" s="1743"/>
      <c r="H3130" s="1743"/>
      <c r="K3130" s="1192" t="s">
        <v>2506</v>
      </c>
      <c r="V3130" s="1192">
        <v>34</v>
      </c>
    </row>
    <row r="3131" spans="1:22" s="1192" customFormat="1" ht="14.4" x14ac:dyDescent="0.3">
      <c r="A3131" s="1192" t="s">
        <v>207</v>
      </c>
      <c r="B3131" s="1192" t="s">
        <v>3093</v>
      </c>
      <c r="E3131" s="2115" t="s">
        <v>3095</v>
      </c>
      <c r="F3131" s="2115"/>
      <c r="G3131" s="2115"/>
      <c r="H3131" s="2115"/>
      <c r="K3131" s="1192" t="s">
        <v>2506</v>
      </c>
      <c r="V3131" s="1192">
        <v>618</v>
      </c>
    </row>
    <row r="3132" spans="1:22" s="1192" customFormat="1" ht="14.4" x14ac:dyDescent="0.3">
      <c r="A3132" s="1192" t="s">
        <v>207</v>
      </c>
      <c r="B3132" s="1192" t="s">
        <v>3093</v>
      </c>
      <c r="E3132" s="1750" t="s">
        <v>2389</v>
      </c>
      <c r="F3132" s="1743"/>
      <c r="G3132" s="1743"/>
      <c r="H3132" s="1743"/>
      <c r="K3132" s="1192" t="s">
        <v>2390</v>
      </c>
      <c r="V3132" s="1192">
        <v>11</v>
      </c>
    </row>
    <row r="3133" spans="1:22" s="1192" customFormat="1" ht="14.4" x14ac:dyDescent="0.3">
      <c r="A3133" s="1192" t="s">
        <v>207</v>
      </c>
      <c r="B3133" s="1192" t="s">
        <v>3093</v>
      </c>
      <c r="E3133" s="2115" t="s">
        <v>2391</v>
      </c>
      <c r="F3133" s="2115"/>
      <c r="G3133" s="2115"/>
      <c r="H3133" s="2115"/>
      <c r="K3133" s="1192" t="s">
        <v>2506</v>
      </c>
      <c r="V3133" s="1192">
        <v>280</v>
      </c>
    </row>
    <row r="3134" spans="1:22" s="1192" customFormat="1" ht="14.4" x14ac:dyDescent="0.3">
      <c r="A3134" s="1192" t="s">
        <v>207</v>
      </c>
      <c r="B3134" s="1192" t="s">
        <v>3093</v>
      </c>
      <c r="E3134" s="2115" t="s">
        <v>2392</v>
      </c>
      <c r="F3134" s="2115"/>
      <c r="G3134" s="2115"/>
      <c r="H3134" s="2115"/>
      <c r="K3134" s="1192" t="s">
        <v>2506</v>
      </c>
      <c r="V3134" s="1192">
        <v>411</v>
      </c>
    </row>
    <row r="3135" spans="1:22" s="1192" customFormat="1" ht="14.4" x14ac:dyDescent="0.3">
      <c r="A3135" s="1192" t="s">
        <v>207</v>
      </c>
      <c r="B3135" s="1192" t="s">
        <v>3093</v>
      </c>
      <c r="E3135" s="2115" t="s">
        <v>2393</v>
      </c>
      <c r="F3135" s="2115"/>
      <c r="G3135" s="2115"/>
      <c r="H3135" s="2115"/>
      <c r="K3135" s="1192" t="s">
        <v>2506</v>
      </c>
      <c r="V3135" s="1192">
        <v>387</v>
      </c>
    </row>
    <row r="3136" spans="1:22" s="1192" customFormat="1" ht="14.4" x14ac:dyDescent="0.3">
      <c r="A3136" s="1192" t="s">
        <v>207</v>
      </c>
      <c r="B3136" s="1192" t="s">
        <v>3093</v>
      </c>
      <c r="E3136" s="2115" t="s">
        <v>2986</v>
      </c>
      <c r="F3136" s="2115"/>
      <c r="G3136" s="2115"/>
      <c r="H3136" s="2115"/>
      <c r="K3136" s="1192" t="s">
        <v>2506</v>
      </c>
      <c r="V3136" s="1192">
        <v>246</v>
      </c>
    </row>
    <row r="3137" spans="1:22" s="1192" customFormat="1" ht="14.4" x14ac:dyDescent="0.3">
      <c r="A3137" s="1192" t="s">
        <v>207</v>
      </c>
      <c r="B3137" s="1192" t="s">
        <v>3093</v>
      </c>
      <c r="E3137" s="1748" t="s">
        <v>2394</v>
      </c>
      <c r="F3137" s="1749"/>
      <c r="G3137" s="1749"/>
      <c r="H3137" s="1749"/>
      <c r="K3137" s="1192" t="s">
        <v>2395</v>
      </c>
      <c r="V3137" s="1192">
        <v>46</v>
      </c>
    </row>
    <row r="3138" spans="1:22" s="1192" customFormat="1" ht="14.4" x14ac:dyDescent="0.3">
      <c r="A3138" s="1192" t="s">
        <v>207</v>
      </c>
      <c r="B3138" s="1192" t="s">
        <v>3093</v>
      </c>
      <c r="E3138" s="2114" t="s">
        <v>7</v>
      </c>
      <c r="F3138" s="2114"/>
      <c r="G3138" s="1262" t="s">
        <v>19</v>
      </c>
      <c r="H3138" s="509">
        <v>30.02</v>
      </c>
      <c r="K3138" s="1192" t="s">
        <v>2506</v>
      </c>
      <c r="L3138" s="1192" t="s">
        <v>430</v>
      </c>
      <c r="P3138" s="1192" t="s">
        <v>2510</v>
      </c>
      <c r="V3138" s="1192">
        <v>14</v>
      </c>
    </row>
    <row r="3139" spans="1:22" s="1192" customFormat="1" ht="14.4" x14ac:dyDescent="0.3">
      <c r="A3139" s="1192" t="s">
        <v>207</v>
      </c>
      <c r="B3139" s="1192" t="s">
        <v>3093</v>
      </c>
      <c r="E3139" s="2114" t="s">
        <v>4689</v>
      </c>
      <c r="F3139" s="1740"/>
      <c r="G3139" s="1262" t="s">
        <v>19</v>
      </c>
      <c r="H3139" s="509">
        <v>-0.3</v>
      </c>
      <c r="K3139" s="1192" t="s">
        <v>2506</v>
      </c>
      <c r="L3139" s="1192" t="s">
        <v>430</v>
      </c>
      <c r="P3139" s="1192" t="s">
        <v>6224</v>
      </c>
      <c r="T3139" s="1192">
        <v>44134</v>
      </c>
      <c r="V3139" s="1192">
        <v>91</v>
      </c>
    </row>
    <row r="3140" spans="1:22" s="1192" customFormat="1" ht="14.4" x14ac:dyDescent="0.3">
      <c r="A3140" s="1192" t="s">
        <v>207</v>
      </c>
      <c r="B3140" s="1192" t="s">
        <v>3093</v>
      </c>
      <c r="E3140" s="2114" t="s">
        <v>3900</v>
      </c>
      <c r="F3140" s="2114"/>
      <c r="G3140" s="1262" t="s">
        <v>19</v>
      </c>
      <c r="H3140" s="932">
        <v>0.56999999999999995</v>
      </c>
      <c r="K3140" s="1192" t="s">
        <v>2506</v>
      </c>
      <c r="L3140" s="1192" t="s">
        <v>431</v>
      </c>
      <c r="P3140" s="1192" t="s">
        <v>2511</v>
      </c>
      <c r="T3140" s="1192">
        <v>44926</v>
      </c>
      <c r="V3140" s="1192">
        <v>64</v>
      </c>
    </row>
    <row r="3141" spans="1:22" s="1192" customFormat="1" ht="14.4" x14ac:dyDescent="0.3">
      <c r="A3141" s="1192" t="s">
        <v>207</v>
      </c>
      <c r="B3141" s="1192" t="s">
        <v>3093</v>
      </c>
      <c r="E3141" s="2114" t="s">
        <v>4293</v>
      </c>
      <c r="F3141" s="2114"/>
      <c r="G3141" s="1262" t="s">
        <v>19</v>
      </c>
      <c r="H3141" s="932">
        <v>0.64</v>
      </c>
      <c r="K3141" s="1192" t="s">
        <v>2506</v>
      </c>
      <c r="L3141" s="1192" t="s">
        <v>430</v>
      </c>
      <c r="P3141" s="1192" t="s">
        <v>4515</v>
      </c>
      <c r="V3141" s="1192">
        <v>158</v>
      </c>
    </row>
    <row r="3142" spans="1:22" s="1192" customFormat="1" ht="14.4" x14ac:dyDescent="0.3">
      <c r="A3142" s="1192" t="s">
        <v>207</v>
      </c>
      <c r="B3142" s="1192" t="s">
        <v>3093</v>
      </c>
      <c r="E3142" s="2114" t="s">
        <v>4294</v>
      </c>
      <c r="F3142" s="2114"/>
      <c r="G3142" s="1262" t="s">
        <v>20</v>
      </c>
      <c r="H3142" s="932">
        <v>8.0000000000000004E-4</v>
      </c>
      <c r="K3142" s="1192" t="s">
        <v>2506</v>
      </c>
      <c r="L3142" s="1192" t="s">
        <v>430</v>
      </c>
      <c r="P3142" s="1192" t="s">
        <v>6225</v>
      </c>
      <c r="V3142" s="1192">
        <v>133</v>
      </c>
    </row>
    <row r="3143" spans="1:22" s="1192" customFormat="1" ht="14.4" x14ac:dyDescent="0.3">
      <c r="A3143" s="1192" t="s">
        <v>207</v>
      </c>
      <c r="B3143" s="1192" t="s">
        <v>3093</v>
      </c>
      <c r="E3143" s="2114" t="s">
        <v>213</v>
      </c>
      <c r="F3143" s="2114"/>
      <c r="G3143" s="1262" t="s">
        <v>20</v>
      </c>
      <c r="H3143" s="837">
        <v>7.4999999999999997E-3</v>
      </c>
      <c r="K3143" s="1192" t="s">
        <v>2506</v>
      </c>
      <c r="L3143" s="1192" t="s">
        <v>432</v>
      </c>
      <c r="P3143" s="1192" t="s">
        <v>2517</v>
      </c>
      <c r="V3143" s="1192">
        <v>47</v>
      </c>
    </row>
    <row r="3144" spans="1:22" s="1192" customFormat="1" ht="14.4" x14ac:dyDescent="0.3">
      <c r="A3144" s="1192" t="s">
        <v>207</v>
      </c>
      <c r="B3144" s="1192" t="s">
        <v>3093</v>
      </c>
      <c r="E3144" s="2114" t="s">
        <v>209</v>
      </c>
      <c r="F3144" s="2114"/>
      <c r="G3144" s="1262" t="s">
        <v>20</v>
      </c>
      <c r="H3144" s="837">
        <v>6.3E-3</v>
      </c>
      <c r="K3144" s="1192" t="s">
        <v>2506</v>
      </c>
      <c r="L3144" s="1192" t="s">
        <v>432</v>
      </c>
      <c r="P3144" s="1192" t="s">
        <v>2518</v>
      </c>
      <c r="V3144" s="1192">
        <v>74</v>
      </c>
    </row>
    <row r="3145" spans="1:22" s="1192" customFormat="1" ht="14.4" x14ac:dyDescent="0.3">
      <c r="A3145" s="1192" t="s">
        <v>207</v>
      </c>
      <c r="B3145" s="1192" t="s">
        <v>3093</v>
      </c>
      <c r="E3145" s="1748" t="s">
        <v>2405</v>
      </c>
      <c r="F3145" s="1740"/>
      <c r="G3145" s="1255"/>
      <c r="H3145" s="931"/>
      <c r="K3145" s="1192" t="s">
        <v>2406</v>
      </c>
      <c r="V3145" s="1192">
        <v>48</v>
      </c>
    </row>
    <row r="3146" spans="1:22" s="1192" customFormat="1" ht="14.4" x14ac:dyDescent="0.3">
      <c r="A3146" s="1192" t="s">
        <v>207</v>
      </c>
      <c r="B3146" s="1192" t="s">
        <v>3093</v>
      </c>
      <c r="E3146" s="2114" t="s">
        <v>2033</v>
      </c>
      <c r="F3146" s="2114"/>
      <c r="G3146" s="1262" t="s">
        <v>20</v>
      </c>
      <c r="H3146" s="1219">
        <v>3.0000000000000001E-3</v>
      </c>
      <c r="K3146" s="1192" t="s">
        <v>2506</v>
      </c>
      <c r="L3146" s="1192" t="s">
        <v>2374</v>
      </c>
      <c r="P3146" s="1192" t="s">
        <v>2519</v>
      </c>
      <c r="V3146" s="1192">
        <v>55</v>
      </c>
    </row>
    <row r="3147" spans="1:22" s="1192" customFormat="1" ht="14.4" x14ac:dyDescent="0.3">
      <c r="A3147" s="1192" t="s">
        <v>207</v>
      </c>
      <c r="B3147" s="1192" t="s">
        <v>3093</v>
      </c>
      <c r="E3147" s="2114" t="s">
        <v>2034</v>
      </c>
      <c r="F3147" s="2114"/>
      <c r="G3147" s="1262" t="s">
        <v>20</v>
      </c>
      <c r="H3147" s="932">
        <v>4.0000000000000002E-4</v>
      </c>
      <c r="K3147" s="1192" t="s">
        <v>2506</v>
      </c>
      <c r="L3147" s="1192" t="s">
        <v>2374</v>
      </c>
      <c r="P3147" s="1192" t="s">
        <v>2519</v>
      </c>
      <c r="V3147" s="1192">
        <v>65</v>
      </c>
    </row>
    <row r="3148" spans="1:22" s="1192" customFormat="1" ht="14.4" x14ac:dyDescent="0.3">
      <c r="A3148" s="1192" t="s">
        <v>207</v>
      </c>
      <c r="B3148" s="1192" t="s">
        <v>3093</v>
      </c>
      <c r="E3148" s="2114" t="s">
        <v>428</v>
      </c>
      <c r="F3148" s="2114"/>
      <c r="G3148" s="1262" t="s">
        <v>20</v>
      </c>
      <c r="H3148" s="932">
        <v>5.0000000000000001E-4</v>
      </c>
      <c r="K3148" s="1192" t="s">
        <v>2506</v>
      </c>
      <c r="L3148" s="1192" t="s">
        <v>2374</v>
      </c>
      <c r="P3148" s="1192" t="s">
        <v>2520</v>
      </c>
      <c r="V3148" s="1192">
        <v>57</v>
      </c>
    </row>
    <row r="3149" spans="1:22" s="1192" customFormat="1" ht="14.4" x14ac:dyDescent="0.3">
      <c r="A3149" s="1192" t="s">
        <v>207</v>
      </c>
      <c r="B3149" s="1192" t="s">
        <v>3093</v>
      </c>
      <c r="E3149" s="2114" t="s">
        <v>28</v>
      </c>
      <c r="F3149" s="2114"/>
      <c r="G3149" s="1262" t="s">
        <v>19</v>
      </c>
      <c r="H3149" s="509">
        <v>0.25</v>
      </c>
      <c r="K3149" s="1192" t="s">
        <v>2506</v>
      </c>
      <c r="L3149" s="1192" t="s">
        <v>2374</v>
      </c>
      <c r="P3149" s="1192" t="s">
        <v>2521</v>
      </c>
      <c r="V3149" s="1192">
        <v>63</v>
      </c>
    </row>
    <row r="3150" spans="1:22" s="1192" customFormat="1" ht="17.399999999999999" x14ac:dyDescent="0.3">
      <c r="A3150" s="1192" t="s">
        <v>207</v>
      </c>
      <c r="B3150" s="1192" t="s">
        <v>3093</v>
      </c>
      <c r="E3150" s="2045" t="s">
        <v>2522</v>
      </c>
      <c r="F3150" s="1747"/>
      <c r="G3150" s="1747"/>
      <c r="H3150" s="1747"/>
      <c r="K3150" s="1192" t="s">
        <v>3901</v>
      </c>
      <c r="V3150" s="1192">
        <v>54</v>
      </c>
    </row>
    <row r="3151" spans="1:22" s="1192" customFormat="1" ht="14.4" x14ac:dyDescent="0.3">
      <c r="A3151" s="1192" t="s">
        <v>207</v>
      </c>
      <c r="B3151" s="1192" t="s">
        <v>3093</v>
      </c>
      <c r="E3151" s="2115" t="s">
        <v>3065</v>
      </c>
      <c r="F3151" s="2115"/>
      <c r="G3151" s="2115"/>
      <c r="H3151" s="2115"/>
      <c r="K3151" s="1192" t="s">
        <v>3901</v>
      </c>
      <c r="V3151" s="1192">
        <v>335</v>
      </c>
    </row>
    <row r="3152" spans="1:22" s="1192" customFormat="1" ht="14.4" x14ac:dyDescent="0.3">
      <c r="A3152" s="1192" t="s">
        <v>207</v>
      </c>
      <c r="B3152" s="1192" t="s">
        <v>3093</v>
      </c>
      <c r="E3152" s="1750" t="s">
        <v>2389</v>
      </c>
      <c r="F3152" s="1743"/>
      <c r="G3152" s="1743"/>
      <c r="H3152" s="1743"/>
      <c r="K3152" s="1192" t="s">
        <v>2412</v>
      </c>
      <c r="V3152" s="1192">
        <v>11</v>
      </c>
    </row>
    <row r="3153" spans="1:22" s="1192" customFormat="1" ht="14.4" x14ac:dyDescent="0.3">
      <c r="A3153" s="1192" t="s">
        <v>207</v>
      </c>
      <c r="B3153" s="1192" t="s">
        <v>3093</v>
      </c>
      <c r="E3153" s="2115" t="s">
        <v>2391</v>
      </c>
      <c r="F3153" s="2115"/>
      <c r="G3153" s="2115"/>
      <c r="H3153" s="2115"/>
      <c r="K3153" s="1192" t="s">
        <v>3901</v>
      </c>
      <c r="V3153" s="1192">
        <v>280</v>
      </c>
    </row>
    <row r="3154" spans="1:22" s="1192" customFormat="1" ht="14.4" x14ac:dyDescent="0.3">
      <c r="A3154" s="1192" t="s">
        <v>207</v>
      </c>
      <c r="B3154" s="1192" t="s">
        <v>3093</v>
      </c>
      <c r="E3154" s="2115" t="s">
        <v>2392</v>
      </c>
      <c r="F3154" s="2115"/>
      <c r="G3154" s="2115"/>
      <c r="H3154" s="2115"/>
      <c r="K3154" s="1192" t="s">
        <v>3901</v>
      </c>
      <c r="V3154" s="1192">
        <v>411</v>
      </c>
    </row>
    <row r="3155" spans="1:22" s="1192" customFormat="1" ht="14.4" x14ac:dyDescent="0.3">
      <c r="A3155" s="1192" t="s">
        <v>207</v>
      </c>
      <c r="B3155" s="1192" t="s">
        <v>3093</v>
      </c>
      <c r="E3155" s="2115" t="s">
        <v>2393</v>
      </c>
      <c r="F3155" s="2115"/>
      <c r="G3155" s="2115"/>
      <c r="H3155" s="2115"/>
      <c r="K3155" s="1192" t="s">
        <v>3901</v>
      </c>
      <c r="V3155" s="1192">
        <v>387</v>
      </c>
    </row>
    <row r="3156" spans="1:22" s="1192" customFormat="1" ht="14.4" x14ac:dyDescent="0.3">
      <c r="A3156" s="1192" t="s">
        <v>207</v>
      </c>
      <c r="B3156" s="1192" t="s">
        <v>3093</v>
      </c>
      <c r="E3156" s="2115" t="s">
        <v>2986</v>
      </c>
      <c r="F3156" s="2115"/>
      <c r="G3156" s="2115"/>
      <c r="H3156" s="2115"/>
      <c r="K3156" s="1192" t="s">
        <v>3901</v>
      </c>
      <c r="V3156" s="1192">
        <v>246</v>
      </c>
    </row>
    <row r="3157" spans="1:22" s="1192" customFormat="1" ht="14.4" x14ac:dyDescent="0.3">
      <c r="A3157" s="1192" t="s">
        <v>207</v>
      </c>
      <c r="B3157" s="1192" t="s">
        <v>3093</v>
      </c>
      <c r="E3157" s="1748" t="s">
        <v>2394</v>
      </c>
      <c r="F3157" s="1749"/>
      <c r="G3157" s="1749"/>
      <c r="H3157" s="1749"/>
      <c r="K3157" s="1192" t="s">
        <v>2413</v>
      </c>
      <c r="V3157" s="1192">
        <v>46</v>
      </c>
    </row>
    <row r="3158" spans="1:22" s="1192" customFormat="1" ht="14.4" x14ac:dyDescent="0.3">
      <c r="A3158" s="1192" t="s">
        <v>207</v>
      </c>
      <c r="B3158" s="1192" t="s">
        <v>3093</v>
      </c>
      <c r="E3158" s="2114" t="s">
        <v>7</v>
      </c>
      <c r="F3158" s="2114"/>
      <c r="G3158" s="1262" t="s">
        <v>19</v>
      </c>
      <c r="H3158" s="837">
        <v>25.19</v>
      </c>
      <c r="K3158" s="1192" t="s">
        <v>3901</v>
      </c>
      <c r="L3158" s="1192" t="s">
        <v>430</v>
      </c>
      <c r="P3158" s="1192" t="s">
        <v>3902</v>
      </c>
      <c r="V3158" s="1192">
        <v>14</v>
      </c>
    </row>
    <row r="3159" spans="1:22" s="1192" customFormat="1" ht="14.4" x14ac:dyDescent="0.3">
      <c r="A3159" s="1192" t="s">
        <v>207</v>
      </c>
      <c r="B3159" s="1192" t="s">
        <v>3093</v>
      </c>
      <c r="E3159" s="2114" t="s">
        <v>3096</v>
      </c>
      <c r="F3159" s="2114"/>
      <c r="G3159" s="1262" t="s">
        <v>19</v>
      </c>
      <c r="H3159" s="509">
        <v>-0.25</v>
      </c>
      <c r="K3159" s="1192" t="s">
        <v>3901</v>
      </c>
      <c r="L3159" s="1192" t="s">
        <v>430</v>
      </c>
      <c r="P3159" s="1192" t="s">
        <v>6226</v>
      </c>
      <c r="T3159" s="1192">
        <v>44134</v>
      </c>
      <c r="V3159" s="1192">
        <v>91</v>
      </c>
    </row>
    <row r="3160" spans="1:22" s="1192" customFormat="1" ht="14.4" x14ac:dyDescent="0.3">
      <c r="A3160" s="1192" t="s">
        <v>207</v>
      </c>
      <c r="B3160" s="1192" t="s">
        <v>3093</v>
      </c>
      <c r="E3160" s="2114" t="s">
        <v>3900</v>
      </c>
      <c r="F3160" s="2114"/>
      <c r="G3160" s="1262" t="s">
        <v>19</v>
      </c>
      <c r="H3160" s="932">
        <v>0.56999999999999995</v>
      </c>
      <c r="K3160" s="1192" t="s">
        <v>3901</v>
      </c>
      <c r="L3160" s="1192" t="s">
        <v>431</v>
      </c>
      <c r="P3160" s="1192" t="s">
        <v>3903</v>
      </c>
      <c r="T3160" s="1192">
        <v>44926</v>
      </c>
      <c r="V3160" s="1192">
        <v>64</v>
      </c>
    </row>
    <row r="3161" spans="1:22" s="1192" customFormat="1" ht="14.4" x14ac:dyDescent="0.3">
      <c r="A3161" s="1192" t="s">
        <v>207</v>
      </c>
      <c r="B3161" s="1192" t="s">
        <v>3093</v>
      </c>
      <c r="E3161" s="2114" t="s">
        <v>4293</v>
      </c>
      <c r="F3161" s="2114"/>
      <c r="G3161" s="1262" t="s">
        <v>19</v>
      </c>
      <c r="H3161" s="509">
        <v>4.24</v>
      </c>
      <c r="K3161" s="1192" t="s">
        <v>3901</v>
      </c>
      <c r="L3161" s="1192" t="s">
        <v>430</v>
      </c>
      <c r="P3161" s="1192" t="s">
        <v>4516</v>
      </c>
      <c r="V3161" s="1192">
        <v>158</v>
      </c>
    </row>
    <row r="3162" spans="1:22" s="1192" customFormat="1" ht="14.4" x14ac:dyDescent="0.3">
      <c r="A3162" s="1192" t="s">
        <v>207</v>
      </c>
      <c r="B3162" s="1192" t="s">
        <v>3093</v>
      </c>
      <c r="E3162" s="2114" t="s">
        <v>80</v>
      </c>
      <c r="F3162" s="2114"/>
      <c r="G3162" s="1262" t="s">
        <v>20</v>
      </c>
      <c r="H3162" s="837">
        <v>1.4500000000000001E-2</v>
      </c>
      <c r="K3162" s="1192" t="s">
        <v>3901</v>
      </c>
      <c r="L3162" s="1192" t="s">
        <v>430</v>
      </c>
      <c r="P3162" s="1192" t="s">
        <v>3904</v>
      </c>
      <c r="V3162" s="1192">
        <v>28</v>
      </c>
    </row>
    <row r="3163" spans="1:22" s="1192" customFormat="1" ht="14.4" x14ac:dyDescent="0.3">
      <c r="A3163" s="1192" t="s">
        <v>207</v>
      </c>
      <c r="B3163" s="1192" t="s">
        <v>3093</v>
      </c>
      <c r="E3163" s="2114" t="s">
        <v>3096</v>
      </c>
      <c r="F3163" s="2114"/>
      <c r="G3163" s="1262" t="s">
        <v>20</v>
      </c>
      <c r="H3163" s="1219">
        <v>-2.0000000000000001E-4</v>
      </c>
      <c r="K3163" s="1192" t="s">
        <v>3901</v>
      </c>
      <c r="L3163" s="1192" t="s">
        <v>430</v>
      </c>
      <c r="P3163" s="1192" t="s">
        <v>6227</v>
      </c>
      <c r="T3163" s="1192">
        <v>44134</v>
      </c>
      <c r="V3163" s="1192">
        <v>91</v>
      </c>
    </row>
    <row r="3164" spans="1:22" s="1192" customFormat="1" ht="14.4" x14ac:dyDescent="0.3">
      <c r="A3164" s="1192" t="s">
        <v>207</v>
      </c>
      <c r="B3164" s="1192" t="s">
        <v>3093</v>
      </c>
      <c r="E3164" s="2114" t="s">
        <v>4295</v>
      </c>
      <c r="F3164" s="2114"/>
      <c r="G3164" s="1262" t="s">
        <v>20</v>
      </c>
      <c r="H3164" s="932">
        <v>6.9999999999999999E-4</v>
      </c>
      <c r="K3164" s="1192" t="s">
        <v>3901</v>
      </c>
      <c r="L3164" s="1192" t="s">
        <v>430</v>
      </c>
      <c r="P3164" s="1192" t="s">
        <v>6228</v>
      </c>
      <c r="V3164" s="1192">
        <v>134</v>
      </c>
    </row>
    <row r="3165" spans="1:22" s="1192" customFormat="1" ht="14.4" x14ac:dyDescent="0.3">
      <c r="A3165" s="1192" t="s">
        <v>207</v>
      </c>
      <c r="B3165" s="1192" t="s">
        <v>3093</v>
      </c>
      <c r="E3165" s="2114" t="s">
        <v>213</v>
      </c>
      <c r="F3165" s="2114"/>
      <c r="G3165" s="1262" t="s">
        <v>20</v>
      </c>
      <c r="H3165" s="837">
        <v>6.7999999999999996E-3</v>
      </c>
      <c r="K3165" s="1192" t="s">
        <v>3901</v>
      </c>
      <c r="L3165" s="1192" t="s">
        <v>432</v>
      </c>
      <c r="P3165" s="1192" t="s">
        <v>3906</v>
      </c>
      <c r="V3165" s="1192">
        <v>47</v>
      </c>
    </row>
    <row r="3166" spans="1:22" s="1192" customFormat="1" ht="14.4" x14ac:dyDescent="0.3">
      <c r="A3166" s="1192" t="s">
        <v>207</v>
      </c>
      <c r="B3166" s="1192" t="s">
        <v>3093</v>
      </c>
      <c r="E3166" s="2114" t="s">
        <v>209</v>
      </c>
      <c r="F3166" s="2114"/>
      <c r="G3166" s="1262" t="s">
        <v>20</v>
      </c>
      <c r="H3166" s="837">
        <v>5.8999999999999999E-3</v>
      </c>
      <c r="K3166" s="1192" t="s">
        <v>3901</v>
      </c>
      <c r="L3166" s="1192" t="s">
        <v>432</v>
      </c>
      <c r="P3166" s="1192" t="s">
        <v>3907</v>
      </c>
      <c r="V3166" s="1192">
        <v>74</v>
      </c>
    </row>
    <row r="3167" spans="1:22" s="1192" customFormat="1" ht="14.4" x14ac:dyDescent="0.3">
      <c r="A3167" s="1192" t="s">
        <v>207</v>
      </c>
      <c r="B3167" s="1192" t="s">
        <v>3093</v>
      </c>
      <c r="E3167" s="1748" t="s">
        <v>2405</v>
      </c>
      <c r="F3167" s="1740"/>
      <c r="G3167" s="1255"/>
      <c r="H3167" s="931"/>
      <c r="K3167" s="1192" t="s">
        <v>2418</v>
      </c>
      <c r="V3167" s="1192">
        <v>48</v>
      </c>
    </row>
    <row r="3168" spans="1:22" s="1192" customFormat="1" ht="14.4" x14ac:dyDescent="0.3">
      <c r="A3168" s="1192" t="s">
        <v>207</v>
      </c>
      <c r="B3168" s="1192" t="s">
        <v>3093</v>
      </c>
      <c r="E3168" s="2114" t="s">
        <v>2033</v>
      </c>
      <c r="F3168" s="2114"/>
      <c r="G3168" s="1262" t="s">
        <v>20</v>
      </c>
      <c r="H3168" s="932">
        <v>3.0000000000000001E-3</v>
      </c>
      <c r="K3168" s="1192" t="s">
        <v>3901</v>
      </c>
      <c r="L3168" s="1192" t="s">
        <v>2374</v>
      </c>
      <c r="P3168" s="1192" t="s">
        <v>3908</v>
      </c>
      <c r="V3168" s="1192">
        <v>55</v>
      </c>
    </row>
    <row r="3169" spans="1:22" s="1192" customFormat="1" ht="14.4" x14ac:dyDescent="0.3">
      <c r="A3169" s="1192" t="s">
        <v>207</v>
      </c>
      <c r="B3169" s="1192" t="s">
        <v>3093</v>
      </c>
      <c r="E3169" s="2114" t="s">
        <v>2034</v>
      </c>
      <c r="F3169" s="2114"/>
      <c r="G3169" s="1262" t="s">
        <v>20</v>
      </c>
      <c r="H3169" s="932">
        <v>4.0000000000000002E-4</v>
      </c>
      <c r="K3169" s="1192" t="s">
        <v>3901</v>
      </c>
      <c r="L3169" s="1192" t="s">
        <v>2374</v>
      </c>
      <c r="P3169" s="1192" t="s">
        <v>3908</v>
      </c>
      <c r="V3169" s="1192">
        <v>65</v>
      </c>
    </row>
    <row r="3170" spans="1:22" s="1192" customFormat="1" ht="14.4" x14ac:dyDescent="0.3">
      <c r="A3170" s="1192" t="s">
        <v>207</v>
      </c>
      <c r="B3170" s="1192" t="s">
        <v>3093</v>
      </c>
      <c r="E3170" s="2114" t="s">
        <v>428</v>
      </c>
      <c r="F3170" s="2114"/>
      <c r="G3170" s="1262" t="s">
        <v>20</v>
      </c>
      <c r="H3170" s="932">
        <v>5.0000000000000001E-4</v>
      </c>
      <c r="K3170" s="1192" t="s">
        <v>3901</v>
      </c>
      <c r="L3170" s="1192" t="s">
        <v>2374</v>
      </c>
      <c r="P3170" s="1192" t="s">
        <v>3909</v>
      </c>
      <c r="V3170" s="1192">
        <v>57</v>
      </c>
    </row>
    <row r="3171" spans="1:22" s="1192" customFormat="1" ht="14.4" x14ac:dyDescent="0.3">
      <c r="A3171" s="1192" t="s">
        <v>207</v>
      </c>
      <c r="B3171" s="1192" t="s">
        <v>3093</v>
      </c>
      <c r="E3171" s="2114" t="s">
        <v>28</v>
      </c>
      <c r="F3171" s="2114"/>
      <c r="G3171" s="1262" t="s">
        <v>19</v>
      </c>
      <c r="H3171" s="932">
        <v>0.25</v>
      </c>
      <c r="K3171" s="1192" t="s">
        <v>3901</v>
      </c>
      <c r="L3171" s="1192" t="s">
        <v>2374</v>
      </c>
      <c r="P3171" s="1192" t="s">
        <v>3910</v>
      </c>
      <c r="V3171" s="1192">
        <v>63</v>
      </c>
    </row>
    <row r="3172" spans="1:22" s="1192" customFormat="1" ht="17.399999999999999" x14ac:dyDescent="0.3">
      <c r="A3172" s="1192" t="s">
        <v>207</v>
      </c>
      <c r="B3172" s="1192" t="s">
        <v>3093</v>
      </c>
      <c r="E3172" s="2045" t="s">
        <v>2524</v>
      </c>
      <c r="F3172" s="1747"/>
      <c r="G3172" s="1747"/>
      <c r="H3172" s="1747"/>
      <c r="K3172" s="1192" t="s">
        <v>3937</v>
      </c>
      <c r="V3172" s="1192">
        <v>51</v>
      </c>
    </row>
    <row r="3173" spans="1:22" s="1192" customFormat="1" ht="14.4" x14ac:dyDescent="0.3">
      <c r="A3173" s="1192" t="s">
        <v>207</v>
      </c>
      <c r="B3173" s="1192" t="s">
        <v>3093</v>
      </c>
      <c r="E3173" s="2115" t="s">
        <v>3097</v>
      </c>
      <c r="F3173" s="2115"/>
      <c r="G3173" s="2115"/>
      <c r="H3173" s="2115"/>
      <c r="K3173" s="1192" t="s">
        <v>3937</v>
      </c>
      <c r="V3173" s="1192">
        <v>374</v>
      </c>
    </row>
    <row r="3174" spans="1:22" s="1192" customFormat="1" ht="14.4" x14ac:dyDescent="0.3">
      <c r="A3174" s="1192" t="s">
        <v>207</v>
      </c>
      <c r="B3174" s="1192" t="s">
        <v>3093</v>
      </c>
      <c r="E3174" s="1750" t="s">
        <v>2389</v>
      </c>
      <c r="F3174" s="1743"/>
      <c r="G3174" s="1743"/>
      <c r="H3174" s="1743"/>
      <c r="K3174" s="1192" t="s">
        <v>2422</v>
      </c>
      <c r="V3174" s="1192">
        <v>11</v>
      </c>
    </row>
    <row r="3175" spans="1:22" s="1192" customFormat="1" ht="14.4" x14ac:dyDescent="0.3">
      <c r="A3175" s="1192" t="s">
        <v>207</v>
      </c>
      <c r="B3175" s="1192" t="s">
        <v>3093</v>
      </c>
      <c r="E3175" s="2115" t="s">
        <v>2391</v>
      </c>
      <c r="F3175" s="2115"/>
      <c r="G3175" s="2115"/>
      <c r="H3175" s="2115"/>
      <c r="K3175" s="1192" t="s">
        <v>3937</v>
      </c>
      <c r="V3175" s="1192">
        <v>280</v>
      </c>
    </row>
    <row r="3176" spans="1:22" s="1192" customFormat="1" ht="14.4" x14ac:dyDescent="0.3">
      <c r="A3176" s="1192" t="s">
        <v>207</v>
      </c>
      <c r="B3176" s="1192" t="s">
        <v>3093</v>
      </c>
      <c r="E3176" s="2115" t="s">
        <v>2392</v>
      </c>
      <c r="F3176" s="2115"/>
      <c r="G3176" s="2115"/>
      <c r="H3176" s="2115"/>
      <c r="K3176" s="1192" t="s">
        <v>3937</v>
      </c>
      <c r="V3176" s="1192">
        <v>411</v>
      </c>
    </row>
    <row r="3177" spans="1:22" s="1192" customFormat="1" ht="14.4" x14ac:dyDescent="0.3">
      <c r="A3177" s="1192" t="s">
        <v>207</v>
      </c>
      <c r="B3177" s="1192" t="s">
        <v>3093</v>
      </c>
      <c r="E3177" s="2115" t="s">
        <v>2393</v>
      </c>
      <c r="F3177" s="2115"/>
      <c r="G3177" s="2115"/>
      <c r="H3177" s="2115"/>
      <c r="K3177" s="1192" t="s">
        <v>3937</v>
      </c>
      <c r="V3177" s="1192">
        <v>387</v>
      </c>
    </row>
    <row r="3178" spans="1:22" s="1192" customFormat="1" ht="14.4" x14ac:dyDescent="0.3">
      <c r="A3178" s="1192" t="s">
        <v>207</v>
      </c>
      <c r="B3178" s="1192" t="s">
        <v>3093</v>
      </c>
      <c r="E3178" s="1743" t="s">
        <v>4503</v>
      </c>
      <c r="F3178" s="1743"/>
      <c r="G3178" s="1743"/>
      <c r="H3178" s="1743"/>
      <c r="K3178" s="1192" t="s">
        <v>3937</v>
      </c>
      <c r="V3178" s="1192">
        <v>677</v>
      </c>
    </row>
    <row r="3179" spans="1:22" s="1192" customFormat="1" ht="14.4" x14ac:dyDescent="0.3">
      <c r="A3179" s="1192" t="s">
        <v>207</v>
      </c>
      <c r="B3179" s="1192" t="s">
        <v>3093</v>
      </c>
      <c r="E3179" s="1743" t="s">
        <v>4644</v>
      </c>
      <c r="F3179" s="1743"/>
      <c r="G3179" s="1743"/>
      <c r="H3179" s="1743"/>
      <c r="K3179" s="1192" t="s">
        <v>3937</v>
      </c>
      <c r="V3179" s="1192">
        <v>693</v>
      </c>
    </row>
    <row r="3180" spans="1:22" s="1192" customFormat="1" ht="14.4" x14ac:dyDescent="0.3">
      <c r="A3180" s="1192" t="s">
        <v>207</v>
      </c>
      <c r="B3180" s="1192" t="s">
        <v>3093</v>
      </c>
      <c r="E3180" s="2115" t="s">
        <v>2986</v>
      </c>
      <c r="F3180" s="2115"/>
      <c r="G3180" s="2115"/>
      <c r="H3180" s="2115"/>
      <c r="K3180" s="1192" t="s">
        <v>3937</v>
      </c>
      <c r="V3180" s="1192">
        <v>246</v>
      </c>
    </row>
    <row r="3181" spans="1:22" s="1192" customFormat="1" ht="14.4" x14ac:dyDescent="0.3">
      <c r="A3181" s="1192" t="s">
        <v>207</v>
      </c>
      <c r="B3181" s="1192" t="s">
        <v>3093</v>
      </c>
      <c r="E3181" s="1748" t="s">
        <v>2394</v>
      </c>
      <c r="F3181" s="1749"/>
      <c r="G3181" s="1749"/>
      <c r="H3181" s="1749"/>
      <c r="K3181" s="1192" t="s">
        <v>2423</v>
      </c>
      <c r="V3181" s="1192">
        <v>46</v>
      </c>
    </row>
    <row r="3182" spans="1:22" s="1192" customFormat="1" ht="14.4" x14ac:dyDescent="0.3">
      <c r="A3182" s="1192" t="s">
        <v>207</v>
      </c>
      <c r="B3182" s="1192" t="s">
        <v>3093</v>
      </c>
      <c r="E3182" s="2114" t="s">
        <v>7</v>
      </c>
      <c r="F3182" s="2114"/>
      <c r="G3182" s="1262" t="s">
        <v>19</v>
      </c>
      <c r="H3182" s="837">
        <v>139.96</v>
      </c>
      <c r="K3182" s="1192" t="s">
        <v>3937</v>
      </c>
      <c r="L3182" s="1192" t="s">
        <v>430</v>
      </c>
      <c r="P3182" s="1192" t="s">
        <v>3938</v>
      </c>
      <c r="V3182" s="1192">
        <v>14</v>
      </c>
    </row>
    <row r="3183" spans="1:22" s="1192" customFormat="1" ht="14.4" x14ac:dyDescent="0.3">
      <c r="A3183" s="1192" t="s">
        <v>207</v>
      </c>
      <c r="B3183" s="1192" t="s">
        <v>3093</v>
      </c>
      <c r="E3183" s="2114" t="s">
        <v>3096</v>
      </c>
      <c r="F3183" s="2114"/>
      <c r="G3183" s="1262" t="s">
        <v>19</v>
      </c>
      <c r="H3183" s="509">
        <v>-1.4</v>
      </c>
      <c r="K3183" s="1192" t="s">
        <v>3937</v>
      </c>
      <c r="L3183" s="1192" t="s">
        <v>430</v>
      </c>
      <c r="P3183" s="1192" t="s">
        <v>6229</v>
      </c>
      <c r="T3183" s="1192">
        <v>44134</v>
      </c>
      <c r="V3183" s="1192">
        <v>91</v>
      </c>
    </row>
    <row r="3184" spans="1:22" s="1192" customFormat="1" ht="14.4" x14ac:dyDescent="0.3">
      <c r="A3184" s="1192" t="s">
        <v>207</v>
      </c>
      <c r="B3184" s="1192" t="s">
        <v>3093</v>
      </c>
      <c r="E3184" s="2114" t="s">
        <v>80</v>
      </c>
      <c r="F3184" s="2114"/>
      <c r="G3184" s="1262" t="s">
        <v>29</v>
      </c>
      <c r="H3184" s="837">
        <v>2.5777000000000001</v>
      </c>
      <c r="K3184" s="1192" t="s">
        <v>3937</v>
      </c>
      <c r="L3184" s="1192" t="s">
        <v>430</v>
      </c>
      <c r="P3184" s="1192" t="s">
        <v>3939</v>
      </c>
      <c r="V3184" s="1192">
        <v>28</v>
      </c>
    </row>
    <row r="3185" spans="1:22" s="1192" customFormat="1" ht="14.4" x14ac:dyDescent="0.3">
      <c r="A3185" s="1192" t="s">
        <v>207</v>
      </c>
      <c r="B3185" s="1192" t="s">
        <v>3093</v>
      </c>
      <c r="E3185" s="2114" t="s">
        <v>3096</v>
      </c>
      <c r="F3185" s="2114"/>
      <c r="G3185" s="1262" t="s">
        <v>29</v>
      </c>
      <c r="H3185" s="1219">
        <v>-2.58E-2</v>
      </c>
      <c r="K3185" s="1192" t="s">
        <v>3937</v>
      </c>
      <c r="L3185" s="1192" t="s">
        <v>430</v>
      </c>
      <c r="P3185" s="1192" t="s">
        <v>6230</v>
      </c>
      <c r="T3185" s="1192">
        <v>44134</v>
      </c>
      <c r="V3185" s="1192">
        <v>91</v>
      </c>
    </row>
    <row r="3186" spans="1:22" s="1192" customFormat="1" ht="14.4" x14ac:dyDescent="0.3">
      <c r="A3186" s="1192" t="s">
        <v>207</v>
      </c>
      <c r="B3186" s="1192" t="s">
        <v>3093</v>
      </c>
      <c r="E3186" s="2114" t="s">
        <v>4294</v>
      </c>
      <c r="F3186" s="2114"/>
      <c r="G3186" s="1262" t="s">
        <v>29</v>
      </c>
      <c r="H3186" s="932">
        <v>0.3251</v>
      </c>
      <c r="K3186" s="1192" t="s">
        <v>3937</v>
      </c>
      <c r="L3186" s="1192" t="s">
        <v>430</v>
      </c>
      <c r="P3186" s="1192" t="s">
        <v>6231</v>
      </c>
      <c r="V3186" s="1192">
        <v>133</v>
      </c>
    </row>
    <row r="3187" spans="1:22" s="1192" customFormat="1" ht="14.4" x14ac:dyDescent="0.3">
      <c r="A3187" s="1192" t="s">
        <v>207</v>
      </c>
      <c r="B3187" s="1192" t="s">
        <v>3093</v>
      </c>
      <c r="E3187" s="2114" t="s">
        <v>213</v>
      </c>
      <c r="F3187" s="2114"/>
      <c r="G3187" s="1262" t="s">
        <v>29</v>
      </c>
      <c r="H3187" s="837">
        <v>2.9186000000000001</v>
      </c>
      <c r="K3187" s="1192" t="s">
        <v>3937</v>
      </c>
      <c r="L3187" s="1192" t="s">
        <v>432</v>
      </c>
      <c r="P3187" s="1192" t="s">
        <v>3941</v>
      </c>
      <c r="V3187" s="1192">
        <v>47</v>
      </c>
    </row>
    <row r="3188" spans="1:22" s="1192" customFormat="1" ht="14.4" x14ac:dyDescent="0.3">
      <c r="A3188" s="1192" t="s">
        <v>207</v>
      </c>
      <c r="B3188" s="1192" t="s">
        <v>3093</v>
      </c>
      <c r="E3188" s="2114" t="s">
        <v>209</v>
      </c>
      <c r="F3188" s="2114"/>
      <c r="G3188" s="1262" t="s">
        <v>29</v>
      </c>
      <c r="H3188" s="837">
        <v>2.5238999999999998</v>
      </c>
      <c r="K3188" s="1192" t="s">
        <v>3937</v>
      </c>
      <c r="L3188" s="1192" t="s">
        <v>432</v>
      </c>
      <c r="P3188" s="1192" t="s">
        <v>3942</v>
      </c>
      <c r="V3188" s="1192">
        <v>74</v>
      </c>
    </row>
    <row r="3189" spans="1:22" s="1192" customFormat="1" ht="14.4" x14ac:dyDescent="0.3">
      <c r="A3189" s="1192" t="s">
        <v>207</v>
      </c>
      <c r="B3189" s="1192" t="s">
        <v>3093</v>
      </c>
      <c r="E3189" s="1748" t="s">
        <v>2405</v>
      </c>
      <c r="F3189" s="1740"/>
      <c r="G3189" s="1255"/>
      <c r="H3189" s="931"/>
      <c r="K3189" s="1192" t="s">
        <v>2526</v>
      </c>
      <c r="V3189" s="1192">
        <v>48</v>
      </c>
    </row>
    <row r="3190" spans="1:22" s="1192" customFormat="1" ht="14.4" x14ac:dyDescent="0.3">
      <c r="A3190" s="1192" t="s">
        <v>207</v>
      </c>
      <c r="B3190" s="1192" t="s">
        <v>3093</v>
      </c>
      <c r="E3190" s="2114" t="s">
        <v>2033</v>
      </c>
      <c r="F3190" s="2114"/>
      <c r="G3190" s="1262" t="s">
        <v>20</v>
      </c>
      <c r="H3190" s="932">
        <v>3.0000000000000001E-3</v>
      </c>
      <c r="K3190" s="1192" t="s">
        <v>3937</v>
      </c>
      <c r="L3190" s="1192" t="s">
        <v>2374</v>
      </c>
      <c r="P3190" s="1192" t="s">
        <v>3943</v>
      </c>
      <c r="V3190" s="1192">
        <v>55</v>
      </c>
    </row>
    <row r="3191" spans="1:22" s="1192" customFormat="1" ht="14.4" x14ac:dyDescent="0.3">
      <c r="A3191" s="1192" t="s">
        <v>207</v>
      </c>
      <c r="B3191" s="1192" t="s">
        <v>3093</v>
      </c>
      <c r="E3191" s="2114" t="s">
        <v>2034</v>
      </c>
      <c r="F3191" s="2114"/>
      <c r="G3191" s="1262" t="s">
        <v>20</v>
      </c>
      <c r="H3191" s="932">
        <v>4.0000000000000002E-4</v>
      </c>
      <c r="K3191" s="1192" t="s">
        <v>3937</v>
      </c>
      <c r="L3191" s="1192" t="s">
        <v>2374</v>
      </c>
      <c r="P3191" s="1192" t="s">
        <v>3943</v>
      </c>
      <c r="V3191" s="1192">
        <v>65</v>
      </c>
    </row>
    <row r="3192" spans="1:22" s="1192" customFormat="1" ht="14.4" x14ac:dyDescent="0.3">
      <c r="A3192" s="1192" t="s">
        <v>207</v>
      </c>
      <c r="B3192" s="1192" t="s">
        <v>3093</v>
      </c>
      <c r="E3192" s="2114" t="s">
        <v>428</v>
      </c>
      <c r="F3192" s="2114"/>
      <c r="G3192" s="1262" t="s">
        <v>20</v>
      </c>
      <c r="H3192" s="932">
        <v>5.0000000000000001E-4</v>
      </c>
      <c r="K3192" s="1192" t="s">
        <v>3937</v>
      </c>
      <c r="L3192" s="1192" t="s">
        <v>2374</v>
      </c>
      <c r="P3192" s="1192" t="s">
        <v>3944</v>
      </c>
      <c r="V3192" s="1192">
        <v>57</v>
      </c>
    </row>
    <row r="3193" spans="1:22" s="1192" customFormat="1" ht="14.4" x14ac:dyDescent="0.3">
      <c r="A3193" s="1192" t="s">
        <v>207</v>
      </c>
      <c r="B3193" s="1192" t="s">
        <v>3093</v>
      </c>
      <c r="E3193" s="2114" t="s">
        <v>28</v>
      </c>
      <c r="F3193" s="2114"/>
      <c r="G3193" s="1262" t="s">
        <v>19</v>
      </c>
      <c r="H3193" s="932">
        <v>0.25</v>
      </c>
      <c r="K3193" s="1192" t="s">
        <v>3937</v>
      </c>
      <c r="L3193" s="1192" t="s">
        <v>2374</v>
      </c>
      <c r="P3193" s="1192" t="s">
        <v>3945</v>
      </c>
      <c r="V3193" s="1192">
        <v>63</v>
      </c>
    </row>
    <row r="3194" spans="1:22" s="1192" customFormat="1" ht="17.399999999999999" x14ac:dyDescent="0.3">
      <c r="A3194" s="1192" t="s">
        <v>207</v>
      </c>
      <c r="B3194" s="1192" t="s">
        <v>3093</v>
      </c>
      <c r="E3194" s="2045" t="s">
        <v>2031</v>
      </c>
      <c r="F3194" s="1747"/>
      <c r="G3194" s="1747"/>
      <c r="H3194" s="1747"/>
      <c r="K3194" s="1192" t="s">
        <v>4296</v>
      </c>
      <c r="V3194" s="1192">
        <v>60</v>
      </c>
    </row>
    <row r="3195" spans="1:22" s="1192" customFormat="1" ht="14.4" x14ac:dyDescent="0.3">
      <c r="A3195" s="1192" t="s">
        <v>207</v>
      </c>
      <c r="B3195" s="1192" t="s">
        <v>3093</v>
      </c>
      <c r="E3195" s="2115" t="s">
        <v>3098</v>
      </c>
      <c r="F3195" s="2115"/>
      <c r="G3195" s="2115"/>
      <c r="H3195" s="2115"/>
      <c r="K3195" s="1192" t="s">
        <v>4296</v>
      </c>
      <c r="V3195" s="1192">
        <v>366</v>
      </c>
    </row>
    <row r="3196" spans="1:22" s="1192" customFormat="1" ht="14.4" x14ac:dyDescent="0.3">
      <c r="A3196" s="1192" t="s">
        <v>207</v>
      </c>
      <c r="B3196" s="1192" t="s">
        <v>3093</v>
      </c>
      <c r="E3196" s="1750" t="s">
        <v>2389</v>
      </c>
      <c r="F3196" s="1743"/>
      <c r="G3196" s="1743"/>
      <c r="H3196" s="1743"/>
      <c r="K3196" s="1192" t="s">
        <v>2529</v>
      </c>
      <c r="V3196" s="1192">
        <v>11</v>
      </c>
    </row>
    <row r="3197" spans="1:22" s="1192" customFormat="1" ht="14.4" x14ac:dyDescent="0.3">
      <c r="A3197" s="1192" t="s">
        <v>207</v>
      </c>
      <c r="B3197" s="1192" t="s">
        <v>3093</v>
      </c>
      <c r="E3197" s="2115" t="s">
        <v>2391</v>
      </c>
      <c r="F3197" s="2115"/>
      <c r="G3197" s="2115"/>
      <c r="H3197" s="2115"/>
      <c r="K3197" s="1192" t="s">
        <v>4296</v>
      </c>
      <c r="V3197" s="1192">
        <v>280</v>
      </c>
    </row>
    <row r="3198" spans="1:22" s="1192" customFormat="1" ht="14.4" x14ac:dyDescent="0.3">
      <c r="A3198" s="1192" t="s">
        <v>207</v>
      </c>
      <c r="B3198" s="1192" t="s">
        <v>3093</v>
      </c>
      <c r="E3198" s="2115" t="s">
        <v>2392</v>
      </c>
      <c r="F3198" s="2115"/>
      <c r="G3198" s="2115"/>
      <c r="H3198" s="2115"/>
      <c r="K3198" s="1192" t="s">
        <v>4296</v>
      </c>
      <c r="V3198" s="1192">
        <v>411</v>
      </c>
    </row>
    <row r="3199" spans="1:22" s="1192" customFormat="1" ht="14.4" x14ac:dyDescent="0.3">
      <c r="A3199" s="1192" t="s">
        <v>207</v>
      </c>
      <c r="B3199" s="1192" t="s">
        <v>3093</v>
      </c>
      <c r="E3199" s="2115" t="s">
        <v>2393</v>
      </c>
      <c r="F3199" s="2115"/>
      <c r="G3199" s="2115"/>
      <c r="H3199" s="2115"/>
      <c r="K3199" s="1192" t="s">
        <v>4296</v>
      </c>
      <c r="V3199" s="1192">
        <v>387</v>
      </c>
    </row>
    <row r="3200" spans="1:22" s="1192" customFormat="1" ht="14.4" x14ac:dyDescent="0.3">
      <c r="A3200" s="1192" t="s">
        <v>207</v>
      </c>
      <c r="B3200" s="1192" t="s">
        <v>3093</v>
      </c>
      <c r="E3200" s="1743" t="s">
        <v>4503</v>
      </c>
      <c r="F3200" s="1743"/>
      <c r="G3200" s="1743"/>
      <c r="H3200" s="1743"/>
      <c r="K3200" s="1192" t="s">
        <v>4296</v>
      </c>
      <c r="V3200" s="1192">
        <v>677</v>
      </c>
    </row>
    <row r="3201" spans="1:22" s="1192" customFormat="1" ht="14.4" x14ac:dyDescent="0.3">
      <c r="A3201" s="1192" t="s">
        <v>207</v>
      </c>
      <c r="B3201" s="1192" t="s">
        <v>3093</v>
      </c>
      <c r="E3201" s="1743" t="s">
        <v>4644</v>
      </c>
      <c r="F3201" s="1743"/>
      <c r="G3201" s="1743"/>
      <c r="H3201" s="1743"/>
      <c r="K3201" s="1192" t="s">
        <v>4296</v>
      </c>
      <c r="V3201" s="1192">
        <v>693</v>
      </c>
    </row>
    <row r="3202" spans="1:22" s="1192" customFormat="1" ht="14.4" x14ac:dyDescent="0.3">
      <c r="A3202" s="1192" t="s">
        <v>207</v>
      </c>
      <c r="B3202" s="1192" t="s">
        <v>3093</v>
      </c>
      <c r="E3202" s="2115" t="s">
        <v>2986</v>
      </c>
      <c r="F3202" s="2115"/>
      <c r="G3202" s="2115"/>
      <c r="H3202" s="2115"/>
      <c r="K3202" s="1192" t="s">
        <v>4296</v>
      </c>
      <c r="V3202" s="1192">
        <v>246</v>
      </c>
    </row>
    <row r="3203" spans="1:22" s="1192" customFormat="1" ht="14.4" x14ac:dyDescent="0.3">
      <c r="A3203" s="1192" t="s">
        <v>207</v>
      </c>
      <c r="B3203" s="1192" t="s">
        <v>3093</v>
      </c>
      <c r="E3203" s="1748" t="s">
        <v>2394</v>
      </c>
      <c r="F3203" s="1749"/>
      <c r="G3203" s="1749"/>
      <c r="H3203" s="1749"/>
      <c r="K3203" s="1192" t="s">
        <v>2531</v>
      </c>
      <c r="V3203" s="1192">
        <v>46</v>
      </c>
    </row>
    <row r="3204" spans="1:22" s="1192" customFormat="1" ht="14.4" x14ac:dyDescent="0.3">
      <c r="A3204" s="1192" t="s">
        <v>207</v>
      </c>
      <c r="B3204" s="1192" t="s">
        <v>3093</v>
      </c>
      <c r="E3204" s="2114" t="s">
        <v>7</v>
      </c>
      <c r="F3204" s="2114"/>
      <c r="G3204" s="1262" t="s">
        <v>19</v>
      </c>
      <c r="H3204" s="837">
        <v>518.85</v>
      </c>
      <c r="K3204" s="1192" t="s">
        <v>4296</v>
      </c>
      <c r="L3204" s="1192" t="s">
        <v>430</v>
      </c>
      <c r="P3204" s="1192" t="s">
        <v>4297</v>
      </c>
      <c r="V3204" s="1192">
        <v>14</v>
      </c>
    </row>
    <row r="3205" spans="1:22" s="1192" customFormat="1" ht="14.4" x14ac:dyDescent="0.3">
      <c r="A3205" s="1192" t="s">
        <v>207</v>
      </c>
      <c r="B3205" s="1192" t="s">
        <v>3093</v>
      </c>
      <c r="E3205" s="2114" t="s">
        <v>3096</v>
      </c>
      <c r="F3205" s="2114" t="s">
        <v>19</v>
      </c>
      <c r="G3205" s="1262" t="s">
        <v>19</v>
      </c>
      <c r="H3205" s="509">
        <v>-5.19</v>
      </c>
      <c r="K3205" s="1192" t="s">
        <v>4296</v>
      </c>
      <c r="L3205" s="1192" t="s">
        <v>430</v>
      </c>
      <c r="P3205" s="1192" t="s">
        <v>6232</v>
      </c>
      <c r="T3205" s="1192">
        <v>44134</v>
      </c>
      <c r="V3205" s="1192">
        <v>91</v>
      </c>
    </row>
    <row r="3206" spans="1:22" s="1192" customFormat="1" ht="14.4" x14ac:dyDescent="0.3">
      <c r="A3206" s="1192" t="s">
        <v>207</v>
      </c>
      <c r="B3206" s="1192" t="s">
        <v>3093</v>
      </c>
      <c r="E3206" s="2114" t="s">
        <v>80</v>
      </c>
      <c r="F3206" s="2114"/>
      <c r="G3206" s="1262" t="s">
        <v>29</v>
      </c>
      <c r="H3206" s="837">
        <v>2.7397999999999998</v>
      </c>
      <c r="K3206" s="1192" t="s">
        <v>4296</v>
      </c>
      <c r="L3206" s="1192" t="s">
        <v>430</v>
      </c>
      <c r="P3206" s="1192" t="s">
        <v>4298</v>
      </c>
      <c r="V3206" s="1192">
        <v>28</v>
      </c>
    </row>
    <row r="3207" spans="1:22" s="1192" customFormat="1" ht="14.4" x14ac:dyDescent="0.3">
      <c r="A3207" s="1192" t="s">
        <v>207</v>
      </c>
      <c r="B3207" s="1192" t="s">
        <v>3093</v>
      </c>
      <c r="E3207" s="2114" t="s">
        <v>3096</v>
      </c>
      <c r="F3207" s="2114" t="s">
        <v>29</v>
      </c>
      <c r="G3207" s="1262" t="s">
        <v>29</v>
      </c>
      <c r="H3207" s="1219">
        <v>-2.7400000000000001E-2</v>
      </c>
      <c r="K3207" s="1192" t="s">
        <v>4296</v>
      </c>
      <c r="L3207" s="1192" t="s">
        <v>430</v>
      </c>
      <c r="P3207" s="1192" t="s">
        <v>6233</v>
      </c>
      <c r="T3207" s="1192">
        <v>44134</v>
      </c>
      <c r="V3207" s="1192">
        <v>91</v>
      </c>
    </row>
    <row r="3208" spans="1:22" s="1192" customFormat="1" ht="14.4" x14ac:dyDescent="0.3">
      <c r="A3208" s="1192" t="s">
        <v>207</v>
      </c>
      <c r="B3208" s="1192" t="s">
        <v>3093</v>
      </c>
      <c r="E3208" s="2114" t="s">
        <v>4299</v>
      </c>
      <c r="F3208" s="2114"/>
      <c r="G3208" s="1262" t="s">
        <v>29</v>
      </c>
      <c r="H3208" s="932">
        <v>0.47949999999999998</v>
      </c>
      <c r="K3208" s="1192" t="s">
        <v>4296</v>
      </c>
      <c r="L3208" s="1192" t="s">
        <v>430</v>
      </c>
      <c r="P3208" s="1192" t="s">
        <v>6234</v>
      </c>
      <c r="V3208" s="1192">
        <v>134</v>
      </c>
    </row>
    <row r="3209" spans="1:22" s="1192" customFormat="1" ht="14.4" x14ac:dyDescent="0.3">
      <c r="A3209" s="1192" t="s">
        <v>207</v>
      </c>
      <c r="B3209" s="1192" t="s">
        <v>3093</v>
      </c>
      <c r="E3209" s="2114" t="s">
        <v>213</v>
      </c>
      <c r="F3209" s="2114"/>
      <c r="G3209" s="1262" t="s">
        <v>29</v>
      </c>
      <c r="H3209" s="837">
        <v>2.9186000000000001</v>
      </c>
      <c r="K3209" s="1192" t="s">
        <v>4296</v>
      </c>
      <c r="L3209" s="1192" t="s">
        <v>432</v>
      </c>
      <c r="P3209" s="1192" t="s">
        <v>4300</v>
      </c>
      <c r="V3209" s="1192">
        <v>47</v>
      </c>
    </row>
    <row r="3210" spans="1:22" s="1192" customFormat="1" ht="14.4" x14ac:dyDescent="0.3">
      <c r="A3210" s="1192" t="s">
        <v>207</v>
      </c>
      <c r="B3210" s="1192" t="s">
        <v>3093</v>
      </c>
      <c r="E3210" s="2114" t="s">
        <v>209</v>
      </c>
      <c r="F3210" s="2114"/>
      <c r="G3210" s="1262" t="s">
        <v>29</v>
      </c>
      <c r="H3210" s="837">
        <v>2.5238999999999998</v>
      </c>
      <c r="K3210" s="1192" t="s">
        <v>4296</v>
      </c>
      <c r="L3210" s="1192" t="s">
        <v>432</v>
      </c>
      <c r="P3210" s="1192" t="s">
        <v>4301</v>
      </c>
      <c r="V3210" s="1192">
        <v>74</v>
      </c>
    </row>
    <row r="3211" spans="1:22" s="1192" customFormat="1" ht="14.4" x14ac:dyDescent="0.3">
      <c r="A3211" s="1192" t="s">
        <v>207</v>
      </c>
      <c r="B3211" s="1192" t="s">
        <v>3093</v>
      </c>
      <c r="E3211" s="1748" t="s">
        <v>2405</v>
      </c>
      <c r="F3211" s="1740"/>
      <c r="G3211" s="1255"/>
      <c r="H3211" s="931"/>
      <c r="K3211" s="1192" t="s">
        <v>2532</v>
      </c>
      <c r="V3211" s="1192">
        <v>48</v>
      </c>
    </row>
    <row r="3212" spans="1:22" s="1192" customFormat="1" ht="14.4" x14ac:dyDescent="0.3">
      <c r="A3212" s="1192" t="s">
        <v>207</v>
      </c>
      <c r="B3212" s="1192" t="s">
        <v>3093</v>
      </c>
      <c r="E3212" s="2114" t="s">
        <v>2033</v>
      </c>
      <c r="F3212" s="2114"/>
      <c r="G3212" s="1262" t="s">
        <v>20</v>
      </c>
      <c r="H3212" s="932">
        <v>3.0000000000000001E-3</v>
      </c>
      <c r="K3212" s="1192" t="s">
        <v>4296</v>
      </c>
      <c r="L3212" s="1192" t="s">
        <v>2374</v>
      </c>
      <c r="P3212" s="1192" t="s">
        <v>4302</v>
      </c>
      <c r="V3212" s="1192">
        <v>55</v>
      </c>
    </row>
    <row r="3213" spans="1:22" s="1192" customFormat="1" ht="14.4" x14ac:dyDescent="0.3">
      <c r="A3213" s="1192" t="s">
        <v>207</v>
      </c>
      <c r="B3213" s="1192" t="s">
        <v>3093</v>
      </c>
      <c r="E3213" s="2114" t="s">
        <v>2034</v>
      </c>
      <c r="F3213" s="2114"/>
      <c r="G3213" s="1262" t="s">
        <v>20</v>
      </c>
      <c r="H3213" s="932">
        <v>4.0000000000000002E-4</v>
      </c>
      <c r="K3213" s="1192" t="s">
        <v>4296</v>
      </c>
      <c r="L3213" s="1192" t="s">
        <v>2374</v>
      </c>
      <c r="P3213" s="1192" t="s">
        <v>4302</v>
      </c>
      <c r="V3213" s="1192">
        <v>65</v>
      </c>
    </row>
    <row r="3214" spans="1:22" s="1192" customFormat="1" ht="14.4" x14ac:dyDescent="0.3">
      <c r="A3214" s="1192" t="s">
        <v>207</v>
      </c>
      <c r="B3214" s="1192" t="s">
        <v>3093</v>
      </c>
      <c r="E3214" s="2114" t="s">
        <v>428</v>
      </c>
      <c r="F3214" s="2114"/>
      <c r="G3214" s="1262" t="s">
        <v>20</v>
      </c>
      <c r="H3214" s="932">
        <v>5.0000000000000001E-4</v>
      </c>
      <c r="K3214" s="1192" t="s">
        <v>4296</v>
      </c>
      <c r="L3214" s="1192" t="s">
        <v>2374</v>
      </c>
      <c r="P3214" s="1192" t="s">
        <v>4303</v>
      </c>
      <c r="V3214" s="1192">
        <v>57</v>
      </c>
    </row>
    <row r="3215" spans="1:22" s="1192" customFormat="1" ht="14.4" x14ac:dyDescent="0.3">
      <c r="A3215" s="1192" t="s">
        <v>207</v>
      </c>
      <c r="B3215" s="1192" t="s">
        <v>3093</v>
      </c>
      <c r="E3215" s="2114" t="s">
        <v>28</v>
      </c>
      <c r="F3215" s="2114"/>
      <c r="G3215" s="1262" t="s">
        <v>19</v>
      </c>
      <c r="H3215" s="932">
        <v>0.25</v>
      </c>
      <c r="K3215" s="1192" t="s">
        <v>4296</v>
      </c>
      <c r="L3215" s="1192" t="s">
        <v>2374</v>
      </c>
      <c r="P3215" s="1192" t="s">
        <v>4304</v>
      </c>
      <c r="V3215" s="1192">
        <v>63</v>
      </c>
    </row>
    <row r="3216" spans="1:22" s="1192" customFormat="1" ht="17.399999999999999" x14ac:dyDescent="0.3">
      <c r="A3216" s="1192" t="s">
        <v>207</v>
      </c>
      <c r="B3216" s="1192" t="s">
        <v>3093</v>
      </c>
      <c r="E3216" s="2045" t="s">
        <v>592</v>
      </c>
      <c r="F3216" s="1747"/>
      <c r="G3216" s="1747"/>
      <c r="H3216" s="1747"/>
      <c r="K3216" s="1192" t="s">
        <v>2726</v>
      </c>
      <c r="V3216" s="1192">
        <v>47</v>
      </c>
    </row>
    <row r="3217" spans="1:22" s="1192" customFormat="1" ht="14.4" x14ac:dyDescent="0.3">
      <c r="A3217" s="1192" t="s">
        <v>207</v>
      </c>
      <c r="B3217" s="1192" t="s">
        <v>3093</v>
      </c>
      <c r="E3217" s="2115" t="s">
        <v>3099</v>
      </c>
      <c r="F3217" s="2115"/>
      <c r="G3217" s="2115"/>
      <c r="H3217" s="2115"/>
      <c r="K3217" s="1192" t="s">
        <v>2726</v>
      </c>
      <c r="V3217" s="1192">
        <v>723</v>
      </c>
    </row>
    <row r="3218" spans="1:22" s="1192" customFormat="1" ht="14.4" x14ac:dyDescent="0.3">
      <c r="A3218" s="1192" t="s">
        <v>207</v>
      </c>
      <c r="B3218" s="1192" t="s">
        <v>3093</v>
      </c>
      <c r="E3218" s="1750" t="s">
        <v>2389</v>
      </c>
      <c r="F3218" s="1743"/>
      <c r="G3218" s="1743"/>
      <c r="H3218" s="1743"/>
      <c r="K3218" s="1192" t="s">
        <v>2424</v>
      </c>
      <c r="V3218" s="1192">
        <v>11</v>
      </c>
    </row>
    <row r="3219" spans="1:22" s="1192" customFormat="1" ht="14.4" x14ac:dyDescent="0.3">
      <c r="A3219" s="1192" t="s">
        <v>207</v>
      </c>
      <c r="B3219" s="1192" t="s">
        <v>3093</v>
      </c>
      <c r="E3219" s="2115" t="s">
        <v>2391</v>
      </c>
      <c r="F3219" s="2115"/>
      <c r="G3219" s="2115"/>
      <c r="H3219" s="2115"/>
      <c r="K3219" s="1192" t="s">
        <v>2726</v>
      </c>
      <c r="V3219" s="1192">
        <v>280</v>
      </c>
    </row>
    <row r="3220" spans="1:22" s="1192" customFormat="1" ht="14.4" x14ac:dyDescent="0.3">
      <c r="A3220" s="1192" t="s">
        <v>207</v>
      </c>
      <c r="B3220" s="1192" t="s">
        <v>3093</v>
      </c>
      <c r="E3220" s="2115" t="s">
        <v>2392</v>
      </c>
      <c r="F3220" s="2115"/>
      <c r="G3220" s="2115"/>
      <c r="H3220" s="2115"/>
      <c r="K3220" s="1192" t="s">
        <v>2726</v>
      </c>
      <c r="V3220" s="1192">
        <v>411</v>
      </c>
    </row>
    <row r="3221" spans="1:22" s="1192" customFormat="1" ht="14.4" x14ac:dyDescent="0.3">
      <c r="A3221" s="1192" t="s">
        <v>207</v>
      </c>
      <c r="B3221" s="1192" t="s">
        <v>3093</v>
      </c>
      <c r="E3221" s="2115" t="s">
        <v>2393</v>
      </c>
      <c r="F3221" s="2115"/>
      <c r="G3221" s="2115"/>
      <c r="H3221" s="2115"/>
      <c r="K3221" s="1192" t="s">
        <v>2726</v>
      </c>
      <c r="V3221" s="1192">
        <v>387</v>
      </c>
    </row>
    <row r="3222" spans="1:22" s="1192" customFormat="1" ht="14.4" x14ac:dyDescent="0.3">
      <c r="A3222" s="1192" t="s">
        <v>207</v>
      </c>
      <c r="B3222" s="1192" t="s">
        <v>3093</v>
      </c>
      <c r="E3222" s="2115" t="s">
        <v>2986</v>
      </c>
      <c r="F3222" s="2115"/>
      <c r="G3222" s="2115"/>
      <c r="H3222" s="2115"/>
      <c r="K3222" s="1192" t="s">
        <v>2726</v>
      </c>
      <c r="V3222" s="1192">
        <v>246</v>
      </c>
    </row>
    <row r="3223" spans="1:22" s="1192" customFormat="1" ht="14.4" x14ac:dyDescent="0.3">
      <c r="A3223" s="1192" t="s">
        <v>207</v>
      </c>
      <c r="B3223" s="1192" t="s">
        <v>3093</v>
      </c>
      <c r="E3223" s="1748" t="s">
        <v>2394</v>
      </c>
      <c r="F3223" s="1749"/>
      <c r="G3223" s="1749"/>
      <c r="H3223" s="1749"/>
      <c r="K3223" s="1192" t="s">
        <v>2425</v>
      </c>
      <c r="V3223" s="1192">
        <v>46</v>
      </c>
    </row>
    <row r="3224" spans="1:22" s="1192" customFormat="1" ht="14.4" x14ac:dyDescent="0.3">
      <c r="A3224" s="1192" t="s">
        <v>207</v>
      </c>
      <c r="B3224" s="1192" t="s">
        <v>3093</v>
      </c>
      <c r="E3224" s="2114" t="s">
        <v>7</v>
      </c>
      <c r="F3224" s="2114"/>
      <c r="G3224" s="1262" t="s">
        <v>19</v>
      </c>
      <c r="H3224" s="837">
        <v>10.53</v>
      </c>
      <c r="K3224" s="1192" t="s">
        <v>2726</v>
      </c>
      <c r="L3224" s="1192" t="s">
        <v>430</v>
      </c>
      <c r="P3224" s="1192" t="s">
        <v>2727</v>
      </c>
      <c r="V3224" s="1192">
        <v>14</v>
      </c>
    </row>
    <row r="3225" spans="1:22" s="1192" customFormat="1" ht="14.4" x14ac:dyDescent="0.3">
      <c r="A3225" s="1192" t="s">
        <v>207</v>
      </c>
      <c r="B3225" s="1192" t="s">
        <v>3093</v>
      </c>
      <c r="E3225" s="2114" t="s">
        <v>3096</v>
      </c>
      <c r="F3225" s="2114"/>
      <c r="G3225" s="1262" t="s">
        <v>19</v>
      </c>
      <c r="H3225" s="509">
        <v>-0.11</v>
      </c>
      <c r="K3225" s="1192" t="s">
        <v>2726</v>
      </c>
      <c r="L3225" s="1192" t="s">
        <v>430</v>
      </c>
      <c r="P3225" s="1192" t="s">
        <v>6235</v>
      </c>
      <c r="T3225" s="1192">
        <v>44134</v>
      </c>
      <c r="V3225" s="1192">
        <v>91</v>
      </c>
    </row>
    <row r="3226" spans="1:22" s="1192" customFormat="1" ht="14.4" x14ac:dyDescent="0.3">
      <c r="A3226" s="1192" t="s">
        <v>207</v>
      </c>
      <c r="B3226" s="1192" t="s">
        <v>3093</v>
      </c>
      <c r="E3226" s="2114" t="s">
        <v>80</v>
      </c>
      <c r="F3226" s="2114"/>
      <c r="G3226" s="1262" t="s">
        <v>20</v>
      </c>
      <c r="H3226" s="837">
        <v>1.2200000000000001E-2</v>
      </c>
      <c r="K3226" s="1192" t="s">
        <v>2726</v>
      </c>
      <c r="L3226" s="1192" t="s">
        <v>430</v>
      </c>
      <c r="P3226" s="1192" t="s">
        <v>2728</v>
      </c>
      <c r="V3226" s="1192">
        <v>28</v>
      </c>
    </row>
    <row r="3227" spans="1:22" s="1192" customFormat="1" ht="14.4" x14ac:dyDescent="0.3">
      <c r="A3227" s="1192" t="s">
        <v>207</v>
      </c>
      <c r="B3227" s="1192" t="s">
        <v>3093</v>
      </c>
      <c r="E3227" s="2114" t="s">
        <v>3096</v>
      </c>
      <c r="F3227" s="2114"/>
      <c r="G3227" s="1262" t="s">
        <v>20</v>
      </c>
      <c r="H3227" s="1219">
        <v>-1E-4</v>
      </c>
      <c r="K3227" s="1192" t="s">
        <v>2726</v>
      </c>
      <c r="L3227" s="1192" t="s">
        <v>430</v>
      </c>
      <c r="P3227" s="1192" t="s">
        <v>6236</v>
      </c>
      <c r="T3227" s="1192">
        <v>44134</v>
      </c>
      <c r="V3227" s="1192">
        <v>91</v>
      </c>
    </row>
    <row r="3228" spans="1:22" s="1192" customFormat="1" ht="14.4" x14ac:dyDescent="0.3">
      <c r="A3228" s="1192" t="s">
        <v>207</v>
      </c>
      <c r="B3228" s="1192" t="s">
        <v>3093</v>
      </c>
      <c r="E3228" s="2114" t="s">
        <v>4294</v>
      </c>
      <c r="F3228" s="2114"/>
      <c r="G3228" s="1262" t="s">
        <v>20</v>
      </c>
      <c r="H3228" s="932">
        <v>8.0000000000000004E-4</v>
      </c>
      <c r="K3228" s="1192" t="s">
        <v>2726</v>
      </c>
      <c r="L3228" s="1192" t="s">
        <v>430</v>
      </c>
      <c r="P3228" s="1192" t="s">
        <v>6237</v>
      </c>
      <c r="V3228" s="1192">
        <v>133</v>
      </c>
    </row>
    <row r="3229" spans="1:22" s="1192" customFormat="1" ht="14.4" x14ac:dyDescent="0.3">
      <c r="A3229" s="1192" t="s">
        <v>207</v>
      </c>
      <c r="B3229" s="1192" t="s">
        <v>3093</v>
      </c>
      <c r="E3229" s="2114" t="s">
        <v>213</v>
      </c>
      <c r="F3229" s="2114"/>
      <c r="G3229" s="1262" t="s">
        <v>20</v>
      </c>
      <c r="H3229" s="837">
        <v>6.7999999999999996E-3</v>
      </c>
      <c r="K3229" s="1192" t="s">
        <v>2726</v>
      </c>
      <c r="L3229" s="1192" t="s">
        <v>432</v>
      </c>
      <c r="P3229" s="1192" t="s">
        <v>2731</v>
      </c>
      <c r="V3229" s="1192">
        <v>47</v>
      </c>
    </row>
    <row r="3230" spans="1:22" s="1192" customFormat="1" ht="14.4" x14ac:dyDescent="0.3">
      <c r="A3230" s="1192" t="s">
        <v>207</v>
      </c>
      <c r="B3230" s="1192" t="s">
        <v>3093</v>
      </c>
      <c r="E3230" s="2114" t="s">
        <v>209</v>
      </c>
      <c r="F3230" s="2114"/>
      <c r="G3230" s="1262" t="s">
        <v>20</v>
      </c>
      <c r="H3230" s="837">
        <v>5.8999999999999999E-3</v>
      </c>
      <c r="K3230" s="1192" t="s">
        <v>2726</v>
      </c>
      <c r="L3230" s="1192" t="s">
        <v>432</v>
      </c>
      <c r="P3230" s="1192" t="s">
        <v>2732</v>
      </c>
      <c r="V3230" s="1192">
        <v>74</v>
      </c>
    </row>
    <row r="3231" spans="1:22" s="1192" customFormat="1" ht="14.4" x14ac:dyDescent="0.3">
      <c r="A3231" s="1192" t="s">
        <v>207</v>
      </c>
      <c r="B3231" s="1192" t="s">
        <v>3093</v>
      </c>
      <c r="E3231" s="1748" t="s">
        <v>2405</v>
      </c>
      <c r="F3231" s="1740"/>
      <c r="G3231" s="1255"/>
      <c r="H3231" s="931"/>
      <c r="K3231" s="1192" t="s">
        <v>2427</v>
      </c>
      <c r="V3231" s="1192">
        <v>48</v>
      </c>
    </row>
    <row r="3232" spans="1:22" s="1192" customFormat="1" ht="14.4" x14ac:dyDescent="0.3">
      <c r="A3232" s="1192" t="s">
        <v>207</v>
      </c>
      <c r="B3232" s="1192" t="s">
        <v>3093</v>
      </c>
      <c r="E3232" s="2114" t="s">
        <v>2033</v>
      </c>
      <c r="F3232" s="2114"/>
      <c r="G3232" s="1262" t="s">
        <v>20</v>
      </c>
      <c r="H3232" s="932">
        <v>3.0000000000000001E-3</v>
      </c>
      <c r="K3232" s="1192" t="s">
        <v>2726</v>
      </c>
      <c r="L3232" s="1192" t="s">
        <v>2374</v>
      </c>
      <c r="P3232" s="1192" t="s">
        <v>2733</v>
      </c>
      <c r="V3232" s="1192">
        <v>55</v>
      </c>
    </row>
    <row r="3233" spans="1:22" s="1192" customFormat="1" ht="14.4" x14ac:dyDescent="0.3">
      <c r="A3233" s="1192" t="s">
        <v>207</v>
      </c>
      <c r="B3233" s="1192" t="s">
        <v>3093</v>
      </c>
      <c r="E3233" s="2114" t="s">
        <v>2034</v>
      </c>
      <c r="F3233" s="2114"/>
      <c r="G3233" s="1262" t="s">
        <v>20</v>
      </c>
      <c r="H3233" s="932">
        <v>4.0000000000000002E-4</v>
      </c>
      <c r="K3233" s="1192" t="s">
        <v>2726</v>
      </c>
      <c r="L3233" s="1192" t="s">
        <v>2374</v>
      </c>
      <c r="P3233" s="1192" t="s">
        <v>2733</v>
      </c>
      <c r="V3233" s="1192">
        <v>65</v>
      </c>
    </row>
    <row r="3234" spans="1:22" s="1192" customFormat="1" ht="14.4" x14ac:dyDescent="0.3">
      <c r="A3234" s="1192" t="s">
        <v>207</v>
      </c>
      <c r="B3234" s="1192" t="s">
        <v>3093</v>
      </c>
      <c r="E3234" s="2114" t="s">
        <v>428</v>
      </c>
      <c r="F3234" s="2114"/>
      <c r="G3234" s="1262" t="s">
        <v>20</v>
      </c>
      <c r="H3234" s="932">
        <v>5.0000000000000001E-4</v>
      </c>
      <c r="K3234" s="1192" t="s">
        <v>2726</v>
      </c>
      <c r="L3234" s="1192" t="s">
        <v>2374</v>
      </c>
      <c r="P3234" s="1192" t="s">
        <v>2734</v>
      </c>
      <c r="V3234" s="1192">
        <v>57</v>
      </c>
    </row>
    <row r="3235" spans="1:22" s="1192" customFormat="1" ht="14.4" x14ac:dyDescent="0.3">
      <c r="A3235" s="1192" t="s">
        <v>207</v>
      </c>
      <c r="B3235" s="1192" t="s">
        <v>3093</v>
      </c>
      <c r="E3235" s="2114" t="s">
        <v>28</v>
      </c>
      <c r="F3235" s="2114"/>
      <c r="G3235" s="1262" t="s">
        <v>19</v>
      </c>
      <c r="H3235" s="932">
        <v>0.25</v>
      </c>
      <c r="K3235" s="1192" t="s">
        <v>2726</v>
      </c>
      <c r="L3235" s="1192" t="s">
        <v>2374</v>
      </c>
      <c r="P3235" s="1192" t="s">
        <v>2735</v>
      </c>
      <c r="V3235" s="1192">
        <v>63</v>
      </c>
    </row>
    <row r="3236" spans="1:22" s="1192" customFormat="1" ht="17.399999999999999" x14ac:dyDescent="0.3">
      <c r="A3236" s="1192" t="s">
        <v>207</v>
      </c>
      <c r="B3236" s="1192" t="s">
        <v>3093</v>
      </c>
      <c r="E3236" s="1746" t="s">
        <v>590</v>
      </c>
      <c r="F3236" s="1747"/>
      <c r="G3236" s="1747"/>
      <c r="H3236" s="1747"/>
      <c r="K3236" s="1192" t="s">
        <v>2428</v>
      </c>
      <c r="V3236" s="1192">
        <v>38</v>
      </c>
    </row>
    <row r="3237" spans="1:22" s="1192" customFormat="1" ht="14.4" x14ac:dyDescent="0.3">
      <c r="A3237" s="1192" t="s">
        <v>207</v>
      </c>
      <c r="B3237" s="1192" t="s">
        <v>3093</v>
      </c>
      <c r="E3237" s="2115" t="s">
        <v>3069</v>
      </c>
      <c r="F3237" s="2115"/>
      <c r="G3237" s="2115"/>
      <c r="H3237" s="2115"/>
      <c r="K3237" s="1192" t="s">
        <v>2428</v>
      </c>
      <c r="V3237" s="1192">
        <v>543</v>
      </c>
    </row>
    <row r="3238" spans="1:22" s="1192" customFormat="1" ht="14.4" x14ac:dyDescent="0.3">
      <c r="A3238" s="1192" t="s">
        <v>207</v>
      </c>
      <c r="B3238" s="1192" t="s">
        <v>3093</v>
      </c>
      <c r="E3238" s="1750" t="s">
        <v>2389</v>
      </c>
      <c r="F3238" s="1743"/>
      <c r="G3238" s="1743"/>
      <c r="H3238" s="1743"/>
      <c r="K3238" s="1192" t="s">
        <v>2430</v>
      </c>
      <c r="V3238" s="1192">
        <v>11</v>
      </c>
    </row>
    <row r="3239" spans="1:22" s="1192" customFormat="1" ht="14.4" x14ac:dyDescent="0.3">
      <c r="A3239" s="1192" t="s">
        <v>207</v>
      </c>
      <c r="B3239" s="1192" t="s">
        <v>3093</v>
      </c>
      <c r="E3239" s="2115" t="s">
        <v>2391</v>
      </c>
      <c r="F3239" s="2115"/>
      <c r="G3239" s="2115"/>
      <c r="H3239" s="2115"/>
      <c r="K3239" s="1192" t="s">
        <v>2428</v>
      </c>
      <c r="V3239" s="1192">
        <v>280</v>
      </c>
    </row>
    <row r="3240" spans="1:22" s="1192" customFormat="1" ht="14.4" x14ac:dyDescent="0.3">
      <c r="A3240" s="1192" t="s">
        <v>207</v>
      </c>
      <c r="B3240" s="1192" t="s">
        <v>3093</v>
      </c>
      <c r="E3240" s="2115" t="s">
        <v>2392</v>
      </c>
      <c r="F3240" s="2115"/>
      <c r="G3240" s="2115"/>
      <c r="H3240" s="2115"/>
      <c r="K3240" s="1192" t="s">
        <v>2428</v>
      </c>
      <c r="V3240" s="1192">
        <v>411</v>
      </c>
    </row>
    <row r="3241" spans="1:22" s="1192" customFormat="1" ht="14.4" x14ac:dyDescent="0.3">
      <c r="A3241" s="1192" t="s">
        <v>207</v>
      </c>
      <c r="B3241" s="1192" t="s">
        <v>3093</v>
      </c>
      <c r="E3241" s="2115" t="s">
        <v>2393</v>
      </c>
      <c r="F3241" s="2115"/>
      <c r="G3241" s="2115"/>
      <c r="H3241" s="2115"/>
      <c r="K3241" s="1192" t="s">
        <v>2428</v>
      </c>
      <c r="V3241" s="1192">
        <v>387</v>
      </c>
    </row>
    <row r="3242" spans="1:22" s="1192" customFormat="1" ht="14.4" x14ac:dyDescent="0.3">
      <c r="A3242" s="1192" t="s">
        <v>207</v>
      </c>
      <c r="B3242" s="1192" t="s">
        <v>3093</v>
      </c>
      <c r="E3242" s="2115" t="s">
        <v>2986</v>
      </c>
      <c r="F3242" s="2115"/>
      <c r="G3242" s="2115"/>
      <c r="H3242" s="2115"/>
      <c r="K3242" s="1192" t="s">
        <v>2428</v>
      </c>
      <c r="V3242" s="1192">
        <v>246</v>
      </c>
    </row>
    <row r="3243" spans="1:22" s="1192" customFormat="1" ht="14.4" x14ac:dyDescent="0.3">
      <c r="A3243" s="1192" t="s">
        <v>207</v>
      </c>
      <c r="B3243" s="1192" t="s">
        <v>3093</v>
      </c>
      <c r="E3243" s="1748" t="s">
        <v>2394</v>
      </c>
      <c r="F3243" s="1749"/>
      <c r="G3243" s="1749"/>
      <c r="H3243" s="1749"/>
      <c r="K3243" s="1192" t="s">
        <v>2431</v>
      </c>
      <c r="V3243" s="1192">
        <v>46</v>
      </c>
    </row>
    <row r="3244" spans="1:22" s="1192" customFormat="1" ht="14.4" x14ac:dyDescent="0.3">
      <c r="A3244" s="1192" t="s">
        <v>207</v>
      </c>
      <c r="B3244" s="1192" t="s">
        <v>3093</v>
      </c>
      <c r="E3244" s="2114" t="s">
        <v>7</v>
      </c>
      <c r="F3244" s="1740"/>
      <c r="G3244" s="1262" t="s">
        <v>19</v>
      </c>
      <c r="H3244" s="837">
        <v>3.09</v>
      </c>
      <c r="K3244" s="1192" t="s">
        <v>2428</v>
      </c>
      <c r="L3244" s="1192" t="s">
        <v>430</v>
      </c>
      <c r="P3244" s="1192" t="s">
        <v>2432</v>
      </c>
      <c r="V3244" s="1192">
        <v>14</v>
      </c>
    </row>
    <row r="3245" spans="1:22" s="1192" customFormat="1" ht="14.4" x14ac:dyDescent="0.3">
      <c r="A3245" s="1192" t="s">
        <v>207</v>
      </c>
      <c r="B3245" s="1192" t="s">
        <v>3093</v>
      </c>
      <c r="E3245" s="2114" t="s">
        <v>3096</v>
      </c>
      <c r="F3245" s="1740"/>
      <c r="G3245" s="1262" t="s">
        <v>19</v>
      </c>
      <c r="H3245" s="509">
        <v>-0.03</v>
      </c>
      <c r="K3245" s="1192" t="s">
        <v>2428</v>
      </c>
      <c r="L3245" s="1192" t="s">
        <v>430</v>
      </c>
      <c r="P3245" s="1192" t="s">
        <v>6238</v>
      </c>
      <c r="T3245" s="1192">
        <v>44134</v>
      </c>
      <c r="V3245" s="1192">
        <v>91</v>
      </c>
    </row>
    <row r="3246" spans="1:22" s="1192" customFormat="1" ht="14.4" x14ac:dyDescent="0.3">
      <c r="A3246" s="1192" t="s">
        <v>207</v>
      </c>
      <c r="B3246" s="1192" t="s">
        <v>3093</v>
      </c>
      <c r="E3246" s="2114" t="s">
        <v>80</v>
      </c>
      <c r="F3246" s="1740"/>
      <c r="G3246" s="1262" t="s">
        <v>29</v>
      </c>
      <c r="H3246" s="837">
        <v>12.4552</v>
      </c>
      <c r="K3246" s="1192" t="s">
        <v>2428</v>
      </c>
      <c r="L3246" s="1192" t="s">
        <v>430</v>
      </c>
      <c r="P3246" s="1192" t="s">
        <v>2433</v>
      </c>
      <c r="V3246" s="1192">
        <v>28</v>
      </c>
    </row>
    <row r="3247" spans="1:22" s="1192" customFormat="1" ht="14.4" x14ac:dyDescent="0.3">
      <c r="A3247" s="1192" t="s">
        <v>207</v>
      </c>
      <c r="B3247" s="1192" t="s">
        <v>3093</v>
      </c>
      <c r="E3247" s="2114" t="s">
        <v>3096</v>
      </c>
      <c r="F3247" s="1740"/>
      <c r="G3247" s="1262" t="s">
        <v>29</v>
      </c>
      <c r="H3247" s="1219">
        <v>-0.1246</v>
      </c>
      <c r="K3247" s="1192" t="s">
        <v>2428</v>
      </c>
      <c r="L3247" s="1192" t="s">
        <v>430</v>
      </c>
      <c r="P3247" s="1192" t="s">
        <v>6239</v>
      </c>
      <c r="T3247" s="1192">
        <v>44134</v>
      </c>
      <c r="V3247" s="1192">
        <v>91</v>
      </c>
    </row>
    <row r="3248" spans="1:22" s="1192" customFormat="1" ht="14.4" x14ac:dyDescent="0.3">
      <c r="A3248" s="1192" t="s">
        <v>207</v>
      </c>
      <c r="B3248" s="1192" t="s">
        <v>3093</v>
      </c>
      <c r="E3248" s="2114" t="s">
        <v>4294</v>
      </c>
      <c r="F3248" s="1740"/>
      <c r="G3248" s="1262" t="s">
        <v>29</v>
      </c>
      <c r="H3248" s="932">
        <v>0.21870000000000001</v>
      </c>
      <c r="K3248" s="1192" t="s">
        <v>2428</v>
      </c>
      <c r="L3248" s="1192" t="s">
        <v>430</v>
      </c>
      <c r="P3248" s="1192" t="s">
        <v>6240</v>
      </c>
      <c r="V3248" s="1192">
        <v>133</v>
      </c>
    </row>
    <row r="3249" spans="1:22" s="1192" customFormat="1" ht="14.4" x14ac:dyDescent="0.3">
      <c r="A3249" s="1192" t="s">
        <v>207</v>
      </c>
      <c r="B3249" s="1192" t="s">
        <v>3093</v>
      </c>
      <c r="E3249" s="2114" t="s">
        <v>213</v>
      </c>
      <c r="F3249" s="1740"/>
      <c r="G3249" s="1262" t="s">
        <v>29</v>
      </c>
      <c r="H3249" s="837">
        <v>2.1539999999999999</v>
      </c>
      <c r="K3249" s="1192" t="s">
        <v>2428</v>
      </c>
      <c r="L3249" s="1192" t="s">
        <v>432</v>
      </c>
      <c r="P3249" s="1192" t="s">
        <v>2436</v>
      </c>
      <c r="V3249" s="1192">
        <v>47</v>
      </c>
    </row>
    <row r="3250" spans="1:22" s="1192" customFormat="1" ht="14.4" x14ac:dyDescent="0.3">
      <c r="A3250" s="1192" t="s">
        <v>207</v>
      </c>
      <c r="B3250" s="1192" t="s">
        <v>3093</v>
      </c>
      <c r="E3250" s="2114" t="s">
        <v>209</v>
      </c>
      <c r="F3250" s="1740"/>
      <c r="G3250" s="1262" t="s">
        <v>29</v>
      </c>
      <c r="H3250" s="837">
        <v>1.8629</v>
      </c>
      <c r="K3250" s="1192" t="s">
        <v>2428</v>
      </c>
      <c r="L3250" s="1192" t="s">
        <v>432</v>
      </c>
      <c r="P3250" s="1192" t="s">
        <v>2437</v>
      </c>
      <c r="V3250" s="1192">
        <v>74</v>
      </c>
    </row>
    <row r="3251" spans="1:22" s="1192" customFormat="1" ht="14.4" x14ac:dyDescent="0.3">
      <c r="A3251" s="1192" t="s">
        <v>207</v>
      </c>
      <c r="B3251" s="1192" t="s">
        <v>3093</v>
      </c>
      <c r="E3251" s="1748" t="s">
        <v>2405</v>
      </c>
      <c r="F3251" s="1740"/>
      <c r="G3251" s="1255"/>
      <c r="H3251" s="931"/>
      <c r="K3251" s="1192" t="s">
        <v>2438</v>
      </c>
      <c r="V3251" s="1192">
        <v>48</v>
      </c>
    </row>
    <row r="3252" spans="1:22" s="1192" customFormat="1" ht="14.4" x14ac:dyDescent="0.3">
      <c r="A3252" s="1192" t="s">
        <v>207</v>
      </c>
      <c r="B3252" s="1192" t="s">
        <v>3093</v>
      </c>
      <c r="E3252" s="2114" t="s">
        <v>2033</v>
      </c>
      <c r="F3252" s="1740"/>
      <c r="G3252" s="1262" t="s">
        <v>20</v>
      </c>
      <c r="H3252" s="932">
        <v>3.0000000000000001E-3</v>
      </c>
      <c r="K3252" s="1192" t="s">
        <v>2428</v>
      </c>
      <c r="L3252" s="1192" t="s">
        <v>2374</v>
      </c>
      <c r="P3252" s="1192" t="s">
        <v>2439</v>
      </c>
      <c r="V3252" s="1192">
        <v>55</v>
      </c>
    </row>
    <row r="3253" spans="1:22" s="1192" customFormat="1" ht="14.4" x14ac:dyDescent="0.3">
      <c r="A3253" s="1192" t="s">
        <v>207</v>
      </c>
      <c r="B3253" s="1192" t="s">
        <v>3093</v>
      </c>
      <c r="E3253" s="2114" t="s">
        <v>2034</v>
      </c>
      <c r="F3253" s="1740"/>
      <c r="G3253" s="1262" t="s">
        <v>20</v>
      </c>
      <c r="H3253" s="932">
        <v>4.0000000000000002E-4</v>
      </c>
      <c r="K3253" s="1192" t="s">
        <v>2428</v>
      </c>
      <c r="L3253" s="1192" t="s">
        <v>2374</v>
      </c>
      <c r="P3253" s="1192" t="s">
        <v>2439</v>
      </c>
      <c r="V3253" s="1192">
        <v>65</v>
      </c>
    </row>
    <row r="3254" spans="1:22" s="1192" customFormat="1" ht="14.4" x14ac:dyDescent="0.3">
      <c r="A3254" s="1192" t="s">
        <v>207</v>
      </c>
      <c r="B3254" s="1192" t="s">
        <v>3093</v>
      </c>
      <c r="E3254" s="2114" t="s">
        <v>428</v>
      </c>
      <c r="F3254" s="1740"/>
      <c r="G3254" s="1262" t="s">
        <v>20</v>
      </c>
      <c r="H3254" s="932">
        <v>5.0000000000000001E-4</v>
      </c>
      <c r="K3254" s="1192" t="s">
        <v>2428</v>
      </c>
      <c r="L3254" s="1192" t="s">
        <v>2374</v>
      </c>
      <c r="P3254" s="1192" t="s">
        <v>2440</v>
      </c>
      <c r="V3254" s="1192">
        <v>57</v>
      </c>
    </row>
    <row r="3255" spans="1:22" s="1192" customFormat="1" ht="14.4" x14ac:dyDescent="0.3">
      <c r="A3255" s="1192" t="s">
        <v>207</v>
      </c>
      <c r="B3255" s="1192" t="s">
        <v>3093</v>
      </c>
      <c r="E3255" s="2114" t="s">
        <v>28</v>
      </c>
      <c r="F3255" s="1740"/>
      <c r="G3255" s="1262" t="s">
        <v>19</v>
      </c>
      <c r="H3255" s="932">
        <v>0.25</v>
      </c>
      <c r="K3255" s="1192" t="s">
        <v>2428</v>
      </c>
      <c r="L3255" s="1192" t="s">
        <v>2374</v>
      </c>
      <c r="P3255" s="1192" t="s">
        <v>2441</v>
      </c>
      <c r="V3255" s="1192">
        <v>63</v>
      </c>
    </row>
    <row r="3256" spans="1:22" s="1192" customFormat="1" ht="17.399999999999999" x14ac:dyDescent="0.3">
      <c r="A3256" s="1192" t="s">
        <v>207</v>
      </c>
      <c r="B3256" s="1192" t="s">
        <v>3093</v>
      </c>
      <c r="E3256" s="1746" t="s">
        <v>593</v>
      </c>
      <c r="F3256" s="1747"/>
      <c r="G3256" s="1747"/>
      <c r="H3256" s="1747"/>
      <c r="K3256" s="1192" t="s">
        <v>2442</v>
      </c>
      <c r="V3256" s="1192">
        <v>31</v>
      </c>
    </row>
    <row r="3257" spans="1:22" s="1192" customFormat="1" ht="14.4" x14ac:dyDescent="0.3">
      <c r="A3257" s="1192" t="s">
        <v>207</v>
      </c>
      <c r="B3257" s="1192" t="s">
        <v>3093</v>
      </c>
      <c r="E3257" s="2115" t="s">
        <v>2443</v>
      </c>
      <c r="F3257" s="2115"/>
      <c r="G3257" s="2115"/>
      <c r="H3257" s="2115"/>
      <c r="K3257" s="1192" t="s">
        <v>2442</v>
      </c>
      <c r="V3257" s="1192">
        <v>286</v>
      </c>
    </row>
    <row r="3258" spans="1:22" s="1192" customFormat="1" ht="14.4" x14ac:dyDescent="0.3">
      <c r="A3258" s="1192" t="s">
        <v>207</v>
      </c>
      <c r="B3258" s="1192" t="s">
        <v>3093</v>
      </c>
      <c r="E3258" s="1750" t="s">
        <v>2389</v>
      </c>
      <c r="F3258" s="1743"/>
      <c r="G3258" s="1743"/>
      <c r="H3258" s="1743"/>
      <c r="K3258" s="1192" t="s">
        <v>2444</v>
      </c>
      <c r="V3258" s="1192">
        <v>11</v>
      </c>
    </row>
    <row r="3259" spans="1:22" s="1192" customFormat="1" ht="14.4" x14ac:dyDescent="0.3">
      <c r="A3259" s="1192" t="s">
        <v>207</v>
      </c>
      <c r="B3259" s="1192" t="s">
        <v>3093</v>
      </c>
      <c r="E3259" s="2115" t="s">
        <v>2391</v>
      </c>
      <c r="F3259" s="2115"/>
      <c r="G3259" s="2115"/>
      <c r="H3259" s="2115"/>
      <c r="K3259" s="1192" t="s">
        <v>2442</v>
      </c>
      <c r="V3259" s="1192">
        <v>280</v>
      </c>
    </row>
    <row r="3260" spans="1:22" s="1192" customFormat="1" ht="14.4" x14ac:dyDescent="0.3">
      <c r="A3260" s="1192" t="s">
        <v>207</v>
      </c>
      <c r="B3260" s="1192" t="s">
        <v>3093</v>
      </c>
      <c r="E3260" s="2115" t="s">
        <v>2392</v>
      </c>
      <c r="F3260" s="2115"/>
      <c r="G3260" s="2115"/>
      <c r="H3260" s="2115"/>
      <c r="K3260" s="1192" t="s">
        <v>2442</v>
      </c>
      <c r="V3260" s="1192">
        <v>411</v>
      </c>
    </row>
    <row r="3261" spans="1:22" s="1192" customFormat="1" ht="14.4" x14ac:dyDescent="0.3">
      <c r="A3261" s="1192" t="s">
        <v>207</v>
      </c>
      <c r="B3261" s="1192" t="s">
        <v>3093</v>
      </c>
      <c r="E3261" s="2115" t="s">
        <v>2445</v>
      </c>
      <c r="F3261" s="2115"/>
      <c r="G3261" s="2115"/>
      <c r="H3261" s="2115"/>
      <c r="K3261" s="1192" t="s">
        <v>2442</v>
      </c>
      <c r="V3261" s="1192">
        <v>211</v>
      </c>
    </row>
    <row r="3262" spans="1:22" s="1192" customFormat="1" ht="14.4" x14ac:dyDescent="0.3">
      <c r="A3262" s="1192" t="s">
        <v>207</v>
      </c>
      <c r="B3262" s="1192" t="s">
        <v>3093</v>
      </c>
      <c r="E3262" s="2115" t="s">
        <v>2986</v>
      </c>
      <c r="F3262" s="2115"/>
      <c r="G3262" s="2115"/>
      <c r="H3262" s="2115"/>
      <c r="K3262" s="1192" t="s">
        <v>2442</v>
      </c>
      <c r="V3262" s="1192">
        <v>246</v>
      </c>
    </row>
    <row r="3263" spans="1:22" s="1192" customFormat="1" ht="14.4" x14ac:dyDescent="0.3">
      <c r="A3263" s="1192" t="s">
        <v>207</v>
      </c>
      <c r="B3263" s="1192" t="s">
        <v>3093</v>
      </c>
      <c r="E3263" s="1748" t="s">
        <v>2849</v>
      </c>
      <c r="F3263" s="1749"/>
      <c r="G3263" s="1749"/>
      <c r="H3263" s="1749"/>
      <c r="K3263" s="1192" t="s">
        <v>2446</v>
      </c>
      <c r="V3263" s="1192">
        <v>47</v>
      </c>
    </row>
    <row r="3264" spans="1:22" s="1192" customFormat="1" ht="14.4" x14ac:dyDescent="0.3">
      <c r="A3264" s="1192" t="s">
        <v>207</v>
      </c>
      <c r="B3264" s="1192" t="s">
        <v>3093</v>
      </c>
      <c r="E3264" s="2114" t="s">
        <v>7</v>
      </c>
      <c r="F3264" s="1740"/>
      <c r="G3264" s="1262" t="s">
        <v>19</v>
      </c>
      <c r="H3264" s="509">
        <v>5.4</v>
      </c>
      <c r="K3264" s="1192" t="s">
        <v>2442</v>
      </c>
      <c r="L3264" s="1192" t="s">
        <v>430</v>
      </c>
      <c r="P3264" s="1192" t="s">
        <v>2447</v>
      </c>
      <c r="V3264" s="1192">
        <v>14</v>
      </c>
    </row>
    <row r="3265" spans="1:22" s="1192" customFormat="1" x14ac:dyDescent="0.35">
      <c r="A3265" s="1192" t="s">
        <v>207</v>
      </c>
      <c r="B3265" s="1192" t="s">
        <v>3093</v>
      </c>
      <c r="E3265" s="1264" t="s">
        <v>81</v>
      </c>
      <c r="F3265" s="811"/>
      <c r="G3265" s="811"/>
      <c r="H3265" s="938"/>
      <c r="K3265" s="1192" t="s">
        <v>3100</v>
      </c>
      <c r="V3265" s="1192">
        <v>10</v>
      </c>
    </row>
    <row r="3266" spans="1:22" s="1192" customFormat="1" ht="14.4" x14ac:dyDescent="0.3">
      <c r="A3266" s="1192" t="s">
        <v>207</v>
      </c>
      <c r="B3266" s="1192" t="s">
        <v>3093</v>
      </c>
      <c r="E3266" s="1740" t="s">
        <v>2449</v>
      </c>
      <c r="F3266" s="1740"/>
      <c r="G3266" s="1255" t="s">
        <v>29</v>
      </c>
      <c r="H3266" s="509">
        <v>-0.6</v>
      </c>
      <c r="V3266" s="1192">
        <v>68</v>
      </c>
    </row>
    <row r="3267" spans="1:22" s="1192" customFormat="1" ht="14.4" x14ac:dyDescent="0.3">
      <c r="A3267" s="1192" t="s">
        <v>207</v>
      </c>
      <c r="B3267" s="1192" t="s">
        <v>3093</v>
      </c>
      <c r="E3267" s="1740" t="s">
        <v>2450</v>
      </c>
      <c r="F3267" s="1740"/>
      <c r="G3267" s="1255" t="s">
        <v>82</v>
      </c>
      <c r="H3267" s="509">
        <v>-1</v>
      </c>
      <c r="V3267" s="1192">
        <v>87</v>
      </c>
    </row>
    <row r="3268" spans="1:22" s="1192" customFormat="1" x14ac:dyDescent="0.35">
      <c r="A3268" s="1192" t="s">
        <v>207</v>
      </c>
      <c r="B3268" s="1192" t="s">
        <v>3093</v>
      </c>
      <c r="E3268" s="1271" t="s">
        <v>83</v>
      </c>
      <c r="F3268" s="811"/>
      <c r="G3268" s="811"/>
      <c r="H3268" s="938"/>
      <c r="K3268" s="1192" t="s">
        <v>3101</v>
      </c>
      <c r="V3268" s="1192">
        <v>24</v>
      </c>
    </row>
    <row r="3269" spans="1:22" s="1192" customFormat="1" ht="14.4" x14ac:dyDescent="0.3">
      <c r="A3269" s="1192" t="s">
        <v>207</v>
      </c>
      <c r="B3269" s="1192" t="s">
        <v>3093</v>
      </c>
      <c r="E3269" s="2037" t="s">
        <v>2389</v>
      </c>
      <c r="F3269" s="1743"/>
      <c r="G3269" s="1743"/>
      <c r="H3269" s="1743"/>
      <c r="V3269" s="1192">
        <v>11</v>
      </c>
    </row>
    <row r="3270" spans="1:22" s="1192" customFormat="1" ht="14.4" x14ac:dyDescent="0.3">
      <c r="A3270" s="1192" t="s">
        <v>207</v>
      </c>
      <c r="B3270" s="1192" t="s">
        <v>3093</v>
      </c>
      <c r="E3270" s="2115" t="s">
        <v>2391</v>
      </c>
      <c r="F3270" s="2115"/>
      <c r="G3270" s="2115"/>
      <c r="H3270" s="2115"/>
      <c r="V3270" s="1192">
        <v>280</v>
      </c>
    </row>
    <row r="3271" spans="1:22" s="1192" customFormat="1" ht="14.4" x14ac:dyDescent="0.3">
      <c r="A3271" s="1192" t="s">
        <v>207</v>
      </c>
      <c r="B3271" s="1192" t="s">
        <v>3093</v>
      </c>
      <c r="E3271" s="2115" t="s">
        <v>2452</v>
      </c>
      <c r="F3271" s="2115"/>
      <c r="G3271" s="2115"/>
      <c r="H3271" s="2115"/>
      <c r="V3271" s="1192">
        <v>353</v>
      </c>
    </row>
    <row r="3272" spans="1:22" s="1192" customFormat="1" ht="14.4" x14ac:dyDescent="0.3">
      <c r="A3272" s="1192" t="s">
        <v>207</v>
      </c>
      <c r="B3272" s="1192" t="s">
        <v>3093</v>
      </c>
      <c r="E3272" s="2214" t="s">
        <v>2986</v>
      </c>
      <c r="F3272" s="2214"/>
      <c r="G3272" s="2214"/>
      <c r="H3272" s="2214"/>
      <c r="V3272" s="1192">
        <v>246</v>
      </c>
    </row>
    <row r="3273" spans="1:22" s="1192" customFormat="1" ht="14.4" x14ac:dyDescent="0.3">
      <c r="A3273" s="1192" t="s">
        <v>207</v>
      </c>
      <c r="B3273" s="1192" t="s">
        <v>3093</v>
      </c>
      <c r="E3273" s="1748" t="s">
        <v>2453</v>
      </c>
      <c r="F3273" s="1748"/>
      <c r="G3273" s="1748"/>
      <c r="H3273" s="1748"/>
      <c r="K3273" s="1192" t="s">
        <v>3102</v>
      </c>
      <c r="V3273" s="1192">
        <v>23</v>
      </c>
    </row>
    <row r="3274" spans="1:22" s="1192" customFormat="1" ht="14.4" x14ac:dyDescent="0.3">
      <c r="A3274" s="1192" t="s">
        <v>207</v>
      </c>
      <c r="B3274" s="1192" t="s">
        <v>3093</v>
      </c>
      <c r="E3274" s="1745" t="s">
        <v>2462</v>
      </c>
      <c r="F3274" s="1745"/>
      <c r="G3274" s="1255" t="s">
        <v>19</v>
      </c>
      <c r="H3274" s="509">
        <v>15</v>
      </c>
      <c r="V3274" s="1192">
        <v>19</v>
      </c>
    </row>
    <row r="3275" spans="1:22" s="1192" customFormat="1" ht="14.4" x14ac:dyDescent="0.3">
      <c r="A3275" s="1192" t="s">
        <v>207</v>
      </c>
      <c r="B3275" s="1192" t="s">
        <v>3093</v>
      </c>
      <c r="E3275" s="1745" t="s">
        <v>119</v>
      </c>
      <c r="F3275" s="1745"/>
      <c r="G3275" s="1255" t="s">
        <v>19</v>
      </c>
      <c r="H3275" s="509">
        <v>15</v>
      </c>
      <c r="V3275" s="1192">
        <v>35</v>
      </c>
    </row>
    <row r="3276" spans="1:22" s="1192" customFormat="1" ht="14.4" x14ac:dyDescent="0.3">
      <c r="A3276" s="1192" t="s">
        <v>207</v>
      </c>
      <c r="B3276" s="1192" t="s">
        <v>3093</v>
      </c>
      <c r="E3276" s="1745" t="s">
        <v>2467</v>
      </c>
      <c r="F3276" s="1745"/>
      <c r="G3276" s="1255" t="s">
        <v>19</v>
      </c>
      <c r="H3276" s="509">
        <v>15</v>
      </c>
      <c r="V3276" s="1192">
        <v>19</v>
      </c>
    </row>
    <row r="3277" spans="1:22" s="1192" customFormat="1" ht="14.4" x14ac:dyDescent="0.3">
      <c r="A3277" s="1192" t="s">
        <v>207</v>
      </c>
      <c r="B3277" s="1192" t="s">
        <v>3093</v>
      </c>
      <c r="E3277" s="1745" t="s">
        <v>3091</v>
      </c>
      <c r="F3277" s="1745"/>
      <c r="G3277" s="1255" t="s">
        <v>19</v>
      </c>
      <c r="H3277" s="509">
        <v>30</v>
      </c>
      <c r="V3277" s="1192">
        <v>91</v>
      </c>
    </row>
    <row r="3278" spans="1:22" s="1192" customFormat="1" ht="14.4" x14ac:dyDescent="0.3">
      <c r="A3278" s="1192" t="s">
        <v>207</v>
      </c>
      <c r="B3278" s="1192" t="s">
        <v>3093</v>
      </c>
      <c r="E3278" s="1745" t="s">
        <v>88</v>
      </c>
      <c r="F3278" s="1745"/>
      <c r="G3278" s="1255" t="s">
        <v>19</v>
      </c>
      <c r="H3278" s="509">
        <v>30</v>
      </c>
      <c r="V3278" s="1192">
        <v>74</v>
      </c>
    </row>
    <row r="3279" spans="1:22" s="1192" customFormat="1" ht="14.4" x14ac:dyDescent="0.3">
      <c r="A3279" s="1192" t="s">
        <v>207</v>
      </c>
      <c r="B3279" s="1192" t="s">
        <v>3093</v>
      </c>
      <c r="E3279" s="1745" t="s">
        <v>2456</v>
      </c>
      <c r="F3279" s="1745"/>
      <c r="G3279" s="1255" t="s">
        <v>19</v>
      </c>
      <c r="H3279" s="509">
        <v>15</v>
      </c>
      <c r="V3279" s="1192">
        <v>20</v>
      </c>
    </row>
    <row r="3280" spans="1:22" s="1192" customFormat="1" ht="14.4" x14ac:dyDescent="0.3">
      <c r="A3280" s="1192" t="s">
        <v>207</v>
      </c>
      <c r="B3280" s="1192" t="s">
        <v>3093</v>
      </c>
      <c r="E3280" s="1745" t="s">
        <v>2463</v>
      </c>
      <c r="F3280" s="1745"/>
      <c r="G3280" s="1255" t="s">
        <v>19</v>
      </c>
      <c r="H3280" s="509">
        <v>15</v>
      </c>
      <c r="V3280" s="1192">
        <v>15</v>
      </c>
    </row>
    <row r="3281" spans="1:22" s="1192" customFormat="1" ht="14.4" x14ac:dyDescent="0.3">
      <c r="A3281" s="1192" t="s">
        <v>207</v>
      </c>
      <c r="B3281" s="1192" t="s">
        <v>3093</v>
      </c>
      <c r="E3281" s="1257" t="s">
        <v>2468</v>
      </c>
      <c r="F3281" s="1275"/>
      <c r="G3281" s="1275"/>
      <c r="H3281" s="895"/>
      <c r="K3281" s="1192" t="s">
        <v>6223</v>
      </c>
      <c r="V3281" s="1192">
        <v>22</v>
      </c>
    </row>
    <row r="3282" spans="1:22" s="1192" customFormat="1" ht="14.4" x14ac:dyDescent="0.3">
      <c r="A3282" s="1192" t="s">
        <v>207</v>
      </c>
      <c r="B3282" s="1192" t="s">
        <v>3093</v>
      </c>
      <c r="E3282" s="1745" t="s">
        <v>5940</v>
      </c>
      <c r="F3282" s="1745"/>
      <c r="G3282" s="1255" t="s">
        <v>82</v>
      </c>
      <c r="H3282" s="509">
        <v>1.5</v>
      </c>
      <c r="V3282" s="1192">
        <v>99</v>
      </c>
    </row>
    <row r="3283" spans="1:22" s="1192" customFormat="1" ht="14.4" x14ac:dyDescent="0.3">
      <c r="A3283" s="1192" t="s">
        <v>207</v>
      </c>
      <c r="B3283" s="1192" t="s">
        <v>3093</v>
      </c>
      <c r="E3283" s="1745" t="s">
        <v>6106</v>
      </c>
      <c r="F3283" s="1745"/>
      <c r="G3283" s="1255" t="s">
        <v>19</v>
      </c>
      <c r="H3283" s="509">
        <v>65</v>
      </c>
      <c r="V3283" s="1192">
        <v>44</v>
      </c>
    </row>
    <row r="3284" spans="1:22" s="1192" customFormat="1" ht="14.4" x14ac:dyDescent="0.3">
      <c r="A3284" s="1192" t="s">
        <v>207</v>
      </c>
      <c r="B3284" s="1192" t="s">
        <v>3093</v>
      </c>
      <c r="E3284" s="1745" t="s">
        <v>6107</v>
      </c>
      <c r="F3284" s="1745"/>
      <c r="G3284" s="1255" t="s">
        <v>19</v>
      </c>
      <c r="H3284" s="509">
        <v>185</v>
      </c>
      <c r="V3284" s="1192">
        <v>43</v>
      </c>
    </row>
    <row r="3285" spans="1:22" s="1192" customFormat="1" ht="14.4" x14ac:dyDescent="0.3">
      <c r="A3285" s="1192" t="s">
        <v>207</v>
      </c>
      <c r="B3285" s="1192" t="s">
        <v>3093</v>
      </c>
      <c r="E3285" s="828" t="s">
        <v>3040</v>
      </c>
      <c r="F3285" s="1275"/>
      <c r="G3285" s="1275"/>
      <c r="H3285" s="895"/>
      <c r="V3285" s="1192">
        <v>6</v>
      </c>
    </row>
    <row r="3286" spans="1:22" s="1192" customFormat="1" ht="14.4" x14ac:dyDescent="0.3">
      <c r="A3286" s="1192" t="s">
        <v>207</v>
      </c>
      <c r="B3286" s="1192" t="s">
        <v>3093</v>
      </c>
      <c r="E3286" s="1745" t="s">
        <v>90</v>
      </c>
      <c r="F3286" s="1745"/>
      <c r="G3286" s="1276" t="s">
        <v>19</v>
      </c>
      <c r="H3286" s="509">
        <v>30</v>
      </c>
      <c r="V3286" s="1192">
        <v>19</v>
      </c>
    </row>
    <row r="3287" spans="1:22" s="1192" customFormat="1" ht="14.4" x14ac:dyDescent="0.3">
      <c r="A3287" s="1192" t="s">
        <v>207</v>
      </c>
      <c r="B3287" s="1192" t="s">
        <v>3093</v>
      </c>
      <c r="E3287" s="1745" t="s">
        <v>2768</v>
      </c>
      <c r="F3287" s="1745"/>
      <c r="G3287" s="1276" t="s">
        <v>19</v>
      </c>
      <c r="H3287" s="509">
        <v>44.5</v>
      </c>
      <c r="V3287" s="1192">
        <v>104</v>
      </c>
    </row>
    <row r="3288" spans="1:22" s="1192" customFormat="1" x14ac:dyDescent="0.35">
      <c r="A3288" s="1192" t="s">
        <v>207</v>
      </c>
      <c r="B3288" s="1192" t="s">
        <v>3093</v>
      </c>
      <c r="E3288" s="1744" t="s">
        <v>73</v>
      </c>
      <c r="F3288" s="2215"/>
      <c r="G3288" s="2215"/>
      <c r="H3288" s="938"/>
      <c r="K3288" s="1192" t="s">
        <v>3103</v>
      </c>
      <c r="V3288" s="1192">
        <v>38</v>
      </c>
    </row>
    <row r="3289" spans="1:22" s="1192" customFormat="1" ht="14.4" x14ac:dyDescent="0.3">
      <c r="A3289" s="1192" t="s">
        <v>207</v>
      </c>
      <c r="B3289" s="1192" t="s">
        <v>3093</v>
      </c>
      <c r="E3289" s="2037" t="s">
        <v>2389</v>
      </c>
      <c r="F3289" s="1743"/>
      <c r="G3289" s="1743"/>
      <c r="H3289" s="1743"/>
      <c r="K3289" s="1192" t="s">
        <v>2444</v>
      </c>
      <c r="V3289" s="1192">
        <v>11</v>
      </c>
    </row>
    <row r="3290" spans="1:22" s="1192" customFormat="1" ht="14.4" x14ac:dyDescent="0.3">
      <c r="A3290" s="1192" t="s">
        <v>207</v>
      </c>
      <c r="B3290" s="1192" t="s">
        <v>3093</v>
      </c>
      <c r="E3290" s="2115" t="s">
        <v>2391</v>
      </c>
      <c r="F3290" s="2115"/>
      <c r="G3290" s="2115"/>
      <c r="H3290" s="2115"/>
      <c r="V3290" s="1192">
        <v>280</v>
      </c>
    </row>
    <row r="3291" spans="1:22" s="1192" customFormat="1" ht="14.4" x14ac:dyDescent="0.3">
      <c r="A3291" s="1192" t="s">
        <v>207</v>
      </c>
      <c r="B3291" s="1192" t="s">
        <v>3093</v>
      </c>
      <c r="E3291" s="2115" t="s">
        <v>2392</v>
      </c>
      <c r="F3291" s="2115"/>
      <c r="G3291" s="2115"/>
      <c r="H3291" s="2115"/>
      <c r="V3291" s="1192">
        <v>411</v>
      </c>
    </row>
    <row r="3292" spans="1:22" s="1192" customFormat="1" ht="14.4" x14ac:dyDescent="0.3">
      <c r="A3292" s="1192" t="s">
        <v>207</v>
      </c>
      <c r="B3292" s="1192" t="s">
        <v>3093</v>
      </c>
      <c r="E3292" s="2115" t="s">
        <v>2445</v>
      </c>
      <c r="F3292" s="2115"/>
      <c r="G3292" s="2115"/>
      <c r="H3292" s="2115"/>
      <c r="V3292" s="1192">
        <v>211</v>
      </c>
    </row>
    <row r="3293" spans="1:22" s="1192" customFormat="1" ht="14.4" x14ac:dyDescent="0.3">
      <c r="A3293" s="1192" t="s">
        <v>207</v>
      </c>
      <c r="B3293" s="1192" t="s">
        <v>3093</v>
      </c>
      <c r="E3293" s="2115" t="s">
        <v>2986</v>
      </c>
      <c r="F3293" s="2115"/>
      <c r="G3293" s="2115"/>
      <c r="H3293" s="2115"/>
      <c r="V3293" s="1192">
        <v>246</v>
      </c>
    </row>
    <row r="3294" spans="1:22" s="1192" customFormat="1" ht="14.4" x14ac:dyDescent="0.3">
      <c r="A3294" s="1192" t="s">
        <v>207</v>
      </c>
      <c r="B3294" s="1192" t="s">
        <v>3093</v>
      </c>
      <c r="E3294" s="2114" t="s">
        <v>2595</v>
      </c>
      <c r="F3294" s="2114"/>
      <c r="G3294" s="2213"/>
      <c r="H3294" s="2213"/>
      <c r="V3294" s="1192">
        <v>142</v>
      </c>
    </row>
    <row r="3295" spans="1:22" s="1192" customFormat="1" ht="14.4" x14ac:dyDescent="0.3">
      <c r="A3295" s="1192" t="s">
        <v>207</v>
      </c>
      <c r="B3295" s="1192" t="s">
        <v>3093</v>
      </c>
      <c r="E3295" s="1740" t="s">
        <v>2485</v>
      </c>
      <c r="F3295" s="1740"/>
      <c r="G3295" s="1276" t="s">
        <v>19</v>
      </c>
      <c r="H3295" s="509">
        <v>102</v>
      </c>
      <c r="V3295" s="1192">
        <v>106</v>
      </c>
    </row>
    <row r="3296" spans="1:22" s="1192" customFormat="1" ht="14.4" x14ac:dyDescent="0.3">
      <c r="A3296" s="1192" t="s">
        <v>207</v>
      </c>
      <c r="B3296" s="1192" t="s">
        <v>3093</v>
      </c>
      <c r="E3296" s="1740" t="s">
        <v>3919</v>
      </c>
      <c r="F3296" s="1740"/>
      <c r="G3296" s="1276" t="s">
        <v>19</v>
      </c>
      <c r="H3296" s="509">
        <v>40.799999999999997</v>
      </c>
      <c r="V3296" s="1192">
        <v>34</v>
      </c>
    </row>
    <row r="3297" spans="1:22" s="1192" customFormat="1" ht="14.4" x14ac:dyDescent="0.3">
      <c r="A3297" s="1192" t="s">
        <v>207</v>
      </c>
      <c r="B3297" s="1192" t="s">
        <v>3093</v>
      </c>
      <c r="E3297" s="1740" t="s">
        <v>3920</v>
      </c>
      <c r="F3297" s="1740"/>
      <c r="G3297" s="1276" t="s">
        <v>2488</v>
      </c>
      <c r="H3297" s="935">
        <v>1.02</v>
      </c>
      <c r="V3297" s="1192">
        <v>51</v>
      </c>
    </row>
    <row r="3298" spans="1:22" s="1192" customFormat="1" ht="14.4" x14ac:dyDescent="0.3">
      <c r="A3298" s="1192" t="s">
        <v>207</v>
      </c>
      <c r="B3298" s="1192" t="s">
        <v>3093</v>
      </c>
      <c r="E3298" s="1740" t="s">
        <v>2489</v>
      </c>
      <c r="F3298" s="1740"/>
      <c r="G3298" s="1276" t="s">
        <v>2488</v>
      </c>
      <c r="H3298" s="935">
        <v>0.61</v>
      </c>
      <c r="V3298" s="1192">
        <v>75</v>
      </c>
    </row>
    <row r="3299" spans="1:22" s="1192" customFormat="1" ht="14.4" x14ac:dyDescent="0.3">
      <c r="A3299" s="1192" t="s">
        <v>207</v>
      </c>
      <c r="B3299" s="1192" t="s">
        <v>3093</v>
      </c>
      <c r="E3299" s="1740" t="s">
        <v>2490</v>
      </c>
      <c r="F3299" s="1740"/>
      <c r="G3299" s="1276" t="s">
        <v>2488</v>
      </c>
      <c r="H3299" s="509">
        <v>-0.61</v>
      </c>
      <c r="V3299" s="1192">
        <v>72</v>
      </c>
    </row>
    <row r="3300" spans="1:22" s="1192" customFormat="1" ht="14.4" x14ac:dyDescent="0.3">
      <c r="A3300" s="1192" t="s">
        <v>207</v>
      </c>
      <c r="B3300" s="1192" t="s">
        <v>3093</v>
      </c>
      <c r="E3300" s="1742" t="s">
        <v>2596</v>
      </c>
      <c r="F3300" s="1742"/>
      <c r="G3300" s="1275"/>
      <c r="H3300" s="936"/>
      <c r="V3300" s="1192">
        <v>34</v>
      </c>
    </row>
    <row r="3301" spans="1:22" s="1192" customFormat="1" ht="14.4" x14ac:dyDescent="0.3">
      <c r="A3301" s="1192" t="s">
        <v>207</v>
      </c>
      <c r="B3301" s="1192" t="s">
        <v>3093</v>
      </c>
      <c r="E3301" s="1742" t="s">
        <v>2492</v>
      </c>
      <c r="F3301" s="1742"/>
      <c r="G3301" s="1276" t="s">
        <v>19</v>
      </c>
      <c r="H3301" s="935">
        <v>0.51</v>
      </c>
      <c r="V3301" s="1192">
        <v>57</v>
      </c>
    </row>
    <row r="3302" spans="1:22" s="1192" customFormat="1" ht="14.4" x14ac:dyDescent="0.3">
      <c r="A3302" s="1192" t="s">
        <v>207</v>
      </c>
      <c r="B3302" s="1192" t="s">
        <v>3093</v>
      </c>
      <c r="E3302" s="1740" t="s">
        <v>2493</v>
      </c>
      <c r="F3302" s="1740"/>
      <c r="G3302" s="1276" t="s">
        <v>19</v>
      </c>
      <c r="H3302" s="935">
        <v>1.02</v>
      </c>
      <c r="V3302" s="1192">
        <v>60</v>
      </c>
    </row>
    <row r="3303" spans="1:22" s="1192" customFormat="1" ht="14.4" x14ac:dyDescent="0.3">
      <c r="A3303" s="1192" t="s">
        <v>207</v>
      </c>
      <c r="B3303" s="1192" t="s">
        <v>3093</v>
      </c>
      <c r="E3303" s="1740" t="s">
        <v>2878</v>
      </c>
      <c r="F3303" s="1740"/>
      <c r="G3303" s="1275"/>
      <c r="H3303" s="936"/>
      <c r="V3303" s="1192">
        <v>92</v>
      </c>
    </row>
    <row r="3304" spans="1:22" s="1192" customFormat="1" ht="14.4" x14ac:dyDescent="0.3">
      <c r="A3304" s="1192" t="s">
        <v>207</v>
      </c>
      <c r="B3304" s="1192" t="s">
        <v>3093</v>
      </c>
      <c r="E3304" s="1740" t="s">
        <v>2879</v>
      </c>
      <c r="F3304" s="1740"/>
      <c r="G3304" s="1275"/>
      <c r="H3304" s="936"/>
      <c r="V3304" s="1192">
        <v>97</v>
      </c>
    </row>
    <row r="3305" spans="1:22" s="1192" customFormat="1" ht="14.4" x14ac:dyDescent="0.3">
      <c r="A3305" s="1192" t="s">
        <v>207</v>
      </c>
      <c r="B3305" s="1192" t="s">
        <v>3093</v>
      </c>
      <c r="E3305" s="1742" t="s">
        <v>2597</v>
      </c>
      <c r="F3305" s="1742"/>
      <c r="G3305" s="1275"/>
      <c r="H3305" s="936"/>
      <c r="V3305" s="1192">
        <v>77</v>
      </c>
    </row>
    <row r="3306" spans="1:22" s="1192" customFormat="1" ht="14.4" x14ac:dyDescent="0.3">
      <c r="A3306" s="1192" t="s">
        <v>207</v>
      </c>
      <c r="B3306" s="1192" t="s">
        <v>3093</v>
      </c>
      <c r="E3306" s="1742" t="s">
        <v>2497</v>
      </c>
      <c r="F3306" s="1742"/>
      <c r="G3306" s="1275"/>
      <c r="H3306" s="937" t="s">
        <v>2498</v>
      </c>
      <c r="V3306" s="1192">
        <v>18</v>
      </c>
    </row>
    <row r="3307" spans="1:22" s="1192" customFormat="1" ht="14.4" x14ac:dyDescent="0.3">
      <c r="A3307" s="1192" t="s">
        <v>207</v>
      </c>
      <c r="B3307" s="1192" t="s">
        <v>3093</v>
      </c>
      <c r="E3307" s="2011" t="s">
        <v>2499</v>
      </c>
      <c r="F3307" s="2011"/>
      <c r="G3307" s="1276" t="s">
        <v>19</v>
      </c>
      <c r="H3307" s="935">
        <v>4.08</v>
      </c>
      <c r="V3307" s="1192">
        <v>69</v>
      </c>
    </row>
    <row r="3308" spans="1:22" s="1192" customFormat="1" ht="14.4" x14ac:dyDescent="0.3">
      <c r="A3308" s="1192" t="s">
        <v>207</v>
      </c>
      <c r="B3308" s="1192" t="s">
        <v>3093</v>
      </c>
      <c r="E3308" s="2011" t="s">
        <v>4608</v>
      </c>
      <c r="F3308" s="2011"/>
      <c r="G3308" s="1276" t="s">
        <v>19</v>
      </c>
      <c r="H3308" s="935">
        <v>2.04</v>
      </c>
      <c r="V3308" s="1192">
        <v>199</v>
      </c>
    </row>
    <row r="3309" spans="1:22" s="1192" customFormat="1" x14ac:dyDescent="0.35">
      <c r="A3309" s="1192" t="s">
        <v>207</v>
      </c>
      <c r="B3309" s="1192" t="s">
        <v>3093</v>
      </c>
      <c r="E3309" s="1264" t="s">
        <v>143</v>
      </c>
      <c r="F3309" s="811"/>
      <c r="G3309" s="811"/>
      <c r="H3309" s="938"/>
      <c r="K3309" s="1192" t="s">
        <v>3104</v>
      </c>
      <c r="V3309" s="1192">
        <v>12</v>
      </c>
    </row>
    <row r="3310" spans="1:22" s="1192" customFormat="1" ht="14.4" x14ac:dyDescent="0.3">
      <c r="A3310" s="1192" t="s">
        <v>207</v>
      </c>
      <c r="B3310" s="1192" t="s">
        <v>3093</v>
      </c>
      <c r="E3310" s="1741" t="s">
        <v>2501</v>
      </c>
      <c r="F3310" s="1741"/>
      <c r="G3310" s="1741"/>
      <c r="H3310" s="1741"/>
      <c r="V3310" s="1192">
        <v>203</v>
      </c>
    </row>
    <row r="3311" spans="1:22" s="1192" customFormat="1" ht="14.4" x14ac:dyDescent="0.3">
      <c r="A3311" s="1192" t="s">
        <v>207</v>
      </c>
      <c r="B3311" s="1192" t="s">
        <v>3093</v>
      </c>
      <c r="E3311" s="1740" t="s">
        <v>2599</v>
      </c>
      <c r="F3311" s="1740"/>
      <c r="G3311" s="1255"/>
      <c r="H3311" s="837">
        <v>1.0430999999999999</v>
      </c>
      <c r="V3311" s="1192">
        <v>57</v>
      </c>
    </row>
    <row r="3312" spans="1:22" s="1192" customFormat="1" ht="14.4" x14ac:dyDescent="0.3">
      <c r="A3312" s="1192" t="s">
        <v>207</v>
      </c>
      <c r="B3312" s="1192" t="s">
        <v>3093</v>
      </c>
      <c r="E3312" s="1740" t="s">
        <v>2600</v>
      </c>
      <c r="F3312" s="1740"/>
      <c r="G3312" s="1255"/>
      <c r="H3312" s="837">
        <v>1.0145</v>
      </c>
      <c r="V3312" s="1192">
        <v>57</v>
      </c>
    </row>
    <row r="3313" spans="1:22" s="1192" customFormat="1" ht="14.4" x14ac:dyDescent="0.3">
      <c r="A3313" s="1192" t="s">
        <v>207</v>
      </c>
      <c r="B3313" s="1192" t="s">
        <v>3093</v>
      </c>
      <c r="E3313" s="1740" t="s">
        <v>2601</v>
      </c>
      <c r="F3313" s="1740"/>
      <c r="G3313" s="1255"/>
      <c r="H3313" s="837">
        <v>1.0326</v>
      </c>
      <c r="V3313" s="1192">
        <v>55</v>
      </c>
    </row>
    <row r="3314" spans="1:22" s="1192" customFormat="1" ht="14.4" x14ac:dyDescent="0.3">
      <c r="A3314" s="1192" t="s">
        <v>207</v>
      </c>
      <c r="B3314" s="1192" t="s">
        <v>3093</v>
      </c>
      <c r="E3314" s="1740" t="s">
        <v>2602</v>
      </c>
      <c r="F3314" s="1740"/>
      <c r="G3314" s="1255"/>
      <c r="H3314" s="837">
        <v>1.0044</v>
      </c>
      <c r="J3314" s="1192" t="s">
        <v>3105</v>
      </c>
      <c r="V3314" s="1192">
        <v>55</v>
      </c>
    </row>
    <row r="3315" spans="1:22" s="1192" customFormat="1" ht="22.8" x14ac:dyDescent="0.3">
      <c r="A3315" s="1192" t="s">
        <v>201</v>
      </c>
      <c r="C3315" s="1192" t="s">
        <v>2378</v>
      </c>
      <c r="E3315" s="2116" t="s">
        <v>201</v>
      </c>
      <c r="F3315" s="2116"/>
      <c r="G3315" s="2116"/>
      <c r="H3315" s="2116"/>
      <c r="I3315" s="1192" t="s">
        <v>603</v>
      </c>
      <c r="J3315" s="1192" t="s">
        <v>3106</v>
      </c>
      <c r="K3315" s="1192" t="s">
        <v>201</v>
      </c>
      <c r="M3315" s="1192">
        <v>12</v>
      </c>
      <c r="V3315" s="1192">
        <v>20</v>
      </c>
    </row>
    <row r="3316" spans="1:22" s="1192" customFormat="1" ht="17.399999999999999" x14ac:dyDescent="0.3">
      <c r="A3316" s="1192" t="s">
        <v>201</v>
      </c>
      <c r="C3316" s="1192" t="s">
        <v>2380</v>
      </c>
      <c r="E3316" s="2047" t="s">
        <v>2381</v>
      </c>
      <c r="F3316" s="2047"/>
      <c r="G3316" s="2047"/>
      <c r="H3316" s="2047"/>
      <c r="V3316" s="1192">
        <v>27</v>
      </c>
    </row>
    <row r="3317" spans="1:22" s="1192" customFormat="1" ht="15.6" x14ac:dyDescent="0.3">
      <c r="A3317" s="1192" t="s">
        <v>201</v>
      </c>
      <c r="C3317" s="1192" t="s">
        <v>2382</v>
      </c>
      <c r="E3317" s="2048" t="s">
        <v>5937</v>
      </c>
      <c r="F3317" s="2048"/>
      <c r="G3317" s="2048"/>
      <c r="H3317" s="2048"/>
      <c r="S3317" s="1192">
        <v>43831</v>
      </c>
      <c r="V3317" s="1192">
        <v>49</v>
      </c>
    </row>
    <row r="3318" spans="1:22" s="1192" customFormat="1" ht="14.4" x14ac:dyDescent="0.3">
      <c r="A3318" s="1192" t="s">
        <v>201</v>
      </c>
      <c r="C3318" s="1192" t="s">
        <v>2383</v>
      </c>
      <c r="E3318" s="2049" t="s">
        <v>2384</v>
      </c>
      <c r="F3318" s="2049"/>
      <c r="G3318" s="2049"/>
      <c r="H3318" s="2049"/>
      <c r="V3318" s="1192">
        <v>52</v>
      </c>
    </row>
    <row r="3319" spans="1:22" s="1192" customFormat="1" ht="14.4" x14ac:dyDescent="0.3">
      <c r="A3319" s="1192" t="s">
        <v>201</v>
      </c>
      <c r="E3319" s="2049" t="s">
        <v>2385</v>
      </c>
      <c r="F3319" s="2049"/>
      <c r="G3319" s="2049"/>
      <c r="H3319" s="2049"/>
      <c r="V3319" s="1192">
        <v>53</v>
      </c>
    </row>
    <row r="3320" spans="1:22" s="1192" customFormat="1" ht="14.4" x14ac:dyDescent="0.3">
      <c r="A3320" s="1192" t="s">
        <v>201</v>
      </c>
      <c r="E3320" s="2050" t="s">
        <v>6241</v>
      </c>
      <c r="F3320" s="2050"/>
      <c r="G3320" s="2050"/>
      <c r="H3320" s="2050"/>
      <c r="K3320" s="1192" t="s">
        <v>6241</v>
      </c>
      <c r="V3320" s="1192">
        <v>12</v>
      </c>
    </row>
    <row r="3321" spans="1:22" s="1192" customFormat="1" ht="14.4" x14ac:dyDescent="0.3">
      <c r="A3321" s="1192" t="s">
        <v>201</v>
      </c>
      <c r="E3321" s="1746" t="s">
        <v>427</v>
      </c>
      <c r="F3321" s="1743"/>
      <c r="G3321" s="1743"/>
      <c r="H3321" s="1743"/>
      <c r="K3321" s="1192" t="s">
        <v>2506</v>
      </c>
      <c r="V3321" s="1192">
        <v>34</v>
      </c>
    </row>
    <row r="3322" spans="1:22" s="1192" customFormat="1" ht="14.4" x14ac:dyDescent="0.3">
      <c r="A3322" s="1192" t="s">
        <v>201</v>
      </c>
      <c r="E3322" s="2053" t="s">
        <v>3107</v>
      </c>
      <c r="F3322" s="2053"/>
      <c r="G3322" s="2053"/>
      <c r="H3322" s="2053"/>
      <c r="K3322" s="1192" t="s">
        <v>2506</v>
      </c>
      <c r="V3322" s="1192">
        <v>622</v>
      </c>
    </row>
    <row r="3323" spans="1:22" s="1192" customFormat="1" ht="14.4" x14ac:dyDescent="0.3">
      <c r="A3323" s="1192" t="s">
        <v>201</v>
      </c>
      <c r="E3323" s="2111" t="s">
        <v>2389</v>
      </c>
      <c r="F3323" s="1988"/>
      <c r="G3323" s="1988"/>
      <c r="H3323" s="1988"/>
      <c r="K3323" s="1192" t="s">
        <v>2390</v>
      </c>
      <c r="V3323" s="1192">
        <v>11</v>
      </c>
    </row>
    <row r="3324" spans="1:22" s="1192" customFormat="1" ht="14.4" x14ac:dyDescent="0.3">
      <c r="A3324" s="1192" t="s">
        <v>201</v>
      </c>
      <c r="E3324" s="2053" t="s">
        <v>2391</v>
      </c>
      <c r="F3324" s="2053"/>
      <c r="G3324" s="2053"/>
      <c r="H3324" s="2053"/>
      <c r="K3324" s="1192" t="s">
        <v>2506</v>
      </c>
      <c r="V3324" s="1192">
        <v>280</v>
      </c>
    </row>
    <row r="3325" spans="1:22" s="1192" customFormat="1" ht="14.4" x14ac:dyDescent="0.3">
      <c r="A3325" s="1192" t="s">
        <v>201</v>
      </c>
      <c r="E3325" s="2053" t="s">
        <v>2392</v>
      </c>
      <c r="F3325" s="2053"/>
      <c r="G3325" s="2053"/>
      <c r="H3325" s="2053"/>
      <c r="K3325" s="1192" t="s">
        <v>2506</v>
      </c>
      <c r="V3325" s="1192">
        <v>411</v>
      </c>
    </row>
    <row r="3326" spans="1:22" s="1192" customFormat="1" ht="14.4" x14ac:dyDescent="0.3">
      <c r="A3326" s="1192" t="s">
        <v>201</v>
      </c>
      <c r="E3326" s="2053" t="s">
        <v>2508</v>
      </c>
      <c r="F3326" s="2053"/>
      <c r="G3326" s="2053"/>
      <c r="H3326" s="2053"/>
      <c r="K3326" s="1192" t="s">
        <v>2506</v>
      </c>
      <c r="V3326" s="1192">
        <v>386</v>
      </c>
    </row>
    <row r="3327" spans="1:22" s="1192" customFormat="1" ht="14.4" x14ac:dyDescent="0.3">
      <c r="A3327" s="1192" t="s">
        <v>201</v>
      </c>
      <c r="E3327" s="2053" t="s">
        <v>2986</v>
      </c>
      <c r="F3327" s="2053"/>
      <c r="G3327" s="2053"/>
      <c r="H3327" s="2053"/>
      <c r="K3327" s="1192" t="s">
        <v>2506</v>
      </c>
      <c r="V3327" s="1192">
        <v>246</v>
      </c>
    </row>
    <row r="3328" spans="1:22" s="1192" customFormat="1" ht="14.4" x14ac:dyDescent="0.3">
      <c r="A3328" s="1192" t="s">
        <v>201</v>
      </c>
      <c r="E3328" s="2108" t="s">
        <v>2394</v>
      </c>
      <c r="F3328" s="2109"/>
      <c r="G3328" s="2109"/>
      <c r="H3328" s="2109"/>
      <c r="K3328" s="1192" t="s">
        <v>2395</v>
      </c>
      <c r="V3328" s="1192">
        <v>46</v>
      </c>
    </row>
    <row r="3329" spans="1:22" s="1192" customFormat="1" ht="14.4" x14ac:dyDescent="0.3">
      <c r="A3329" s="1192" t="s">
        <v>201</v>
      </c>
      <c r="E3329" s="2101" t="s">
        <v>7</v>
      </c>
      <c r="F3329" s="1740"/>
      <c r="G3329" s="1273" t="s">
        <v>19</v>
      </c>
      <c r="H3329" s="906">
        <v>27.79</v>
      </c>
      <c r="K3329" s="1192" t="s">
        <v>2506</v>
      </c>
      <c r="L3329" s="1192" t="s">
        <v>430</v>
      </c>
      <c r="P3329" s="1192" t="s">
        <v>2510</v>
      </c>
      <c r="V3329" s="1192">
        <v>14</v>
      </c>
    </row>
    <row r="3330" spans="1:22" s="1192" customFormat="1" ht="14.4" x14ac:dyDescent="0.3">
      <c r="A3330" s="1192" t="s">
        <v>201</v>
      </c>
      <c r="E3330" s="2101" t="s">
        <v>6242</v>
      </c>
      <c r="F3330" s="1740"/>
      <c r="G3330" s="1273" t="s">
        <v>19</v>
      </c>
      <c r="H3330" s="906">
        <v>0.85</v>
      </c>
      <c r="K3330" s="1192" t="s">
        <v>2506</v>
      </c>
      <c r="L3330" s="1192" t="s">
        <v>430</v>
      </c>
      <c r="P3330" s="1192" t="s">
        <v>2516</v>
      </c>
      <c r="T3330" s="1192">
        <v>44196</v>
      </c>
      <c r="V3330" s="1192">
        <v>141</v>
      </c>
    </row>
    <row r="3331" spans="1:22" s="1192" customFormat="1" ht="14.4" x14ac:dyDescent="0.3">
      <c r="A3331" s="1192" t="s">
        <v>201</v>
      </c>
      <c r="E3331" s="2101" t="s">
        <v>3900</v>
      </c>
      <c r="F3331" s="1740"/>
      <c r="G3331" s="1273" t="s">
        <v>19</v>
      </c>
      <c r="H3331" s="906">
        <v>0.56999999999999995</v>
      </c>
      <c r="K3331" s="1192" t="s">
        <v>2506</v>
      </c>
      <c r="L3331" s="1192" t="s">
        <v>431</v>
      </c>
      <c r="P3331" s="1192" t="s">
        <v>2511</v>
      </c>
      <c r="T3331" s="1192">
        <v>44926</v>
      </c>
      <c r="V3331" s="1192">
        <v>64</v>
      </c>
    </row>
    <row r="3332" spans="1:22" s="1192" customFormat="1" ht="14.4" x14ac:dyDescent="0.3">
      <c r="A3332" s="1192" t="s">
        <v>201</v>
      </c>
      <c r="E3332" s="2101" t="s">
        <v>14</v>
      </c>
      <c r="F3332" s="1740"/>
      <c r="G3332" s="1273" t="s">
        <v>20</v>
      </c>
      <c r="H3332" s="906">
        <v>6.0000000000000002E-5</v>
      </c>
      <c r="K3332" s="1192" t="s">
        <v>2506</v>
      </c>
      <c r="L3332" s="1192" t="s">
        <v>431</v>
      </c>
      <c r="P3332" s="1192" t="s">
        <v>2513</v>
      </c>
      <c r="V3332" s="1192">
        <v>24</v>
      </c>
    </row>
    <row r="3333" spans="1:22" s="1192" customFormat="1" ht="14.4" x14ac:dyDescent="0.3">
      <c r="A3333" s="1192" t="s">
        <v>201</v>
      </c>
      <c r="E3333" s="2101" t="s">
        <v>6243</v>
      </c>
      <c r="F3333" s="1740"/>
      <c r="G3333" s="1273" t="s">
        <v>20</v>
      </c>
      <c r="H3333" s="1219">
        <v>-2.9999999999999997E-4</v>
      </c>
      <c r="K3333" s="1192" t="s">
        <v>2506</v>
      </c>
      <c r="L3333" s="1192" t="s">
        <v>431</v>
      </c>
      <c r="P3333" s="1192" t="s">
        <v>2516</v>
      </c>
      <c r="T3333" s="1192">
        <v>44196</v>
      </c>
      <c r="V3333" s="1192">
        <v>107</v>
      </c>
    </row>
    <row r="3334" spans="1:22" s="1192" customFormat="1" ht="14.4" x14ac:dyDescent="0.3">
      <c r="A3334" s="1192" t="s">
        <v>201</v>
      </c>
      <c r="E3334" s="2101" t="s">
        <v>6244</v>
      </c>
      <c r="F3334" s="1740"/>
      <c r="G3334" s="1273" t="s">
        <v>20</v>
      </c>
      <c r="H3334" s="1219">
        <v>-1.5E-3</v>
      </c>
      <c r="K3334" s="1192" t="s">
        <v>2506</v>
      </c>
      <c r="L3334" s="1192" t="s">
        <v>431</v>
      </c>
      <c r="P3334" s="1192" t="s">
        <v>2514</v>
      </c>
      <c r="T3334" s="1192">
        <v>44196</v>
      </c>
      <c r="V3334" s="1192">
        <v>142</v>
      </c>
    </row>
    <row r="3335" spans="1:22" s="1192" customFormat="1" ht="14.4" x14ac:dyDescent="0.3">
      <c r="A3335" s="1192" t="s">
        <v>201</v>
      </c>
      <c r="E3335" s="2101" t="s">
        <v>213</v>
      </c>
      <c r="F3335" s="1740"/>
      <c r="G3335" s="1273" t="s">
        <v>20</v>
      </c>
      <c r="H3335" s="906">
        <v>7.6E-3</v>
      </c>
      <c r="K3335" s="1192" t="s">
        <v>2506</v>
      </c>
      <c r="L3335" s="1192" t="s">
        <v>432</v>
      </c>
      <c r="P3335" s="1192" t="s">
        <v>2517</v>
      </c>
      <c r="V3335" s="1192">
        <v>47</v>
      </c>
    </row>
    <row r="3336" spans="1:22" s="1192" customFormat="1" ht="14.4" x14ac:dyDescent="0.3">
      <c r="A3336" s="1192" t="s">
        <v>201</v>
      </c>
      <c r="E3336" s="2101" t="s">
        <v>209</v>
      </c>
      <c r="F3336" s="1740"/>
      <c r="G3336" s="1273" t="s">
        <v>20</v>
      </c>
      <c r="H3336" s="906">
        <v>5.1999999999999998E-3</v>
      </c>
      <c r="K3336" s="1192" t="s">
        <v>2506</v>
      </c>
      <c r="L3336" s="1192" t="s">
        <v>432</v>
      </c>
      <c r="P3336" s="1192" t="s">
        <v>2518</v>
      </c>
      <c r="V3336" s="1192">
        <v>74</v>
      </c>
    </row>
    <row r="3337" spans="1:22" s="1192" customFormat="1" ht="14.4" x14ac:dyDescent="0.3">
      <c r="A3337" s="1192" t="s">
        <v>201</v>
      </c>
      <c r="E3337" s="2110" t="s">
        <v>2405</v>
      </c>
      <c r="F3337" s="1740"/>
      <c r="G3337" s="1273"/>
      <c r="H3337" s="867"/>
      <c r="K3337" s="1192" t="s">
        <v>2406</v>
      </c>
      <c r="V3337" s="1192">
        <v>48</v>
      </c>
    </row>
    <row r="3338" spans="1:22" s="1192" customFormat="1" ht="14.4" x14ac:dyDescent="0.3">
      <c r="A3338" s="1192" t="s">
        <v>201</v>
      </c>
      <c r="E3338" s="2101" t="s">
        <v>2033</v>
      </c>
      <c r="F3338" s="2101"/>
      <c r="G3338" s="578" t="s">
        <v>20</v>
      </c>
      <c r="H3338" s="1219">
        <v>3.0000000000000001E-3</v>
      </c>
      <c r="K3338" s="1192" t="s">
        <v>2506</v>
      </c>
      <c r="L3338" s="1192" t="s">
        <v>2374</v>
      </c>
      <c r="P3338" s="1192" t="s">
        <v>2519</v>
      </c>
      <c r="V3338" s="1192">
        <v>55</v>
      </c>
    </row>
    <row r="3339" spans="1:22" s="1192" customFormat="1" ht="14.4" x14ac:dyDescent="0.3">
      <c r="A3339" s="1192" t="s">
        <v>201</v>
      </c>
      <c r="E3339" s="1740" t="s">
        <v>2034</v>
      </c>
      <c r="F3339" s="1740"/>
      <c r="G3339" s="578" t="s">
        <v>20</v>
      </c>
      <c r="H3339" s="1301">
        <v>4.0000000000000002E-4</v>
      </c>
      <c r="K3339" s="1192" t="s">
        <v>2506</v>
      </c>
      <c r="L3339" s="1192" t="s">
        <v>2374</v>
      </c>
      <c r="P3339" s="1192" t="s">
        <v>2519</v>
      </c>
      <c r="V3339" s="1192">
        <v>65</v>
      </c>
    </row>
    <row r="3340" spans="1:22" s="1192" customFormat="1" ht="14.4" x14ac:dyDescent="0.3">
      <c r="A3340" s="1192" t="s">
        <v>201</v>
      </c>
      <c r="E3340" s="2101" t="s">
        <v>428</v>
      </c>
      <c r="F3340" s="2101"/>
      <c r="G3340" s="578" t="s">
        <v>20</v>
      </c>
      <c r="H3340" s="1301">
        <v>5.0000000000000001E-4</v>
      </c>
      <c r="K3340" s="1192" t="s">
        <v>2506</v>
      </c>
      <c r="L3340" s="1192" t="s">
        <v>2374</v>
      </c>
      <c r="P3340" s="1192" t="s">
        <v>2520</v>
      </c>
      <c r="V3340" s="1192">
        <v>57</v>
      </c>
    </row>
    <row r="3341" spans="1:22" s="1192" customFormat="1" ht="14.4" x14ac:dyDescent="0.3">
      <c r="A3341" s="1192" t="s">
        <v>201</v>
      </c>
      <c r="E3341" s="2101" t="s">
        <v>28</v>
      </c>
      <c r="F3341" s="2101"/>
      <c r="G3341" s="578" t="s">
        <v>20</v>
      </c>
      <c r="H3341" s="1301">
        <v>0.25</v>
      </c>
      <c r="K3341" s="1192" t="s">
        <v>2506</v>
      </c>
      <c r="L3341" s="1192" t="s">
        <v>2374</v>
      </c>
      <c r="P3341" s="1192" t="s">
        <v>2521</v>
      </c>
      <c r="V3341" s="1192">
        <v>63</v>
      </c>
    </row>
    <row r="3342" spans="1:22" s="1192" customFormat="1" ht="17.399999999999999" x14ac:dyDescent="0.3">
      <c r="A3342" s="1192" t="s">
        <v>201</v>
      </c>
      <c r="E3342" s="2051" t="s">
        <v>2522</v>
      </c>
      <c r="F3342" s="2051"/>
      <c r="G3342" s="2051"/>
      <c r="H3342" s="2057"/>
      <c r="K3342" s="1192" t="s">
        <v>3901</v>
      </c>
      <c r="V3342" s="1192">
        <v>54</v>
      </c>
    </row>
    <row r="3343" spans="1:22" s="1192" customFormat="1" ht="14.4" x14ac:dyDescent="0.3">
      <c r="A3343" s="1192" t="s">
        <v>201</v>
      </c>
      <c r="E3343" s="2053" t="s">
        <v>3108</v>
      </c>
      <c r="F3343" s="2053"/>
      <c r="G3343" s="2053"/>
      <c r="H3343" s="2056"/>
      <c r="K3343" s="1192" t="s">
        <v>3901</v>
      </c>
      <c r="V3343" s="1192">
        <v>329</v>
      </c>
    </row>
    <row r="3344" spans="1:22" s="1192" customFormat="1" ht="14.4" x14ac:dyDescent="0.3">
      <c r="A3344" s="1192" t="s">
        <v>201</v>
      </c>
      <c r="E3344" s="2111" t="s">
        <v>2389</v>
      </c>
      <c r="F3344" s="1988"/>
      <c r="G3344" s="1988"/>
      <c r="H3344" s="1988"/>
      <c r="K3344" s="1192" t="s">
        <v>2412</v>
      </c>
      <c r="V3344" s="1192">
        <v>11</v>
      </c>
    </row>
    <row r="3345" spans="1:22" s="1192" customFormat="1" ht="14.4" x14ac:dyDescent="0.3">
      <c r="A3345" s="1192" t="s">
        <v>201</v>
      </c>
      <c r="E3345" s="2053" t="s">
        <v>2391</v>
      </c>
      <c r="F3345" s="2053"/>
      <c r="G3345" s="2053"/>
      <c r="H3345" s="2056"/>
      <c r="K3345" s="1192" t="s">
        <v>3901</v>
      </c>
      <c r="V3345" s="1192">
        <v>280</v>
      </c>
    </row>
    <row r="3346" spans="1:22" s="1192" customFormat="1" ht="14.4" x14ac:dyDescent="0.3">
      <c r="A3346" s="1192" t="s">
        <v>201</v>
      </c>
      <c r="E3346" s="2053" t="s">
        <v>2392</v>
      </c>
      <c r="F3346" s="2053"/>
      <c r="G3346" s="2053"/>
      <c r="H3346" s="2056"/>
      <c r="K3346" s="1192" t="s">
        <v>3901</v>
      </c>
      <c r="V3346" s="1192">
        <v>411</v>
      </c>
    </row>
    <row r="3347" spans="1:22" s="1192" customFormat="1" ht="14.4" x14ac:dyDescent="0.3">
      <c r="A3347" s="1192" t="s">
        <v>201</v>
      </c>
      <c r="E3347" s="2053" t="s">
        <v>2508</v>
      </c>
      <c r="F3347" s="2053"/>
      <c r="G3347" s="2053"/>
      <c r="H3347" s="2056"/>
      <c r="K3347" s="1192" t="s">
        <v>3901</v>
      </c>
      <c r="V3347" s="1192">
        <v>386</v>
      </c>
    </row>
    <row r="3348" spans="1:22" s="1192" customFormat="1" ht="14.4" x14ac:dyDescent="0.3">
      <c r="A3348" s="1192" t="s">
        <v>201</v>
      </c>
      <c r="E3348" s="2053" t="s">
        <v>3109</v>
      </c>
      <c r="F3348" s="2053"/>
      <c r="G3348" s="2053"/>
      <c r="H3348" s="2056"/>
      <c r="K3348" s="1192" t="s">
        <v>3901</v>
      </c>
      <c r="V3348" s="1192">
        <v>231</v>
      </c>
    </row>
    <row r="3349" spans="1:22" s="1192" customFormat="1" ht="14.4" x14ac:dyDescent="0.3">
      <c r="A3349" s="1192" t="s">
        <v>201</v>
      </c>
      <c r="E3349" s="2108" t="s">
        <v>2394</v>
      </c>
      <c r="F3349" s="2109"/>
      <c r="G3349" s="2109"/>
      <c r="H3349" s="2109"/>
      <c r="K3349" s="1192" t="s">
        <v>2413</v>
      </c>
      <c r="V3349" s="1192">
        <v>46</v>
      </c>
    </row>
    <row r="3350" spans="1:22" s="1192" customFormat="1" ht="14.4" x14ac:dyDescent="0.3">
      <c r="A3350" s="1192" t="s">
        <v>201</v>
      </c>
      <c r="E3350" s="2101" t="s">
        <v>7</v>
      </c>
      <c r="F3350" s="2101"/>
      <c r="G3350" s="1273" t="s">
        <v>19</v>
      </c>
      <c r="H3350" s="906">
        <v>19.32</v>
      </c>
      <c r="K3350" s="1192" t="s">
        <v>3901</v>
      </c>
      <c r="L3350" s="1192" t="s">
        <v>430</v>
      </c>
      <c r="P3350" s="1192" t="s">
        <v>3902</v>
      </c>
      <c r="V3350" s="1192">
        <v>14</v>
      </c>
    </row>
    <row r="3351" spans="1:22" s="1192" customFormat="1" ht="14.4" x14ac:dyDescent="0.3">
      <c r="A3351" s="1192" t="s">
        <v>201</v>
      </c>
      <c r="E3351" s="2101" t="s">
        <v>3900</v>
      </c>
      <c r="F3351" s="2101"/>
      <c r="G3351" s="1273" t="s">
        <v>19</v>
      </c>
      <c r="H3351" s="906">
        <v>0.56999999999999995</v>
      </c>
      <c r="K3351" s="1192" t="s">
        <v>3901</v>
      </c>
      <c r="L3351" s="1192" t="s">
        <v>431</v>
      </c>
      <c r="P3351" s="1192" t="s">
        <v>3903</v>
      </c>
      <c r="T3351" s="1192">
        <v>44926</v>
      </c>
      <c r="V3351" s="1192">
        <v>64</v>
      </c>
    </row>
    <row r="3352" spans="1:22" s="1192" customFormat="1" ht="14.4" x14ac:dyDescent="0.3">
      <c r="A3352" s="1192" t="s">
        <v>201</v>
      </c>
      <c r="E3352" s="2101" t="s">
        <v>80</v>
      </c>
      <c r="F3352" s="2101"/>
      <c r="G3352" s="1273" t="s">
        <v>20</v>
      </c>
      <c r="H3352" s="906">
        <v>2.5000000000000001E-2</v>
      </c>
      <c r="K3352" s="1192" t="s">
        <v>3901</v>
      </c>
      <c r="L3352" s="1192" t="s">
        <v>430</v>
      </c>
      <c r="P3352" s="1192" t="s">
        <v>3904</v>
      </c>
      <c r="V3352" s="1192">
        <v>28</v>
      </c>
    </row>
    <row r="3353" spans="1:22" s="1192" customFormat="1" ht="14.4" x14ac:dyDescent="0.3">
      <c r="A3353" s="1192" t="s">
        <v>201</v>
      </c>
      <c r="E3353" s="2101" t="s">
        <v>14</v>
      </c>
      <c r="F3353" s="2101"/>
      <c r="G3353" s="1273" t="s">
        <v>20</v>
      </c>
      <c r="H3353" s="906">
        <v>6.0000000000000002E-5</v>
      </c>
      <c r="K3353" s="1192" t="s">
        <v>3901</v>
      </c>
      <c r="L3353" s="1192" t="s">
        <v>431</v>
      </c>
      <c r="P3353" s="1192" t="s">
        <v>3905</v>
      </c>
      <c r="V3353" s="1192">
        <v>24</v>
      </c>
    </row>
    <row r="3354" spans="1:22" s="1192" customFormat="1" ht="14.4" x14ac:dyDescent="0.3">
      <c r="A3354" s="1192" t="s">
        <v>201</v>
      </c>
      <c r="E3354" s="2101" t="s">
        <v>6243</v>
      </c>
      <c r="F3354" s="1740"/>
      <c r="G3354" s="1273" t="s">
        <v>20</v>
      </c>
      <c r="H3354" s="1219">
        <v>-2.0000000000000001E-4</v>
      </c>
      <c r="K3354" s="1192" t="s">
        <v>3901</v>
      </c>
      <c r="L3354" s="1192" t="s">
        <v>431</v>
      </c>
      <c r="P3354" s="1192" t="s">
        <v>3911</v>
      </c>
      <c r="T3354" s="1192">
        <v>44196</v>
      </c>
      <c r="V3354" s="1192">
        <v>107</v>
      </c>
    </row>
    <row r="3355" spans="1:22" s="1192" customFormat="1" ht="14.4" x14ac:dyDescent="0.3">
      <c r="A3355" s="1192" t="s">
        <v>201</v>
      </c>
      <c r="E3355" s="2101" t="s">
        <v>6244</v>
      </c>
      <c r="F3355" s="1740"/>
      <c r="G3355" s="1273" t="s">
        <v>20</v>
      </c>
      <c r="H3355" s="1219">
        <v>-1.5E-3</v>
      </c>
      <c r="K3355" s="1192" t="s">
        <v>3901</v>
      </c>
      <c r="L3355" s="1192" t="s">
        <v>431</v>
      </c>
      <c r="P3355" s="1192" t="s">
        <v>3700</v>
      </c>
      <c r="T3355" s="1192">
        <v>44196</v>
      </c>
      <c r="V3355" s="1192">
        <v>142</v>
      </c>
    </row>
    <row r="3356" spans="1:22" s="1192" customFormat="1" ht="14.4" x14ac:dyDescent="0.3">
      <c r="A3356" s="1192" t="s">
        <v>201</v>
      </c>
      <c r="E3356" s="2101" t="s">
        <v>6242</v>
      </c>
      <c r="F3356" s="1740"/>
      <c r="G3356" s="1273" t="s">
        <v>20</v>
      </c>
      <c r="H3356" s="1219">
        <v>1E-3</v>
      </c>
      <c r="K3356" s="1192" t="s">
        <v>3901</v>
      </c>
      <c r="L3356" s="1192" t="s">
        <v>430</v>
      </c>
      <c r="P3356" s="1192" t="s">
        <v>3911</v>
      </c>
      <c r="T3356" s="1192">
        <v>44196</v>
      </c>
      <c r="V3356" s="1192">
        <v>141</v>
      </c>
    </row>
    <row r="3357" spans="1:22" s="1192" customFormat="1" ht="14.4" x14ac:dyDescent="0.3">
      <c r="A3357" s="1192" t="s">
        <v>201</v>
      </c>
      <c r="E3357" s="2101" t="s">
        <v>213</v>
      </c>
      <c r="F3357" s="2101"/>
      <c r="G3357" s="1273" t="s">
        <v>20</v>
      </c>
      <c r="H3357" s="906">
        <v>7.1000000000000004E-3</v>
      </c>
      <c r="K3357" s="1192" t="s">
        <v>3901</v>
      </c>
      <c r="L3357" s="1192" t="s">
        <v>432</v>
      </c>
      <c r="P3357" s="1192" t="s">
        <v>3906</v>
      </c>
      <c r="V3357" s="1192">
        <v>47</v>
      </c>
    </row>
    <row r="3358" spans="1:22" s="1192" customFormat="1" ht="14.4" x14ac:dyDescent="0.3">
      <c r="A3358" s="1192" t="s">
        <v>201</v>
      </c>
      <c r="E3358" s="2101" t="s">
        <v>209</v>
      </c>
      <c r="F3358" s="2101"/>
      <c r="G3358" s="1273" t="s">
        <v>20</v>
      </c>
      <c r="H3358" s="1219">
        <v>5.0000000000000001E-3</v>
      </c>
      <c r="K3358" s="1192" t="s">
        <v>3901</v>
      </c>
      <c r="L3358" s="1192" t="s">
        <v>432</v>
      </c>
      <c r="P3358" s="1192" t="s">
        <v>3907</v>
      </c>
      <c r="V3358" s="1192">
        <v>74</v>
      </c>
    </row>
    <row r="3359" spans="1:22" s="1192" customFormat="1" ht="14.4" x14ac:dyDescent="0.3">
      <c r="A3359" s="1192" t="s">
        <v>201</v>
      </c>
      <c r="E3359" s="2110" t="s">
        <v>2405</v>
      </c>
      <c r="F3359" s="1740"/>
      <c r="G3359" s="1273"/>
      <c r="H3359" s="867"/>
      <c r="K3359" s="1192" t="s">
        <v>2418</v>
      </c>
      <c r="V3359" s="1192">
        <v>48</v>
      </c>
    </row>
    <row r="3360" spans="1:22" s="1192" customFormat="1" ht="14.4" x14ac:dyDescent="0.3">
      <c r="A3360" s="1192" t="s">
        <v>201</v>
      </c>
      <c r="E3360" s="2101" t="s">
        <v>2033</v>
      </c>
      <c r="F3360" s="2101"/>
      <c r="G3360" s="578" t="s">
        <v>20</v>
      </c>
      <c r="H3360" s="1219">
        <v>3.0000000000000001E-3</v>
      </c>
      <c r="K3360" s="1192" t="s">
        <v>3901</v>
      </c>
      <c r="L3360" s="1192" t="s">
        <v>2374</v>
      </c>
      <c r="P3360" s="1192" t="s">
        <v>3908</v>
      </c>
      <c r="V3360" s="1192">
        <v>55</v>
      </c>
    </row>
    <row r="3361" spans="1:22" s="1192" customFormat="1" ht="14.4" x14ac:dyDescent="0.3">
      <c r="A3361" s="1192" t="s">
        <v>201</v>
      </c>
      <c r="E3361" s="1740" t="s">
        <v>2034</v>
      </c>
      <c r="F3361" s="1740"/>
      <c r="G3361" s="578" t="s">
        <v>20</v>
      </c>
      <c r="H3361" s="1301">
        <v>4.0000000000000002E-4</v>
      </c>
      <c r="K3361" s="1192" t="s">
        <v>3901</v>
      </c>
      <c r="L3361" s="1192" t="s">
        <v>2374</v>
      </c>
      <c r="P3361" s="1192" t="s">
        <v>3908</v>
      </c>
      <c r="V3361" s="1192">
        <v>65</v>
      </c>
    </row>
    <row r="3362" spans="1:22" s="1192" customFormat="1" ht="14.4" x14ac:dyDescent="0.3">
      <c r="A3362" s="1192" t="s">
        <v>201</v>
      </c>
      <c r="E3362" s="2101" t="s">
        <v>428</v>
      </c>
      <c r="F3362" s="2101"/>
      <c r="G3362" s="578" t="s">
        <v>20</v>
      </c>
      <c r="H3362" s="1301">
        <v>5.0000000000000001E-4</v>
      </c>
      <c r="K3362" s="1192" t="s">
        <v>3901</v>
      </c>
      <c r="L3362" s="1192" t="s">
        <v>2374</v>
      </c>
      <c r="P3362" s="1192" t="s">
        <v>3909</v>
      </c>
      <c r="V3362" s="1192">
        <v>57</v>
      </c>
    </row>
    <row r="3363" spans="1:22" s="1192" customFormat="1" ht="14.4" x14ac:dyDescent="0.3">
      <c r="A3363" s="1192" t="s">
        <v>201</v>
      </c>
      <c r="E3363" s="2101" t="s">
        <v>28</v>
      </c>
      <c r="F3363" s="2101"/>
      <c r="G3363" s="578" t="s">
        <v>20</v>
      </c>
      <c r="H3363" s="1301">
        <v>0.25</v>
      </c>
      <c r="K3363" s="1192" t="s">
        <v>3901</v>
      </c>
      <c r="L3363" s="1192" t="s">
        <v>2374</v>
      </c>
      <c r="P3363" s="1192" t="s">
        <v>3910</v>
      </c>
      <c r="V3363" s="1192">
        <v>63</v>
      </c>
    </row>
    <row r="3364" spans="1:22" s="1192" customFormat="1" ht="17.399999999999999" x14ac:dyDescent="0.3">
      <c r="A3364" s="1192" t="s">
        <v>201</v>
      </c>
      <c r="E3364" s="2051" t="s">
        <v>3048</v>
      </c>
      <c r="F3364" s="2051"/>
      <c r="G3364" s="2051"/>
      <c r="H3364" s="2057"/>
      <c r="K3364" s="1192" t="s">
        <v>4113</v>
      </c>
      <c r="V3364" s="1192">
        <v>53</v>
      </c>
    </row>
    <row r="3365" spans="1:22" s="1192" customFormat="1" ht="14.4" x14ac:dyDescent="0.3">
      <c r="A3365" s="1192" t="s">
        <v>201</v>
      </c>
      <c r="E3365" s="2053" t="s">
        <v>3110</v>
      </c>
      <c r="F3365" s="2053"/>
      <c r="G3365" s="2053"/>
      <c r="H3365" s="2056"/>
      <c r="K3365" s="1192" t="s">
        <v>4113</v>
      </c>
      <c r="V3365" s="1192">
        <v>355</v>
      </c>
    </row>
    <row r="3366" spans="1:22" s="1192" customFormat="1" ht="14.4" x14ac:dyDescent="0.3">
      <c r="A3366" s="1192" t="s">
        <v>201</v>
      </c>
      <c r="E3366" s="2111" t="s">
        <v>2389</v>
      </c>
      <c r="F3366" s="1988"/>
      <c r="G3366" s="1988"/>
      <c r="H3366" s="1988"/>
      <c r="K3366" s="1192" t="s">
        <v>2422</v>
      </c>
      <c r="V3366" s="1192">
        <v>11</v>
      </c>
    </row>
    <row r="3367" spans="1:22" s="1192" customFormat="1" ht="14.4" x14ac:dyDescent="0.3">
      <c r="A3367" s="1192" t="s">
        <v>201</v>
      </c>
      <c r="E3367" s="2053" t="s">
        <v>2391</v>
      </c>
      <c r="F3367" s="2053"/>
      <c r="G3367" s="2053"/>
      <c r="H3367" s="2056"/>
      <c r="K3367" s="1192" t="s">
        <v>4113</v>
      </c>
      <c r="V3367" s="1192">
        <v>280</v>
      </c>
    </row>
    <row r="3368" spans="1:22" s="1192" customFormat="1" ht="14.4" x14ac:dyDescent="0.3">
      <c r="A3368" s="1192" t="s">
        <v>201</v>
      </c>
      <c r="E3368" s="2053" t="s">
        <v>2392</v>
      </c>
      <c r="F3368" s="2053"/>
      <c r="G3368" s="2053"/>
      <c r="H3368" s="2056"/>
      <c r="K3368" s="1192" t="s">
        <v>4113</v>
      </c>
      <c r="V3368" s="1192">
        <v>411</v>
      </c>
    </row>
    <row r="3369" spans="1:22" s="1192" customFormat="1" ht="14.4" x14ac:dyDescent="0.3">
      <c r="A3369" s="1192" t="s">
        <v>201</v>
      </c>
      <c r="E3369" s="2053" t="s">
        <v>2508</v>
      </c>
      <c r="F3369" s="2053"/>
      <c r="G3369" s="2053"/>
      <c r="H3369" s="2056"/>
      <c r="K3369" s="1192" t="s">
        <v>4113</v>
      </c>
      <c r="V3369" s="1192">
        <v>386</v>
      </c>
    </row>
    <row r="3370" spans="1:22" s="1192" customFormat="1" ht="14.4" x14ac:dyDescent="0.3">
      <c r="A3370" s="1192" t="s">
        <v>201</v>
      </c>
      <c r="E3370" s="1743" t="s">
        <v>4716</v>
      </c>
      <c r="F3370" s="1743"/>
      <c r="G3370" s="1743"/>
      <c r="H3370" s="1743"/>
      <c r="K3370" s="1192" t="s">
        <v>4113</v>
      </c>
      <c r="V3370" s="1192">
        <v>678</v>
      </c>
    </row>
    <row r="3371" spans="1:22" s="1192" customFormat="1" ht="14.4" x14ac:dyDescent="0.3">
      <c r="A3371" s="1192" t="s">
        <v>201</v>
      </c>
      <c r="E3371" s="1743" t="s">
        <v>6245</v>
      </c>
      <c r="F3371" s="1743"/>
      <c r="G3371" s="1743"/>
      <c r="H3371" s="1743"/>
      <c r="K3371" s="1192" t="s">
        <v>4113</v>
      </c>
      <c r="V3371" s="1192">
        <v>694</v>
      </c>
    </row>
    <row r="3372" spans="1:22" s="1192" customFormat="1" ht="14.4" x14ac:dyDescent="0.3">
      <c r="A3372" s="1192" t="s">
        <v>201</v>
      </c>
      <c r="E3372" s="2053" t="s">
        <v>2986</v>
      </c>
      <c r="F3372" s="2053"/>
      <c r="G3372" s="2053"/>
      <c r="H3372" s="2053"/>
      <c r="K3372" s="1192" t="s">
        <v>4113</v>
      </c>
      <c r="V3372" s="1192">
        <v>246</v>
      </c>
    </row>
    <row r="3373" spans="1:22" s="1192" customFormat="1" ht="14.4" x14ac:dyDescent="0.3">
      <c r="A3373" s="1192" t="s">
        <v>201</v>
      </c>
      <c r="E3373" s="2113" t="s">
        <v>6246</v>
      </c>
      <c r="F3373" s="2113"/>
      <c r="G3373" s="2113"/>
      <c r="H3373" s="2113"/>
      <c r="K3373" s="1192" t="s">
        <v>4113</v>
      </c>
      <c r="V3373" s="1192">
        <v>148</v>
      </c>
    </row>
    <row r="3374" spans="1:22" s="1192" customFormat="1" ht="14.4" x14ac:dyDescent="0.3">
      <c r="A3374" s="1192" t="s">
        <v>201</v>
      </c>
      <c r="E3374" s="2108" t="s">
        <v>2394</v>
      </c>
      <c r="F3374" s="2109"/>
      <c r="G3374" s="2109"/>
      <c r="H3374" s="2109"/>
      <c r="K3374" s="1192" t="s">
        <v>2423</v>
      </c>
      <c r="V3374" s="1192">
        <v>46</v>
      </c>
    </row>
    <row r="3375" spans="1:22" s="1192" customFormat="1" ht="14.4" x14ac:dyDescent="0.3">
      <c r="A3375" s="1192" t="s">
        <v>201</v>
      </c>
      <c r="E3375" s="2101" t="s">
        <v>7</v>
      </c>
      <c r="F3375" s="2101"/>
      <c r="G3375" s="1273" t="s">
        <v>19</v>
      </c>
      <c r="H3375" s="509">
        <v>200</v>
      </c>
      <c r="K3375" s="1192" t="s">
        <v>4113</v>
      </c>
      <c r="L3375" s="1192" t="s">
        <v>430</v>
      </c>
      <c r="P3375" s="1192" t="s">
        <v>4114</v>
      </c>
      <c r="V3375" s="1192">
        <v>14</v>
      </c>
    </row>
    <row r="3376" spans="1:22" s="1192" customFormat="1" ht="14.4" x14ac:dyDescent="0.3">
      <c r="A3376" s="1192" t="s">
        <v>201</v>
      </c>
      <c r="E3376" s="2101" t="s">
        <v>80</v>
      </c>
      <c r="F3376" s="2101"/>
      <c r="G3376" s="1273" t="s">
        <v>29</v>
      </c>
      <c r="H3376" s="906">
        <v>4.8760000000000003</v>
      </c>
      <c r="K3376" s="1192" t="s">
        <v>4113</v>
      </c>
      <c r="L3376" s="1192" t="s">
        <v>430</v>
      </c>
      <c r="P3376" s="1192" t="s">
        <v>4115</v>
      </c>
      <c r="V3376" s="1192">
        <v>28</v>
      </c>
    </row>
    <row r="3377" spans="1:22" s="1192" customFormat="1" ht="14.4" x14ac:dyDescent="0.3">
      <c r="A3377" s="1192" t="s">
        <v>201</v>
      </c>
      <c r="E3377" s="2101" t="s">
        <v>14</v>
      </c>
      <c r="F3377" s="2101"/>
      <c r="G3377" s="1273" t="s">
        <v>29</v>
      </c>
      <c r="H3377" s="906">
        <v>2.452E-2</v>
      </c>
      <c r="K3377" s="1192" t="s">
        <v>4113</v>
      </c>
      <c r="L3377" s="1192" t="s">
        <v>431</v>
      </c>
      <c r="P3377" s="1192" t="s">
        <v>4116</v>
      </c>
      <c r="V3377" s="1192">
        <v>24</v>
      </c>
    </row>
    <row r="3378" spans="1:22" s="1192" customFormat="1" ht="14.4" x14ac:dyDescent="0.3">
      <c r="A3378" s="1192" t="s">
        <v>201</v>
      </c>
      <c r="E3378" s="2101" t="s">
        <v>6243</v>
      </c>
      <c r="F3378" s="1740"/>
      <c r="G3378" s="1273" t="s">
        <v>29</v>
      </c>
      <c r="H3378" s="1219">
        <v>-4.0300000000000002E-2</v>
      </c>
      <c r="K3378" s="1192" t="s">
        <v>4113</v>
      </c>
      <c r="L3378" s="1192" t="s">
        <v>431</v>
      </c>
      <c r="P3378" s="1192" t="s">
        <v>4118</v>
      </c>
      <c r="T3378" s="1192">
        <v>44196</v>
      </c>
      <c r="V3378" s="1192">
        <v>107</v>
      </c>
    </row>
    <row r="3379" spans="1:22" s="1192" customFormat="1" ht="14.4" x14ac:dyDescent="0.3">
      <c r="A3379" s="1192" t="s">
        <v>201</v>
      </c>
      <c r="E3379" s="2101" t="s">
        <v>6247</v>
      </c>
      <c r="F3379" s="1740"/>
      <c r="G3379" s="1273" t="s">
        <v>29</v>
      </c>
      <c r="H3379" s="1219">
        <v>-2.47E-2</v>
      </c>
      <c r="K3379" s="1192" t="s">
        <v>4113</v>
      </c>
      <c r="L3379" s="1192" t="s">
        <v>431</v>
      </c>
      <c r="P3379" s="1192" t="s">
        <v>4118</v>
      </c>
      <c r="T3379" s="1192">
        <v>44196</v>
      </c>
      <c r="V3379" s="1192">
        <v>167</v>
      </c>
    </row>
    <row r="3380" spans="1:22" s="1192" customFormat="1" ht="14.4" x14ac:dyDescent="0.3">
      <c r="A3380" s="1192" t="s">
        <v>201</v>
      </c>
      <c r="E3380" s="2101" t="s">
        <v>6244</v>
      </c>
      <c r="F3380" s="1740"/>
      <c r="G3380" s="1273" t="s">
        <v>20</v>
      </c>
      <c r="H3380" s="1219">
        <v>-1.5E-3</v>
      </c>
      <c r="K3380" s="1192" t="s">
        <v>4113</v>
      </c>
      <c r="L3380" s="1192" t="s">
        <v>431</v>
      </c>
      <c r="P3380" s="1192" t="s">
        <v>4117</v>
      </c>
      <c r="T3380" s="1192">
        <v>44196</v>
      </c>
      <c r="V3380" s="1192">
        <v>142</v>
      </c>
    </row>
    <row r="3381" spans="1:22" s="1192" customFormat="1" ht="14.4" x14ac:dyDescent="0.3">
      <c r="A3381" s="1192" t="s">
        <v>201</v>
      </c>
      <c r="E3381" s="2101" t="s">
        <v>6242</v>
      </c>
      <c r="F3381" s="1740"/>
      <c r="G3381" s="1273" t="s">
        <v>29</v>
      </c>
      <c r="H3381" s="906">
        <v>0.17169999999999999</v>
      </c>
      <c r="K3381" s="1192" t="s">
        <v>4113</v>
      </c>
      <c r="L3381" s="1192" t="s">
        <v>430</v>
      </c>
      <c r="P3381" s="1192" t="s">
        <v>4118</v>
      </c>
      <c r="T3381" s="1192">
        <v>44196</v>
      </c>
      <c r="V3381" s="1192">
        <v>141</v>
      </c>
    </row>
    <row r="3382" spans="1:22" s="1192" customFormat="1" ht="14.4" x14ac:dyDescent="0.3">
      <c r="A3382" s="1192" t="s">
        <v>201</v>
      </c>
      <c r="E3382" s="2101" t="s">
        <v>213</v>
      </c>
      <c r="F3382" s="2101"/>
      <c r="G3382" s="1273" t="s">
        <v>29</v>
      </c>
      <c r="H3382" s="906">
        <v>2.9016999999999999</v>
      </c>
      <c r="K3382" s="1192" t="s">
        <v>4113</v>
      </c>
      <c r="L3382" s="1192" t="s">
        <v>432</v>
      </c>
      <c r="P3382" s="1192" t="s">
        <v>4119</v>
      </c>
      <c r="V3382" s="1192">
        <v>47</v>
      </c>
    </row>
    <row r="3383" spans="1:22" s="1192" customFormat="1" ht="14.4" x14ac:dyDescent="0.3">
      <c r="A3383" s="1192" t="s">
        <v>201</v>
      </c>
      <c r="E3383" s="2101" t="s">
        <v>209</v>
      </c>
      <c r="F3383" s="2101"/>
      <c r="G3383" s="1273" t="s">
        <v>29</v>
      </c>
      <c r="H3383" s="906">
        <v>2.0474000000000001</v>
      </c>
      <c r="K3383" s="1192" t="s">
        <v>4113</v>
      </c>
      <c r="L3383" s="1192" t="s">
        <v>432</v>
      </c>
      <c r="P3383" s="1192" t="s">
        <v>4159</v>
      </c>
      <c r="V3383" s="1192">
        <v>74</v>
      </c>
    </row>
    <row r="3384" spans="1:22" s="1192" customFormat="1" ht="14.4" x14ac:dyDescent="0.3">
      <c r="A3384" s="1192" t="s">
        <v>201</v>
      </c>
      <c r="E3384" s="2110" t="s">
        <v>2405</v>
      </c>
      <c r="F3384" s="1740"/>
      <c r="G3384" s="1273"/>
      <c r="H3384" s="867"/>
      <c r="K3384" s="1192" t="s">
        <v>2526</v>
      </c>
      <c r="V3384" s="1192">
        <v>48</v>
      </c>
    </row>
    <row r="3385" spans="1:22" s="1192" customFormat="1" ht="14.4" x14ac:dyDescent="0.3">
      <c r="A3385" s="1192" t="s">
        <v>201</v>
      </c>
      <c r="E3385" s="2101" t="s">
        <v>2033</v>
      </c>
      <c r="F3385" s="2101"/>
      <c r="G3385" s="578" t="s">
        <v>20</v>
      </c>
      <c r="H3385" s="1219">
        <v>3.0000000000000001E-3</v>
      </c>
      <c r="K3385" s="1192" t="s">
        <v>4113</v>
      </c>
      <c r="L3385" s="1192" t="s">
        <v>2374</v>
      </c>
      <c r="P3385" s="1192" t="s">
        <v>4120</v>
      </c>
      <c r="V3385" s="1192">
        <v>55</v>
      </c>
    </row>
    <row r="3386" spans="1:22" s="1192" customFormat="1" ht="14.4" x14ac:dyDescent="0.3">
      <c r="A3386" s="1192" t="s">
        <v>201</v>
      </c>
      <c r="E3386" s="1740" t="s">
        <v>2034</v>
      </c>
      <c r="F3386" s="1740"/>
      <c r="G3386" s="578" t="s">
        <v>20</v>
      </c>
      <c r="H3386" s="1301">
        <v>4.0000000000000002E-4</v>
      </c>
      <c r="K3386" s="1192" t="s">
        <v>4113</v>
      </c>
      <c r="L3386" s="1192" t="s">
        <v>2374</v>
      </c>
      <c r="P3386" s="1192" t="s">
        <v>4120</v>
      </c>
      <c r="V3386" s="1192">
        <v>65</v>
      </c>
    </row>
    <row r="3387" spans="1:22" s="1192" customFormat="1" ht="14.4" x14ac:dyDescent="0.3">
      <c r="A3387" s="1192" t="s">
        <v>201</v>
      </c>
      <c r="E3387" s="2101" t="s">
        <v>428</v>
      </c>
      <c r="F3387" s="2101"/>
      <c r="G3387" s="578" t="s">
        <v>20</v>
      </c>
      <c r="H3387" s="1301">
        <v>5.0000000000000001E-4</v>
      </c>
      <c r="K3387" s="1192" t="s">
        <v>4113</v>
      </c>
      <c r="L3387" s="1192" t="s">
        <v>2374</v>
      </c>
      <c r="P3387" s="1192" t="s">
        <v>4121</v>
      </c>
      <c r="V3387" s="1192">
        <v>57</v>
      </c>
    </row>
    <row r="3388" spans="1:22" s="1192" customFormat="1" ht="14.4" x14ac:dyDescent="0.3">
      <c r="A3388" s="1192" t="s">
        <v>201</v>
      </c>
      <c r="E3388" s="2101" t="s">
        <v>28</v>
      </c>
      <c r="F3388" s="2101"/>
      <c r="G3388" s="578" t="s">
        <v>20</v>
      </c>
      <c r="H3388" s="1301">
        <v>0.25</v>
      </c>
      <c r="K3388" s="1192" t="s">
        <v>4113</v>
      </c>
      <c r="L3388" s="1192" t="s">
        <v>2374</v>
      </c>
      <c r="P3388" s="1192" t="s">
        <v>4122</v>
      </c>
      <c r="V3388" s="1192">
        <v>63</v>
      </c>
    </row>
    <row r="3389" spans="1:22" s="1192" customFormat="1" ht="17.399999999999999" x14ac:dyDescent="0.3">
      <c r="A3389" s="1192" t="s">
        <v>201</v>
      </c>
      <c r="E3389" s="2051" t="s">
        <v>2048</v>
      </c>
      <c r="F3389" s="2051"/>
      <c r="G3389" s="2051"/>
      <c r="H3389" s="2057"/>
      <c r="K3389" s="1192" t="s">
        <v>4160</v>
      </c>
      <c r="V3389" s="1192">
        <v>56</v>
      </c>
    </row>
    <row r="3390" spans="1:22" s="1192" customFormat="1" ht="14.4" x14ac:dyDescent="0.3">
      <c r="A3390" s="1192" t="s">
        <v>201</v>
      </c>
      <c r="E3390" s="2053" t="s">
        <v>3111</v>
      </c>
      <c r="F3390" s="2053"/>
      <c r="G3390" s="2053"/>
      <c r="H3390" s="2056"/>
      <c r="K3390" s="1192" t="s">
        <v>4160</v>
      </c>
      <c r="V3390" s="1192">
        <v>359</v>
      </c>
    </row>
    <row r="3391" spans="1:22" s="1192" customFormat="1" ht="14.4" x14ac:dyDescent="0.3">
      <c r="A3391" s="1192" t="s">
        <v>201</v>
      </c>
      <c r="E3391" s="2111" t="s">
        <v>2389</v>
      </c>
      <c r="F3391" s="1988"/>
      <c r="G3391" s="1988"/>
      <c r="H3391" s="1988"/>
      <c r="K3391" s="1192" t="s">
        <v>2529</v>
      </c>
      <c r="V3391" s="1192">
        <v>11</v>
      </c>
    </row>
    <row r="3392" spans="1:22" s="1192" customFormat="1" ht="14.4" x14ac:dyDescent="0.3">
      <c r="A3392" s="1192" t="s">
        <v>201</v>
      </c>
      <c r="E3392" s="2053" t="s">
        <v>2391</v>
      </c>
      <c r="F3392" s="2053"/>
      <c r="G3392" s="2053"/>
      <c r="H3392" s="2056"/>
      <c r="K3392" s="1192" t="s">
        <v>4160</v>
      </c>
      <c r="V3392" s="1192">
        <v>280</v>
      </c>
    </row>
    <row r="3393" spans="1:22" s="1192" customFormat="1" ht="14.4" x14ac:dyDescent="0.3">
      <c r="A3393" s="1192" t="s">
        <v>201</v>
      </c>
      <c r="E3393" s="2053" t="s">
        <v>3112</v>
      </c>
      <c r="F3393" s="2053"/>
      <c r="G3393" s="2053"/>
      <c r="H3393" s="2056"/>
      <c r="K3393" s="1192" t="s">
        <v>4160</v>
      </c>
      <c r="V3393" s="1192">
        <v>396</v>
      </c>
    </row>
    <row r="3394" spans="1:22" s="1192" customFormat="1" ht="14.4" x14ac:dyDescent="0.3">
      <c r="A3394" s="1192" t="s">
        <v>201</v>
      </c>
      <c r="E3394" s="2053" t="s">
        <v>2508</v>
      </c>
      <c r="F3394" s="2053"/>
      <c r="G3394" s="2053"/>
      <c r="H3394" s="2056"/>
      <c r="K3394" s="1192" t="s">
        <v>4160</v>
      </c>
      <c r="V3394" s="1192">
        <v>386</v>
      </c>
    </row>
    <row r="3395" spans="1:22" s="1192" customFormat="1" ht="14.4" x14ac:dyDescent="0.3">
      <c r="A3395" s="1192" t="s">
        <v>201</v>
      </c>
      <c r="E3395" s="1743" t="s">
        <v>4716</v>
      </c>
      <c r="F3395" s="1743"/>
      <c r="G3395" s="1743"/>
      <c r="H3395" s="1743"/>
      <c r="K3395" s="1192" t="s">
        <v>4160</v>
      </c>
      <c r="V3395" s="1192">
        <v>678</v>
      </c>
    </row>
    <row r="3396" spans="1:22" s="1192" customFormat="1" ht="14.4" x14ac:dyDescent="0.3">
      <c r="A3396" s="1192" t="s">
        <v>201</v>
      </c>
      <c r="E3396" s="1743" t="s">
        <v>6245</v>
      </c>
      <c r="F3396" s="1743"/>
      <c r="G3396" s="1743"/>
      <c r="H3396" s="1743"/>
      <c r="K3396" s="1192" t="s">
        <v>4160</v>
      </c>
      <c r="V3396" s="1192">
        <v>694</v>
      </c>
    </row>
    <row r="3397" spans="1:22" s="1192" customFormat="1" ht="14.4" x14ac:dyDescent="0.3">
      <c r="A3397" s="1192" t="s">
        <v>201</v>
      </c>
      <c r="E3397" s="2053" t="s">
        <v>2986</v>
      </c>
      <c r="F3397" s="2053"/>
      <c r="G3397" s="2053"/>
      <c r="H3397" s="2056"/>
      <c r="K3397" s="1192" t="s">
        <v>4160</v>
      </c>
      <c r="V3397" s="1192">
        <v>246</v>
      </c>
    </row>
    <row r="3398" spans="1:22" s="1192" customFormat="1" ht="14.4" x14ac:dyDescent="0.3">
      <c r="A3398" s="1192" t="s">
        <v>201</v>
      </c>
      <c r="E3398" s="2113" t="s">
        <v>6246</v>
      </c>
      <c r="F3398" s="2113"/>
      <c r="G3398" s="2113"/>
      <c r="H3398" s="2113"/>
      <c r="K3398" s="1192" t="s">
        <v>4160</v>
      </c>
      <c r="V3398" s="1192">
        <v>148</v>
      </c>
    </row>
    <row r="3399" spans="1:22" s="1192" customFormat="1" ht="14.4" x14ac:dyDescent="0.3">
      <c r="A3399" s="1192" t="s">
        <v>201</v>
      </c>
      <c r="E3399" s="2108" t="s">
        <v>2394</v>
      </c>
      <c r="F3399" s="2109"/>
      <c r="G3399" s="2109"/>
      <c r="H3399" s="2109"/>
      <c r="K3399" s="1192" t="s">
        <v>2531</v>
      </c>
      <c r="V3399" s="1192">
        <v>46</v>
      </c>
    </row>
    <row r="3400" spans="1:22" s="1192" customFormat="1" ht="14.4" x14ac:dyDescent="0.3">
      <c r="A3400" s="1192" t="s">
        <v>201</v>
      </c>
      <c r="E3400" s="2101" t="s">
        <v>7</v>
      </c>
      <c r="F3400" s="2101"/>
      <c r="G3400" s="1273" t="s">
        <v>19</v>
      </c>
      <c r="H3400" s="906">
        <v>4193.93</v>
      </c>
      <c r="K3400" s="1192" t="s">
        <v>4160</v>
      </c>
      <c r="L3400" s="1192" t="s">
        <v>430</v>
      </c>
      <c r="P3400" s="1192" t="s">
        <v>4161</v>
      </c>
      <c r="V3400" s="1192">
        <v>14</v>
      </c>
    </row>
    <row r="3401" spans="1:22" s="1192" customFormat="1" ht="14.4" x14ac:dyDescent="0.3">
      <c r="A3401" s="1192" t="s">
        <v>201</v>
      </c>
      <c r="E3401" s="2101" t="s">
        <v>80</v>
      </c>
      <c r="F3401" s="2101"/>
      <c r="G3401" s="1273" t="s">
        <v>29</v>
      </c>
      <c r="H3401" s="906">
        <v>4.4561999999999999</v>
      </c>
      <c r="K3401" s="1192" t="s">
        <v>4160</v>
      </c>
      <c r="L3401" s="1192" t="s">
        <v>430</v>
      </c>
      <c r="P3401" s="1192" t="s">
        <v>4162</v>
      </c>
      <c r="V3401" s="1192">
        <v>28</v>
      </c>
    </row>
    <row r="3402" spans="1:22" s="1192" customFormat="1" ht="14.4" x14ac:dyDescent="0.3">
      <c r="A3402" s="1192" t="s">
        <v>201</v>
      </c>
      <c r="E3402" s="2101" t="s">
        <v>14</v>
      </c>
      <c r="F3402" s="2101"/>
      <c r="G3402" s="1273" t="s">
        <v>29</v>
      </c>
      <c r="H3402" s="906">
        <v>2.6210000000000001E-2</v>
      </c>
      <c r="K3402" s="1192" t="s">
        <v>4160</v>
      </c>
      <c r="L3402" s="1192" t="s">
        <v>431</v>
      </c>
      <c r="P3402" s="1192" t="s">
        <v>4163</v>
      </c>
      <c r="V3402" s="1192">
        <v>24</v>
      </c>
    </row>
    <row r="3403" spans="1:22" s="1192" customFormat="1" ht="14.4" x14ac:dyDescent="0.3">
      <c r="A3403" s="1192" t="s">
        <v>201</v>
      </c>
      <c r="E3403" s="2101" t="s">
        <v>6243</v>
      </c>
      <c r="F3403" s="1740"/>
      <c r="G3403" s="1273" t="s">
        <v>29</v>
      </c>
      <c r="H3403" s="1219">
        <v>-7.1900000000000006E-2</v>
      </c>
      <c r="K3403" s="1192" t="s">
        <v>4160</v>
      </c>
      <c r="L3403" s="1192" t="s">
        <v>431</v>
      </c>
      <c r="P3403" s="1192" t="s">
        <v>4165</v>
      </c>
      <c r="T3403" s="1192">
        <v>44196</v>
      </c>
      <c r="V3403" s="1192">
        <v>107</v>
      </c>
    </row>
    <row r="3404" spans="1:22" s="1192" customFormat="1" ht="14.4" x14ac:dyDescent="0.3">
      <c r="A3404" s="1192" t="s">
        <v>201</v>
      </c>
      <c r="E3404" s="2101" t="s">
        <v>6244</v>
      </c>
      <c r="F3404" s="1740"/>
      <c r="G3404" s="1273" t="s">
        <v>20</v>
      </c>
      <c r="H3404" s="1219">
        <v>-1.5E-3</v>
      </c>
      <c r="K3404" s="1192" t="s">
        <v>4160</v>
      </c>
      <c r="L3404" s="1192" t="s">
        <v>431</v>
      </c>
      <c r="P3404" s="1192" t="s">
        <v>4164</v>
      </c>
      <c r="T3404" s="1192">
        <v>44196</v>
      </c>
      <c r="V3404" s="1192">
        <v>142</v>
      </c>
    </row>
    <row r="3405" spans="1:22" s="1192" customFormat="1" ht="14.4" x14ac:dyDescent="0.3">
      <c r="A3405" s="1192" t="s">
        <v>201</v>
      </c>
      <c r="E3405" s="2101" t="s">
        <v>6242</v>
      </c>
      <c r="F3405" s="1740"/>
      <c r="G3405" s="1273" t="s">
        <v>29</v>
      </c>
      <c r="H3405" s="1219">
        <v>0.2427</v>
      </c>
      <c r="K3405" s="1192" t="s">
        <v>4160</v>
      </c>
      <c r="L3405" s="1192" t="s">
        <v>430</v>
      </c>
      <c r="P3405" s="1192" t="s">
        <v>4165</v>
      </c>
      <c r="T3405" s="1192">
        <v>44196</v>
      </c>
      <c r="V3405" s="1192">
        <v>141</v>
      </c>
    </row>
    <row r="3406" spans="1:22" s="1192" customFormat="1" ht="14.4" x14ac:dyDescent="0.3">
      <c r="A3406" s="1192" t="s">
        <v>201</v>
      </c>
      <c r="E3406" s="2101" t="s">
        <v>213</v>
      </c>
      <c r="F3406" s="2101"/>
      <c r="G3406" s="1273" t="s">
        <v>29</v>
      </c>
      <c r="H3406" s="906">
        <v>3.0127999999999999</v>
      </c>
      <c r="K3406" s="1192" t="s">
        <v>4160</v>
      </c>
      <c r="L3406" s="1192" t="s">
        <v>432</v>
      </c>
      <c r="P3406" s="1192" t="s">
        <v>4166</v>
      </c>
      <c r="V3406" s="1192">
        <v>47</v>
      </c>
    </row>
    <row r="3407" spans="1:22" s="1192" customFormat="1" ht="14.4" x14ac:dyDescent="0.3">
      <c r="A3407" s="1192" t="s">
        <v>201</v>
      </c>
      <c r="E3407" s="2101" t="s">
        <v>209</v>
      </c>
      <c r="F3407" s="2101"/>
      <c r="G3407" s="1273" t="s">
        <v>29</v>
      </c>
      <c r="H3407" s="906">
        <v>2.1882000000000001</v>
      </c>
      <c r="K3407" s="1192" t="s">
        <v>4160</v>
      </c>
      <c r="L3407" s="1192" t="s">
        <v>432</v>
      </c>
      <c r="P3407" s="1192" t="s">
        <v>4167</v>
      </c>
      <c r="V3407" s="1192">
        <v>74</v>
      </c>
    </row>
    <row r="3408" spans="1:22" s="1192" customFormat="1" ht="14.4" x14ac:dyDescent="0.3">
      <c r="A3408" s="1192" t="s">
        <v>201</v>
      </c>
      <c r="E3408" s="2110" t="s">
        <v>2405</v>
      </c>
      <c r="F3408" s="1740"/>
      <c r="G3408" s="1273"/>
      <c r="H3408" s="867"/>
      <c r="K3408" s="1192" t="s">
        <v>2532</v>
      </c>
      <c r="V3408" s="1192">
        <v>48</v>
      </c>
    </row>
    <row r="3409" spans="1:22" s="1192" customFormat="1" ht="14.4" x14ac:dyDescent="0.3">
      <c r="A3409" s="1192" t="s">
        <v>201</v>
      </c>
      <c r="E3409" s="2101" t="s">
        <v>2033</v>
      </c>
      <c r="F3409" s="2101"/>
      <c r="G3409" s="578" t="s">
        <v>20</v>
      </c>
      <c r="H3409" s="1219">
        <v>3.0000000000000001E-3</v>
      </c>
      <c r="K3409" s="1192" t="s">
        <v>4160</v>
      </c>
      <c r="L3409" s="1192" t="s">
        <v>2374</v>
      </c>
      <c r="P3409" s="1192" t="s">
        <v>4168</v>
      </c>
      <c r="V3409" s="1192">
        <v>55</v>
      </c>
    </row>
    <row r="3410" spans="1:22" s="1192" customFormat="1" ht="14.4" x14ac:dyDescent="0.3">
      <c r="A3410" s="1192" t="s">
        <v>201</v>
      </c>
      <c r="E3410" s="1740" t="s">
        <v>2034</v>
      </c>
      <c r="F3410" s="1740"/>
      <c r="G3410" s="578" t="s">
        <v>20</v>
      </c>
      <c r="H3410" s="1301">
        <v>4.0000000000000002E-4</v>
      </c>
      <c r="K3410" s="1192" t="s">
        <v>4160</v>
      </c>
      <c r="L3410" s="1192" t="s">
        <v>2374</v>
      </c>
      <c r="P3410" s="1192" t="s">
        <v>4168</v>
      </c>
      <c r="V3410" s="1192">
        <v>65</v>
      </c>
    </row>
    <row r="3411" spans="1:22" s="1192" customFormat="1" ht="14.4" x14ac:dyDescent="0.3">
      <c r="A3411" s="1192" t="s">
        <v>201</v>
      </c>
      <c r="E3411" s="2101" t="s">
        <v>428</v>
      </c>
      <c r="F3411" s="2101"/>
      <c r="G3411" s="578" t="s">
        <v>20</v>
      </c>
      <c r="H3411" s="1301">
        <v>5.0000000000000001E-4</v>
      </c>
      <c r="K3411" s="1192" t="s">
        <v>4160</v>
      </c>
      <c r="L3411" s="1192" t="s">
        <v>2374</v>
      </c>
      <c r="P3411" s="1192" t="s">
        <v>4169</v>
      </c>
      <c r="V3411" s="1192">
        <v>57</v>
      </c>
    </row>
    <row r="3412" spans="1:22" s="1192" customFormat="1" ht="14.4" x14ac:dyDescent="0.3">
      <c r="A3412" s="1192" t="s">
        <v>201</v>
      </c>
      <c r="E3412" s="2101" t="s">
        <v>28</v>
      </c>
      <c r="F3412" s="2101"/>
      <c r="G3412" s="578" t="s">
        <v>20</v>
      </c>
      <c r="H3412" s="1301">
        <v>0.25</v>
      </c>
      <c r="K3412" s="1192" t="s">
        <v>4160</v>
      </c>
      <c r="L3412" s="1192" t="s">
        <v>2374</v>
      </c>
      <c r="P3412" s="1192" t="s">
        <v>4170</v>
      </c>
      <c r="V3412" s="1192">
        <v>63</v>
      </c>
    </row>
    <row r="3413" spans="1:22" s="1192" customFormat="1" ht="17.399999999999999" x14ac:dyDescent="0.3">
      <c r="A3413" s="1192" t="s">
        <v>201</v>
      </c>
      <c r="E3413" s="2051" t="s">
        <v>596</v>
      </c>
      <c r="F3413" s="2051"/>
      <c r="G3413" s="2051"/>
      <c r="H3413" s="2057"/>
      <c r="K3413" s="1192" t="s">
        <v>2533</v>
      </c>
      <c r="V3413" s="1192">
        <v>32</v>
      </c>
    </row>
    <row r="3414" spans="1:22" s="1192" customFormat="1" ht="14.4" x14ac:dyDescent="0.3">
      <c r="A3414" s="1192" t="s">
        <v>201</v>
      </c>
      <c r="E3414" s="2053" t="s">
        <v>3113</v>
      </c>
      <c r="F3414" s="2053"/>
      <c r="G3414" s="2053"/>
      <c r="H3414" s="2056"/>
      <c r="K3414" s="1192" t="s">
        <v>2533</v>
      </c>
      <c r="V3414" s="1192">
        <v>320</v>
      </c>
    </row>
    <row r="3415" spans="1:22" s="1192" customFormat="1" ht="14.4" x14ac:dyDescent="0.3">
      <c r="A3415" s="1192" t="s">
        <v>201</v>
      </c>
      <c r="E3415" s="2111" t="s">
        <v>2389</v>
      </c>
      <c r="F3415" s="1988"/>
      <c r="G3415" s="1988"/>
      <c r="H3415" s="1988"/>
      <c r="K3415" s="1192" t="s">
        <v>2424</v>
      </c>
      <c r="V3415" s="1192">
        <v>11</v>
      </c>
    </row>
    <row r="3416" spans="1:22" s="1192" customFormat="1" ht="14.4" x14ac:dyDescent="0.3">
      <c r="A3416" s="1192" t="s">
        <v>201</v>
      </c>
      <c r="E3416" s="2053" t="s">
        <v>2391</v>
      </c>
      <c r="F3416" s="2053"/>
      <c r="G3416" s="2053"/>
      <c r="H3416" s="2056"/>
      <c r="K3416" s="1192" t="s">
        <v>2533</v>
      </c>
      <c r="V3416" s="1192">
        <v>280</v>
      </c>
    </row>
    <row r="3417" spans="1:22" s="1192" customFormat="1" ht="14.4" x14ac:dyDescent="0.3">
      <c r="A3417" s="1192" t="s">
        <v>201</v>
      </c>
      <c r="E3417" s="2053" t="s">
        <v>3114</v>
      </c>
      <c r="F3417" s="2053"/>
      <c r="G3417" s="2053"/>
      <c r="H3417" s="2056"/>
      <c r="K3417" s="1192" t="s">
        <v>2533</v>
      </c>
      <c r="V3417" s="1192">
        <v>396</v>
      </c>
    </row>
    <row r="3418" spans="1:22" s="1192" customFormat="1" ht="14.4" x14ac:dyDescent="0.3">
      <c r="A3418" s="1192" t="s">
        <v>201</v>
      </c>
      <c r="E3418" s="2053" t="s">
        <v>2508</v>
      </c>
      <c r="F3418" s="2053"/>
      <c r="G3418" s="2053"/>
      <c r="H3418" s="2056"/>
      <c r="K3418" s="1192" t="s">
        <v>2533</v>
      </c>
      <c r="V3418" s="1192">
        <v>386</v>
      </c>
    </row>
    <row r="3419" spans="1:22" s="1192" customFormat="1" ht="14.4" x14ac:dyDescent="0.3">
      <c r="A3419" s="1192" t="s">
        <v>201</v>
      </c>
      <c r="E3419" s="1743" t="s">
        <v>4716</v>
      </c>
      <c r="F3419" s="1743"/>
      <c r="G3419" s="1743"/>
      <c r="H3419" s="1743"/>
      <c r="K3419" s="1192" t="s">
        <v>2533</v>
      </c>
      <c r="V3419" s="1192">
        <v>678</v>
      </c>
    </row>
    <row r="3420" spans="1:22" s="1192" customFormat="1" ht="14.4" x14ac:dyDescent="0.3">
      <c r="A3420" s="1192" t="s">
        <v>201</v>
      </c>
      <c r="E3420" s="1743" t="s">
        <v>6245</v>
      </c>
      <c r="F3420" s="1743"/>
      <c r="G3420" s="1743"/>
      <c r="H3420" s="1743"/>
      <c r="K3420" s="1192" t="s">
        <v>2533</v>
      </c>
      <c r="V3420" s="1192">
        <v>694</v>
      </c>
    </row>
    <row r="3421" spans="1:22" s="1192" customFormat="1" ht="14.4" x14ac:dyDescent="0.3">
      <c r="A3421" s="1192" t="s">
        <v>201</v>
      </c>
      <c r="E3421" s="2053" t="s">
        <v>2986</v>
      </c>
      <c r="F3421" s="2053"/>
      <c r="G3421" s="2053"/>
      <c r="H3421" s="2056"/>
      <c r="K3421" s="1192" t="s">
        <v>2533</v>
      </c>
      <c r="V3421" s="1192">
        <v>246</v>
      </c>
    </row>
    <row r="3422" spans="1:22" s="1192" customFormat="1" ht="14.4" x14ac:dyDescent="0.3">
      <c r="A3422" s="1192" t="s">
        <v>201</v>
      </c>
      <c r="E3422" s="2113" t="s">
        <v>6246</v>
      </c>
      <c r="F3422" s="2113"/>
      <c r="G3422" s="2113"/>
      <c r="H3422" s="2113"/>
      <c r="K3422" s="1192" t="s">
        <v>2533</v>
      </c>
      <c r="V3422" s="1192">
        <v>148</v>
      </c>
    </row>
    <row r="3423" spans="1:22" s="1192" customFormat="1" ht="14.4" x14ac:dyDescent="0.3">
      <c r="A3423" s="1192" t="s">
        <v>201</v>
      </c>
      <c r="E3423" s="2108" t="s">
        <v>2394</v>
      </c>
      <c r="F3423" s="2109"/>
      <c r="G3423" s="2109"/>
      <c r="H3423" s="2109"/>
      <c r="K3423" s="1192" t="s">
        <v>2425</v>
      </c>
      <c r="V3423" s="1192">
        <v>46</v>
      </c>
    </row>
    <row r="3424" spans="1:22" s="1192" customFormat="1" ht="14.4" x14ac:dyDescent="0.3">
      <c r="A3424" s="1192" t="s">
        <v>201</v>
      </c>
      <c r="E3424" s="2101" t="s">
        <v>7</v>
      </c>
      <c r="F3424" s="2101"/>
      <c r="G3424" s="1273" t="s">
        <v>19</v>
      </c>
      <c r="H3424" s="906">
        <v>15231.32</v>
      </c>
      <c r="K3424" s="1192" t="s">
        <v>2533</v>
      </c>
      <c r="L3424" s="1192" t="s">
        <v>430</v>
      </c>
      <c r="P3424" s="1192" t="s">
        <v>2535</v>
      </c>
      <c r="V3424" s="1192">
        <v>14</v>
      </c>
    </row>
    <row r="3425" spans="1:22" s="1192" customFormat="1" ht="14.4" x14ac:dyDescent="0.3">
      <c r="A3425" s="1192" t="s">
        <v>201</v>
      </c>
      <c r="E3425" s="2101" t="s">
        <v>80</v>
      </c>
      <c r="F3425" s="2101"/>
      <c r="G3425" s="1273" t="s">
        <v>29</v>
      </c>
      <c r="H3425" s="906">
        <v>4.2422000000000004</v>
      </c>
      <c r="K3425" s="1192" t="s">
        <v>2533</v>
      </c>
      <c r="L3425" s="1192" t="s">
        <v>430</v>
      </c>
      <c r="P3425" s="1192" t="s">
        <v>2536</v>
      </c>
      <c r="V3425" s="1192">
        <v>28</v>
      </c>
    </row>
    <row r="3426" spans="1:22" s="1192" customFormat="1" ht="14.4" x14ac:dyDescent="0.3">
      <c r="A3426" s="1192" t="s">
        <v>201</v>
      </c>
      <c r="E3426" s="2101" t="s">
        <v>14</v>
      </c>
      <c r="F3426" s="2101"/>
      <c r="G3426" s="1273" t="s">
        <v>29</v>
      </c>
      <c r="H3426" s="906">
        <v>2.9510000000000002E-2</v>
      </c>
      <c r="K3426" s="1192" t="s">
        <v>2533</v>
      </c>
      <c r="L3426" s="1192" t="s">
        <v>431</v>
      </c>
      <c r="P3426" s="1192" t="s">
        <v>2537</v>
      </c>
      <c r="V3426" s="1192">
        <v>24</v>
      </c>
    </row>
    <row r="3427" spans="1:22" s="1192" customFormat="1" ht="14.4" x14ac:dyDescent="0.3">
      <c r="A3427" s="1192" t="s">
        <v>201</v>
      </c>
      <c r="E3427" s="2101" t="s">
        <v>6243</v>
      </c>
      <c r="F3427" s="1740"/>
      <c r="G3427" s="1273" t="s">
        <v>29</v>
      </c>
      <c r="H3427" s="1219">
        <v>-8.6300000000000002E-2</v>
      </c>
      <c r="K3427" s="1192" t="s">
        <v>2533</v>
      </c>
      <c r="L3427" s="1192" t="s">
        <v>431</v>
      </c>
      <c r="P3427" s="1192" t="s">
        <v>2539</v>
      </c>
      <c r="T3427" s="1192">
        <v>44196</v>
      </c>
      <c r="V3427" s="1192">
        <v>107</v>
      </c>
    </row>
    <row r="3428" spans="1:22" s="1192" customFormat="1" ht="14.4" x14ac:dyDescent="0.3">
      <c r="A3428" s="1192" t="s">
        <v>201</v>
      </c>
      <c r="E3428" s="2101" t="s">
        <v>6244</v>
      </c>
      <c r="F3428" s="1740"/>
      <c r="G3428" s="1273" t="s">
        <v>20</v>
      </c>
      <c r="H3428" s="1219">
        <v>-1.5E-3</v>
      </c>
      <c r="K3428" s="1192" t="s">
        <v>2533</v>
      </c>
      <c r="L3428" s="1192" t="s">
        <v>431</v>
      </c>
      <c r="P3428" s="1192" t="s">
        <v>3382</v>
      </c>
      <c r="T3428" s="1192">
        <v>44196</v>
      </c>
      <c r="V3428" s="1192">
        <v>142</v>
      </c>
    </row>
    <row r="3429" spans="1:22" s="1192" customFormat="1" ht="14.4" x14ac:dyDescent="0.3">
      <c r="A3429" s="1192" t="s">
        <v>201</v>
      </c>
      <c r="E3429" s="2101" t="s">
        <v>6242</v>
      </c>
      <c r="F3429" s="1740"/>
      <c r="G3429" s="1273" t="s">
        <v>29</v>
      </c>
      <c r="H3429" s="1219">
        <v>0.183</v>
      </c>
      <c r="K3429" s="1192" t="s">
        <v>2533</v>
      </c>
      <c r="L3429" s="1192" t="s">
        <v>430</v>
      </c>
      <c r="P3429" s="1192" t="s">
        <v>2539</v>
      </c>
      <c r="T3429" s="1192">
        <v>44196</v>
      </c>
      <c r="V3429" s="1192">
        <v>141</v>
      </c>
    </row>
    <row r="3430" spans="1:22" s="1192" customFormat="1" ht="14.4" x14ac:dyDescent="0.3">
      <c r="A3430" s="1192" t="s">
        <v>201</v>
      </c>
      <c r="E3430" s="2101" t="s">
        <v>213</v>
      </c>
      <c r="F3430" s="2101"/>
      <c r="G3430" s="1273" t="s">
        <v>29</v>
      </c>
      <c r="H3430" s="906">
        <v>3.3399000000000001</v>
      </c>
      <c r="K3430" s="1192" t="s">
        <v>2533</v>
      </c>
      <c r="L3430" s="1192" t="s">
        <v>432</v>
      </c>
      <c r="P3430" s="1192" t="s">
        <v>2833</v>
      </c>
      <c r="V3430" s="1192">
        <v>47</v>
      </c>
    </row>
    <row r="3431" spans="1:22" s="1192" customFormat="1" ht="14.4" x14ac:dyDescent="0.3">
      <c r="A3431" s="1192" t="s">
        <v>201</v>
      </c>
      <c r="E3431" s="2101" t="s">
        <v>209</v>
      </c>
      <c r="F3431" s="2101"/>
      <c r="G3431" s="1273" t="s">
        <v>29</v>
      </c>
      <c r="H3431" s="906">
        <v>2.4641999999999999</v>
      </c>
      <c r="K3431" s="1192" t="s">
        <v>2533</v>
      </c>
      <c r="L3431" s="1192" t="s">
        <v>432</v>
      </c>
      <c r="P3431" s="1192" t="s">
        <v>2834</v>
      </c>
      <c r="V3431" s="1192">
        <v>74</v>
      </c>
    </row>
    <row r="3432" spans="1:22" s="1192" customFormat="1" ht="14.4" x14ac:dyDescent="0.3">
      <c r="A3432" s="1192" t="s">
        <v>201</v>
      </c>
      <c r="E3432" s="2110" t="s">
        <v>2405</v>
      </c>
      <c r="F3432" s="1740"/>
      <c r="G3432" s="1273"/>
      <c r="H3432" s="867"/>
      <c r="K3432" s="1192" t="s">
        <v>2427</v>
      </c>
      <c r="V3432" s="1192">
        <v>48</v>
      </c>
    </row>
    <row r="3433" spans="1:22" s="1192" customFormat="1" ht="14.4" x14ac:dyDescent="0.3">
      <c r="A3433" s="1192" t="s">
        <v>201</v>
      </c>
      <c r="E3433" s="2101" t="s">
        <v>2033</v>
      </c>
      <c r="F3433" s="2101"/>
      <c r="G3433" s="578" t="s">
        <v>20</v>
      </c>
      <c r="H3433" s="1219">
        <v>3.0000000000000001E-3</v>
      </c>
      <c r="K3433" s="1192" t="s">
        <v>2533</v>
      </c>
      <c r="L3433" s="1192" t="s">
        <v>2374</v>
      </c>
      <c r="P3433" s="1192" t="s">
        <v>2540</v>
      </c>
      <c r="V3433" s="1192">
        <v>55</v>
      </c>
    </row>
    <row r="3434" spans="1:22" s="1192" customFormat="1" ht="14.4" x14ac:dyDescent="0.3">
      <c r="A3434" s="1192" t="s">
        <v>201</v>
      </c>
      <c r="E3434" s="1740" t="s">
        <v>2034</v>
      </c>
      <c r="F3434" s="1740"/>
      <c r="G3434" s="578" t="s">
        <v>20</v>
      </c>
      <c r="H3434" s="1301">
        <v>4.0000000000000002E-4</v>
      </c>
      <c r="K3434" s="1192" t="s">
        <v>2533</v>
      </c>
      <c r="L3434" s="1192" t="s">
        <v>2374</v>
      </c>
      <c r="P3434" s="1192" t="s">
        <v>2540</v>
      </c>
      <c r="V3434" s="1192">
        <v>65</v>
      </c>
    </row>
    <row r="3435" spans="1:22" s="1192" customFormat="1" ht="14.4" x14ac:dyDescent="0.3">
      <c r="A3435" s="1192" t="s">
        <v>201</v>
      </c>
      <c r="E3435" s="2101" t="s">
        <v>428</v>
      </c>
      <c r="F3435" s="2101"/>
      <c r="G3435" s="578" t="s">
        <v>20</v>
      </c>
      <c r="H3435" s="1301">
        <v>5.0000000000000001E-4</v>
      </c>
      <c r="K3435" s="1192" t="s">
        <v>2533</v>
      </c>
      <c r="L3435" s="1192" t="s">
        <v>2374</v>
      </c>
      <c r="P3435" s="1192" t="s">
        <v>2541</v>
      </c>
      <c r="V3435" s="1192">
        <v>57</v>
      </c>
    </row>
    <row r="3436" spans="1:22" s="1192" customFormat="1" ht="14.4" x14ac:dyDescent="0.3">
      <c r="A3436" s="1192" t="s">
        <v>201</v>
      </c>
      <c r="E3436" s="2101" t="s">
        <v>28</v>
      </c>
      <c r="F3436" s="2101"/>
      <c r="G3436" s="578" t="s">
        <v>20</v>
      </c>
      <c r="H3436" s="1301">
        <v>0.25</v>
      </c>
      <c r="K3436" s="1192" t="s">
        <v>2533</v>
      </c>
      <c r="L3436" s="1192" t="s">
        <v>2374</v>
      </c>
      <c r="P3436" s="1192" t="s">
        <v>2542</v>
      </c>
      <c r="V3436" s="1192">
        <v>63</v>
      </c>
    </row>
    <row r="3437" spans="1:22" s="1192" customFormat="1" ht="17.399999999999999" x14ac:dyDescent="0.3">
      <c r="A3437" s="1192" t="s">
        <v>201</v>
      </c>
      <c r="E3437" s="2051" t="s">
        <v>592</v>
      </c>
      <c r="F3437" s="2051"/>
      <c r="G3437" s="2051"/>
      <c r="H3437" s="2057"/>
      <c r="K3437" s="1192" t="s">
        <v>2543</v>
      </c>
      <c r="V3437" s="1192">
        <v>47</v>
      </c>
    </row>
    <row r="3438" spans="1:22" s="1192" customFormat="1" ht="14.4" x14ac:dyDescent="0.3">
      <c r="A3438" s="1192" t="s">
        <v>201</v>
      </c>
      <c r="E3438" s="2053" t="s">
        <v>3115</v>
      </c>
      <c r="F3438" s="2053"/>
      <c r="G3438" s="2053"/>
      <c r="H3438" s="2056"/>
      <c r="K3438" s="1192" t="s">
        <v>2543</v>
      </c>
      <c r="V3438" s="1192">
        <v>658</v>
      </c>
    </row>
    <row r="3439" spans="1:22" s="1192" customFormat="1" ht="14.4" x14ac:dyDescent="0.3">
      <c r="A3439" s="1192" t="s">
        <v>201</v>
      </c>
      <c r="E3439" s="2111" t="s">
        <v>2389</v>
      </c>
      <c r="F3439" s="1988"/>
      <c r="G3439" s="1988"/>
      <c r="H3439" s="1988"/>
      <c r="K3439" s="1192" t="s">
        <v>2430</v>
      </c>
      <c r="V3439" s="1192">
        <v>11</v>
      </c>
    </row>
    <row r="3440" spans="1:22" s="1192" customFormat="1" ht="14.4" x14ac:dyDescent="0.3">
      <c r="A3440" s="1192" t="s">
        <v>201</v>
      </c>
      <c r="E3440" s="2053" t="s">
        <v>2391</v>
      </c>
      <c r="F3440" s="2053"/>
      <c r="G3440" s="2053"/>
      <c r="H3440" s="2056"/>
      <c r="K3440" s="1192" t="s">
        <v>2543</v>
      </c>
      <c r="V3440" s="1192">
        <v>280</v>
      </c>
    </row>
    <row r="3441" spans="1:22" s="1192" customFormat="1" ht="14.4" x14ac:dyDescent="0.3">
      <c r="A3441" s="1192" t="s">
        <v>201</v>
      </c>
      <c r="E3441" s="2053" t="s">
        <v>2392</v>
      </c>
      <c r="F3441" s="2053"/>
      <c r="G3441" s="2053"/>
      <c r="H3441" s="2056"/>
      <c r="K3441" s="1192" t="s">
        <v>2543</v>
      </c>
      <c r="V3441" s="1192">
        <v>411</v>
      </c>
    </row>
    <row r="3442" spans="1:22" s="1192" customFormat="1" ht="14.4" x14ac:dyDescent="0.3">
      <c r="A3442" s="1192" t="s">
        <v>201</v>
      </c>
      <c r="E3442" s="2053" t="s">
        <v>2508</v>
      </c>
      <c r="F3442" s="2053"/>
      <c r="G3442" s="2053"/>
      <c r="H3442" s="2056"/>
      <c r="K3442" s="1192" t="s">
        <v>2543</v>
      </c>
      <c r="V3442" s="1192">
        <v>386</v>
      </c>
    </row>
    <row r="3443" spans="1:22" s="1192" customFormat="1" ht="14.4" x14ac:dyDescent="0.3">
      <c r="A3443" s="1192" t="s">
        <v>201</v>
      </c>
      <c r="E3443" s="2053" t="s">
        <v>2986</v>
      </c>
      <c r="F3443" s="2053"/>
      <c r="G3443" s="2053"/>
      <c r="H3443" s="2056"/>
      <c r="K3443" s="1192" t="s">
        <v>2543</v>
      </c>
      <c r="V3443" s="1192">
        <v>246</v>
      </c>
    </row>
    <row r="3444" spans="1:22" s="1192" customFormat="1" ht="14.4" x14ac:dyDescent="0.3">
      <c r="A3444" s="1192" t="s">
        <v>201</v>
      </c>
      <c r="E3444" s="2108" t="s">
        <v>2394</v>
      </c>
      <c r="F3444" s="2109"/>
      <c r="G3444" s="2109"/>
      <c r="H3444" s="2109"/>
      <c r="K3444" s="1192" t="s">
        <v>2431</v>
      </c>
      <c r="V3444" s="1192">
        <v>46</v>
      </c>
    </row>
    <row r="3445" spans="1:22" s="1192" customFormat="1" ht="14.4" x14ac:dyDescent="0.3">
      <c r="A3445" s="1192" t="s">
        <v>201</v>
      </c>
      <c r="E3445" s="2101" t="s">
        <v>8</v>
      </c>
      <c r="F3445" s="2101"/>
      <c r="G3445" s="1273" t="s">
        <v>19</v>
      </c>
      <c r="H3445" s="906">
        <v>5.09</v>
      </c>
      <c r="K3445" s="1192" t="s">
        <v>2543</v>
      </c>
      <c r="L3445" s="1192" t="s">
        <v>430</v>
      </c>
      <c r="P3445" s="1192" t="s">
        <v>2545</v>
      </c>
      <c r="V3445" s="1192">
        <v>31</v>
      </c>
    </row>
    <row r="3446" spans="1:22" s="1192" customFormat="1" ht="14.4" x14ac:dyDescent="0.3">
      <c r="A3446" s="1192" t="s">
        <v>201</v>
      </c>
      <c r="E3446" s="2101" t="s">
        <v>80</v>
      </c>
      <c r="F3446" s="2101"/>
      <c r="G3446" s="1273" t="s">
        <v>20</v>
      </c>
      <c r="H3446" s="906">
        <v>2.4199999999999999E-2</v>
      </c>
      <c r="K3446" s="1192" t="s">
        <v>2543</v>
      </c>
      <c r="L3446" s="1192" t="s">
        <v>430</v>
      </c>
      <c r="P3446" s="1192" t="s">
        <v>2546</v>
      </c>
      <c r="V3446" s="1192">
        <v>28</v>
      </c>
    </row>
    <row r="3447" spans="1:22" s="1192" customFormat="1" ht="14.4" x14ac:dyDescent="0.3">
      <c r="A3447" s="1192" t="s">
        <v>201</v>
      </c>
      <c r="E3447" s="2101" t="s">
        <v>14</v>
      </c>
      <c r="F3447" s="2101"/>
      <c r="G3447" s="1273" t="s">
        <v>20</v>
      </c>
      <c r="H3447" s="906">
        <v>6.0000000000000002E-5</v>
      </c>
      <c r="K3447" s="1192" t="s">
        <v>2543</v>
      </c>
      <c r="L3447" s="1192" t="s">
        <v>431</v>
      </c>
      <c r="P3447" s="1192" t="s">
        <v>2547</v>
      </c>
      <c r="V3447" s="1192">
        <v>24</v>
      </c>
    </row>
    <row r="3448" spans="1:22" s="1192" customFormat="1" ht="14.4" x14ac:dyDescent="0.3">
      <c r="A3448" s="1192" t="s">
        <v>201</v>
      </c>
      <c r="E3448" s="2101" t="s">
        <v>6243</v>
      </c>
      <c r="F3448" s="1740"/>
      <c r="G3448" s="1273" t="s">
        <v>20</v>
      </c>
      <c r="H3448" s="1219">
        <v>-2.0000000000000001E-4</v>
      </c>
      <c r="K3448" s="1192" t="s">
        <v>2543</v>
      </c>
      <c r="L3448" s="1192" t="s">
        <v>431</v>
      </c>
      <c r="P3448" s="1192" t="s">
        <v>2549</v>
      </c>
      <c r="T3448" s="1192">
        <v>44196</v>
      </c>
      <c r="V3448" s="1192">
        <v>107</v>
      </c>
    </row>
    <row r="3449" spans="1:22" s="1192" customFormat="1" ht="14.4" x14ac:dyDescent="0.3">
      <c r="A3449" s="1192" t="s">
        <v>201</v>
      </c>
      <c r="E3449" s="2101" t="s">
        <v>6242</v>
      </c>
      <c r="F3449" s="1740"/>
      <c r="G3449" s="1273" t="s">
        <v>20</v>
      </c>
      <c r="H3449" s="906">
        <v>1.2999999999999999E-3</v>
      </c>
      <c r="K3449" s="1192" t="s">
        <v>2543</v>
      </c>
      <c r="L3449" s="1192" t="s">
        <v>430</v>
      </c>
      <c r="P3449" s="1192" t="s">
        <v>2549</v>
      </c>
      <c r="T3449" s="1192">
        <v>44196</v>
      </c>
      <c r="V3449" s="1192">
        <v>141</v>
      </c>
    </row>
    <row r="3450" spans="1:22" s="1192" customFormat="1" ht="14.4" x14ac:dyDescent="0.3">
      <c r="A3450" s="1192" t="s">
        <v>201</v>
      </c>
      <c r="E3450" s="2101" t="s">
        <v>213</v>
      </c>
      <c r="F3450" s="2101"/>
      <c r="G3450" s="1273" t="s">
        <v>20</v>
      </c>
      <c r="H3450" s="906">
        <v>7.1000000000000004E-3</v>
      </c>
      <c r="K3450" s="1192" t="s">
        <v>2543</v>
      </c>
      <c r="L3450" s="1192" t="s">
        <v>432</v>
      </c>
      <c r="P3450" s="1192" t="s">
        <v>2550</v>
      </c>
      <c r="V3450" s="1192">
        <v>47</v>
      </c>
    </row>
    <row r="3451" spans="1:22" s="1192" customFormat="1" ht="14.4" x14ac:dyDescent="0.3">
      <c r="A3451" s="1192" t="s">
        <v>201</v>
      </c>
      <c r="E3451" s="2101" t="s">
        <v>209</v>
      </c>
      <c r="F3451" s="2101"/>
      <c r="G3451" s="1273" t="s">
        <v>20</v>
      </c>
      <c r="H3451" s="1219">
        <v>5.0000000000000001E-3</v>
      </c>
      <c r="K3451" s="1192" t="s">
        <v>2543</v>
      </c>
      <c r="L3451" s="1192" t="s">
        <v>432</v>
      </c>
      <c r="P3451" s="1192" t="s">
        <v>2551</v>
      </c>
      <c r="V3451" s="1192">
        <v>74</v>
      </c>
    </row>
    <row r="3452" spans="1:22" s="1192" customFormat="1" ht="14.4" x14ac:dyDescent="0.3">
      <c r="A3452" s="1192" t="s">
        <v>201</v>
      </c>
      <c r="E3452" s="2110" t="s">
        <v>2405</v>
      </c>
      <c r="F3452" s="1740"/>
      <c r="G3452" s="1273"/>
      <c r="H3452" s="867"/>
      <c r="K3452" s="1192" t="s">
        <v>2438</v>
      </c>
      <c r="V3452" s="1192">
        <v>48</v>
      </c>
    </row>
    <row r="3453" spans="1:22" s="1192" customFormat="1" ht="14.4" x14ac:dyDescent="0.3">
      <c r="A3453" s="1192" t="s">
        <v>201</v>
      </c>
      <c r="E3453" s="2101" t="s">
        <v>2033</v>
      </c>
      <c r="F3453" s="2101"/>
      <c r="G3453" s="578" t="s">
        <v>20</v>
      </c>
      <c r="H3453" s="1219">
        <v>3.0000000000000001E-3</v>
      </c>
      <c r="K3453" s="1192" t="s">
        <v>2543</v>
      </c>
      <c r="L3453" s="1192" t="s">
        <v>2374</v>
      </c>
      <c r="P3453" s="1192" t="s">
        <v>2552</v>
      </c>
      <c r="V3453" s="1192">
        <v>55</v>
      </c>
    </row>
    <row r="3454" spans="1:22" s="1192" customFormat="1" ht="14.4" x14ac:dyDescent="0.3">
      <c r="A3454" s="1192" t="s">
        <v>201</v>
      </c>
      <c r="E3454" s="1740" t="s">
        <v>2034</v>
      </c>
      <c r="F3454" s="1740"/>
      <c r="G3454" s="578" t="s">
        <v>20</v>
      </c>
      <c r="H3454" s="1301">
        <v>4.0000000000000002E-4</v>
      </c>
      <c r="K3454" s="1192" t="s">
        <v>2543</v>
      </c>
      <c r="L3454" s="1192" t="s">
        <v>2374</v>
      </c>
      <c r="P3454" s="1192" t="s">
        <v>2552</v>
      </c>
      <c r="V3454" s="1192">
        <v>65</v>
      </c>
    </row>
    <row r="3455" spans="1:22" s="1192" customFormat="1" ht="14.4" x14ac:dyDescent="0.3">
      <c r="A3455" s="1192" t="s">
        <v>201</v>
      </c>
      <c r="E3455" s="2101" t="s">
        <v>428</v>
      </c>
      <c r="F3455" s="2101"/>
      <c r="G3455" s="578" t="s">
        <v>20</v>
      </c>
      <c r="H3455" s="1301">
        <v>5.0000000000000001E-4</v>
      </c>
      <c r="K3455" s="1192" t="s">
        <v>2543</v>
      </c>
      <c r="L3455" s="1192" t="s">
        <v>2374</v>
      </c>
      <c r="P3455" s="1192" t="s">
        <v>2553</v>
      </c>
      <c r="V3455" s="1192">
        <v>57</v>
      </c>
    </row>
    <row r="3456" spans="1:22" s="1192" customFormat="1" ht="14.4" x14ac:dyDescent="0.3">
      <c r="A3456" s="1192" t="s">
        <v>201</v>
      </c>
      <c r="E3456" s="2101" t="s">
        <v>28</v>
      </c>
      <c r="F3456" s="2101"/>
      <c r="G3456" s="578" t="s">
        <v>20</v>
      </c>
      <c r="H3456" s="1301">
        <v>0.25</v>
      </c>
      <c r="K3456" s="1192" t="s">
        <v>2543</v>
      </c>
      <c r="L3456" s="1192" t="s">
        <v>2374</v>
      </c>
      <c r="P3456" s="1192" t="s">
        <v>2554</v>
      </c>
      <c r="V3456" s="1192">
        <v>63</v>
      </c>
    </row>
    <row r="3457" spans="1:22" s="1192" customFormat="1" ht="17.399999999999999" x14ac:dyDescent="0.3">
      <c r="A3457" s="1192" t="s">
        <v>201</v>
      </c>
      <c r="E3457" s="2051" t="s">
        <v>606</v>
      </c>
      <c r="F3457" s="2051"/>
      <c r="G3457" s="2051"/>
      <c r="H3457" s="2057"/>
      <c r="K3457" s="1192" t="s">
        <v>3203</v>
      </c>
      <c r="V3457" s="1192">
        <v>36</v>
      </c>
    </row>
    <row r="3458" spans="1:22" s="1192" customFormat="1" ht="14.4" x14ac:dyDescent="0.3">
      <c r="A3458" s="1192" t="s">
        <v>201</v>
      </c>
      <c r="E3458" s="2053" t="s">
        <v>3117</v>
      </c>
      <c r="F3458" s="2053"/>
      <c r="G3458" s="2053"/>
      <c r="H3458" s="2056"/>
      <c r="K3458" s="1192" t="s">
        <v>3203</v>
      </c>
      <c r="V3458" s="1192">
        <v>251</v>
      </c>
    </row>
    <row r="3459" spans="1:22" s="1192" customFormat="1" ht="14.4" x14ac:dyDescent="0.3">
      <c r="A3459" s="1192" t="s">
        <v>201</v>
      </c>
      <c r="E3459" s="2111" t="s">
        <v>2389</v>
      </c>
      <c r="F3459" s="1988"/>
      <c r="G3459" s="1988"/>
      <c r="H3459" s="1988"/>
      <c r="K3459" s="1192" t="s">
        <v>2444</v>
      </c>
      <c r="V3459" s="1192">
        <v>11</v>
      </c>
    </row>
    <row r="3460" spans="1:22" s="1192" customFormat="1" ht="14.4" x14ac:dyDescent="0.3">
      <c r="A3460" s="1192" t="s">
        <v>201</v>
      </c>
      <c r="E3460" s="2053" t="s">
        <v>2391</v>
      </c>
      <c r="F3460" s="2053"/>
      <c r="G3460" s="2053"/>
      <c r="H3460" s="2056"/>
      <c r="K3460" s="1192" t="s">
        <v>3203</v>
      </c>
      <c r="V3460" s="1192">
        <v>280</v>
      </c>
    </row>
    <row r="3461" spans="1:22" s="1192" customFormat="1" ht="14.4" x14ac:dyDescent="0.3">
      <c r="A3461" s="1192" t="s">
        <v>201</v>
      </c>
      <c r="E3461" s="2053" t="s">
        <v>2392</v>
      </c>
      <c r="F3461" s="2053"/>
      <c r="G3461" s="2053"/>
      <c r="H3461" s="2056"/>
      <c r="K3461" s="1192" t="s">
        <v>3203</v>
      </c>
      <c r="V3461" s="1192">
        <v>411</v>
      </c>
    </row>
    <row r="3462" spans="1:22" s="1192" customFormat="1" ht="14.4" x14ac:dyDescent="0.3">
      <c r="A3462" s="1192" t="s">
        <v>201</v>
      </c>
      <c r="E3462" s="2053" t="s">
        <v>2445</v>
      </c>
      <c r="F3462" s="2053"/>
      <c r="G3462" s="2053"/>
      <c r="H3462" s="2056"/>
      <c r="K3462" s="1192" t="s">
        <v>3203</v>
      </c>
      <c r="V3462" s="1192">
        <v>211</v>
      </c>
    </row>
    <row r="3463" spans="1:22" s="1192" customFormat="1" ht="14.4" x14ac:dyDescent="0.3">
      <c r="A3463" s="1192" t="s">
        <v>201</v>
      </c>
      <c r="E3463" s="2053" t="s">
        <v>3118</v>
      </c>
      <c r="F3463" s="2053"/>
      <c r="G3463" s="2053"/>
      <c r="H3463" s="2056"/>
      <c r="K3463" s="1192" t="s">
        <v>3203</v>
      </c>
      <c r="V3463" s="1192">
        <v>245</v>
      </c>
    </row>
    <row r="3464" spans="1:22" s="1192" customFormat="1" ht="14.4" x14ac:dyDescent="0.3">
      <c r="A3464" s="1192" t="s">
        <v>201</v>
      </c>
      <c r="E3464" s="2112" t="s">
        <v>2628</v>
      </c>
      <c r="F3464" s="2109"/>
      <c r="G3464" s="2109"/>
      <c r="H3464" s="2109"/>
      <c r="K3464" s="1192" t="s">
        <v>2446</v>
      </c>
      <c r="V3464" s="1192">
        <v>77</v>
      </c>
    </row>
    <row r="3465" spans="1:22" s="1192" customFormat="1" ht="14.4" x14ac:dyDescent="0.3">
      <c r="A3465" s="1192" t="s">
        <v>201</v>
      </c>
      <c r="E3465" s="2101" t="s">
        <v>7</v>
      </c>
      <c r="F3465" s="2101"/>
      <c r="G3465" s="1273" t="s">
        <v>19</v>
      </c>
      <c r="H3465" s="906">
        <v>145.13</v>
      </c>
      <c r="K3465" s="1192" t="s">
        <v>3203</v>
      </c>
      <c r="L3465" s="1192" t="s">
        <v>430</v>
      </c>
      <c r="P3465" s="1192" t="s">
        <v>4171</v>
      </c>
      <c r="V3465" s="1192">
        <v>14</v>
      </c>
    </row>
    <row r="3466" spans="1:22" s="1192" customFormat="1" ht="14.4" x14ac:dyDescent="0.3">
      <c r="A3466" s="1192" t="s">
        <v>201</v>
      </c>
      <c r="E3466" s="2101" t="s">
        <v>6248</v>
      </c>
      <c r="F3466" s="2101"/>
      <c r="G3466" s="1273" t="s">
        <v>29</v>
      </c>
      <c r="H3466" s="1219">
        <v>1.9370000000000001</v>
      </c>
      <c r="K3466" s="1192" t="s">
        <v>3203</v>
      </c>
      <c r="L3466" s="1192" t="s">
        <v>430</v>
      </c>
      <c r="V3466" s="1192">
        <v>39</v>
      </c>
    </row>
    <row r="3467" spans="1:22" s="1192" customFormat="1" ht="14.4" x14ac:dyDescent="0.3">
      <c r="A3467" s="1192" t="s">
        <v>201</v>
      </c>
      <c r="E3467" s="2101" t="s">
        <v>3120</v>
      </c>
      <c r="F3467" s="2101"/>
      <c r="G3467" s="1273" t="s">
        <v>29</v>
      </c>
      <c r="H3467" s="906">
        <v>1.7766</v>
      </c>
      <c r="K3467" s="1192" t="s">
        <v>3203</v>
      </c>
      <c r="L3467" s="1192" t="s">
        <v>430</v>
      </c>
      <c r="V3467" s="1192">
        <v>42</v>
      </c>
    </row>
    <row r="3468" spans="1:22" s="1192" customFormat="1" ht="14.4" x14ac:dyDescent="0.3">
      <c r="A3468" s="1192" t="s">
        <v>201</v>
      </c>
      <c r="E3468" s="2101" t="s">
        <v>3121</v>
      </c>
      <c r="F3468" s="2101"/>
      <c r="G3468" s="1273" t="s">
        <v>29</v>
      </c>
      <c r="H3468" s="906">
        <v>1.9716</v>
      </c>
      <c r="K3468" s="1192" t="s">
        <v>3203</v>
      </c>
      <c r="L3468" s="1192" t="s">
        <v>430</v>
      </c>
      <c r="V3468" s="1192">
        <v>38</v>
      </c>
    </row>
    <row r="3469" spans="1:22" s="1192" customFormat="1" ht="17.399999999999999" x14ac:dyDescent="0.3">
      <c r="A3469" s="1192" t="s">
        <v>201</v>
      </c>
      <c r="E3469" s="2051" t="s">
        <v>604</v>
      </c>
      <c r="F3469" s="2051"/>
      <c r="G3469" s="2051"/>
      <c r="H3469" s="2057"/>
      <c r="K3469" s="1192" t="s">
        <v>2953</v>
      </c>
      <c r="V3469" s="1192">
        <v>40</v>
      </c>
    </row>
    <row r="3470" spans="1:22" s="1192" customFormat="1" ht="14.4" x14ac:dyDescent="0.3">
      <c r="A3470" s="1192" t="s">
        <v>201</v>
      </c>
      <c r="E3470" s="2053" t="s">
        <v>2556</v>
      </c>
      <c r="F3470" s="2053"/>
      <c r="G3470" s="2053"/>
      <c r="H3470" s="2056"/>
      <c r="K3470" s="1192" t="s">
        <v>2953</v>
      </c>
      <c r="V3470" s="1192">
        <v>253</v>
      </c>
    </row>
    <row r="3471" spans="1:22" s="1192" customFormat="1" ht="14.4" x14ac:dyDescent="0.3">
      <c r="A3471" s="1192" t="s">
        <v>201</v>
      </c>
      <c r="E3471" s="2111" t="s">
        <v>2389</v>
      </c>
      <c r="F3471" s="1988"/>
      <c r="G3471" s="1988"/>
      <c r="H3471" s="1988"/>
      <c r="K3471" s="1192" t="s">
        <v>2571</v>
      </c>
      <c r="V3471" s="1192">
        <v>11</v>
      </c>
    </row>
    <row r="3472" spans="1:22" s="1192" customFormat="1" ht="14.4" x14ac:dyDescent="0.3">
      <c r="A3472" s="1192" t="s">
        <v>201</v>
      </c>
      <c r="E3472" s="2053" t="s">
        <v>2391</v>
      </c>
      <c r="F3472" s="2053"/>
      <c r="G3472" s="2053"/>
      <c r="H3472" s="2056"/>
      <c r="K3472" s="1192" t="s">
        <v>2953</v>
      </c>
      <c r="V3472" s="1192">
        <v>280</v>
      </c>
    </row>
    <row r="3473" spans="1:22" s="1192" customFormat="1" ht="14.4" x14ac:dyDescent="0.3">
      <c r="A3473" s="1192" t="s">
        <v>201</v>
      </c>
      <c r="E3473" s="2053" t="s">
        <v>2392</v>
      </c>
      <c r="F3473" s="2053"/>
      <c r="G3473" s="2053"/>
      <c r="H3473" s="2056"/>
      <c r="K3473" s="1192" t="s">
        <v>2953</v>
      </c>
      <c r="V3473" s="1192">
        <v>411</v>
      </c>
    </row>
    <row r="3474" spans="1:22" s="1192" customFormat="1" ht="14.4" x14ac:dyDescent="0.3">
      <c r="A3474" s="1192" t="s">
        <v>201</v>
      </c>
      <c r="E3474" s="2053" t="s">
        <v>2508</v>
      </c>
      <c r="F3474" s="2053"/>
      <c r="G3474" s="2053"/>
      <c r="H3474" s="2056"/>
      <c r="K3474" s="1192" t="s">
        <v>2953</v>
      </c>
      <c r="V3474" s="1192">
        <v>386</v>
      </c>
    </row>
    <row r="3475" spans="1:22" s="1192" customFormat="1" ht="14.4" x14ac:dyDescent="0.3">
      <c r="A3475" s="1192" t="s">
        <v>201</v>
      </c>
      <c r="E3475" s="2053" t="s">
        <v>2986</v>
      </c>
      <c r="F3475" s="2053"/>
      <c r="G3475" s="2053"/>
      <c r="H3475" s="2056"/>
      <c r="K3475" s="1192" t="s">
        <v>2953</v>
      </c>
      <c r="V3475" s="1192">
        <v>246</v>
      </c>
    </row>
    <row r="3476" spans="1:22" s="1192" customFormat="1" ht="14.4" x14ac:dyDescent="0.3">
      <c r="A3476" s="1192" t="s">
        <v>201</v>
      </c>
      <c r="E3476" s="2108" t="s">
        <v>2394</v>
      </c>
      <c r="F3476" s="2109"/>
      <c r="G3476" s="2109"/>
      <c r="H3476" s="2109"/>
      <c r="K3476" s="1192" t="s">
        <v>2572</v>
      </c>
      <c r="V3476" s="1192">
        <v>46</v>
      </c>
    </row>
    <row r="3477" spans="1:22" s="1192" customFormat="1" ht="14.4" x14ac:dyDescent="0.3">
      <c r="A3477" s="1192" t="s">
        <v>201</v>
      </c>
      <c r="E3477" s="2101" t="s">
        <v>8</v>
      </c>
      <c r="F3477" s="2101"/>
      <c r="G3477" s="1273" t="s">
        <v>19</v>
      </c>
      <c r="H3477" s="906">
        <v>3.17</v>
      </c>
      <c r="K3477" s="1192" t="s">
        <v>2953</v>
      </c>
      <c r="L3477" s="1192" t="s">
        <v>430</v>
      </c>
      <c r="P3477" s="1192" t="s">
        <v>2955</v>
      </c>
      <c r="V3477" s="1192">
        <v>31</v>
      </c>
    </row>
    <row r="3478" spans="1:22" s="1192" customFormat="1" ht="14.4" x14ac:dyDescent="0.3">
      <c r="A3478" s="1192" t="s">
        <v>201</v>
      </c>
      <c r="E3478" s="2101" t="s">
        <v>80</v>
      </c>
      <c r="F3478" s="2101"/>
      <c r="G3478" s="1273" t="s">
        <v>29</v>
      </c>
      <c r="H3478" s="906">
        <v>14.850199999999999</v>
      </c>
      <c r="K3478" s="1192" t="s">
        <v>2953</v>
      </c>
      <c r="L3478" s="1192" t="s">
        <v>430</v>
      </c>
      <c r="P3478" s="1192" t="s">
        <v>2956</v>
      </c>
      <c r="V3478" s="1192">
        <v>28</v>
      </c>
    </row>
    <row r="3479" spans="1:22" s="1192" customFormat="1" ht="14.4" x14ac:dyDescent="0.3">
      <c r="A3479" s="1192" t="s">
        <v>201</v>
      </c>
      <c r="E3479" s="2101" t="s">
        <v>14</v>
      </c>
      <c r="F3479" s="2101"/>
      <c r="G3479" s="1273" t="s">
        <v>29</v>
      </c>
      <c r="H3479" s="906">
        <v>1.822E-2</v>
      </c>
      <c r="K3479" s="1192" t="s">
        <v>2953</v>
      </c>
      <c r="L3479" s="1192" t="s">
        <v>431</v>
      </c>
      <c r="P3479" s="1192" t="s">
        <v>2957</v>
      </c>
      <c r="V3479" s="1192">
        <v>24</v>
      </c>
    </row>
    <row r="3480" spans="1:22" s="1192" customFormat="1" ht="14.4" x14ac:dyDescent="0.3">
      <c r="A3480" s="1192" t="s">
        <v>201</v>
      </c>
      <c r="E3480" s="2101" t="s">
        <v>6243</v>
      </c>
      <c r="F3480" s="1740"/>
      <c r="G3480" s="1273" t="s">
        <v>29</v>
      </c>
      <c r="H3480" s="1219">
        <v>-5.6300000000000003E-2</v>
      </c>
      <c r="K3480" s="1192" t="s">
        <v>2953</v>
      </c>
      <c r="L3480" s="1192" t="s">
        <v>431</v>
      </c>
      <c r="P3480" s="1192" t="s">
        <v>2958</v>
      </c>
      <c r="T3480" s="1192">
        <v>44196</v>
      </c>
      <c r="V3480" s="1192">
        <v>107</v>
      </c>
    </row>
    <row r="3481" spans="1:22" s="1192" customFormat="1" ht="14.4" x14ac:dyDescent="0.3">
      <c r="A3481" s="1192" t="s">
        <v>201</v>
      </c>
      <c r="E3481" s="2101" t="s">
        <v>6242</v>
      </c>
      <c r="F3481" s="1740"/>
      <c r="G3481" s="1273" t="s">
        <v>29</v>
      </c>
      <c r="H3481" s="906">
        <v>1.0461</v>
      </c>
      <c r="K3481" s="1192" t="s">
        <v>2953</v>
      </c>
      <c r="L3481" s="1192" t="s">
        <v>430</v>
      </c>
      <c r="P3481" s="1192" t="s">
        <v>2958</v>
      </c>
      <c r="T3481" s="1192">
        <v>44196</v>
      </c>
      <c r="V3481" s="1192">
        <v>141</v>
      </c>
    </row>
    <row r="3482" spans="1:22" s="1192" customFormat="1" ht="14.4" x14ac:dyDescent="0.3">
      <c r="A3482" s="1192" t="s">
        <v>201</v>
      </c>
      <c r="E3482" s="2101" t="s">
        <v>213</v>
      </c>
      <c r="F3482" s="2101"/>
      <c r="G3482" s="1273" t="s">
        <v>29</v>
      </c>
      <c r="H3482" s="1219">
        <v>2.1419999999999999</v>
      </c>
      <c r="K3482" s="1192" t="s">
        <v>2953</v>
      </c>
      <c r="L3482" s="1192" t="s">
        <v>432</v>
      </c>
      <c r="P3482" s="1192" t="s">
        <v>2959</v>
      </c>
      <c r="V3482" s="1192">
        <v>47</v>
      </c>
    </row>
    <row r="3483" spans="1:22" s="1192" customFormat="1" ht="14.4" x14ac:dyDescent="0.3">
      <c r="A3483" s="1192" t="s">
        <v>201</v>
      </c>
      <c r="E3483" s="2101" t="s">
        <v>209</v>
      </c>
      <c r="F3483" s="2101"/>
      <c r="G3483" s="1273" t="s">
        <v>29</v>
      </c>
      <c r="H3483" s="906">
        <v>1.5210999999999999</v>
      </c>
      <c r="K3483" s="1192" t="s">
        <v>2953</v>
      </c>
      <c r="L3483" s="1192" t="s">
        <v>432</v>
      </c>
      <c r="P3483" s="1192" t="s">
        <v>2960</v>
      </c>
      <c r="V3483" s="1192">
        <v>74</v>
      </c>
    </row>
    <row r="3484" spans="1:22" s="1192" customFormat="1" ht="14.4" x14ac:dyDescent="0.3">
      <c r="A3484" s="1192" t="s">
        <v>201</v>
      </c>
      <c r="E3484" s="2110" t="s">
        <v>2405</v>
      </c>
      <c r="F3484" s="1740"/>
      <c r="G3484" s="1273"/>
      <c r="H3484" s="867"/>
      <c r="K3484" s="1192" t="s">
        <v>2581</v>
      </c>
      <c r="V3484" s="1192">
        <v>48</v>
      </c>
    </row>
    <row r="3485" spans="1:22" s="1192" customFormat="1" ht="14.4" x14ac:dyDescent="0.3">
      <c r="A3485" s="1192" t="s">
        <v>201</v>
      </c>
      <c r="E3485" s="2101" t="s">
        <v>2033</v>
      </c>
      <c r="F3485" s="2101"/>
      <c r="G3485" s="578" t="s">
        <v>20</v>
      </c>
      <c r="H3485" s="1219">
        <v>3.0000000000000001E-3</v>
      </c>
      <c r="K3485" s="1192" t="s">
        <v>2953</v>
      </c>
      <c r="L3485" s="1192" t="s">
        <v>2374</v>
      </c>
      <c r="P3485" s="1192" t="s">
        <v>2961</v>
      </c>
      <c r="V3485" s="1192">
        <v>55</v>
      </c>
    </row>
    <row r="3486" spans="1:22" s="1192" customFormat="1" ht="14.4" x14ac:dyDescent="0.3">
      <c r="A3486" s="1192" t="s">
        <v>201</v>
      </c>
      <c r="E3486" s="1740" t="s">
        <v>2034</v>
      </c>
      <c r="F3486" s="1740"/>
      <c r="G3486" s="578" t="s">
        <v>20</v>
      </c>
      <c r="H3486" s="1301">
        <v>4.0000000000000002E-4</v>
      </c>
      <c r="K3486" s="1192" t="s">
        <v>2953</v>
      </c>
      <c r="L3486" s="1192" t="s">
        <v>2374</v>
      </c>
      <c r="P3486" s="1192" t="s">
        <v>2961</v>
      </c>
      <c r="V3486" s="1192">
        <v>65</v>
      </c>
    </row>
    <row r="3487" spans="1:22" s="1192" customFormat="1" ht="14.4" x14ac:dyDescent="0.3">
      <c r="A3487" s="1192" t="s">
        <v>201</v>
      </c>
      <c r="E3487" s="2101" t="s">
        <v>428</v>
      </c>
      <c r="F3487" s="2101"/>
      <c r="G3487" s="578" t="s">
        <v>20</v>
      </c>
      <c r="H3487" s="1301">
        <v>5.0000000000000001E-4</v>
      </c>
      <c r="K3487" s="1192" t="s">
        <v>2953</v>
      </c>
      <c r="L3487" s="1192" t="s">
        <v>2374</v>
      </c>
      <c r="P3487" s="1192" t="s">
        <v>2962</v>
      </c>
      <c r="V3487" s="1192">
        <v>57</v>
      </c>
    </row>
    <row r="3488" spans="1:22" s="1192" customFormat="1" ht="14.4" x14ac:dyDescent="0.3">
      <c r="A3488" s="1192" t="s">
        <v>201</v>
      </c>
      <c r="E3488" s="2101" t="s">
        <v>28</v>
      </c>
      <c r="F3488" s="2101"/>
      <c r="G3488" s="578" t="s">
        <v>20</v>
      </c>
      <c r="H3488" s="1301">
        <v>0.25</v>
      </c>
      <c r="K3488" s="1192" t="s">
        <v>2953</v>
      </c>
      <c r="L3488" s="1192" t="s">
        <v>2374</v>
      </c>
      <c r="P3488" s="1192" t="s">
        <v>2963</v>
      </c>
      <c r="V3488" s="1192">
        <v>63</v>
      </c>
    </row>
    <row r="3489" spans="1:22" s="1192" customFormat="1" ht="17.399999999999999" x14ac:dyDescent="0.3">
      <c r="A3489" s="1192" t="s">
        <v>201</v>
      </c>
      <c r="E3489" s="2051" t="s">
        <v>590</v>
      </c>
      <c r="F3489" s="2051"/>
      <c r="G3489" s="2051"/>
      <c r="H3489" s="2057"/>
      <c r="K3489" s="1192" t="s">
        <v>2861</v>
      </c>
      <c r="V3489" s="1192">
        <v>38</v>
      </c>
    </row>
    <row r="3490" spans="1:22" s="1192" customFormat="1" ht="14.4" x14ac:dyDescent="0.3">
      <c r="A3490" s="1192" t="s">
        <v>201</v>
      </c>
      <c r="E3490" s="2053" t="s">
        <v>3122</v>
      </c>
      <c r="F3490" s="2053"/>
      <c r="G3490" s="2053"/>
      <c r="H3490" s="2056"/>
      <c r="K3490" s="1192" t="s">
        <v>2861</v>
      </c>
      <c r="V3490" s="1192">
        <v>517</v>
      </c>
    </row>
    <row r="3491" spans="1:22" s="1192" customFormat="1" ht="14.4" x14ac:dyDescent="0.3">
      <c r="A3491" s="1192" t="s">
        <v>201</v>
      </c>
      <c r="E3491" s="2111" t="s">
        <v>2389</v>
      </c>
      <c r="F3491" s="1988"/>
      <c r="G3491" s="1988"/>
      <c r="H3491" s="1988"/>
      <c r="K3491" s="1192" t="s">
        <v>2586</v>
      </c>
      <c r="V3491" s="1192">
        <v>11</v>
      </c>
    </row>
    <row r="3492" spans="1:22" s="1192" customFormat="1" ht="14.4" x14ac:dyDescent="0.3">
      <c r="A3492" s="1192" t="s">
        <v>201</v>
      </c>
      <c r="E3492" s="2053" t="s">
        <v>2391</v>
      </c>
      <c r="F3492" s="2053"/>
      <c r="G3492" s="2053"/>
      <c r="H3492" s="2056"/>
      <c r="K3492" s="1192" t="s">
        <v>2861</v>
      </c>
      <c r="V3492" s="1192">
        <v>280</v>
      </c>
    </row>
    <row r="3493" spans="1:22" s="1192" customFormat="1" ht="14.4" x14ac:dyDescent="0.3">
      <c r="A3493" s="1192" t="s">
        <v>201</v>
      </c>
      <c r="E3493" s="2053" t="s">
        <v>2392</v>
      </c>
      <c r="F3493" s="2053"/>
      <c r="G3493" s="2053"/>
      <c r="H3493" s="2056"/>
      <c r="K3493" s="1192" t="s">
        <v>2861</v>
      </c>
      <c r="V3493" s="1192">
        <v>411</v>
      </c>
    </row>
    <row r="3494" spans="1:22" s="1192" customFormat="1" ht="14.4" x14ac:dyDescent="0.3">
      <c r="A3494" s="1192" t="s">
        <v>201</v>
      </c>
      <c r="E3494" s="2053" t="s">
        <v>2508</v>
      </c>
      <c r="F3494" s="2053"/>
      <c r="G3494" s="2053"/>
      <c r="H3494" s="2056"/>
      <c r="K3494" s="1192" t="s">
        <v>2861</v>
      </c>
      <c r="V3494" s="1192">
        <v>386</v>
      </c>
    </row>
    <row r="3495" spans="1:22" s="1192" customFormat="1" ht="14.4" x14ac:dyDescent="0.3">
      <c r="A3495" s="1192" t="s">
        <v>201</v>
      </c>
      <c r="E3495" s="2053" t="s">
        <v>3123</v>
      </c>
      <c r="F3495" s="2053"/>
      <c r="G3495" s="2053"/>
      <c r="H3495" s="2056"/>
      <c r="K3495" s="1192" t="s">
        <v>2861</v>
      </c>
      <c r="V3495" s="1192">
        <v>247</v>
      </c>
    </row>
    <row r="3496" spans="1:22" s="1192" customFormat="1" ht="14.4" x14ac:dyDescent="0.3">
      <c r="A3496" s="1192" t="s">
        <v>201</v>
      </c>
      <c r="E3496" s="2108" t="s">
        <v>2394</v>
      </c>
      <c r="F3496" s="2109"/>
      <c r="G3496" s="2109"/>
      <c r="H3496" s="2109"/>
      <c r="K3496" s="1192" t="s">
        <v>2587</v>
      </c>
      <c r="V3496" s="1192">
        <v>46</v>
      </c>
    </row>
    <row r="3497" spans="1:22" s="1192" customFormat="1" ht="14.4" x14ac:dyDescent="0.3">
      <c r="A3497" s="1192" t="s">
        <v>201</v>
      </c>
      <c r="E3497" s="2101" t="s">
        <v>8</v>
      </c>
      <c r="F3497" s="2101"/>
      <c r="G3497" s="1273" t="s">
        <v>19</v>
      </c>
      <c r="H3497" s="906">
        <v>0.91</v>
      </c>
      <c r="K3497" s="1192" t="s">
        <v>2861</v>
      </c>
      <c r="L3497" s="1192" t="s">
        <v>430</v>
      </c>
      <c r="P3497" s="1192" t="s">
        <v>2863</v>
      </c>
      <c r="V3497" s="1192">
        <v>31</v>
      </c>
    </row>
    <row r="3498" spans="1:22" s="1192" customFormat="1" ht="14.4" x14ac:dyDescent="0.3">
      <c r="A3498" s="1192" t="s">
        <v>201</v>
      </c>
      <c r="E3498" s="2101" t="s">
        <v>80</v>
      </c>
      <c r="F3498" s="2101"/>
      <c r="G3498" s="1273" t="s">
        <v>29</v>
      </c>
      <c r="H3498" s="906">
        <v>6.3414000000000001</v>
      </c>
      <c r="K3498" s="1192" t="s">
        <v>2861</v>
      </c>
      <c r="L3498" s="1192" t="s">
        <v>430</v>
      </c>
      <c r="P3498" s="1192" t="s">
        <v>2864</v>
      </c>
      <c r="V3498" s="1192">
        <v>28</v>
      </c>
    </row>
    <row r="3499" spans="1:22" s="1192" customFormat="1" ht="14.4" x14ac:dyDescent="0.3">
      <c r="A3499" s="1192" t="s">
        <v>201</v>
      </c>
      <c r="E3499" s="2101" t="s">
        <v>14</v>
      </c>
      <c r="F3499" s="2101"/>
      <c r="G3499" s="1273" t="s">
        <v>29</v>
      </c>
      <c r="H3499" s="906">
        <v>1.8599999999999998E-2</v>
      </c>
      <c r="K3499" s="1192" t="s">
        <v>2861</v>
      </c>
      <c r="L3499" s="1192" t="s">
        <v>431</v>
      </c>
      <c r="P3499" s="1192" t="s">
        <v>2865</v>
      </c>
      <c r="V3499" s="1192">
        <v>24</v>
      </c>
    </row>
    <row r="3500" spans="1:22" s="1192" customFormat="1" ht="14.4" x14ac:dyDescent="0.3">
      <c r="A3500" s="1192" t="s">
        <v>201</v>
      </c>
      <c r="E3500" s="2101" t="s">
        <v>6243</v>
      </c>
      <c r="F3500" s="1740"/>
      <c r="G3500" s="1273" t="s">
        <v>29</v>
      </c>
      <c r="H3500" s="1219">
        <v>-6.0900000000000003E-2</v>
      </c>
      <c r="K3500" s="1192" t="s">
        <v>2861</v>
      </c>
      <c r="L3500" s="1192" t="s">
        <v>431</v>
      </c>
      <c r="P3500" s="1192" t="s">
        <v>2867</v>
      </c>
      <c r="T3500" s="1192">
        <v>44196</v>
      </c>
      <c r="V3500" s="1192">
        <v>107</v>
      </c>
    </row>
    <row r="3501" spans="1:22" s="1192" customFormat="1" ht="14.4" x14ac:dyDescent="0.3">
      <c r="A3501" s="1192" t="s">
        <v>201</v>
      </c>
      <c r="E3501" s="2101" t="s">
        <v>6244</v>
      </c>
      <c r="F3501" s="1740"/>
      <c r="G3501" s="1273" t="s">
        <v>20</v>
      </c>
      <c r="H3501" s="1219">
        <v>-1.5E-3</v>
      </c>
      <c r="K3501" s="1192" t="s">
        <v>2861</v>
      </c>
      <c r="L3501" s="1192" t="s">
        <v>431</v>
      </c>
      <c r="P3501" s="1192" t="s">
        <v>2866</v>
      </c>
      <c r="T3501" s="1192">
        <v>44196</v>
      </c>
      <c r="V3501" s="1192">
        <v>142</v>
      </c>
    </row>
    <row r="3502" spans="1:22" s="1192" customFormat="1" ht="14.4" x14ac:dyDescent="0.3">
      <c r="A3502" s="1192" t="s">
        <v>201</v>
      </c>
      <c r="E3502" s="2101" t="s">
        <v>6242</v>
      </c>
      <c r="F3502" s="1740"/>
      <c r="G3502" s="1273" t="s">
        <v>29</v>
      </c>
      <c r="H3502" s="906">
        <v>0.51070000000000004</v>
      </c>
      <c r="K3502" s="1192" t="s">
        <v>2861</v>
      </c>
      <c r="L3502" s="1192" t="s">
        <v>430</v>
      </c>
      <c r="P3502" s="1192" t="s">
        <v>2867</v>
      </c>
      <c r="T3502" s="1192">
        <v>44196</v>
      </c>
      <c r="V3502" s="1192">
        <v>141</v>
      </c>
    </row>
    <row r="3503" spans="1:22" s="1192" customFormat="1" ht="14.4" x14ac:dyDescent="0.3">
      <c r="A3503" s="1192" t="s">
        <v>201</v>
      </c>
      <c r="E3503" s="2101" t="s">
        <v>213</v>
      </c>
      <c r="F3503" s="2101"/>
      <c r="G3503" s="1273" t="s">
        <v>29</v>
      </c>
      <c r="H3503" s="906">
        <v>2.1528999999999998</v>
      </c>
      <c r="K3503" s="1192" t="s">
        <v>2861</v>
      </c>
      <c r="L3503" s="1192" t="s">
        <v>432</v>
      </c>
      <c r="P3503" s="1192" t="s">
        <v>2868</v>
      </c>
      <c r="V3503" s="1192">
        <v>47</v>
      </c>
    </row>
    <row r="3504" spans="1:22" s="1192" customFormat="1" ht="14.4" x14ac:dyDescent="0.3">
      <c r="A3504" s="1192" t="s">
        <v>201</v>
      </c>
      <c r="E3504" s="2101" t="s">
        <v>209</v>
      </c>
      <c r="F3504" s="2101"/>
      <c r="G3504" s="1273" t="s">
        <v>29</v>
      </c>
      <c r="H3504" s="906">
        <v>1.5528</v>
      </c>
      <c r="K3504" s="1192" t="s">
        <v>2861</v>
      </c>
      <c r="L3504" s="1192" t="s">
        <v>432</v>
      </c>
      <c r="P3504" s="1192" t="s">
        <v>2869</v>
      </c>
      <c r="V3504" s="1192">
        <v>74</v>
      </c>
    </row>
    <row r="3505" spans="1:22" s="1192" customFormat="1" ht="14.4" x14ac:dyDescent="0.3">
      <c r="A3505" s="1192" t="s">
        <v>201</v>
      </c>
      <c r="E3505" s="2110" t="s">
        <v>2405</v>
      </c>
      <c r="F3505" s="1740"/>
      <c r="G3505" s="1273"/>
      <c r="H3505" s="867"/>
      <c r="K3505" s="1192" t="s">
        <v>2657</v>
      </c>
      <c r="V3505" s="1192">
        <v>48</v>
      </c>
    </row>
    <row r="3506" spans="1:22" s="1192" customFormat="1" ht="14.4" x14ac:dyDescent="0.3">
      <c r="A3506" s="1192" t="s">
        <v>201</v>
      </c>
      <c r="E3506" s="2101" t="s">
        <v>2033</v>
      </c>
      <c r="F3506" s="2101"/>
      <c r="G3506" s="578" t="s">
        <v>20</v>
      </c>
      <c r="H3506" s="1219">
        <v>3.0000000000000001E-3</v>
      </c>
      <c r="K3506" s="1192" t="s">
        <v>2861</v>
      </c>
      <c r="L3506" s="1192" t="s">
        <v>2374</v>
      </c>
      <c r="P3506" s="1192" t="s">
        <v>2870</v>
      </c>
      <c r="V3506" s="1192">
        <v>55</v>
      </c>
    </row>
    <row r="3507" spans="1:22" s="1192" customFormat="1" ht="14.4" x14ac:dyDescent="0.3">
      <c r="A3507" s="1192" t="s">
        <v>201</v>
      </c>
      <c r="E3507" s="1740" t="s">
        <v>2034</v>
      </c>
      <c r="F3507" s="1740"/>
      <c r="G3507" s="578" t="s">
        <v>20</v>
      </c>
      <c r="H3507" s="1301">
        <v>4.0000000000000002E-4</v>
      </c>
      <c r="K3507" s="1192" t="s">
        <v>2861</v>
      </c>
      <c r="L3507" s="1192" t="s">
        <v>2374</v>
      </c>
      <c r="P3507" s="1192" t="s">
        <v>2870</v>
      </c>
      <c r="V3507" s="1192">
        <v>65</v>
      </c>
    </row>
    <row r="3508" spans="1:22" s="1192" customFormat="1" ht="14.4" x14ac:dyDescent="0.3">
      <c r="A3508" s="1192" t="s">
        <v>201</v>
      </c>
      <c r="E3508" s="2101" t="s">
        <v>428</v>
      </c>
      <c r="F3508" s="2101"/>
      <c r="G3508" s="578" t="s">
        <v>20</v>
      </c>
      <c r="H3508" s="1301">
        <v>5.0000000000000001E-4</v>
      </c>
      <c r="K3508" s="1192" t="s">
        <v>2861</v>
      </c>
      <c r="L3508" s="1192" t="s">
        <v>2374</v>
      </c>
      <c r="P3508" s="1192" t="s">
        <v>2871</v>
      </c>
      <c r="V3508" s="1192">
        <v>57</v>
      </c>
    </row>
    <row r="3509" spans="1:22" s="1192" customFormat="1" ht="14.4" x14ac:dyDescent="0.3">
      <c r="A3509" s="1192" t="s">
        <v>201</v>
      </c>
      <c r="E3509" s="2101" t="s">
        <v>28</v>
      </c>
      <c r="F3509" s="2101"/>
      <c r="G3509" s="578" t="s">
        <v>20</v>
      </c>
      <c r="H3509" s="1301">
        <v>0.25</v>
      </c>
      <c r="K3509" s="1192" t="s">
        <v>2861</v>
      </c>
      <c r="L3509" s="1192" t="s">
        <v>2374</v>
      </c>
      <c r="P3509" s="1192" t="s">
        <v>2872</v>
      </c>
      <c r="V3509" s="1192">
        <v>63</v>
      </c>
    </row>
    <row r="3510" spans="1:22" s="1192" customFormat="1" ht="17.399999999999999" x14ac:dyDescent="0.3">
      <c r="A3510" s="1192" t="s">
        <v>201</v>
      </c>
      <c r="E3510" s="2051" t="s">
        <v>4556</v>
      </c>
      <c r="F3510" s="2051"/>
      <c r="G3510" s="2051"/>
      <c r="H3510" s="2057"/>
      <c r="K3510" s="1192" t="s">
        <v>4172</v>
      </c>
      <c r="V3510" s="1192">
        <v>54</v>
      </c>
    </row>
    <row r="3511" spans="1:22" s="1192" customFormat="1" ht="14.4" x14ac:dyDescent="0.3">
      <c r="A3511" s="1192" t="s">
        <v>201</v>
      </c>
      <c r="E3511" s="2053" t="s">
        <v>2966</v>
      </c>
      <c r="F3511" s="2053"/>
      <c r="G3511" s="2053"/>
      <c r="H3511" s="2056"/>
      <c r="K3511" s="1192" t="s">
        <v>4172</v>
      </c>
      <c r="V3511" s="1192">
        <v>286</v>
      </c>
    </row>
    <row r="3512" spans="1:22" s="1192" customFormat="1" ht="14.4" x14ac:dyDescent="0.3">
      <c r="A3512" s="1192" t="s">
        <v>201</v>
      </c>
      <c r="E3512" s="2111" t="s">
        <v>2389</v>
      </c>
      <c r="F3512" s="1988"/>
      <c r="G3512" s="1988"/>
      <c r="H3512" s="1988"/>
      <c r="K3512" s="1192" t="s">
        <v>2629</v>
      </c>
      <c r="V3512" s="1192">
        <v>11</v>
      </c>
    </row>
    <row r="3513" spans="1:22" s="1192" customFormat="1" ht="14.4" x14ac:dyDescent="0.3">
      <c r="A3513" s="1192" t="s">
        <v>201</v>
      </c>
      <c r="E3513" s="2053" t="s">
        <v>2391</v>
      </c>
      <c r="F3513" s="2053"/>
      <c r="G3513" s="2053"/>
      <c r="H3513" s="2056"/>
      <c r="K3513" s="1192" t="s">
        <v>4172</v>
      </c>
      <c r="V3513" s="1192">
        <v>280</v>
      </c>
    </row>
    <row r="3514" spans="1:22" s="1192" customFormat="1" ht="14.4" x14ac:dyDescent="0.3">
      <c r="A3514" s="1192" t="s">
        <v>201</v>
      </c>
      <c r="E3514" s="2053" t="s">
        <v>2392</v>
      </c>
      <c r="F3514" s="2053"/>
      <c r="G3514" s="2053"/>
      <c r="H3514" s="2056"/>
      <c r="K3514" s="1192" t="s">
        <v>4172</v>
      </c>
      <c r="V3514" s="1192">
        <v>411</v>
      </c>
    </row>
    <row r="3515" spans="1:22" s="1192" customFormat="1" ht="14.4" x14ac:dyDescent="0.3">
      <c r="A3515" s="1192" t="s">
        <v>201</v>
      </c>
      <c r="E3515" s="2053" t="s">
        <v>3124</v>
      </c>
      <c r="F3515" s="2053"/>
      <c r="G3515" s="2053"/>
      <c r="H3515" s="2056"/>
      <c r="K3515" s="1192" t="s">
        <v>4172</v>
      </c>
      <c r="V3515" s="1192">
        <v>212</v>
      </c>
    </row>
    <row r="3516" spans="1:22" s="1192" customFormat="1" ht="14.4" x14ac:dyDescent="0.3">
      <c r="A3516" s="1192" t="s">
        <v>201</v>
      </c>
      <c r="E3516" s="2053" t="s">
        <v>3123</v>
      </c>
      <c r="F3516" s="2053"/>
      <c r="G3516" s="2053"/>
      <c r="H3516" s="2056"/>
      <c r="K3516" s="1192" t="s">
        <v>4172</v>
      </c>
      <c r="V3516" s="1192">
        <v>247</v>
      </c>
    </row>
    <row r="3517" spans="1:22" s="1192" customFormat="1" ht="14.4" x14ac:dyDescent="0.3">
      <c r="A3517" s="1192" t="s">
        <v>201</v>
      </c>
      <c r="E3517" s="2108" t="s">
        <v>2394</v>
      </c>
      <c r="F3517" s="2109"/>
      <c r="G3517" s="2109"/>
      <c r="H3517" s="2109"/>
      <c r="K3517" s="1192" t="s">
        <v>2630</v>
      </c>
      <c r="V3517" s="1192">
        <v>46</v>
      </c>
    </row>
    <row r="3518" spans="1:22" s="1192" customFormat="1" ht="14.4" x14ac:dyDescent="0.3">
      <c r="A3518" s="1192" t="s">
        <v>201</v>
      </c>
      <c r="E3518" s="2101" t="s">
        <v>7</v>
      </c>
      <c r="F3518" s="2101"/>
      <c r="G3518" s="1273" t="s">
        <v>19</v>
      </c>
      <c r="H3518" s="509">
        <v>19</v>
      </c>
      <c r="K3518" s="1192" t="s">
        <v>4172</v>
      </c>
      <c r="L3518" s="1192" t="s">
        <v>430</v>
      </c>
      <c r="P3518" s="1192" t="s">
        <v>4173</v>
      </c>
      <c r="V3518" s="1192">
        <v>14</v>
      </c>
    </row>
    <row r="3519" spans="1:22" s="1192" customFormat="1" ht="17.399999999999999" x14ac:dyDescent="0.3">
      <c r="A3519" s="1192" t="s">
        <v>201</v>
      </c>
      <c r="E3519" s="2051" t="s">
        <v>2030</v>
      </c>
      <c r="F3519" s="2051"/>
      <c r="G3519" s="2051"/>
      <c r="H3519" s="2057"/>
      <c r="K3519" s="1192" t="s">
        <v>4174</v>
      </c>
      <c r="V3519" s="1192">
        <v>26</v>
      </c>
    </row>
    <row r="3520" spans="1:22" s="1192" customFormat="1" ht="14.4" x14ac:dyDescent="0.3">
      <c r="A3520" s="1192" t="s">
        <v>201</v>
      </c>
      <c r="E3520" s="2053" t="s">
        <v>3125</v>
      </c>
      <c r="F3520" s="2053"/>
      <c r="G3520" s="2053"/>
      <c r="H3520" s="2056"/>
      <c r="K3520" s="1192" t="s">
        <v>4174</v>
      </c>
      <c r="V3520" s="1192">
        <v>281</v>
      </c>
    </row>
    <row r="3521" spans="1:22" s="1192" customFormat="1" ht="14.4" x14ac:dyDescent="0.3">
      <c r="A3521" s="1192" t="s">
        <v>201</v>
      </c>
      <c r="E3521" s="2111" t="s">
        <v>2389</v>
      </c>
      <c r="F3521" s="1988"/>
      <c r="G3521" s="1988"/>
      <c r="H3521" s="1988"/>
      <c r="K3521" s="1192" t="s">
        <v>2632</v>
      </c>
      <c r="V3521" s="1192">
        <v>11</v>
      </c>
    </row>
    <row r="3522" spans="1:22" s="1192" customFormat="1" ht="14.4" x14ac:dyDescent="0.3">
      <c r="A3522" s="1192" t="s">
        <v>201</v>
      </c>
      <c r="E3522" s="2053" t="s">
        <v>2391</v>
      </c>
      <c r="F3522" s="2053"/>
      <c r="G3522" s="2053"/>
      <c r="H3522" s="2056"/>
      <c r="K3522" s="1192" t="s">
        <v>4174</v>
      </c>
      <c r="V3522" s="1192">
        <v>280</v>
      </c>
    </row>
    <row r="3523" spans="1:22" s="1192" customFormat="1" ht="14.4" x14ac:dyDescent="0.3">
      <c r="A3523" s="1192" t="s">
        <v>201</v>
      </c>
      <c r="E3523" s="2053" t="s">
        <v>2392</v>
      </c>
      <c r="F3523" s="2053"/>
      <c r="G3523" s="2053"/>
      <c r="H3523" s="2056"/>
      <c r="K3523" s="1192" t="s">
        <v>4174</v>
      </c>
      <c r="V3523" s="1192">
        <v>411</v>
      </c>
    </row>
    <row r="3524" spans="1:22" s="1192" customFormat="1" ht="14.4" x14ac:dyDescent="0.3">
      <c r="A3524" s="1192" t="s">
        <v>201</v>
      </c>
      <c r="E3524" s="2053" t="s">
        <v>3124</v>
      </c>
      <c r="F3524" s="2053"/>
      <c r="G3524" s="2053"/>
      <c r="H3524" s="2056"/>
      <c r="K3524" s="1192" t="s">
        <v>4174</v>
      </c>
      <c r="V3524" s="1192">
        <v>212</v>
      </c>
    </row>
    <row r="3525" spans="1:22" s="1192" customFormat="1" ht="14.4" x14ac:dyDescent="0.3">
      <c r="A3525" s="1192" t="s">
        <v>201</v>
      </c>
      <c r="E3525" s="2053" t="s">
        <v>3123</v>
      </c>
      <c r="F3525" s="2053"/>
      <c r="G3525" s="2053"/>
      <c r="H3525" s="2056"/>
      <c r="K3525" s="1192" t="s">
        <v>4174</v>
      </c>
      <c r="V3525" s="1192">
        <v>247</v>
      </c>
    </row>
    <row r="3526" spans="1:22" s="1192" customFormat="1" ht="14.4" x14ac:dyDescent="0.3">
      <c r="A3526" s="1192" t="s">
        <v>201</v>
      </c>
      <c r="E3526" s="2108" t="s">
        <v>2394</v>
      </c>
      <c r="F3526" s="2109"/>
      <c r="G3526" s="2109"/>
      <c r="H3526" s="2109"/>
      <c r="K3526" s="1192" t="s">
        <v>2633</v>
      </c>
      <c r="V3526" s="1192">
        <v>46</v>
      </c>
    </row>
    <row r="3527" spans="1:22" s="1192" customFormat="1" ht="14.4" x14ac:dyDescent="0.3">
      <c r="A3527" s="1192" t="s">
        <v>201</v>
      </c>
      <c r="E3527" s="2101" t="s">
        <v>7</v>
      </c>
      <c r="F3527" s="2101"/>
      <c r="G3527" s="1273" t="s">
        <v>19</v>
      </c>
      <c r="H3527" s="509">
        <v>129</v>
      </c>
      <c r="K3527" s="1192" t="s">
        <v>4174</v>
      </c>
      <c r="L3527" s="1192" t="s">
        <v>430</v>
      </c>
      <c r="P3527" s="1192" t="s">
        <v>4175</v>
      </c>
      <c r="V3527" s="1192">
        <v>14</v>
      </c>
    </row>
    <row r="3528" spans="1:22" s="1192" customFormat="1" ht="17.399999999999999" x14ac:dyDescent="0.3">
      <c r="A3528" s="1192" t="s">
        <v>201</v>
      </c>
      <c r="E3528" s="2051" t="s">
        <v>3890</v>
      </c>
      <c r="F3528" s="2051"/>
      <c r="G3528" s="2051"/>
      <c r="H3528" s="2057"/>
      <c r="K3528" s="1192" t="s">
        <v>4176</v>
      </c>
      <c r="V3528" s="1192">
        <v>56</v>
      </c>
    </row>
    <row r="3529" spans="1:22" s="1192" customFormat="1" ht="14.4" x14ac:dyDescent="0.3">
      <c r="A3529" s="1192" t="s">
        <v>201</v>
      </c>
      <c r="E3529" s="2053" t="s">
        <v>3126</v>
      </c>
      <c r="F3529" s="2053"/>
      <c r="G3529" s="2053"/>
      <c r="H3529" s="2056"/>
      <c r="K3529" s="1192" t="s">
        <v>4176</v>
      </c>
      <c r="V3529" s="1192">
        <v>315</v>
      </c>
    </row>
    <row r="3530" spans="1:22" s="1192" customFormat="1" ht="14.4" x14ac:dyDescent="0.3">
      <c r="A3530" s="1192" t="s">
        <v>201</v>
      </c>
      <c r="E3530" s="2111" t="s">
        <v>2389</v>
      </c>
      <c r="F3530" s="1988"/>
      <c r="G3530" s="1988"/>
      <c r="H3530" s="1988"/>
      <c r="K3530" s="1192" t="s">
        <v>2635</v>
      </c>
      <c r="V3530" s="1192">
        <v>11</v>
      </c>
    </row>
    <row r="3531" spans="1:22" s="1192" customFormat="1" ht="14.4" x14ac:dyDescent="0.3">
      <c r="A3531" s="1192" t="s">
        <v>201</v>
      </c>
      <c r="E3531" s="2053" t="s">
        <v>2391</v>
      </c>
      <c r="F3531" s="2053"/>
      <c r="G3531" s="2053"/>
      <c r="H3531" s="2056"/>
      <c r="K3531" s="1192" t="s">
        <v>4176</v>
      </c>
      <c r="V3531" s="1192">
        <v>280</v>
      </c>
    </row>
    <row r="3532" spans="1:22" s="1192" customFormat="1" ht="14.4" x14ac:dyDescent="0.3">
      <c r="A3532" s="1192" t="s">
        <v>201</v>
      </c>
      <c r="E3532" s="2053" t="s">
        <v>2392</v>
      </c>
      <c r="F3532" s="2053"/>
      <c r="G3532" s="2053"/>
      <c r="H3532" s="2056"/>
      <c r="K3532" s="1192" t="s">
        <v>4176</v>
      </c>
      <c r="V3532" s="1192">
        <v>411</v>
      </c>
    </row>
    <row r="3533" spans="1:22" s="1192" customFormat="1" ht="14.4" x14ac:dyDescent="0.3">
      <c r="A3533" s="1192" t="s">
        <v>201</v>
      </c>
      <c r="E3533" s="2053" t="s">
        <v>3124</v>
      </c>
      <c r="F3533" s="2053"/>
      <c r="G3533" s="2053"/>
      <c r="H3533" s="2056"/>
      <c r="K3533" s="1192" t="s">
        <v>4176</v>
      </c>
      <c r="V3533" s="1192">
        <v>212</v>
      </c>
    </row>
    <row r="3534" spans="1:22" s="1192" customFormat="1" ht="14.4" x14ac:dyDescent="0.3">
      <c r="A3534" s="1192" t="s">
        <v>201</v>
      </c>
      <c r="E3534" s="2053" t="s">
        <v>3123</v>
      </c>
      <c r="F3534" s="2053"/>
      <c r="G3534" s="2053"/>
      <c r="H3534" s="2056"/>
      <c r="K3534" s="1192" t="s">
        <v>4176</v>
      </c>
      <c r="V3534" s="1192">
        <v>247</v>
      </c>
    </row>
    <row r="3535" spans="1:22" s="1192" customFormat="1" ht="14.4" x14ac:dyDescent="0.3">
      <c r="A3535" s="1192" t="s">
        <v>201</v>
      </c>
      <c r="E3535" s="2108" t="s">
        <v>2394</v>
      </c>
      <c r="F3535" s="2109"/>
      <c r="G3535" s="2109"/>
      <c r="H3535" s="2109"/>
      <c r="K3535" s="1192" t="s">
        <v>2636</v>
      </c>
      <c r="V3535" s="1192">
        <v>46</v>
      </c>
    </row>
    <row r="3536" spans="1:22" s="1192" customFormat="1" ht="14.4" x14ac:dyDescent="0.3">
      <c r="A3536" s="1192" t="s">
        <v>201</v>
      </c>
      <c r="E3536" s="2101" t="s">
        <v>7</v>
      </c>
      <c r="F3536" s="2101"/>
      <c r="G3536" s="1273" t="s">
        <v>19</v>
      </c>
      <c r="H3536" s="509">
        <v>281</v>
      </c>
      <c r="K3536" s="1192" t="s">
        <v>4176</v>
      </c>
      <c r="L3536" s="1192" t="s">
        <v>430</v>
      </c>
      <c r="P3536" s="1192" t="s">
        <v>4177</v>
      </c>
      <c r="V3536" s="1192">
        <v>14</v>
      </c>
    </row>
    <row r="3537" spans="1:22" s="1192" customFormat="1" ht="17.399999999999999" x14ac:dyDescent="0.3">
      <c r="A3537" s="1192" t="s">
        <v>201</v>
      </c>
      <c r="E3537" s="580" t="s">
        <v>81</v>
      </c>
      <c r="F3537" s="587"/>
      <c r="G3537" s="587"/>
      <c r="H3537" s="908"/>
      <c r="K3537" s="1192" t="s">
        <v>3127</v>
      </c>
      <c r="V3537" s="1192">
        <v>10</v>
      </c>
    </row>
    <row r="3538" spans="1:22" s="1192" customFormat="1" ht="14.4" x14ac:dyDescent="0.3">
      <c r="A3538" s="1192" t="s">
        <v>201</v>
      </c>
      <c r="E3538" s="1740" t="s">
        <v>2449</v>
      </c>
      <c r="F3538" s="1740"/>
      <c r="G3538" s="582" t="s">
        <v>29</v>
      </c>
      <c r="H3538" s="509">
        <v>-0.45</v>
      </c>
      <c r="V3538" s="1192">
        <v>68</v>
      </c>
    </row>
    <row r="3539" spans="1:22" s="1192" customFormat="1" ht="14.4" x14ac:dyDescent="0.3">
      <c r="A3539" s="1192" t="s">
        <v>201</v>
      </c>
      <c r="E3539" s="2101" t="s">
        <v>2450</v>
      </c>
      <c r="F3539" s="2101"/>
      <c r="G3539" s="582" t="s">
        <v>82</v>
      </c>
      <c r="H3539" s="509">
        <v>-1</v>
      </c>
      <c r="V3539" s="1192">
        <v>87</v>
      </c>
    </row>
    <row r="3540" spans="1:22" s="1192" customFormat="1" ht="17.399999999999999" x14ac:dyDescent="0.3">
      <c r="A3540" s="1192" t="s">
        <v>201</v>
      </c>
      <c r="E3540" s="580" t="s">
        <v>83</v>
      </c>
      <c r="F3540" s="587"/>
      <c r="G3540" s="587"/>
      <c r="H3540" s="909"/>
      <c r="K3540" s="1192" t="s">
        <v>3128</v>
      </c>
      <c r="V3540" s="1192">
        <v>24</v>
      </c>
    </row>
    <row r="3541" spans="1:22" s="1192" customFormat="1" ht="14.4" x14ac:dyDescent="0.3">
      <c r="A3541" s="1192" t="s">
        <v>201</v>
      </c>
      <c r="E3541" s="2105" t="s">
        <v>2389</v>
      </c>
      <c r="F3541" s="1743"/>
      <c r="G3541" s="1743"/>
      <c r="H3541" s="1743"/>
      <c r="V3541" s="1192">
        <v>11</v>
      </c>
    </row>
    <row r="3542" spans="1:22" s="1192" customFormat="1" ht="14.4" x14ac:dyDescent="0.3">
      <c r="A3542" s="1192" t="s">
        <v>201</v>
      </c>
      <c r="E3542" s="2106" t="s">
        <v>2391</v>
      </c>
      <c r="F3542" s="2106"/>
      <c r="G3542" s="2106"/>
      <c r="H3542" s="2107"/>
      <c r="V3542" s="1192">
        <v>280</v>
      </c>
    </row>
    <row r="3543" spans="1:22" s="1192" customFormat="1" ht="14.4" x14ac:dyDescent="0.3">
      <c r="A3543" s="1192" t="s">
        <v>201</v>
      </c>
      <c r="E3543" s="2106" t="s">
        <v>2452</v>
      </c>
      <c r="F3543" s="2106"/>
      <c r="G3543" s="2106"/>
      <c r="H3543" s="2107"/>
      <c r="V3543" s="1192">
        <v>353</v>
      </c>
    </row>
    <row r="3544" spans="1:22" s="1192" customFormat="1" ht="14.4" x14ac:dyDescent="0.3">
      <c r="A3544" s="1192" t="s">
        <v>201</v>
      </c>
      <c r="E3544" s="2106" t="s">
        <v>2986</v>
      </c>
      <c r="F3544" s="2106"/>
      <c r="G3544" s="2106"/>
      <c r="H3544" s="2107"/>
      <c r="V3544" s="1192">
        <v>246</v>
      </c>
    </row>
    <row r="3545" spans="1:22" s="1192" customFormat="1" ht="14.4" x14ac:dyDescent="0.3">
      <c r="A3545" s="1192" t="s">
        <v>201</v>
      </c>
      <c r="E3545" s="585" t="s">
        <v>2453</v>
      </c>
      <c r="F3545" s="587"/>
      <c r="G3545" s="587"/>
      <c r="H3545" s="909"/>
      <c r="K3545" s="1192" t="s">
        <v>3129</v>
      </c>
      <c r="V3545" s="1192">
        <v>23</v>
      </c>
    </row>
    <row r="3546" spans="1:22" s="1192" customFormat="1" ht="14.4" x14ac:dyDescent="0.3">
      <c r="A3546" s="1192" t="s">
        <v>201</v>
      </c>
      <c r="E3546" s="2086" t="s">
        <v>3130</v>
      </c>
      <c r="F3546" s="2086"/>
      <c r="G3546" s="1273" t="s">
        <v>19</v>
      </c>
      <c r="H3546" s="509">
        <v>15</v>
      </c>
      <c r="V3546" s="1192">
        <v>19</v>
      </c>
    </row>
    <row r="3547" spans="1:22" s="1192" customFormat="1" ht="14.4" x14ac:dyDescent="0.3">
      <c r="A3547" s="1192" t="s">
        <v>201</v>
      </c>
      <c r="E3547" s="2086" t="s">
        <v>2458</v>
      </c>
      <c r="F3547" s="2086"/>
      <c r="G3547" s="1273" t="s">
        <v>19</v>
      </c>
      <c r="H3547" s="509">
        <v>15</v>
      </c>
      <c r="V3547" s="1192">
        <v>39</v>
      </c>
    </row>
    <row r="3548" spans="1:22" s="1192" customFormat="1" ht="14.4" x14ac:dyDescent="0.3">
      <c r="A3548" s="1192" t="s">
        <v>201</v>
      </c>
      <c r="E3548" s="2086" t="s">
        <v>3131</v>
      </c>
      <c r="F3548" s="2086"/>
      <c r="G3548" s="1273" t="s">
        <v>19</v>
      </c>
      <c r="H3548" s="509">
        <v>104</v>
      </c>
      <c r="V3548" s="1192">
        <v>84</v>
      </c>
    </row>
    <row r="3549" spans="1:22" s="1192" customFormat="1" ht="14.4" x14ac:dyDescent="0.3">
      <c r="A3549" s="1192" t="s">
        <v>201</v>
      </c>
      <c r="E3549" s="2086" t="s">
        <v>2464</v>
      </c>
      <c r="F3549" s="2086"/>
      <c r="G3549" s="1273" t="s">
        <v>19</v>
      </c>
      <c r="H3549" s="509">
        <v>15</v>
      </c>
      <c r="V3549" s="1192">
        <v>56</v>
      </c>
    </row>
    <row r="3550" spans="1:22" s="1192" customFormat="1" ht="14.4" x14ac:dyDescent="0.3">
      <c r="A3550" s="1192" t="s">
        <v>201</v>
      </c>
      <c r="E3550" s="2086" t="s">
        <v>3132</v>
      </c>
      <c r="F3550" s="2086"/>
      <c r="G3550" s="1273" t="s">
        <v>19</v>
      </c>
      <c r="H3550" s="509">
        <v>15</v>
      </c>
      <c r="V3550" s="1192">
        <v>46</v>
      </c>
    </row>
    <row r="3551" spans="1:22" s="1192" customFormat="1" ht="14.4" x14ac:dyDescent="0.3">
      <c r="A3551" s="1192" t="s">
        <v>201</v>
      </c>
      <c r="E3551" s="2086" t="s">
        <v>84</v>
      </c>
      <c r="F3551" s="2086"/>
      <c r="G3551" s="1273" t="s">
        <v>19</v>
      </c>
      <c r="H3551" s="509">
        <v>30</v>
      </c>
      <c r="V3551" s="1192">
        <v>89</v>
      </c>
    </row>
    <row r="3552" spans="1:22" s="1192" customFormat="1" ht="14.4" x14ac:dyDescent="0.3">
      <c r="A3552" s="1192" t="s">
        <v>201</v>
      </c>
      <c r="E3552" s="2086" t="s">
        <v>3133</v>
      </c>
      <c r="F3552" s="2086"/>
      <c r="G3552" s="1273" t="s">
        <v>19</v>
      </c>
      <c r="H3552" s="509">
        <v>65</v>
      </c>
      <c r="V3552" s="1192">
        <v>90</v>
      </c>
    </row>
    <row r="3553" spans="1:22" s="1192" customFormat="1" ht="14.4" x14ac:dyDescent="0.3">
      <c r="A3553" s="1192" t="s">
        <v>201</v>
      </c>
      <c r="E3553" s="2086" t="s">
        <v>3134</v>
      </c>
      <c r="F3553" s="2086"/>
      <c r="G3553" s="1273" t="s">
        <v>19</v>
      </c>
      <c r="H3553" s="509">
        <v>185</v>
      </c>
      <c r="V3553" s="1192">
        <v>96</v>
      </c>
    </row>
    <row r="3554" spans="1:22" s="1192" customFormat="1" ht="14.4" x14ac:dyDescent="0.3">
      <c r="A3554" s="1192" t="s">
        <v>201</v>
      </c>
      <c r="E3554" s="2086" t="s">
        <v>3135</v>
      </c>
      <c r="F3554" s="2086"/>
      <c r="G3554" s="1273" t="s">
        <v>19</v>
      </c>
      <c r="H3554" s="509">
        <v>378</v>
      </c>
      <c r="V3554" s="1192">
        <v>30</v>
      </c>
    </row>
    <row r="3555" spans="1:22" s="1192" customFormat="1" ht="14.4" x14ac:dyDescent="0.3">
      <c r="A3555" s="1192" t="s">
        <v>201</v>
      </c>
      <c r="E3555" s="2086" t="s">
        <v>3136</v>
      </c>
      <c r="F3555" s="2086"/>
      <c r="G3555" s="1273" t="s">
        <v>19</v>
      </c>
      <c r="H3555" s="509">
        <v>232</v>
      </c>
      <c r="V3555" s="1192">
        <v>47</v>
      </c>
    </row>
    <row r="3556" spans="1:22" s="1192" customFormat="1" ht="14.4" x14ac:dyDescent="0.3">
      <c r="A3556" s="1192" t="s">
        <v>201</v>
      </c>
      <c r="E3556" s="585" t="s">
        <v>2468</v>
      </c>
      <c r="F3556" s="587"/>
      <c r="G3556" s="563"/>
      <c r="H3556" s="910"/>
      <c r="K3556" s="1192" t="s">
        <v>3137</v>
      </c>
      <c r="V3556" s="1192">
        <v>22</v>
      </c>
    </row>
    <row r="3557" spans="1:22" s="1192" customFormat="1" ht="14.4" x14ac:dyDescent="0.3">
      <c r="A3557" s="1192" t="s">
        <v>201</v>
      </c>
      <c r="E3557" s="2086" t="s">
        <v>6249</v>
      </c>
      <c r="F3557" s="2086"/>
      <c r="G3557" s="1273" t="s">
        <v>82</v>
      </c>
      <c r="H3557" s="509">
        <v>1.5</v>
      </c>
      <c r="V3557" s="1192">
        <v>98</v>
      </c>
    </row>
    <row r="3558" spans="1:22" s="1192" customFormat="1" ht="14.4" x14ac:dyDescent="0.3">
      <c r="A3558" s="1192" t="s">
        <v>201</v>
      </c>
      <c r="E3558" s="2086" t="s">
        <v>6106</v>
      </c>
      <c r="F3558" s="2086"/>
      <c r="G3558" s="1273" t="s">
        <v>19</v>
      </c>
      <c r="H3558" s="509">
        <v>65</v>
      </c>
      <c r="V3558" s="1192">
        <v>44</v>
      </c>
    </row>
    <row r="3559" spans="1:22" s="1192" customFormat="1" ht="14.4" x14ac:dyDescent="0.3">
      <c r="A3559" s="1192" t="s">
        <v>201</v>
      </c>
      <c r="E3559" s="2086" t="s">
        <v>6107</v>
      </c>
      <c r="F3559" s="2086"/>
      <c r="G3559" s="1273" t="s">
        <v>19</v>
      </c>
      <c r="H3559" s="509">
        <v>185</v>
      </c>
      <c r="V3559" s="1192">
        <v>43</v>
      </c>
    </row>
    <row r="3560" spans="1:22" s="1192" customFormat="1" ht="14.4" x14ac:dyDescent="0.3">
      <c r="A3560" s="1192" t="s">
        <v>201</v>
      </c>
      <c r="E3560" s="2086" t="s">
        <v>6108</v>
      </c>
      <c r="F3560" s="2086"/>
      <c r="G3560" s="1273" t="s">
        <v>19</v>
      </c>
      <c r="H3560" s="509">
        <v>185</v>
      </c>
      <c r="V3560" s="1192">
        <v>43</v>
      </c>
    </row>
    <row r="3561" spans="1:22" s="1192" customFormat="1" ht="14.4" x14ac:dyDescent="0.3">
      <c r="A3561" s="1192" t="s">
        <v>201</v>
      </c>
      <c r="E3561" s="2086" t="s">
        <v>6115</v>
      </c>
      <c r="F3561" s="2086"/>
      <c r="G3561" s="1273" t="s">
        <v>19</v>
      </c>
      <c r="H3561" s="509">
        <v>415</v>
      </c>
      <c r="V3561" s="1192">
        <v>42</v>
      </c>
    </row>
    <row r="3562" spans="1:22" s="1192" customFormat="1" ht="14.4" x14ac:dyDescent="0.3">
      <c r="A3562" s="1192" t="s">
        <v>201</v>
      </c>
      <c r="E3562" s="802" t="s">
        <v>2474</v>
      </c>
      <c r="F3562" s="587"/>
      <c r="G3562" s="563"/>
      <c r="H3562" s="910"/>
      <c r="V3562" s="1192">
        <v>5</v>
      </c>
    </row>
    <row r="3563" spans="1:22" s="1192" customFormat="1" ht="14.4" x14ac:dyDescent="0.3">
      <c r="A3563" s="1192" t="s">
        <v>201</v>
      </c>
      <c r="E3563" s="2086" t="s">
        <v>2703</v>
      </c>
      <c r="F3563" s="2086"/>
      <c r="G3563" s="1273" t="s">
        <v>19</v>
      </c>
      <c r="H3563" s="509">
        <v>866</v>
      </c>
      <c r="V3563" s="1192">
        <v>64</v>
      </c>
    </row>
    <row r="3564" spans="1:22" s="1192" customFormat="1" ht="14.4" x14ac:dyDescent="0.3">
      <c r="A3564" s="1192" t="s">
        <v>201</v>
      </c>
      <c r="E3564" s="2086" t="s">
        <v>2758</v>
      </c>
      <c r="F3564" s="2086"/>
      <c r="G3564" s="1273" t="s">
        <v>19</v>
      </c>
      <c r="H3564" s="509">
        <v>1256</v>
      </c>
      <c r="V3564" s="1192">
        <v>67</v>
      </c>
    </row>
    <row r="3565" spans="1:22" s="1192" customFormat="1" ht="14.4" x14ac:dyDescent="0.3">
      <c r="A3565" s="1192" t="s">
        <v>201</v>
      </c>
      <c r="E3565" s="2086" t="s">
        <v>2759</v>
      </c>
      <c r="F3565" s="2086"/>
      <c r="G3565" s="1273" t="s">
        <v>19</v>
      </c>
      <c r="H3565" s="509">
        <v>3087</v>
      </c>
      <c r="V3565" s="1192">
        <v>66</v>
      </c>
    </row>
    <row r="3566" spans="1:22" s="1192" customFormat="1" ht="14.4" x14ac:dyDescent="0.3">
      <c r="A3566" s="1192" t="s">
        <v>201</v>
      </c>
      <c r="E3566" s="2086" t="s">
        <v>2768</v>
      </c>
      <c r="F3566" s="2086"/>
      <c r="G3566" s="1273" t="s">
        <v>19</v>
      </c>
      <c r="H3566" s="509">
        <v>53</v>
      </c>
      <c r="V3566" s="1192">
        <v>104</v>
      </c>
    </row>
    <row r="3567" spans="1:22" s="1192" customFormat="1" ht="14.4" x14ac:dyDescent="0.3">
      <c r="A3567" s="1192" t="s">
        <v>201</v>
      </c>
      <c r="E3567" s="2086" t="s">
        <v>3138</v>
      </c>
      <c r="F3567" s="2086"/>
      <c r="G3567" s="1273"/>
      <c r="H3567" s="906" t="s">
        <v>3139</v>
      </c>
      <c r="V3567" s="1192">
        <v>40</v>
      </c>
    </row>
    <row r="3568" spans="1:22" s="1192" customFormat="1" ht="14.4" x14ac:dyDescent="0.3">
      <c r="A3568" s="1192" t="s">
        <v>201</v>
      </c>
      <c r="E3568" s="2086" t="s">
        <v>4178</v>
      </c>
      <c r="F3568" s="2086"/>
      <c r="G3568" s="1273" t="s">
        <v>19</v>
      </c>
      <c r="H3568" s="509">
        <v>138</v>
      </c>
      <c r="V3568" s="1192">
        <v>82</v>
      </c>
    </row>
    <row r="3569" spans="1:22" s="1192" customFormat="1" ht="14.4" x14ac:dyDescent="0.3">
      <c r="A3569" s="1192" t="s">
        <v>201</v>
      </c>
      <c r="E3569" s="2086" t="s">
        <v>4179</v>
      </c>
      <c r="F3569" s="2086"/>
      <c r="G3569" s="1273" t="s">
        <v>19</v>
      </c>
      <c r="H3569" s="509">
        <v>168</v>
      </c>
      <c r="V3569" s="1192">
        <v>79</v>
      </c>
    </row>
    <row r="3570" spans="1:22" s="1192" customFormat="1" ht="17.399999999999999" x14ac:dyDescent="0.3">
      <c r="A3570" s="1192" t="s">
        <v>201</v>
      </c>
      <c r="E3570" s="580" t="s">
        <v>73</v>
      </c>
      <c r="F3570" s="587"/>
      <c r="G3570" s="587"/>
      <c r="H3570" s="909"/>
      <c r="K3570" s="1192" t="s">
        <v>3140</v>
      </c>
      <c r="V3570" s="1192">
        <v>38</v>
      </c>
    </row>
    <row r="3571" spans="1:22" s="1192" customFormat="1" ht="14.4" x14ac:dyDescent="0.3">
      <c r="A3571" s="1192" t="s">
        <v>201</v>
      </c>
      <c r="E3571" s="2106" t="s">
        <v>3141</v>
      </c>
      <c r="F3571" s="2106"/>
      <c r="G3571" s="2106"/>
      <c r="H3571" s="2107"/>
      <c r="V3571" s="1192">
        <v>265</v>
      </c>
    </row>
    <row r="3572" spans="1:22" s="1192" customFormat="1" ht="14.4" x14ac:dyDescent="0.3">
      <c r="A3572" s="1192" t="s">
        <v>201</v>
      </c>
      <c r="E3572" s="2106" t="s">
        <v>2392</v>
      </c>
      <c r="F3572" s="2106"/>
      <c r="G3572" s="2106"/>
      <c r="H3572" s="2107"/>
      <c r="V3572" s="1192">
        <v>411</v>
      </c>
    </row>
    <row r="3573" spans="1:22" s="1192" customFormat="1" ht="14.4" x14ac:dyDescent="0.3">
      <c r="A3573" s="1192" t="s">
        <v>201</v>
      </c>
      <c r="E3573" s="2106" t="s">
        <v>2445</v>
      </c>
      <c r="F3573" s="2106"/>
      <c r="G3573" s="2106"/>
      <c r="H3573" s="2107"/>
      <c r="V3573" s="1192">
        <v>211</v>
      </c>
    </row>
    <row r="3574" spans="1:22" s="1192" customFormat="1" ht="14.4" x14ac:dyDescent="0.3">
      <c r="A3574" s="1192" t="s">
        <v>201</v>
      </c>
      <c r="E3574" s="2106" t="s">
        <v>2986</v>
      </c>
      <c r="F3574" s="2106"/>
      <c r="G3574" s="2106"/>
      <c r="H3574" s="2107"/>
      <c r="V3574" s="1192">
        <v>246</v>
      </c>
    </row>
    <row r="3575" spans="1:22" s="1192" customFormat="1" ht="14.4" x14ac:dyDescent="0.3">
      <c r="A3575" s="1192" t="s">
        <v>201</v>
      </c>
      <c r="E3575" s="2106" t="s">
        <v>2595</v>
      </c>
      <c r="F3575" s="2106"/>
      <c r="G3575" s="2106"/>
      <c r="H3575" s="2107"/>
      <c r="V3575" s="1192">
        <v>142</v>
      </c>
    </row>
    <row r="3576" spans="1:22" s="1192" customFormat="1" ht="14.4" x14ac:dyDescent="0.3">
      <c r="A3576" s="1192" t="s">
        <v>201</v>
      </c>
      <c r="E3576" s="2101" t="s">
        <v>2485</v>
      </c>
      <c r="F3576" s="2101"/>
      <c r="G3576" s="588" t="s">
        <v>19</v>
      </c>
      <c r="H3576" s="509">
        <v>102</v>
      </c>
      <c r="V3576" s="1192">
        <v>106</v>
      </c>
    </row>
    <row r="3577" spans="1:22" s="1192" customFormat="1" ht="14.4" x14ac:dyDescent="0.3">
      <c r="A3577" s="1192" t="s">
        <v>201</v>
      </c>
      <c r="E3577" s="2101" t="s">
        <v>3919</v>
      </c>
      <c r="F3577" s="2101"/>
      <c r="G3577" s="588" t="s">
        <v>19</v>
      </c>
      <c r="H3577" s="509">
        <v>40.799999999999997</v>
      </c>
      <c r="V3577" s="1192">
        <v>34</v>
      </c>
    </row>
    <row r="3578" spans="1:22" s="1192" customFormat="1" ht="14.4" x14ac:dyDescent="0.3">
      <c r="A3578" s="1192" t="s">
        <v>201</v>
      </c>
      <c r="E3578" s="2101" t="s">
        <v>3920</v>
      </c>
      <c r="F3578" s="2101"/>
      <c r="G3578" s="588" t="s">
        <v>2488</v>
      </c>
      <c r="H3578" s="509">
        <v>1.02</v>
      </c>
      <c r="V3578" s="1192">
        <v>51</v>
      </c>
    </row>
    <row r="3579" spans="1:22" s="1192" customFormat="1" ht="14.4" x14ac:dyDescent="0.3">
      <c r="A3579" s="1192" t="s">
        <v>201</v>
      </c>
      <c r="E3579" s="2101" t="s">
        <v>2489</v>
      </c>
      <c r="F3579" s="2101"/>
      <c r="G3579" s="588" t="s">
        <v>2488</v>
      </c>
      <c r="H3579" s="509">
        <v>0.61</v>
      </c>
      <c r="V3579" s="1192">
        <v>75</v>
      </c>
    </row>
    <row r="3580" spans="1:22" s="1192" customFormat="1" ht="14.4" x14ac:dyDescent="0.3">
      <c r="A3580" s="1192" t="s">
        <v>201</v>
      </c>
      <c r="E3580" s="2101" t="s">
        <v>2490</v>
      </c>
      <c r="F3580" s="2101"/>
      <c r="G3580" s="588" t="s">
        <v>2488</v>
      </c>
      <c r="H3580" s="509">
        <v>-0.61</v>
      </c>
      <c r="V3580" s="1192">
        <v>72</v>
      </c>
    </row>
    <row r="3581" spans="1:22" s="1192" customFormat="1" ht="14.4" x14ac:dyDescent="0.3">
      <c r="A3581" s="1192" t="s">
        <v>201</v>
      </c>
      <c r="E3581" s="2101" t="s">
        <v>2491</v>
      </c>
      <c r="F3581" s="2101"/>
      <c r="G3581" s="593"/>
      <c r="H3581" s="875"/>
      <c r="V3581" s="1192">
        <v>35</v>
      </c>
    </row>
    <row r="3582" spans="1:22" s="1192" customFormat="1" ht="14.4" x14ac:dyDescent="0.3">
      <c r="A3582" s="1192" t="s">
        <v>201</v>
      </c>
      <c r="E3582" s="2208" t="s">
        <v>2492</v>
      </c>
      <c r="F3582" s="2208"/>
      <c r="G3582" s="588" t="s">
        <v>19</v>
      </c>
      <c r="H3582" s="509">
        <v>0.51</v>
      </c>
      <c r="V3582" s="1192">
        <v>57</v>
      </c>
    </row>
    <row r="3583" spans="1:22" s="1192" customFormat="1" ht="14.4" x14ac:dyDescent="0.3">
      <c r="A3583" s="1192" t="s">
        <v>201</v>
      </c>
      <c r="E3583" s="2208" t="s">
        <v>2493</v>
      </c>
      <c r="F3583" s="2208"/>
      <c r="G3583" s="588" t="s">
        <v>19</v>
      </c>
      <c r="H3583" s="509">
        <v>1.02</v>
      </c>
      <c r="V3583" s="1192">
        <v>60</v>
      </c>
    </row>
    <row r="3584" spans="1:22" s="1192" customFormat="1" ht="14.4" x14ac:dyDescent="0.3">
      <c r="A3584" s="1192" t="s">
        <v>201</v>
      </c>
      <c r="E3584" s="2101" t="s">
        <v>2494</v>
      </c>
      <c r="F3584" s="2101"/>
      <c r="G3584" s="590"/>
      <c r="H3584" s="875"/>
      <c r="V3584" s="1192">
        <v>91</v>
      </c>
    </row>
    <row r="3585" spans="1:22" s="1192" customFormat="1" ht="14.4" x14ac:dyDescent="0.3">
      <c r="A3585" s="1192" t="s">
        <v>201</v>
      </c>
      <c r="E3585" s="2101" t="s">
        <v>2495</v>
      </c>
      <c r="F3585" s="2101"/>
      <c r="G3585" s="590"/>
      <c r="H3585" s="875"/>
      <c r="V3585" s="1192">
        <v>96</v>
      </c>
    </row>
    <row r="3586" spans="1:22" s="1192" customFormat="1" ht="14.4" x14ac:dyDescent="0.3">
      <c r="A3586" s="1192" t="s">
        <v>201</v>
      </c>
      <c r="E3586" s="2101" t="s">
        <v>2496</v>
      </c>
      <c r="F3586" s="2101"/>
      <c r="G3586" s="590"/>
      <c r="H3586" s="875"/>
      <c r="V3586" s="1192">
        <v>78</v>
      </c>
    </row>
    <row r="3587" spans="1:22" s="1192" customFormat="1" ht="14.4" x14ac:dyDescent="0.3">
      <c r="A3587" s="1192" t="s">
        <v>201</v>
      </c>
      <c r="E3587" s="2208" t="s">
        <v>2497</v>
      </c>
      <c r="F3587" s="2208"/>
      <c r="G3587" s="588" t="s">
        <v>19</v>
      </c>
      <c r="H3587" s="876" t="s">
        <v>2498</v>
      </c>
      <c r="V3587" s="1192">
        <v>18</v>
      </c>
    </row>
    <row r="3588" spans="1:22" s="1192" customFormat="1" ht="14.4" x14ac:dyDescent="0.3">
      <c r="A3588" s="1192" t="s">
        <v>201</v>
      </c>
      <c r="E3588" s="2208" t="s">
        <v>2499</v>
      </c>
      <c r="F3588" s="2208"/>
      <c r="G3588" s="588" t="s">
        <v>19</v>
      </c>
      <c r="H3588" s="876">
        <v>4.08</v>
      </c>
      <c r="V3588" s="1192">
        <v>69</v>
      </c>
    </row>
    <row r="3589" spans="1:22" s="1192" customFormat="1" ht="14.4" x14ac:dyDescent="0.3">
      <c r="A3589" s="1192" t="s">
        <v>201</v>
      </c>
      <c r="E3589" s="2101" t="s">
        <v>6250</v>
      </c>
      <c r="F3589" s="2101"/>
      <c r="G3589" s="590"/>
      <c r="H3589" s="875"/>
      <c r="V3589" s="1192">
        <v>114</v>
      </c>
    </row>
    <row r="3590" spans="1:22" s="1192" customFormat="1" ht="14.4" x14ac:dyDescent="0.3">
      <c r="A3590" s="1192" t="s">
        <v>201</v>
      </c>
      <c r="E3590" s="2216" t="s">
        <v>6251</v>
      </c>
      <c r="F3590" s="2216"/>
      <c r="G3590" s="588" t="s">
        <v>19</v>
      </c>
      <c r="H3590" s="876">
        <v>2.04</v>
      </c>
      <c r="V3590" s="1192">
        <v>84</v>
      </c>
    </row>
    <row r="3591" spans="1:22" s="1192" customFormat="1" x14ac:dyDescent="0.35">
      <c r="A3591" s="1192" t="s">
        <v>201</v>
      </c>
      <c r="E3591" s="807" t="s">
        <v>143</v>
      </c>
      <c r="F3591" s="807"/>
      <c r="G3591" s="857"/>
      <c r="H3591" s="858"/>
      <c r="K3591" s="1192" t="s">
        <v>3142</v>
      </c>
      <c r="V3591" s="1192">
        <v>12</v>
      </c>
    </row>
    <row r="3592" spans="1:22" s="1192" customFormat="1" ht="14.4" x14ac:dyDescent="0.3">
      <c r="A3592" s="1192" t="s">
        <v>201</v>
      </c>
      <c r="E3592" s="2059" t="s">
        <v>2501</v>
      </c>
      <c r="F3592" s="2059"/>
      <c r="G3592" s="2059"/>
      <c r="H3592" s="2059"/>
      <c r="V3592" s="1192">
        <v>203</v>
      </c>
    </row>
    <row r="3593" spans="1:22" s="1192" customFormat="1" ht="14.4" x14ac:dyDescent="0.3">
      <c r="A3593" s="1192" t="s">
        <v>201</v>
      </c>
      <c r="E3593" s="2062" t="s">
        <v>2599</v>
      </c>
      <c r="F3593" s="2062"/>
      <c r="G3593" s="2062"/>
      <c r="H3593" s="906">
        <v>1.0335000000000001</v>
      </c>
      <c r="V3593" s="1192">
        <v>57</v>
      </c>
    </row>
    <row r="3594" spans="1:22" s="1192" customFormat="1" ht="14.4" x14ac:dyDescent="0.3">
      <c r="A3594" s="1192" t="s">
        <v>201</v>
      </c>
      <c r="E3594" s="2062" t="s">
        <v>2600</v>
      </c>
      <c r="F3594" s="2062"/>
      <c r="G3594" s="2062"/>
      <c r="H3594" s="906">
        <v>1.0164</v>
      </c>
      <c r="V3594" s="1192">
        <v>57</v>
      </c>
    </row>
    <row r="3595" spans="1:22" s="1192" customFormat="1" ht="14.4" x14ac:dyDescent="0.3">
      <c r="A3595" s="1192" t="s">
        <v>201</v>
      </c>
      <c r="E3595" s="2062" t="s">
        <v>2601</v>
      </c>
      <c r="F3595" s="2062"/>
      <c r="G3595" s="2062"/>
      <c r="H3595" s="906">
        <v>1.0232000000000001</v>
      </c>
      <c r="V3595" s="1192">
        <v>55</v>
      </c>
    </row>
    <row r="3596" spans="1:22" s="1192" customFormat="1" ht="14.4" x14ac:dyDescent="0.3">
      <c r="A3596" s="1192" t="s">
        <v>201</v>
      </c>
      <c r="E3596" s="2062" t="s">
        <v>2602</v>
      </c>
      <c r="F3596" s="2062"/>
      <c r="G3596" s="2062"/>
      <c r="H3596" s="906">
        <v>1.0062</v>
      </c>
      <c r="J3596" s="1192" t="s">
        <v>3143</v>
      </c>
      <c r="V3596" s="1192">
        <v>55</v>
      </c>
    </row>
    <row r="3597" spans="1:22" s="1192" customFormat="1" ht="22.8" x14ac:dyDescent="0.3">
      <c r="A3597" s="1192" t="s">
        <v>1950</v>
      </c>
      <c r="C3597" s="1192" t="s">
        <v>2378</v>
      </c>
      <c r="E3597" s="1752" t="s">
        <v>1950</v>
      </c>
      <c r="F3597" s="2039"/>
      <c r="G3597" s="2039"/>
      <c r="H3597" s="2039"/>
      <c r="I3597" s="1192" t="s">
        <v>603</v>
      </c>
      <c r="J3597" s="1192" t="s">
        <v>3651</v>
      </c>
      <c r="K3597" s="1192" t="s">
        <v>1950</v>
      </c>
      <c r="M3597" s="1192">
        <v>7</v>
      </c>
      <c r="V3597" s="1192">
        <v>20</v>
      </c>
    </row>
    <row r="3598" spans="1:22" s="1192" customFormat="1" ht="17.399999999999999" x14ac:dyDescent="0.3">
      <c r="A3598" s="1192" t="s">
        <v>1950</v>
      </c>
      <c r="C3598" s="1192" t="s">
        <v>2380</v>
      </c>
      <c r="E3598" s="1753" t="s">
        <v>2381</v>
      </c>
      <c r="F3598" s="2040"/>
      <c r="G3598" s="2040"/>
      <c r="H3598" s="2040"/>
      <c r="V3598" s="1192">
        <v>27</v>
      </c>
    </row>
    <row r="3599" spans="1:22" s="1192" customFormat="1" ht="15.6" x14ac:dyDescent="0.3">
      <c r="A3599" s="1192" t="s">
        <v>1950</v>
      </c>
      <c r="C3599" s="1192" t="s">
        <v>2382</v>
      </c>
      <c r="E3599" s="1754" t="s">
        <v>5937</v>
      </c>
      <c r="F3599" s="2020"/>
      <c r="G3599" s="2020"/>
      <c r="H3599" s="2020"/>
      <c r="S3599" s="1192">
        <v>43831</v>
      </c>
      <c r="V3599" s="1192">
        <v>49</v>
      </c>
    </row>
    <row r="3600" spans="1:22" s="1192" customFormat="1" ht="14.4" x14ac:dyDescent="0.3">
      <c r="A3600" s="1192" t="s">
        <v>1950</v>
      </c>
      <c r="C3600" s="1192" t="s">
        <v>2383</v>
      </c>
      <c r="E3600" s="1755" t="s">
        <v>2384</v>
      </c>
      <c r="F3600" s="2021"/>
      <c r="G3600" s="2021"/>
      <c r="H3600" s="2021"/>
      <c r="V3600" s="1192">
        <v>52</v>
      </c>
    </row>
    <row r="3601" spans="1:22" s="1192" customFormat="1" ht="14.4" x14ac:dyDescent="0.3">
      <c r="A3601" s="1192" t="s">
        <v>1950</v>
      </c>
      <c r="E3601" s="1755" t="s">
        <v>2385</v>
      </c>
      <c r="F3601" s="2021"/>
      <c r="G3601" s="2021"/>
      <c r="H3601" s="2021"/>
      <c r="V3601" s="1192">
        <v>53</v>
      </c>
    </row>
    <row r="3602" spans="1:22" s="1192" customFormat="1" ht="14.4" x14ac:dyDescent="0.3">
      <c r="A3602" s="1192" t="s">
        <v>1950</v>
      </c>
      <c r="E3602" s="1772" t="s">
        <v>6252</v>
      </c>
      <c r="F3602" s="2022"/>
      <c r="G3602" s="2022"/>
      <c r="H3602" s="2022"/>
      <c r="K3602" s="1192" t="s">
        <v>6252</v>
      </c>
      <c r="V3602" s="1192">
        <v>12</v>
      </c>
    </row>
    <row r="3603" spans="1:22" s="1192" customFormat="1" ht="14.4" x14ac:dyDescent="0.3">
      <c r="A3603" s="1192" t="s">
        <v>1950</v>
      </c>
      <c r="E3603" s="1746" t="s">
        <v>427</v>
      </c>
      <c r="F3603" s="1743"/>
      <c r="G3603" s="1743"/>
      <c r="H3603" s="1743"/>
      <c r="K3603" s="1192" t="s">
        <v>2506</v>
      </c>
      <c r="V3603" s="1192">
        <v>34</v>
      </c>
    </row>
    <row r="3604" spans="1:22" s="1192" customFormat="1" ht="14.4" x14ac:dyDescent="0.3">
      <c r="A3604" s="1192" t="s">
        <v>1950</v>
      </c>
      <c r="E3604" s="1743" t="s">
        <v>4180</v>
      </c>
      <c r="F3604" s="1743"/>
      <c r="G3604" s="1743"/>
      <c r="H3604" s="1743"/>
      <c r="K3604" s="1192" t="s">
        <v>2506</v>
      </c>
      <c r="V3604" s="1192">
        <v>348</v>
      </c>
    </row>
    <row r="3605" spans="1:22" s="1192" customFormat="1" ht="14.4" x14ac:dyDescent="0.3">
      <c r="A3605" s="1192" t="s">
        <v>1950</v>
      </c>
      <c r="E3605" s="1750" t="s">
        <v>2389</v>
      </c>
      <c r="F3605" s="1743"/>
      <c r="G3605" s="1743"/>
      <c r="H3605" s="1743"/>
      <c r="K3605" s="1192" t="s">
        <v>2390</v>
      </c>
      <c r="V3605" s="1192">
        <v>11</v>
      </c>
    </row>
    <row r="3606" spans="1:22" s="1192" customFormat="1" ht="14.4" x14ac:dyDescent="0.3">
      <c r="A3606" s="1192" t="s">
        <v>1950</v>
      </c>
      <c r="E3606" s="1743" t="s">
        <v>2391</v>
      </c>
      <c r="F3606" s="1743"/>
      <c r="G3606" s="1743"/>
      <c r="H3606" s="1743"/>
      <c r="K3606" s="1192" t="s">
        <v>2506</v>
      </c>
      <c r="V3606" s="1192">
        <v>280</v>
      </c>
    </row>
    <row r="3607" spans="1:22" s="1192" customFormat="1" ht="14.4" x14ac:dyDescent="0.3">
      <c r="A3607" s="1192" t="s">
        <v>1950</v>
      </c>
      <c r="E3607" s="1743" t="s">
        <v>2392</v>
      </c>
      <c r="F3607" s="1743"/>
      <c r="G3607" s="1743"/>
      <c r="H3607" s="1743"/>
      <c r="K3607" s="1192" t="s">
        <v>2506</v>
      </c>
      <c r="V3607" s="1192">
        <v>411</v>
      </c>
    </row>
    <row r="3608" spans="1:22" s="1192" customFormat="1" ht="14.4" x14ac:dyDescent="0.3">
      <c r="A3608" s="1192" t="s">
        <v>1950</v>
      </c>
      <c r="E3608" s="1743" t="s">
        <v>2508</v>
      </c>
      <c r="F3608" s="1743"/>
      <c r="G3608" s="1743"/>
      <c r="H3608" s="1743"/>
      <c r="K3608" s="1192" t="s">
        <v>2506</v>
      </c>
      <c r="V3608" s="1192">
        <v>386</v>
      </c>
    </row>
    <row r="3609" spans="1:22" s="1192" customFormat="1" ht="14.4" x14ac:dyDescent="0.3">
      <c r="A3609" s="1192" t="s">
        <v>1950</v>
      </c>
      <c r="E3609" s="1743" t="s">
        <v>2986</v>
      </c>
      <c r="F3609" s="1743"/>
      <c r="G3609" s="1743"/>
      <c r="H3609" s="1743"/>
      <c r="K3609" s="1192" t="s">
        <v>2506</v>
      </c>
      <c r="V3609" s="1192">
        <v>246</v>
      </c>
    </row>
    <row r="3610" spans="1:22" s="1192" customFormat="1" ht="14.4" x14ac:dyDescent="0.3">
      <c r="A3610" s="1192" t="s">
        <v>1950</v>
      </c>
      <c r="E3610" s="1750" t="s">
        <v>2394</v>
      </c>
      <c r="F3610" s="1743"/>
      <c r="G3610" s="1743"/>
      <c r="H3610" s="1743"/>
      <c r="K3610" s="1192" t="s">
        <v>2395</v>
      </c>
      <c r="V3610" s="1192">
        <v>46</v>
      </c>
    </row>
    <row r="3611" spans="1:22" s="1192" customFormat="1" ht="14.4" x14ac:dyDescent="0.3">
      <c r="A3611" s="1192" t="s">
        <v>1950</v>
      </c>
      <c r="E3611" s="1741" t="s">
        <v>7</v>
      </c>
      <c r="F3611" s="1741"/>
      <c r="G3611" s="1277" t="s">
        <v>19</v>
      </c>
      <c r="H3611" s="1218">
        <v>44.48</v>
      </c>
      <c r="K3611" s="1192" t="s">
        <v>2506</v>
      </c>
      <c r="L3611" s="1192" t="s">
        <v>430</v>
      </c>
      <c r="P3611" s="1192" t="s">
        <v>2510</v>
      </c>
      <c r="V3611" s="1192">
        <v>14</v>
      </c>
    </row>
    <row r="3612" spans="1:22" s="1192" customFormat="1" ht="14.4" x14ac:dyDescent="0.3">
      <c r="A3612" s="1192" t="s">
        <v>1950</v>
      </c>
      <c r="E3612" s="1741" t="s">
        <v>3900</v>
      </c>
      <c r="F3612" s="1741"/>
      <c r="G3612" s="1277" t="s">
        <v>19</v>
      </c>
      <c r="H3612" s="1218">
        <v>0.56999999999999995</v>
      </c>
      <c r="K3612" s="1192" t="s">
        <v>2506</v>
      </c>
      <c r="L3612" s="1192" t="s">
        <v>431</v>
      </c>
      <c r="P3612" s="1192" t="s">
        <v>2511</v>
      </c>
      <c r="T3612" s="1192">
        <v>44926</v>
      </c>
      <c r="V3612" s="1192">
        <v>64</v>
      </c>
    </row>
    <row r="3613" spans="1:22" s="1192" customFormat="1" ht="14.4" x14ac:dyDescent="0.3">
      <c r="A3613" s="1192" t="s">
        <v>1950</v>
      </c>
      <c r="E3613" s="1741" t="s">
        <v>4181</v>
      </c>
      <c r="F3613" s="1741"/>
      <c r="G3613" s="1277" t="s">
        <v>19</v>
      </c>
      <c r="H3613" s="1218">
        <v>0.17</v>
      </c>
      <c r="K3613" s="1192" t="s">
        <v>2506</v>
      </c>
      <c r="L3613" s="1192" t="s">
        <v>430</v>
      </c>
      <c r="P3613" s="1192" t="s">
        <v>2516</v>
      </c>
      <c r="T3613" s="1192">
        <v>43951</v>
      </c>
      <c r="V3613" s="1192">
        <v>104</v>
      </c>
    </row>
    <row r="3614" spans="1:22" s="1192" customFormat="1" ht="14.4" x14ac:dyDescent="0.3">
      <c r="A3614" s="1192" t="s">
        <v>1950</v>
      </c>
      <c r="E3614" s="1741" t="s">
        <v>14</v>
      </c>
      <c r="F3614" s="1741"/>
      <c r="G3614" s="1277" t="s">
        <v>20</v>
      </c>
      <c r="H3614" s="1219">
        <v>2.5000000000000001E-3</v>
      </c>
      <c r="K3614" s="1192" t="s">
        <v>2506</v>
      </c>
      <c r="L3614" s="1192" t="s">
        <v>431</v>
      </c>
      <c r="P3614" s="1192" t="s">
        <v>2513</v>
      </c>
      <c r="V3614" s="1192">
        <v>24</v>
      </c>
    </row>
    <row r="3615" spans="1:22" s="1192" customFormat="1" ht="14.4" x14ac:dyDescent="0.3">
      <c r="A3615" s="1192" t="s">
        <v>1950</v>
      </c>
      <c r="E3615" s="1741" t="s">
        <v>6253</v>
      </c>
      <c r="F3615" s="1998"/>
      <c r="G3615" s="1277" t="s">
        <v>20</v>
      </c>
      <c r="H3615" s="1219">
        <v>6.4999999999999997E-3</v>
      </c>
      <c r="K3615" s="1192" t="s">
        <v>2506</v>
      </c>
      <c r="L3615" s="1192" t="s">
        <v>431</v>
      </c>
      <c r="P3615" s="1192" t="s">
        <v>2516</v>
      </c>
      <c r="T3615" s="1192">
        <v>44561</v>
      </c>
      <c r="V3615" s="1192">
        <v>136</v>
      </c>
    </row>
    <row r="3616" spans="1:22" s="1192" customFormat="1" ht="14.4" x14ac:dyDescent="0.3">
      <c r="A3616" s="1192" t="s">
        <v>1950</v>
      </c>
      <c r="E3616" s="1741" t="s">
        <v>4182</v>
      </c>
      <c r="F3616" s="1741"/>
      <c r="G3616" s="1277" t="s">
        <v>20</v>
      </c>
      <c r="H3616" s="1219">
        <v>1.6000000000000001E-3</v>
      </c>
      <c r="K3616" s="1192" t="s">
        <v>2506</v>
      </c>
      <c r="L3616" s="1192" t="s">
        <v>431</v>
      </c>
      <c r="P3616" s="1192" t="s">
        <v>2516</v>
      </c>
      <c r="T3616" s="1192">
        <v>43951</v>
      </c>
      <c r="V3616" s="1192">
        <v>96</v>
      </c>
    </row>
    <row r="3617" spans="1:22" s="1192" customFormat="1" ht="14.4" x14ac:dyDescent="0.3">
      <c r="A3617" s="1192" t="s">
        <v>1950</v>
      </c>
      <c r="E3617" s="1741" t="s">
        <v>4557</v>
      </c>
      <c r="F3617" s="1741"/>
      <c r="G3617" s="1277" t="s">
        <v>20</v>
      </c>
      <c r="H3617" s="1219">
        <v>-1.1000000000000001E-3</v>
      </c>
      <c r="K3617" s="1192" t="s">
        <v>2506</v>
      </c>
      <c r="L3617" s="1192" t="s">
        <v>431</v>
      </c>
      <c r="P3617" s="1192" t="s">
        <v>2516</v>
      </c>
      <c r="T3617" s="1192">
        <v>43951</v>
      </c>
      <c r="V3617" s="1192">
        <v>164</v>
      </c>
    </row>
    <row r="3618" spans="1:22" s="1192" customFormat="1" ht="14.4" x14ac:dyDescent="0.3">
      <c r="A3618" s="1192" t="s">
        <v>1950</v>
      </c>
      <c r="E3618" s="1741" t="s">
        <v>213</v>
      </c>
      <c r="F3618" s="1741"/>
      <c r="G3618" s="1277" t="s">
        <v>20</v>
      </c>
      <c r="H3618" s="1219">
        <v>6.1999999999999998E-3</v>
      </c>
      <c r="K3618" s="1192" t="s">
        <v>2506</v>
      </c>
      <c r="L3618" s="1192" t="s">
        <v>432</v>
      </c>
      <c r="P3618" s="1192" t="s">
        <v>2517</v>
      </c>
      <c r="V3618" s="1192">
        <v>47</v>
      </c>
    </row>
    <row r="3619" spans="1:22" s="1192" customFormat="1" ht="14.4" x14ac:dyDescent="0.3">
      <c r="A3619" s="1192" t="s">
        <v>1950</v>
      </c>
      <c r="E3619" s="1741" t="s">
        <v>209</v>
      </c>
      <c r="F3619" s="1741"/>
      <c r="G3619" s="1277" t="s">
        <v>20</v>
      </c>
      <c r="H3619" s="1219">
        <v>4.7000000000000002E-3</v>
      </c>
      <c r="K3619" s="1192" t="s">
        <v>2506</v>
      </c>
      <c r="L3619" s="1192" t="s">
        <v>432</v>
      </c>
      <c r="P3619" s="1192" t="s">
        <v>2518</v>
      </c>
      <c r="V3619" s="1192">
        <v>74</v>
      </c>
    </row>
    <row r="3620" spans="1:22" s="1192" customFormat="1" ht="14.4" x14ac:dyDescent="0.3">
      <c r="A3620" s="1192" t="s">
        <v>1950</v>
      </c>
      <c r="E3620" s="1750" t="s">
        <v>2405</v>
      </c>
      <c r="F3620" s="1741"/>
      <c r="G3620" s="1277"/>
      <c r="H3620" s="896"/>
      <c r="K3620" s="1192" t="s">
        <v>2406</v>
      </c>
      <c r="V3620" s="1192">
        <v>48</v>
      </c>
    </row>
    <row r="3621" spans="1:22" s="1192" customFormat="1" ht="14.4" x14ac:dyDescent="0.3">
      <c r="A3621" s="1192" t="s">
        <v>1950</v>
      </c>
      <c r="E3621" s="1741" t="s">
        <v>2033</v>
      </c>
      <c r="F3621" s="1741"/>
      <c r="G3621" s="1277" t="s">
        <v>20</v>
      </c>
      <c r="H3621" s="1219">
        <v>3.0000000000000001E-3</v>
      </c>
      <c r="K3621" s="1192" t="s">
        <v>2506</v>
      </c>
      <c r="L3621" s="1192" t="s">
        <v>2374</v>
      </c>
      <c r="P3621" s="1192" t="s">
        <v>2519</v>
      </c>
      <c r="V3621" s="1192">
        <v>55</v>
      </c>
    </row>
    <row r="3622" spans="1:22" s="1192" customFormat="1" ht="14.4" x14ac:dyDescent="0.3">
      <c r="A3622" s="1192" t="s">
        <v>1950</v>
      </c>
      <c r="E3622" s="1741" t="s">
        <v>2034</v>
      </c>
      <c r="F3622" s="1741"/>
      <c r="G3622" s="1277" t="s">
        <v>20</v>
      </c>
      <c r="H3622" s="1219">
        <v>4.0000000000000002E-4</v>
      </c>
      <c r="K3622" s="1192" t="s">
        <v>2506</v>
      </c>
      <c r="L3622" s="1192" t="s">
        <v>2374</v>
      </c>
      <c r="P3622" s="1192" t="s">
        <v>2519</v>
      </c>
      <c r="V3622" s="1192">
        <v>65</v>
      </c>
    </row>
    <row r="3623" spans="1:22" s="1192" customFormat="1" ht="14.4" x14ac:dyDescent="0.3">
      <c r="A3623" s="1192" t="s">
        <v>1950</v>
      </c>
      <c r="E3623" s="1741" t="s">
        <v>428</v>
      </c>
      <c r="F3623" s="1741"/>
      <c r="G3623" s="1277" t="s">
        <v>20</v>
      </c>
      <c r="H3623" s="1219">
        <v>5.0000000000000001E-4</v>
      </c>
      <c r="K3623" s="1192" t="s">
        <v>2506</v>
      </c>
      <c r="L3623" s="1192" t="s">
        <v>2374</v>
      </c>
      <c r="P3623" s="1192" t="s">
        <v>2520</v>
      </c>
      <c r="V3623" s="1192">
        <v>57</v>
      </c>
    </row>
    <row r="3624" spans="1:22" s="1192" customFormat="1" ht="14.4" x14ac:dyDescent="0.3">
      <c r="A3624" s="1192" t="s">
        <v>1950</v>
      </c>
      <c r="E3624" s="1741" t="s">
        <v>28</v>
      </c>
      <c r="F3624" s="1741"/>
      <c r="G3624" s="1277" t="s">
        <v>19</v>
      </c>
      <c r="H3624" s="1218">
        <v>0.25</v>
      </c>
      <c r="K3624" s="1192" t="s">
        <v>2506</v>
      </c>
      <c r="L3624" s="1192" t="s">
        <v>2374</v>
      </c>
      <c r="P3624" s="1192" t="s">
        <v>2521</v>
      </c>
      <c r="V3624" s="1192">
        <v>63</v>
      </c>
    </row>
    <row r="3625" spans="1:22" s="1192" customFormat="1" ht="17.399999999999999" x14ac:dyDescent="0.3">
      <c r="A3625" s="1192" t="s">
        <v>1950</v>
      </c>
      <c r="E3625" s="1746" t="s">
        <v>2522</v>
      </c>
      <c r="F3625" s="1747"/>
      <c r="G3625" s="1747"/>
      <c r="H3625" s="1747"/>
      <c r="K3625" s="1192" t="s">
        <v>3901</v>
      </c>
      <c r="V3625" s="1192">
        <v>54</v>
      </c>
    </row>
    <row r="3626" spans="1:22" s="1192" customFormat="1" ht="14.4" x14ac:dyDescent="0.3">
      <c r="A3626" s="1192" t="s">
        <v>1950</v>
      </c>
      <c r="E3626" s="1743" t="s">
        <v>4183</v>
      </c>
      <c r="F3626" s="1743"/>
      <c r="G3626" s="1743"/>
      <c r="H3626" s="1743"/>
      <c r="K3626" s="1192" t="s">
        <v>3901</v>
      </c>
      <c r="V3626" s="1192">
        <v>253</v>
      </c>
    </row>
    <row r="3627" spans="1:22" s="1192" customFormat="1" ht="14.4" x14ac:dyDescent="0.3">
      <c r="A3627" s="1192" t="s">
        <v>1950</v>
      </c>
      <c r="E3627" s="1750" t="s">
        <v>2389</v>
      </c>
      <c r="F3627" s="1743"/>
      <c r="G3627" s="1743"/>
      <c r="H3627" s="1743"/>
      <c r="K3627" s="1192" t="s">
        <v>2412</v>
      </c>
      <c r="V3627" s="1192">
        <v>11</v>
      </c>
    </row>
    <row r="3628" spans="1:22" s="1192" customFormat="1" ht="14.4" x14ac:dyDescent="0.3">
      <c r="A3628" s="1192" t="s">
        <v>1950</v>
      </c>
      <c r="E3628" s="1743" t="s">
        <v>2391</v>
      </c>
      <c r="F3628" s="1743"/>
      <c r="G3628" s="1743"/>
      <c r="H3628" s="1743"/>
      <c r="K3628" s="1192" t="s">
        <v>3901</v>
      </c>
      <c r="V3628" s="1192">
        <v>280</v>
      </c>
    </row>
    <row r="3629" spans="1:22" s="1192" customFormat="1" ht="14.4" x14ac:dyDescent="0.3">
      <c r="A3629" s="1192" t="s">
        <v>1950</v>
      </c>
      <c r="E3629" s="1743" t="s">
        <v>2392</v>
      </c>
      <c r="F3629" s="1743"/>
      <c r="G3629" s="1743"/>
      <c r="H3629" s="1743"/>
      <c r="K3629" s="1192" t="s">
        <v>3901</v>
      </c>
      <c r="V3629" s="1192">
        <v>411</v>
      </c>
    </row>
    <row r="3630" spans="1:22" s="1192" customFormat="1" ht="14.4" x14ac:dyDescent="0.3">
      <c r="A3630" s="1192" t="s">
        <v>1950</v>
      </c>
      <c r="E3630" s="1743" t="s">
        <v>2508</v>
      </c>
      <c r="F3630" s="1743"/>
      <c r="G3630" s="1743"/>
      <c r="H3630" s="1743"/>
      <c r="K3630" s="1192" t="s">
        <v>3901</v>
      </c>
      <c r="V3630" s="1192">
        <v>386</v>
      </c>
    </row>
    <row r="3631" spans="1:22" s="1192" customFormat="1" ht="14.4" x14ac:dyDescent="0.3">
      <c r="A3631" s="1192" t="s">
        <v>1950</v>
      </c>
      <c r="E3631" s="1743" t="s">
        <v>2986</v>
      </c>
      <c r="F3631" s="1743"/>
      <c r="G3631" s="1743"/>
      <c r="H3631" s="1743"/>
      <c r="K3631" s="1192" t="s">
        <v>3901</v>
      </c>
      <c r="V3631" s="1192">
        <v>246</v>
      </c>
    </row>
    <row r="3632" spans="1:22" s="1192" customFormat="1" ht="14.4" x14ac:dyDescent="0.3">
      <c r="A3632" s="1192" t="s">
        <v>1950</v>
      </c>
      <c r="E3632" s="1750" t="s">
        <v>2394</v>
      </c>
      <c r="F3632" s="1743"/>
      <c r="G3632" s="1743"/>
      <c r="H3632" s="1743"/>
      <c r="K3632" s="1192" t="s">
        <v>2413</v>
      </c>
      <c r="V3632" s="1192">
        <v>46</v>
      </c>
    </row>
    <row r="3633" spans="1:22" s="1192" customFormat="1" ht="14.4" x14ac:dyDescent="0.3">
      <c r="A3633" s="1192" t="s">
        <v>1950</v>
      </c>
      <c r="E3633" s="1741" t="s">
        <v>7</v>
      </c>
      <c r="F3633" s="1741"/>
      <c r="G3633" s="1277" t="s">
        <v>19</v>
      </c>
      <c r="H3633" s="1218">
        <v>42.74</v>
      </c>
      <c r="K3633" s="1192" t="s">
        <v>3901</v>
      </c>
      <c r="L3633" s="1192" t="s">
        <v>430</v>
      </c>
      <c r="P3633" s="1192" t="s">
        <v>3902</v>
      </c>
      <c r="V3633" s="1192">
        <v>14</v>
      </c>
    </row>
    <row r="3634" spans="1:22" s="1192" customFormat="1" ht="14.4" x14ac:dyDescent="0.3">
      <c r="A3634" s="1192" t="s">
        <v>1950</v>
      </c>
      <c r="E3634" s="1741" t="s">
        <v>3900</v>
      </c>
      <c r="F3634" s="1741"/>
      <c r="G3634" s="1277" t="s">
        <v>19</v>
      </c>
      <c r="H3634" s="1218">
        <v>0.56999999999999995</v>
      </c>
      <c r="K3634" s="1192" t="s">
        <v>3901</v>
      </c>
      <c r="L3634" s="1192" t="s">
        <v>431</v>
      </c>
      <c r="P3634" s="1192" t="s">
        <v>3903</v>
      </c>
      <c r="T3634" s="1192">
        <v>44926</v>
      </c>
      <c r="V3634" s="1192">
        <v>64</v>
      </c>
    </row>
    <row r="3635" spans="1:22" s="1192" customFormat="1" ht="14.4" x14ac:dyDescent="0.3">
      <c r="A3635" s="1192" t="s">
        <v>1950</v>
      </c>
      <c r="E3635" s="1741" t="s">
        <v>80</v>
      </c>
      <c r="F3635" s="1741"/>
      <c r="G3635" s="1277" t="s">
        <v>20</v>
      </c>
      <c r="H3635" s="1219">
        <v>1.03E-2</v>
      </c>
      <c r="K3635" s="1192" t="s">
        <v>3901</v>
      </c>
      <c r="L3635" s="1192" t="s">
        <v>430</v>
      </c>
      <c r="P3635" s="1192" t="s">
        <v>3904</v>
      </c>
      <c r="V3635" s="1192">
        <v>28</v>
      </c>
    </row>
    <row r="3636" spans="1:22" s="1192" customFormat="1" ht="14.4" x14ac:dyDescent="0.3">
      <c r="A3636" s="1192" t="s">
        <v>1950</v>
      </c>
      <c r="E3636" s="1741" t="s">
        <v>14</v>
      </c>
      <c r="F3636" s="1741"/>
      <c r="G3636" s="1277" t="s">
        <v>20</v>
      </c>
      <c r="H3636" s="1219">
        <v>2.3999999999999998E-3</v>
      </c>
      <c r="K3636" s="1192" t="s">
        <v>3901</v>
      </c>
      <c r="L3636" s="1192" t="s">
        <v>431</v>
      </c>
      <c r="P3636" s="1192" t="s">
        <v>3905</v>
      </c>
      <c r="V3636" s="1192">
        <v>24</v>
      </c>
    </row>
    <row r="3637" spans="1:22" s="1192" customFormat="1" ht="14.4" x14ac:dyDescent="0.3">
      <c r="A3637" s="1192" t="s">
        <v>1950</v>
      </c>
      <c r="E3637" s="1741" t="s">
        <v>6253</v>
      </c>
      <c r="F3637" s="1998"/>
      <c r="G3637" s="1277" t="s">
        <v>20</v>
      </c>
      <c r="H3637" s="1219">
        <v>6.6E-3</v>
      </c>
      <c r="K3637" s="1192" t="s">
        <v>3901</v>
      </c>
      <c r="L3637" s="1192" t="s">
        <v>431</v>
      </c>
      <c r="P3637" s="1192" t="s">
        <v>3911</v>
      </c>
      <c r="T3637" s="1192">
        <v>44561</v>
      </c>
      <c r="V3637" s="1192">
        <v>136</v>
      </c>
    </row>
    <row r="3638" spans="1:22" s="1192" customFormat="1" ht="14.4" x14ac:dyDescent="0.3">
      <c r="A3638" s="1192" t="s">
        <v>1950</v>
      </c>
      <c r="E3638" s="1741" t="s">
        <v>4182</v>
      </c>
      <c r="F3638" s="1741"/>
      <c r="G3638" s="1277" t="s">
        <v>20</v>
      </c>
      <c r="H3638" s="1219">
        <v>1.6000000000000001E-3</v>
      </c>
      <c r="K3638" s="1192" t="s">
        <v>3901</v>
      </c>
      <c r="L3638" s="1192" t="s">
        <v>431</v>
      </c>
      <c r="P3638" s="1192" t="s">
        <v>3911</v>
      </c>
      <c r="T3638" s="1192">
        <v>43951</v>
      </c>
      <c r="V3638" s="1192">
        <v>96</v>
      </c>
    </row>
    <row r="3639" spans="1:22" s="1192" customFormat="1" ht="14.4" x14ac:dyDescent="0.3">
      <c r="A3639" s="1192" t="s">
        <v>1950</v>
      </c>
      <c r="E3639" s="1741" t="s">
        <v>4558</v>
      </c>
      <c r="F3639" s="1741"/>
      <c r="G3639" s="1277" t="s">
        <v>20</v>
      </c>
      <c r="H3639" s="1219">
        <v>-1.1000000000000001E-3</v>
      </c>
      <c r="K3639" s="1192" t="s">
        <v>3901</v>
      </c>
      <c r="L3639" s="1192" t="s">
        <v>431</v>
      </c>
      <c r="P3639" s="1192" t="s">
        <v>3911</v>
      </c>
      <c r="T3639" s="1192">
        <v>43951</v>
      </c>
      <c r="V3639" s="1192">
        <v>159</v>
      </c>
    </row>
    <row r="3640" spans="1:22" s="1192" customFormat="1" ht="14.4" x14ac:dyDescent="0.3">
      <c r="A3640" s="1192" t="s">
        <v>1950</v>
      </c>
      <c r="E3640" s="1741" t="s">
        <v>4184</v>
      </c>
      <c r="F3640" s="1741"/>
      <c r="G3640" s="1277" t="s">
        <v>20</v>
      </c>
      <c r="H3640" s="1219">
        <v>2.0000000000000001E-4</v>
      </c>
      <c r="K3640" s="1192" t="s">
        <v>3901</v>
      </c>
      <c r="L3640" s="1192" t="s">
        <v>430</v>
      </c>
      <c r="P3640" s="1192" t="s">
        <v>3911</v>
      </c>
      <c r="T3640" s="1192">
        <v>43951</v>
      </c>
      <c r="V3640" s="1192">
        <v>105</v>
      </c>
    </row>
    <row r="3641" spans="1:22" s="1192" customFormat="1" ht="14.4" x14ac:dyDescent="0.3">
      <c r="A3641" s="1192" t="s">
        <v>1950</v>
      </c>
      <c r="E3641" s="1741" t="s">
        <v>213</v>
      </c>
      <c r="F3641" s="1741"/>
      <c r="G3641" s="1277" t="s">
        <v>20</v>
      </c>
      <c r="H3641" s="1219">
        <v>5.5999999999999999E-3</v>
      </c>
      <c r="K3641" s="1192" t="s">
        <v>3901</v>
      </c>
      <c r="L3641" s="1192" t="s">
        <v>432</v>
      </c>
      <c r="P3641" s="1192" t="s">
        <v>3906</v>
      </c>
      <c r="V3641" s="1192">
        <v>47</v>
      </c>
    </row>
    <row r="3642" spans="1:22" s="1192" customFormat="1" ht="14.4" x14ac:dyDescent="0.3">
      <c r="A3642" s="1192" t="s">
        <v>1950</v>
      </c>
      <c r="E3642" s="1741" t="s">
        <v>209</v>
      </c>
      <c r="F3642" s="1741"/>
      <c r="G3642" s="1277" t="s">
        <v>20</v>
      </c>
      <c r="H3642" s="1219">
        <v>4.3E-3</v>
      </c>
      <c r="K3642" s="1192" t="s">
        <v>3901</v>
      </c>
      <c r="L3642" s="1192" t="s">
        <v>432</v>
      </c>
      <c r="P3642" s="1192" t="s">
        <v>3907</v>
      </c>
      <c r="V3642" s="1192">
        <v>74</v>
      </c>
    </row>
    <row r="3643" spans="1:22" s="1192" customFormat="1" ht="14.4" x14ac:dyDescent="0.3">
      <c r="A3643" s="1192" t="s">
        <v>1950</v>
      </c>
      <c r="E3643" s="1750" t="s">
        <v>2405</v>
      </c>
      <c r="F3643" s="1741"/>
      <c r="G3643" s="1277"/>
      <c r="H3643" s="896"/>
      <c r="K3643" s="1192" t="s">
        <v>2418</v>
      </c>
      <c r="V3643" s="1192">
        <v>48</v>
      </c>
    </row>
    <row r="3644" spans="1:22" s="1192" customFormat="1" ht="14.4" x14ac:dyDescent="0.3">
      <c r="A3644" s="1192" t="s">
        <v>1950</v>
      </c>
      <c r="E3644" s="1741" t="s">
        <v>2033</v>
      </c>
      <c r="F3644" s="1741"/>
      <c r="G3644" s="1277" t="s">
        <v>20</v>
      </c>
      <c r="H3644" s="1219">
        <v>3.0000000000000001E-3</v>
      </c>
      <c r="K3644" s="1192" t="s">
        <v>3901</v>
      </c>
      <c r="L3644" s="1192" t="s">
        <v>2374</v>
      </c>
      <c r="P3644" s="1192" t="s">
        <v>3908</v>
      </c>
      <c r="V3644" s="1192">
        <v>55</v>
      </c>
    </row>
    <row r="3645" spans="1:22" s="1192" customFormat="1" ht="14.4" x14ac:dyDescent="0.3">
      <c r="A3645" s="1192" t="s">
        <v>1950</v>
      </c>
      <c r="E3645" s="1741" t="s">
        <v>2034</v>
      </c>
      <c r="F3645" s="1741"/>
      <c r="G3645" s="1277" t="s">
        <v>20</v>
      </c>
      <c r="H3645" s="1219">
        <v>4.0000000000000002E-4</v>
      </c>
      <c r="K3645" s="1192" t="s">
        <v>3901</v>
      </c>
      <c r="L3645" s="1192" t="s">
        <v>2374</v>
      </c>
      <c r="P3645" s="1192" t="s">
        <v>3908</v>
      </c>
      <c r="V3645" s="1192">
        <v>65</v>
      </c>
    </row>
    <row r="3646" spans="1:22" s="1192" customFormat="1" ht="14.4" x14ac:dyDescent="0.3">
      <c r="A3646" s="1192" t="s">
        <v>1950</v>
      </c>
      <c r="E3646" s="1741" t="s">
        <v>428</v>
      </c>
      <c r="F3646" s="1741"/>
      <c r="G3646" s="1277" t="s">
        <v>20</v>
      </c>
      <c r="H3646" s="1219">
        <v>5.0000000000000001E-4</v>
      </c>
      <c r="K3646" s="1192" t="s">
        <v>3901</v>
      </c>
      <c r="L3646" s="1192" t="s">
        <v>2374</v>
      </c>
      <c r="P3646" s="1192" t="s">
        <v>3909</v>
      </c>
      <c r="V3646" s="1192">
        <v>57</v>
      </c>
    </row>
    <row r="3647" spans="1:22" s="1192" customFormat="1" ht="14.4" x14ac:dyDescent="0.3">
      <c r="A3647" s="1192" t="s">
        <v>1950</v>
      </c>
      <c r="E3647" s="1741" t="s">
        <v>28</v>
      </c>
      <c r="F3647" s="1741"/>
      <c r="G3647" s="1277" t="s">
        <v>19</v>
      </c>
      <c r="H3647" s="1218">
        <v>0.25</v>
      </c>
      <c r="K3647" s="1192" t="s">
        <v>3901</v>
      </c>
      <c r="L3647" s="1192" t="s">
        <v>2374</v>
      </c>
      <c r="P3647" s="1192" t="s">
        <v>3910</v>
      </c>
      <c r="V3647" s="1192">
        <v>63</v>
      </c>
    </row>
    <row r="3648" spans="1:22" s="1192" customFormat="1" ht="17.399999999999999" x14ac:dyDescent="0.3">
      <c r="A3648" s="1192" t="s">
        <v>1950</v>
      </c>
      <c r="E3648" s="1746" t="s">
        <v>591</v>
      </c>
      <c r="F3648" s="1747"/>
      <c r="G3648" s="1747"/>
      <c r="H3648" s="1747"/>
      <c r="K3648" s="1192" t="s">
        <v>4388</v>
      </c>
      <c r="V3648" s="1192">
        <v>53</v>
      </c>
    </row>
    <row r="3649" spans="1:22" s="1192" customFormat="1" ht="14.4" x14ac:dyDescent="0.3">
      <c r="A3649" s="1192" t="s">
        <v>1950</v>
      </c>
      <c r="E3649" s="1743" t="s">
        <v>4185</v>
      </c>
      <c r="F3649" s="1743"/>
      <c r="G3649" s="1743"/>
      <c r="H3649" s="1743"/>
      <c r="K3649" s="1192" t="s">
        <v>4388</v>
      </c>
      <c r="V3649" s="1192">
        <v>275</v>
      </c>
    </row>
    <row r="3650" spans="1:22" s="1192" customFormat="1" ht="14.4" x14ac:dyDescent="0.3">
      <c r="A3650" s="1192" t="s">
        <v>1950</v>
      </c>
      <c r="E3650" s="1750" t="s">
        <v>2389</v>
      </c>
      <c r="F3650" s="1743"/>
      <c r="G3650" s="1743"/>
      <c r="H3650" s="1743"/>
      <c r="K3650" s="1192" t="s">
        <v>2422</v>
      </c>
      <c r="V3650" s="1192">
        <v>11</v>
      </c>
    </row>
    <row r="3651" spans="1:22" s="1192" customFormat="1" ht="14.4" x14ac:dyDescent="0.3">
      <c r="A3651" s="1192" t="s">
        <v>1950</v>
      </c>
      <c r="E3651" s="1743" t="s">
        <v>2391</v>
      </c>
      <c r="F3651" s="1743"/>
      <c r="G3651" s="1743"/>
      <c r="H3651" s="1743"/>
      <c r="K3651" s="1192" t="s">
        <v>4388</v>
      </c>
      <c r="V3651" s="1192">
        <v>280</v>
      </c>
    </row>
    <row r="3652" spans="1:22" s="1192" customFormat="1" ht="14.4" x14ac:dyDescent="0.3">
      <c r="A3652" s="1192" t="s">
        <v>1950</v>
      </c>
      <c r="E3652" s="1743" t="s">
        <v>2392</v>
      </c>
      <c r="F3652" s="1743"/>
      <c r="G3652" s="1743"/>
      <c r="H3652" s="1743"/>
      <c r="K3652" s="1192" t="s">
        <v>4388</v>
      </c>
      <c r="V3652" s="1192">
        <v>411</v>
      </c>
    </row>
    <row r="3653" spans="1:22" s="1192" customFormat="1" ht="14.4" x14ac:dyDescent="0.3">
      <c r="A3653" s="1192" t="s">
        <v>1950</v>
      </c>
      <c r="E3653" s="1743" t="s">
        <v>2508</v>
      </c>
      <c r="F3653" s="1743"/>
      <c r="G3653" s="1743"/>
      <c r="H3653" s="1743"/>
      <c r="K3653" s="1192" t="s">
        <v>4388</v>
      </c>
      <c r="V3653" s="1192">
        <v>386</v>
      </c>
    </row>
    <row r="3654" spans="1:22" s="1192" customFormat="1" ht="14.4" x14ac:dyDescent="0.3">
      <c r="A3654" s="1192" t="s">
        <v>1950</v>
      </c>
      <c r="E3654" s="1743" t="s">
        <v>4503</v>
      </c>
      <c r="F3654" s="1743"/>
      <c r="G3654" s="1743"/>
      <c r="H3654" s="1743"/>
      <c r="K3654" s="1192" t="s">
        <v>4388</v>
      </c>
      <c r="V3654" s="1192">
        <v>677</v>
      </c>
    </row>
    <row r="3655" spans="1:22" s="1192" customFormat="1" ht="14.4" x14ac:dyDescent="0.3">
      <c r="A3655" s="1192" t="s">
        <v>1950</v>
      </c>
      <c r="E3655" s="1743" t="s">
        <v>4644</v>
      </c>
      <c r="F3655" s="1743"/>
      <c r="G3655" s="1743"/>
      <c r="H3655" s="1743"/>
      <c r="K3655" s="1192" t="s">
        <v>4388</v>
      </c>
      <c r="V3655" s="1192">
        <v>693</v>
      </c>
    </row>
    <row r="3656" spans="1:22" s="1192" customFormat="1" ht="14.4" x14ac:dyDescent="0.3">
      <c r="A3656" s="1192" t="s">
        <v>1950</v>
      </c>
      <c r="E3656" s="1743" t="s">
        <v>2986</v>
      </c>
      <c r="F3656" s="1743"/>
      <c r="G3656" s="1743"/>
      <c r="H3656" s="1743"/>
      <c r="K3656" s="1192" t="s">
        <v>4388</v>
      </c>
      <c r="V3656" s="1192">
        <v>246</v>
      </c>
    </row>
    <row r="3657" spans="1:22" s="1192" customFormat="1" ht="14.4" x14ac:dyDescent="0.3">
      <c r="A3657" s="1192" t="s">
        <v>1950</v>
      </c>
      <c r="E3657" s="1750" t="s">
        <v>2394</v>
      </c>
      <c r="F3657" s="1743"/>
      <c r="G3657" s="1743"/>
      <c r="H3657" s="1743"/>
      <c r="K3657" s="1192" t="s">
        <v>2423</v>
      </c>
      <c r="V3657" s="1192">
        <v>46</v>
      </c>
    </row>
    <row r="3658" spans="1:22" s="1192" customFormat="1" ht="14.4" x14ac:dyDescent="0.3">
      <c r="A3658" s="1192" t="s">
        <v>1950</v>
      </c>
      <c r="E3658" s="1741" t="s">
        <v>7</v>
      </c>
      <c r="F3658" s="1741"/>
      <c r="G3658" s="1277" t="s">
        <v>19</v>
      </c>
      <c r="H3658" s="1218">
        <v>218.58</v>
      </c>
      <c r="K3658" s="1192" t="s">
        <v>4388</v>
      </c>
      <c r="L3658" s="1192" t="s">
        <v>430</v>
      </c>
      <c r="P3658" s="1192" t="s">
        <v>4389</v>
      </c>
      <c r="V3658" s="1192">
        <v>14</v>
      </c>
    </row>
    <row r="3659" spans="1:22" s="1192" customFormat="1" ht="14.4" x14ac:dyDescent="0.3">
      <c r="A3659" s="1192" t="s">
        <v>1950</v>
      </c>
      <c r="E3659" s="1741" t="s">
        <v>80</v>
      </c>
      <c r="F3659" s="1741"/>
      <c r="G3659" s="1277" t="s">
        <v>29</v>
      </c>
      <c r="H3659" s="1219">
        <v>4.4295</v>
      </c>
      <c r="K3659" s="1192" t="s">
        <v>4388</v>
      </c>
      <c r="L3659" s="1192" t="s">
        <v>430</v>
      </c>
      <c r="P3659" s="1192" t="s">
        <v>4390</v>
      </c>
      <c r="V3659" s="1192">
        <v>28</v>
      </c>
    </row>
    <row r="3660" spans="1:22" s="1192" customFormat="1" ht="14.4" x14ac:dyDescent="0.3">
      <c r="A3660" s="1192" t="s">
        <v>1950</v>
      </c>
      <c r="E3660" s="1741" t="s">
        <v>14</v>
      </c>
      <c r="F3660" s="1741"/>
      <c r="G3660" s="1277" t="s">
        <v>29</v>
      </c>
      <c r="H3660" s="1219">
        <v>1.3285</v>
      </c>
      <c r="K3660" s="1192" t="s">
        <v>4388</v>
      </c>
      <c r="L3660" s="1192" t="s">
        <v>431</v>
      </c>
      <c r="P3660" s="1192" t="s">
        <v>4391</v>
      </c>
      <c r="V3660" s="1192">
        <v>24</v>
      </c>
    </row>
    <row r="3661" spans="1:22" s="1192" customFormat="1" ht="14.4" x14ac:dyDescent="0.3">
      <c r="A3661" s="1192" t="s">
        <v>1950</v>
      </c>
      <c r="E3661" s="1741" t="s">
        <v>6253</v>
      </c>
      <c r="F3661" s="1998"/>
      <c r="G3661" s="1277" t="s">
        <v>29</v>
      </c>
      <c r="H3661" s="1219">
        <v>2.5621999999999998</v>
      </c>
      <c r="K3661" s="1192" t="s">
        <v>4388</v>
      </c>
      <c r="L3661" s="1192" t="s">
        <v>431</v>
      </c>
      <c r="P3661" s="1192" t="s">
        <v>4398</v>
      </c>
      <c r="T3661" s="1192">
        <v>44561</v>
      </c>
      <c r="V3661" s="1192">
        <v>136</v>
      </c>
    </row>
    <row r="3662" spans="1:22" s="1192" customFormat="1" ht="14.4" x14ac:dyDescent="0.3">
      <c r="A3662" s="1192" t="s">
        <v>1950</v>
      </c>
      <c r="E3662" s="1741" t="s">
        <v>4182</v>
      </c>
      <c r="F3662" s="1741"/>
      <c r="G3662" s="1277" t="s">
        <v>29</v>
      </c>
      <c r="H3662" s="1219">
        <v>0.56440000000000001</v>
      </c>
      <c r="K3662" s="1192" t="s">
        <v>4388</v>
      </c>
      <c r="L3662" s="1192" t="s">
        <v>431</v>
      </c>
      <c r="P3662" s="1192" t="s">
        <v>4398</v>
      </c>
      <c r="T3662" s="1192">
        <v>43951</v>
      </c>
      <c r="V3662" s="1192">
        <v>96</v>
      </c>
    </row>
    <row r="3663" spans="1:22" s="1192" customFormat="1" ht="14.4" x14ac:dyDescent="0.3">
      <c r="A3663" s="1192" t="s">
        <v>1950</v>
      </c>
      <c r="E3663" s="1741" t="s">
        <v>4558</v>
      </c>
      <c r="F3663" s="1741"/>
      <c r="G3663" s="1277" t="s">
        <v>29</v>
      </c>
      <c r="H3663" s="1219">
        <v>-0.4027</v>
      </c>
      <c r="K3663" s="1192" t="s">
        <v>4388</v>
      </c>
      <c r="L3663" s="1192" t="s">
        <v>431</v>
      </c>
      <c r="P3663" s="1192" t="s">
        <v>4398</v>
      </c>
      <c r="T3663" s="1192">
        <v>43951</v>
      </c>
      <c r="V3663" s="1192">
        <v>159</v>
      </c>
    </row>
    <row r="3664" spans="1:22" s="1192" customFormat="1" ht="14.4" x14ac:dyDescent="0.3">
      <c r="A3664" s="1192" t="s">
        <v>1950</v>
      </c>
      <c r="E3664" s="1741" t="s">
        <v>4181</v>
      </c>
      <c r="F3664" s="1741"/>
      <c r="G3664" s="1277" t="s">
        <v>29</v>
      </c>
      <c r="H3664" s="1219">
        <v>7.6600000000000001E-2</v>
      </c>
      <c r="K3664" s="1192" t="s">
        <v>4388</v>
      </c>
      <c r="L3664" s="1192" t="s">
        <v>430</v>
      </c>
      <c r="P3664" s="1192" t="s">
        <v>4398</v>
      </c>
      <c r="T3664" s="1192">
        <v>43951</v>
      </c>
      <c r="V3664" s="1192">
        <v>104</v>
      </c>
    </row>
    <row r="3665" spans="1:22" s="1192" customFormat="1" ht="14.4" x14ac:dyDescent="0.3">
      <c r="A3665" s="1192" t="s">
        <v>1950</v>
      </c>
      <c r="E3665" s="1741" t="s">
        <v>213</v>
      </c>
      <c r="F3665" s="1741"/>
      <c r="G3665" s="1277" t="s">
        <v>29</v>
      </c>
      <c r="H3665" s="1219">
        <v>2.1974</v>
      </c>
      <c r="K3665" s="1192" t="s">
        <v>4388</v>
      </c>
      <c r="L3665" s="1192" t="s">
        <v>432</v>
      </c>
      <c r="P3665" s="1192" t="s">
        <v>4392</v>
      </c>
      <c r="V3665" s="1192">
        <v>47</v>
      </c>
    </row>
    <row r="3666" spans="1:22" s="1192" customFormat="1" ht="14.4" x14ac:dyDescent="0.3">
      <c r="A3666" s="1192" t="s">
        <v>1950</v>
      </c>
      <c r="E3666" s="1741" t="s">
        <v>2847</v>
      </c>
      <c r="F3666" s="1741"/>
      <c r="G3666" s="1277" t="s">
        <v>29</v>
      </c>
      <c r="H3666" s="1219">
        <v>2.4500999999999999</v>
      </c>
      <c r="K3666" s="1192" t="s">
        <v>4388</v>
      </c>
      <c r="L3666" s="1192" t="s">
        <v>432</v>
      </c>
      <c r="P3666" s="1192" t="s">
        <v>4393</v>
      </c>
      <c r="V3666" s="1192">
        <v>75</v>
      </c>
    </row>
    <row r="3667" spans="1:22" s="1192" customFormat="1" ht="14.4" x14ac:dyDescent="0.3">
      <c r="A3667" s="1192" t="s">
        <v>1950</v>
      </c>
      <c r="E3667" s="1741" t="s">
        <v>215</v>
      </c>
      <c r="F3667" s="1741"/>
      <c r="G3667" s="1277" t="s">
        <v>29</v>
      </c>
      <c r="H3667" s="1219">
        <v>2.1974</v>
      </c>
      <c r="K3667" s="1192" t="s">
        <v>4388</v>
      </c>
      <c r="L3667" s="1192" t="s">
        <v>432</v>
      </c>
      <c r="P3667" s="1192" t="s">
        <v>4392</v>
      </c>
      <c r="V3667" s="1192">
        <v>66</v>
      </c>
    </row>
    <row r="3668" spans="1:22" s="1192" customFormat="1" ht="14.4" x14ac:dyDescent="0.3">
      <c r="A3668" s="1192" t="s">
        <v>1950</v>
      </c>
      <c r="E3668" s="1741" t="s">
        <v>3703</v>
      </c>
      <c r="F3668" s="1741"/>
      <c r="G3668" s="1277" t="s">
        <v>29</v>
      </c>
      <c r="H3668" s="1219">
        <v>2.2957000000000001</v>
      </c>
      <c r="K3668" s="1192" t="s">
        <v>4388</v>
      </c>
      <c r="L3668" s="1192" t="s">
        <v>432</v>
      </c>
      <c r="P3668" s="1192" t="s">
        <v>4393</v>
      </c>
      <c r="V3668" s="1192">
        <v>94</v>
      </c>
    </row>
    <row r="3669" spans="1:22" s="1192" customFormat="1" ht="14.4" x14ac:dyDescent="0.3">
      <c r="A3669" s="1192" t="s">
        <v>1950</v>
      </c>
      <c r="E3669" s="1750" t="s">
        <v>2405</v>
      </c>
      <c r="F3669" s="1741"/>
      <c r="G3669" s="1277"/>
      <c r="H3669" s="896"/>
      <c r="K3669" s="1192" t="s">
        <v>2526</v>
      </c>
      <c r="V3669" s="1192">
        <v>48</v>
      </c>
    </row>
    <row r="3670" spans="1:22" s="1192" customFormat="1" ht="14.4" x14ac:dyDescent="0.3">
      <c r="A3670" s="1192" t="s">
        <v>1950</v>
      </c>
      <c r="E3670" s="1741" t="s">
        <v>2033</v>
      </c>
      <c r="F3670" s="1741"/>
      <c r="G3670" s="1277" t="s">
        <v>20</v>
      </c>
      <c r="H3670" s="1219">
        <v>3.0000000000000001E-3</v>
      </c>
      <c r="K3670" s="1192" t="s">
        <v>4388</v>
      </c>
      <c r="L3670" s="1192" t="s">
        <v>2374</v>
      </c>
      <c r="P3670" s="1192" t="s">
        <v>4394</v>
      </c>
      <c r="V3670" s="1192">
        <v>55</v>
      </c>
    </row>
    <row r="3671" spans="1:22" s="1192" customFormat="1" ht="14.4" x14ac:dyDescent="0.3">
      <c r="A3671" s="1192" t="s">
        <v>1950</v>
      </c>
      <c r="E3671" s="1741" t="s">
        <v>2034</v>
      </c>
      <c r="F3671" s="1741"/>
      <c r="G3671" s="1277" t="s">
        <v>20</v>
      </c>
      <c r="H3671" s="1219">
        <v>4.0000000000000002E-4</v>
      </c>
      <c r="K3671" s="1192" t="s">
        <v>4388</v>
      </c>
      <c r="L3671" s="1192" t="s">
        <v>2374</v>
      </c>
      <c r="P3671" s="1192" t="s">
        <v>4394</v>
      </c>
      <c r="V3671" s="1192">
        <v>65</v>
      </c>
    </row>
    <row r="3672" spans="1:22" s="1192" customFormat="1" ht="14.4" x14ac:dyDescent="0.3">
      <c r="A3672" s="1192" t="s">
        <v>1950</v>
      </c>
      <c r="E3672" s="1741" t="s">
        <v>428</v>
      </c>
      <c r="F3672" s="1741"/>
      <c r="G3672" s="1277" t="s">
        <v>20</v>
      </c>
      <c r="H3672" s="1219">
        <v>5.0000000000000001E-4</v>
      </c>
      <c r="K3672" s="1192" t="s">
        <v>4388</v>
      </c>
      <c r="L3672" s="1192" t="s">
        <v>2374</v>
      </c>
      <c r="P3672" s="1192" t="s">
        <v>4395</v>
      </c>
      <c r="V3672" s="1192">
        <v>57</v>
      </c>
    </row>
    <row r="3673" spans="1:22" s="1192" customFormat="1" ht="14.4" x14ac:dyDescent="0.3">
      <c r="A3673" s="1192" t="s">
        <v>1950</v>
      </c>
      <c r="E3673" s="1741" t="s">
        <v>28</v>
      </c>
      <c r="F3673" s="1741"/>
      <c r="G3673" s="1277" t="s">
        <v>19</v>
      </c>
      <c r="H3673" s="1218">
        <v>0.25</v>
      </c>
      <c r="K3673" s="1192" t="s">
        <v>4388</v>
      </c>
      <c r="L3673" s="1192" t="s">
        <v>2374</v>
      </c>
      <c r="P3673" s="1192" t="s">
        <v>4396</v>
      </c>
      <c r="V3673" s="1192">
        <v>63</v>
      </c>
    </row>
    <row r="3674" spans="1:22" s="1192" customFormat="1" ht="17.399999999999999" x14ac:dyDescent="0.3">
      <c r="A3674" s="1192" t="s">
        <v>1950</v>
      </c>
      <c r="E3674" s="1746" t="s">
        <v>592</v>
      </c>
      <c r="F3674" s="1747"/>
      <c r="G3674" s="1747"/>
      <c r="H3674" s="1747"/>
      <c r="K3674" s="1192" t="s">
        <v>2676</v>
      </c>
      <c r="V3674" s="1192">
        <v>47</v>
      </c>
    </row>
    <row r="3675" spans="1:22" s="1192" customFormat="1" ht="14.4" x14ac:dyDescent="0.3">
      <c r="A3675" s="1192" t="s">
        <v>1950</v>
      </c>
      <c r="E3675" s="1743" t="s">
        <v>4186</v>
      </c>
      <c r="F3675" s="1743"/>
      <c r="G3675" s="1743"/>
      <c r="H3675" s="1743"/>
      <c r="K3675" s="1192" t="s">
        <v>2676</v>
      </c>
      <c r="V3675" s="1192">
        <v>366</v>
      </c>
    </row>
    <row r="3676" spans="1:22" s="1192" customFormat="1" ht="14.4" x14ac:dyDescent="0.3">
      <c r="A3676" s="1192" t="s">
        <v>1950</v>
      </c>
      <c r="E3676" s="1750" t="s">
        <v>2389</v>
      </c>
      <c r="F3676" s="1743"/>
      <c r="G3676" s="1743"/>
      <c r="H3676" s="1743"/>
      <c r="K3676" s="1192" t="s">
        <v>2529</v>
      </c>
      <c r="V3676" s="1192">
        <v>11</v>
      </c>
    </row>
    <row r="3677" spans="1:22" s="1192" customFormat="1" ht="14.4" x14ac:dyDescent="0.3">
      <c r="A3677" s="1192" t="s">
        <v>1950</v>
      </c>
      <c r="E3677" s="1743" t="s">
        <v>2391</v>
      </c>
      <c r="F3677" s="1743"/>
      <c r="G3677" s="1743"/>
      <c r="H3677" s="1743"/>
      <c r="K3677" s="1192" t="s">
        <v>2676</v>
      </c>
      <c r="V3677" s="1192">
        <v>280</v>
      </c>
    </row>
    <row r="3678" spans="1:22" s="1192" customFormat="1" ht="14.4" x14ac:dyDescent="0.3">
      <c r="A3678" s="1192" t="s">
        <v>1950</v>
      </c>
      <c r="E3678" s="1743" t="s">
        <v>2392</v>
      </c>
      <c r="F3678" s="1743"/>
      <c r="G3678" s="1743"/>
      <c r="H3678" s="1743"/>
      <c r="K3678" s="1192" t="s">
        <v>2676</v>
      </c>
      <c r="V3678" s="1192">
        <v>411</v>
      </c>
    </row>
    <row r="3679" spans="1:22" s="1192" customFormat="1" ht="14.4" x14ac:dyDescent="0.3">
      <c r="A3679" s="1192" t="s">
        <v>1950</v>
      </c>
      <c r="E3679" s="1743" t="s">
        <v>2508</v>
      </c>
      <c r="F3679" s="1743"/>
      <c r="G3679" s="1743"/>
      <c r="H3679" s="1743"/>
      <c r="K3679" s="1192" t="s">
        <v>2676</v>
      </c>
      <c r="V3679" s="1192">
        <v>386</v>
      </c>
    </row>
    <row r="3680" spans="1:22" s="1192" customFormat="1" ht="14.4" x14ac:dyDescent="0.3">
      <c r="A3680" s="1192" t="s">
        <v>1950</v>
      </c>
      <c r="E3680" s="1743" t="s">
        <v>2986</v>
      </c>
      <c r="F3680" s="1743"/>
      <c r="G3680" s="1743"/>
      <c r="H3680" s="1743"/>
      <c r="K3680" s="1192" t="s">
        <v>2676</v>
      </c>
      <c r="V3680" s="1192">
        <v>246</v>
      </c>
    </row>
    <row r="3681" spans="1:22" s="1192" customFormat="1" ht="14.4" x14ac:dyDescent="0.3">
      <c r="A3681" s="1192" t="s">
        <v>1950</v>
      </c>
      <c r="E3681" s="1750" t="s">
        <v>2394</v>
      </c>
      <c r="F3681" s="1743"/>
      <c r="G3681" s="1743"/>
      <c r="H3681" s="1743"/>
      <c r="K3681" s="1192" t="s">
        <v>2531</v>
      </c>
      <c r="V3681" s="1192">
        <v>46</v>
      </c>
    </row>
    <row r="3682" spans="1:22" s="1192" customFormat="1" ht="14.4" x14ac:dyDescent="0.3">
      <c r="A3682" s="1192" t="s">
        <v>1950</v>
      </c>
      <c r="E3682" s="1741" t="s">
        <v>8</v>
      </c>
      <c r="F3682" s="1741"/>
      <c r="G3682" s="1277" t="s">
        <v>19</v>
      </c>
      <c r="H3682" s="1218">
        <v>13.23</v>
      </c>
      <c r="K3682" s="1192" t="s">
        <v>2676</v>
      </c>
      <c r="L3682" s="1192" t="s">
        <v>430</v>
      </c>
      <c r="P3682" s="1192" t="s">
        <v>2678</v>
      </c>
      <c r="V3682" s="1192">
        <v>31</v>
      </c>
    </row>
    <row r="3683" spans="1:22" s="1192" customFormat="1" ht="14.4" x14ac:dyDescent="0.3">
      <c r="A3683" s="1192" t="s">
        <v>1950</v>
      </c>
      <c r="E3683" s="1741" t="s">
        <v>80</v>
      </c>
      <c r="F3683" s="1741"/>
      <c r="G3683" s="1277" t="s">
        <v>20</v>
      </c>
      <c r="H3683" s="1219">
        <v>2.2200000000000001E-2</v>
      </c>
      <c r="K3683" s="1192" t="s">
        <v>2676</v>
      </c>
      <c r="L3683" s="1192" t="s">
        <v>430</v>
      </c>
      <c r="P3683" s="1192" t="s">
        <v>2679</v>
      </c>
      <c r="V3683" s="1192">
        <v>28</v>
      </c>
    </row>
    <row r="3684" spans="1:22" s="1192" customFormat="1" ht="14.4" x14ac:dyDescent="0.3">
      <c r="A3684" s="1192" t="s">
        <v>1950</v>
      </c>
      <c r="E3684" s="1741" t="s">
        <v>14</v>
      </c>
      <c r="F3684" s="1741"/>
      <c r="G3684" s="1277" t="s">
        <v>20</v>
      </c>
      <c r="H3684" s="1219">
        <v>2.3999999999999998E-3</v>
      </c>
      <c r="K3684" s="1192" t="s">
        <v>2676</v>
      </c>
      <c r="L3684" s="1192" t="s">
        <v>431</v>
      </c>
      <c r="P3684" s="1192" t="s">
        <v>2809</v>
      </c>
      <c r="V3684" s="1192">
        <v>24</v>
      </c>
    </row>
    <row r="3685" spans="1:22" s="1192" customFormat="1" ht="14.4" x14ac:dyDescent="0.3">
      <c r="A3685" s="1192" t="s">
        <v>1950</v>
      </c>
      <c r="E3685" s="1741" t="s">
        <v>6253</v>
      </c>
      <c r="F3685" s="1998"/>
      <c r="G3685" s="1277" t="s">
        <v>20</v>
      </c>
      <c r="H3685" s="1219">
        <v>6.6E-3</v>
      </c>
      <c r="K3685" s="1192" t="s">
        <v>2676</v>
      </c>
      <c r="L3685" s="1192" t="s">
        <v>431</v>
      </c>
      <c r="P3685" s="1192" t="s">
        <v>2681</v>
      </c>
      <c r="T3685" s="1192">
        <v>44561</v>
      </c>
      <c r="V3685" s="1192">
        <v>136</v>
      </c>
    </row>
    <row r="3686" spans="1:22" s="1192" customFormat="1" ht="14.4" x14ac:dyDescent="0.3">
      <c r="A3686" s="1192" t="s">
        <v>1950</v>
      </c>
      <c r="E3686" s="1741" t="s">
        <v>4182</v>
      </c>
      <c r="F3686" s="1741"/>
      <c r="G3686" s="1277" t="s">
        <v>20</v>
      </c>
      <c r="H3686" s="1219">
        <v>1.9E-3</v>
      </c>
      <c r="K3686" s="1192" t="s">
        <v>2676</v>
      </c>
      <c r="L3686" s="1192" t="s">
        <v>431</v>
      </c>
      <c r="P3686" s="1192" t="s">
        <v>2681</v>
      </c>
      <c r="T3686" s="1192">
        <v>43951</v>
      </c>
      <c r="V3686" s="1192">
        <v>96</v>
      </c>
    </row>
    <row r="3687" spans="1:22" s="1192" customFormat="1" ht="14.4" x14ac:dyDescent="0.3">
      <c r="A3687" s="1192" t="s">
        <v>1950</v>
      </c>
      <c r="E3687" s="1741" t="s">
        <v>4558</v>
      </c>
      <c r="F3687" s="1741"/>
      <c r="G3687" s="1277" t="s">
        <v>20</v>
      </c>
      <c r="H3687" s="1219">
        <v>-1.1000000000000001E-3</v>
      </c>
      <c r="K3687" s="1192" t="s">
        <v>2676</v>
      </c>
      <c r="L3687" s="1192" t="s">
        <v>431</v>
      </c>
      <c r="P3687" s="1192" t="s">
        <v>2681</v>
      </c>
      <c r="T3687" s="1192">
        <v>43951</v>
      </c>
      <c r="V3687" s="1192">
        <v>159</v>
      </c>
    </row>
    <row r="3688" spans="1:22" s="1192" customFormat="1" ht="14.4" x14ac:dyDescent="0.3">
      <c r="A3688" s="1192" t="s">
        <v>1950</v>
      </c>
      <c r="E3688" s="1741" t="s">
        <v>4181</v>
      </c>
      <c r="F3688" s="1741"/>
      <c r="G3688" s="1277" t="s">
        <v>20</v>
      </c>
      <c r="H3688" s="1219">
        <v>2.0000000000000001E-4</v>
      </c>
      <c r="K3688" s="1192" t="s">
        <v>2676</v>
      </c>
      <c r="L3688" s="1192" t="s">
        <v>430</v>
      </c>
      <c r="P3688" s="1192" t="s">
        <v>2681</v>
      </c>
      <c r="T3688" s="1192">
        <v>43951</v>
      </c>
      <c r="V3688" s="1192">
        <v>104</v>
      </c>
    </row>
    <row r="3689" spans="1:22" s="1192" customFormat="1" ht="14.4" x14ac:dyDescent="0.3">
      <c r="A3689" s="1192" t="s">
        <v>1950</v>
      </c>
      <c r="E3689" s="1741" t="s">
        <v>213</v>
      </c>
      <c r="F3689" s="1741"/>
      <c r="G3689" s="1277" t="s">
        <v>20</v>
      </c>
      <c r="H3689" s="1219">
        <v>5.5999999999999999E-3</v>
      </c>
      <c r="K3689" s="1192" t="s">
        <v>2676</v>
      </c>
      <c r="L3689" s="1192" t="s">
        <v>432</v>
      </c>
      <c r="P3689" s="1192" t="s">
        <v>2682</v>
      </c>
      <c r="V3689" s="1192">
        <v>47</v>
      </c>
    </row>
    <row r="3690" spans="1:22" s="1192" customFormat="1" ht="14.4" x14ac:dyDescent="0.3">
      <c r="A3690" s="1192" t="s">
        <v>1950</v>
      </c>
      <c r="E3690" s="1741" t="s">
        <v>209</v>
      </c>
      <c r="F3690" s="1741"/>
      <c r="G3690" s="1277" t="s">
        <v>20</v>
      </c>
      <c r="H3690" s="1219">
        <v>4.3E-3</v>
      </c>
      <c r="K3690" s="1192" t="s">
        <v>2676</v>
      </c>
      <c r="L3690" s="1192" t="s">
        <v>432</v>
      </c>
      <c r="P3690" s="1192" t="s">
        <v>2683</v>
      </c>
      <c r="V3690" s="1192">
        <v>74</v>
      </c>
    </row>
    <row r="3691" spans="1:22" s="1192" customFormat="1" ht="14.4" x14ac:dyDescent="0.3">
      <c r="A3691" s="1192" t="s">
        <v>1950</v>
      </c>
      <c r="E3691" s="1750" t="s">
        <v>2405</v>
      </c>
      <c r="F3691" s="1741"/>
      <c r="G3691" s="1277"/>
      <c r="H3691" s="896"/>
      <c r="K3691" s="1192" t="s">
        <v>2532</v>
      </c>
      <c r="V3691" s="1192">
        <v>48</v>
      </c>
    </row>
    <row r="3692" spans="1:22" s="1192" customFormat="1" ht="14.4" x14ac:dyDescent="0.3">
      <c r="A3692" s="1192" t="s">
        <v>1950</v>
      </c>
      <c r="E3692" s="1741" t="s">
        <v>2033</v>
      </c>
      <c r="F3692" s="1741"/>
      <c r="G3692" s="1277" t="s">
        <v>20</v>
      </c>
      <c r="H3692" s="1219">
        <v>3.0000000000000001E-3</v>
      </c>
      <c r="K3692" s="1192" t="s">
        <v>2676</v>
      </c>
      <c r="L3692" s="1192" t="s">
        <v>2374</v>
      </c>
      <c r="P3692" s="1192" t="s">
        <v>2684</v>
      </c>
      <c r="V3692" s="1192">
        <v>55</v>
      </c>
    </row>
    <row r="3693" spans="1:22" s="1192" customFormat="1" ht="14.4" x14ac:dyDescent="0.3">
      <c r="A3693" s="1192" t="s">
        <v>1950</v>
      </c>
      <c r="E3693" s="1741" t="s">
        <v>2034</v>
      </c>
      <c r="F3693" s="1741"/>
      <c r="G3693" s="1277" t="s">
        <v>20</v>
      </c>
      <c r="H3693" s="1219">
        <v>4.0000000000000002E-4</v>
      </c>
      <c r="K3693" s="1192" t="s">
        <v>2676</v>
      </c>
      <c r="L3693" s="1192" t="s">
        <v>2374</v>
      </c>
      <c r="P3693" s="1192" t="s">
        <v>2684</v>
      </c>
      <c r="V3693" s="1192">
        <v>65</v>
      </c>
    </row>
    <row r="3694" spans="1:22" s="1192" customFormat="1" ht="14.4" x14ac:dyDescent="0.3">
      <c r="A3694" s="1192" t="s">
        <v>1950</v>
      </c>
      <c r="E3694" s="1741" t="s">
        <v>428</v>
      </c>
      <c r="F3694" s="1741"/>
      <c r="G3694" s="1277" t="s">
        <v>20</v>
      </c>
      <c r="H3694" s="1219">
        <v>5.0000000000000001E-4</v>
      </c>
      <c r="K3694" s="1192" t="s">
        <v>2676</v>
      </c>
      <c r="L3694" s="1192" t="s">
        <v>2374</v>
      </c>
      <c r="P3694" s="1192" t="s">
        <v>2685</v>
      </c>
      <c r="V3694" s="1192">
        <v>57</v>
      </c>
    </row>
    <row r="3695" spans="1:22" s="1192" customFormat="1" ht="14.4" x14ac:dyDescent="0.3">
      <c r="A3695" s="1192" t="s">
        <v>1950</v>
      </c>
      <c r="E3695" s="1741" t="s">
        <v>28</v>
      </c>
      <c r="F3695" s="1741"/>
      <c r="G3695" s="1277" t="s">
        <v>19</v>
      </c>
      <c r="H3695" s="1218">
        <v>0.25</v>
      </c>
      <c r="K3695" s="1192" t="s">
        <v>2676</v>
      </c>
      <c r="L3695" s="1192" t="s">
        <v>2374</v>
      </c>
      <c r="P3695" s="1192" t="s">
        <v>2686</v>
      </c>
      <c r="V3695" s="1192">
        <v>63</v>
      </c>
    </row>
    <row r="3696" spans="1:22" s="1192" customFormat="1" ht="17.399999999999999" x14ac:dyDescent="0.3">
      <c r="A3696" s="1192" t="s">
        <v>1950</v>
      </c>
      <c r="E3696" s="1746" t="s">
        <v>604</v>
      </c>
      <c r="F3696" s="1747"/>
      <c r="G3696" s="1747"/>
      <c r="H3696" s="1747"/>
      <c r="K3696" s="1192" t="s">
        <v>2823</v>
      </c>
      <c r="V3696" s="1192">
        <v>40</v>
      </c>
    </row>
    <row r="3697" spans="1:22" s="1192" customFormat="1" ht="14.4" x14ac:dyDescent="0.3">
      <c r="A3697" s="1192" t="s">
        <v>1950</v>
      </c>
      <c r="E3697" s="1743" t="s">
        <v>3637</v>
      </c>
      <c r="F3697" s="1743"/>
      <c r="G3697" s="1743"/>
      <c r="H3697" s="1743"/>
      <c r="K3697" s="1192" t="s">
        <v>2823</v>
      </c>
      <c r="V3697" s="1192">
        <v>188</v>
      </c>
    </row>
    <row r="3698" spans="1:22" s="1192" customFormat="1" ht="14.4" x14ac:dyDescent="0.3">
      <c r="A3698" s="1192" t="s">
        <v>1950</v>
      </c>
      <c r="E3698" s="1750" t="s">
        <v>2389</v>
      </c>
      <c r="F3698" s="1743"/>
      <c r="G3698" s="1743"/>
      <c r="H3698" s="1743"/>
      <c r="K3698" s="1192" t="s">
        <v>2424</v>
      </c>
      <c r="V3698" s="1192">
        <v>11</v>
      </c>
    </row>
    <row r="3699" spans="1:22" s="1192" customFormat="1" ht="14.4" x14ac:dyDescent="0.3">
      <c r="A3699" s="1192" t="s">
        <v>1950</v>
      </c>
      <c r="E3699" s="1743" t="s">
        <v>2391</v>
      </c>
      <c r="F3699" s="1743"/>
      <c r="G3699" s="1743"/>
      <c r="H3699" s="1743"/>
      <c r="K3699" s="1192" t="s">
        <v>2823</v>
      </c>
      <c r="V3699" s="1192">
        <v>280</v>
      </c>
    </row>
    <row r="3700" spans="1:22" s="1192" customFormat="1" ht="14.4" x14ac:dyDescent="0.3">
      <c r="A3700" s="1192" t="s">
        <v>1950</v>
      </c>
      <c r="E3700" s="1743" t="s">
        <v>2392</v>
      </c>
      <c r="F3700" s="1743"/>
      <c r="G3700" s="1743"/>
      <c r="H3700" s="1743"/>
      <c r="K3700" s="1192" t="s">
        <v>2823</v>
      </c>
      <c r="V3700" s="1192">
        <v>411</v>
      </c>
    </row>
    <row r="3701" spans="1:22" s="1192" customFormat="1" ht="14.4" x14ac:dyDescent="0.3">
      <c r="A3701" s="1192" t="s">
        <v>1950</v>
      </c>
      <c r="E3701" s="1743" t="s">
        <v>2508</v>
      </c>
      <c r="F3701" s="1743"/>
      <c r="G3701" s="1743"/>
      <c r="H3701" s="1743"/>
      <c r="K3701" s="1192" t="s">
        <v>2823</v>
      </c>
      <c r="V3701" s="1192">
        <v>386</v>
      </c>
    </row>
    <row r="3702" spans="1:22" s="1192" customFormat="1" ht="14.4" x14ac:dyDescent="0.3">
      <c r="A3702" s="1192" t="s">
        <v>1950</v>
      </c>
      <c r="E3702" s="1743" t="s">
        <v>2986</v>
      </c>
      <c r="F3702" s="1743"/>
      <c r="G3702" s="1743"/>
      <c r="H3702" s="1743"/>
      <c r="K3702" s="1192" t="s">
        <v>2823</v>
      </c>
      <c r="V3702" s="1192">
        <v>246</v>
      </c>
    </row>
    <row r="3703" spans="1:22" s="1192" customFormat="1" ht="14.4" x14ac:dyDescent="0.3">
      <c r="A3703" s="1192" t="s">
        <v>1950</v>
      </c>
      <c r="E3703" s="1750" t="s">
        <v>2394</v>
      </c>
      <c r="F3703" s="1743"/>
      <c r="G3703" s="1743"/>
      <c r="H3703" s="1743"/>
      <c r="K3703" s="1192" t="s">
        <v>2425</v>
      </c>
      <c r="V3703" s="1192">
        <v>46</v>
      </c>
    </row>
    <row r="3704" spans="1:22" s="1192" customFormat="1" ht="14.4" x14ac:dyDescent="0.3">
      <c r="A3704" s="1192" t="s">
        <v>1950</v>
      </c>
      <c r="E3704" s="1741" t="s">
        <v>8</v>
      </c>
      <c r="F3704" s="1741"/>
      <c r="G3704" s="1277" t="s">
        <v>19</v>
      </c>
      <c r="H3704" s="1218">
        <v>13.94</v>
      </c>
      <c r="K3704" s="1192" t="s">
        <v>2823</v>
      </c>
      <c r="L3704" s="1192" t="s">
        <v>430</v>
      </c>
      <c r="P3704" s="1192" t="s">
        <v>2824</v>
      </c>
      <c r="V3704" s="1192">
        <v>31</v>
      </c>
    </row>
    <row r="3705" spans="1:22" s="1192" customFormat="1" ht="14.4" x14ac:dyDescent="0.3">
      <c r="A3705" s="1192" t="s">
        <v>1950</v>
      </c>
      <c r="E3705" s="1741" t="s">
        <v>80</v>
      </c>
      <c r="F3705" s="1741"/>
      <c r="G3705" s="1277" t="s">
        <v>29</v>
      </c>
      <c r="H3705" s="1219">
        <v>63.524299999999997</v>
      </c>
      <c r="K3705" s="1192" t="s">
        <v>2823</v>
      </c>
      <c r="L3705" s="1192" t="s">
        <v>430</v>
      </c>
      <c r="P3705" s="1192" t="s">
        <v>2825</v>
      </c>
      <c r="V3705" s="1192">
        <v>28</v>
      </c>
    </row>
    <row r="3706" spans="1:22" s="1192" customFormat="1" ht="14.4" x14ac:dyDescent="0.3">
      <c r="A3706" s="1192" t="s">
        <v>1950</v>
      </c>
      <c r="E3706" s="1741" t="s">
        <v>14</v>
      </c>
      <c r="F3706" s="1741"/>
      <c r="G3706" s="1277" t="s">
        <v>29</v>
      </c>
      <c r="H3706" s="1219">
        <v>1.0383</v>
      </c>
      <c r="K3706" s="1192" t="s">
        <v>2823</v>
      </c>
      <c r="L3706" s="1192" t="s">
        <v>431</v>
      </c>
      <c r="P3706" s="1192" t="s">
        <v>2826</v>
      </c>
      <c r="V3706" s="1192">
        <v>24</v>
      </c>
    </row>
    <row r="3707" spans="1:22" s="1192" customFormat="1" ht="14.4" x14ac:dyDescent="0.3">
      <c r="A3707" s="1192" t="s">
        <v>1950</v>
      </c>
      <c r="E3707" s="1741" t="s">
        <v>6253</v>
      </c>
      <c r="F3707" s="1998"/>
      <c r="G3707" s="1277" t="s">
        <v>29</v>
      </c>
      <c r="H3707" s="1219">
        <v>2.3776000000000002</v>
      </c>
      <c r="K3707" s="1192" t="s">
        <v>2823</v>
      </c>
      <c r="L3707" s="1192" t="s">
        <v>431</v>
      </c>
      <c r="P3707" s="1192" t="s">
        <v>2915</v>
      </c>
      <c r="T3707" s="1192">
        <v>44561</v>
      </c>
      <c r="V3707" s="1192">
        <v>136</v>
      </c>
    </row>
    <row r="3708" spans="1:22" s="1192" customFormat="1" ht="14.4" x14ac:dyDescent="0.3">
      <c r="A3708" s="1192" t="s">
        <v>1950</v>
      </c>
      <c r="E3708" s="1741" t="s">
        <v>4182</v>
      </c>
      <c r="F3708" s="1741"/>
      <c r="G3708" s="1277" t="s">
        <v>29</v>
      </c>
      <c r="H3708" s="1219">
        <v>0.4703</v>
      </c>
      <c r="K3708" s="1192" t="s">
        <v>2823</v>
      </c>
      <c r="L3708" s="1192" t="s">
        <v>431</v>
      </c>
      <c r="P3708" s="1192" t="s">
        <v>2915</v>
      </c>
      <c r="T3708" s="1192">
        <v>43951</v>
      </c>
      <c r="V3708" s="1192">
        <v>96</v>
      </c>
    </row>
    <row r="3709" spans="1:22" s="1192" customFormat="1" ht="14.4" x14ac:dyDescent="0.3">
      <c r="A3709" s="1192" t="s">
        <v>1950</v>
      </c>
      <c r="E3709" s="1741" t="s">
        <v>4558</v>
      </c>
      <c r="F3709" s="1741"/>
      <c r="G3709" s="1277" t="s">
        <v>29</v>
      </c>
      <c r="H3709" s="1219">
        <v>-0.40189999999999998</v>
      </c>
      <c r="K3709" s="1192" t="s">
        <v>2823</v>
      </c>
      <c r="L3709" s="1192" t="s">
        <v>431</v>
      </c>
      <c r="P3709" s="1192" t="s">
        <v>2915</v>
      </c>
      <c r="T3709" s="1192">
        <v>43951</v>
      </c>
      <c r="V3709" s="1192">
        <v>159</v>
      </c>
    </row>
    <row r="3710" spans="1:22" s="1192" customFormat="1" ht="14.4" x14ac:dyDescent="0.3">
      <c r="A3710" s="1192" t="s">
        <v>1950</v>
      </c>
      <c r="E3710" s="1741" t="s">
        <v>4184</v>
      </c>
      <c r="F3710" s="1741"/>
      <c r="G3710" s="1277" t="s">
        <v>29</v>
      </c>
      <c r="H3710" s="1219">
        <v>7.6399999999999996E-2</v>
      </c>
      <c r="K3710" s="1192" t="s">
        <v>2823</v>
      </c>
      <c r="L3710" s="1192" t="s">
        <v>430</v>
      </c>
      <c r="P3710" s="1192" t="s">
        <v>2915</v>
      </c>
      <c r="T3710" s="1192">
        <v>43951</v>
      </c>
      <c r="V3710" s="1192">
        <v>105</v>
      </c>
    </row>
    <row r="3711" spans="1:22" s="1192" customFormat="1" ht="14.4" x14ac:dyDescent="0.3">
      <c r="A3711" s="1192" t="s">
        <v>1950</v>
      </c>
      <c r="E3711" s="1741" t="s">
        <v>213</v>
      </c>
      <c r="F3711" s="1741"/>
      <c r="G3711" s="1277" t="s">
        <v>29</v>
      </c>
      <c r="H3711" s="1219">
        <v>1.7197</v>
      </c>
      <c r="K3711" s="1192" t="s">
        <v>2823</v>
      </c>
      <c r="L3711" s="1192" t="s">
        <v>432</v>
      </c>
      <c r="P3711" s="1192" t="s">
        <v>2827</v>
      </c>
      <c r="V3711" s="1192">
        <v>47</v>
      </c>
    </row>
    <row r="3712" spans="1:22" s="1192" customFormat="1" ht="14.4" x14ac:dyDescent="0.3">
      <c r="A3712" s="1192" t="s">
        <v>1950</v>
      </c>
      <c r="E3712" s="1741" t="s">
        <v>209</v>
      </c>
      <c r="F3712" s="1741"/>
      <c r="G3712" s="1277" t="s">
        <v>29</v>
      </c>
      <c r="H3712" s="1219">
        <v>1.9148000000000001</v>
      </c>
      <c r="K3712" s="1192" t="s">
        <v>2823</v>
      </c>
      <c r="L3712" s="1192" t="s">
        <v>432</v>
      </c>
      <c r="P3712" s="1192" t="s">
        <v>2828</v>
      </c>
      <c r="V3712" s="1192">
        <v>74</v>
      </c>
    </row>
    <row r="3713" spans="1:22" s="1192" customFormat="1" ht="14.4" x14ac:dyDescent="0.3">
      <c r="A3713" s="1192" t="s">
        <v>1950</v>
      </c>
      <c r="E3713" s="1750" t="s">
        <v>2405</v>
      </c>
      <c r="F3713" s="1741"/>
      <c r="G3713" s="1277"/>
      <c r="H3713" s="896"/>
      <c r="K3713" s="1192" t="s">
        <v>2427</v>
      </c>
      <c r="V3713" s="1192">
        <v>48</v>
      </c>
    </row>
    <row r="3714" spans="1:22" s="1192" customFormat="1" ht="14.4" x14ac:dyDescent="0.3">
      <c r="A3714" s="1192" t="s">
        <v>1950</v>
      </c>
      <c r="E3714" s="1741" t="s">
        <v>2033</v>
      </c>
      <c r="F3714" s="1741"/>
      <c r="G3714" s="1277" t="s">
        <v>20</v>
      </c>
      <c r="H3714" s="1219">
        <v>3.0000000000000001E-3</v>
      </c>
      <c r="K3714" s="1192" t="s">
        <v>2823</v>
      </c>
      <c r="L3714" s="1192" t="s">
        <v>2374</v>
      </c>
      <c r="P3714" s="1192" t="s">
        <v>2829</v>
      </c>
      <c r="V3714" s="1192">
        <v>55</v>
      </c>
    </row>
    <row r="3715" spans="1:22" s="1192" customFormat="1" ht="14.4" x14ac:dyDescent="0.3">
      <c r="A3715" s="1192" t="s">
        <v>1950</v>
      </c>
      <c r="E3715" s="1741" t="s">
        <v>2034</v>
      </c>
      <c r="F3715" s="1741"/>
      <c r="G3715" s="1277" t="s">
        <v>20</v>
      </c>
      <c r="H3715" s="1219">
        <v>4.0000000000000002E-4</v>
      </c>
      <c r="K3715" s="1192" t="s">
        <v>2823</v>
      </c>
      <c r="L3715" s="1192" t="s">
        <v>2374</v>
      </c>
      <c r="P3715" s="1192" t="s">
        <v>2829</v>
      </c>
      <c r="V3715" s="1192">
        <v>65</v>
      </c>
    </row>
    <row r="3716" spans="1:22" s="1192" customFormat="1" ht="14.4" x14ac:dyDescent="0.3">
      <c r="A3716" s="1192" t="s">
        <v>1950</v>
      </c>
      <c r="E3716" s="1741" t="s">
        <v>428</v>
      </c>
      <c r="F3716" s="1741"/>
      <c r="G3716" s="1277" t="s">
        <v>20</v>
      </c>
      <c r="H3716" s="1219">
        <v>5.0000000000000001E-4</v>
      </c>
      <c r="K3716" s="1192" t="s">
        <v>2823</v>
      </c>
      <c r="L3716" s="1192" t="s">
        <v>2374</v>
      </c>
      <c r="P3716" s="1192" t="s">
        <v>2830</v>
      </c>
      <c r="V3716" s="1192">
        <v>57</v>
      </c>
    </row>
    <row r="3717" spans="1:22" s="1192" customFormat="1" ht="14.4" x14ac:dyDescent="0.3">
      <c r="A3717" s="1192" t="s">
        <v>1950</v>
      </c>
      <c r="E3717" s="1741" t="s">
        <v>28</v>
      </c>
      <c r="F3717" s="1741"/>
      <c r="G3717" s="1277" t="s">
        <v>19</v>
      </c>
      <c r="H3717" s="1218">
        <v>0.25</v>
      </c>
      <c r="K3717" s="1192" t="s">
        <v>2823</v>
      </c>
      <c r="L3717" s="1192" t="s">
        <v>2374</v>
      </c>
      <c r="P3717" s="1192" t="s">
        <v>2831</v>
      </c>
      <c r="V3717" s="1192">
        <v>63</v>
      </c>
    </row>
    <row r="3718" spans="1:22" s="1192" customFormat="1" ht="17.399999999999999" x14ac:dyDescent="0.3">
      <c r="A3718" s="1192" t="s">
        <v>1950</v>
      </c>
      <c r="E3718" s="1746" t="s">
        <v>590</v>
      </c>
      <c r="F3718" s="1747"/>
      <c r="G3718" s="1747"/>
      <c r="H3718" s="1747"/>
      <c r="K3718" s="1192" t="s">
        <v>2428</v>
      </c>
      <c r="V3718" s="1192">
        <v>38</v>
      </c>
    </row>
    <row r="3719" spans="1:22" s="1192" customFormat="1" ht="14.4" x14ac:dyDescent="0.3">
      <c r="A3719" s="1192" t="s">
        <v>1950</v>
      </c>
      <c r="E3719" s="1743" t="s">
        <v>4187</v>
      </c>
      <c r="F3719" s="1743"/>
      <c r="G3719" s="1743"/>
      <c r="H3719" s="1743"/>
      <c r="K3719" s="1192" t="s">
        <v>2428</v>
      </c>
      <c r="V3719" s="1192">
        <v>458</v>
      </c>
    </row>
    <row r="3720" spans="1:22" s="1192" customFormat="1" ht="14.4" x14ac:dyDescent="0.3">
      <c r="A3720" s="1192" t="s">
        <v>1950</v>
      </c>
      <c r="E3720" s="1750" t="s">
        <v>2389</v>
      </c>
      <c r="F3720" s="1743"/>
      <c r="G3720" s="1743"/>
      <c r="H3720" s="1743"/>
      <c r="K3720" s="1192" t="s">
        <v>2430</v>
      </c>
      <c r="V3720" s="1192">
        <v>11</v>
      </c>
    </row>
    <row r="3721" spans="1:22" s="1192" customFormat="1" ht="14.4" x14ac:dyDescent="0.3">
      <c r="A3721" s="1192" t="s">
        <v>1950</v>
      </c>
      <c r="E3721" s="1743" t="s">
        <v>2391</v>
      </c>
      <c r="F3721" s="1743"/>
      <c r="G3721" s="1743"/>
      <c r="H3721" s="1743"/>
      <c r="K3721" s="1192" t="s">
        <v>2428</v>
      </c>
      <c r="V3721" s="1192">
        <v>280</v>
      </c>
    </row>
    <row r="3722" spans="1:22" s="1192" customFormat="1" ht="14.4" x14ac:dyDescent="0.3">
      <c r="A3722" s="1192" t="s">
        <v>1950</v>
      </c>
      <c r="E3722" s="1743" t="s">
        <v>2392</v>
      </c>
      <c r="F3722" s="1743"/>
      <c r="G3722" s="1743"/>
      <c r="H3722" s="1743"/>
      <c r="K3722" s="1192" t="s">
        <v>2428</v>
      </c>
      <c r="V3722" s="1192">
        <v>411</v>
      </c>
    </row>
    <row r="3723" spans="1:22" s="1192" customFormat="1" ht="14.4" x14ac:dyDescent="0.3">
      <c r="A3723" s="1192" t="s">
        <v>1950</v>
      </c>
      <c r="E3723" s="1743" t="s">
        <v>2508</v>
      </c>
      <c r="F3723" s="1743"/>
      <c r="G3723" s="1743"/>
      <c r="H3723" s="1743"/>
      <c r="K3723" s="1192" t="s">
        <v>2428</v>
      </c>
      <c r="V3723" s="1192">
        <v>386</v>
      </c>
    </row>
    <row r="3724" spans="1:22" s="1192" customFormat="1" ht="14.4" x14ac:dyDescent="0.3">
      <c r="A3724" s="1192" t="s">
        <v>1950</v>
      </c>
      <c r="E3724" s="1743" t="s">
        <v>2986</v>
      </c>
      <c r="F3724" s="1743"/>
      <c r="G3724" s="1743"/>
      <c r="H3724" s="1743"/>
      <c r="K3724" s="1192" t="s">
        <v>2428</v>
      </c>
      <c r="V3724" s="1192">
        <v>246</v>
      </c>
    </row>
    <row r="3725" spans="1:22" s="1192" customFormat="1" ht="14.4" x14ac:dyDescent="0.3">
      <c r="A3725" s="1192" t="s">
        <v>1950</v>
      </c>
      <c r="E3725" s="1750" t="s">
        <v>2394</v>
      </c>
      <c r="F3725" s="1743"/>
      <c r="G3725" s="1743"/>
      <c r="H3725" s="1743"/>
      <c r="K3725" s="1192" t="s">
        <v>2431</v>
      </c>
      <c r="V3725" s="1192">
        <v>46</v>
      </c>
    </row>
    <row r="3726" spans="1:22" s="1192" customFormat="1" ht="14.4" x14ac:dyDescent="0.3">
      <c r="A3726" s="1192" t="s">
        <v>1950</v>
      </c>
      <c r="E3726" s="1741" t="s">
        <v>8</v>
      </c>
      <c r="F3726" s="1741"/>
      <c r="G3726" s="1277" t="s">
        <v>19</v>
      </c>
      <c r="H3726" s="1218">
        <v>4.26</v>
      </c>
      <c r="K3726" s="1192" t="s">
        <v>2428</v>
      </c>
      <c r="L3726" s="1192" t="s">
        <v>430</v>
      </c>
      <c r="P3726" s="1192" t="s">
        <v>2432</v>
      </c>
      <c r="V3726" s="1192">
        <v>31</v>
      </c>
    </row>
    <row r="3727" spans="1:22" s="1192" customFormat="1" ht="14.4" x14ac:dyDescent="0.3">
      <c r="A3727" s="1192" t="s">
        <v>1950</v>
      </c>
      <c r="E3727" s="1741" t="s">
        <v>80</v>
      </c>
      <c r="F3727" s="1741"/>
      <c r="G3727" s="1277" t="s">
        <v>29</v>
      </c>
      <c r="H3727" s="1219">
        <v>29.453700000000001</v>
      </c>
      <c r="K3727" s="1192" t="s">
        <v>2428</v>
      </c>
      <c r="L3727" s="1192" t="s">
        <v>430</v>
      </c>
      <c r="P3727" s="1192" t="s">
        <v>2433</v>
      </c>
      <c r="V3727" s="1192">
        <v>28</v>
      </c>
    </row>
    <row r="3728" spans="1:22" s="1192" customFormat="1" ht="14.4" x14ac:dyDescent="0.3">
      <c r="A3728" s="1192" t="s">
        <v>1950</v>
      </c>
      <c r="E3728" s="1741" t="s">
        <v>14</v>
      </c>
      <c r="F3728" s="1741"/>
      <c r="G3728" s="1277" t="s">
        <v>29</v>
      </c>
      <c r="H3728" s="1219">
        <v>0.70030000000000003</v>
      </c>
      <c r="K3728" s="1192" t="s">
        <v>2428</v>
      </c>
      <c r="L3728" s="1192" t="s">
        <v>431</v>
      </c>
      <c r="P3728" s="1192" t="s">
        <v>2764</v>
      </c>
      <c r="V3728" s="1192">
        <v>24</v>
      </c>
    </row>
    <row r="3729" spans="1:22" s="1192" customFormat="1" ht="14.4" x14ac:dyDescent="0.3">
      <c r="A3729" s="1192" t="s">
        <v>1950</v>
      </c>
      <c r="E3729" s="1741" t="s">
        <v>6253</v>
      </c>
      <c r="F3729" s="1998"/>
      <c r="G3729" s="1277" t="s">
        <v>29</v>
      </c>
      <c r="H3729" s="1219">
        <v>2.1760999999999999</v>
      </c>
      <c r="K3729" s="1192" t="s">
        <v>2428</v>
      </c>
      <c r="L3729" s="1192" t="s">
        <v>431</v>
      </c>
      <c r="P3729" s="1192" t="s">
        <v>2434</v>
      </c>
      <c r="T3729" s="1192">
        <v>44561</v>
      </c>
      <c r="V3729" s="1192">
        <v>136</v>
      </c>
    </row>
    <row r="3730" spans="1:22" s="1192" customFormat="1" ht="14.4" x14ac:dyDescent="0.3">
      <c r="A3730" s="1192" t="s">
        <v>1950</v>
      </c>
      <c r="E3730" s="1741" t="s">
        <v>4182</v>
      </c>
      <c r="F3730" s="1741"/>
      <c r="G3730" s="1277" t="s">
        <v>29</v>
      </c>
      <c r="H3730" s="1219">
        <v>0.59909999999999997</v>
      </c>
      <c r="K3730" s="1192" t="s">
        <v>2428</v>
      </c>
      <c r="L3730" s="1192" t="s">
        <v>431</v>
      </c>
      <c r="P3730" s="1192" t="s">
        <v>2434</v>
      </c>
      <c r="T3730" s="1192">
        <v>43951</v>
      </c>
      <c r="V3730" s="1192">
        <v>96</v>
      </c>
    </row>
    <row r="3731" spans="1:22" s="1192" customFormat="1" ht="14.4" x14ac:dyDescent="0.3">
      <c r="A3731" s="1192" t="s">
        <v>1950</v>
      </c>
      <c r="E3731" s="1741" t="s">
        <v>4558</v>
      </c>
      <c r="F3731" s="1741"/>
      <c r="G3731" s="1277" t="s">
        <v>29</v>
      </c>
      <c r="H3731" s="1219">
        <v>-0.39190000000000003</v>
      </c>
      <c r="K3731" s="1192" t="s">
        <v>2428</v>
      </c>
      <c r="L3731" s="1192" t="s">
        <v>431</v>
      </c>
      <c r="P3731" s="1192" t="s">
        <v>2434</v>
      </c>
      <c r="T3731" s="1192">
        <v>43951</v>
      </c>
      <c r="V3731" s="1192">
        <v>159</v>
      </c>
    </row>
    <row r="3732" spans="1:22" s="1192" customFormat="1" ht="14.4" x14ac:dyDescent="0.3">
      <c r="A3732" s="1192" t="s">
        <v>1950</v>
      </c>
      <c r="E3732" s="1741" t="s">
        <v>4181</v>
      </c>
      <c r="F3732" s="1741"/>
      <c r="G3732" s="1277" t="s">
        <v>29</v>
      </c>
      <c r="H3732" s="1219">
        <v>7.4499999999999997E-2</v>
      </c>
      <c r="K3732" s="1192" t="s">
        <v>2428</v>
      </c>
      <c r="L3732" s="1192" t="s">
        <v>430</v>
      </c>
      <c r="P3732" s="1192" t="s">
        <v>2434</v>
      </c>
      <c r="T3732" s="1192">
        <v>43951</v>
      </c>
      <c r="V3732" s="1192">
        <v>104</v>
      </c>
    </row>
    <row r="3733" spans="1:22" s="1192" customFormat="1" ht="14.4" x14ac:dyDescent="0.3">
      <c r="A3733" s="1192" t="s">
        <v>1950</v>
      </c>
      <c r="E3733" s="1741" t="s">
        <v>213</v>
      </c>
      <c r="F3733" s="1741"/>
      <c r="G3733" s="1277" t="s">
        <v>29</v>
      </c>
      <c r="H3733" s="1219">
        <v>1.7111000000000001</v>
      </c>
      <c r="K3733" s="1192" t="s">
        <v>2428</v>
      </c>
      <c r="L3733" s="1192" t="s">
        <v>432</v>
      </c>
      <c r="P3733" s="1192" t="s">
        <v>2436</v>
      </c>
      <c r="V3733" s="1192">
        <v>47</v>
      </c>
    </row>
    <row r="3734" spans="1:22" s="1192" customFormat="1" ht="14.4" x14ac:dyDescent="0.3">
      <c r="A3734" s="1192" t="s">
        <v>1950</v>
      </c>
      <c r="E3734" s="1741" t="s">
        <v>209</v>
      </c>
      <c r="F3734" s="1741"/>
      <c r="G3734" s="1277" t="s">
        <v>29</v>
      </c>
      <c r="H3734" s="1219">
        <v>1.2915000000000001</v>
      </c>
      <c r="K3734" s="1192" t="s">
        <v>2428</v>
      </c>
      <c r="L3734" s="1192" t="s">
        <v>432</v>
      </c>
      <c r="P3734" s="1192" t="s">
        <v>2437</v>
      </c>
      <c r="V3734" s="1192">
        <v>74</v>
      </c>
    </row>
    <row r="3735" spans="1:22" s="1192" customFormat="1" ht="14.4" x14ac:dyDescent="0.3">
      <c r="A3735" s="1192" t="s">
        <v>1950</v>
      </c>
      <c r="E3735" s="1750" t="s">
        <v>2405</v>
      </c>
      <c r="F3735" s="1741"/>
      <c r="G3735" s="1277"/>
      <c r="H3735" s="896"/>
      <c r="K3735" s="1192" t="s">
        <v>2438</v>
      </c>
      <c r="V3735" s="1192">
        <v>48</v>
      </c>
    </row>
    <row r="3736" spans="1:22" s="1192" customFormat="1" ht="14.4" x14ac:dyDescent="0.3">
      <c r="A3736" s="1192" t="s">
        <v>1950</v>
      </c>
      <c r="E3736" s="1741" t="s">
        <v>2033</v>
      </c>
      <c r="F3736" s="1741"/>
      <c r="G3736" s="1277" t="s">
        <v>20</v>
      </c>
      <c r="H3736" s="1219">
        <v>3.0000000000000001E-3</v>
      </c>
      <c r="K3736" s="1192" t="s">
        <v>2428</v>
      </c>
      <c r="L3736" s="1192" t="s">
        <v>2374</v>
      </c>
      <c r="P3736" s="1192" t="s">
        <v>2439</v>
      </c>
      <c r="V3736" s="1192">
        <v>55</v>
      </c>
    </row>
    <row r="3737" spans="1:22" s="1192" customFormat="1" ht="14.4" x14ac:dyDescent="0.3">
      <c r="A3737" s="1192" t="s">
        <v>1950</v>
      </c>
      <c r="E3737" s="1741" t="s">
        <v>2034</v>
      </c>
      <c r="F3737" s="1741"/>
      <c r="G3737" s="1277" t="s">
        <v>20</v>
      </c>
      <c r="H3737" s="1219">
        <v>4.0000000000000002E-4</v>
      </c>
      <c r="K3737" s="1192" t="s">
        <v>2428</v>
      </c>
      <c r="L3737" s="1192" t="s">
        <v>2374</v>
      </c>
      <c r="P3737" s="1192" t="s">
        <v>2439</v>
      </c>
      <c r="V3737" s="1192">
        <v>65</v>
      </c>
    </row>
    <row r="3738" spans="1:22" s="1192" customFormat="1" ht="14.4" x14ac:dyDescent="0.3">
      <c r="A3738" s="1192" t="s">
        <v>1950</v>
      </c>
      <c r="E3738" s="1741" t="s">
        <v>428</v>
      </c>
      <c r="F3738" s="1741"/>
      <c r="G3738" s="1277" t="s">
        <v>20</v>
      </c>
      <c r="H3738" s="1219">
        <v>5.0000000000000001E-4</v>
      </c>
      <c r="K3738" s="1192" t="s">
        <v>2428</v>
      </c>
      <c r="L3738" s="1192" t="s">
        <v>2374</v>
      </c>
      <c r="P3738" s="1192" t="s">
        <v>2440</v>
      </c>
      <c r="V3738" s="1192">
        <v>57</v>
      </c>
    </row>
    <row r="3739" spans="1:22" s="1192" customFormat="1" ht="14.4" x14ac:dyDescent="0.3">
      <c r="A3739" s="1192" t="s">
        <v>1950</v>
      </c>
      <c r="E3739" s="1741" t="s">
        <v>28</v>
      </c>
      <c r="F3739" s="1741"/>
      <c r="G3739" s="1277" t="s">
        <v>19</v>
      </c>
      <c r="H3739" s="1218">
        <v>0.25</v>
      </c>
      <c r="K3739" s="1192" t="s">
        <v>2428</v>
      </c>
      <c r="L3739" s="1192" t="s">
        <v>2374</v>
      </c>
      <c r="P3739" s="1192" t="s">
        <v>2441</v>
      </c>
      <c r="V3739" s="1192">
        <v>63</v>
      </c>
    </row>
    <row r="3740" spans="1:22" s="1192" customFormat="1" ht="17.399999999999999" x14ac:dyDescent="0.3">
      <c r="A3740" s="1192" t="s">
        <v>1950</v>
      </c>
      <c r="E3740" s="1746" t="s">
        <v>593</v>
      </c>
      <c r="F3740" s="1747"/>
      <c r="G3740" s="1747"/>
      <c r="H3740" s="1747"/>
      <c r="K3740" s="1192" t="s">
        <v>2442</v>
      </c>
      <c r="V3740" s="1192">
        <v>31</v>
      </c>
    </row>
    <row r="3741" spans="1:22" s="1192" customFormat="1" ht="14.4" x14ac:dyDescent="0.3">
      <c r="A3741" s="1192" t="s">
        <v>1950</v>
      </c>
      <c r="E3741" s="1743" t="s">
        <v>3652</v>
      </c>
      <c r="F3741" s="1743"/>
      <c r="G3741" s="1743"/>
      <c r="H3741" s="1743"/>
      <c r="K3741" s="1192" t="s">
        <v>2442</v>
      </c>
      <c r="V3741" s="1192">
        <v>201</v>
      </c>
    </row>
    <row r="3742" spans="1:22" s="1192" customFormat="1" ht="14.4" x14ac:dyDescent="0.3">
      <c r="A3742" s="1192" t="s">
        <v>1950</v>
      </c>
      <c r="E3742" s="1750" t="s">
        <v>2389</v>
      </c>
      <c r="F3742" s="1743"/>
      <c r="G3742" s="1743"/>
      <c r="H3742" s="1743"/>
      <c r="K3742" s="1192" t="s">
        <v>2444</v>
      </c>
      <c r="V3742" s="1192">
        <v>11</v>
      </c>
    </row>
    <row r="3743" spans="1:22" s="1192" customFormat="1" ht="14.4" x14ac:dyDescent="0.3">
      <c r="A3743" s="1192" t="s">
        <v>1950</v>
      </c>
      <c r="E3743" s="1743" t="s">
        <v>2391</v>
      </c>
      <c r="F3743" s="1743"/>
      <c r="G3743" s="1743"/>
      <c r="H3743" s="1743"/>
      <c r="K3743" s="1192" t="s">
        <v>2442</v>
      </c>
      <c r="V3743" s="1192">
        <v>280</v>
      </c>
    </row>
    <row r="3744" spans="1:22" s="1192" customFormat="1" ht="14.4" x14ac:dyDescent="0.3">
      <c r="A3744" s="1192" t="s">
        <v>1950</v>
      </c>
      <c r="E3744" s="1743" t="s">
        <v>2392</v>
      </c>
      <c r="F3744" s="1743"/>
      <c r="G3744" s="1743"/>
      <c r="H3744" s="1743"/>
      <c r="K3744" s="1192" t="s">
        <v>2442</v>
      </c>
      <c r="V3744" s="1192">
        <v>411</v>
      </c>
    </row>
    <row r="3745" spans="1:22" s="1192" customFormat="1" ht="14.4" x14ac:dyDescent="0.3">
      <c r="A3745" s="1192" t="s">
        <v>1950</v>
      </c>
      <c r="E3745" s="1743" t="s">
        <v>2445</v>
      </c>
      <c r="F3745" s="1743"/>
      <c r="G3745" s="1743"/>
      <c r="H3745" s="1743"/>
      <c r="K3745" s="1192" t="s">
        <v>2442</v>
      </c>
      <c r="V3745" s="1192">
        <v>211</v>
      </c>
    </row>
    <row r="3746" spans="1:22" s="1192" customFormat="1" ht="14.4" x14ac:dyDescent="0.3">
      <c r="A3746" s="1192" t="s">
        <v>1950</v>
      </c>
      <c r="E3746" s="1743" t="s">
        <v>2986</v>
      </c>
      <c r="F3746" s="1743"/>
      <c r="G3746" s="1743"/>
      <c r="H3746" s="1743"/>
      <c r="K3746" s="1192" t="s">
        <v>2442</v>
      </c>
      <c r="V3746" s="1192">
        <v>246</v>
      </c>
    </row>
    <row r="3747" spans="1:22" s="1192" customFormat="1" ht="14.4" x14ac:dyDescent="0.3">
      <c r="A3747" s="1192" t="s">
        <v>1950</v>
      </c>
      <c r="E3747" s="1750" t="s">
        <v>2394</v>
      </c>
      <c r="F3747" s="1743"/>
      <c r="G3747" s="1743"/>
      <c r="H3747" s="1743"/>
      <c r="K3747" s="1192" t="s">
        <v>2446</v>
      </c>
      <c r="V3747" s="1192">
        <v>46</v>
      </c>
    </row>
    <row r="3748" spans="1:22" s="1192" customFormat="1" ht="14.4" x14ac:dyDescent="0.3">
      <c r="A3748" s="1192" t="s">
        <v>1950</v>
      </c>
      <c r="E3748" s="1741" t="s">
        <v>7</v>
      </c>
      <c r="F3748" s="1741"/>
      <c r="G3748" s="1277" t="s">
        <v>19</v>
      </c>
      <c r="H3748" s="1218">
        <v>5.4</v>
      </c>
      <c r="K3748" s="1192" t="s">
        <v>2442</v>
      </c>
      <c r="L3748" s="1192" t="s">
        <v>430</v>
      </c>
      <c r="P3748" s="1192" t="s">
        <v>2447</v>
      </c>
      <c r="V3748" s="1192">
        <v>14</v>
      </c>
    </row>
    <row r="3749" spans="1:22" s="1192" customFormat="1" ht="17.399999999999999" x14ac:dyDescent="0.3">
      <c r="A3749" s="1192" t="s">
        <v>1950</v>
      </c>
      <c r="E3749" s="1224" t="s">
        <v>81</v>
      </c>
      <c r="F3749" s="523"/>
      <c r="G3749" s="523"/>
      <c r="H3749" s="911"/>
      <c r="K3749" s="1192" t="s">
        <v>3653</v>
      </c>
      <c r="V3749" s="1192">
        <v>10</v>
      </c>
    </row>
    <row r="3750" spans="1:22" s="1192" customFormat="1" ht="14.4" x14ac:dyDescent="0.3">
      <c r="A3750" s="1192" t="s">
        <v>1950</v>
      </c>
      <c r="E3750" s="1741" t="s">
        <v>2449</v>
      </c>
      <c r="F3750" s="1741"/>
      <c r="G3750" s="1277" t="s">
        <v>29</v>
      </c>
      <c r="H3750" s="513">
        <v>-0.6</v>
      </c>
      <c r="V3750" s="1192">
        <v>68</v>
      </c>
    </row>
    <row r="3751" spans="1:22" s="1192" customFormat="1" ht="14.4" x14ac:dyDescent="0.3">
      <c r="A3751" s="1192" t="s">
        <v>1950</v>
      </c>
      <c r="E3751" s="1741" t="s">
        <v>3993</v>
      </c>
      <c r="F3751" s="1741"/>
      <c r="G3751" s="1277" t="s">
        <v>82</v>
      </c>
      <c r="H3751" s="511">
        <v>-1</v>
      </c>
      <c r="V3751" s="1192">
        <v>89</v>
      </c>
    </row>
    <row r="3752" spans="1:22" s="1192" customFormat="1" ht="17.399999999999999" x14ac:dyDescent="0.3">
      <c r="A3752" s="1192" t="s">
        <v>1950</v>
      </c>
      <c r="E3752" s="1260" t="s">
        <v>83</v>
      </c>
      <c r="F3752" s="523"/>
      <c r="G3752" s="523"/>
      <c r="H3752" s="911"/>
      <c r="K3752" s="1192" t="s">
        <v>3654</v>
      </c>
      <c r="V3752" s="1192">
        <v>24</v>
      </c>
    </row>
    <row r="3753" spans="1:22" s="1192" customFormat="1" ht="14.4" x14ac:dyDescent="0.3">
      <c r="A3753" s="1192" t="s">
        <v>1950</v>
      </c>
      <c r="E3753" s="1743" t="s">
        <v>2391</v>
      </c>
      <c r="F3753" s="1743"/>
      <c r="G3753" s="1743"/>
      <c r="H3753" s="1743"/>
      <c r="V3753" s="1192">
        <v>280</v>
      </c>
    </row>
    <row r="3754" spans="1:22" s="1192" customFormat="1" ht="14.4" x14ac:dyDescent="0.3">
      <c r="A3754" s="1192" t="s">
        <v>1950</v>
      </c>
      <c r="E3754" s="1743" t="s">
        <v>2452</v>
      </c>
      <c r="F3754" s="1743"/>
      <c r="G3754" s="1743"/>
      <c r="H3754" s="1743"/>
      <c r="V3754" s="1192">
        <v>353</v>
      </c>
    </row>
    <row r="3755" spans="1:22" s="1192" customFormat="1" ht="14.4" x14ac:dyDescent="0.3">
      <c r="A3755" s="1192" t="s">
        <v>1950</v>
      </c>
      <c r="E3755" s="1743" t="s">
        <v>2986</v>
      </c>
      <c r="F3755" s="1743"/>
      <c r="G3755" s="1743"/>
      <c r="H3755" s="1743"/>
      <c r="V3755" s="1192">
        <v>246</v>
      </c>
    </row>
    <row r="3756" spans="1:22" s="1192" customFormat="1" ht="14.4" x14ac:dyDescent="0.3">
      <c r="A3756" s="1192" t="s">
        <v>1950</v>
      </c>
      <c r="E3756" s="1258" t="s">
        <v>2453</v>
      </c>
      <c r="F3756" s="523"/>
      <c r="G3756" s="523"/>
      <c r="H3756" s="911"/>
      <c r="K3756" s="1192" t="s">
        <v>3655</v>
      </c>
      <c r="V3756" s="1192">
        <v>23</v>
      </c>
    </row>
    <row r="3757" spans="1:22" s="1192" customFormat="1" ht="14.4" x14ac:dyDescent="0.3">
      <c r="A3757" s="1192" t="s">
        <v>1950</v>
      </c>
      <c r="E3757" s="1942" t="s">
        <v>2639</v>
      </c>
      <c r="F3757" s="1942"/>
      <c r="G3757" s="1277" t="s">
        <v>19</v>
      </c>
      <c r="H3757" s="1218">
        <v>15</v>
      </c>
      <c r="V3757" s="1192">
        <v>19</v>
      </c>
    </row>
    <row r="3758" spans="1:22" s="1192" customFormat="1" ht="14.4" x14ac:dyDescent="0.3">
      <c r="A3758" s="1192" t="s">
        <v>1950</v>
      </c>
      <c r="E3758" s="1942" t="s">
        <v>3663</v>
      </c>
      <c r="F3758" s="1942"/>
      <c r="G3758" s="1277" t="s">
        <v>19</v>
      </c>
      <c r="H3758" s="1218">
        <v>15</v>
      </c>
      <c r="V3758" s="1192">
        <v>15</v>
      </c>
    </row>
    <row r="3759" spans="1:22" s="1192" customFormat="1" ht="14.4" x14ac:dyDescent="0.3">
      <c r="A3759" s="1192" t="s">
        <v>1950</v>
      </c>
      <c r="E3759" s="1942" t="s">
        <v>2464</v>
      </c>
      <c r="F3759" s="1942"/>
      <c r="G3759" s="1277" t="s">
        <v>19</v>
      </c>
      <c r="H3759" s="1218">
        <v>15</v>
      </c>
      <c r="V3759" s="1192">
        <v>56</v>
      </c>
    </row>
    <row r="3760" spans="1:22" s="1192" customFormat="1" ht="14.4" x14ac:dyDescent="0.3">
      <c r="A3760" s="1192" t="s">
        <v>1950</v>
      </c>
      <c r="E3760" s="1942" t="s">
        <v>84</v>
      </c>
      <c r="F3760" s="1942"/>
      <c r="G3760" s="1277" t="s">
        <v>19</v>
      </c>
      <c r="H3760" s="1218">
        <v>30</v>
      </c>
      <c r="V3760" s="1192">
        <v>89</v>
      </c>
    </row>
    <row r="3761" spans="1:22" s="1192" customFormat="1" ht="14.4" x14ac:dyDescent="0.3">
      <c r="A3761" s="1192" t="s">
        <v>1950</v>
      </c>
      <c r="E3761" s="1942" t="s">
        <v>119</v>
      </c>
      <c r="F3761" s="1942"/>
      <c r="G3761" s="1277" t="s">
        <v>19</v>
      </c>
      <c r="H3761" s="1218">
        <v>15</v>
      </c>
      <c r="V3761" s="1192">
        <v>35</v>
      </c>
    </row>
    <row r="3762" spans="1:22" s="1192" customFormat="1" ht="14.4" x14ac:dyDescent="0.3">
      <c r="A3762" s="1192" t="s">
        <v>1950</v>
      </c>
      <c r="E3762" s="1942" t="s">
        <v>88</v>
      </c>
      <c r="F3762" s="1942"/>
      <c r="G3762" s="1277" t="s">
        <v>19</v>
      </c>
      <c r="H3762" s="1218">
        <v>30</v>
      </c>
      <c r="V3762" s="1192">
        <v>74</v>
      </c>
    </row>
    <row r="3763" spans="1:22" s="1192" customFormat="1" ht="14.4" x14ac:dyDescent="0.3">
      <c r="A3763" s="1192" t="s">
        <v>1950</v>
      </c>
      <c r="E3763" s="1258" t="s">
        <v>2468</v>
      </c>
      <c r="F3763" s="523"/>
      <c r="G3763" s="523"/>
      <c r="H3763" s="911"/>
      <c r="K3763" s="1192" t="s">
        <v>3656</v>
      </c>
      <c r="V3763" s="1192">
        <v>22</v>
      </c>
    </row>
    <row r="3764" spans="1:22" s="1192" customFormat="1" ht="14.4" x14ac:dyDescent="0.3">
      <c r="A3764" s="1192" t="s">
        <v>1950</v>
      </c>
      <c r="E3764" s="1942" t="s">
        <v>5940</v>
      </c>
      <c r="F3764" s="1942"/>
      <c r="G3764" s="1277" t="s">
        <v>82</v>
      </c>
      <c r="H3764" s="1218">
        <v>1.5</v>
      </c>
      <c r="V3764" s="1192">
        <v>99</v>
      </c>
    </row>
    <row r="3765" spans="1:22" s="1192" customFormat="1" ht="14.4" x14ac:dyDescent="0.3">
      <c r="A3765" s="1192" t="s">
        <v>1950</v>
      </c>
      <c r="E3765" s="1942" t="s">
        <v>6106</v>
      </c>
      <c r="F3765" s="1942"/>
      <c r="G3765" s="1277" t="s">
        <v>19</v>
      </c>
      <c r="H3765" s="1218">
        <v>65</v>
      </c>
      <c r="V3765" s="1192">
        <v>44</v>
      </c>
    </row>
    <row r="3766" spans="1:22" s="1192" customFormat="1" ht="14.4" x14ac:dyDescent="0.3">
      <c r="A3766" s="1192" t="s">
        <v>1950</v>
      </c>
      <c r="E3766" s="1942" t="s">
        <v>6107</v>
      </c>
      <c r="F3766" s="1942"/>
      <c r="G3766" s="1277" t="s">
        <v>19</v>
      </c>
      <c r="H3766" s="1218">
        <v>185</v>
      </c>
      <c r="V3766" s="1192">
        <v>43</v>
      </c>
    </row>
    <row r="3767" spans="1:22" s="1192" customFormat="1" ht="14.4" x14ac:dyDescent="0.3">
      <c r="A3767" s="1192" t="s">
        <v>1950</v>
      </c>
      <c r="E3767" s="1942" t="s">
        <v>6108</v>
      </c>
      <c r="F3767" s="1942"/>
      <c r="G3767" s="1277" t="s">
        <v>19</v>
      </c>
      <c r="H3767" s="1218">
        <v>185</v>
      </c>
      <c r="V3767" s="1192">
        <v>43</v>
      </c>
    </row>
    <row r="3768" spans="1:22" s="1192" customFormat="1" ht="14.4" x14ac:dyDescent="0.3">
      <c r="A3768" s="1192" t="s">
        <v>1950</v>
      </c>
      <c r="E3768" s="1942" t="s">
        <v>6115</v>
      </c>
      <c r="F3768" s="1942"/>
      <c r="G3768" s="1277" t="s">
        <v>19</v>
      </c>
      <c r="H3768" s="1218">
        <v>415</v>
      </c>
      <c r="V3768" s="1192">
        <v>42</v>
      </c>
    </row>
    <row r="3769" spans="1:22" s="1192" customFormat="1" ht="14.4" x14ac:dyDescent="0.3">
      <c r="A3769" s="1192" t="s">
        <v>1950</v>
      </c>
      <c r="E3769" s="1258" t="s">
        <v>2474</v>
      </c>
      <c r="F3769" s="842"/>
      <c r="G3769" s="842"/>
      <c r="H3769" s="912"/>
      <c r="V3769" s="1192">
        <v>5</v>
      </c>
    </row>
    <row r="3770" spans="1:22" s="1192" customFormat="1" ht="14.4" x14ac:dyDescent="0.3">
      <c r="A3770" s="1192" t="s">
        <v>1950</v>
      </c>
      <c r="E3770" s="1942" t="s">
        <v>90</v>
      </c>
      <c r="F3770" s="1942"/>
      <c r="G3770" s="1277" t="s">
        <v>19</v>
      </c>
      <c r="H3770" s="1218">
        <v>30</v>
      </c>
      <c r="V3770" s="1192">
        <v>19</v>
      </c>
    </row>
    <row r="3771" spans="1:22" s="1192" customFormat="1" ht="14.4" x14ac:dyDescent="0.3">
      <c r="A3771" s="1192" t="s">
        <v>1950</v>
      </c>
      <c r="E3771" s="1942" t="s">
        <v>2703</v>
      </c>
      <c r="F3771" s="1942"/>
      <c r="G3771" s="1277" t="s">
        <v>19</v>
      </c>
      <c r="H3771" s="1218">
        <v>632</v>
      </c>
      <c r="V3771" s="1192">
        <v>64</v>
      </c>
    </row>
    <row r="3772" spans="1:22" s="1192" customFormat="1" ht="14.4" x14ac:dyDescent="0.3">
      <c r="A3772" s="1192" t="s">
        <v>1950</v>
      </c>
      <c r="E3772" s="1942" t="s">
        <v>2766</v>
      </c>
      <c r="F3772" s="1942"/>
      <c r="G3772" s="1277" t="s">
        <v>19</v>
      </c>
      <c r="H3772" s="1218">
        <v>468</v>
      </c>
      <c r="V3772" s="1192">
        <v>75</v>
      </c>
    </row>
    <row r="3773" spans="1:22" s="1192" customFormat="1" ht="14.4" x14ac:dyDescent="0.3">
      <c r="A3773" s="1192" t="s">
        <v>1950</v>
      </c>
      <c r="E3773" s="1942" t="s">
        <v>2767</v>
      </c>
      <c r="F3773" s="1942"/>
      <c r="G3773" s="1277" t="s">
        <v>19</v>
      </c>
      <c r="H3773" s="1218">
        <v>2525</v>
      </c>
      <c r="V3773" s="1192">
        <v>74</v>
      </c>
    </row>
    <row r="3774" spans="1:22" s="1192" customFormat="1" ht="14.4" x14ac:dyDescent="0.3">
      <c r="A3774" s="1192" t="s">
        <v>1950</v>
      </c>
      <c r="E3774" s="1942" t="s">
        <v>4188</v>
      </c>
      <c r="F3774" s="1942"/>
      <c r="G3774" s="1277" t="s">
        <v>19</v>
      </c>
      <c r="H3774" s="1218">
        <v>38.82</v>
      </c>
      <c r="V3774" s="1192">
        <v>61</v>
      </c>
    </row>
    <row r="3775" spans="1:22" s="1192" customFormat="1" ht="14.4" x14ac:dyDescent="0.3">
      <c r="A3775" s="1192" t="s">
        <v>1950</v>
      </c>
      <c r="E3775" s="1746" t="s">
        <v>73</v>
      </c>
      <c r="F3775" s="1998"/>
      <c r="G3775" s="1998"/>
      <c r="H3775" s="1998"/>
      <c r="K3775" s="1192" t="s">
        <v>3657</v>
      </c>
      <c r="V3775" s="1192">
        <v>38</v>
      </c>
    </row>
    <row r="3776" spans="1:22" s="1192" customFormat="1" ht="14.4" x14ac:dyDescent="0.3">
      <c r="A3776" s="1192" t="s">
        <v>1950</v>
      </c>
      <c r="E3776" s="1743" t="s">
        <v>2391</v>
      </c>
      <c r="F3776" s="1743"/>
      <c r="G3776" s="1743"/>
      <c r="H3776" s="1743"/>
      <c r="V3776" s="1192">
        <v>280</v>
      </c>
    </row>
    <row r="3777" spans="1:22" s="1192" customFormat="1" ht="14.4" x14ac:dyDescent="0.3">
      <c r="A3777" s="1192" t="s">
        <v>1950</v>
      </c>
      <c r="E3777" s="1743" t="s">
        <v>2392</v>
      </c>
      <c r="F3777" s="1743"/>
      <c r="G3777" s="1743"/>
      <c r="H3777" s="1743"/>
      <c r="V3777" s="1192">
        <v>411</v>
      </c>
    </row>
    <row r="3778" spans="1:22" s="1192" customFormat="1" ht="14.4" x14ac:dyDescent="0.3">
      <c r="A3778" s="1192" t="s">
        <v>1950</v>
      </c>
      <c r="E3778" s="1743" t="s">
        <v>2445</v>
      </c>
      <c r="F3778" s="1743"/>
      <c r="G3778" s="1743"/>
      <c r="H3778" s="1743"/>
      <c r="V3778" s="1192">
        <v>211</v>
      </c>
    </row>
    <row r="3779" spans="1:22" s="1192" customFormat="1" ht="14.4" x14ac:dyDescent="0.3">
      <c r="A3779" s="1192" t="s">
        <v>1950</v>
      </c>
      <c r="E3779" s="1743" t="s">
        <v>2986</v>
      </c>
      <c r="F3779" s="1743"/>
      <c r="G3779" s="1743"/>
      <c r="H3779" s="1743"/>
      <c r="V3779" s="1192">
        <v>246</v>
      </c>
    </row>
    <row r="3780" spans="1:22" s="1192" customFormat="1" ht="14.4" x14ac:dyDescent="0.3">
      <c r="A3780" s="1192" t="s">
        <v>1950</v>
      </c>
      <c r="E3780" s="1743" t="s">
        <v>2595</v>
      </c>
      <c r="F3780" s="1743"/>
      <c r="G3780" s="1743"/>
      <c r="H3780" s="1743"/>
      <c r="V3780" s="1192">
        <v>142</v>
      </c>
    </row>
    <row r="3781" spans="1:22" s="1192" customFormat="1" ht="14.4" x14ac:dyDescent="0.3">
      <c r="A3781" s="1192" t="s">
        <v>1950</v>
      </c>
      <c r="E3781" s="1741" t="s">
        <v>2485</v>
      </c>
      <c r="F3781" s="1741"/>
      <c r="G3781" s="1266" t="s">
        <v>19</v>
      </c>
      <c r="H3781" s="358">
        <v>102</v>
      </c>
      <c r="V3781" s="1192">
        <v>106</v>
      </c>
    </row>
    <row r="3782" spans="1:22" s="1192" customFormat="1" ht="14.4" x14ac:dyDescent="0.3">
      <c r="A3782" s="1192" t="s">
        <v>1950</v>
      </c>
      <c r="E3782" s="1741" t="s">
        <v>2486</v>
      </c>
      <c r="F3782" s="1741"/>
      <c r="G3782" s="1266" t="s">
        <v>19</v>
      </c>
      <c r="H3782" s="358">
        <v>40.799999999999997</v>
      </c>
      <c r="V3782" s="1192">
        <v>34</v>
      </c>
    </row>
    <row r="3783" spans="1:22" s="1192" customFormat="1" ht="14.4" x14ac:dyDescent="0.3">
      <c r="A3783" s="1192" t="s">
        <v>1950</v>
      </c>
      <c r="E3783" s="1741" t="s">
        <v>2487</v>
      </c>
      <c r="F3783" s="1741"/>
      <c r="G3783" s="1266" t="s">
        <v>2488</v>
      </c>
      <c r="H3783" s="358">
        <v>1.02</v>
      </c>
      <c r="V3783" s="1192">
        <v>51</v>
      </c>
    </row>
    <row r="3784" spans="1:22" s="1192" customFormat="1" ht="14.4" x14ac:dyDescent="0.3">
      <c r="A3784" s="1192" t="s">
        <v>1950</v>
      </c>
      <c r="E3784" s="1741" t="s">
        <v>2489</v>
      </c>
      <c r="F3784" s="1741"/>
      <c r="G3784" s="1266" t="s">
        <v>2488</v>
      </c>
      <c r="H3784" s="358">
        <v>0.61</v>
      </c>
      <c r="V3784" s="1192">
        <v>75</v>
      </c>
    </row>
    <row r="3785" spans="1:22" s="1192" customFormat="1" ht="14.4" x14ac:dyDescent="0.3">
      <c r="A3785" s="1192" t="s">
        <v>1950</v>
      </c>
      <c r="E3785" s="1741" t="s">
        <v>2490</v>
      </c>
      <c r="F3785" s="1741"/>
      <c r="G3785" s="1266" t="s">
        <v>2488</v>
      </c>
      <c r="H3785" s="512">
        <v>-0.61</v>
      </c>
      <c r="V3785" s="1192">
        <v>72</v>
      </c>
    </row>
    <row r="3786" spans="1:22" s="1192" customFormat="1" ht="14.4" x14ac:dyDescent="0.3">
      <c r="A3786" s="1192" t="s">
        <v>1950</v>
      </c>
      <c r="E3786" s="1741" t="s">
        <v>2596</v>
      </c>
      <c r="F3786" s="1741"/>
      <c r="G3786" s="1266"/>
      <c r="H3786" s="899"/>
      <c r="V3786" s="1192">
        <v>34</v>
      </c>
    </row>
    <row r="3787" spans="1:22" s="1192" customFormat="1" ht="14.4" x14ac:dyDescent="0.3">
      <c r="A3787" s="1192" t="s">
        <v>1950</v>
      </c>
      <c r="E3787" s="1941" t="s">
        <v>2492</v>
      </c>
      <c r="F3787" s="1941"/>
      <c r="G3787" s="1266" t="s">
        <v>19</v>
      </c>
      <c r="H3787" s="358">
        <v>0.51</v>
      </c>
      <c r="V3787" s="1192">
        <v>57</v>
      </c>
    </row>
    <row r="3788" spans="1:22" s="1192" customFormat="1" ht="14.4" x14ac:dyDescent="0.3">
      <c r="A3788" s="1192" t="s">
        <v>1950</v>
      </c>
      <c r="E3788" s="1941" t="s">
        <v>2493</v>
      </c>
      <c r="F3788" s="1941"/>
      <c r="G3788" s="1266" t="s">
        <v>19</v>
      </c>
      <c r="H3788" s="358">
        <v>1.02</v>
      </c>
      <c r="V3788" s="1192">
        <v>60</v>
      </c>
    </row>
    <row r="3789" spans="1:22" s="1192" customFormat="1" ht="14.4" x14ac:dyDescent="0.3">
      <c r="A3789" s="1192" t="s">
        <v>1950</v>
      </c>
      <c r="E3789" s="1741" t="s">
        <v>2494</v>
      </c>
      <c r="F3789" s="1741"/>
      <c r="G3789" s="1266"/>
      <c r="H3789" s="899"/>
      <c r="V3789" s="1192">
        <v>91</v>
      </c>
    </row>
    <row r="3790" spans="1:22" s="1192" customFormat="1" ht="14.4" x14ac:dyDescent="0.3">
      <c r="A3790" s="1192" t="s">
        <v>1950</v>
      </c>
      <c r="E3790" s="1741" t="s">
        <v>2495</v>
      </c>
      <c r="F3790" s="1741"/>
      <c r="G3790" s="1266"/>
      <c r="H3790" s="899"/>
      <c r="V3790" s="1192">
        <v>96</v>
      </c>
    </row>
    <row r="3791" spans="1:22" s="1192" customFormat="1" ht="14.4" x14ac:dyDescent="0.3">
      <c r="A3791" s="1192" t="s">
        <v>1950</v>
      </c>
      <c r="E3791" s="1741" t="s">
        <v>2597</v>
      </c>
      <c r="F3791" s="1741"/>
      <c r="G3791" s="1266"/>
      <c r="H3791" s="899"/>
      <c r="V3791" s="1192">
        <v>77</v>
      </c>
    </row>
    <row r="3792" spans="1:22" s="1192" customFormat="1" ht="14.4" x14ac:dyDescent="0.3">
      <c r="A3792" s="1192" t="s">
        <v>1950</v>
      </c>
      <c r="E3792" s="1941" t="s">
        <v>2497</v>
      </c>
      <c r="F3792" s="1941"/>
      <c r="G3792" s="1266" t="s">
        <v>19</v>
      </c>
      <c r="H3792" s="899" t="s">
        <v>2498</v>
      </c>
      <c r="V3792" s="1192">
        <v>18</v>
      </c>
    </row>
    <row r="3793" spans="1:22" s="1192" customFormat="1" ht="14.4" x14ac:dyDescent="0.3">
      <c r="A3793" s="1192" t="s">
        <v>1950</v>
      </c>
      <c r="E3793" s="1941" t="s">
        <v>2499</v>
      </c>
      <c r="F3793" s="1941"/>
      <c r="G3793" s="1266" t="s">
        <v>19</v>
      </c>
      <c r="H3793" s="358">
        <v>4.08</v>
      </c>
      <c r="V3793" s="1192">
        <v>69</v>
      </c>
    </row>
    <row r="3794" spans="1:22" s="1192" customFormat="1" ht="14.4" x14ac:dyDescent="0.3">
      <c r="A3794" s="1192" t="s">
        <v>1950</v>
      </c>
      <c r="E3794" s="2093" t="s">
        <v>4608</v>
      </c>
      <c r="F3794" s="2093"/>
      <c r="G3794" s="1255" t="s">
        <v>19</v>
      </c>
      <c r="H3794" s="595">
        <v>2.04</v>
      </c>
      <c r="V3794" s="1192">
        <v>199</v>
      </c>
    </row>
    <row r="3795" spans="1:22" s="1192" customFormat="1" ht="17.399999999999999" x14ac:dyDescent="0.3">
      <c r="A3795" s="1192" t="s">
        <v>1950</v>
      </c>
      <c r="E3795" s="1260" t="s">
        <v>143</v>
      </c>
      <c r="F3795" s="523"/>
      <c r="G3795" s="523"/>
      <c r="H3795" s="911"/>
      <c r="K3795" s="1192" t="s">
        <v>3658</v>
      </c>
      <c r="V3795" s="1192">
        <v>12</v>
      </c>
    </row>
    <row r="3796" spans="1:22" s="1192" customFormat="1" ht="14.4" x14ac:dyDescent="0.3">
      <c r="A3796" s="1192" t="s">
        <v>1950</v>
      </c>
      <c r="E3796" s="1741" t="s">
        <v>2501</v>
      </c>
      <c r="F3796" s="1741"/>
      <c r="G3796" s="1741"/>
      <c r="H3796" s="1741"/>
      <c r="V3796" s="1192">
        <v>203</v>
      </c>
    </row>
    <row r="3797" spans="1:22" s="1192" customFormat="1" ht="14.4" x14ac:dyDescent="0.3">
      <c r="A3797" s="1192" t="s">
        <v>1950</v>
      </c>
      <c r="E3797" s="1741" t="s">
        <v>2599</v>
      </c>
      <c r="F3797" s="1741"/>
      <c r="G3797" s="1277"/>
      <c r="H3797" s="837">
        <v>1.0604</v>
      </c>
      <c r="V3797" s="1192">
        <v>57</v>
      </c>
    </row>
    <row r="3798" spans="1:22" s="1192" customFormat="1" ht="14.4" x14ac:dyDescent="0.3">
      <c r="A3798" s="1192" t="s">
        <v>1950</v>
      </c>
      <c r="E3798" s="1741" t="s">
        <v>2601</v>
      </c>
      <c r="F3798" s="1741"/>
      <c r="G3798" s="1277"/>
      <c r="H3798" s="837">
        <v>1.0498000000000001</v>
      </c>
      <c r="J3798" s="1192" t="s">
        <v>3659</v>
      </c>
      <c r="V3798" s="1192">
        <v>55</v>
      </c>
    </row>
    <row r="3799" spans="1:22" s="1192" customFormat="1" ht="22.8" x14ac:dyDescent="0.3">
      <c r="A3799" s="1192" t="s">
        <v>159</v>
      </c>
      <c r="C3799" s="1192" t="s">
        <v>2378</v>
      </c>
      <c r="E3799" s="2162" t="s">
        <v>159</v>
      </c>
      <c r="F3799" s="2162"/>
      <c r="G3799" s="2162"/>
      <c r="H3799" s="2162"/>
      <c r="I3799" s="1192" t="s">
        <v>603</v>
      </c>
      <c r="J3799" s="1192" t="s">
        <v>3154</v>
      </c>
      <c r="K3799" s="1192" t="s">
        <v>159</v>
      </c>
      <c r="M3799" s="1192">
        <v>8</v>
      </c>
      <c r="V3799" s="1192">
        <v>26</v>
      </c>
    </row>
    <row r="3800" spans="1:22" s="1192" customFormat="1" ht="17.399999999999999" x14ac:dyDescent="0.3">
      <c r="A3800" s="1192" t="s">
        <v>159</v>
      </c>
      <c r="C3800" s="1192" t="s">
        <v>2380</v>
      </c>
      <c r="E3800" s="2163" t="s">
        <v>2381</v>
      </c>
      <c r="F3800" s="2163"/>
      <c r="G3800" s="2163"/>
      <c r="H3800" s="2163"/>
      <c r="V3800" s="1192">
        <v>27</v>
      </c>
    </row>
    <row r="3801" spans="1:22" s="1192" customFormat="1" ht="15.6" x14ac:dyDescent="0.3">
      <c r="A3801" s="1192" t="s">
        <v>159</v>
      </c>
      <c r="C3801" s="1192" t="s">
        <v>2382</v>
      </c>
      <c r="E3801" s="2217" t="s">
        <v>5937</v>
      </c>
      <c r="F3801" s="2217"/>
      <c r="G3801" s="2217"/>
      <c r="H3801" s="2217"/>
      <c r="S3801" s="1192">
        <v>43831</v>
      </c>
      <c r="V3801" s="1192">
        <v>49</v>
      </c>
    </row>
    <row r="3802" spans="1:22" s="1192" customFormat="1" ht="14.4" x14ac:dyDescent="0.3">
      <c r="A3802" s="1192" t="s">
        <v>159</v>
      </c>
      <c r="C3802" s="1192" t="s">
        <v>2383</v>
      </c>
      <c r="E3802" s="2218" t="s">
        <v>2384</v>
      </c>
      <c r="F3802" s="2218"/>
      <c r="G3802" s="2218"/>
      <c r="H3802" s="2218"/>
      <c r="V3802" s="1192">
        <v>52</v>
      </c>
    </row>
    <row r="3803" spans="1:22" s="1192" customFormat="1" ht="14.4" x14ac:dyDescent="0.3">
      <c r="A3803" s="1192" t="s">
        <v>159</v>
      </c>
      <c r="E3803" s="2218" t="s">
        <v>2385</v>
      </c>
      <c r="F3803" s="2218"/>
      <c r="G3803" s="2218"/>
      <c r="H3803" s="2218"/>
      <c r="V3803" s="1192">
        <v>53</v>
      </c>
    </row>
    <row r="3804" spans="1:22" s="1192" customFormat="1" ht="14.4" x14ac:dyDescent="0.3">
      <c r="A3804" s="1192" t="s">
        <v>159</v>
      </c>
      <c r="E3804" s="2219" t="s">
        <v>6254</v>
      </c>
      <c r="F3804" s="2219"/>
      <c r="G3804" s="2219"/>
      <c r="H3804" s="2219"/>
      <c r="K3804" s="1192" t="s">
        <v>6254</v>
      </c>
      <c r="V3804" s="1192">
        <v>12</v>
      </c>
    </row>
    <row r="3805" spans="1:22" s="1192" customFormat="1" ht="14.4" x14ac:dyDescent="0.3">
      <c r="A3805" s="1192" t="s">
        <v>159</v>
      </c>
      <c r="E3805" s="2098" t="s">
        <v>427</v>
      </c>
      <c r="F3805" s="2220"/>
      <c r="G3805" s="2220"/>
      <c r="H3805" s="2220"/>
      <c r="K3805" s="1192" t="s">
        <v>2506</v>
      </c>
      <c r="V3805" s="1192">
        <v>34</v>
      </c>
    </row>
    <row r="3806" spans="1:22" s="1192" customFormat="1" ht="14.4" x14ac:dyDescent="0.3">
      <c r="A3806" s="1192" t="s">
        <v>159</v>
      </c>
      <c r="E3806" s="2096" t="s">
        <v>3155</v>
      </c>
      <c r="F3806" s="2096"/>
      <c r="G3806" s="2096"/>
      <c r="H3806" s="2096"/>
      <c r="K3806" s="1192" t="s">
        <v>2506</v>
      </c>
      <c r="V3806" s="1192">
        <v>649</v>
      </c>
    </row>
    <row r="3807" spans="1:22" s="1192" customFormat="1" ht="14.4" x14ac:dyDescent="0.3">
      <c r="A3807" s="1192" t="s">
        <v>159</v>
      </c>
      <c r="E3807" s="2095" t="s">
        <v>2389</v>
      </c>
      <c r="F3807" s="1988"/>
      <c r="G3807" s="1988"/>
      <c r="H3807" s="1988"/>
      <c r="K3807" s="1192" t="s">
        <v>2390</v>
      </c>
      <c r="V3807" s="1192">
        <v>11</v>
      </c>
    </row>
    <row r="3808" spans="1:22" s="1192" customFormat="1" ht="14.4" x14ac:dyDescent="0.3">
      <c r="A3808" s="1192" t="s">
        <v>159</v>
      </c>
      <c r="E3808" s="2096" t="s">
        <v>3156</v>
      </c>
      <c r="F3808" s="2096"/>
      <c r="G3808" s="2096"/>
      <c r="H3808" s="2096"/>
      <c r="K3808" s="1192" t="s">
        <v>2506</v>
      </c>
      <c r="V3808" s="1192">
        <v>281</v>
      </c>
    </row>
    <row r="3809" spans="1:22" s="1192" customFormat="1" ht="14.4" x14ac:dyDescent="0.3">
      <c r="A3809" s="1192" t="s">
        <v>159</v>
      </c>
      <c r="E3809" s="2096" t="s">
        <v>3157</v>
      </c>
      <c r="F3809" s="2096"/>
      <c r="G3809" s="2096"/>
      <c r="H3809" s="2096"/>
      <c r="K3809" s="1192" t="s">
        <v>2506</v>
      </c>
      <c r="V3809" s="1192">
        <v>412</v>
      </c>
    </row>
    <row r="3810" spans="1:22" s="1192" customFormat="1" ht="14.4" x14ac:dyDescent="0.3">
      <c r="A3810" s="1192" t="s">
        <v>159</v>
      </c>
      <c r="E3810" s="2096" t="s">
        <v>3158</v>
      </c>
      <c r="F3810" s="2096"/>
      <c r="G3810" s="2096"/>
      <c r="H3810" s="2096"/>
      <c r="K3810" s="1192" t="s">
        <v>2506</v>
      </c>
      <c r="V3810" s="1192">
        <v>387</v>
      </c>
    </row>
    <row r="3811" spans="1:22" s="1192" customFormat="1" ht="14.4" x14ac:dyDescent="0.3">
      <c r="A3811" s="1192" t="s">
        <v>159</v>
      </c>
      <c r="E3811" s="2096" t="s">
        <v>6255</v>
      </c>
      <c r="F3811" s="2096"/>
      <c r="G3811" s="2096"/>
      <c r="H3811" s="2096"/>
      <c r="K3811" s="1192" t="s">
        <v>2506</v>
      </c>
      <c r="V3811" s="1192">
        <v>247</v>
      </c>
    </row>
    <row r="3812" spans="1:22" s="1192" customFormat="1" ht="14.4" x14ac:dyDescent="0.3">
      <c r="A3812" s="1192" t="s">
        <v>159</v>
      </c>
      <c r="E3812" s="2221" t="s">
        <v>2394</v>
      </c>
      <c r="F3812" s="2109"/>
      <c r="G3812" s="2109"/>
      <c r="H3812" s="2109"/>
      <c r="K3812" s="1192" t="s">
        <v>2395</v>
      </c>
      <c r="V3812" s="1192">
        <v>46</v>
      </c>
    </row>
    <row r="3813" spans="1:22" s="1192" customFormat="1" ht="14.4" x14ac:dyDescent="0.3">
      <c r="A3813" s="1192" t="s">
        <v>159</v>
      </c>
      <c r="E3813" s="2094" t="s">
        <v>7</v>
      </c>
      <c r="F3813" s="2094"/>
      <c r="G3813" s="913" t="s">
        <v>19</v>
      </c>
      <c r="H3813" s="815">
        <v>25.96</v>
      </c>
      <c r="K3813" s="1192" t="s">
        <v>2506</v>
      </c>
      <c r="L3813" s="1192" t="s">
        <v>430</v>
      </c>
      <c r="P3813" s="1192" t="s">
        <v>2510</v>
      </c>
      <c r="V3813" s="1192">
        <v>14</v>
      </c>
    </row>
    <row r="3814" spans="1:22" s="1192" customFormat="1" ht="14.4" x14ac:dyDescent="0.3">
      <c r="A3814" s="1192" t="s">
        <v>159</v>
      </c>
      <c r="E3814" s="2094" t="s">
        <v>3900</v>
      </c>
      <c r="F3814" s="2094"/>
      <c r="G3814" s="913" t="s">
        <v>19</v>
      </c>
      <c r="H3814" s="815">
        <v>0.56999999999999995</v>
      </c>
      <c r="K3814" s="1192" t="s">
        <v>2506</v>
      </c>
      <c r="L3814" s="1192" t="s">
        <v>431</v>
      </c>
      <c r="P3814" s="1192" t="s">
        <v>2511</v>
      </c>
      <c r="T3814" s="1192">
        <v>44926</v>
      </c>
      <c r="V3814" s="1192">
        <v>64</v>
      </c>
    </row>
    <row r="3815" spans="1:22" s="1192" customFormat="1" ht="14.4" x14ac:dyDescent="0.3">
      <c r="A3815" s="1192" t="s">
        <v>159</v>
      </c>
      <c r="E3815" s="2094" t="s">
        <v>14</v>
      </c>
      <c r="F3815" s="2094"/>
      <c r="G3815" s="913" t="s">
        <v>20</v>
      </c>
      <c r="H3815" s="816">
        <v>2.8E-3</v>
      </c>
      <c r="K3815" s="1192" t="s">
        <v>2506</v>
      </c>
      <c r="L3815" s="1192" t="s">
        <v>431</v>
      </c>
      <c r="P3815" s="1192" t="s">
        <v>2513</v>
      </c>
      <c r="V3815" s="1192">
        <v>24</v>
      </c>
    </row>
    <row r="3816" spans="1:22" s="1192" customFormat="1" ht="14.4" x14ac:dyDescent="0.3">
      <c r="A3816" s="1192" t="s">
        <v>159</v>
      </c>
      <c r="E3816" s="2094" t="s">
        <v>6075</v>
      </c>
      <c r="F3816" s="1740"/>
      <c r="G3816" s="913" t="s">
        <v>20</v>
      </c>
      <c r="H3816" s="816">
        <v>8.9999999999999998E-4</v>
      </c>
      <c r="K3816" s="1192" t="s">
        <v>2506</v>
      </c>
      <c r="L3816" s="1192" t="s">
        <v>431</v>
      </c>
      <c r="P3816" s="1192" t="s">
        <v>2516</v>
      </c>
      <c r="T3816" s="1192">
        <v>44196</v>
      </c>
      <c r="V3816" s="1192">
        <v>136</v>
      </c>
    </row>
    <row r="3817" spans="1:22" s="1192" customFormat="1" ht="14.4" x14ac:dyDescent="0.3">
      <c r="A3817" s="1192" t="s">
        <v>159</v>
      </c>
      <c r="E3817" s="2222" t="s">
        <v>6256</v>
      </c>
      <c r="F3817" s="2222"/>
      <c r="G3817" s="913" t="s">
        <v>20</v>
      </c>
      <c r="H3817" s="816">
        <v>-1.1999999999999999E-3</v>
      </c>
      <c r="K3817" s="1192" t="s">
        <v>2506</v>
      </c>
      <c r="L3817" s="1192" t="s">
        <v>431</v>
      </c>
      <c r="P3817" s="1192" t="s">
        <v>2514</v>
      </c>
      <c r="T3817" s="1192">
        <v>44196</v>
      </c>
      <c r="V3817" s="1192">
        <v>174</v>
      </c>
    </row>
    <row r="3818" spans="1:22" s="1192" customFormat="1" ht="14.4" x14ac:dyDescent="0.3">
      <c r="A3818" s="1192" t="s">
        <v>159</v>
      </c>
      <c r="E3818" s="2094" t="s">
        <v>213</v>
      </c>
      <c r="F3818" s="2094"/>
      <c r="G3818" s="913" t="s">
        <v>20</v>
      </c>
      <c r="H3818" s="816">
        <v>7.1999999999999998E-3</v>
      </c>
      <c r="K3818" s="1192" t="s">
        <v>2506</v>
      </c>
      <c r="L3818" s="1192" t="s">
        <v>432</v>
      </c>
      <c r="P3818" s="1192" t="s">
        <v>2517</v>
      </c>
      <c r="V3818" s="1192">
        <v>47</v>
      </c>
    </row>
    <row r="3819" spans="1:22" s="1192" customFormat="1" ht="14.4" x14ac:dyDescent="0.3">
      <c r="A3819" s="1192" t="s">
        <v>159</v>
      </c>
      <c r="E3819" s="2094" t="s">
        <v>209</v>
      </c>
      <c r="F3819" s="2094"/>
      <c r="G3819" s="913" t="s">
        <v>20</v>
      </c>
      <c r="H3819" s="816">
        <v>6.4000000000000003E-3</v>
      </c>
      <c r="K3819" s="1192" t="s">
        <v>2506</v>
      </c>
      <c r="L3819" s="1192" t="s">
        <v>432</v>
      </c>
      <c r="P3819" s="1192" t="s">
        <v>2518</v>
      </c>
      <c r="V3819" s="1192">
        <v>74</v>
      </c>
    </row>
    <row r="3820" spans="1:22" s="1192" customFormat="1" ht="14.4" x14ac:dyDescent="0.3">
      <c r="A3820" s="1192" t="s">
        <v>159</v>
      </c>
      <c r="E3820" s="2102" t="s">
        <v>2405</v>
      </c>
      <c r="F3820" s="1740"/>
      <c r="G3820" s="817"/>
      <c r="H3820" s="914"/>
      <c r="K3820" s="1192" t="s">
        <v>2406</v>
      </c>
      <c r="V3820" s="1192">
        <v>48</v>
      </c>
    </row>
    <row r="3821" spans="1:22" s="1192" customFormat="1" ht="14.4" x14ac:dyDescent="0.3">
      <c r="A3821" s="1192" t="s">
        <v>159</v>
      </c>
      <c r="E3821" s="2094" t="s">
        <v>2033</v>
      </c>
      <c r="F3821" s="2094"/>
      <c r="G3821" s="817" t="s">
        <v>20</v>
      </c>
      <c r="H3821" s="818">
        <v>3.0000000000000001E-3</v>
      </c>
      <c r="K3821" s="1192" t="s">
        <v>2506</v>
      </c>
      <c r="L3821" s="1192" t="s">
        <v>2374</v>
      </c>
      <c r="P3821" s="1192" t="s">
        <v>2519</v>
      </c>
      <c r="V3821" s="1192">
        <v>55</v>
      </c>
    </row>
    <row r="3822" spans="1:22" s="1192" customFormat="1" ht="14.4" x14ac:dyDescent="0.3">
      <c r="A3822" s="1192" t="s">
        <v>159</v>
      </c>
      <c r="E3822" s="2094" t="s">
        <v>2034</v>
      </c>
      <c r="F3822" s="2094"/>
      <c r="G3822" s="817" t="s">
        <v>20</v>
      </c>
      <c r="H3822" s="818">
        <v>4.0000000000000002E-4</v>
      </c>
      <c r="K3822" s="1192" t="s">
        <v>2506</v>
      </c>
      <c r="L3822" s="1192" t="s">
        <v>2374</v>
      </c>
      <c r="P3822" s="1192" t="s">
        <v>2519</v>
      </c>
      <c r="V3822" s="1192">
        <v>65</v>
      </c>
    </row>
    <row r="3823" spans="1:22" s="1192" customFormat="1" ht="14.4" x14ac:dyDescent="0.3">
      <c r="A3823" s="1192" t="s">
        <v>159</v>
      </c>
      <c r="E3823" s="2094" t="s">
        <v>4228</v>
      </c>
      <c r="F3823" s="2094"/>
      <c r="G3823" s="817" t="s">
        <v>20</v>
      </c>
      <c r="H3823" s="818">
        <v>5.0000000000000001E-4</v>
      </c>
      <c r="K3823" s="1192" t="s">
        <v>2506</v>
      </c>
      <c r="L3823" s="1192" t="s">
        <v>2374</v>
      </c>
      <c r="P3823" s="1192" t="s">
        <v>2520</v>
      </c>
      <c r="V3823" s="1192">
        <v>58</v>
      </c>
    </row>
    <row r="3824" spans="1:22" s="1192" customFormat="1" ht="14.4" x14ac:dyDescent="0.3">
      <c r="A3824" s="1192" t="s">
        <v>159</v>
      </c>
      <c r="E3824" s="2094" t="s">
        <v>28</v>
      </c>
      <c r="F3824" s="2094"/>
      <c r="G3824" s="817" t="s">
        <v>19</v>
      </c>
      <c r="H3824" s="819">
        <v>0.25</v>
      </c>
      <c r="K3824" s="1192" t="s">
        <v>2506</v>
      </c>
      <c r="L3824" s="1192" t="s">
        <v>2374</v>
      </c>
      <c r="P3824" s="1192" t="s">
        <v>2521</v>
      </c>
      <c r="V3824" s="1192">
        <v>63</v>
      </c>
    </row>
    <row r="3825" spans="1:22" s="1192" customFormat="1" ht="17.399999999999999" x14ac:dyDescent="0.3">
      <c r="A3825" s="1192" t="s">
        <v>159</v>
      </c>
      <c r="E3825" s="2098" t="s">
        <v>2522</v>
      </c>
      <c r="F3825" s="2098"/>
      <c r="G3825" s="2098"/>
      <c r="H3825" s="2099"/>
      <c r="K3825" s="1192" t="s">
        <v>3901</v>
      </c>
      <c r="V3825" s="1192">
        <v>54</v>
      </c>
    </row>
    <row r="3826" spans="1:22" s="1192" customFormat="1" ht="14.4" x14ac:dyDescent="0.3">
      <c r="A3826" s="1192" t="s">
        <v>159</v>
      </c>
      <c r="E3826" s="2096" t="s">
        <v>3159</v>
      </c>
      <c r="F3826" s="2096"/>
      <c r="G3826" s="2096"/>
      <c r="H3826" s="2097"/>
      <c r="K3826" s="1192" t="s">
        <v>3901</v>
      </c>
      <c r="V3826" s="1192">
        <v>331</v>
      </c>
    </row>
    <row r="3827" spans="1:22" s="1192" customFormat="1" ht="14.4" x14ac:dyDescent="0.3">
      <c r="A3827" s="1192" t="s">
        <v>159</v>
      </c>
      <c r="E3827" s="2095" t="s">
        <v>2389</v>
      </c>
      <c r="F3827" s="1988"/>
      <c r="G3827" s="1988"/>
      <c r="H3827" s="1988"/>
      <c r="K3827" s="1192" t="s">
        <v>2412</v>
      </c>
      <c r="V3827" s="1192">
        <v>11</v>
      </c>
    </row>
    <row r="3828" spans="1:22" s="1192" customFormat="1" ht="14.4" x14ac:dyDescent="0.3">
      <c r="A3828" s="1192" t="s">
        <v>159</v>
      </c>
      <c r="E3828" s="2096" t="s">
        <v>2391</v>
      </c>
      <c r="F3828" s="2096"/>
      <c r="G3828" s="2096"/>
      <c r="H3828" s="2097"/>
      <c r="K3828" s="1192" t="s">
        <v>3901</v>
      </c>
      <c r="V3828" s="1192">
        <v>280</v>
      </c>
    </row>
    <row r="3829" spans="1:22" s="1192" customFormat="1" ht="14.4" x14ac:dyDescent="0.3">
      <c r="A3829" s="1192" t="s">
        <v>159</v>
      </c>
      <c r="E3829" s="2096" t="s">
        <v>2392</v>
      </c>
      <c r="F3829" s="2096"/>
      <c r="G3829" s="2096"/>
      <c r="H3829" s="2096"/>
      <c r="K3829" s="1192" t="s">
        <v>3901</v>
      </c>
      <c r="V3829" s="1192">
        <v>411</v>
      </c>
    </row>
    <row r="3830" spans="1:22" s="1192" customFormat="1" ht="14.4" x14ac:dyDescent="0.3">
      <c r="A3830" s="1192" t="s">
        <v>159</v>
      </c>
      <c r="E3830" s="2096" t="s">
        <v>2508</v>
      </c>
      <c r="F3830" s="2096"/>
      <c r="G3830" s="2096"/>
      <c r="H3830" s="2097"/>
      <c r="K3830" s="1192" t="s">
        <v>3901</v>
      </c>
      <c r="V3830" s="1192">
        <v>386</v>
      </c>
    </row>
    <row r="3831" spans="1:22" s="1192" customFormat="1" ht="14.4" x14ac:dyDescent="0.3">
      <c r="A3831" s="1192" t="s">
        <v>159</v>
      </c>
      <c r="E3831" s="2096" t="s">
        <v>6257</v>
      </c>
      <c r="F3831" s="2096"/>
      <c r="G3831" s="2096"/>
      <c r="H3831" s="2097"/>
      <c r="K3831" s="1192" t="s">
        <v>3901</v>
      </c>
      <c r="V3831" s="1192">
        <v>246</v>
      </c>
    </row>
    <row r="3832" spans="1:22" s="1192" customFormat="1" ht="14.4" x14ac:dyDescent="0.3">
      <c r="A3832" s="1192" t="s">
        <v>159</v>
      </c>
      <c r="E3832" s="2221" t="s">
        <v>2394</v>
      </c>
      <c r="F3832" s="2109"/>
      <c r="G3832" s="2109"/>
      <c r="H3832" s="2109"/>
      <c r="K3832" s="1192" t="s">
        <v>2413</v>
      </c>
      <c r="V3832" s="1192">
        <v>46</v>
      </c>
    </row>
    <row r="3833" spans="1:22" s="1192" customFormat="1" ht="14.4" x14ac:dyDescent="0.3">
      <c r="A3833" s="1192" t="s">
        <v>159</v>
      </c>
      <c r="E3833" s="2094" t="s">
        <v>7</v>
      </c>
      <c r="F3833" s="2094"/>
      <c r="G3833" s="913" t="s">
        <v>19</v>
      </c>
      <c r="H3833" s="815">
        <v>15.4</v>
      </c>
      <c r="K3833" s="1192" t="s">
        <v>3901</v>
      </c>
      <c r="L3833" s="1192" t="s">
        <v>430</v>
      </c>
      <c r="P3833" s="1192" t="s">
        <v>3902</v>
      </c>
      <c r="V3833" s="1192">
        <v>14</v>
      </c>
    </row>
    <row r="3834" spans="1:22" s="1192" customFormat="1" ht="14.4" x14ac:dyDescent="0.3">
      <c r="A3834" s="1192" t="s">
        <v>159</v>
      </c>
      <c r="E3834" s="2094" t="s">
        <v>3900</v>
      </c>
      <c r="F3834" s="2094"/>
      <c r="G3834" s="913" t="s">
        <v>19</v>
      </c>
      <c r="H3834" s="815">
        <v>0.56999999999999995</v>
      </c>
      <c r="K3834" s="1192" t="s">
        <v>3901</v>
      </c>
      <c r="L3834" s="1192" t="s">
        <v>431</v>
      </c>
      <c r="P3834" s="1192" t="s">
        <v>3903</v>
      </c>
      <c r="T3834" s="1192">
        <v>44926</v>
      </c>
      <c r="V3834" s="1192">
        <v>64</v>
      </c>
    </row>
    <row r="3835" spans="1:22" s="1192" customFormat="1" ht="14.4" x14ac:dyDescent="0.3">
      <c r="A3835" s="1192" t="s">
        <v>159</v>
      </c>
      <c r="E3835" s="2094" t="s">
        <v>80</v>
      </c>
      <c r="F3835" s="2094"/>
      <c r="G3835" s="913" t="s">
        <v>20</v>
      </c>
      <c r="H3835" s="816">
        <v>1.66E-2</v>
      </c>
      <c r="K3835" s="1192" t="s">
        <v>3901</v>
      </c>
      <c r="L3835" s="1192" t="s">
        <v>430</v>
      </c>
      <c r="P3835" s="1192" t="s">
        <v>3904</v>
      </c>
      <c r="V3835" s="1192">
        <v>28</v>
      </c>
    </row>
    <row r="3836" spans="1:22" s="1192" customFormat="1" ht="14.4" x14ac:dyDescent="0.3">
      <c r="A3836" s="1192" t="s">
        <v>159</v>
      </c>
      <c r="E3836" s="2094" t="s">
        <v>14</v>
      </c>
      <c r="F3836" s="2094"/>
      <c r="G3836" s="913" t="s">
        <v>20</v>
      </c>
      <c r="H3836" s="816">
        <v>2.5000000000000001E-3</v>
      </c>
      <c r="K3836" s="1192" t="s">
        <v>3901</v>
      </c>
      <c r="L3836" s="1192" t="s">
        <v>431</v>
      </c>
      <c r="P3836" s="1192" t="s">
        <v>3905</v>
      </c>
      <c r="V3836" s="1192">
        <v>24</v>
      </c>
    </row>
    <row r="3837" spans="1:22" s="1192" customFormat="1" ht="14.4" x14ac:dyDescent="0.3">
      <c r="A3837" s="1192" t="s">
        <v>159</v>
      </c>
      <c r="E3837" s="2094" t="s">
        <v>6075</v>
      </c>
      <c r="F3837" s="1740"/>
      <c r="G3837" s="913" t="s">
        <v>20</v>
      </c>
      <c r="H3837" s="816">
        <v>1E-3</v>
      </c>
      <c r="K3837" s="1192" t="s">
        <v>3901</v>
      </c>
      <c r="L3837" s="1192" t="s">
        <v>431</v>
      </c>
      <c r="P3837" s="1192" t="s">
        <v>3911</v>
      </c>
      <c r="T3837" s="1192">
        <v>44196</v>
      </c>
      <c r="V3837" s="1192">
        <v>136</v>
      </c>
    </row>
    <row r="3838" spans="1:22" s="1192" customFormat="1" ht="14.4" x14ac:dyDescent="0.3">
      <c r="A3838" s="1192" t="s">
        <v>159</v>
      </c>
      <c r="E3838" s="2222" t="s">
        <v>6258</v>
      </c>
      <c r="F3838" s="2093"/>
      <c r="G3838" s="913" t="s">
        <v>20</v>
      </c>
      <c r="H3838" s="816">
        <v>-1.1999999999999999E-3</v>
      </c>
      <c r="K3838" s="1192" t="s">
        <v>3901</v>
      </c>
      <c r="L3838" s="1192" t="s">
        <v>431</v>
      </c>
      <c r="P3838" s="1192" t="s">
        <v>3700</v>
      </c>
      <c r="T3838" s="1192">
        <v>44196</v>
      </c>
      <c r="V3838" s="1192">
        <v>175</v>
      </c>
    </row>
    <row r="3839" spans="1:22" s="1192" customFormat="1" ht="14.4" x14ac:dyDescent="0.3">
      <c r="A3839" s="1192" t="s">
        <v>159</v>
      </c>
      <c r="E3839" s="2094" t="s">
        <v>213</v>
      </c>
      <c r="F3839" s="2094"/>
      <c r="G3839" s="913" t="s">
        <v>20</v>
      </c>
      <c r="H3839" s="816">
        <v>6.4000000000000003E-3</v>
      </c>
      <c r="K3839" s="1192" t="s">
        <v>3901</v>
      </c>
      <c r="L3839" s="1192" t="s">
        <v>432</v>
      </c>
      <c r="P3839" s="1192" t="s">
        <v>3906</v>
      </c>
      <c r="V3839" s="1192">
        <v>47</v>
      </c>
    </row>
    <row r="3840" spans="1:22" s="1192" customFormat="1" ht="14.4" x14ac:dyDescent="0.3">
      <c r="A3840" s="1192" t="s">
        <v>159</v>
      </c>
      <c r="E3840" s="2094" t="s">
        <v>209</v>
      </c>
      <c r="F3840" s="2094"/>
      <c r="G3840" s="913" t="s">
        <v>20</v>
      </c>
      <c r="H3840" s="816">
        <v>5.7999999999999996E-3</v>
      </c>
      <c r="K3840" s="1192" t="s">
        <v>3901</v>
      </c>
      <c r="L3840" s="1192" t="s">
        <v>432</v>
      </c>
      <c r="P3840" s="1192" t="s">
        <v>3907</v>
      </c>
      <c r="V3840" s="1192">
        <v>74</v>
      </c>
    </row>
    <row r="3841" spans="1:22" s="1192" customFormat="1" ht="14.4" x14ac:dyDescent="0.3">
      <c r="A3841" s="1192" t="s">
        <v>159</v>
      </c>
      <c r="E3841" s="2102" t="s">
        <v>2405</v>
      </c>
      <c r="F3841" s="1740"/>
      <c r="G3841" s="817"/>
      <c r="H3841" s="914"/>
      <c r="K3841" s="1192" t="s">
        <v>2418</v>
      </c>
      <c r="V3841" s="1192">
        <v>48</v>
      </c>
    </row>
    <row r="3842" spans="1:22" s="1192" customFormat="1" ht="14.4" x14ac:dyDescent="0.3">
      <c r="A3842" s="1192" t="s">
        <v>159</v>
      </c>
      <c r="E3842" s="2094" t="s">
        <v>2033</v>
      </c>
      <c r="F3842" s="2094"/>
      <c r="G3842" s="817" t="s">
        <v>20</v>
      </c>
      <c r="H3842" s="818">
        <v>3.0000000000000001E-3</v>
      </c>
      <c r="K3842" s="1192" t="s">
        <v>3901</v>
      </c>
      <c r="L3842" s="1192" t="s">
        <v>2374</v>
      </c>
      <c r="P3842" s="1192" t="s">
        <v>3908</v>
      </c>
      <c r="V3842" s="1192">
        <v>55</v>
      </c>
    </row>
    <row r="3843" spans="1:22" s="1192" customFormat="1" ht="14.4" x14ac:dyDescent="0.3">
      <c r="A3843" s="1192" t="s">
        <v>159</v>
      </c>
      <c r="E3843" s="2094" t="s">
        <v>2034</v>
      </c>
      <c r="F3843" s="2094"/>
      <c r="G3843" s="817" t="s">
        <v>20</v>
      </c>
      <c r="H3843" s="818">
        <v>4.0000000000000002E-4</v>
      </c>
      <c r="K3843" s="1192" t="s">
        <v>3901</v>
      </c>
      <c r="L3843" s="1192" t="s">
        <v>2374</v>
      </c>
      <c r="P3843" s="1192" t="s">
        <v>3908</v>
      </c>
      <c r="V3843" s="1192">
        <v>65</v>
      </c>
    </row>
    <row r="3844" spans="1:22" s="1192" customFormat="1" ht="14.4" x14ac:dyDescent="0.3">
      <c r="A3844" s="1192" t="s">
        <v>159</v>
      </c>
      <c r="E3844" s="2094" t="s">
        <v>4228</v>
      </c>
      <c r="F3844" s="2094"/>
      <c r="G3844" s="817" t="s">
        <v>20</v>
      </c>
      <c r="H3844" s="818">
        <v>5.0000000000000001E-4</v>
      </c>
      <c r="K3844" s="1192" t="s">
        <v>3901</v>
      </c>
      <c r="L3844" s="1192" t="s">
        <v>2374</v>
      </c>
      <c r="P3844" s="1192" t="s">
        <v>3909</v>
      </c>
      <c r="V3844" s="1192">
        <v>58</v>
      </c>
    </row>
    <row r="3845" spans="1:22" s="1192" customFormat="1" ht="14.4" x14ac:dyDescent="0.3">
      <c r="A3845" s="1192" t="s">
        <v>159</v>
      </c>
      <c r="E3845" s="2094" t="s">
        <v>28</v>
      </c>
      <c r="F3845" s="2094"/>
      <c r="G3845" s="817" t="s">
        <v>19</v>
      </c>
      <c r="H3845" s="819">
        <v>0.25</v>
      </c>
      <c r="K3845" s="1192" t="s">
        <v>3901</v>
      </c>
      <c r="L3845" s="1192" t="s">
        <v>2374</v>
      </c>
      <c r="P3845" s="1192" t="s">
        <v>3910</v>
      </c>
      <c r="V3845" s="1192">
        <v>63</v>
      </c>
    </row>
    <row r="3846" spans="1:22" s="1192" customFormat="1" ht="17.399999999999999" x14ac:dyDescent="0.3">
      <c r="A3846" s="1192" t="s">
        <v>159</v>
      </c>
      <c r="E3846" s="2098" t="s">
        <v>591</v>
      </c>
      <c r="F3846" s="2098"/>
      <c r="G3846" s="2098"/>
      <c r="H3846" s="2099"/>
      <c r="K3846" s="1192" t="s">
        <v>4388</v>
      </c>
      <c r="V3846" s="1192">
        <v>53</v>
      </c>
    </row>
    <row r="3847" spans="1:22" s="1192" customFormat="1" ht="14.4" x14ac:dyDescent="0.3">
      <c r="A3847" s="1192" t="s">
        <v>159</v>
      </c>
      <c r="E3847" s="2096" t="s">
        <v>3160</v>
      </c>
      <c r="F3847" s="2096"/>
      <c r="G3847" s="2096"/>
      <c r="H3847" s="2097"/>
      <c r="K3847" s="1192" t="s">
        <v>4388</v>
      </c>
      <c r="V3847" s="1192">
        <v>356</v>
      </c>
    </row>
    <row r="3848" spans="1:22" s="1192" customFormat="1" ht="14.4" x14ac:dyDescent="0.3">
      <c r="A3848" s="1192" t="s">
        <v>159</v>
      </c>
      <c r="E3848" s="2095" t="s">
        <v>2389</v>
      </c>
      <c r="F3848" s="1988"/>
      <c r="G3848" s="1988"/>
      <c r="H3848" s="1988"/>
      <c r="K3848" s="1192" t="s">
        <v>2422</v>
      </c>
      <c r="V3848" s="1192">
        <v>11</v>
      </c>
    </row>
    <row r="3849" spans="1:22" s="1192" customFormat="1" ht="14.4" x14ac:dyDescent="0.3">
      <c r="A3849" s="1192" t="s">
        <v>159</v>
      </c>
      <c r="E3849" s="2096" t="s">
        <v>2391</v>
      </c>
      <c r="F3849" s="2096"/>
      <c r="G3849" s="2096"/>
      <c r="H3849" s="2097"/>
      <c r="K3849" s="1192" t="s">
        <v>4388</v>
      </c>
      <c r="V3849" s="1192">
        <v>280</v>
      </c>
    </row>
    <row r="3850" spans="1:22" s="1192" customFormat="1" ht="14.4" x14ac:dyDescent="0.3">
      <c r="A3850" s="1192" t="s">
        <v>159</v>
      </c>
      <c r="E3850" s="2096" t="s">
        <v>3161</v>
      </c>
      <c r="F3850" s="2096"/>
      <c r="G3850" s="2096"/>
      <c r="H3850" s="2097"/>
      <c r="K3850" s="1192" t="s">
        <v>4388</v>
      </c>
      <c r="V3850" s="1192">
        <v>411</v>
      </c>
    </row>
    <row r="3851" spans="1:22" s="1192" customFormat="1" ht="14.4" x14ac:dyDescent="0.3">
      <c r="A3851" s="1192" t="s">
        <v>159</v>
      </c>
      <c r="E3851" s="2096" t="s">
        <v>2508</v>
      </c>
      <c r="F3851" s="2096"/>
      <c r="G3851" s="2096"/>
      <c r="H3851" s="2097"/>
      <c r="K3851" s="1192" t="s">
        <v>4388</v>
      </c>
      <c r="V3851" s="1192">
        <v>386</v>
      </c>
    </row>
    <row r="3852" spans="1:22" s="1192" customFormat="1" ht="14.4" x14ac:dyDescent="0.3">
      <c r="A3852" s="1192" t="s">
        <v>159</v>
      </c>
      <c r="E3852" s="1743" t="s">
        <v>4503</v>
      </c>
      <c r="F3852" s="1743"/>
      <c r="G3852" s="1743"/>
      <c r="H3852" s="1743"/>
      <c r="K3852" s="1192" t="s">
        <v>4388</v>
      </c>
      <c r="V3852" s="1192">
        <v>677</v>
      </c>
    </row>
    <row r="3853" spans="1:22" s="1192" customFormat="1" ht="14.4" x14ac:dyDescent="0.3">
      <c r="A3853" s="1192" t="s">
        <v>159</v>
      </c>
      <c r="E3853" s="1743" t="s">
        <v>4644</v>
      </c>
      <c r="F3853" s="1743"/>
      <c r="G3853" s="1743"/>
      <c r="H3853" s="1743"/>
      <c r="K3853" s="1192" t="s">
        <v>4388</v>
      </c>
      <c r="V3853" s="1192">
        <v>693</v>
      </c>
    </row>
    <row r="3854" spans="1:22" s="1192" customFormat="1" ht="14.4" x14ac:dyDescent="0.3">
      <c r="A3854" s="1192" t="s">
        <v>159</v>
      </c>
      <c r="E3854" s="2096" t="s">
        <v>6257</v>
      </c>
      <c r="F3854" s="2096"/>
      <c r="G3854" s="2096"/>
      <c r="H3854" s="2097"/>
      <c r="K3854" s="1192" t="s">
        <v>4388</v>
      </c>
      <c r="V3854" s="1192">
        <v>246</v>
      </c>
    </row>
    <row r="3855" spans="1:22" s="1192" customFormat="1" ht="14.4" x14ac:dyDescent="0.3">
      <c r="A3855" s="1192" t="s">
        <v>159</v>
      </c>
      <c r="E3855" s="2221" t="s">
        <v>2394</v>
      </c>
      <c r="F3855" s="2109"/>
      <c r="G3855" s="2109"/>
      <c r="H3855" s="2109"/>
      <c r="K3855" s="1192" t="s">
        <v>2423</v>
      </c>
      <c r="V3855" s="1192">
        <v>46</v>
      </c>
    </row>
    <row r="3856" spans="1:22" s="1192" customFormat="1" ht="14.4" x14ac:dyDescent="0.3">
      <c r="A3856" s="1192" t="s">
        <v>159</v>
      </c>
      <c r="E3856" s="2094" t="s">
        <v>7</v>
      </c>
      <c r="F3856" s="2094"/>
      <c r="G3856" s="913" t="s">
        <v>19</v>
      </c>
      <c r="H3856" s="815">
        <v>112.13</v>
      </c>
      <c r="K3856" s="1192" t="s">
        <v>4388</v>
      </c>
      <c r="L3856" s="1192" t="s">
        <v>430</v>
      </c>
      <c r="P3856" s="1192" t="s">
        <v>4389</v>
      </c>
      <c r="V3856" s="1192">
        <v>14</v>
      </c>
    </row>
    <row r="3857" spans="1:22" s="1192" customFormat="1" ht="14.4" x14ac:dyDescent="0.3">
      <c r="A3857" s="1192" t="s">
        <v>159</v>
      </c>
      <c r="E3857" s="2094" t="s">
        <v>80</v>
      </c>
      <c r="F3857" s="2094"/>
      <c r="G3857" s="913" t="s">
        <v>29</v>
      </c>
      <c r="H3857" s="816">
        <v>3.4096000000000002</v>
      </c>
      <c r="K3857" s="1192" t="s">
        <v>4388</v>
      </c>
      <c r="L3857" s="1192" t="s">
        <v>430</v>
      </c>
      <c r="P3857" s="1192" t="s">
        <v>4390</v>
      </c>
      <c r="V3857" s="1192">
        <v>28</v>
      </c>
    </row>
    <row r="3858" spans="1:22" s="1192" customFormat="1" ht="14.4" x14ac:dyDescent="0.3">
      <c r="A3858" s="1192" t="s">
        <v>159</v>
      </c>
      <c r="E3858" s="2094" t="s">
        <v>14</v>
      </c>
      <c r="F3858" s="2094"/>
      <c r="G3858" s="913" t="s">
        <v>29</v>
      </c>
      <c r="H3858" s="816">
        <v>1.0539000000000001</v>
      </c>
      <c r="K3858" s="1192" t="s">
        <v>4388</v>
      </c>
      <c r="L3858" s="1192" t="s">
        <v>431</v>
      </c>
      <c r="P3858" s="1192" t="s">
        <v>4391</v>
      </c>
      <c r="V3858" s="1192">
        <v>24</v>
      </c>
    </row>
    <row r="3859" spans="1:22" s="1192" customFormat="1" ht="14.4" x14ac:dyDescent="0.3">
      <c r="A3859" s="1192" t="s">
        <v>159</v>
      </c>
      <c r="E3859" s="2094" t="s">
        <v>6075</v>
      </c>
      <c r="F3859" s="1740"/>
      <c r="G3859" s="913" t="s">
        <v>29</v>
      </c>
      <c r="H3859" s="816">
        <v>0.40389999999999998</v>
      </c>
      <c r="K3859" s="1192" t="s">
        <v>4388</v>
      </c>
      <c r="L3859" s="1192" t="s">
        <v>431</v>
      </c>
      <c r="P3859" s="1192" t="s">
        <v>4398</v>
      </c>
      <c r="T3859" s="1192">
        <v>44196</v>
      </c>
      <c r="V3859" s="1192">
        <v>136</v>
      </c>
    </row>
    <row r="3860" spans="1:22" s="1192" customFormat="1" ht="14.4" x14ac:dyDescent="0.3">
      <c r="A3860" s="1192" t="s">
        <v>159</v>
      </c>
      <c r="E3860" s="2222" t="s">
        <v>6259</v>
      </c>
      <c r="F3860" s="2093"/>
      <c r="G3860" s="913" t="s">
        <v>29</v>
      </c>
      <c r="H3860" s="816">
        <v>3.0200000000000001E-2</v>
      </c>
      <c r="K3860" s="1192" t="s">
        <v>4388</v>
      </c>
      <c r="L3860" s="1192" t="s">
        <v>431</v>
      </c>
      <c r="P3860" s="1192" t="s">
        <v>4398</v>
      </c>
      <c r="T3860" s="1192">
        <v>44196</v>
      </c>
      <c r="V3860" s="1192">
        <v>189</v>
      </c>
    </row>
    <row r="3861" spans="1:22" s="1192" customFormat="1" ht="14.4" x14ac:dyDescent="0.3">
      <c r="A3861" s="1192" t="s">
        <v>159</v>
      </c>
      <c r="E3861" s="2094" t="s">
        <v>6260</v>
      </c>
      <c r="F3861" s="1740"/>
      <c r="G3861" s="913" t="s">
        <v>20</v>
      </c>
      <c r="H3861" s="816">
        <v>-1.1999999999999999E-3</v>
      </c>
      <c r="K3861" s="1192" t="s">
        <v>4388</v>
      </c>
      <c r="L3861" s="1192" t="s">
        <v>431</v>
      </c>
      <c r="P3861" s="1192" t="s">
        <v>4397</v>
      </c>
      <c r="T3861" s="1192">
        <v>44196</v>
      </c>
      <c r="V3861" s="1192">
        <v>175</v>
      </c>
    </row>
    <row r="3862" spans="1:22" s="1192" customFormat="1" ht="14.4" x14ac:dyDescent="0.3">
      <c r="A3862" s="1192" t="s">
        <v>159</v>
      </c>
      <c r="E3862" s="2094" t="s">
        <v>213</v>
      </c>
      <c r="F3862" s="2094"/>
      <c r="G3862" s="913" t="s">
        <v>29</v>
      </c>
      <c r="H3862" s="816">
        <v>2.8330000000000002</v>
      </c>
      <c r="K3862" s="1192" t="s">
        <v>4388</v>
      </c>
      <c r="L3862" s="1192" t="s">
        <v>432</v>
      </c>
      <c r="P3862" s="1192" t="s">
        <v>4392</v>
      </c>
      <c r="V3862" s="1192">
        <v>47</v>
      </c>
    </row>
    <row r="3863" spans="1:22" s="1192" customFormat="1" ht="14.4" x14ac:dyDescent="0.3">
      <c r="A3863" s="1192" t="s">
        <v>159</v>
      </c>
      <c r="E3863" s="2094" t="s">
        <v>209</v>
      </c>
      <c r="F3863" s="2094"/>
      <c r="G3863" s="913" t="s">
        <v>29</v>
      </c>
      <c r="H3863" s="816">
        <v>2.5387</v>
      </c>
      <c r="K3863" s="1192" t="s">
        <v>4388</v>
      </c>
      <c r="L3863" s="1192" t="s">
        <v>432</v>
      </c>
      <c r="P3863" s="1192" t="s">
        <v>4393</v>
      </c>
      <c r="V3863" s="1192">
        <v>74</v>
      </c>
    </row>
    <row r="3864" spans="1:22" s="1192" customFormat="1" ht="14.4" x14ac:dyDescent="0.3">
      <c r="A3864" s="1192" t="s">
        <v>159</v>
      </c>
      <c r="E3864" s="2102" t="s">
        <v>2405</v>
      </c>
      <c r="F3864" s="1740"/>
      <c r="G3864" s="817"/>
      <c r="H3864" s="914"/>
      <c r="K3864" s="1192" t="s">
        <v>2526</v>
      </c>
      <c r="V3864" s="1192">
        <v>48</v>
      </c>
    </row>
    <row r="3865" spans="1:22" s="1192" customFormat="1" ht="14.4" x14ac:dyDescent="0.3">
      <c r="A3865" s="1192" t="s">
        <v>159</v>
      </c>
      <c r="E3865" s="2094" t="s">
        <v>2033</v>
      </c>
      <c r="F3865" s="2094"/>
      <c r="G3865" s="817" t="s">
        <v>20</v>
      </c>
      <c r="H3865" s="818">
        <v>3.0000000000000001E-3</v>
      </c>
      <c r="K3865" s="1192" t="s">
        <v>4388</v>
      </c>
      <c r="L3865" s="1192" t="s">
        <v>2374</v>
      </c>
      <c r="P3865" s="1192" t="s">
        <v>4394</v>
      </c>
      <c r="V3865" s="1192">
        <v>55</v>
      </c>
    </row>
    <row r="3866" spans="1:22" s="1192" customFormat="1" ht="14.4" x14ac:dyDescent="0.3">
      <c r="A3866" s="1192" t="s">
        <v>159</v>
      </c>
      <c r="E3866" s="2094" t="s">
        <v>2034</v>
      </c>
      <c r="F3866" s="2094"/>
      <c r="G3866" s="817" t="s">
        <v>20</v>
      </c>
      <c r="H3866" s="818">
        <v>4.0000000000000002E-4</v>
      </c>
      <c r="K3866" s="1192" t="s">
        <v>4388</v>
      </c>
      <c r="L3866" s="1192" t="s">
        <v>2374</v>
      </c>
      <c r="P3866" s="1192" t="s">
        <v>4394</v>
      </c>
      <c r="V3866" s="1192">
        <v>65</v>
      </c>
    </row>
    <row r="3867" spans="1:22" s="1192" customFormat="1" ht="14.4" x14ac:dyDescent="0.3">
      <c r="A3867" s="1192" t="s">
        <v>159</v>
      </c>
      <c r="E3867" s="2094" t="s">
        <v>4228</v>
      </c>
      <c r="F3867" s="2094"/>
      <c r="G3867" s="817" t="s">
        <v>20</v>
      </c>
      <c r="H3867" s="818">
        <v>5.0000000000000001E-4</v>
      </c>
      <c r="K3867" s="1192" t="s">
        <v>4388</v>
      </c>
      <c r="L3867" s="1192" t="s">
        <v>2374</v>
      </c>
      <c r="P3867" s="1192" t="s">
        <v>4395</v>
      </c>
      <c r="V3867" s="1192">
        <v>58</v>
      </c>
    </row>
    <row r="3868" spans="1:22" s="1192" customFormat="1" ht="14.4" x14ac:dyDescent="0.3">
      <c r="A3868" s="1192" t="s">
        <v>159</v>
      </c>
      <c r="E3868" s="2094" t="s">
        <v>28</v>
      </c>
      <c r="F3868" s="2094"/>
      <c r="G3868" s="817" t="s">
        <v>19</v>
      </c>
      <c r="H3868" s="819">
        <v>0.25</v>
      </c>
      <c r="K3868" s="1192" t="s">
        <v>4388</v>
      </c>
      <c r="L3868" s="1192" t="s">
        <v>2374</v>
      </c>
      <c r="P3868" s="1192" t="s">
        <v>4396</v>
      </c>
      <c r="V3868" s="1192">
        <v>63</v>
      </c>
    </row>
    <row r="3869" spans="1:22" s="1192" customFormat="1" ht="17.399999999999999" x14ac:dyDescent="0.3">
      <c r="A3869" s="1192" t="s">
        <v>159</v>
      </c>
      <c r="E3869" s="2098" t="s">
        <v>596</v>
      </c>
      <c r="F3869" s="2098"/>
      <c r="G3869" s="2098"/>
      <c r="H3869" s="2099"/>
      <c r="K3869" s="1192" t="s">
        <v>3407</v>
      </c>
      <c r="V3869" s="1192">
        <v>32</v>
      </c>
    </row>
    <row r="3870" spans="1:22" s="1192" customFormat="1" ht="14.4" x14ac:dyDescent="0.3">
      <c r="A3870" s="1192" t="s">
        <v>159</v>
      </c>
      <c r="E3870" s="2096" t="s">
        <v>3162</v>
      </c>
      <c r="F3870" s="2096"/>
      <c r="G3870" s="2096"/>
      <c r="H3870" s="2097"/>
      <c r="K3870" s="1192" t="s">
        <v>3407</v>
      </c>
      <c r="V3870" s="1192">
        <v>321</v>
      </c>
    </row>
    <row r="3871" spans="1:22" s="1192" customFormat="1" ht="14.4" x14ac:dyDescent="0.3">
      <c r="A3871" s="1192" t="s">
        <v>159</v>
      </c>
      <c r="E3871" s="2095" t="s">
        <v>2389</v>
      </c>
      <c r="F3871" s="1988"/>
      <c r="G3871" s="1988"/>
      <c r="H3871" s="1988"/>
      <c r="K3871" s="1192" t="s">
        <v>2529</v>
      </c>
      <c r="V3871" s="1192">
        <v>11</v>
      </c>
    </row>
    <row r="3872" spans="1:22" s="1192" customFormat="1" ht="14.4" x14ac:dyDescent="0.3">
      <c r="A3872" s="1192" t="s">
        <v>159</v>
      </c>
      <c r="E3872" s="2096" t="s">
        <v>2391</v>
      </c>
      <c r="F3872" s="2096"/>
      <c r="G3872" s="2096"/>
      <c r="H3872" s="2097"/>
      <c r="K3872" s="1192" t="s">
        <v>3407</v>
      </c>
      <c r="V3872" s="1192">
        <v>280</v>
      </c>
    </row>
    <row r="3873" spans="1:22" s="1192" customFormat="1" ht="14.4" x14ac:dyDescent="0.3">
      <c r="A3873" s="1192" t="s">
        <v>159</v>
      </c>
      <c r="E3873" s="2096" t="s">
        <v>3161</v>
      </c>
      <c r="F3873" s="2096"/>
      <c r="G3873" s="2096"/>
      <c r="H3873" s="2097"/>
      <c r="K3873" s="1192" t="s">
        <v>3407</v>
      </c>
      <c r="V3873" s="1192">
        <v>411</v>
      </c>
    </row>
    <row r="3874" spans="1:22" s="1192" customFormat="1" ht="14.4" x14ac:dyDescent="0.3">
      <c r="A3874" s="1192" t="s">
        <v>159</v>
      </c>
      <c r="E3874" s="2096" t="s">
        <v>2508</v>
      </c>
      <c r="F3874" s="2096"/>
      <c r="G3874" s="2096"/>
      <c r="H3874" s="2097"/>
      <c r="K3874" s="1192" t="s">
        <v>3407</v>
      </c>
      <c r="V3874" s="1192">
        <v>386</v>
      </c>
    </row>
    <row r="3875" spans="1:22" s="1192" customFormat="1" ht="14.4" x14ac:dyDescent="0.3">
      <c r="A3875" s="1192" t="s">
        <v>159</v>
      </c>
      <c r="E3875" s="1743" t="s">
        <v>4503</v>
      </c>
      <c r="F3875" s="1743"/>
      <c r="G3875" s="1743"/>
      <c r="H3875" s="1743"/>
      <c r="K3875" s="1192" t="s">
        <v>3407</v>
      </c>
      <c r="V3875" s="1192">
        <v>677</v>
      </c>
    </row>
    <row r="3876" spans="1:22" s="1192" customFormat="1" ht="14.4" x14ac:dyDescent="0.3">
      <c r="A3876" s="1192" t="s">
        <v>159</v>
      </c>
      <c r="E3876" s="1743" t="s">
        <v>4644</v>
      </c>
      <c r="F3876" s="1743"/>
      <c r="G3876" s="1743"/>
      <c r="H3876" s="1743"/>
      <c r="K3876" s="1192" t="s">
        <v>3407</v>
      </c>
      <c r="V3876" s="1192">
        <v>693</v>
      </c>
    </row>
    <row r="3877" spans="1:22" s="1192" customFormat="1" ht="14.4" x14ac:dyDescent="0.3">
      <c r="A3877" s="1192" t="s">
        <v>159</v>
      </c>
      <c r="E3877" s="2096" t="s">
        <v>6257</v>
      </c>
      <c r="F3877" s="2096"/>
      <c r="G3877" s="2096"/>
      <c r="H3877" s="2097"/>
      <c r="K3877" s="1192" t="s">
        <v>3407</v>
      </c>
      <c r="V3877" s="1192">
        <v>246</v>
      </c>
    </row>
    <row r="3878" spans="1:22" s="1192" customFormat="1" ht="14.4" x14ac:dyDescent="0.3">
      <c r="A3878" s="1192" t="s">
        <v>159</v>
      </c>
      <c r="E3878" s="2221" t="s">
        <v>2394</v>
      </c>
      <c r="F3878" s="2109"/>
      <c r="G3878" s="2109"/>
      <c r="H3878" s="2109"/>
      <c r="K3878" s="1192" t="s">
        <v>2531</v>
      </c>
      <c r="V3878" s="1192">
        <v>46</v>
      </c>
    </row>
    <row r="3879" spans="1:22" s="1192" customFormat="1" ht="14.4" x14ac:dyDescent="0.3">
      <c r="A3879" s="1192" t="s">
        <v>159</v>
      </c>
      <c r="E3879" s="2094" t="s">
        <v>7</v>
      </c>
      <c r="F3879" s="2094"/>
      <c r="G3879" s="913" t="s">
        <v>19</v>
      </c>
      <c r="H3879" s="815">
        <v>5164</v>
      </c>
      <c r="K3879" s="1192" t="s">
        <v>3407</v>
      </c>
      <c r="L3879" s="1192" t="s">
        <v>430</v>
      </c>
      <c r="P3879" s="1192" t="s">
        <v>3409</v>
      </c>
      <c r="V3879" s="1192">
        <v>14</v>
      </c>
    </row>
    <row r="3880" spans="1:22" s="1192" customFormat="1" ht="14.4" x14ac:dyDescent="0.3">
      <c r="A3880" s="1192" t="s">
        <v>159</v>
      </c>
      <c r="E3880" s="2094" t="s">
        <v>80</v>
      </c>
      <c r="F3880" s="2094"/>
      <c r="G3880" s="913" t="s">
        <v>29</v>
      </c>
      <c r="H3880" s="816">
        <v>1.377</v>
      </c>
      <c r="K3880" s="1192" t="s">
        <v>3407</v>
      </c>
      <c r="L3880" s="1192" t="s">
        <v>430</v>
      </c>
      <c r="P3880" s="1192" t="s">
        <v>3410</v>
      </c>
      <c r="V3880" s="1192">
        <v>28</v>
      </c>
    </row>
    <row r="3881" spans="1:22" s="1192" customFormat="1" ht="14.4" x14ac:dyDescent="0.3">
      <c r="A3881" s="1192" t="s">
        <v>159</v>
      </c>
      <c r="E3881" s="2094" t="s">
        <v>14</v>
      </c>
      <c r="F3881" s="2094"/>
      <c r="G3881" s="913" t="s">
        <v>29</v>
      </c>
      <c r="H3881" s="816">
        <v>1.2699</v>
      </c>
      <c r="K3881" s="1192" t="s">
        <v>3407</v>
      </c>
      <c r="L3881" s="1192" t="s">
        <v>431</v>
      </c>
      <c r="P3881" s="1192" t="s">
        <v>3411</v>
      </c>
      <c r="V3881" s="1192">
        <v>24</v>
      </c>
    </row>
    <row r="3882" spans="1:22" s="1192" customFormat="1" ht="14.4" x14ac:dyDescent="0.3">
      <c r="A3882" s="1192" t="s">
        <v>159</v>
      </c>
      <c r="E3882" s="2094" t="s">
        <v>6075</v>
      </c>
      <c r="F3882" s="1740"/>
      <c r="G3882" s="913" t="s">
        <v>29</v>
      </c>
      <c r="H3882" s="816">
        <v>0.56420000000000003</v>
      </c>
      <c r="K3882" s="1192" t="s">
        <v>3407</v>
      </c>
      <c r="L3882" s="1192" t="s">
        <v>431</v>
      </c>
      <c r="P3882" s="1192" t="s">
        <v>3413</v>
      </c>
      <c r="T3882" s="1192">
        <v>44196</v>
      </c>
      <c r="V3882" s="1192">
        <v>136</v>
      </c>
    </row>
    <row r="3883" spans="1:22" s="1192" customFormat="1" ht="14.4" x14ac:dyDescent="0.3">
      <c r="A3883" s="1192" t="s">
        <v>159</v>
      </c>
      <c r="E3883" s="2094" t="s">
        <v>213</v>
      </c>
      <c r="F3883" s="2094"/>
      <c r="G3883" s="913" t="s">
        <v>29</v>
      </c>
      <c r="H3883" s="816">
        <v>3.4134000000000002</v>
      </c>
      <c r="K3883" s="1192" t="s">
        <v>3407</v>
      </c>
      <c r="L3883" s="1192" t="s">
        <v>432</v>
      </c>
      <c r="P3883" s="1192" t="s">
        <v>3414</v>
      </c>
      <c r="V3883" s="1192">
        <v>47</v>
      </c>
    </row>
    <row r="3884" spans="1:22" s="1192" customFormat="1" ht="14.4" x14ac:dyDescent="0.3">
      <c r="A3884" s="1192" t="s">
        <v>159</v>
      </c>
      <c r="E3884" s="2094" t="s">
        <v>209</v>
      </c>
      <c r="F3884" s="2094"/>
      <c r="G3884" s="913" t="s">
        <v>29</v>
      </c>
      <c r="H3884" s="816">
        <v>3.0588000000000002</v>
      </c>
      <c r="K3884" s="1192" t="s">
        <v>3407</v>
      </c>
      <c r="L3884" s="1192" t="s">
        <v>432</v>
      </c>
      <c r="P3884" s="1192" t="s">
        <v>4132</v>
      </c>
      <c r="V3884" s="1192">
        <v>74</v>
      </c>
    </row>
    <row r="3885" spans="1:22" s="1192" customFormat="1" ht="14.4" x14ac:dyDescent="0.3">
      <c r="A3885" s="1192" t="s">
        <v>159</v>
      </c>
      <c r="E3885" s="2102" t="s">
        <v>2405</v>
      </c>
      <c r="F3885" s="1740"/>
      <c r="G3885" s="817"/>
      <c r="H3885" s="914"/>
      <c r="K3885" s="1192" t="s">
        <v>2532</v>
      </c>
      <c r="V3885" s="1192">
        <v>48</v>
      </c>
    </row>
    <row r="3886" spans="1:22" s="1192" customFormat="1" ht="14.4" x14ac:dyDescent="0.3">
      <c r="A3886" s="1192" t="s">
        <v>159</v>
      </c>
      <c r="E3886" s="2094" t="s">
        <v>2033</v>
      </c>
      <c r="F3886" s="2094"/>
      <c r="G3886" s="817" t="s">
        <v>20</v>
      </c>
      <c r="H3886" s="818">
        <v>3.0000000000000001E-3</v>
      </c>
      <c r="K3886" s="1192" t="s">
        <v>3407</v>
      </c>
      <c r="L3886" s="1192" t="s">
        <v>2374</v>
      </c>
      <c r="P3886" s="1192" t="s">
        <v>3415</v>
      </c>
      <c r="V3886" s="1192">
        <v>55</v>
      </c>
    </row>
    <row r="3887" spans="1:22" s="1192" customFormat="1" ht="14.4" x14ac:dyDescent="0.3">
      <c r="A3887" s="1192" t="s">
        <v>159</v>
      </c>
      <c r="E3887" s="2094" t="s">
        <v>2034</v>
      </c>
      <c r="F3887" s="2094"/>
      <c r="G3887" s="817" t="s">
        <v>20</v>
      </c>
      <c r="H3887" s="818">
        <v>4.0000000000000002E-4</v>
      </c>
      <c r="K3887" s="1192" t="s">
        <v>3407</v>
      </c>
      <c r="L3887" s="1192" t="s">
        <v>2374</v>
      </c>
      <c r="P3887" s="1192" t="s">
        <v>3415</v>
      </c>
      <c r="V3887" s="1192">
        <v>65</v>
      </c>
    </row>
    <row r="3888" spans="1:22" s="1192" customFormat="1" ht="14.4" x14ac:dyDescent="0.3">
      <c r="A3888" s="1192" t="s">
        <v>159</v>
      </c>
      <c r="E3888" s="2094" t="s">
        <v>4228</v>
      </c>
      <c r="F3888" s="2094"/>
      <c r="G3888" s="817" t="s">
        <v>20</v>
      </c>
      <c r="H3888" s="818">
        <v>5.0000000000000001E-4</v>
      </c>
      <c r="K3888" s="1192" t="s">
        <v>3407</v>
      </c>
      <c r="L3888" s="1192" t="s">
        <v>2374</v>
      </c>
      <c r="P3888" s="1192" t="s">
        <v>3416</v>
      </c>
      <c r="V3888" s="1192">
        <v>58</v>
      </c>
    </row>
    <row r="3889" spans="1:22" s="1192" customFormat="1" ht="14.4" x14ac:dyDescent="0.3">
      <c r="A3889" s="1192" t="s">
        <v>159</v>
      </c>
      <c r="E3889" s="2094" t="s">
        <v>28</v>
      </c>
      <c r="F3889" s="2094"/>
      <c r="G3889" s="817" t="s">
        <v>19</v>
      </c>
      <c r="H3889" s="819">
        <v>0.25</v>
      </c>
      <c r="K3889" s="1192" t="s">
        <v>3407</v>
      </c>
      <c r="L3889" s="1192" t="s">
        <v>2374</v>
      </c>
      <c r="P3889" s="1192" t="s">
        <v>3417</v>
      </c>
      <c r="V3889" s="1192">
        <v>63</v>
      </c>
    </row>
    <row r="3890" spans="1:22" s="1192" customFormat="1" ht="17.399999999999999" x14ac:dyDescent="0.3">
      <c r="A3890" s="1192" t="s">
        <v>159</v>
      </c>
      <c r="E3890" s="2098" t="s">
        <v>592</v>
      </c>
      <c r="F3890" s="2098"/>
      <c r="G3890" s="2098"/>
      <c r="H3890" s="2099"/>
      <c r="K3890" s="1192" t="s">
        <v>2726</v>
      </c>
      <c r="V3890" s="1192">
        <v>47</v>
      </c>
    </row>
    <row r="3891" spans="1:22" s="1192" customFormat="1" ht="14.4" x14ac:dyDescent="0.3">
      <c r="A3891" s="1192" t="s">
        <v>159</v>
      </c>
      <c r="E3891" s="2096" t="s">
        <v>3163</v>
      </c>
      <c r="F3891" s="2096"/>
      <c r="G3891" s="2096"/>
      <c r="H3891" s="2097"/>
      <c r="K3891" s="1192" t="s">
        <v>2726</v>
      </c>
      <c r="V3891" s="1192">
        <v>619</v>
      </c>
    </row>
    <row r="3892" spans="1:22" s="1192" customFormat="1" ht="14.4" x14ac:dyDescent="0.3">
      <c r="A3892" s="1192" t="s">
        <v>159</v>
      </c>
      <c r="E3892" s="2095" t="s">
        <v>2389</v>
      </c>
      <c r="F3892" s="1988"/>
      <c r="G3892" s="1988"/>
      <c r="H3892" s="1988"/>
      <c r="K3892" s="1192" t="s">
        <v>2424</v>
      </c>
      <c r="V3892" s="1192">
        <v>11</v>
      </c>
    </row>
    <row r="3893" spans="1:22" s="1192" customFormat="1" ht="14.4" x14ac:dyDescent="0.3">
      <c r="A3893" s="1192" t="s">
        <v>159</v>
      </c>
      <c r="E3893" s="2096" t="s">
        <v>2391</v>
      </c>
      <c r="F3893" s="2096"/>
      <c r="G3893" s="2096"/>
      <c r="H3893" s="2097"/>
      <c r="K3893" s="1192" t="s">
        <v>2726</v>
      </c>
      <c r="V3893" s="1192">
        <v>280</v>
      </c>
    </row>
    <row r="3894" spans="1:22" s="1192" customFormat="1" ht="14.4" x14ac:dyDescent="0.3">
      <c r="A3894" s="1192" t="s">
        <v>159</v>
      </c>
      <c r="E3894" s="2096" t="s">
        <v>3161</v>
      </c>
      <c r="F3894" s="2096"/>
      <c r="G3894" s="2096"/>
      <c r="H3894" s="2097"/>
      <c r="K3894" s="1192" t="s">
        <v>2726</v>
      </c>
      <c r="V3894" s="1192">
        <v>411</v>
      </c>
    </row>
    <row r="3895" spans="1:22" s="1192" customFormat="1" ht="14.4" x14ac:dyDescent="0.3">
      <c r="A3895" s="1192" t="s">
        <v>159</v>
      </c>
      <c r="E3895" s="2096" t="s">
        <v>2508</v>
      </c>
      <c r="F3895" s="2096"/>
      <c r="G3895" s="2096"/>
      <c r="H3895" s="2097"/>
      <c r="K3895" s="1192" t="s">
        <v>2726</v>
      </c>
      <c r="V3895" s="1192">
        <v>386</v>
      </c>
    </row>
    <row r="3896" spans="1:22" s="1192" customFormat="1" ht="14.4" x14ac:dyDescent="0.3">
      <c r="A3896" s="1192" t="s">
        <v>159</v>
      </c>
      <c r="E3896" s="2096" t="s">
        <v>6257</v>
      </c>
      <c r="F3896" s="2096"/>
      <c r="G3896" s="2096"/>
      <c r="H3896" s="2097"/>
      <c r="K3896" s="1192" t="s">
        <v>2726</v>
      </c>
      <c r="V3896" s="1192">
        <v>246</v>
      </c>
    </row>
    <row r="3897" spans="1:22" s="1192" customFormat="1" ht="14.4" x14ac:dyDescent="0.3">
      <c r="A3897" s="1192" t="s">
        <v>159</v>
      </c>
      <c r="E3897" s="2221" t="s">
        <v>2394</v>
      </c>
      <c r="F3897" s="2109"/>
      <c r="G3897" s="2109"/>
      <c r="H3897" s="2109"/>
      <c r="K3897" s="1192" t="s">
        <v>2425</v>
      </c>
      <c r="V3897" s="1192">
        <v>46</v>
      </c>
    </row>
    <row r="3898" spans="1:22" s="1192" customFormat="1" ht="14.4" x14ac:dyDescent="0.3">
      <c r="A3898" s="1192" t="s">
        <v>159</v>
      </c>
      <c r="E3898" s="2094" t="s">
        <v>9</v>
      </c>
      <c r="F3898" s="2094"/>
      <c r="G3898" s="913" t="s">
        <v>19</v>
      </c>
      <c r="H3898" s="815">
        <v>6.46</v>
      </c>
      <c r="K3898" s="1192" t="s">
        <v>2726</v>
      </c>
      <c r="L3898" s="1192" t="s">
        <v>430</v>
      </c>
      <c r="P3898" s="1192" t="s">
        <v>2727</v>
      </c>
      <c r="V3898" s="1192">
        <v>29</v>
      </c>
    </row>
    <row r="3899" spans="1:22" s="1192" customFormat="1" ht="14.4" x14ac:dyDescent="0.3">
      <c r="A3899" s="1192" t="s">
        <v>159</v>
      </c>
      <c r="E3899" s="2094" t="s">
        <v>80</v>
      </c>
      <c r="F3899" s="2094"/>
      <c r="G3899" s="913" t="s">
        <v>20</v>
      </c>
      <c r="H3899" s="816">
        <v>1.2800000000000001E-2</v>
      </c>
      <c r="K3899" s="1192" t="s">
        <v>2726</v>
      </c>
      <c r="L3899" s="1192" t="s">
        <v>430</v>
      </c>
      <c r="P3899" s="1192" t="s">
        <v>2728</v>
      </c>
      <c r="V3899" s="1192">
        <v>28</v>
      </c>
    </row>
    <row r="3900" spans="1:22" s="1192" customFormat="1" ht="14.4" x14ac:dyDescent="0.3">
      <c r="A3900" s="1192" t="s">
        <v>159</v>
      </c>
      <c r="E3900" s="2094" t="s">
        <v>14</v>
      </c>
      <c r="F3900" s="2094"/>
      <c r="G3900" s="913" t="s">
        <v>20</v>
      </c>
      <c r="H3900" s="816">
        <v>2.8E-3</v>
      </c>
      <c r="K3900" s="1192" t="s">
        <v>2726</v>
      </c>
      <c r="L3900" s="1192" t="s">
        <v>431</v>
      </c>
      <c r="P3900" s="1192" t="s">
        <v>2729</v>
      </c>
      <c r="V3900" s="1192">
        <v>24</v>
      </c>
    </row>
    <row r="3901" spans="1:22" s="1192" customFormat="1" ht="14.4" x14ac:dyDescent="0.3">
      <c r="A3901" s="1192" t="s">
        <v>159</v>
      </c>
      <c r="E3901" s="2094" t="s">
        <v>6075</v>
      </c>
      <c r="F3901" s="1740"/>
      <c r="G3901" s="913" t="s">
        <v>20</v>
      </c>
      <c r="H3901" s="816">
        <v>1E-3</v>
      </c>
      <c r="K3901" s="1192" t="s">
        <v>2726</v>
      </c>
      <c r="L3901" s="1192" t="s">
        <v>431</v>
      </c>
      <c r="P3901" s="1192" t="s">
        <v>2789</v>
      </c>
      <c r="T3901" s="1192">
        <v>44196</v>
      </c>
      <c r="V3901" s="1192">
        <v>136</v>
      </c>
    </row>
    <row r="3902" spans="1:22" s="1192" customFormat="1" ht="14.4" x14ac:dyDescent="0.3">
      <c r="A3902" s="1192" t="s">
        <v>159</v>
      </c>
      <c r="E3902" s="2094" t="s">
        <v>6260</v>
      </c>
      <c r="F3902" s="1740"/>
      <c r="G3902" s="913" t="s">
        <v>20</v>
      </c>
      <c r="H3902" s="816">
        <v>-1.1999999999999999E-3</v>
      </c>
      <c r="K3902" s="1192" t="s">
        <v>2726</v>
      </c>
      <c r="L3902" s="1192" t="s">
        <v>431</v>
      </c>
      <c r="P3902" s="1192" t="s">
        <v>2788</v>
      </c>
      <c r="T3902" s="1192">
        <v>44196</v>
      </c>
      <c r="V3902" s="1192">
        <v>175</v>
      </c>
    </row>
    <row r="3903" spans="1:22" s="1192" customFormat="1" ht="14.4" x14ac:dyDescent="0.3">
      <c r="A3903" s="1192" t="s">
        <v>159</v>
      </c>
      <c r="E3903" s="2094" t="s">
        <v>213</v>
      </c>
      <c r="F3903" s="2094"/>
      <c r="G3903" s="913" t="s">
        <v>20</v>
      </c>
      <c r="H3903" s="816">
        <v>7.1999999999999998E-3</v>
      </c>
      <c r="K3903" s="1192" t="s">
        <v>2726</v>
      </c>
      <c r="L3903" s="1192" t="s">
        <v>432</v>
      </c>
      <c r="P3903" s="1192" t="s">
        <v>2731</v>
      </c>
      <c r="V3903" s="1192">
        <v>47</v>
      </c>
    </row>
    <row r="3904" spans="1:22" s="1192" customFormat="1" ht="14.4" x14ac:dyDescent="0.3">
      <c r="A3904" s="1192" t="s">
        <v>159</v>
      </c>
      <c r="E3904" s="2094" t="s">
        <v>209</v>
      </c>
      <c r="F3904" s="2094"/>
      <c r="G3904" s="913" t="s">
        <v>20</v>
      </c>
      <c r="H3904" s="816">
        <v>6.4000000000000003E-3</v>
      </c>
      <c r="K3904" s="1192" t="s">
        <v>2726</v>
      </c>
      <c r="L3904" s="1192" t="s">
        <v>432</v>
      </c>
      <c r="P3904" s="1192" t="s">
        <v>2732</v>
      </c>
      <c r="V3904" s="1192">
        <v>74</v>
      </c>
    </row>
    <row r="3905" spans="1:22" s="1192" customFormat="1" ht="14.4" x14ac:dyDescent="0.3">
      <c r="A3905" s="1192" t="s">
        <v>159</v>
      </c>
      <c r="E3905" s="2102" t="s">
        <v>2405</v>
      </c>
      <c r="F3905" s="1740"/>
      <c r="G3905" s="817"/>
      <c r="H3905" s="914"/>
      <c r="K3905" s="1192" t="s">
        <v>2427</v>
      </c>
      <c r="V3905" s="1192">
        <v>48</v>
      </c>
    </row>
    <row r="3906" spans="1:22" s="1192" customFormat="1" ht="14.4" x14ac:dyDescent="0.3">
      <c r="A3906" s="1192" t="s">
        <v>159</v>
      </c>
      <c r="E3906" s="2094" t="s">
        <v>2033</v>
      </c>
      <c r="F3906" s="2094"/>
      <c r="G3906" s="817" t="s">
        <v>20</v>
      </c>
      <c r="H3906" s="818">
        <v>3.0000000000000001E-3</v>
      </c>
      <c r="K3906" s="1192" t="s">
        <v>2726</v>
      </c>
      <c r="L3906" s="1192" t="s">
        <v>2374</v>
      </c>
      <c r="P3906" s="1192" t="s">
        <v>2733</v>
      </c>
      <c r="V3906" s="1192">
        <v>55</v>
      </c>
    </row>
    <row r="3907" spans="1:22" s="1192" customFormat="1" ht="14.4" x14ac:dyDescent="0.3">
      <c r="A3907" s="1192" t="s">
        <v>159</v>
      </c>
      <c r="E3907" s="2094" t="s">
        <v>2034</v>
      </c>
      <c r="F3907" s="2094"/>
      <c r="G3907" s="817" t="s">
        <v>20</v>
      </c>
      <c r="H3907" s="818">
        <v>4.0000000000000002E-4</v>
      </c>
      <c r="K3907" s="1192" t="s">
        <v>2726</v>
      </c>
      <c r="L3907" s="1192" t="s">
        <v>2374</v>
      </c>
      <c r="P3907" s="1192" t="s">
        <v>2733</v>
      </c>
      <c r="V3907" s="1192">
        <v>65</v>
      </c>
    </row>
    <row r="3908" spans="1:22" s="1192" customFormat="1" ht="14.4" x14ac:dyDescent="0.3">
      <c r="A3908" s="1192" t="s">
        <v>159</v>
      </c>
      <c r="E3908" s="2094" t="s">
        <v>4228</v>
      </c>
      <c r="F3908" s="2094"/>
      <c r="G3908" s="817" t="s">
        <v>20</v>
      </c>
      <c r="H3908" s="818">
        <v>5.0000000000000001E-4</v>
      </c>
      <c r="K3908" s="1192" t="s">
        <v>2726</v>
      </c>
      <c r="L3908" s="1192" t="s">
        <v>2374</v>
      </c>
      <c r="P3908" s="1192" t="s">
        <v>2734</v>
      </c>
      <c r="V3908" s="1192">
        <v>58</v>
      </c>
    </row>
    <row r="3909" spans="1:22" s="1192" customFormat="1" ht="14.4" x14ac:dyDescent="0.3">
      <c r="A3909" s="1192" t="s">
        <v>159</v>
      </c>
      <c r="E3909" s="2094" t="s">
        <v>28</v>
      </c>
      <c r="F3909" s="2094"/>
      <c r="G3909" s="817" t="s">
        <v>19</v>
      </c>
      <c r="H3909" s="819">
        <v>0.25</v>
      </c>
      <c r="K3909" s="1192" t="s">
        <v>2726</v>
      </c>
      <c r="L3909" s="1192" t="s">
        <v>2374</v>
      </c>
      <c r="P3909" s="1192" t="s">
        <v>2735</v>
      </c>
      <c r="V3909" s="1192">
        <v>63</v>
      </c>
    </row>
    <row r="3910" spans="1:22" s="1192" customFormat="1" ht="17.399999999999999" x14ac:dyDescent="0.3">
      <c r="A3910" s="1192" t="s">
        <v>159</v>
      </c>
      <c r="E3910" s="2098" t="s">
        <v>606</v>
      </c>
      <c r="F3910" s="2098"/>
      <c r="G3910" s="2098"/>
      <c r="H3910" s="2099"/>
      <c r="K3910" s="1192" t="s">
        <v>2790</v>
      </c>
      <c r="V3910" s="1192">
        <v>36</v>
      </c>
    </row>
    <row r="3911" spans="1:22" s="1192" customFormat="1" ht="14.4" x14ac:dyDescent="0.3">
      <c r="A3911" s="1192" t="s">
        <v>159</v>
      </c>
      <c r="E3911" s="2096" t="s">
        <v>3164</v>
      </c>
      <c r="F3911" s="2096"/>
      <c r="G3911" s="2096"/>
      <c r="H3911" s="2097"/>
      <c r="K3911" s="1192" t="s">
        <v>2790</v>
      </c>
      <c r="V3911" s="1192">
        <v>498</v>
      </c>
    </row>
    <row r="3912" spans="1:22" s="1192" customFormat="1" ht="14.4" x14ac:dyDescent="0.3">
      <c r="A3912" s="1192" t="s">
        <v>159</v>
      </c>
      <c r="E3912" s="2095" t="s">
        <v>2389</v>
      </c>
      <c r="F3912" s="1988"/>
      <c r="G3912" s="1988"/>
      <c r="H3912" s="1988"/>
      <c r="K3912" s="1192" t="s">
        <v>2430</v>
      </c>
      <c r="V3912" s="1192">
        <v>11</v>
      </c>
    </row>
    <row r="3913" spans="1:22" s="1192" customFormat="1" ht="14.4" x14ac:dyDescent="0.3">
      <c r="A3913" s="1192" t="s">
        <v>159</v>
      </c>
      <c r="E3913" s="2096" t="s">
        <v>2391</v>
      </c>
      <c r="F3913" s="2096"/>
      <c r="G3913" s="2096"/>
      <c r="H3913" s="2097"/>
      <c r="K3913" s="1192" t="s">
        <v>2790</v>
      </c>
      <c r="V3913" s="1192">
        <v>280</v>
      </c>
    </row>
    <row r="3914" spans="1:22" s="1192" customFormat="1" ht="14.4" x14ac:dyDescent="0.3">
      <c r="A3914" s="1192" t="s">
        <v>159</v>
      </c>
      <c r="E3914" s="2096" t="s">
        <v>3161</v>
      </c>
      <c r="F3914" s="2096"/>
      <c r="G3914" s="2096"/>
      <c r="H3914" s="2097"/>
      <c r="K3914" s="1192" t="s">
        <v>2790</v>
      </c>
      <c r="V3914" s="1192">
        <v>411</v>
      </c>
    </row>
    <row r="3915" spans="1:22" s="1192" customFormat="1" ht="14.4" x14ac:dyDescent="0.3">
      <c r="A3915" s="1192" t="s">
        <v>159</v>
      </c>
      <c r="E3915" s="2096" t="s">
        <v>2508</v>
      </c>
      <c r="F3915" s="2096"/>
      <c r="G3915" s="2096"/>
      <c r="H3915" s="2097"/>
      <c r="K3915" s="1192" t="s">
        <v>2790</v>
      </c>
      <c r="V3915" s="1192">
        <v>386</v>
      </c>
    </row>
    <row r="3916" spans="1:22" s="1192" customFormat="1" ht="14.4" x14ac:dyDescent="0.3">
      <c r="A3916" s="1192" t="s">
        <v>159</v>
      </c>
      <c r="E3916" s="2096" t="s">
        <v>6257</v>
      </c>
      <c r="F3916" s="2096"/>
      <c r="G3916" s="2096"/>
      <c r="H3916" s="2097"/>
      <c r="K3916" s="1192" t="s">
        <v>2790</v>
      </c>
      <c r="V3916" s="1192">
        <v>246</v>
      </c>
    </row>
    <row r="3917" spans="1:22" s="1192" customFormat="1" ht="14.4" x14ac:dyDescent="0.3">
      <c r="A3917" s="1192" t="s">
        <v>159</v>
      </c>
      <c r="E3917" s="2221" t="s">
        <v>2606</v>
      </c>
      <c r="F3917" s="2109"/>
      <c r="G3917" s="2109"/>
      <c r="H3917" s="2109"/>
      <c r="K3917" s="1192" t="s">
        <v>4229</v>
      </c>
      <c r="V3917" s="1192">
        <v>25</v>
      </c>
    </row>
    <row r="3918" spans="1:22" s="1192" customFormat="1" ht="14.4" x14ac:dyDescent="0.3">
      <c r="A3918" s="1192" t="s">
        <v>159</v>
      </c>
      <c r="E3918" s="2223" t="s">
        <v>4230</v>
      </c>
      <c r="F3918" s="2223"/>
      <c r="G3918" s="2223"/>
      <c r="H3918" s="2224"/>
      <c r="K3918" s="1192" t="s">
        <v>2790</v>
      </c>
      <c r="V3918" s="1192">
        <v>222</v>
      </c>
    </row>
    <row r="3919" spans="1:22" s="1192" customFormat="1" ht="14.4" x14ac:dyDescent="0.3">
      <c r="A3919" s="1192" t="s">
        <v>159</v>
      </c>
      <c r="E3919" s="2223" t="s">
        <v>4231</v>
      </c>
      <c r="F3919" s="2223"/>
      <c r="G3919" s="2223"/>
      <c r="H3919" s="2224"/>
      <c r="K3919" s="1192" t="s">
        <v>2790</v>
      </c>
      <c r="V3919" s="1192">
        <v>462</v>
      </c>
    </row>
    <row r="3920" spans="1:22" s="1192" customFormat="1" ht="14.4" x14ac:dyDescent="0.3">
      <c r="A3920" s="1192" t="s">
        <v>159</v>
      </c>
      <c r="E3920" s="2223" t="s">
        <v>4232</v>
      </c>
      <c r="F3920" s="2223"/>
      <c r="G3920" s="2223"/>
      <c r="H3920" s="2224"/>
      <c r="K3920" s="1192" t="s">
        <v>2790</v>
      </c>
      <c r="V3920" s="1192">
        <v>355</v>
      </c>
    </row>
    <row r="3921" spans="1:22" s="1192" customFormat="1" ht="14.4" x14ac:dyDescent="0.3">
      <c r="A3921" s="1192" t="s">
        <v>159</v>
      </c>
      <c r="E3921" s="2223" t="s">
        <v>4233</v>
      </c>
      <c r="F3921" s="2223"/>
      <c r="G3921" s="2223"/>
      <c r="H3921" s="2224"/>
      <c r="K3921" s="1192" t="s">
        <v>2790</v>
      </c>
      <c r="V3921" s="1192">
        <v>567</v>
      </c>
    </row>
    <row r="3922" spans="1:22" s="1192" customFormat="1" ht="14.4" x14ac:dyDescent="0.3">
      <c r="A3922" s="1192" t="s">
        <v>159</v>
      </c>
      <c r="E3922" s="2225" t="s">
        <v>4234</v>
      </c>
      <c r="F3922" s="2223"/>
      <c r="G3922" s="2223"/>
      <c r="H3922" s="2224"/>
      <c r="K3922" s="1192" t="s">
        <v>2790</v>
      </c>
      <c r="V3922" s="1192">
        <v>389</v>
      </c>
    </row>
    <row r="3923" spans="1:22" s="1192" customFormat="1" ht="17.399999999999999" x14ac:dyDescent="0.3">
      <c r="A3923" s="1192" t="s">
        <v>159</v>
      </c>
      <c r="E3923" s="2098" t="s">
        <v>590</v>
      </c>
      <c r="F3923" s="2098"/>
      <c r="G3923" s="2098"/>
      <c r="H3923" s="2099"/>
      <c r="K3923" s="1192" t="s">
        <v>2746</v>
      </c>
      <c r="V3923" s="1192">
        <v>38</v>
      </c>
    </row>
    <row r="3924" spans="1:22" s="1192" customFormat="1" ht="14.4" x14ac:dyDescent="0.3">
      <c r="A3924" s="1192" t="s">
        <v>159</v>
      </c>
      <c r="E3924" s="2096" t="s">
        <v>3165</v>
      </c>
      <c r="F3924" s="2096"/>
      <c r="G3924" s="2096"/>
      <c r="H3924" s="2097"/>
      <c r="K3924" s="1192" t="s">
        <v>2746</v>
      </c>
      <c r="V3924" s="1192">
        <v>551</v>
      </c>
    </row>
    <row r="3925" spans="1:22" s="1192" customFormat="1" ht="14.4" x14ac:dyDescent="0.3">
      <c r="A3925" s="1192" t="s">
        <v>159</v>
      </c>
      <c r="E3925" s="2095" t="s">
        <v>2389</v>
      </c>
      <c r="F3925" s="1988"/>
      <c r="G3925" s="1988"/>
      <c r="H3925" s="1988"/>
      <c r="K3925" s="1192" t="s">
        <v>2444</v>
      </c>
      <c r="V3925" s="1192">
        <v>11</v>
      </c>
    </row>
    <row r="3926" spans="1:22" s="1192" customFormat="1" ht="14.4" x14ac:dyDescent="0.3">
      <c r="A3926" s="1192" t="s">
        <v>159</v>
      </c>
      <c r="E3926" s="2096" t="s">
        <v>2391</v>
      </c>
      <c r="F3926" s="2096"/>
      <c r="G3926" s="2096"/>
      <c r="H3926" s="2097"/>
      <c r="K3926" s="1192" t="s">
        <v>2746</v>
      </c>
      <c r="V3926" s="1192">
        <v>280</v>
      </c>
    </row>
    <row r="3927" spans="1:22" s="1192" customFormat="1" ht="14.4" x14ac:dyDescent="0.3">
      <c r="A3927" s="1192" t="s">
        <v>159</v>
      </c>
      <c r="E3927" s="2096" t="s">
        <v>3161</v>
      </c>
      <c r="F3927" s="2096"/>
      <c r="G3927" s="2096"/>
      <c r="H3927" s="2097"/>
      <c r="K3927" s="1192" t="s">
        <v>2746</v>
      </c>
      <c r="V3927" s="1192">
        <v>411</v>
      </c>
    </row>
    <row r="3928" spans="1:22" s="1192" customFormat="1" ht="14.4" x14ac:dyDescent="0.3">
      <c r="A3928" s="1192" t="s">
        <v>159</v>
      </c>
      <c r="E3928" s="2096" t="s">
        <v>2508</v>
      </c>
      <c r="F3928" s="2096"/>
      <c r="G3928" s="2096"/>
      <c r="H3928" s="2097"/>
      <c r="K3928" s="1192" t="s">
        <v>2746</v>
      </c>
      <c r="V3928" s="1192">
        <v>386</v>
      </c>
    </row>
    <row r="3929" spans="1:22" s="1192" customFormat="1" ht="14.4" x14ac:dyDescent="0.3">
      <c r="A3929" s="1192" t="s">
        <v>159</v>
      </c>
      <c r="E3929" s="2096" t="s">
        <v>6257</v>
      </c>
      <c r="F3929" s="2096"/>
      <c r="G3929" s="2096"/>
      <c r="H3929" s="2097"/>
      <c r="K3929" s="1192" t="s">
        <v>2746</v>
      </c>
      <c r="V3929" s="1192">
        <v>246</v>
      </c>
    </row>
    <row r="3930" spans="1:22" s="1192" customFormat="1" ht="14.4" x14ac:dyDescent="0.3">
      <c r="A3930" s="1192" t="s">
        <v>159</v>
      </c>
      <c r="E3930" s="2221" t="s">
        <v>2394</v>
      </c>
      <c r="F3930" s="2109"/>
      <c r="G3930" s="2109"/>
      <c r="H3930" s="2109"/>
      <c r="K3930" s="1192" t="s">
        <v>2446</v>
      </c>
      <c r="V3930" s="1192">
        <v>46</v>
      </c>
    </row>
    <row r="3931" spans="1:22" s="1192" customFormat="1" ht="14.4" x14ac:dyDescent="0.3">
      <c r="A3931" s="1192" t="s">
        <v>159</v>
      </c>
      <c r="E3931" s="2094" t="s">
        <v>424</v>
      </c>
      <c r="F3931" s="2094"/>
      <c r="G3931" s="913" t="s">
        <v>19</v>
      </c>
      <c r="H3931" s="815">
        <v>1.31</v>
      </c>
      <c r="K3931" s="1192" t="s">
        <v>2746</v>
      </c>
      <c r="L3931" s="1192" t="s">
        <v>430</v>
      </c>
      <c r="P3931" s="1192" t="s">
        <v>2747</v>
      </c>
      <c r="V3931" s="1192">
        <v>26</v>
      </c>
    </row>
    <row r="3932" spans="1:22" s="1192" customFormat="1" ht="14.4" x14ac:dyDescent="0.3">
      <c r="A3932" s="1192" t="s">
        <v>159</v>
      </c>
      <c r="E3932" s="2094" t="s">
        <v>80</v>
      </c>
      <c r="F3932" s="2094"/>
      <c r="G3932" s="913" t="s">
        <v>29</v>
      </c>
      <c r="H3932" s="816">
        <v>14.8695</v>
      </c>
      <c r="K3932" s="1192" t="s">
        <v>2746</v>
      </c>
      <c r="L3932" s="1192" t="s">
        <v>430</v>
      </c>
      <c r="P3932" s="1192" t="s">
        <v>2748</v>
      </c>
      <c r="V3932" s="1192">
        <v>28</v>
      </c>
    </row>
    <row r="3933" spans="1:22" s="1192" customFormat="1" ht="14.4" x14ac:dyDescent="0.3">
      <c r="A3933" s="1192" t="s">
        <v>159</v>
      </c>
      <c r="E3933" s="2094" t="s">
        <v>14</v>
      </c>
      <c r="F3933" s="2094"/>
      <c r="G3933" s="913" t="s">
        <v>29</v>
      </c>
      <c r="H3933" s="816">
        <v>0.76119999999999999</v>
      </c>
      <c r="K3933" s="1192" t="s">
        <v>2746</v>
      </c>
      <c r="L3933" s="1192" t="s">
        <v>431</v>
      </c>
      <c r="P3933" s="1192" t="s">
        <v>2749</v>
      </c>
      <c r="V3933" s="1192">
        <v>24</v>
      </c>
    </row>
    <row r="3934" spans="1:22" s="1192" customFormat="1" ht="14.4" x14ac:dyDescent="0.3">
      <c r="A3934" s="1192" t="s">
        <v>159</v>
      </c>
      <c r="E3934" s="2094" t="s">
        <v>6075</v>
      </c>
      <c r="F3934" s="1740"/>
      <c r="G3934" s="913" t="s">
        <v>29</v>
      </c>
      <c r="H3934" s="816">
        <v>0.3664</v>
      </c>
      <c r="K3934" s="1192" t="s">
        <v>2746</v>
      </c>
      <c r="L3934" s="1192" t="s">
        <v>431</v>
      </c>
      <c r="P3934" s="1192" t="s">
        <v>3036</v>
      </c>
      <c r="T3934" s="1192">
        <v>44196</v>
      </c>
      <c r="V3934" s="1192">
        <v>136</v>
      </c>
    </row>
    <row r="3935" spans="1:22" s="1192" customFormat="1" ht="14.4" x14ac:dyDescent="0.3">
      <c r="A3935" s="1192" t="s">
        <v>159</v>
      </c>
      <c r="E3935" s="2094" t="s">
        <v>6260</v>
      </c>
      <c r="F3935" s="1740"/>
      <c r="G3935" s="913" t="s">
        <v>20</v>
      </c>
      <c r="H3935" s="816">
        <v>-1.1999999999999999E-3</v>
      </c>
      <c r="K3935" s="1192" t="s">
        <v>2746</v>
      </c>
      <c r="L3935" s="1192" t="s">
        <v>431</v>
      </c>
      <c r="P3935" s="1192" t="s">
        <v>3270</v>
      </c>
      <c r="T3935" s="1192">
        <v>44196</v>
      </c>
      <c r="V3935" s="1192">
        <v>175</v>
      </c>
    </row>
    <row r="3936" spans="1:22" s="1192" customFormat="1" ht="14.4" x14ac:dyDescent="0.3">
      <c r="A3936" s="1192" t="s">
        <v>159</v>
      </c>
      <c r="E3936" s="2094" t="s">
        <v>213</v>
      </c>
      <c r="F3936" s="2094"/>
      <c r="G3936" s="913" t="s">
        <v>29</v>
      </c>
      <c r="H3936" s="816">
        <v>2.0463</v>
      </c>
      <c r="K3936" s="1192" t="s">
        <v>2746</v>
      </c>
      <c r="L3936" s="1192" t="s">
        <v>432</v>
      </c>
      <c r="P3936" s="1192" t="s">
        <v>2751</v>
      </c>
      <c r="V3936" s="1192">
        <v>47</v>
      </c>
    </row>
    <row r="3937" spans="1:22" s="1192" customFormat="1" ht="14.4" x14ac:dyDescent="0.3">
      <c r="A3937" s="1192" t="s">
        <v>159</v>
      </c>
      <c r="E3937" s="2094" t="s">
        <v>209</v>
      </c>
      <c r="F3937" s="2094"/>
      <c r="G3937" s="913" t="s">
        <v>29</v>
      </c>
      <c r="H3937" s="816">
        <v>1.8335999999999999</v>
      </c>
      <c r="K3937" s="1192" t="s">
        <v>2746</v>
      </c>
      <c r="L3937" s="1192" t="s">
        <v>432</v>
      </c>
      <c r="P3937" s="1192" t="s">
        <v>2752</v>
      </c>
      <c r="V3937" s="1192">
        <v>74</v>
      </c>
    </row>
    <row r="3938" spans="1:22" s="1192" customFormat="1" ht="14.4" x14ac:dyDescent="0.3">
      <c r="A3938" s="1192" t="s">
        <v>159</v>
      </c>
      <c r="E3938" s="2102" t="s">
        <v>2405</v>
      </c>
      <c r="F3938" s="1740"/>
      <c r="G3938" s="817"/>
      <c r="H3938" s="914"/>
      <c r="K3938" s="1192" t="s">
        <v>2565</v>
      </c>
      <c r="V3938" s="1192">
        <v>48</v>
      </c>
    </row>
    <row r="3939" spans="1:22" s="1192" customFormat="1" ht="14.4" x14ac:dyDescent="0.3">
      <c r="A3939" s="1192" t="s">
        <v>159</v>
      </c>
      <c r="E3939" s="2094" t="s">
        <v>2033</v>
      </c>
      <c r="F3939" s="2094"/>
      <c r="G3939" s="817" t="s">
        <v>20</v>
      </c>
      <c r="H3939" s="818">
        <v>3.0000000000000001E-3</v>
      </c>
      <c r="K3939" s="1192" t="s">
        <v>2746</v>
      </c>
      <c r="L3939" s="1192" t="s">
        <v>2374</v>
      </c>
      <c r="P3939" s="1192" t="s">
        <v>2753</v>
      </c>
      <c r="V3939" s="1192">
        <v>55</v>
      </c>
    </row>
    <row r="3940" spans="1:22" s="1192" customFormat="1" ht="14.4" x14ac:dyDescent="0.3">
      <c r="A3940" s="1192" t="s">
        <v>159</v>
      </c>
      <c r="E3940" s="2094" t="s">
        <v>2034</v>
      </c>
      <c r="F3940" s="2094"/>
      <c r="G3940" s="817" t="s">
        <v>20</v>
      </c>
      <c r="H3940" s="818">
        <v>4.0000000000000002E-4</v>
      </c>
      <c r="K3940" s="1192" t="s">
        <v>2746</v>
      </c>
      <c r="L3940" s="1192" t="s">
        <v>2374</v>
      </c>
      <c r="P3940" s="1192" t="s">
        <v>2753</v>
      </c>
      <c r="V3940" s="1192">
        <v>65</v>
      </c>
    </row>
    <row r="3941" spans="1:22" s="1192" customFormat="1" ht="14.4" x14ac:dyDescent="0.3">
      <c r="A3941" s="1192" t="s">
        <v>159</v>
      </c>
      <c r="E3941" s="2094" t="s">
        <v>4228</v>
      </c>
      <c r="F3941" s="2094"/>
      <c r="G3941" s="817" t="s">
        <v>20</v>
      </c>
      <c r="H3941" s="818">
        <v>5.0000000000000001E-4</v>
      </c>
      <c r="K3941" s="1192" t="s">
        <v>2746</v>
      </c>
      <c r="L3941" s="1192" t="s">
        <v>2374</v>
      </c>
      <c r="P3941" s="1192" t="s">
        <v>2754</v>
      </c>
      <c r="V3941" s="1192">
        <v>58</v>
      </c>
    </row>
    <row r="3942" spans="1:22" s="1192" customFormat="1" ht="14.4" x14ac:dyDescent="0.3">
      <c r="A3942" s="1192" t="s">
        <v>159</v>
      </c>
      <c r="E3942" s="2094" t="s">
        <v>28</v>
      </c>
      <c r="F3942" s="2094"/>
      <c r="G3942" s="817" t="s">
        <v>19</v>
      </c>
      <c r="H3942" s="819">
        <v>0.25</v>
      </c>
      <c r="K3942" s="1192" t="s">
        <v>2746</v>
      </c>
      <c r="L3942" s="1192" t="s">
        <v>2374</v>
      </c>
      <c r="P3942" s="1192" t="s">
        <v>2755</v>
      </c>
      <c r="V3942" s="1192">
        <v>63</v>
      </c>
    </row>
    <row r="3943" spans="1:22" s="1192" customFormat="1" ht="17.399999999999999" x14ac:dyDescent="0.3">
      <c r="A3943" s="1192" t="s">
        <v>159</v>
      </c>
      <c r="E3943" s="2098" t="s">
        <v>593</v>
      </c>
      <c r="F3943" s="2098"/>
      <c r="G3943" s="2098"/>
      <c r="H3943" s="2099"/>
      <c r="K3943" s="1192" t="s">
        <v>2756</v>
      </c>
      <c r="V3943" s="1192">
        <v>31</v>
      </c>
    </row>
    <row r="3944" spans="1:22" s="1192" customFormat="1" ht="14.4" x14ac:dyDescent="0.3">
      <c r="A3944" s="1192" t="s">
        <v>159</v>
      </c>
      <c r="E3944" s="2096" t="s">
        <v>2699</v>
      </c>
      <c r="F3944" s="2096"/>
      <c r="G3944" s="2096"/>
      <c r="H3944" s="2097"/>
      <c r="K3944" s="1192" t="s">
        <v>2756</v>
      </c>
      <c r="V3944" s="1192">
        <v>285</v>
      </c>
    </row>
    <row r="3945" spans="1:22" s="1192" customFormat="1" ht="14.4" x14ac:dyDescent="0.3">
      <c r="A3945" s="1192" t="s">
        <v>159</v>
      </c>
      <c r="E3945" s="2095" t="s">
        <v>2389</v>
      </c>
      <c r="F3945" s="1988"/>
      <c r="G3945" s="1988"/>
      <c r="H3945" s="1988"/>
      <c r="K3945" s="1192" t="s">
        <v>2571</v>
      </c>
      <c r="V3945" s="1192">
        <v>11</v>
      </c>
    </row>
    <row r="3946" spans="1:22" s="1192" customFormat="1" ht="14.4" x14ac:dyDescent="0.3">
      <c r="A3946" s="1192" t="s">
        <v>159</v>
      </c>
      <c r="E3946" s="2096" t="s">
        <v>2391</v>
      </c>
      <c r="F3946" s="2096"/>
      <c r="G3946" s="2096"/>
      <c r="H3946" s="2097"/>
      <c r="K3946" s="1192" t="s">
        <v>2756</v>
      </c>
      <c r="V3946" s="1192">
        <v>280</v>
      </c>
    </row>
    <row r="3947" spans="1:22" s="1192" customFormat="1" ht="14.4" x14ac:dyDescent="0.3">
      <c r="A3947" s="1192" t="s">
        <v>159</v>
      </c>
      <c r="E3947" s="2096" t="s">
        <v>3161</v>
      </c>
      <c r="F3947" s="2096"/>
      <c r="G3947" s="2096"/>
      <c r="H3947" s="2097"/>
      <c r="K3947" s="1192" t="s">
        <v>2756</v>
      </c>
      <c r="V3947" s="1192">
        <v>411</v>
      </c>
    </row>
    <row r="3948" spans="1:22" s="1192" customFormat="1" ht="14.4" x14ac:dyDescent="0.3">
      <c r="A3948" s="1192" t="s">
        <v>159</v>
      </c>
      <c r="E3948" s="2096" t="s">
        <v>2508</v>
      </c>
      <c r="F3948" s="2096"/>
      <c r="G3948" s="2096"/>
      <c r="H3948" s="2097"/>
      <c r="K3948" s="1192" t="s">
        <v>2756</v>
      </c>
      <c r="V3948" s="1192">
        <v>386</v>
      </c>
    </row>
    <row r="3949" spans="1:22" s="1192" customFormat="1" ht="14.4" x14ac:dyDescent="0.3">
      <c r="A3949" s="1192" t="s">
        <v>159</v>
      </c>
      <c r="E3949" s="2096" t="s">
        <v>6261</v>
      </c>
      <c r="F3949" s="2096"/>
      <c r="G3949" s="2096"/>
      <c r="H3949" s="2097"/>
      <c r="K3949" s="1192" t="s">
        <v>2756</v>
      </c>
      <c r="V3949" s="1192">
        <v>247</v>
      </c>
    </row>
    <row r="3950" spans="1:22" s="1192" customFormat="1" ht="14.4" x14ac:dyDescent="0.3">
      <c r="A3950" s="1192" t="s">
        <v>159</v>
      </c>
      <c r="E3950" s="2221" t="s">
        <v>2394</v>
      </c>
      <c r="F3950" s="2109"/>
      <c r="G3950" s="2109"/>
      <c r="H3950" s="2109"/>
      <c r="K3950" s="1192" t="s">
        <v>2572</v>
      </c>
      <c r="V3950" s="1192">
        <v>46</v>
      </c>
    </row>
    <row r="3951" spans="1:22" s="1192" customFormat="1" ht="14.4" x14ac:dyDescent="0.3">
      <c r="A3951" s="1192" t="s">
        <v>159</v>
      </c>
      <c r="E3951" s="2094" t="s">
        <v>7</v>
      </c>
      <c r="F3951" s="2094"/>
      <c r="G3951" s="913" t="s">
        <v>19</v>
      </c>
      <c r="H3951" s="815">
        <v>5.4</v>
      </c>
      <c r="K3951" s="1192" t="s">
        <v>2756</v>
      </c>
      <c r="L3951" s="1192" t="s">
        <v>430</v>
      </c>
      <c r="P3951" s="1192" t="s">
        <v>2757</v>
      </c>
      <c r="V3951" s="1192">
        <v>14</v>
      </c>
    </row>
    <row r="3952" spans="1:22" s="1192" customFormat="1" ht="17.399999999999999" x14ac:dyDescent="0.3">
      <c r="A3952" s="1192" t="s">
        <v>159</v>
      </c>
      <c r="E3952" s="580" t="s">
        <v>81</v>
      </c>
      <c r="F3952" s="587"/>
      <c r="G3952" s="587"/>
      <c r="H3952" s="908"/>
      <c r="K3952" s="1192" t="s">
        <v>3166</v>
      </c>
      <c r="V3952" s="1192">
        <v>10</v>
      </c>
    </row>
    <row r="3953" spans="1:22" s="1192" customFormat="1" ht="14.4" x14ac:dyDescent="0.3">
      <c r="A3953" s="1192" t="s">
        <v>159</v>
      </c>
      <c r="E3953" s="1740" t="s">
        <v>2449</v>
      </c>
      <c r="F3953" s="1740"/>
      <c r="G3953" s="582" t="s">
        <v>29</v>
      </c>
      <c r="H3953" s="816">
        <v>-0.6</v>
      </c>
      <c r="V3953" s="1192">
        <v>68</v>
      </c>
    </row>
    <row r="3954" spans="1:22" s="1192" customFormat="1" ht="14.4" x14ac:dyDescent="0.3">
      <c r="A3954" s="1192" t="s">
        <v>159</v>
      </c>
      <c r="E3954" s="2094" t="s">
        <v>2450</v>
      </c>
      <c r="F3954" s="2094"/>
      <c r="G3954" s="582" t="s">
        <v>82</v>
      </c>
      <c r="H3954" s="815">
        <v>-1</v>
      </c>
      <c r="V3954" s="1192">
        <v>87</v>
      </c>
    </row>
    <row r="3955" spans="1:22" s="1192" customFormat="1" ht="17.399999999999999" x14ac:dyDescent="0.3">
      <c r="A3955" s="1192" t="s">
        <v>159</v>
      </c>
      <c r="E3955" s="580" t="s">
        <v>83</v>
      </c>
      <c r="F3955" s="587"/>
      <c r="G3955" s="587"/>
      <c r="H3955" s="909"/>
      <c r="K3955" s="1192" t="s">
        <v>3167</v>
      </c>
      <c r="V3955" s="1192">
        <v>24</v>
      </c>
    </row>
    <row r="3956" spans="1:22" s="1192" customFormat="1" ht="14.4" x14ac:dyDescent="0.3">
      <c r="A3956" s="1192" t="s">
        <v>159</v>
      </c>
      <c r="E3956" s="2105" t="s">
        <v>2389</v>
      </c>
      <c r="F3956" s="1743"/>
      <c r="G3956" s="1743"/>
      <c r="H3956" s="1743"/>
      <c r="V3956" s="1192">
        <v>11</v>
      </c>
    </row>
    <row r="3957" spans="1:22" s="1192" customFormat="1" ht="14.4" x14ac:dyDescent="0.3">
      <c r="A3957" s="1192" t="s">
        <v>159</v>
      </c>
      <c r="E3957" s="2103" t="s">
        <v>2391</v>
      </c>
      <c r="F3957" s="2103"/>
      <c r="G3957" s="2103"/>
      <c r="H3957" s="2104"/>
      <c r="V3957" s="1192">
        <v>280</v>
      </c>
    </row>
    <row r="3958" spans="1:22" s="1192" customFormat="1" ht="14.4" x14ac:dyDescent="0.3">
      <c r="A3958" s="1192" t="s">
        <v>159</v>
      </c>
      <c r="E3958" s="2103" t="s">
        <v>2452</v>
      </c>
      <c r="F3958" s="2103"/>
      <c r="G3958" s="2103"/>
      <c r="H3958" s="2104"/>
      <c r="V3958" s="1192">
        <v>353</v>
      </c>
    </row>
    <row r="3959" spans="1:22" s="1192" customFormat="1" ht="14.4" x14ac:dyDescent="0.3">
      <c r="A3959" s="1192" t="s">
        <v>159</v>
      </c>
      <c r="E3959" s="2103" t="s">
        <v>2986</v>
      </c>
      <c r="F3959" s="2103"/>
      <c r="G3959" s="2103"/>
      <c r="H3959" s="2104"/>
      <c r="V3959" s="1192">
        <v>246</v>
      </c>
    </row>
    <row r="3960" spans="1:22" s="1192" customFormat="1" ht="14.4" x14ac:dyDescent="0.3">
      <c r="A3960" s="1192" t="s">
        <v>159</v>
      </c>
      <c r="E3960" s="585" t="s">
        <v>2453</v>
      </c>
      <c r="F3960" s="587"/>
      <c r="G3960" s="587"/>
      <c r="H3960" s="909"/>
      <c r="K3960" s="1192" t="s">
        <v>3168</v>
      </c>
      <c r="V3960" s="1192">
        <v>23</v>
      </c>
    </row>
    <row r="3961" spans="1:22" s="1192" customFormat="1" ht="14.4" x14ac:dyDescent="0.3">
      <c r="A3961" s="1192" t="s">
        <v>159</v>
      </c>
      <c r="E3961" s="2086" t="s">
        <v>3001</v>
      </c>
      <c r="F3961" s="2086"/>
      <c r="G3961" s="817" t="s">
        <v>19</v>
      </c>
      <c r="H3961" s="819">
        <v>15</v>
      </c>
      <c r="V3961" s="1192">
        <v>24</v>
      </c>
    </row>
    <row r="3962" spans="1:22" s="1192" customFormat="1" ht="14.4" x14ac:dyDescent="0.3">
      <c r="A3962" s="1192" t="s">
        <v>159</v>
      </c>
      <c r="E3962" s="2086" t="s">
        <v>3002</v>
      </c>
      <c r="F3962" s="2086"/>
      <c r="G3962" s="817" t="s">
        <v>19</v>
      </c>
      <c r="H3962" s="819">
        <v>15</v>
      </c>
      <c r="V3962" s="1192">
        <v>25</v>
      </c>
    </row>
    <row r="3963" spans="1:22" s="1192" customFormat="1" ht="14.4" x14ac:dyDescent="0.3">
      <c r="A3963" s="1192" t="s">
        <v>159</v>
      </c>
      <c r="E3963" s="2086" t="s">
        <v>3169</v>
      </c>
      <c r="F3963" s="2086"/>
      <c r="G3963" s="817" t="s">
        <v>19</v>
      </c>
      <c r="H3963" s="819">
        <v>15</v>
      </c>
      <c r="V3963" s="1192">
        <v>42</v>
      </c>
    </row>
    <row r="3964" spans="1:22" s="1192" customFormat="1" ht="14.4" x14ac:dyDescent="0.3">
      <c r="A3964" s="1192" t="s">
        <v>159</v>
      </c>
      <c r="E3964" s="2086" t="s">
        <v>3006</v>
      </c>
      <c r="F3964" s="2086"/>
      <c r="G3964" s="817" t="s">
        <v>19</v>
      </c>
      <c r="H3964" s="819">
        <v>15</v>
      </c>
      <c r="V3964" s="1192">
        <v>20</v>
      </c>
    </row>
    <row r="3965" spans="1:22" s="1192" customFormat="1" ht="14.4" x14ac:dyDescent="0.3">
      <c r="A3965" s="1192" t="s">
        <v>159</v>
      </c>
      <c r="E3965" s="2086" t="s">
        <v>3170</v>
      </c>
      <c r="F3965" s="2086"/>
      <c r="G3965" s="817" t="s">
        <v>19</v>
      </c>
      <c r="H3965" s="819">
        <v>15</v>
      </c>
      <c r="V3965" s="1192">
        <v>40</v>
      </c>
    </row>
    <row r="3966" spans="1:22" s="1192" customFormat="1" ht="14.4" x14ac:dyDescent="0.3">
      <c r="A3966" s="1192" t="s">
        <v>159</v>
      </c>
      <c r="E3966" s="2086" t="s">
        <v>3171</v>
      </c>
      <c r="F3966" s="2086"/>
      <c r="G3966" s="817" t="s">
        <v>19</v>
      </c>
      <c r="H3966" s="819">
        <v>15</v>
      </c>
      <c r="V3966" s="1192">
        <v>17</v>
      </c>
    </row>
    <row r="3967" spans="1:22" s="1192" customFormat="1" ht="14.4" x14ac:dyDescent="0.3">
      <c r="A3967" s="1192" t="s">
        <v>159</v>
      </c>
      <c r="E3967" s="2086" t="s">
        <v>3011</v>
      </c>
      <c r="F3967" s="2086"/>
      <c r="G3967" s="817" t="s">
        <v>19</v>
      </c>
      <c r="H3967" s="819">
        <v>15</v>
      </c>
      <c r="V3967" s="1192">
        <v>94</v>
      </c>
    </row>
    <row r="3968" spans="1:22" s="1192" customFormat="1" ht="14.4" x14ac:dyDescent="0.3">
      <c r="A3968" s="1192" t="s">
        <v>159</v>
      </c>
      <c r="E3968" s="2086" t="s">
        <v>3012</v>
      </c>
      <c r="F3968" s="2086"/>
      <c r="G3968" s="817" t="s">
        <v>19</v>
      </c>
      <c r="H3968" s="819">
        <v>30</v>
      </c>
      <c r="V3968" s="1192">
        <v>24</v>
      </c>
    </row>
    <row r="3969" spans="1:22" s="1192" customFormat="1" ht="14.4" x14ac:dyDescent="0.3">
      <c r="A3969" s="1192" t="s">
        <v>159</v>
      </c>
      <c r="E3969" s="2086" t="s">
        <v>3013</v>
      </c>
      <c r="F3969" s="2086"/>
      <c r="G3969" s="817" t="s">
        <v>19</v>
      </c>
      <c r="H3969" s="819">
        <v>30</v>
      </c>
      <c r="V3969" s="1192">
        <v>79</v>
      </c>
    </row>
    <row r="3970" spans="1:22" s="1192" customFormat="1" ht="14.4" x14ac:dyDescent="0.3">
      <c r="A3970" s="1192" t="s">
        <v>159</v>
      </c>
      <c r="E3970" s="585" t="s">
        <v>2468</v>
      </c>
      <c r="F3970" s="587"/>
      <c r="G3970" s="587"/>
      <c r="H3970" s="909"/>
      <c r="K3970" s="1192" t="s">
        <v>3172</v>
      </c>
      <c r="V3970" s="1192">
        <v>22</v>
      </c>
    </row>
    <row r="3971" spans="1:22" s="1192" customFormat="1" ht="14.4" x14ac:dyDescent="0.3">
      <c r="A3971" s="1192" t="s">
        <v>159</v>
      </c>
      <c r="E3971" s="2086" t="s">
        <v>4088</v>
      </c>
      <c r="F3971" s="2086"/>
      <c r="G3971" s="3"/>
      <c r="H3971" s="919"/>
      <c r="V3971" s="1192">
        <v>29</v>
      </c>
    </row>
    <row r="3972" spans="1:22" s="1192" customFormat="1" ht="14.4" x14ac:dyDescent="0.3">
      <c r="A3972" s="1192" t="s">
        <v>159</v>
      </c>
      <c r="E3972" s="2086" t="s">
        <v>6262</v>
      </c>
      <c r="F3972" s="2086"/>
      <c r="G3972" s="817" t="s">
        <v>82</v>
      </c>
      <c r="H3972" s="819">
        <v>1.5</v>
      </c>
      <c r="V3972" s="1192">
        <v>79</v>
      </c>
    </row>
    <row r="3973" spans="1:22" s="1192" customFormat="1" ht="14.4" x14ac:dyDescent="0.3">
      <c r="A3973" s="1192" t="s">
        <v>159</v>
      </c>
      <c r="E3973" s="2086" t="s">
        <v>6078</v>
      </c>
      <c r="F3973" s="2086"/>
      <c r="G3973" s="817" t="s">
        <v>19</v>
      </c>
      <c r="H3973" s="819">
        <v>65</v>
      </c>
      <c r="V3973" s="1192">
        <v>58</v>
      </c>
    </row>
    <row r="3974" spans="1:22" s="1192" customFormat="1" ht="14.4" x14ac:dyDescent="0.3">
      <c r="A3974" s="1192" t="s">
        <v>159</v>
      </c>
      <c r="E3974" s="2086" t="s">
        <v>6201</v>
      </c>
      <c r="F3974" s="2086"/>
      <c r="G3974" s="817" t="s">
        <v>19</v>
      </c>
      <c r="H3974" s="819">
        <v>185</v>
      </c>
      <c r="V3974" s="1192">
        <v>57</v>
      </c>
    </row>
    <row r="3975" spans="1:22" s="1192" customFormat="1" ht="14.4" x14ac:dyDescent="0.3">
      <c r="A3975" s="1192" t="s">
        <v>159</v>
      </c>
      <c r="E3975" s="2086" t="s">
        <v>6080</v>
      </c>
      <c r="F3975" s="2086"/>
      <c r="G3975" s="817" t="s">
        <v>19</v>
      </c>
      <c r="H3975" s="819">
        <v>185</v>
      </c>
      <c r="V3975" s="1192">
        <v>57</v>
      </c>
    </row>
    <row r="3976" spans="1:22" s="1192" customFormat="1" ht="14.4" x14ac:dyDescent="0.3">
      <c r="A3976" s="1192" t="s">
        <v>159</v>
      </c>
      <c r="E3976" s="2086" t="s">
        <v>6081</v>
      </c>
      <c r="F3976" s="2086"/>
      <c r="G3976" s="817" t="s">
        <v>19</v>
      </c>
      <c r="H3976" s="819">
        <v>415</v>
      </c>
      <c r="V3976" s="1192">
        <v>56</v>
      </c>
    </row>
    <row r="3977" spans="1:22" s="1192" customFormat="1" ht="14.4" x14ac:dyDescent="0.3">
      <c r="A3977" s="1192" t="s">
        <v>159</v>
      </c>
      <c r="E3977" s="585" t="s">
        <v>2474</v>
      </c>
      <c r="F3977" s="587"/>
      <c r="G3977" s="820"/>
      <c r="H3977" s="915"/>
      <c r="V3977" s="1192">
        <v>5</v>
      </c>
    </row>
    <row r="3978" spans="1:22" s="1192" customFormat="1" ht="14.4" x14ac:dyDescent="0.3">
      <c r="A3978" s="1192" t="s">
        <v>159</v>
      </c>
      <c r="E3978" s="2086" t="s">
        <v>4235</v>
      </c>
      <c r="F3978" s="2086"/>
      <c r="G3978" s="817" t="s">
        <v>19</v>
      </c>
      <c r="H3978" s="819">
        <v>44.5</v>
      </c>
      <c r="V3978" s="1192">
        <v>109</v>
      </c>
    </row>
    <row r="3979" spans="1:22" s="1192" customFormat="1" ht="14.4" x14ac:dyDescent="0.3">
      <c r="A3979" s="1192" t="s">
        <v>159</v>
      </c>
      <c r="E3979" s="2086" t="s">
        <v>3173</v>
      </c>
      <c r="F3979" s="2086"/>
      <c r="G3979" s="817" t="s">
        <v>19</v>
      </c>
      <c r="H3979" s="819">
        <v>200</v>
      </c>
      <c r="V3979" s="1192">
        <v>16</v>
      </c>
    </row>
    <row r="3980" spans="1:22" s="1192" customFormat="1" ht="17.399999999999999" x14ac:dyDescent="0.3">
      <c r="A3980" s="1192" t="s">
        <v>159</v>
      </c>
      <c r="E3980" s="580" t="s">
        <v>73</v>
      </c>
      <c r="F3980" s="587"/>
      <c r="G3980" s="587"/>
      <c r="H3980" s="909"/>
      <c r="K3980" s="1192" t="s">
        <v>3174</v>
      </c>
      <c r="V3980" s="1192">
        <v>38</v>
      </c>
    </row>
    <row r="3981" spans="1:22" s="1192" customFormat="1" ht="14.4" x14ac:dyDescent="0.3">
      <c r="A3981" s="1192" t="s">
        <v>159</v>
      </c>
      <c r="E3981" s="2103" t="s">
        <v>2391</v>
      </c>
      <c r="F3981" s="2103"/>
      <c r="G3981" s="2103"/>
      <c r="H3981" s="2104"/>
      <c r="V3981" s="1192">
        <v>280</v>
      </c>
    </row>
    <row r="3982" spans="1:22" s="1192" customFormat="1" ht="14.4" x14ac:dyDescent="0.3">
      <c r="A3982" s="1192" t="s">
        <v>159</v>
      </c>
      <c r="E3982" s="2103" t="s">
        <v>2392</v>
      </c>
      <c r="F3982" s="2103"/>
      <c r="G3982" s="2103"/>
      <c r="H3982" s="2104"/>
      <c r="V3982" s="1192">
        <v>411</v>
      </c>
    </row>
    <row r="3983" spans="1:22" s="1192" customFormat="1" ht="14.4" x14ac:dyDescent="0.3">
      <c r="A3983" s="1192" t="s">
        <v>159</v>
      </c>
      <c r="E3983" s="2103" t="s">
        <v>2445</v>
      </c>
      <c r="F3983" s="2103"/>
      <c r="G3983" s="2103"/>
      <c r="H3983" s="2104"/>
      <c r="V3983" s="1192">
        <v>211</v>
      </c>
    </row>
    <row r="3984" spans="1:22" s="1192" customFormat="1" ht="14.4" x14ac:dyDescent="0.3">
      <c r="A3984" s="1192" t="s">
        <v>159</v>
      </c>
      <c r="E3984" s="2103" t="s">
        <v>2986</v>
      </c>
      <c r="F3984" s="2103"/>
      <c r="G3984" s="2103"/>
      <c r="H3984" s="2104"/>
      <c r="V3984" s="1192">
        <v>246</v>
      </c>
    </row>
    <row r="3985" spans="1:22" s="1192" customFormat="1" ht="14.4" x14ac:dyDescent="0.3">
      <c r="A3985" s="1192" t="s">
        <v>159</v>
      </c>
      <c r="E3985" s="2103" t="s">
        <v>2595</v>
      </c>
      <c r="F3985" s="2103"/>
      <c r="G3985" s="2103"/>
      <c r="H3985" s="2104"/>
      <c r="V3985" s="1192">
        <v>142</v>
      </c>
    </row>
    <row r="3986" spans="1:22" s="1192" customFormat="1" ht="14.4" x14ac:dyDescent="0.3">
      <c r="A3986" s="1192" t="s">
        <v>159</v>
      </c>
      <c r="E3986" s="2094" t="s">
        <v>2485</v>
      </c>
      <c r="F3986" s="2094"/>
      <c r="G3986" s="957" t="s">
        <v>19</v>
      </c>
      <c r="H3986" s="583">
        <v>102</v>
      </c>
      <c r="V3986" s="1192">
        <v>106</v>
      </c>
    </row>
    <row r="3987" spans="1:22" s="1192" customFormat="1" ht="14.4" x14ac:dyDescent="0.3">
      <c r="A3987" s="1192" t="s">
        <v>159</v>
      </c>
      <c r="E3987" s="2094" t="s">
        <v>3919</v>
      </c>
      <c r="F3987" s="2094"/>
      <c r="G3987" s="957" t="s">
        <v>19</v>
      </c>
      <c r="H3987" s="583">
        <v>40.799999999999997</v>
      </c>
      <c r="V3987" s="1192">
        <v>34</v>
      </c>
    </row>
    <row r="3988" spans="1:22" s="1192" customFormat="1" ht="14.4" x14ac:dyDescent="0.3">
      <c r="A3988" s="1192" t="s">
        <v>159</v>
      </c>
      <c r="E3988" s="2094" t="s">
        <v>3920</v>
      </c>
      <c r="F3988" s="2094"/>
      <c r="G3988" s="957" t="s">
        <v>2488</v>
      </c>
      <c r="H3988" s="583">
        <v>1.02</v>
      </c>
      <c r="V3988" s="1192">
        <v>51</v>
      </c>
    </row>
    <row r="3989" spans="1:22" s="1192" customFormat="1" ht="14.4" x14ac:dyDescent="0.3">
      <c r="A3989" s="1192" t="s">
        <v>159</v>
      </c>
      <c r="E3989" s="2094" t="s">
        <v>2489</v>
      </c>
      <c r="F3989" s="2094"/>
      <c r="G3989" s="957" t="s">
        <v>2488</v>
      </c>
      <c r="H3989" s="583">
        <v>0.61</v>
      </c>
      <c r="V3989" s="1192">
        <v>75</v>
      </c>
    </row>
    <row r="3990" spans="1:22" s="1192" customFormat="1" ht="14.4" x14ac:dyDescent="0.3">
      <c r="A3990" s="1192" t="s">
        <v>159</v>
      </c>
      <c r="E3990" s="2094" t="s">
        <v>2490</v>
      </c>
      <c r="F3990" s="2094"/>
      <c r="G3990" s="957" t="s">
        <v>2488</v>
      </c>
      <c r="H3990" s="583">
        <v>-0.61</v>
      </c>
      <c r="V3990" s="1192">
        <v>72</v>
      </c>
    </row>
    <row r="3991" spans="1:22" s="1192" customFormat="1" ht="14.4" x14ac:dyDescent="0.3">
      <c r="A3991" s="1192" t="s">
        <v>159</v>
      </c>
      <c r="E3991" s="2094" t="s">
        <v>2491</v>
      </c>
      <c r="F3991" s="2094"/>
      <c r="G3991" s="1302"/>
      <c r="H3991" s="1303"/>
      <c r="V3991" s="1192">
        <v>35</v>
      </c>
    </row>
    <row r="3992" spans="1:22" s="1192" customFormat="1" ht="14.4" x14ac:dyDescent="0.3">
      <c r="A3992" s="1192" t="s">
        <v>159</v>
      </c>
      <c r="E3992" s="2226" t="s">
        <v>2492</v>
      </c>
      <c r="F3992" s="2226"/>
      <c r="G3992" s="957" t="s">
        <v>19</v>
      </c>
      <c r="H3992" s="583">
        <v>0.51</v>
      </c>
      <c r="V3992" s="1192">
        <v>57</v>
      </c>
    </row>
    <row r="3993" spans="1:22" s="1192" customFormat="1" ht="14.4" x14ac:dyDescent="0.3">
      <c r="A3993" s="1192" t="s">
        <v>159</v>
      </c>
      <c r="E3993" s="2226" t="s">
        <v>2493</v>
      </c>
      <c r="F3993" s="2226"/>
      <c r="G3993" s="957" t="s">
        <v>19</v>
      </c>
      <c r="H3993" s="583">
        <v>1.02</v>
      </c>
      <c r="V3993" s="1192">
        <v>60</v>
      </c>
    </row>
    <row r="3994" spans="1:22" s="1192" customFormat="1" ht="14.4" x14ac:dyDescent="0.3">
      <c r="A3994" s="1192" t="s">
        <v>159</v>
      </c>
      <c r="E3994" s="2094" t="s">
        <v>2494</v>
      </c>
      <c r="F3994" s="2094"/>
      <c r="G3994" s="1302"/>
      <c r="H3994" s="1303"/>
      <c r="V3994" s="1192">
        <v>91</v>
      </c>
    </row>
    <row r="3995" spans="1:22" s="1192" customFormat="1" ht="14.4" x14ac:dyDescent="0.3">
      <c r="A3995" s="1192" t="s">
        <v>159</v>
      </c>
      <c r="E3995" s="2094" t="s">
        <v>2495</v>
      </c>
      <c r="F3995" s="2094"/>
      <c r="G3995" s="1302"/>
      <c r="H3995" s="1303"/>
      <c r="V3995" s="1192">
        <v>96</v>
      </c>
    </row>
    <row r="3996" spans="1:22" s="1192" customFormat="1" ht="14.4" x14ac:dyDescent="0.3">
      <c r="A3996" s="1192" t="s">
        <v>159</v>
      </c>
      <c r="E3996" s="2094" t="s">
        <v>2496</v>
      </c>
      <c r="F3996" s="2094"/>
      <c r="G3996" s="1302"/>
      <c r="H3996" s="1303"/>
      <c r="V3996" s="1192">
        <v>78</v>
      </c>
    </row>
    <row r="3997" spans="1:22" s="1192" customFormat="1" ht="14.4" x14ac:dyDescent="0.3">
      <c r="A3997" s="1192" t="s">
        <v>159</v>
      </c>
      <c r="E3997" s="2226" t="s">
        <v>2497</v>
      </c>
      <c r="F3997" s="2226"/>
      <c r="G3997" s="957" t="s">
        <v>19</v>
      </c>
      <c r="H3997" s="905" t="s">
        <v>2498</v>
      </c>
      <c r="V3997" s="1192">
        <v>18</v>
      </c>
    </row>
    <row r="3998" spans="1:22" s="1192" customFormat="1" ht="14.4" x14ac:dyDescent="0.3">
      <c r="A3998" s="1192" t="s">
        <v>159</v>
      </c>
      <c r="E3998" s="2226" t="s">
        <v>2499</v>
      </c>
      <c r="F3998" s="2226"/>
      <c r="G3998" s="957" t="s">
        <v>19</v>
      </c>
      <c r="H3998" s="583">
        <v>4.08</v>
      </c>
      <c r="V3998" s="1192">
        <v>69</v>
      </c>
    </row>
    <row r="3999" spans="1:22" s="1192" customFormat="1" ht="14.4" x14ac:dyDescent="0.3">
      <c r="A3999" s="1192" t="s">
        <v>159</v>
      </c>
      <c r="E3999" s="2094" t="s">
        <v>4608</v>
      </c>
      <c r="F3999" s="2094"/>
      <c r="G3999" s="957" t="s">
        <v>19</v>
      </c>
      <c r="H3999" s="583">
        <v>2.04</v>
      </c>
      <c r="V3999" s="1192">
        <v>199</v>
      </c>
    </row>
    <row r="4000" spans="1:22" s="1192" customFormat="1" ht="17.399999999999999" x14ac:dyDescent="0.3">
      <c r="A4000" s="1192" t="s">
        <v>159</v>
      </c>
      <c r="E4000" s="580" t="s">
        <v>143</v>
      </c>
      <c r="F4000" s="587"/>
      <c r="G4000" s="587"/>
      <c r="H4000" s="909"/>
      <c r="K4000" s="1192" t="s">
        <v>3175</v>
      </c>
      <c r="V4000" s="1192">
        <v>12</v>
      </c>
    </row>
    <row r="4001" spans="1:22" s="1192" customFormat="1" ht="14.4" x14ac:dyDescent="0.3">
      <c r="A4001" s="1192" t="s">
        <v>159</v>
      </c>
      <c r="E4001" s="2227" t="s">
        <v>2501</v>
      </c>
      <c r="F4001" s="2227"/>
      <c r="G4001" s="2227"/>
      <c r="H4001" s="2228"/>
      <c r="V4001" s="1192">
        <v>203</v>
      </c>
    </row>
    <row r="4002" spans="1:22" s="1192" customFormat="1" ht="14.4" x14ac:dyDescent="0.3">
      <c r="A4002" s="1192" t="s">
        <v>159</v>
      </c>
      <c r="E4002" s="2094" t="s">
        <v>2599</v>
      </c>
      <c r="F4002" s="2094"/>
      <c r="G4002" s="817"/>
      <c r="H4002" s="916">
        <v>1.0392999999999999</v>
      </c>
      <c r="V4002" s="1192">
        <v>57</v>
      </c>
    </row>
    <row r="4003" spans="1:22" s="1192" customFormat="1" ht="14.4" x14ac:dyDescent="0.3">
      <c r="A4003" s="1192" t="s">
        <v>159</v>
      </c>
      <c r="E4003" s="2094" t="s">
        <v>2600</v>
      </c>
      <c r="F4003" s="2094"/>
      <c r="G4003" s="817"/>
      <c r="H4003" s="916">
        <v>1.0187999999999999</v>
      </c>
      <c r="V4003" s="1192">
        <v>57</v>
      </c>
    </row>
    <row r="4004" spans="1:22" s="1192" customFormat="1" ht="14.4" x14ac:dyDescent="0.3">
      <c r="A4004" s="1192" t="s">
        <v>159</v>
      </c>
      <c r="E4004" s="2094" t="s">
        <v>2601</v>
      </c>
      <c r="F4004" s="2094"/>
      <c r="G4004" s="817"/>
      <c r="H4004" s="916">
        <v>1.0288999999999999</v>
      </c>
      <c r="V4004" s="1192">
        <v>55</v>
      </c>
    </row>
    <row r="4005" spans="1:22" s="1192" customFormat="1" ht="14.4" x14ac:dyDescent="0.3">
      <c r="A4005" s="1192" t="s">
        <v>159</v>
      </c>
      <c r="E4005" s="2094" t="s">
        <v>2602</v>
      </c>
      <c r="F4005" s="2094"/>
      <c r="G4005" s="817"/>
      <c r="H4005" s="916">
        <v>1.0085999999999999</v>
      </c>
      <c r="J4005" s="1192" t="s">
        <v>3176</v>
      </c>
      <c r="V4005" s="1192">
        <v>55</v>
      </c>
    </row>
    <row r="4006" spans="1:22" s="1192" customFormat="1" ht="22.8" x14ac:dyDescent="0.3">
      <c r="A4006" s="1192" t="s">
        <v>180</v>
      </c>
      <c r="C4006" s="1192" t="s">
        <v>2378</v>
      </c>
      <c r="E4006" s="1752" t="s">
        <v>180</v>
      </c>
      <c r="F4006" s="1752"/>
      <c r="G4006" s="1752"/>
      <c r="H4006" s="1752"/>
      <c r="I4006" s="1192" t="s">
        <v>603</v>
      </c>
      <c r="J4006" s="1192" t="s">
        <v>3177</v>
      </c>
      <c r="K4006" s="1192" t="s">
        <v>180</v>
      </c>
      <c r="M4006" s="1192">
        <v>9</v>
      </c>
      <c r="V4006" s="1192">
        <v>27</v>
      </c>
    </row>
    <row r="4007" spans="1:22" s="1192" customFormat="1" ht="17.399999999999999" x14ac:dyDescent="0.3">
      <c r="A4007" s="1192" t="s">
        <v>180</v>
      </c>
      <c r="C4007" s="1192" t="s">
        <v>2380</v>
      </c>
      <c r="E4007" s="1753" t="s">
        <v>2381</v>
      </c>
      <c r="F4007" s="1753"/>
      <c r="G4007" s="1753"/>
      <c r="H4007" s="1753"/>
      <c r="V4007" s="1192">
        <v>27</v>
      </c>
    </row>
    <row r="4008" spans="1:22" s="1192" customFormat="1" ht="15.6" x14ac:dyDescent="0.3">
      <c r="A4008" s="1192" t="s">
        <v>180</v>
      </c>
      <c r="C4008" s="1192" t="s">
        <v>2382</v>
      </c>
      <c r="E4008" s="1754" t="s">
        <v>5937</v>
      </c>
      <c r="F4008" s="1754"/>
      <c r="G4008" s="1754"/>
      <c r="H4008" s="1754"/>
      <c r="S4008" s="1192">
        <v>43831</v>
      </c>
      <c r="V4008" s="1192">
        <v>49</v>
      </c>
    </row>
    <row r="4009" spans="1:22" s="1192" customFormat="1" ht="14.4" x14ac:dyDescent="0.3">
      <c r="A4009" s="1192" t="s">
        <v>180</v>
      </c>
      <c r="C4009" s="1192" t="s">
        <v>2383</v>
      </c>
      <c r="E4009" s="1755" t="s">
        <v>2384</v>
      </c>
      <c r="F4009" s="1755"/>
      <c r="G4009" s="1755"/>
      <c r="H4009" s="1755"/>
      <c r="V4009" s="1192">
        <v>52</v>
      </c>
    </row>
    <row r="4010" spans="1:22" s="1192" customFormat="1" ht="14.4" x14ac:dyDescent="0.3">
      <c r="A4010" s="1192" t="s">
        <v>180</v>
      </c>
      <c r="E4010" s="1755" t="s">
        <v>2385</v>
      </c>
      <c r="F4010" s="1755"/>
      <c r="G4010" s="1755"/>
      <c r="H4010" s="1755"/>
      <c r="V4010" s="1192">
        <v>53</v>
      </c>
    </row>
    <row r="4011" spans="1:22" s="1192" customFormat="1" ht="14.4" x14ac:dyDescent="0.3">
      <c r="A4011" s="1192" t="s">
        <v>180</v>
      </c>
      <c r="E4011" s="1772" t="s">
        <v>6263</v>
      </c>
      <c r="F4011" s="1772"/>
      <c r="G4011" s="1772"/>
      <c r="H4011" s="1772"/>
      <c r="K4011" s="1192" t="s">
        <v>6263</v>
      </c>
      <c r="V4011" s="1192">
        <v>12</v>
      </c>
    </row>
    <row r="4012" spans="1:22" s="1192" customFormat="1" ht="14.4" x14ac:dyDescent="0.3">
      <c r="A4012" s="1192" t="s">
        <v>180</v>
      </c>
      <c r="E4012" s="1746" t="s">
        <v>427</v>
      </c>
      <c r="F4012" s="1988"/>
      <c r="G4012" s="1988"/>
      <c r="H4012" s="1988"/>
      <c r="K4012" s="1192" t="s">
        <v>2506</v>
      </c>
      <c r="V4012" s="1192">
        <v>34</v>
      </c>
    </row>
    <row r="4013" spans="1:22" s="1192" customFormat="1" ht="14.4" x14ac:dyDescent="0.3">
      <c r="A4013" s="1192" t="s">
        <v>180</v>
      </c>
      <c r="E4013" s="1743" t="s">
        <v>3084</v>
      </c>
      <c r="F4013" s="1743"/>
      <c r="G4013" s="1743"/>
      <c r="H4013" s="1743"/>
      <c r="K4013" s="1192" t="s">
        <v>2506</v>
      </c>
      <c r="V4013" s="1192">
        <v>652</v>
      </c>
    </row>
    <row r="4014" spans="1:22" s="1192" customFormat="1" ht="14.4" x14ac:dyDescent="0.3">
      <c r="A4014" s="1192" t="s">
        <v>180</v>
      </c>
      <c r="E4014" s="1750" t="s">
        <v>2389</v>
      </c>
      <c r="F4014" s="1988"/>
      <c r="G4014" s="1988"/>
      <c r="H4014" s="1988"/>
      <c r="K4014" s="1192" t="s">
        <v>2390</v>
      </c>
      <c r="V4014" s="1192">
        <v>11</v>
      </c>
    </row>
    <row r="4015" spans="1:22" s="1192" customFormat="1" ht="14.4" x14ac:dyDescent="0.3">
      <c r="A4015" s="1192" t="s">
        <v>180</v>
      </c>
      <c r="E4015" s="1743" t="s">
        <v>2391</v>
      </c>
      <c r="F4015" s="1743"/>
      <c r="G4015" s="1743"/>
      <c r="H4015" s="1743"/>
      <c r="K4015" s="1192" t="s">
        <v>2506</v>
      </c>
      <c r="V4015" s="1192">
        <v>280</v>
      </c>
    </row>
    <row r="4016" spans="1:22" s="1192" customFormat="1" ht="14.4" x14ac:dyDescent="0.3">
      <c r="A4016" s="1192" t="s">
        <v>180</v>
      </c>
      <c r="E4016" s="1743" t="s">
        <v>2392</v>
      </c>
      <c r="F4016" s="1743"/>
      <c r="G4016" s="1743"/>
      <c r="H4016" s="1743"/>
      <c r="K4016" s="1192" t="s">
        <v>2506</v>
      </c>
      <c r="V4016" s="1192">
        <v>411</v>
      </c>
    </row>
    <row r="4017" spans="1:22" s="1192" customFormat="1" ht="14.4" x14ac:dyDescent="0.3">
      <c r="A4017" s="1192" t="s">
        <v>180</v>
      </c>
      <c r="E4017" s="1743" t="s">
        <v>2393</v>
      </c>
      <c r="F4017" s="1743"/>
      <c r="G4017" s="1743"/>
      <c r="H4017" s="1743"/>
      <c r="K4017" s="1192" t="s">
        <v>2506</v>
      </c>
      <c r="V4017" s="1192">
        <v>387</v>
      </c>
    </row>
    <row r="4018" spans="1:22" s="1192" customFormat="1" ht="14.4" x14ac:dyDescent="0.3">
      <c r="A4018" s="1192" t="s">
        <v>180</v>
      </c>
      <c r="E4018" s="1743" t="s">
        <v>2509</v>
      </c>
      <c r="F4018" s="1743"/>
      <c r="G4018" s="1743"/>
      <c r="H4018" s="1743"/>
      <c r="K4018" s="1192" t="s">
        <v>2506</v>
      </c>
      <c r="V4018" s="1192">
        <v>275</v>
      </c>
    </row>
    <row r="4019" spans="1:22" s="1192" customFormat="1" ht="14.4" x14ac:dyDescent="0.3">
      <c r="A4019" s="1192" t="s">
        <v>180</v>
      </c>
      <c r="E4019" s="1748" t="s">
        <v>2394</v>
      </c>
      <c r="F4019" s="1749"/>
      <c r="G4019" s="1749"/>
      <c r="H4019" s="1749"/>
      <c r="K4019" s="1192" t="s">
        <v>2395</v>
      </c>
      <c r="V4019" s="1192">
        <v>46</v>
      </c>
    </row>
    <row r="4020" spans="1:22" s="1192" customFormat="1" ht="14.4" x14ac:dyDescent="0.3">
      <c r="A4020" s="1192" t="s">
        <v>180</v>
      </c>
      <c r="E4020" s="1740" t="s">
        <v>7</v>
      </c>
      <c r="F4020" s="1740"/>
      <c r="G4020" s="1277" t="s">
        <v>19</v>
      </c>
      <c r="H4020" s="1218">
        <v>22.48</v>
      </c>
      <c r="K4020" s="1192" t="s">
        <v>2506</v>
      </c>
      <c r="L4020" s="1192" t="s">
        <v>430</v>
      </c>
      <c r="P4020" s="1192" t="s">
        <v>2510</v>
      </c>
      <c r="V4020" s="1192">
        <v>14</v>
      </c>
    </row>
    <row r="4021" spans="1:22" s="1192" customFormat="1" ht="14.4" x14ac:dyDescent="0.3">
      <c r="A4021" s="1192" t="s">
        <v>180</v>
      </c>
      <c r="E4021" s="1740" t="s">
        <v>6264</v>
      </c>
      <c r="F4021" s="1740"/>
      <c r="G4021" s="1277" t="s">
        <v>19</v>
      </c>
      <c r="H4021" s="1218">
        <v>0.01</v>
      </c>
      <c r="K4021" s="1192" t="s">
        <v>2506</v>
      </c>
      <c r="L4021" s="1192" t="s">
        <v>430</v>
      </c>
      <c r="P4021" s="1192" t="s">
        <v>2516</v>
      </c>
      <c r="T4021" s="1192">
        <v>44196</v>
      </c>
      <c r="V4021" s="1192">
        <v>107</v>
      </c>
    </row>
    <row r="4022" spans="1:22" s="1192" customFormat="1" ht="14.4" x14ac:dyDescent="0.3">
      <c r="A4022" s="1192" t="s">
        <v>180</v>
      </c>
      <c r="E4022" s="1740" t="s">
        <v>3900</v>
      </c>
      <c r="F4022" s="1740"/>
      <c r="G4022" s="1277" t="s">
        <v>19</v>
      </c>
      <c r="H4022" s="1218">
        <v>0.56999999999999995</v>
      </c>
      <c r="K4022" s="1192" t="s">
        <v>2506</v>
      </c>
      <c r="L4022" s="1192" t="s">
        <v>431</v>
      </c>
      <c r="P4022" s="1192" t="s">
        <v>2511</v>
      </c>
      <c r="T4022" s="1192">
        <v>44926</v>
      </c>
      <c r="V4022" s="1192">
        <v>64</v>
      </c>
    </row>
    <row r="4023" spans="1:22" s="1192" customFormat="1" ht="14.4" x14ac:dyDescent="0.3">
      <c r="A4023" s="1192" t="s">
        <v>180</v>
      </c>
      <c r="E4023" s="1740" t="s">
        <v>6265</v>
      </c>
      <c r="F4023" s="1740"/>
      <c r="G4023" s="1277" t="s">
        <v>20</v>
      </c>
      <c r="H4023" s="1219">
        <v>2.9999999999999997E-4</v>
      </c>
      <c r="K4023" s="1192" t="s">
        <v>2506</v>
      </c>
      <c r="L4023" s="1192" t="s">
        <v>431</v>
      </c>
      <c r="P4023" s="1192" t="s">
        <v>2516</v>
      </c>
      <c r="T4023" s="1192">
        <v>44196</v>
      </c>
      <c r="V4023" s="1192">
        <v>99</v>
      </c>
    </row>
    <row r="4024" spans="1:22" s="1192" customFormat="1" ht="14.4" x14ac:dyDescent="0.3">
      <c r="A4024" s="1192" t="s">
        <v>180</v>
      </c>
      <c r="E4024" s="1740" t="s">
        <v>6266</v>
      </c>
      <c r="F4024" s="1740"/>
      <c r="G4024" s="1277" t="s">
        <v>20</v>
      </c>
      <c r="H4024" s="1219">
        <v>-2.3E-3</v>
      </c>
      <c r="K4024" s="1192" t="s">
        <v>2506</v>
      </c>
      <c r="L4024" s="1192" t="s">
        <v>431</v>
      </c>
      <c r="P4024" s="1192" t="s">
        <v>2514</v>
      </c>
      <c r="T4024" s="1192">
        <v>44196</v>
      </c>
      <c r="V4024" s="1192">
        <v>140</v>
      </c>
    </row>
    <row r="4025" spans="1:22" s="1192" customFormat="1" ht="14.4" x14ac:dyDescent="0.3">
      <c r="A4025" s="1192" t="s">
        <v>180</v>
      </c>
      <c r="E4025" s="1740" t="s">
        <v>6267</v>
      </c>
      <c r="F4025" s="1740"/>
      <c r="G4025" s="1277" t="s">
        <v>20</v>
      </c>
      <c r="H4025" s="1219">
        <v>5.0000000000000001E-4</v>
      </c>
      <c r="K4025" s="1192" t="s">
        <v>2506</v>
      </c>
      <c r="L4025" s="1192" t="s">
        <v>430</v>
      </c>
      <c r="P4025" s="1192" t="s">
        <v>6268</v>
      </c>
      <c r="T4025" s="1192">
        <v>44196</v>
      </c>
      <c r="V4025" s="1192">
        <v>85</v>
      </c>
    </row>
    <row r="4026" spans="1:22" s="1192" customFormat="1" ht="14.4" x14ac:dyDescent="0.3">
      <c r="A4026" s="1192" t="s">
        <v>180</v>
      </c>
      <c r="E4026" s="1740" t="s">
        <v>213</v>
      </c>
      <c r="F4026" s="1740"/>
      <c r="G4026" s="1277" t="s">
        <v>20</v>
      </c>
      <c r="H4026" s="1219">
        <v>6.3E-3</v>
      </c>
      <c r="K4026" s="1192" t="s">
        <v>2506</v>
      </c>
      <c r="L4026" s="1192" t="s">
        <v>432</v>
      </c>
      <c r="P4026" s="1192" t="s">
        <v>2517</v>
      </c>
      <c r="V4026" s="1192">
        <v>47</v>
      </c>
    </row>
    <row r="4027" spans="1:22" s="1192" customFormat="1" ht="14.4" x14ac:dyDescent="0.3">
      <c r="A4027" s="1192" t="s">
        <v>180</v>
      </c>
      <c r="E4027" s="1740" t="s">
        <v>209</v>
      </c>
      <c r="F4027" s="1740"/>
      <c r="G4027" s="1277" t="s">
        <v>20</v>
      </c>
      <c r="H4027" s="1219">
        <v>1.6999999999999999E-3</v>
      </c>
      <c r="K4027" s="1192" t="s">
        <v>2506</v>
      </c>
      <c r="L4027" s="1192" t="s">
        <v>432</v>
      </c>
      <c r="P4027" s="1192" t="s">
        <v>2518</v>
      </c>
      <c r="V4027" s="1192">
        <v>74</v>
      </c>
    </row>
    <row r="4028" spans="1:22" s="1192" customFormat="1" ht="14.4" x14ac:dyDescent="0.3">
      <c r="A4028" s="1192" t="s">
        <v>180</v>
      </c>
      <c r="E4028" s="1748" t="s">
        <v>2405</v>
      </c>
      <c r="F4028" s="1740"/>
      <c r="G4028" s="1277"/>
      <c r="H4028" s="896"/>
      <c r="K4028" s="1192" t="s">
        <v>2406</v>
      </c>
      <c r="V4028" s="1192">
        <v>48</v>
      </c>
    </row>
    <row r="4029" spans="1:22" s="1192" customFormat="1" ht="14.4" x14ac:dyDescent="0.3">
      <c r="A4029" s="1192" t="s">
        <v>180</v>
      </c>
      <c r="E4029" s="1740" t="s">
        <v>2033</v>
      </c>
      <c r="F4029" s="1740"/>
      <c r="G4029" s="1277" t="s">
        <v>20</v>
      </c>
      <c r="H4029" s="1219">
        <v>3.0000000000000001E-3</v>
      </c>
      <c r="K4029" s="1192" t="s">
        <v>2506</v>
      </c>
      <c r="L4029" s="1192" t="s">
        <v>2374</v>
      </c>
      <c r="P4029" s="1192" t="s">
        <v>2519</v>
      </c>
      <c r="V4029" s="1192">
        <v>55</v>
      </c>
    </row>
    <row r="4030" spans="1:22" s="1192" customFormat="1" ht="14.4" x14ac:dyDescent="0.3">
      <c r="A4030" s="1192" t="s">
        <v>180</v>
      </c>
      <c r="E4030" s="1740" t="s">
        <v>2034</v>
      </c>
      <c r="F4030" s="1740"/>
      <c r="G4030" s="1277" t="s">
        <v>20</v>
      </c>
      <c r="H4030" s="1219">
        <v>4.0000000000000002E-4</v>
      </c>
      <c r="K4030" s="1192" t="s">
        <v>2506</v>
      </c>
      <c r="L4030" s="1192" t="s">
        <v>2374</v>
      </c>
      <c r="P4030" s="1192" t="s">
        <v>2519</v>
      </c>
      <c r="V4030" s="1192">
        <v>65</v>
      </c>
    </row>
    <row r="4031" spans="1:22" s="1192" customFormat="1" ht="14.4" x14ac:dyDescent="0.3">
      <c r="A4031" s="1192" t="s">
        <v>180</v>
      </c>
      <c r="E4031" s="1740" t="s">
        <v>428</v>
      </c>
      <c r="F4031" s="1740"/>
      <c r="G4031" s="1277" t="s">
        <v>20</v>
      </c>
      <c r="H4031" s="1219">
        <v>5.0000000000000001E-4</v>
      </c>
      <c r="K4031" s="1192" t="s">
        <v>2506</v>
      </c>
      <c r="L4031" s="1192" t="s">
        <v>2374</v>
      </c>
      <c r="P4031" s="1192" t="s">
        <v>2520</v>
      </c>
      <c r="V4031" s="1192">
        <v>57</v>
      </c>
    </row>
    <row r="4032" spans="1:22" s="1192" customFormat="1" ht="14.4" x14ac:dyDescent="0.3">
      <c r="A4032" s="1192" t="s">
        <v>180</v>
      </c>
      <c r="E4032" s="1740" t="s">
        <v>28</v>
      </c>
      <c r="F4032" s="1740"/>
      <c r="G4032" s="1277" t="s">
        <v>19</v>
      </c>
      <c r="H4032" s="1218">
        <v>0.25</v>
      </c>
      <c r="K4032" s="1192" t="s">
        <v>2506</v>
      </c>
      <c r="L4032" s="1192" t="s">
        <v>2374</v>
      </c>
      <c r="P4032" s="1192" t="s">
        <v>2521</v>
      </c>
      <c r="V4032" s="1192">
        <v>63</v>
      </c>
    </row>
    <row r="4033" spans="1:22" s="1192" customFormat="1" ht="17.399999999999999" x14ac:dyDescent="0.3">
      <c r="A4033" s="1192" t="s">
        <v>180</v>
      </c>
      <c r="E4033" s="1746" t="s">
        <v>2522</v>
      </c>
      <c r="F4033" s="1987"/>
      <c r="G4033" s="1987"/>
      <c r="H4033" s="1987"/>
      <c r="K4033" s="1192" t="s">
        <v>3901</v>
      </c>
      <c r="V4033" s="1192">
        <v>54</v>
      </c>
    </row>
    <row r="4034" spans="1:22" s="1192" customFormat="1" ht="14.4" x14ac:dyDescent="0.3">
      <c r="A4034" s="1192" t="s">
        <v>180</v>
      </c>
      <c r="E4034" s="1743" t="s">
        <v>3065</v>
      </c>
      <c r="F4034" s="1743"/>
      <c r="G4034" s="1743"/>
      <c r="H4034" s="1743"/>
      <c r="K4034" s="1192" t="s">
        <v>3901</v>
      </c>
      <c r="V4034" s="1192">
        <v>335</v>
      </c>
    </row>
    <row r="4035" spans="1:22" s="1192" customFormat="1" ht="14.4" x14ac:dyDescent="0.3">
      <c r="A4035" s="1192" t="s">
        <v>180</v>
      </c>
      <c r="E4035" s="1750" t="s">
        <v>2389</v>
      </c>
      <c r="F4035" s="1988"/>
      <c r="G4035" s="1988"/>
      <c r="H4035" s="1988"/>
      <c r="K4035" s="1192" t="s">
        <v>2412</v>
      </c>
      <c r="V4035" s="1192">
        <v>11</v>
      </c>
    </row>
    <row r="4036" spans="1:22" s="1192" customFormat="1" ht="14.4" x14ac:dyDescent="0.3">
      <c r="A4036" s="1192" t="s">
        <v>180</v>
      </c>
      <c r="E4036" s="1743" t="s">
        <v>2391</v>
      </c>
      <c r="F4036" s="1743"/>
      <c r="G4036" s="1743"/>
      <c r="H4036" s="1743"/>
      <c r="K4036" s="1192" t="s">
        <v>3901</v>
      </c>
      <c r="V4036" s="1192">
        <v>280</v>
      </c>
    </row>
    <row r="4037" spans="1:22" s="1192" customFormat="1" ht="14.4" x14ac:dyDescent="0.3">
      <c r="A4037" s="1192" t="s">
        <v>180</v>
      </c>
      <c r="E4037" s="1743" t="s">
        <v>2392</v>
      </c>
      <c r="F4037" s="1743"/>
      <c r="G4037" s="1743"/>
      <c r="H4037" s="1743"/>
      <c r="K4037" s="1192" t="s">
        <v>3901</v>
      </c>
      <c r="V4037" s="1192">
        <v>411</v>
      </c>
    </row>
    <row r="4038" spans="1:22" s="1192" customFormat="1" ht="14.4" x14ac:dyDescent="0.3">
      <c r="A4038" s="1192" t="s">
        <v>180</v>
      </c>
      <c r="E4038" s="1743" t="s">
        <v>2393</v>
      </c>
      <c r="F4038" s="1743"/>
      <c r="G4038" s="1743"/>
      <c r="H4038" s="1743"/>
      <c r="K4038" s="1192" t="s">
        <v>3901</v>
      </c>
      <c r="V4038" s="1192">
        <v>387</v>
      </c>
    </row>
    <row r="4039" spans="1:22" s="1192" customFormat="1" ht="14.4" x14ac:dyDescent="0.3">
      <c r="A4039" s="1192" t="s">
        <v>180</v>
      </c>
      <c r="E4039" s="1743" t="s">
        <v>2509</v>
      </c>
      <c r="F4039" s="1743"/>
      <c r="G4039" s="1743"/>
      <c r="H4039" s="1743"/>
      <c r="K4039" s="1192" t="s">
        <v>3901</v>
      </c>
      <c r="V4039" s="1192">
        <v>275</v>
      </c>
    </row>
    <row r="4040" spans="1:22" s="1192" customFormat="1" ht="14.4" x14ac:dyDescent="0.3">
      <c r="A4040" s="1192" t="s">
        <v>180</v>
      </c>
      <c r="E4040" s="1748" t="s">
        <v>2394</v>
      </c>
      <c r="F4040" s="1749"/>
      <c r="G4040" s="1749"/>
      <c r="H4040" s="1749"/>
      <c r="K4040" s="1192" t="s">
        <v>2413</v>
      </c>
      <c r="V4040" s="1192">
        <v>46</v>
      </c>
    </row>
    <row r="4041" spans="1:22" s="1192" customFormat="1" ht="14.4" x14ac:dyDescent="0.3">
      <c r="A4041" s="1192" t="s">
        <v>180</v>
      </c>
      <c r="E4041" s="1740" t="s">
        <v>7</v>
      </c>
      <c r="F4041" s="1740"/>
      <c r="G4041" s="1277" t="s">
        <v>19</v>
      </c>
      <c r="H4041" s="1218">
        <v>27.51</v>
      </c>
      <c r="K4041" s="1192" t="s">
        <v>3901</v>
      </c>
      <c r="L4041" s="1192" t="s">
        <v>430</v>
      </c>
      <c r="P4041" s="1192" t="s">
        <v>3902</v>
      </c>
      <c r="V4041" s="1192">
        <v>14</v>
      </c>
    </row>
    <row r="4042" spans="1:22" s="1192" customFormat="1" ht="14.4" x14ac:dyDescent="0.3">
      <c r="A4042" s="1192" t="s">
        <v>180</v>
      </c>
      <c r="E4042" s="1740" t="s">
        <v>3900</v>
      </c>
      <c r="F4042" s="1740"/>
      <c r="G4042" s="1277" t="s">
        <v>19</v>
      </c>
      <c r="H4042" s="1218">
        <v>0.56999999999999995</v>
      </c>
      <c r="K4042" s="1192" t="s">
        <v>3901</v>
      </c>
      <c r="L4042" s="1192" t="s">
        <v>431</v>
      </c>
      <c r="P4042" s="1192" t="s">
        <v>3903</v>
      </c>
      <c r="T4042" s="1192">
        <v>44926</v>
      </c>
      <c r="V4042" s="1192">
        <v>64</v>
      </c>
    </row>
    <row r="4043" spans="1:22" s="1192" customFormat="1" ht="14.4" x14ac:dyDescent="0.3">
      <c r="A4043" s="1192" t="s">
        <v>180</v>
      </c>
      <c r="E4043" s="1740" t="s">
        <v>80</v>
      </c>
      <c r="F4043" s="1740"/>
      <c r="G4043" s="1277" t="s">
        <v>20</v>
      </c>
      <c r="H4043" s="1219">
        <v>1.32E-2</v>
      </c>
      <c r="K4043" s="1192" t="s">
        <v>3901</v>
      </c>
      <c r="L4043" s="1192" t="s">
        <v>430</v>
      </c>
      <c r="P4043" s="1192" t="s">
        <v>3904</v>
      </c>
      <c r="V4043" s="1192">
        <v>28</v>
      </c>
    </row>
    <row r="4044" spans="1:22" s="1192" customFormat="1" ht="14.4" x14ac:dyDescent="0.3">
      <c r="A4044" s="1192" t="s">
        <v>180</v>
      </c>
      <c r="E4044" s="1740" t="s">
        <v>6265</v>
      </c>
      <c r="F4044" s="1740"/>
      <c r="G4044" s="1277" t="s">
        <v>20</v>
      </c>
      <c r="H4044" s="1219">
        <v>4.0000000000000002E-4</v>
      </c>
      <c r="K4044" s="1192" t="s">
        <v>3901</v>
      </c>
      <c r="L4044" s="1192" t="s">
        <v>431</v>
      </c>
      <c r="P4044" s="1192" t="s">
        <v>3911</v>
      </c>
      <c r="T4044" s="1192">
        <v>44196</v>
      </c>
      <c r="V4044" s="1192">
        <v>99</v>
      </c>
    </row>
    <row r="4045" spans="1:22" s="1192" customFormat="1" ht="14.4" x14ac:dyDescent="0.3">
      <c r="A4045" s="1192" t="s">
        <v>180</v>
      </c>
      <c r="E4045" s="1740" t="s">
        <v>6266</v>
      </c>
      <c r="F4045" s="1740"/>
      <c r="G4045" s="1277" t="s">
        <v>20</v>
      </c>
      <c r="H4045" s="1219">
        <v>-2.3E-3</v>
      </c>
      <c r="K4045" s="1192" t="s">
        <v>3901</v>
      </c>
      <c r="L4045" s="1192" t="s">
        <v>431</v>
      </c>
      <c r="P4045" s="1192" t="s">
        <v>3700</v>
      </c>
      <c r="T4045" s="1192">
        <v>44196</v>
      </c>
      <c r="V4045" s="1192">
        <v>140</v>
      </c>
    </row>
    <row r="4046" spans="1:22" s="1192" customFormat="1" ht="14.4" x14ac:dyDescent="0.3">
      <c r="A4046" s="1192" t="s">
        <v>180</v>
      </c>
      <c r="E4046" s="1740" t="s">
        <v>6269</v>
      </c>
      <c r="F4046" s="1740"/>
      <c r="G4046" s="1277" t="s">
        <v>20</v>
      </c>
      <c r="H4046" s="1219">
        <v>5.0000000000000001E-4</v>
      </c>
      <c r="K4046" s="1192" t="s">
        <v>3901</v>
      </c>
      <c r="L4046" s="1192" t="s">
        <v>430</v>
      </c>
      <c r="P4046" s="1192" t="s">
        <v>6270</v>
      </c>
      <c r="T4046" s="1192">
        <v>44196</v>
      </c>
      <c r="V4046" s="1192">
        <v>85</v>
      </c>
    </row>
    <row r="4047" spans="1:22" s="1192" customFormat="1" ht="14.4" x14ac:dyDescent="0.3">
      <c r="A4047" s="1192" t="s">
        <v>180</v>
      </c>
      <c r="E4047" s="1740" t="s">
        <v>213</v>
      </c>
      <c r="F4047" s="1740"/>
      <c r="G4047" s="1277" t="s">
        <v>20</v>
      </c>
      <c r="H4047" s="1219">
        <v>5.4999999999999997E-3</v>
      </c>
      <c r="K4047" s="1192" t="s">
        <v>3901</v>
      </c>
      <c r="L4047" s="1192" t="s">
        <v>432</v>
      </c>
      <c r="P4047" s="1192" t="s">
        <v>3906</v>
      </c>
      <c r="V4047" s="1192">
        <v>47</v>
      </c>
    </row>
    <row r="4048" spans="1:22" s="1192" customFormat="1" ht="14.4" x14ac:dyDescent="0.3">
      <c r="A4048" s="1192" t="s">
        <v>180</v>
      </c>
      <c r="E4048" s="1740" t="s">
        <v>209</v>
      </c>
      <c r="F4048" s="1740"/>
      <c r="G4048" s="1277" t="s">
        <v>20</v>
      </c>
      <c r="H4048" s="1219">
        <v>1.5E-3</v>
      </c>
      <c r="K4048" s="1192" t="s">
        <v>3901</v>
      </c>
      <c r="L4048" s="1192" t="s">
        <v>432</v>
      </c>
      <c r="P4048" s="1192" t="s">
        <v>3907</v>
      </c>
      <c r="V4048" s="1192">
        <v>74</v>
      </c>
    </row>
    <row r="4049" spans="1:22" s="1192" customFormat="1" ht="14.4" x14ac:dyDescent="0.3">
      <c r="A4049" s="1192" t="s">
        <v>180</v>
      </c>
      <c r="E4049" s="1748" t="s">
        <v>2405</v>
      </c>
      <c r="F4049" s="1740"/>
      <c r="G4049" s="1277"/>
      <c r="H4049" s="896"/>
      <c r="K4049" s="1192" t="s">
        <v>2418</v>
      </c>
      <c r="V4049" s="1192">
        <v>48</v>
      </c>
    </row>
    <row r="4050" spans="1:22" s="1192" customFormat="1" ht="14.4" x14ac:dyDescent="0.3">
      <c r="A4050" s="1192" t="s">
        <v>180</v>
      </c>
      <c r="E4050" s="1740" t="s">
        <v>2033</v>
      </c>
      <c r="F4050" s="1740"/>
      <c r="G4050" s="1277" t="s">
        <v>20</v>
      </c>
      <c r="H4050" s="1219">
        <v>3.0000000000000001E-3</v>
      </c>
      <c r="K4050" s="1192" t="s">
        <v>3901</v>
      </c>
      <c r="L4050" s="1192" t="s">
        <v>2374</v>
      </c>
      <c r="P4050" s="1192" t="s">
        <v>3908</v>
      </c>
      <c r="V4050" s="1192">
        <v>55</v>
      </c>
    </row>
    <row r="4051" spans="1:22" s="1192" customFormat="1" ht="14.4" x14ac:dyDescent="0.3">
      <c r="A4051" s="1192" t="s">
        <v>180</v>
      </c>
      <c r="E4051" s="1740" t="s">
        <v>2034</v>
      </c>
      <c r="F4051" s="1740"/>
      <c r="G4051" s="1277" t="s">
        <v>20</v>
      </c>
      <c r="H4051" s="1219">
        <v>4.0000000000000002E-4</v>
      </c>
      <c r="K4051" s="1192" t="s">
        <v>3901</v>
      </c>
      <c r="L4051" s="1192" t="s">
        <v>2374</v>
      </c>
      <c r="P4051" s="1192" t="s">
        <v>3908</v>
      </c>
      <c r="V4051" s="1192">
        <v>65</v>
      </c>
    </row>
    <row r="4052" spans="1:22" s="1192" customFormat="1" ht="14.4" x14ac:dyDescent="0.3">
      <c r="A4052" s="1192" t="s">
        <v>180</v>
      </c>
      <c r="E4052" s="1740" t="s">
        <v>428</v>
      </c>
      <c r="F4052" s="1740"/>
      <c r="G4052" s="1277" t="s">
        <v>20</v>
      </c>
      <c r="H4052" s="1219">
        <v>5.0000000000000001E-4</v>
      </c>
      <c r="K4052" s="1192" t="s">
        <v>3901</v>
      </c>
      <c r="L4052" s="1192" t="s">
        <v>2374</v>
      </c>
      <c r="P4052" s="1192" t="s">
        <v>3909</v>
      </c>
      <c r="V4052" s="1192">
        <v>57</v>
      </c>
    </row>
    <row r="4053" spans="1:22" s="1192" customFormat="1" ht="14.4" x14ac:dyDescent="0.3">
      <c r="A4053" s="1192" t="s">
        <v>180</v>
      </c>
      <c r="E4053" s="1740" t="s">
        <v>28</v>
      </c>
      <c r="F4053" s="1740"/>
      <c r="G4053" s="1277" t="s">
        <v>19</v>
      </c>
      <c r="H4053" s="1218">
        <v>0.25</v>
      </c>
      <c r="K4053" s="1192" t="s">
        <v>3901</v>
      </c>
      <c r="L4053" s="1192" t="s">
        <v>2374</v>
      </c>
      <c r="P4053" s="1192" t="s">
        <v>3910</v>
      </c>
      <c r="V4053" s="1192">
        <v>63</v>
      </c>
    </row>
    <row r="4054" spans="1:22" s="1192" customFormat="1" ht="17.399999999999999" x14ac:dyDescent="0.3">
      <c r="A4054" s="1192" t="s">
        <v>180</v>
      </c>
      <c r="E4054" s="1746" t="s">
        <v>591</v>
      </c>
      <c r="F4054" s="1987"/>
      <c r="G4054" s="1987"/>
      <c r="H4054" s="1987"/>
      <c r="K4054" s="1192" t="s">
        <v>4388</v>
      </c>
      <c r="V4054" s="1192">
        <v>53</v>
      </c>
    </row>
    <row r="4055" spans="1:22" s="1192" customFormat="1" ht="14.4" x14ac:dyDescent="0.3">
      <c r="A4055" s="1192" t="s">
        <v>180</v>
      </c>
      <c r="E4055" s="1743" t="s">
        <v>3178</v>
      </c>
      <c r="F4055" s="1743"/>
      <c r="G4055" s="1743"/>
      <c r="H4055" s="1743"/>
      <c r="K4055" s="1192" t="s">
        <v>4388</v>
      </c>
      <c r="V4055" s="1192">
        <v>749</v>
      </c>
    </row>
    <row r="4056" spans="1:22" s="1192" customFormat="1" ht="14.4" x14ac:dyDescent="0.3">
      <c r="A4056" s="1192" t="s">
        <v>180</v>
      </c>
      <c r="E4056" s="1750" t="s">
        <v>2389</v>
      </c>
      <c r="F4056" s="1988"/>
      <c r="G4056" s="1988"/>
      <c r="H4056" s="1988"/>
      <c r="K4056" s="1192" t="s">
        <v>2422</v>
      </c>
      <c r="V4056" s="1192">
        <v>11</v>
      </c>
    </row>
    <row r="4057" spans="1:22" s="1192" customFormat="1" ht="14.4" x14ac:dyDescent="0.3">
      <c r="A4057" s="1192" t="s">
        <v>180</v>
      </c>
      <c r="E4057" s="1743" t="s">
        <v>2391</v>
      </c>
      <c r="F4057" s="1743"/>
      <c r="G4057" s="1743"/>
      <c r="H4057" s="1743"/>
      <c r="K4057" s="1192" t="s">
        <v>4388</v>
      </c>
      <c r="V4057" s="1192">
        <v>280</v>
      </c>
    </row>
    <row r="4058" spans="1:22" s="1192" customFormat="1" ht="14.4" x14ac:dyDescent="0.3">
      <c r="A4058" s="1192" t="s">
        <v>180</v>
      </c>
      <c r="E4058" s="1743" t="s">
        <v>2392</v>
      </c>
      <c r="F4058" s="1743"/>
      <c r="G4058" s="1743"/>
      <c r="H4058" s="1743"/>
      <c r="K4058" s="1192" t="s">
        <v>4388</v>
      </c>
      <c r="V4058" s="1192">
        <v>411</v>
      </c>
    </row>
    <row r="4059" spans="1:22" s="1192" customFormat="1" ht="14.4" x14ac:dyDescent="0.3">
      <c r="A4059" s="1192" t="s">
        <v>180</v>
      </c>
      <c r="E4059" s="1743" t="s">
        <v>2393</v>
      </c>
      <c r="F4059" s="1743"/>
      <c r="G4059" s="1743"/>
      <c r="H4059" s="1743"/>
      <c r="K4059" s="1192" t="s">
        <v>4388</v>
      </c>
      <c r="V4059" s="1192">
        <v>387</v>
      </c>
    </row>
    <row r="4060" spans="1:22" s="1192" customFormat="1" ht="14.4" x14ac:dyDescent="0.3">
      <c r="A4060" s="1192" t="s">
        <v>180</v>
      </c>
      <c r="E4060" s="1743" t="s">
        <v>2846</v>
      </c>
      <c r="F4060" s="1743"/>
      <c r="G4060" s="1743"/>
      <c r="H4060" s="1743"/>
      <c r="K4060" s="1192" t="s">
        <v>4388</v>
      </c>
      <c r="V4060" s="1192">
        <v>610</v>
      </c>
    </row>
    <row r="4061" spans="1:22" s="1192" customFormat="1" ht="14.4" x14ac:dyDescent="0.3">
      <c r="A4061" s="1192" t="s">
        <v>180</v>
      </c>
      <c r="E4061" s="1743" t="s">
        <v>4007</v>
      </c>
      <c r="F4061" s="1743"/>
      <c r="G4061" s="1743"/>
      <c r="H4061" s="1743"/>
      <c r="K4061" s="1192" t="s">
        <v>4388</v>
      </c>
      <c r="V4061" s="1192">
        <v>617</v>
      </c>
    </row>
    <row r="4062" spans="1:22" s="1192" customFormat="1" ht="14.4" x14ac:dyDescent="0.3">
      <c r="A4062" s="1192" t="s">
        <v>180</v>
      </c>
      <c r="E4062" s="1743" t="s">
        <v>2509</v>
      </c>
      <c r="F4062" s="1743"/>
      <c r="G4062" s="1743"/>
      <c r="H4062" s="1743"/>
      <c r="K4062" s="1192" t="s">
        <v>4388</v>
      </c>
      <c r="V4062" s="1192">
        <v>275</v>
      </c>
    </row>
    <row r="4063" spans="1:22" s="1192" customFormat="1" ht="14.4" x14ac:dyDescent="0.3">
      <c r="A4063" s="1192" t="s">
        <v>180</v>
      </c>
      <c r="E4063" s="1748" t="s">
        <v>2394</v>
      </c>
      <c r="F4063" s="1749"/>
      <c r="G4063" s="1749"/>
      <c r="H4063" s="1749"/>
      <c r="K4063" s="1192" t="s">
        <v>2423</v>
      </c>
      <c r="V4063" s="1192">
        <v>46</v>
      </c>
    </row>
    <row r="4064" spans="1:22" s="1192" customFormat="1" ht="14.4" x14ac:dyDescent="0.3">
      <c r="A4064" s="1192" t="s">
        <v>180</v>
      </c>
      <c r="E4064" s="1740" t="s">
        <v>7</v>
      </c>
      <c r="F4064" s="1740"/>
      <c r="G4064" s="1277" t="s">
        <v>19</v>
      </c>
      <c r="H4064" s="1218">
        <v>183.23</v>
      </c>
      <c r="K4064" s="1192" t="s">
        <v>4388</v>
      </c>
      <c r="L4064" s="1192" t="s">
        <v>430</v>
      </c>
      <c r="P4064" s="1192" t="s">
        <v>4389</v>
      </c>
      <c r="V4064" s="1192">
        <v>14</v>
      </c>
    </row>
    <row r="4065" spans="1:22" s="1192" customFormat="1" ht="14.4" x14ac:dyDescent="0.3">
      <c r="A4065" s="1192" t="s">
        <v>180</v>
      </c>
      <c r="E4065" s="1740" t="s">
        <v>80</v>
      </c>
      <c r="F4065" s="1740"/>
      <c r="G4065" s="1277" t="s">
        <v>29</v>
      </c>
      <c r="H4065" s="1219">
        <v>4.7173999999999996</v>
      </c>
      <c r="K4065" s="1192" t="s">
        <v>4388</v>
      </c>
      <c r="L4065" s="1192" t="s">
        <v>430</v>
      </c>
      <c r="P4065" s="1192" t="s">
        <v>4390</v>
      </c>
      <c r="V4065" s="1192">
        <v>28</v>
      </c>
    </row>
    <row r="4066" spans="1:22" s="1192" customFormat="1" ht="14.4" x14ac:dyDescent="0.3">
      <c r="A4066" s="1192" t="s">
        <v>180</v>
      </c>
      <c r="E4066" s="1740" t="s">
        <v>6265</v>
      </c>
      <c r="F4066" s="1740"/>
      <c r="G4066" s="1277" t="s">
        <v>29</v>
      </c>
      <c r="H4066" s="1219">
        <v>0.1074</v>
      </c>
      <c r="K4066" s="1192" t="s">
        <v>4388</v>
      </c>
      <c r="L4066" s="1192" t="s">
        <v>431</v>
      </c>
      <c r="P4066" s="1192" t="s">
        <v>4398</v>
      </c>
      <c r="T4066" s="1192">
        <v>44196</v>
      </c>
      <c r="V4066" s="1192">
        <v>99</v>
      </c>
    </row>
    <row r="4067" spans="1:22" s="1192" customFormat="1" ht="14.4" x14ac:dyDescent="0.3">
      <c r="A4067" s="1192" t="s">
        <v>180</v>
      </c>
      <c r="E4067" s="1740" t="s">
        <v>6271</v>
      </c>
      <c r="F4067" s="1740"/>
      <c r="G4067" s="1277" t="s">
        <v>29</v>
      </c>
      <c r="H4067" s="1219">
        <v>5.8900000000000001E-2</v>
      </c>
      <c r="K4067" s="1192" t="s">
        <v>4388</v>
      </c>
      <c r="L4067" s="1192" t="s">
        <v>431</v>
      </c>
      <c r="P4067" s="1192" t="s">
        <v>4398</v>
      </c>
      <c r="T4067" s="1192">
        <v>44196</v>
      </c>
      <c r="V4067" s="1192">
        <v>158</v>
      </c>
    </row>
    <row r="4068" spans="1:22" s="1192" customFormat="1" ht="14.4" x14ac:dyDescent="0.3">
      <c r="A4068" s="1192" t="s">
        <v>180</v>
      </c>
      <c r="E4068" s="1740" t="s">
        <v>6266</v>
      </c>
      <c r="F4068" s="1740"/>
      <c r="G4068" s="1277" t="s">
        <v>20</v>
      </c>
      <c r="H4068" s="1219">
        <v>-2.3E-3</v>
      </c>
      <c r="K4068" s="1192" t="s">
        <v>4388</v>
      </c>
      <c r="L4068" s="1192" t="s">
        <v>431</v>
      </c>
      <c r="P4068" s="1192" t="s">
        <v>4397</v>
      </c>
      <c r="T4068" s="1192">
        <v>44196</v>
      </c>
      <c r="V4068" s="1192">
        <v>140</v>
      </c>
    </row>
    <row r="4069" spans="1:22" s="1192" customFormat="1" ht="14.4" x14ac:dyDescent="0.3">
      <c r="A4069" s="1192" t="s">
        <v>180</v>
      </c>
      <c r="E4069" s="1740" t="s">
        <v>6264</v>
      </c>
      <c r="F4069" s="1740"/>
      <c r="G4069" s="1277" t="s">
        <v>29</v>
      </c>
      <c r="H4069" s="1219">
        <v>8.9999999999999998E-4</v>
      </c>
      <c r="K4069" s="1192" t="s">
        <v>4388</v>
      </c>
      <c r="L4069" s="1192" t="s">
        <v>430</v>
      </c>
      <c r="P4069" s="1192" t="s">
        <v>4398</v>
      </c>
      <c r="T4069" s="1192">
        <v>44196</v>
      </c>
      <c r="V4069" s="1192">
        <v>107</v>
      </c>
    </row>
    <row r="4070" spans="1:22" s="1192" customFormat="1" ht="14.4" x14ac:dyDescent="0.3">
      <c r="A4070" s="1192" t="s">
        <v>180</v>
      </c>
      <c r="E4070" s="1740" t="s">
        <v>6269</v>
      </c>
      <c r="F4070" s="1740"/>
      <c r="G4070" s="1277" t="s">
        <v>29</v>
      </c>
      <c r="H4070" s="1219">
        <v>0.19670000000000001</v>
      </c>
      <c r="K4070" s="1192" t="s">
        <v>4388</v>
      </c>
      <c r="L4070" s="1192" t="s">
        <v>430</v>
      </c>
      <c r="P4070" s="1192" t="s">
        <v>6272</v>
      </c>
      <c r="T4070" s="1192">
        <v>44196</v>
      </c>
      <c r="V4070" s="1192">
        <v>85</v>
      </c>
    </row>
    <row r="4071" spans="1:22" s="1192" customFormat="1" ht="14.4" x14ac:dyDescent="0.3">
      <c r="A4071" s="1192" t="s">
        <v>180</v>
      </c>
      <c r="E4071" s="1740" t="s">
        <v>213</v>
      </c>
      <c r="F4071" s="1740"/>
      <c r="G4071" s="1277" t="s">
        <v>29</v>
      </c>
      <c r="H4071" s="1219">
        <v>2.9203000000000001</v>
      </c>
      <c r="K4071" s="1192" t="s">
        <v>4388</v>
      </c>
      <c r="L4071" s="1192" t="s">
        <v>432</v>
      </c>
      <c r="P4071" s="1192" t="s">
        <v>4392</v>
      </c>
      <c r="V4071" s="1192">
        <v>47</v>
      </c>
    </row>
    <row r="4072" spans="1:22" s="1192" customFormat="1" ht="14.4" x14ac:dyDescent="0.3">
      <c r="A4072" s="1192" t="s">
        <v>180</v>
      </c>
      <c r="E4072" s="1740" t="s">
        <v>209</v>
      </c>
      <c r="F4072" s="1740"/>
      <c r="G4072" s="1277" t="s">
        <v>29</v>
      </c>
      <c r="H4072" s="1219">
        <v>0.86280000000000001</v>
      </c>
      <c r="K4072" s="1192" t="s">
        <v>4388</v>
      </c>
      <c r="L4072" s="1192" t="s">
        <v>432</v>
      </c>
      <c r="P4072" s="1192" t="s">
        <v>4393</v>
      </c>
      <c r="V4072" s="1192">
        <v>74</v>
      </c>
    </row>
    <row r="4073" spans="1:22" s="1192" customFormat="1" ht="14.4" x14ac:dyDescent="0.3">
      <c r="A4073" s="1192" t="s">
        <v>180</v>
      </c>
      <c r="E4073" s="1748" t="s">
        <v>2405</v>
      </c>
      <c r="F4073" s="1740"/>
      <c r="G4073" s="1277"/>
      <c r="H4073" s="896"/>
      <c r="K4073" s="1192" t="s">
        <v>2526</v>
      </c>
      <c r="V4073" s="1192">
        <v>48</v>
      </c>
    </row>
    <row r="4074" spans="1:22" s="1192" customFormat="1" ht="14.4" x14ac:dyDescent="0.3">
      <c r="A4074" s="1192" t="s">
        <v>180</v>
      </c>
      <c r="E4074" s="1740" t="s">
        <v>2033</v>
      </c>
      <c r="F4074" s="1740"/>
      <c r="G4074" s="1277" t="s">
        <v>20</v>
      </c>
      <c r="H4074" s="1219">
        <v>3.0000000000000001E-3</v>
      </c>
      <c r="K4074" s="1192" t="s">
        <v>4388</v>
      </c>
      <c r="L4074" s="1192" t="s">
        <v>2374</v>
      </c>
      <c r="P4074" s="1192" t="s">
        <v>4394</v>
      </c>
      <c r="V4074" s="1192">
        <v>55</v>
      </c>
    </row>
    <row r="4075" spans="1:22" s="1192" customFormat="1" ht="14.4" x14ac:dyDescent="0.3">
      <c r="A4075" s="1192" t="s">
        <v>180</v>
      </c>
      <c r="E4075" s="1740" t="s">
        <v>2034</v>
      </c>
      <c r="F4075" s="1740"/>
      <c r="G4075" s="1277" t="s">
        <v>20</v>
      </c>
      <c r="H4075" s="1219">
        <v>4.0000000000000002E-4</v>
      </c>
      <c r="K4075" s="1192" t="s">
        <v>4388</v>
      </c>
      <c r="L4075" s="1192" t="s">
        <v>2374</v>
      </c>
      <c r="P4075" s="1192" t="s">
        <v>4394</v>
      </c>
      <c r="V4075" s="1192">
        <v>65</v>
      </c>
    </row>
    <row r="4076" spans="1:22" s="1192" customFormat="1" ht="14.4" x14ac:dyDescent="0.3">
      <c r="A4076" s="1192" t="s">
        <v>180</v>
      </c>
      <c r="E4076" s="1740" t="s">
        <v>428</v>
      </c>
      <c r="F4076" s="1740"/>
      <c r="G4076" s="1277" t="s">
        <v>20</v>
      </c>
      <c r="H4076" s="1219">
        <v>5.0000000000000001E-4</v>
      </c>
      <c r="K4076" s="1192" t="s">
        <v>4388</v>
      </c>
      <c r="L4076" s="1192" t="s">
        <v>2374</v>
      </c>
      <c r="P4076" s="1192" t="s">
        <v>4395</v>
      </c>
      <c r="V4076" s="1192">
        <v>57</v>
      </c>
    </row>
    <row r="4077" spans="1:22" s="1192" customFormat="1" ht="14.4" x14ac:dyDescent="0.3">
      <c r="A4077" s="1192" t="s">
        <v>180</v>
      </c>
      <c r="E4077" s="1740" t="s">
        <v>28</v>
      </c>
      <c r="F4077" s="1740"/>
      <c r="G4077" s="1277" t="s">
        <v>19</v>
      </c>
      <c r="H4077" s="1218">
        <v>0.25</v>
      </c>
      <c r="K4077" s="1192" t="s">
        <v>4388</v>
      </c>
      <c r="L4077" s="1192" t="s">
        <v>2374</v>
      </c>
      <c r="P4077" s="1192" t="s">
        <v>4396</v>
      </c>
      <c r="V4077" s="1192">
        <v>63</v>
      </c>
    </row>
    <row r="4078" spans="1:22" s="1192" customFormat="1" ht="17.399999999999999" x14ac:dyDescent="0.3">
      <c r="A4078" s="1192" t="s">
        <v>180</v>
      </c>
      <c r="E4078" s="1746" t="s">
        <v>596</v>
      </c>
      <c r="F4078" s="1987"/>
      <c r="G4078" s="1987"/>
      <c r="H4078" s="1987"/>
      <c r="K4078" s="1192" t="s">
        <v>3407</v>
      </c>
      <c r="V4078" s="1192">
        <v>32</v>
      </c>
    </row>
    <row r="4079" spans="1:22" s="1192" customFormat="1" ht="14.4" x14ac:dyDescent="0.3">
      <c r="A4079" s="1192" t="s">
        <v>180</v>
      </c>
      <c r="E4079" s="1743" t="s">
        <v>2896</v>
      </c>
      <c r="F4079" s="1743"/>
      <c r="G4079" s="1743"/>
      <c r="H4079" s="1743"/>
      <c r="K4079" s="1192" t="s">
        <v>3407</v>
      </c>
      <c r="V4079" s="1192">
        <v>351</v>
      </c>
    </row>
    <row r="4080" spans="1:22" s="1192" customFormat="1" ht="14.4" x14ac:dyDescent="0.3">
      <c r="A4080" s="1192" t="s">
        <v>180</v>
      </c>
      <c r="E4080" s="1750" t="s">
        <v>2389</v>
      </c>
      <c r="F4080" s="1988"/>
      <c r="G4080" s="1988"/>
      <c r="H4080" s="1988"/>
      <c r="K4080" s="1192" t="s">
        <v>2529</v>
      </c>
      <c r="V4080" s="1192">
        <v>11</v>
      </c>
    </row>
    <row r="4081" spans="1:22" s="1192" customFormat="1" ht="14.4" x14ac:dyDescent="0.3">
      <c r="A4081" s="1192" t="s">
        <v>180</v>
      </c>
      <c r="E4081" s="1743" t="s">
        <v>2391</v>
      </c>
      <c r="F4081" s="1743"/>
      <c r="G4081" s="1743"/>
      <c r="H4081" s="1743"/>
      <c r="K4081" s="1192" t="s">
        <v>3407</v>
      </c>
      <c r="V4081" s="1192">
        <v>280</v>
      </c>
    </row>
    <row r="4082" spans="1:22" s="1192" customFormat="1" ht="14.4" x14ac:dyDescent="0.3">
      <c r="A4082" s="1192" t="s">
        <v>180</v>
      </c>
      <c r="E4082" s="1743" t="s">
        <v>2392</v>
      </c>
      <c r="F4082" s="1743"/>
      <c r="G4082" s="1743"/>
      <c r="H4082" s="1743"/>
      <c r="K4082" s="1192" t="s">
        <v>3407</v>
      </c>
      <c r="V4082" s="1192">
        <v>411</v>
      </c>
    </row>
    <row r="4083" spans="1:22" s="1192" customFormat="1" ht="14.4" x14ac:dyDescent="0.3">
      <c r="A4083" s="1192" t="s">
        <v>180</v>
      </c>
      <c r="E4083" s="1743" t="s">
        <v>2393</v>
      </c>
      <c r="F4083" s="1743"/>
      <c r="G4083" s="1743"/>
      <c r="H4083" s="1743"/>
      <c r="K4083" s="1192" t="s">
        <v>3407</v>
      </c>
      <c r="V4083" s="1192">
        <v>387</v>
      </c>
    </row>
    <row r="4084" spans="1:22" s="1192" customFormat="1" ht="14.4" x14ac:dyDescent="0.3">
      <c r="A4084" s="1192" t="s">
        <v>180</v>
      </c>
      <c r="E4084" s="1743" t="s">
        <v>2509</v>
      </c>
      <c r="F4084" s="1743"/>
      <c r="G4084" s="1743"/>
      <c r="H4084" s="1743"/>
      <c r="K4084" s="1192" t="s">
        <v>3407</v>
      </c>
      <c r="V4084" s="1192">
        <v>275</v>
      </c>
    </row>
    <row r="4085" spans="1:22" s="1192" customFormat="1" ht="14.4" x14ac:dyDescent="0.3">
      <c r="A4085" s="1192" t="s">
        <v>180</v>
      </c>
      <c r="E4085" s="1748" t="s">
        <v>2394</v>
      </c>
      <c r="F4085" s="1749"/>
      <c r="G4085" s="1749"/>
      <c r="H4085" s="1749"/>
      <c r="K4085" s="1192" t="s">
        <v>2531</v>
      </c>
      <c r="V4085" s="1192">
        <v>46</v>
      </c>
    </row>
    <row r="4086" spans="1:22" s="1192" customFormat="1" ht="14.4" x14ac:dyDescent="0.3">
      <c r="A4086" s="1192" t="s">
        <v>180</v>
      </c>
      <c r="E4086" s="1740" t="s">
        <v>7</v>
      </c>
      <c r="F4086" s="1740"/>
      <c r="G4086" s="1277" t="s">
        <v>19</v>
      </c>
      <c r="H4086" s="1218">
        <v>17043.47</v>
      </c>
      <c r="K4086" s="1192" t="s">
        <v>3407</v>
      </c>
      <c r="L4086" s="1192" t="s">
        <v>430</v>
      </c>
      <c r="P4086" s="1192" t="s">
        <v>3409</v>
      </c>
      <c r="V4086" s="1192">
        <v>14</v>
      </c>
    </row>
    <row r="4087" spans="1:22" s="1192" customFormat="1" ht="14.4" x14ac:dyDescent="0.3">
      <c r="A4087" s="1192" t="s">
        <v>180</v>
      </c>
      <c r="E4087" s="1740" t="s">
        <v>80</v>
      </c>
      <c r="F4087" s="1740"/>
      <c r="G4087" s="1277" t="s">
        <v>29</v>
      </c>
      <c r="H4087" s="1219">
        <v>1.5653999999999999</v>
      </c>
      <c r="K4087" s="1192" t="s">
        <v>3407</v>
      </c>
      <c r="L4087" s="1192" t="s">
        <v>430</v>
      </c>
      <c r="P4087" s="1192" t="s">
        <v>3410</v>
      </c>
      <c r="V4087" s="1192">
        <v>28</v>
      </c>
    </row>
    <row r="4088" spans="1:22" s="1192" customFormat="1" ht="14.4" x14ac:dyDescent="0.3">
      <c r="A4088" s="1192" t="s">
        <v>180</v>
      </c>
      <c r="E4088" s="1740" t="s">
        <v>6265</v>
      </c>
      <c r="F4088" s="1740"/>
      <c r="G4088" s="1277" t="s">
        <v>29</v>
      </c>
      <c r="H4088" s="1219">
        <v>0.2248</v>
      </c>
      <c r="K4088" s="1192" t="s">
        <v>3407</v>
      </c>
      <c r="L4088" s="1192" t="s">
        <v>431</v>
      </c>
      <c r="P4088" s="1192" t="s">
        <v>3413</v>
      </c>
      <c r="T4088" s="1192">
        <v>44196</v>
      </c>
      <c r="V4088" s="1192">
        <v>99</v>
      </c>
    </row>
    <row r="4089" spans="1:22" s="1192" customFormat="1" ht="14.4" x14ac:dyDescent="0.3">
      <c r="A4089" s="1192" t="s">
        <v>180</v>
      </c>
      <c r="E4089" s="1740" t="s">
        <v>6264</v>
      </c>
      <c r="F4089" s="1740"/>
      <c r="G4089" s="1277" t="s">
        <v>29</v>
      </c>
      <c r="H4089" s="1219">
        <v>1.1999999999999999E-3</v>
      </c>
      <c r="K4089" s="1192" t="s">
        <v>3407</v>
      </c>
      <c r="L4089" s="1192" t="s">
        <v>430</v>
      </c>
      <c r="P4089" s="1192" t="s">
        <v>3413</v>
      </c>
      <c r="T4089" s="1192">
        <v>44196</v>
      </c>
      <c r="V4089" s="1192">
        <v>107</v>
      </c>
    </row>
    <row r="4090" spans="1:22" s="1192" customFormat="1" ht="14.4" x14ac:dyDescent="0.3">
      <c r="A4090" s="1192" t="s">
        <v>180</v>
      </c>
      <c r="E4090" s="1740" t="s">
        <v>215</v>
      </c>
      <c r="F4090" s="1740"/>
      <c r="G4090" s="1277" t="s">
        <v>29</v>
      </c>
      <c r="H4090" s="1219">
        <v>2.7446999999999999</v>
      </c>
      <c r="K4090" s="1192" t="s">
        <v>3407</v>
      </c>
      <c r="L4090" s="1192" t="s">
        <v>432</v>
      </c>
      <c r="P4090" s="1192" t="s">
        <v>3414</v>
      </c>
      <c r="V4090" s="1192">
        <v>66</v>
      </c>
    </row>
    <row r="4091" spans="1:22" s="1192" customFormat="1" ht="14.4" x14ac:dyDescent="0.3">
      <c r="A4091" s="1192" t="s">
        <v>180</v>
      </c>
      <c r="E4091" s="1740" t="s">
        <v>211</v>
      </c>
      <c r="F4091" s="1740"/>
      <c r="G4091" s="1277" t="s">
        <v>29</v>
      </c>
      <c r="H4091" s="1219">
        <v>0.81110000000000004</v>
      </c>
      <c r="K4091" s="1192" t="s">
        <v>3407</v>
      </c>
      <c r="L4091" s="1192" t="s">
        <v>432</v>
      </c>
      <c r="P4091" s="1192" t="s">
        <v>4132</v>
      </c>
      <c r="V4091" s="1192">
        <v>93</v>
      </c>
    </row>
    <row r="4092" spans="1:22" s="1192" customFormat="1" ht="14.4" x14ac:dyDescent="0.3">
      <c r="A4092" s="1192" t="s">
        <v>180</v>
      </c>
      <c r="E4092" s="1748" t="s">
        <v>2405</v>
      </c>
      <c r="F4092" s="1740"/>
      <c r="G4092" s="1277"/>
      <c r="H4092" s="896"/>
      <c r="K4092" s="1192" t="s">
        <v>2532</v>
      </c>
      <c r="V4092" s="1192">
        <v>48</v>
      </c>
    </row>
    <row r="4093" spans="1:22" s="1192" customFormat="1" ht="14.4" x14ac:dyDescent="0.3">
      <c r="A4093" s="1192" t="s">
        <v>180</v>
      </c>
      <c r="E4093" s="1740" t="s">
        <v>2033</v>
      </c>
      <c r="F4093" s="1740"/>
      <c r="G4093" s="1277" t="s">
        <v>20</v>
      </c>
      <c r="H4093" s="1219">
        <v>3.0000000000000001E-3</v>
      </c>
      <c r="K4093" s="1192" t="s">
        <v>3407</v>
      </c>
      <c r="L4093" s="1192" t="s">
        <v>2374</v>
      </c>
      <c r="P4093" s="1192" t="s">
        <v>3415</v>
      </c>
      <c r="V4093" s="1192">
        <v>55</v>
      </c>
    </row>
    <row r="4094" spans="1:22" s="1192" customFormat="1" ht="14.4" x14ac:dyDescent="0.3">
      <c r="A4094" s="1192" t="s">
        <v>180</v>
      </c>
      <c r="E4094" s="1740" t="s">
        <v>2034</v>
      </c>
      <c r="F4094" s="1740"/>
      <c r="G4094" s="1277" t="s">
        <v>20</v>
      </c>
      <c r="H4094" s="1219">
        <v>4.0000000000000002E-4</v>
      </c>
      <c r="K4094" s="1192" t="s">
        <v>3407</v>
      </c>
      <c r="L4094" s="1192" t="s">
        <v>2374</v>
      </c>
      <c r="P4094" s="1192" t="s">
        <v>3415</v>
      </c>
      <c r="V4094" s="1192">
        <v>65</v>
      </c>
    </row>
    <row r="4095" spans="1:22" s="1192" customFormat="1" ht="14.4" x14ac:dyDescent="0.3">
      <c r="A4095" s="1192" t="s">
        <v>180</v>
      </c>
      <c r="E4095" s="1740" t="s">
        <v>428</v>
      </c>
      <c r="F4095" s="1740"/>
      <c r="G4095" s="1277" t="s">
        <v>20</v>
      </c>
      <c r="H4095" s="1219">
        <v>5.0000000000000001E-4</v>
      </c>
      <c r="K4095" s="1192" t="s">
        <v>3407</v>
      </c>
      <c r="L4095" s="1192" t="s">
        <v>2374</v>
      </c>
      <c r="P4095" s="1192" t="s">
        <v>3416</v>
      </c>
      <c r="V4095" s="1192">
        <v>57</v>
      </c>
    </row>
    <row r="4096" spans="1:22" s="1192" customFormat="1" ht="14.4" x14ac:dyDescent="0.3">
      <c r="A4096" s="1192" t="s">
        <v>180</v>
      </c>
      <c r="E4096" s="1740" t="s">
        <v>28</v>
      </c>
      <c r="F4096" s="1740"/>
      <c r="G4096" s="1277" t="s">
        <v>19</v>
      </c>
      <c r="H4096" s="1218">
        <v>0.25</v>
      </c>
      <c r="K4096" s="1192" t="s">
        <v>3407</v>
      </c>
      <c r="L4096" s="1192" t="s">
        <v>2374</v>
      </c>
      <c r="P4096" s="1192" t="s">
        <v>3417</v>
      </c>
      <c r="V4096" s="1192">
        <v>63</v>
      </c>
    </row>
    <row r="4097" spans="1:22" s="1192" customFormat="1" ht="17.399999999999999" x14ac:dyDescent="0.3">
      <c r="A4097" s="1192" t="s">
        <v>180</v>
      </c>
      <c r="E4097" s="1746" t="s">
        <v>592</v>
      </c>
      <c r="F4097" s="1987"/>
      <c r="G4097" s="1987"/>
      <c r="H4097" s="1987"/>
      <c r="K4097" s="1192" t="s">
        <v>2726</v>
      </c>
      <c r="V4097" s="1192">
        <v>47</v>
      </c>
    </row>
    <row r="4098" spans="1:22" s="1192" customFormat="1" ht="14.4" x14ac:dyDescent="0.3">
      <c r="A4098" s="1192" t="s">
        <v>180</v>
      </c>
      <c r="E4098" s="1743" t="s">
        <v>3179</v>
      </c>
      <c r="F4098" s="1743"/>
      <c r="G4098" s="1743"/>
      <c r="H4098" s="1743"/>
      <c r="K4098" s="1192" t="s">
        <v>2726</v>
      </c>
      <c r="V4098" s="1192">
        <v>720</v>
      </c>
    </row>
    <row r="4099" spans="1:22" s="1192" customFormat="1" ht="14.4" x14ac:dyDescent="0.3">
      <c r="A4099" s="1192" t="s">
        <v>180</v>
      </c>
      <c r="E4099" s="1750" t="s">
        <v>2389</v>
      </c>
      <c r="F4099" s="1988"/>
      <c r="G4099" s="1988"/>
      <c r="H4099" s="1988"/>
      <c r="K4099" s="1192" t="s">
        <v>2424</v>
      </c>
      <c r="V4099" s="1192">
        <v>11</v>
      </c>
    </row>
    <row r="4100" spans="1:22" s="1192" customFormat="1" ht="14.4" x14ac:dyDescent="0.3">
      <c r="A4100" s="1192" t="s">
        <v>180</v>
      </c>
      <c r="E4100" s="1743" t="s">
        <v>2391</v>
      </c>
      <c r="F4100" s="1743"/>
      <c r="G4100" s="1743"/>
      <c r="H4100" s="1743"/>
      <c r="K4100" s="1192" t="s">
        <v>2726</v>
      </c>
      <c r="V4100" s="1192">
        <v>280</v>
      </c>
    </row>
    <row r="4101" spans="1:22" s="1192" customFormat="1" ht="14.4" x14ac:dyDescent="0.3">
      <c r="A4101" s="1192" t="s">
        <v>180</v>
      </c>
      <c r="E4101" s="1743" t="s">
        <v>2392</v>
      </c>
      <c r="F4101" s="1743"/>
      <c r="G4101" s="1743"/>
      <c r="H4101" s="1743"/>
      <c r="K4101" s="1192" t="s">
        <v>2726</v>
      </c>
      <c r="V4101" s="1192">
        <v>411</v>
      </c>
    </row>
    <row r="4102" spans="1:22" s="1192" customFormat="1" ht="14.4" x14ac:dyDescent="0.3">
      <c r="A4102" s="1192" t="s">
        <v>180</v>
      </c>
      <c r="E4102" s="1743" t="s">
        <v>2393</v>
      </c>
      <c r="F4102" s="1743"/>
      <c r="G4102" s="1743"/>
      <c r="H4102" s="1743"/>
      <c r="K4102" s="1192" t="s">
        <v>2726</v>
      </c>
      <c r="V4102" s="1192">
        <v>387</v>
      </c>
    </row>
    <row r="4103" spans="1:22" s="1192" customFormat="1" ht="14.4" x14ac:dyDescent="0.3">
      <c r="A4103" s="1192" t="s">
        <v>180</v>
      </c>
      <c r="E4103" s="1743" t="s">
        <v>2509</v>
      </c>
      <c r="F4103" s="1743"/>
      <c r="G4103" s="1743"/>
      <c r="H4103" s="1743"/>
      <c r="K4103" s="1192" t="s">
        <v>2726</v>
      </c>
      <c r="V4103" s="1192">
        <v>275</v>
      </c>
    </row>
    <row r="4104" spans="1:22" s="1192" customFormat="1" ht="14.4" x14ac:dyDescent="0.3">
      <c r="A4104" s="1192" t="s">
        <v>180</v>
      </c>
      <c r="E4104" s="1748" t="s">
        <v>2394</v>
      </c>
      <c r="F4104" s="1749"/>
      <c r="G4104" s="1749"/>
      <c r="H4104" s="1749"/>
      <c r="K4104" s="1192" t="s">
        <v>2425</v>
      </c>
      <c r="V4104" s="1192">
        <v>46</v>
      </c>
    </row>
    <row r="4105" spans="1:22" s="1192" customFormat="1" ht="14.4" x14ac:dyDescent="0.3">
      <c r="A4105" s="1192" t="s">
        <v>180</v>
      </c>
      <c r="E4105" s="1740" t="s">
        <v>8</v>
      </c>
      <c r="F4105" s="1740"/>
      <c r="G4105" s="1277" t="s">
        <v>19</v>
      </c>
      <c r="H4105" s="1218">
        <v>7.37</v>
      </c>
      <c r="K4105" s="1192" t="s">
        <v>2726</v>
      </c>
      <c r="L4105" s="1192" t="s">
        <v>430</v>
      </c>
      <c r="P4105" s="1192" t="s">
        <v>2727</v>
      </c>
      <c r="V4105" s="1192">
        <v>31</v>
      </c>
    </row>
    <row r="4106" spans="1:22" s="1192" customFormat="1" ht="14.4" x14ac:dyDescent="0.3">
      <c r="A4106" s="1192" t="s">
        <v>180</v>
      </c>
      <c r="E4106" s="1740" t="s">
        <v>80</v>
      </c>
      <c r="F4106" s="1740"/>
      <c r="G4106" s="1277" t="s">
        <v>20</v>
      </c>
      <c r="H4106" s="1219">
        <v>1.43E-2</v>
      </c>
      <c r="K4106" s="1192" t="s">
        <v>2726</v>
      </c>
      <c r="L4106" s="1192" t="s">
        <v>430</v>
      </c>
      <c r="P4106" s="1192" t="s">
        <v>2728</v>
      </c>
      <c r="V4106" s="1192">
        <v>28</v>
      </c>
    </row>
    <row r="4107" spans="1:22" s="1192" customFormat="1" ht="14.4" x14ac:dyDescent="0.3">
      <c r="A4107" s="1192" t="s">
        <v>180</v>
      </c>
      <c r="E4107" s="1740" t="s">
        <v>6265</v>
      </c>
      <c r="F4107" s="1740"/>
      <c r="G4107" s="1277" t="s">
        <v>20</v>
      </c>
      <c r="H4107" s="1219">
        <v>4.0000000000000002E-4</v>
      </c>
      <c r="K4107" s="1192" t="s">
        <v>2726</v>
      </c>
      <c r="L4107" s="1192" t="s">
        <v>431</v>
      </c>
      <c r="P4107" s="1192" t="s">
        <v>2789</v>
      </c>
      <c r="T4107" s="1192">
        <v>44196</v>
      </c>
      <c r="V4107" s="1192">
        <v>99</v>
      </c>
    </row>
    <row r="4108" spans="1:22" s="1192" customFormat="1" ht="14.4" x14ac:dyDescent="0.3">
      <c r="A4108" s="1192" t="s">
        <v>180</v>
      </c>
      <c r="E4108" s="1740" t="s">
        <v>213</v>
      </c>
      <c r="F4108" s="1740"/>
      <c r="G4108" s="1277" t="s">
        <v>20</v>
      </c>
      <c r="H4108" s="1219">
        <v>5.4999999999999997E-3</v>
      </c>
      <c r="K4108" s="1192" t="s">
        <v>2726</v>
      </c>
      <c r="L4108" s="1192" t="s">
        <v>432</v>
      </c>
      <c r="P4108" s="1192" t="s">
        <v>2731</v>
      </c>
      <c r="V4108" s="1192">
        <v>47</v>
      </c>
    </row>
    <row r="4109" spans="1:22" s="1192" customFormat="1" ht="14.4" x14ac:dyDescent="0.3">
      <c r="A4109" s="1192" t="s">
        <v>180</v>
      </c>
      <c r="E4109" s="1740" t="s">
        <v>209</v>
      </c>
      <c r="F4109" s="1740"/>
      <c r="G4109" s="1277" t="s">
        <v>20</v>
      </c>
      <c r="H4109" s="1219">
        <v>1.5E-3</v>
      </c>
      <c r="K4109" s="1192" t="s">
        <v>2726</v>
      </c>
      <c r="L4109" s="1192" t="s">
        <v>432</v>
      </c>
      <c r="P4109" s="1192" t="s">
        <v>2732</v>
      </c>
      <c r="V4109" s="1192">
        <v>74</v>
      </c>
    </row>
    <row r="4110" spans="1:22" s="1192" customFormat="1" ht="14.4" x14ac:dyDescent="0.3">
      <c r="A4110" s="1192" t="s">
        <v>180</v>
      </c>
      <c r="E4110" s="1748" t="s">
        <v>2405</v>
      </c>
      <c r="F4110" s="1740"/>
      <c r="G4110" s="1277"/>
      <c r="H4110" s="896"/>
      <c r="K4110" s="1192" t="s">
        <v>2427</v>
      </c>
      <c r="V4110" s="1192">
        <v>48</v>
      </c>
    </row>
    <row r="4111" spans="1:22" s="1192" customFormat="1" ht="14.4" x14ac:dyDescent="0.3">
      <c r="A4111" s="1192" t="s">
        <v>180</v>
      </c>
      <c r="E4111" s="1740" t="s">
        <v>2033</v>
      </c>
      <c r="F4111" s="1740"/>
      <c r="G4111" s="1277" t="s">
        <v>20</v>
      </c>
      <c r="H4111" s="1219">
        <v>3.0000000000000001E-3</v>
      </c>
      <c r="K4111" s="1192" t="s">
        <v>2726</v>
      </c>
      <c r="L4111" s="1192" t="s">
        <v>2374</v>
      </c>
      <c r="P4111" s="1192" t="s">
        <v>2733</v>
      </c>
      <c r="V4111" s="1192">
        <v>55</v>
      </c>
    </row>
    <row r="4112" spans="1:22" s="1192" customFormat="1" ht="14.4" x14ac:dyDescent="0.3">
      <c r="A4112" s="1192" t="s">
        <v>180</v>
      </c>
      <c r="E4112" s="1740" t="s">
        <v>2034</v>
      </c>
      <c r="F4112" s="1740"/>
      <c r="G4112" s="1277" t="s">
        <v>20</v>
      </c>
      <c r="H4112" s="1219">
        <v>4.0000000000000002E-4</v>
      </c>
      <c r="K4112" s="1192" t="s">
        <v>2726</v>
      </c>
      <c r="L4112" s="1192" t="s">
        <v>2374</v>
      </c>
      <c r="P4112" s="1192" t="s">
        <v>2733</v>
      </c>
      <c r="V4112" s="1192">
        <v>65</v>
      </c>
    </row>
    <row r="4113" spans="1:22" s="1192" customFormat="1" ht="14.4" x14ac:dyDescent="0.3">
      <c r="A4113" s="1192" t="s">
        <v>180</v>
      </c>
      <c r="E4113" s="1740" t="s">
        <v>428</v>
      </c>
      <c r="F4113" s="1740"/>
      <c r="G4113" s="1277" t="s">
        <v>20</v>
      </c>
      <c r="H4113" s="1219">
        <v>5.0000000000000001E-4</v>
      </c>
      <c r="K4113" s="1192" t="s">
        <v>2726</v>
      </c>
      <c r="L4113" s="1192" t="s">
        <v>2374</v>
      </c>
      <c r="P4113" s="1192" t="s">
        <v>2734</v>
      </c>
      <c r="V4113" s="1192">
        <v>57</v>
      </c>
    </row>
    <row r="4114" spans="1:22" s="1192" customFormat="1" ht="14.4" x14ac:dyDescent="0.3">
      <c r="A4114" s="1192" t="s">
        <v>180</v>
      </c>
      <c r="E4114" s="1740" t="s">
        <v>28</v>
      </c>
      <c r="F4114" s="1740"/>
      <c r="G4114" s="1277" t="s">
        <v>19</v>
      </c>
      <c r="H4114" s="1218">
        <v>0.25</v>
      </c>
      <c r="K4114" s="1192" t="s">
        <v>2726</v>
      </c>
      <c r="L4114" s="1192" t="s">
        <v>2374</v>
      </c>
      <c r="P4114" s="1192" t="s">
        <v>2735</v>
      </c>
      <c r="V4114" s="1192">
        <v>63</v>
      </c>
    </row>
    <row r="4115" spans="1:22" s="1192" customFormat="1" ht="17.399999999999999" x14ac:dyDescent="0.3">
      <c r="A4115" s="1192" t="s">
        <v>180</v>
      </c>
      <c r="E4115" s="1746" t="s">
        <v>590</v>
      </c>
      <c r="F4115" s="1987"/>
      <c r="G4115" s="1987"/>
      <c r="H4115" s="1987"/>
      <c r="K4115" s="1192" t="s">
        <v>2428</v>
      </c>
      <c r="V4115" s="1192">
        <v>38</v>
      </c>
    </row>
    <row r="4116" spans="1:22" s="1192" customFormat="1" ht="14.4" x14ac:dyDescent="0.3">
      <c r="A4116" s="1192" t="s">
        <v>180</v>
      </c>
      <c r="E4116" s="1743" t="s">
        <v>3180</v>
      </c>
      <c r="F4116" s="1743"/>
      <c r="G4116" s="1743"/>
      <c r="H4116" s="1743"/>
      <c r="K4116" s="1192" t="s">
        <v>2428</v>
      </c>
      <c r="V4116" s="1192">
        <v>542</v>
      </c>
    </row>
    <row r="4117" spans="1:22" s="1192" customFormat="1" ht="14.4" x14ac:dyDescent="0.3">
      <c r="A4117" s="1192" t="s">
        <v>180</v>
      </c>
      <c r="E4117" s="1750" t="s">
        <v>2389</v>
      </c>
      <c r="F4117" s="1988"/>
      <c r="G4117" s="1988"/>
      <c r="H4117" s="1988"/>
      <c r="K4117" s="1192" t="s">
        <v>2430</v>
      </c>
      <c r="V4117" s="1192">
        <v>11</v>
      </c>
    </row>
    <row r="4118" spans="1:22" s="1192" customFormat="1" ht="14.4" x14ac:dyDescent="0.3">
      <c r="A4118" s="1192" t="s">
        <v>180</v>
      </c>
      <c r="E4118" s="1743" t="s">
        <v>2391</v>
      </c>
      <c r="F4118" s="1743"/>
      <c r="G4118" s="1743"/>
      <c r="H4118" s="1743"/>
      <c r="K4118" s="1192" t="s">
        <v>2428</v>
      </c>
      <c r="V4118" s="1192">
        <v>280</v>
      </c>
    </row>
    <row r="4119" spans="1:22" s="1192" customFormat="1" ht="14.4" x14ac:dyDescent="0.3">
      <c r="A4119" s="1192" t="s">
        <v>180</v>
      </c>
      <c r="E4119" s="1743" t="s">
        <v>2392</v>
      </c>
      <c r="F4119" s="1743"/>
      <c r="G4119" s="1743"/>
      <c r="H4119" s="1743"/>
      <c r="K4119" s="1192" t="s">
        <v>2428</v>
      </c>
      <c r="V4119" s="1192">
        <v>411</v>
      </c>
    </row>
    <row r="4120" spans="1:22" s="1192" customFormat="1" ht="14.4" x14ac:dyDescent="0.3">
      <c r="A4120" s="1192" t="s">
        <v>180</v>
      </c>
      <c r="E4120" s="1743" t="s">
        <v>2393</v>
      </c>
      <c r="F4120" s="1743"/>
      <c r="G4120" s="1743"/>
      <c r="H4120" s="1743"/>
      <c r="K4120" s="1192" t="s">
        <v>2428</v>
      </c>
      <c r="V4120" s="1192">
        <v>387</v>
      </c>
    </row>
    <row r="4121" spans="1:22" s="1192" customFormat="1" ht="14.4" x14ac:dyDescent="0.3">
      <c r="A4121" s="1192" t="s">
        <v>180</v>
      </c>
      <c r="E4121" s="1743" t="s">
        <v>2509</v>
      </c>
      <c r="F4121" s="1743"/>
      <c r="G4121" s="1743"/>
      <c r="H4121" s="1743"/>
      <c r="K4121" s="1192" t="s">
        <v>2428</v>
      </c>
      <c r="V4121" s="1192">
        <v>275</v>
      </c>
    </row>
    <row r="4122" spans="1:22" s="1192" customFormat="1" ht="14.4" x14ac:dyDescent="0.3">
      <c r="A4122" s="1192" t="s">
        <v>180</v>
      </c>
      <c r="E4122" s="1748" t="s">
        <v>2394</v>
      </c>
      <c r="F4122" s="1749"/>
      <c r="G4122" s="1749"/>
      <c r="H4122" s="1749"/>
      <c r="K4122" s="1192" t="s">
        <v>2431</v>
      </c>
      <c r="V4122" s="1192">
        <v>46</v>
      </c>
    </row>
    <row r="4123" spans="1:22" s="1192" customFormat="1" ht="14.4" x14ac:dyDescent="0.3">
      <c r="A4123" s="1192" t="s">
        <v>180</v>
      </c>
      <c r="E4123" s="1740" t="s">
        <v>7</v>
      </c>
      <c r="F4123" s="1740"/>
      <c r="G4123" s="1277" t="s">
        <v>19</v>
      </c>
      <c r="H4123" s="1218">
        <v>0.69</v>
      </c>
      <c r="K4123" s="1192" t="s">
        <v>2428</v>
      </c>
      <c r="L4123" s="1192" t="s">
        <v>430</v>
      </c>
      <c r="P4123" s="1192" t="s">
        <v>2432</v>
      </c>
      <c r="V4123" s="1192">
        <v>14</v>
      </c>
    </row>
    <row r="4124" spans="1:22" s="1192" customFormat="1" ht="14.4" x14ac:dyDescent="0.3">
      <c r="A4124" s="1192" t="s">
        <v>180</v>
      </c>
      <c r="E4124" s="1740" t="s">
        <v>80</v>
      </c>
      <c r="F4124" s="1740"/>
      <c r="G4124" s="1277" t="s">
        <v>29</v>
      </c>
      <c r="H4124" s="1219">
        <v>4.6413000000000002</v>
      </c>
      <c r="K4124" s="1192" t="s">
        <v>2428</v>
      </c>
      <c r="L4124" s="1192" t="s">
        <v>430</v>
      </c>
      <c r="P4124" s="1192" t="s">
        <v>2433</v>
      </c>
      <c r="V4124" s="1192">
        <v>28</v>
      </c>
    </row>
    <row r="4125" spans="1:22" s="1192" customFormat="1" ht="14.4" x14ac:dyDescent="0.3">
      <c r="A4125" s="1192" t="s">
        <v>180</v>
      </c>
      <c r="E4125" s="1740" t="s">
        <v>6265</v>
      </c>
      <c r="F4125" s="1740"/>
      <c r="G4125" s="1277" t="s">
        <v>29</v>
      </c>
      <c r="H4125" s="1219">
        <v>0.151</v>
      </c>
      <c r="K4125" s="1192" t="s">
        <v>2428</v>
      </c>
      <c r="L4125" s="1192" t="s">
        <v>431</v>
      </c>
      <c r="P4125" s="1192" t="s">
        <v>2434</v>
      </c>
      <c r="T4125" s="1192">
        <v>44196</v>
      </c>
      <c r="V4125" s="1192">
        <v>99</v>
      </c>
    </row>
    <row r="4126" spans="1:22" s="1192" customFormat="1" ht="14.4" x14ac:dyDescent="0.3">
      <c r="A4126" s="1192" t="s">
        <v>180</v>
      </c>
      <c r="E4126" s="1740" t="s">
        <v>6273</v>
      </c>
      <c r="F4126" s="1740"/>
      <c r="G4126" s="1277" t="s">
        <v>20</v>
      </c>
      <c r="H4126" s="1219">
        <v>-2.3E-3</v>
      </c>
      <c r="K4126" s="1192" t="s">
        <v>2428</v>
      </c>
      <c r="L4126" s="1192" t="s">
        <v>431</v>
      </c>
      <c r="P4126" s="1192" t="s">
        <v>2435</v>
      </c>
      <c r="T4126" s="1192">
        <v>44196</v>
      </c>
      <c r="V4126" s="1192">
        <v>142</v>
      </c>
    </row>
    <row r="4127" spans="1:22" s="1192" customFormat="1" ht="14.4" x14ac:dyDescent="0.3">
      <c r="A4127" s="1192" t="s">
        <v>180</v>
      </c>
      <c r="E4127" s="1740" t="s">
        <v>6264</v>
      </c>
      <c r="F4127" s="1740"/>
      <c r="G4127" s="1277" t="s">
        <v>29</v>
      </c>
      <c r="H4127" s="1219">
        <v>8.9999999999999998E-4</v>
      </c>
      <c r="K4127" s="1192" t="s">
        <v>2428</v>
      </c>
      <c r="L4127" s="1192" t="s">
        <v>430</v>
      </c>
      <c r="P4127" s="1192" t="s">
        <v>2434</v>
      </c>
      <c r="T4127" s="1192">
        <v>44196</v>
      </c>
      <c r="V4127" s="1192">
        <v>107</v>
      </c>
    </row>
    <row r="4128" spans="1:22" s="1192" customFormat="1" ht="14.4" x14ac:dyDescent="0.3">
      <c r="A4128" s="1192" t="s">
        <v>180</v>
      </c>
      <c r="E4128" s="1740" t="s">
        <v>213</v>
      </c>
      <c r="F4128" s="1740"/>
      <c r="G4128" s="1277" t="s">
        <v>29</v>
      </c>
      <c r="H4128" s="1219">
        <v>1.7758</v>
      </c>
      <c r="K4128" s="1192" t="s">
        <v>2428</v>
      </c>
      <c r="L4128" s="1192" t="s">
        <v>432</v>
      </c>
      <c r="P4128" s="1192" t="s">
        <v>2436</v>
      </c>
      <c r="V4128" s="1192">
        <v>47</v>
      </c>
    </row>
    <row r="4129" spans="1:22" s="1192" customFormat="1" ht="14.4" x14ac:dyDescent="0.3">
      <c r="A4129" s="1192" t="s">
        <v>180</v>
      </c>
      <c r="E4129" s="1740" t="s">
        <v>209</v>
      </c>
      <c r="F4129" s="1740"/>
      <c r="G4129" s="1277" t="s">
        <v>29</v>
      </c>
      <c r="H4129" s="1219">
        <v>0.5252</v>
      </c>
      <c r="K4129" s="1192" t="s">
        <v>2428</v>
      </c>
      <c r="L4129" s="1192" t="s">
        <v>432</v>
      </c>
      <c r="P4129" s="1192" t="s">
        <v>2437</v>
      </c>
      <c r="V4129" s="1192">
        <v>74</v>
      </c>
    </row>
    <row r="4130" spans="1:22" s="1192" customFormat="1" ht="14.4" x14ac:dyDescent="0.3">
      <c r="A4130" s="1192" t="s">
        <v>180</v>
      </c>
      <c r="E4130" s="1748" t="s">
        <v>2405</v>
      </c>
      <c r="F4130" s="1740"/>
      <c r="G4130" s="1277"/>
      <c r="H4130" s="896"/>
      <c r="K4130" s="1192" t="s">
        <v>2438</v>
      </c>
      <c r="V4130" s="1192">
        <v>48</v>
      </c>
    </row>
    <row r="4131" spans="1:22" s="1192" customFormat="1" ht="14.4" x14ac:dyDescent="0.3">
      <c r="A4131" s="1192" t="s">
        <v>180</v>
      </c>
      <c r="E4131" s="1740" t="s">
        <v>2033</v>
      </c>
      <c r="F4131" s="1740"/>
      <c r="G4131" s="1277" t="s">
        <v>20</v>
      </c>
      <c r="H4131" s="1219">
        <v>3.0000000000000001E-3</v>
      </c>
      <c r="K4131" s="1192" t="s">
        <v>2428</v>
      </c>
      <c r="L4131" s="1192" t="s">
        <v>2374</v>
      </c>
      <c r="P4131" s="1192" t="s">
        <v>2439</v>
      </c>
      <c r="V4131" s="1192">
        <v>55</v>
      </c>
    </row>
    <row r="4132" spans="1:22" s="1192" customFormat="1" ht="14.4" x14ac:dyDescent="0.3">
      <c r="A4132" s="1192" t="s">
        <v>180</v>
      </c>
      <c r="E4132" s="1740" t="s">
        <v>2034</v>
      </c>
      <c r="F4132" s="1740"/>
      <c r="G4132" s="1277" t="s">
        <v>20</v>
      </c>
      <c r="H4132" s="1219">
        <v>4.0000000000000002E-4</v>
      </c>
      <c r="K4132" s="1192" t="s">
        <v>2428</v>
      </c>
      <c r="L4132" s="1192" t="s">
        <v>2374</v>
      </c>
      <c r="P4132" s="1192" t="s">
        <v>2439</v>
      </c>
      <c r="V4132" s="1192">
        <v>65</v>
      </c>
    </row>
    <row r="4133" spans="1:22" s="1192" customFormat="1" ht="14.4" x14ac:dyDescent="0.3">
      <c r="A4133" s="1192" t="s">
        <v>180</v>
      </c>
      <c r="E4133" s="1740" t="s">
        <v>428</v>
      </c>
      <c r="F4133" s="1740"/>
      <c r="G4133" s="1277" t="s">
        <v>20</v>
      </c>
      <c r="H4133" s="1219">
        <v>5.0000000000000001E-4</v>
      </c>
      <c r="K4133" s="1192" t="s">
        <v>2428</v>
      </c>
      <c r="L4133" s="1192" t="s">
        <v>2374</v>
      </c>
      <c r="P4133" s="1192" t="s">
        <v>2440</v>
      </c>
      <c r="V4133" s="1192">
        <v>57</v>
      </c>
    </row>
    <row r="4134" spans="1:22" s="1192" customFormat="1" ht="14.4" x14ac:dyDescent="0.3">
      <c r="A4134" s="1192" t="s">
        <v>180</v>
      </c>
      <c r="E4134" s="1740" t="s">
        <v>28</v>
      </c>
      <c r="F4134" s="1740"/>
      <c r="G4134" s="1277" t="s">
        <v>19</v>
      </c>
      <c r="H4134" s="1218">
        <v>0.25</v>
      </c>
      <c r="K4134" s="1192" t="s">
        <v>2428</v>
      </c>
      <c r="L4134" s="1192" t="s">
        <v>2374</v>
      </c>
      <c r="P4134" s="1192" t="s">
        <v>2441</v>
      </c>
      <c r="V4134" s="1192">
        <v>63</v>
      </c>
    </row>
    <row r="4135" spans="1:22" s="1192" customFormat="1" ht="17.399999999999999" x14ac:dyDescent="0.3">
      <c r="A4135" s="1192" t="s">
        <v>180</v>
      </c>
      <c r="E4135" s="1746" t="s">
        <v>597</v>
      </c>
      <c r="F4135" s="1987"/>
      <c r="G4135" s="1987"/>
      <c r="H4135" s="1987"/>
      <c r="K4135" s="1192" t="s">
        <v>2991</v>
      </c>
      <c r="V4135" s="1192">
        <v>43</v>
      </c>
    </row>
    <row r="4136" spans="1:22" s="1192" customFormat="1" ht="14.4" x14ac:dyDescent="0.3">
      <c r="A4136" s="1192" t="s">
        <v>180</v>
      </c>
      <c r="E4136" s="1743" t="s">
        <v>2649</v>
      </c>
      <c r="F4136" s="1743"/>
      <c r="G4136" s="1743"/>
      <c r="H4136" s="1743"/>
      <c r="K4136" s="1192" t="s">
        <v>2991</v>
      </c>
      <c r="V4136" s="1192">
        <v>250</v>
      </c>
    </row>
    <row r="4137" spans="1:22" s="1192" customFormat="1" ht="14.4" x14ac:dyDescent="0.3">
      <c r="A4137" s="1192" t="s">
        <v>180</v>
      </c>
      <c r="E4137" s="1750" t="s">
        <v>2389</v>
      </c>
      <c r="F4137" s="1988"/>
      <c r="G4137" s="1988"/>
      <c r="H4137" s="1988"/>
      <c r="K4137" s="1192" t="s">
        <v>2444</v>
      </c>
      <c r="V4137" s="1192">
        <v>11</v>
      </c>
    </row>
    <row r="4138" spans="1:22" s="1192" customFormat="1" ht="14.4" x14ac:dyDescent="0.3">
      <c r="A4138" s="1192" t="s">
        <v>180</v>
      </c>
      <c r="E4138" s="1743" t="s">
        <v>2391</v>
      </c>
      <c r="F4138" s="1743"/>
      <c r="G4138" s="1743"/>
      <c r="H4138" s="1743"/>
      <c r="K4138" s="1192" t="s">
        <v>2991</v>
      </c>
      <c r="V4138" s="1192">
        <v>280</v>
      </c>
    </row>
    <row r="4139" spans="1:22" s="1192" customFormat="1" ht="14.4" x14ac:dyDescent="0.3">
      <c r="A4139" s="1192" t="s">
        <v>180</v>
      </c>
      <c r="E4139" s="1743" t="s">
        <v>2392</v>
      </c>
      <c r="F4139" s="1743"/>
      <c r="G4139" s="1743"/>
      <c r="H4139" s="1743"/>
      <c r="K4139" s="1192" t="s">
        <v>2991</v>
      </c>
      <c r="V4139" s="1192">
        <v>411</v>
      </c>
    </row>
    <row r="4140" spans="1:22" s="1192" customFormat="1" ht="14.4" x14ac:dyDescent="0.3">
      <c r="A4140" s="1192" t="s">
        <v>180</v>
      </c>
      <c r="E4140" s="1743" t="s">
        <v>2445</v>
      </c>
      <c r="F4140" s="1743"/>
      <c r="G4140" s="1743"/>
      <c r="H4140" s="1743"/>
      <c r="K4140" s="1192" t="s">
        <v>2991</v>
      </c>
      <c r="V4140" s="1192">
        <v>211</v>
      </c>
    </row>
    <row r="4141" spans="1:22" s="1192" customFormat="1" ht="14.4" x14ac:dyDescent="0.3">
      <c r="A4141" s="1192" t="s">
        <v>180</v>
      </c>
      <c r="E4141" s="1743" t="s">
        <v>2509</v>
      </c>
      <c r="F4141" s="1743"/>
      <c r="G4141" s="1743"/>
      <c r="H4141" s="1743"/>
      <c r="K4141" s="1192" t="s">
        <v>2991</v>
      </c>
      <c r="V4141" s="1192">
        <v>275</v>
      </c>
    </row>
    <row r="4142" spans="1:22" s="1192" customFormat="1" ht="14.4" x14ac:dyDescent="0.3">
      <c r="A4142" s="1192" t="s">
        <v>180</v>
      </c>
      <c r="E4142" s="1748" t="s">
        <v>2394</v>
      </c>
      <c r="F4142" s="1749"/>
      <c r="G4142" s="1749"/>
      <c r="H4142" s="1749"/>
      <c r="K4142" s="1192" t="s">
        <v>2446</v>
      </c>
      <c r="V4142" s="1192">
        <v>46</v>
      </c>
    </row>
    <row r="4143" spans="1:22" s="1192" customFormat="1" ht="14.4" x14ac:dyDescent="0.3">
      <c r="A4143" s="1192" t="s">
        <v>180</v>
      </c>
      <c r="E4143" s="1740" t="s">
        <v>369</v>
      </c>
      <c r="F4143" s="1740"/>
      <c r="G4143" s="1277" t="s">
        <v>29</v>
      </c>
      <c r="H4143" s="1219">
        <v>2.4178999999999999</v>
      </c>
      <c r="K4143" s="1192" t="s">
        <v>2991</v>
      </c>
      <c r="L4143" s="1192" t="s">
        <v>430</v>
      </c>
      <c r="P4143" s="1192" t="s">
        <v>4009</v>
      </c>
      <c r="V4143" s="1192">
        <v>62</v>
      </c>
    </row>
    <row r="4144" spans="1:22" s="1192" customFormat="1" ht="14.4" x14ac:dyDescent="0.3">
      <c r="A4144" s="1192" t="s">
        <v>180</v>
      </c>
      <c r="E4144" s="1740" t="s">
        <v>6265</v>
      </c>
      <c r="F4144" s="1740"/>
      <c r="G4144" s="1277" t="s">
        <v>29</v>
      </c>
      <c r="H4144" s="1219">
        <v>0.13059999999999999</v>
      </c>
      <c r="K4144" s="1192" t="s">
        <v>2991</v>
      </c>
      <c r="L4144" s="1192" t="s">
        <v>431</v>
      </c>
      <c r="P4144" s="1192" t="s">
        <v>4010</v>
      </c>
      <c r="T4144" s="1192">
        <v>44196</v>
      </c>
      <c r="V4144" s="1192">
        <v>99</v>
      </c>
    </row>
    <row r="4145" spans="1:22" s="1192" customFormat="1" ht="14.4" x14ac:dyDescent="0.3">
      <c r="A4145" s="1192" t="s">
        <v>180</v>
      </c>
      <c r="E4145" s="1740" t="s">
        <v>6264</v>
      </c>
      <c r="F4145" s="1740"/>
      <c r="G4145" s="1277" t="s">
        <v>29</v>
      </c>
      <c r="H4145" s="1219">
        <v>1.1000000000000001E-3</v>
      </c>
      <c r="K4145" s="1192" t="s">
        <v>2991</v>
      </c>
      <c r="L4145" s="1192" t="s">
        <v>430</v>
      </c>
      <c r="P4145" s="1192" t="s">
        <v>4010</v>
      </c>
      <c r="T4145" s="1192">
        <v>44196</v>
      </c>
      <c r="V4145" s="1192">
        <v>107</v>
      </c>
    </row>
    <row r="4146" spans="1:22" s="1192" customFormat="1" ht="14.4" x14ac:dyDescent="0.3">
      <c r="A4146" s="1192" t="s">
        <v>180</v>
      </c>
      <c r="E4146" s="1740" t="s">
        <v>213</v>
      </c>
      <c r="F4146" s="1740"/>
      <c r="G4146" s="1277" t="s">
        <v>29</v>
      </c>
      <c r="H4146" s="1219">
        <v>2.7534000000000001</v>
      </c>
      <c r="K4146" s="1192" t="s">
        <v>2991</v>
      </c>
      <c r="L4146" s="1192" t="s">
        <v>432</v>
      </c>
      <c r="P4146" s="1192" t="s">
        <v>4011</v>
      </c>
      <c r="V4146" s="1192">
        <v>47</v>
      </c>
    </row>
    <row r="4147" spans="1:22" s="1192" customFormat="1" ht="14.4" x14ac:dyDescent="0.3">
      <c r="A4147" s="1192" t="s">
        <v>180</v>
      </c>
      <c r="E4147" s="1740" t="s">
        <v>209</v>
      </c>
      <c r="F4147" s="1740"/>
      <c r="G4147" s="1277" t="s">
        <v>29</v>
      </c>
      <c r="H4147" s="1219">
        <v>0.81389999999999996</v>
      </c>
      <c r="K4147" s="1192" t="s">
        <v>2991</v>
      </c>
      <c r="L4147" s="1192" t="s">
        <v>432</v>
      </c>
      <c r="P4147" s="1192" t="s">
        <v>2995</v>
      </c>
      <c r="V4147" s="1192">
        <v>74</v>
      </c>
    </row>
    <row r="4148" spans="1:22" s="1192" customFormat="1" ht="17.399999999999999" x14ac:dyDescent="0.3">
      <c r="A4148" s="1192" t="s">
        <v>180</v>
      </c>
      <c r="E4148" s="1746" t="s">
        <v>593</v>
      </c>
      <c r="F4148" s="1987"/>
      <c r="G4148" s="1987"/>
      <c r="H4148" s="1987"/>
      <c r="K4148" s="1192" t="s">
        <v>2756</v>
      </c>
      <c r="V4148" s="1192">
        <v>31</v>
      </c>
    </row>
    <row r="4149" spans="1:22" s="1192" customFormat="1" ht="14.4" x14ac:dyDescent="0.3">
      <c r="A4149" s="1192" t="s">
        <v>180</v>
      </c>
      <c r="E4149" s="1743" t="s">
        <v>3181</v>
      </c>
      <c r="F4149" s="1743"/>
      <c r="G4149" s="1743"/>
      <c r="H4149" s="1743"/>
      <c r="K4149" s="1192" t="s">
        <v>2756</v>
      </c>
      <c r="V4149" s="1192">
        <v>285</v>
      </c>
    </row>
    <row r="4150" spans="1:22" s="1192" customFormat="1" ht="14.4" x14ac:dyDescent="0.3">
      <c r="A4150" s="1192" t="s">
        <v>180</v>
      </c>
      <c r="E4150" s="1750" t="s">
        <v>2389</v>
      </c>
      <c r="F4150" s="1988"/>
      <c r="G4150" s="1988"/>
      <c r="H4150" s="1988"/>
      <c r="K4150" s="1192" t="s">
        <v>2571</v>
      </c>
      <c r="V4150" s="1192">
        <v>11</v>
      </c>
    </row>
    <row r="4151" spans="1:22" s="1192" customFormat="1" ht="14.4" x14ac:dyDescent="0.3">
      <c r="A4151" s="1192" t="s">
        <v>180</v>
      </c>
      <c r="E4151" s="1743" t="s">
        <v>2391</v>
      </c>
      <c r="F4151" s="1743"/>
      <c r="G4151" s="1743"/>
      <c r="H4151" s="1743"/>
      <c r="K4151" s="1192" t="s">
        <v>2756</v>
      </c>
      <c r="V4151" s="1192">
        <v>280</v>
      </c>
    </row>
    <row r="4152" spans="1:22" s="1192" customFormat="1" ht="14.4" x14ac:dyDescent="0.3">
      <c r="A4152" s="1192" t="s">
        <v>180</v>
      </c>
      <c r="E4152" s="1743" t="s">
        <v>2392</v>
      </c>
      <c r="F4152" s="1743"/>
      <c r="G4152" s="1743"/>
      <c r="H4152" s="1743"/>
      <c r="K4152" s="1192" t="s">
        <v>2756</v>
      </c>
      <c r="V4152" s="1192">
        <v>411</v>
      </c>
    </row>
    <row r="4153" spans="1:22" s="1192" customFormat="1" ht="14.4" x14ac:dyDescent="0.3">
      <c r="A4153" s="1192" t="s">
        <v>180</v>
      </c>
      <c r="E4153" s="1743" t="s">
        <v>2445</v>
      </c>
      <c r="F4153" s="1743"/>
      <c r="G4153" s="1743"/>
      <c r="H4153" s="1743"/>
      <c r="K4153" s="1192" t="s">
        <v>2756</v>
      </c>
      <c r="V4153" s="1192">
        <v>211</v>
      </c>
    </row>
    <row r="4154" spans="1:22" s="1192" customFormat="1" ht="14.4" x14ac:dyDescent="0.3">
      <c r="A4154" s="1192" t="s">
        <v>180</v>
      </c>
      <c r="E4154" s="1743" t="s">
        <v>2509</v>
      </c>
      <c r="F4154" s="1743"/>
      <c r="G4154" s="1743"/>
      <c r="H4154" s="1743"/>
      <c r="K4154" s="1192" t="s">
        <v>2756</v>
      </c>
      <c r="V4154" s="1192">
        <v>275</v>
      </c>
    </row>
    <row r="4155" spans="1:22" s="1192" customFormat="1" ht="14.4" x14ac:dyDescent="0.3">
      <c r="A4155" s="1192" t="s">
        <v>180</v>
      </c>
      <c r="E4155" s="1748" t="s">
        <v>2394</v>
      </c>
      <c r="F4155" s="1749"/>
      <c r="G4155" s="1749"/>
      <c r="H4155" s="1749"/>
      <c r="K4155" s="1192" t="s">
        <v>2572</v>
      </c>
      <c r="V4155" s="1192">
        <v>46</v>
      </c>
    </row>
    <row r="4156" spans="1:22" s="1192" customFormat="1" ht="14.4" x14ac:dyDescent="0.3">
      <c r="A4156" s="1192" t="s">
        <v>180</v>
      </c>
      <c r="E4156" s="1740" t="s">
        <v>7</v>
      </c>
      <c r="F4156" s="1740"/>
      <c r="G4156" s="1277" t="s">
        <v>19</v>
      </c>
      <c r="H4156" s="1218">
        <v>5.4</v>
      </c>
      <c r="K4156" s="1192" t="s">
        <v>2756</v>
      </c>
      <c r="L4156" s="1192" t="s">
        <v>430</v>
      </c>
      <c r="P4156" s="1192" t="s">
        <v>2757</v>
      </c>
      <c r="V4156" s="1192">
        <v>14</v>
      </c>
    </row>
    <row r="4157" spans="1:22" s="1192" customFormat="1" ht="17.399999999999999" x14ac:dyDescent="0.3">
      <c r="A4157" s="1192" t="s">
        <v>180</v>
      </c>
      <c r="E4157" s="1746" t="s">
        <v>606</v>
      </c>
      <c r="F4157" s="1987"/>
      <c r="G4157" s="1987"/>
      <c r="H4157" s="1987"/>
      <c r="K4157" s="1192" t="s">
        <v>2626</v>
      </c>
      <c r="V4157" s="1192">
        <v>36</v>
      </c>
    </row>
    <row r="4158" spans="1:22" s="1192" customFormat="1" ht="14.4" x14ac:dyDescent="0.3">
      <c r="A4158" s="1192" t="s">
        <v>180</v>
      </c>
      <c r="E4158" s="1743" t="s">
        <v>3182</v>
      </c>
      <c r="F4158" s="1743"/>
      <c r="G4158" s="1743"/>
      <c r="H4158" s="1743"/>
      <c r="K4158" s="1192" t="s">
        <v>2626</v>
      </c>
      <c r="V4158" s="1192">
        <v>495</v>
      </c>
    </row>
    <row r="4159" spans="1:22" s="1192" customFormat="1" ht="14.4" x14ac:dyDescent="0.3">
      <c r="A4159" s="1192" t="s">
        <v>180</v>
      </c>
      <c r="E4159" s="1750" t="s">
        <v>2389</v>
      </c>
      <c r="F4159" s="1988"/>
      <c r="G4159" s="1988"/>
      <c r="H4159" s="1988"/>
      <c r="K4159" s="1192" t="s">
        <v>2586</v>
      </c>
      <c r="V4159" s="1192">
        <v>11</v>
      </c>
    </row>
    <row r="4160" spans="1:22" s="1192" customFormat="1" ht="14.4" x14ac:dyDescent="0.3">
      <c r="A4160" s="1192" t="s">
        <v>180</v>
      </c>
      <c r="E4160" s="1743" t="s">
        <v>2391</v>
      </c>
      <c r="F4160" s="1743"/>
      <c r="G4160" s="1743"/>
      <c r="H4160" s="1743"/>
      <c r="K4160" s="1192" t="s">
        <v>2626</v>
      </c>
      <c r="V4160" s="1192">
        <v>280</v>
      </c>
    </row>
    <row r="4161" spans="1:22" s="1192" customFormat="1" ht="14.4" x14ac:dyDescent="0.3">
      <c r="A4161" s="1192" t="s">
        <v>180</v>
      </c>
      <c r="E4161" s="1743" t="s">
        <v>2392</v>
      </c>
      <c r="F4161" s="1743"/>
      <c r="G4161" s="1743"/>
      <c r="H4161" s="1743"/>
      <c r="K4161" s="1192" t="s">
        <v>2626</v>
      </c>
      <c r="V4161" s="1192">
        <v>411</v>
      </c>
    </row>
    <row r="4162" spans="1:22" s="1192" customFormat="1" ht="14.4" x14ac:dyDescent="0.3">
      <c r="A4162" s="1192" t="s">
        <v>180</v>
      </c>
      <c r="E4162" s="1743" t="s">
        <v>2445</v>
      </c>
      <c r="F4162" s="1743"/>
      <c r="G4162" s="1743"/>
      <c r="H4162" s="1743"/>
      <c r="K4162" s="1192" t="s">
        <v>2626</v>
      </c>
      <c r="V4162" s="1192">
        <v>211</v>
      </c>
    </row>
    <row r="4163" spans="1:22" s="1192" customFormat="1" ht="14.4" x14ac:dyDescent="0.3">
      <c r="A4163" s="1192" t="s">
        <v>180</v>
      </c>
      <c r="E4163" s="1743" t="s">
        <v>2509</v>
      </c>
      <c r="F4163" s="1743"/>
      <c r="G4163" s="1743"/>
      <c r="H4163" s="1743"/>
      <c r="K4163" s="1192" t="s">
        <v>2626</v>
      </c>
      <c r="V4163" s="1192">
        <v>275</v>
      </c>
    </row>
    <row r="4164" spans="1:22" s="1192" customFormat="1" ht="14.4" x14ac:dyDescent="0.3">
      <c r="A4164" s="1192" t="s">
        <v>180</v>
      </c>
      <c r="E4164" s="1748" t="s">
        <v>2628</v>
      </c>
      <c r="F4164" s="1749"/>
      <c r="G4164" s="1749"/>
      <c r="H4164" s="1749"/>
      <c r="K4164" s="1192" t="s">
        <v>2587</v>
      </c>
      <c r="V4164" s="1192">
        <v>77</v>
      </c>
    </row>
    <row r="4165" spans="1:22" s="1192" customFormat="1" ht="14.4" x14ac:dyDescent="0.3">
      <c r="A4165" s="1192" t="s">
        <v>180</v>
      </c>
      <c r="E4165" s="1749" t="s">
        <v>3183</v>
      </c>
      <c r="F4165" s="1749"/>
      <c r="G4165" s="1749"/>
      <c r="H4165" s="1749"/>
      <c r="K4165" s="1192" t="s">
        <v>2626</v>
      </c>
      <c r="V4165" s="1192">
        <v>259</v>
      </c>
    </row>
    <row r="4166" spans="1:22" s="1192" customFormat="1" x14ac:dyDescent="0.3">
      <c r="A4166" s="1192" t="s">
        <v>180</v>
      </c>
      <c r="E4166" s="1304" t="s">
        <v>81</v>
      </c>
      <c r="F4166" s="555"/>
      <c r="G4166" s="555"/>
      <c r="H4166" s="917"/>
      <c r="K4166" s="1192" t="s">
        <v>3184</v>
      </c>
      <c r="V4166" s="1192">
        <v>10</v>
      </c>
    </row>
    <row r="4167" spans="1:22" s="1192" customFormat="1" ht="14.4" x14ac:dyDescent="0.3">
      <c r="A4167" s="1192" t="s">
        <v>180</v>
      </c>
      <c r="E4167" s="1740" t="s">
        <v>2449</v>
      </c>
      <c r="F4167" s="1740"/>
      <c r="G4167" s="1277" t="s">
        <v>29</v>
      </c>
      <c r="H4167" s="1219">
        <v>-0.6</v>
      </c>
      <c r="V4167" s="1192">
        <v>68</v>
      </c>
    </row>
    <row r="4168" spans="1:22" s="1192" customFormat="1" ht="14.4" x14ac:dyDescent="0.3">
      <c r="A4168" s="1192" t="s">
        <v>180</v>
      </c>
      <c r="E4168" s="1740" t="s">
        <v>2450</v>
      </c>
      <c r="F4168" s="1740"/>
      <c r="G4168" s="1277" t="s">
        <v>82</v>
      </c>
      <c r="H4168" s="1218">
        <v>-1</v>
      </c>
      <c r="V4168" s="1192">
        <v>87</v>
      </c>
    </row>
    <row r="4169" spans="1:22" s="1192" customFormat="1" x14ac:dyDescent="0.3">
      <c r="A4169" s="1192" t="s">
        <v>180</v>
      </c>
      <c r="E4169" s="1264" t="s">
        <v>83</v>
      </c>
      <c r="F4169" s="555"/>
      <c r="G4169" s="555"/>
      <c r="H4169" s="917"/>
      <c r="K4169" s="1192" t="s">
        <v>3185</v>
      </c>
      <c r="V4169" s="1192">
        <v>24</v>
      </c>
    </row>
    <row r="4170" spans="1:22" s="1192" customFormat="1" ht="14.4" x14ac:dyDescent="0.3">
      <c r="A4170" s="1192" t="s">
        <v>180</v>
      </c>
      <c r="E4170" s="2037" t="s">
        <v>2389</v>
      </c>
      <c r="F4170" s="1743"/>
      <c r="G4170" s="1743"/>
      <c r="H4170" s="1743"/>
      <c r="V4170" s="1192">
        <v>11</v>
      </c>
    </row>
    <row r="4171" spans="1:22" s="1192" customFormat="1" ht="14.4" x14ac:dyDescent="0.3">
      <c r="A4171" s="1192" t="s">
        <v>180</v>
      </c>
      <c r="E4171" s="1743" t="s">
        <v>2391</v>
      </c>
      <c r="F4171" s="1743"/>
      <c r="G4171" s="1743"/>
      <c r="H4171" s="1743"/>
      <c r="V4171" s="1192">
        <v>280</v>
      </c>
    </row>
    <row r="4172" spans="1:22" s="1192" customFormat="1" ht="14.4" x14ac:dyDescent="0.3">
      <c r="A4172" s="1192" t="s">
        <v>180</v>
      </c>
      <c r="E4172" s="1743" t="s">
        <v>2452</v>
      </c>
      <c r="F4172" s="1743"/>
      <c r="G4172" s="1743"/>
      <c r="H4172" s="1743"/>
      <c r="V4172" s="1192">
        <v>353</v>
      </c>
    </row>
    <row r="4173" spans="1:22" s="1192" customFormat="1" ht="14.4" x14ac:dyDescent="0.3">
      <c r="A4173" s="1192" t="s">
        <v>180</v>
      </c>
      <c r="E4173" s="1743" t="s">
        <v>2509</v>
      </c>
      <c r="F4173" s="1743"/>
      <c r="G4173" s="1743"/>
      <c r="H4173" s="1743"/>
      <c r="V4173" s="1192">
        <v>275</v>
      </c>
    </row>
    <row r="4174" spans="1:22" s="1192" customFormat="1" ht="14.4" x14ac:dyDescent="0.3">
      <c r="A4174" s="1192" t="s">
        <v>180</v>
      </c>
      <c r="E4174" s="1257" t="s">
        <v>2453</v>
      </c>
      <c r="F4174" s="523"/>
      <c r="G4174" s="523"/>
      <c r="H4174" s="911"/>
      <c r="K4174" s="1192" t="s">
        <v>3186</v>
      </c>
      <c r="V4174" s="1192">
        <v>23</v>
      </c>
    </row>
    <row r="4175" spans="1:22" s="1192" customFormat="1" ht="14.4" x14ac:dyDescent="0.3">
      <c r="A4175" s="1192" t="s">
        <v>180</v>
      </c>
      <c r="E4175" s="1745" t="s">
        <v>119</v>
      </c>
      <c r="F4175" s="1745"/>
      <c r="G4175" s="1277" t="s">
        <v>19</v>
      </c>
      <c r="H4175" s="1218">
        <v>15</v>
      </c>
      <c r="V4175" s="1192">
        <v>35</v>
      </c>
    </row>
    <row r="4176" spans="1:22" s="1192" customFormat="1" ht="14.4" x14ac:dyDescent="0.3">
      <c r="A4176" s="1192" t="s">
        <v>180</v>
      </c>
      <c r="E4176" s="1745" t="s">
        <v>84</v>
      </c>
      <c r="F4176" s="1745"/>
      <c r="G4176" s="1277" t="s">
        <v>19</v>
      </c>
      <c r="H4176" s="1218">
        <v>20</v>
      </c>
      <c r="V4176" s="1192">
        <v>89</v>
      </c>
    </row>
    <row r="4177" spans="1:22" s="1192" customFormat="1" ht="14.4" x14ac:dyDescent="0.3">
      <c r="A4177" s="1192" t="s">
        <v>180</v>
      </c>
      <c r="E4177" s="1745" t="s">
        <v>88</v>
      </c>
      <c r="F4177" s="1745"/>
      <c r="G4177" s="1277" t="s">
        <v>19</v>
      </c>
      <c r="H4177" s="1218">
        <v>30</v>
      </c>
      <c r="V4177" s="1192">
        <v>74</v>
      </c>
    </row>
    <row r="4178" spans="1:22" s="1192" customFormat="1" ht="14.4" x14ac:dyDescent="0.3">
      <c r="A4178" s="1192" t="s">
        <v>180</v>
      </c>
      <c r="E4178" s="1257" t="s">
        <v>2468</v>
      </c>
      <c r="F4178" s="523"/>
      <c r="G4178" s="523"/>
      <c r="H4178" s="911"/>
      <c r="K4178" s="1192" t="s">
        <v>3187</v>
      </c>
      <c r="V4178" s="1192">
        <v>22</v>
      </c>
    </row>
    <row r="4179" spans="1:22" s="1192" customFormat="1" ht="14.4" x14ac:dyDescent="0.3">
      <c r="A4179" s="1192" t="s">
        <v>180</v>
      </c>
      <c r="E4179" s="1745" t="s">
        <v>3918</v>
      </c>
      <c r="F4179" s="1745"/>
      <c r="G4179" s="1277" t="s">
        <v>82</v>
      </c>
      <c r="H4179" s="1218">
        <v>1.5</v>
      </c>
      <c r="V4179" s="1192">
        <v>24</v>
      </c>
    </row>
    <row r="4180" spans="1:22" s="1192" customFormat="1" ht="14.4" x14ac:dyDescent="0.3">
      <c r="A4180" s="1192" t="s">
        <v>180</v>
      </c>
      <c r="E4180" s="1745" t="s">
        <v>3664</v>
      </c>
      <c r="F4180" s="1745"/>
      <c r="G4180" s="1277" t="s">
        <v>82</v>
      </c>
      <c r="H4180" s="1218">
        <v>19.559999999999999</v>
      </c>
      <c r="V4180" s="1192">
        <v>24</v>
      </c>
    </row>
    <row r="4181" spans="1:22" s="1192" customFormat="1" ht="14.4" x14ac:dyDescent="0.3">
      <c r="A4181" s="1192" t="s">
        <v>180</v>
      </c>
      <c r="E4181" s="1745" t="s">
        <v>6106</v>
      </c>
      <c r="F4181" s="1745"/>
      <c r="G4181" s="1277" t="s">
        <v>19</v>
      </c>
      <c r="H4181" s="1218">
        <v>65</v>
      </c>
      <c r="V4181" s="1192">
        <v>44</v>
      </c>
    </row>
    <row r="4182" spans="1:22" s="1192" customFormat="1" ht="14.4" x14ac:dyDescent="0.3">
      <c r="A4182" s="1192" t="s">
        <v>180</v>
      </c>
      <c r="E4182" s="1745" t="s">
        <v>6107</v>
      </c>
      <c r="F4182" s="1745"/>
      <c r="G4182" s="1277" t="s">
        <v>19</v>
      </c>
      <c r="H4182" s="1218">
        <v>185</v>
      </c>
      <c r="V4182" s="1192">
        <v>43</v>
      </c>
    </row>
    <row r="4183" spans="1:22" s="1192" customFormat="1" ht="14.4" x14ac:dyDescent="0.3">
      <c r="A4183" s="1192" t="s">
        <v>180</v>
      </c>
      <c r="E4183" s="1745" t="s">
        <v>6108</v>
      </c>
      <c r="F4183" s="1745"/>
      <c r="G4183" s="1277" t="s">
        <v>19</v>
      </c>
      <c r="H4183" s="1218">
        <v>95</v>
      </c>
      <c r="V4183" s="1192">
        <v>43</v>
      </c>
    </row>
    <row r="4184" spans="1:22" s="1192" customFormat="1" ht="14.4" x14ac:dyDescent="0.3">
      <c r="A4184" s="1192" t="s">
        <v>180</v>
      </c>
      <c r="E4184" s="1257" t="s">
        <v>2474</v>
      </c>
      <c r="F4184" s="523"/>
      <c r="G4184" s="523"/>
      <c r="H4184" s="911"/>
      <c r="V4184" s="1192">
        <v>5</v>
      </c>
    </row>
    <row r="4185" spans="1:22" s="1192" customFormat="1" ht="14.4" x14ac:dyDescent="0.3">
      <c r="A4185" s="1192" t="s">
        <v>180</v>
      </c>
      <c r="E4185" s="1745" t="s">
        <v>3188</v>
      </c>
      <c r="F4185" s="1745"/>
      <c r="G4185" s="1277" t="s">
        <v>19</v>
      </c>
      <c r="H4185" s="1218">
        <v>355</v>
      </c>
      <c r="V4185" s="1192">
        <v>35</v>
      </c>
    </row>
    <row r="4186" spans="1:22" s="1192" customFormat="1" ht="14.4" x14ac:dyDescent="0.3">
      <c r="A4186" s="1192" t="s">
        <v>180</v>
      </c>
      <c r="E4186" s="1745" t="s">
        <v>2478</v>
      </c>
      <c r="F4186" s="1745"/>
      <c r="G4186" s="1277" t="s">
        <v>19</v>
      </c>
      <c r="H4186" s="1218">
        <v>105</v>
      </c>
      <c r="V4186" s="1192">
        <v>34</v>
      </c>
    </row>
    <row r="4187" spans="1:22" s="1192" customFormat="1" ht="14.4" x14ac:dyDescent="0.3">
      <c r="A4187" s="1192" t="s">
        <v>180</v>
      </c>
      <c r="E4187" s="1745" t="s">
        <v>2768</v>
      </c>
      <c r="F4187" s="1745"/>
      <c r="G4187" s="558" t="s">
        <v>19</v>
      </c>
      <c r="H4187" s="560">
        <v>44.5</v>
      </c>
      <c r="V4187" s="1192">
        <v>104</v>
      </c>
    </row>
    <row r="4188" spans="1:22" s="1192" customFormat="1" ht="17.399999999999999" x14ac:dyDescent="0.3">
      <c r="A4188" s="1192" t="s">
        <v>180</v>
      </c>
      <c r="E4188" s="1744" t="s">
        <v>73</v>
      </c>
      <c r="F4188" s="2229"/>
      <c r="G4188" s="2229"/>
      <c r="H4188" s="2229"/>
      <c r="K4188" s="1192" t="s">
        <v>3189</v>
      </c>
      <c r="V4188" s="1192">
        <v>38</v>
      </c>
    </row>
    <row r="4189" spans="1:22" s="1192" customFormat="1" ht="14.4" x14ac:dyDescent="0.3">
      <c r="A4189" s="1192" t="s">
        <v>180</v>
      </c>
      <c r="E4189" s="2037" t="s">
        <v>2389</v>
      </c>
      <c r="F4189" s="1743"/>
      <c r="G4189" s="1743"/>
      <c r="H4189" s="1743"/>
      <c r="K4189" s="1192" t="s">
        <v>2586</v>
      </c>
      <c r="V4189" s="1192">
        <v>11</v>
      </c>
    </row>
    <row r="4190" spans="1:22" s="1192" customFormat="1" ht="14.4" x14ac:dyDescent="0.3">
      <c r="A4190" s="1192" t="s">
        <v>180</v>
      </c>
      <c r="E4190" s="1743" t="s">
        <v>2391</v>
      </c>
      <c r="F4190" s="1743"/>
      <c r="G4190" s="1743"/>
      <c r="H4190" s="1743"/>
      <c r="V4190" s="1192">
        <v>280</v>
      </c>
    </row>
    <row r="4191" spans="1:22" s="1192" customFormat="1" ht="14.4" x14ac:dyDescent="0.3">
      <c r="A4191" s="1192" t="s">
        <v>180</v>
      </c>
      <c r="E4191" s="1743" t="s">
        <v>2392</v>
      </c>
      <c r="F4191" s="1743"/>
      <c r="G4191" s="1743"/>
      <c r="H4191" s="1743"/>
      <c r="V4191" s="1192">
        <v>411</v>
      </c>
    </row>
    <row r="4192" spans="1:22" s="1192" customFormat="1" ht="14.4" x14ac:dyDescent="0.3">
      <c r="A4192" s="1192" t="s">
        <v>180</v>
      </c>
      <c r="E4192" s="1743" t="s">
        <v>2445</v>
      </c>
      <c r="F4192" s="1743"/>
      <c r="G4192" s="1743"/>
      <c r="H4192" s="1743"/>
      <c r="V4192" s="1192">
        <v>211</v>
      </c>
    </row>
    <row r="4193" spans="1:22" s="1192" customFormat="1" ht="14.4" x14ac:dyDescent="0.3">
      <c r="A4193" s="1192" t="s">
        <v>180</v>
      </c>
      <c r="E4193" s="1743" t="s">
        <v>2509</v>
      </c>
      <c r="F4193" s="1743"/>
      <c r="G4193" s="1743"/>
      <c r="H4193" s="1743"/>
      <c r="V4193" s="1192">
        <v>275</v>
      </c>
    </row>
    <row r="4194" spans="1:22" s="1192" customFormat="1" ht="14.4" x14ac:dyDescent="0.3">
      <c r="A4194" s="1192" t="s">
        <v>180</v>
      </c>
      <c r="E4194" s="1740" t="s">
        <v>2595</v>
      </c>
      <c r="F4194" s="1740"/>
      <c r="G4194" s="454"/>
      <c r="H4194" s="911"/>
      <c r="V4194" s="1192">
        <v>142</v>
      </c>
    </row>
    <row r="4195" spans="1:22" s="1192" customFormat="1" ht="14.4" x14ac:dyDescent="0.3">
      <c r="A4195" s="1192" t="s">
        <v>180</v>
      </c>
      <c r="E4195" s="1740" t="s">
        <v>2485</v>
      </c>
      <c r="F4195" s="1740"/>
      <c r="G4195" s="1277" t="s">
        <v>19</v>
      </c>
      <c r="H4195" s="1218">
        <v>102</v>
      </c>
      <c r="V4195" s="1192">
        <v>106</v>
      </c>
    </row>
    <row r="4196" spans="1:22" s="1192" customFormat="1" ht="14.4" x14ac:dyDescent="0.3">
      <c r="A4196" s="1192" t="s">
        <v>180</v>
      </c>
      <c r="E4196" s="1740" t="s">
        <v>3919</v>
      </c>
      <c r="F4196" s="1740"/>
      <c r="G4196" s="1266" t="s">
        <v>19</v>
      </c>
      <c r="H4196" s="358">
        <v>40.799999999999997</v>
      </c>
      <c r="V4196" s="1192">
        <v>34</v>
      </c>
    </row>
    <row r="4197" spans="1:22" s="1192" customFormat="1" ht="14.4" x14ac:dyDescent="0.3">
      <c r="A4197" s="1192" t="s">
        <v>180</v>
      </c>
      <c r="E4197" s="1740" t="s">
        <v>3920</v>
      </c>
      <c r="F4197" s="1740"/>
      <c r="G4197" s="1266" t="s">
        <v>2488</v>
      </c>
      <c r="H4197" s="358">
        <v>1.02</v>
      </c>
      <c r="V4197" s="1192">
        <v>51</v>
      </c>
    </row>
    <row r="4198" spans="1:22" s="1192" customFormat="1" ht="14.4" x14ac:dyDescent="0.3">
      <c r="A4198" s="1192" t="s">
        <v>180</v>
      </c>
      <c r="E4198" s="1740" t="s">
        <v>2489</v>
      </c>
      <c r="F4198" s="1740"/>
      <c r="G4198" s="1266" t="s">
        <v>2488</v>
      </c>
      <c r="H4198" s="358">
        <v>0.61</v>
      </c>
      <c r="V4198" s="1192">
        <v>75</v>
      </c>
    </row>
    <row r="4199" spans="1:22" s="1192" customFormat="1" ht="14.4" x14ac:dyDescent="0.3">
      <c r="A4199" s="1192" t="s">
        <v>180</v>
      </c>
      <c r="E4199" s="1740" t="s">
        <v>2490</v>
      </c>
      <c r="F4199" s="1740"/>
      <c r="G4199" s="1266" t="s">
        <v>2488</v>
      </c>
      <c r="H4199" s="358">
        <v>-0.61</v>
      </c>
      <c r="V4199" s="1192">
        <v>72</v>
      </c>
    </row>
    <row r="4200" spans="1:22" s="1192" customFormat="1" ht="14.4" x14ac:dyDescent="0.3">
      <c r="A4200" s="1192" t="s">
        <v>180</v>
      </c>
      <c r="E4200" s="2100" t="s">
        <v>2596</v>
      </c>
      <c r="F4200" s="2100"/>
      <c r="G4200" s="1266"/>
      <c r="H4200" s="899"/>
      <c r="V4200" s="1192">
        <v>34</v>
      </c>
    </row>
    <row r="4201" spans="1:22" s="1192" customFormat="1" ht="14.4" x14ac:dyDescent="0.3">
      <c r="A4201" s="1192" t="s">
        <v>180</v>
      </c>
      <c r="E4201" s="1742" t="s">
        <v>2492</v>
      </c>
      <c r="F4201" s="1742"/>
      <c r="G4201" s="1266" t="s">
        <v>19</v>
      </c>
      <c r="H4201" s="358">
        <v>0.51</v>
      </c>
      <c r="V4201" s="1192">
        <v>57</v>
      </c>
    </row>
    <row r="4202" spans="1:22" s="1192" customFormat="1" ht="14.4" x14ac:dyDescent="0.3">
      <c r="A4202" s="1192" t="s">
        <v>180</v>
      </c>
      <c r="E4202" s="1740" t="s">
        <v>6274</v>
      </c>
      <c r="F4202" s="1740"/>
      <c r="G4202" s="1266" t="s">
        <v>19</v>
      </c>
      <c r="H4202" s="358">
        <v>1.02</v>
      </c>
      <c r="V4202" s="1192">
        <v>79</v>
      </c>
    </row>
    <row r="4203" spans="1:22" s="1192" customFormat="1" ht="14.4" x14ac:dyDescent="0.3">
      <c r="A4203" s="1192" t="s">
        <v>180</v>
      </c>
      <c r="E4203" s="1740" t="s">
        <v>2494</v>
      </c>
      <c r="F4203" s="1740"/>
      <c r="G4203" s="1266"/>
      <c r="H4203" s="899"/>
      <c r="V4203" s="1192">
        <v>91</v>
      </c>
    </row>
    <row r="4204" spans="1:22" s="1192" customFormat="1" ht="14.4" x14ac:dyDescent="0.3">
      <c r="A4204" s="1192" t="s">
        <v>180</v>
      </c>
      <c r="E4204" s="1740" t="s">
        <v>2495</v>
      </c>
      <c r="F4204" s="1740"/>
      <c r="G4204" s="1266"/>
      <c r="H4204" s="899"/>
      <c r="V4204" s="1192">
        <v>96</v>
      </c>
    </row>
    <row r="4205" spans="1:22" s="1192" customFormat="1" ht="14.4" x14ac:dyDescent="0.3">
      <c r="A4205" s="1192" t="s">
        <v>180</v>
      </c>
      <c r="E4205" s="2100" t="s">
        <v>2597</v>
      </c>
      <c r="F4205" s="2100"/>
      <c r="G4205" s="1266"/>
      <c r="H4205" s="899"/>
      <c r="V4205" s="1192">
        <v>77</v>
      </c>
    </row>
    <row r="4206" spans="1:22" s="1192" customFormat="1" ht="14.4" x14ac:dyDescent="0.3">
      <c r="A4206" s="1192" t="s">
        <v>180</v>
      </c>
      <c r="E4206" s="1742" t="s">
        <v>2497</v>
      </c>
      <c r="F4206" s="1742"/>
      <c r="G4206" s="1266" t="s">
        <v>19</v>
      </c>
      <c r="H4206" s="899" t="s">
        <v>2498</v>
      </c>
      <c r="V4206" s="1192">
        <v>18</v>
      </c>
    </row>
    <row r="4207" spans="1:22" s="1192" customFormat="1" ht="14.4" x14ac:dyDescent="0.3">
      <c r="A4207" s="1192" t="s">
        <v>180</v>
      </c>
      <c r="E4207" s="1742" t="s">
        <v>2499</v>
      </c>
      <c r="F4207" s="1742"/>
      <c r="G4207" s="1266" t="s">
        <v>19</v>
      </c>
      <c r="H4207" s="358">
        <v>4.08</v>
      </c>
      <c r="V4207" s="1192">
        <v>69</v>
      </c>
    </row>
    <row r="4208" spans="1:22" s="1192" customFormat="1" ht="14.4" x14ac:dyDescent="0.3">
      <c r="A4208" s="1192" t="s">
        <v>180</v>
      </c>
      <c r="E4208" s="1272" t="s">
        <v>6275</v>
      </c>
      <c r="F4208" s="1265"/>
      <c r="G4208" s="1266" t="s">
        <v>19</v>
      </c>
      <c r="H4208" s="358">
        <v>2.04</v>
      </c>
      <c r="V4208" s="1192">
        <v>42</v>
      </c>
    </row>
    <row r="4209" spans="1:22" s="1192" customFormat="1" x14ac:dyDescent="0.3">
      <c r="A4209" s="1192" t="s">
        <v>180</v>
      </c>
      <c r="E4209" s="1264" t="s">
        <v>143</v>
      </c>
      <c r="F4209" s="555"/>
      <c r="G4209" s="555"/>
      <c r="H4209" s="917"/>
      <c r="K4209" s="1192" t="s">
        <v>3190</v>
      </c>
      <c r="V4209" s="1192">
        <v>12</v>
      </c>
    </row>
    <row r="4210" spans="1:22" s="1192" customFormat="1" ht="14.4" x14ac:dyDescent="0.3">
      <c r="A4210" s="1192" t="s">
        <v>180</v>
      </c>
      <c r="E4210" s="1741" t="s">
        <v>2501</v>
      </c>
      <c r="F4210" s="1741"/>
      <c r="G4210" s="1741"/>
      <c r="H4210" s="1741"/>
      <c r="V4210" s="1192">
        <v>203</v>
      </c>
    </row>
    <row r="4211" spans="1:22" s="1192" customFormat="1" ht="14.4" x14ac:dyDescent="0.3">
      <c r="A4211" s="1192" t="s">
        <v>180</v>
      </c>
      <c r="E4211" s="1740" t="s">
        <v>2599</v>
      </c>
      <c r="F4211" s="1740"/>
      <c r="G4211" s="1277"/>
      <c r="H4211" s="837">
        <v>1.0349999999999999</v>
      </c>
      <c r="V4211" s="1192">
        <v>57</v>
      </c>
    </row>
    <row r="4212" spans="1:22" s="1192" customFormat="1" ht="14.4" x14ac:dyDescent="0.3">
      <c r="A4212" s="1192" t="s">
        <v>180</v>
      </c>
      <c r="E4212" s="1740" t="s">
        <v>2600</v>
      </c>
      <c r="F4212" s="1740"/>
      <c r="G4212" s="1277"/>
      <c r="H4212" s="837">
        <v>1.0154000000000001</v>
      </c>
      <c r="V4212" s="1192">
        <v>57</v>
      </c>
    </row>
    <row r="4213" spans="1:22" s="1192" customFormat="1" ht="14.4" x14ac:dyDescent="0.3">
      <c r="A4213" s="1192" t="s">
        <v>180</v>
      </c>
      <c r="E4213" s="1740" t="s">
        <v>2601</v>
      </c>
      <c r="F4213" s="1740"/>
      <c r="G4213" s="1277"/>
      <c r="H4213" s="837">
        <v>1.0226</v>
      </c>
      <c r="V4213" s="1192">
        <v>55</v>
      </c>
    </row>
    <row r="4214" spans="1:22" s="1192" customFormat="1" ht="14.4" x14ac:dyDescent="0.3">
      <c r="A4214" s="1192" t="s">
        <v>180</v>
      </c>
      <c r="E4214" s="1740" t="s">
        <v>2602</v>
      </c>
      <c r="F4214" s="1740"/>
      <c r="G4214" s="1277"/>
      <c r="H4214" s="837">
        <v>1.0053000000000001</v>
      </c>
      <c r="J4214" s="1192" t="s">
        <v>3191</v>
      </c>
      <c r="V4214" s="1192">
        <v>55</v>
      </c>
    </row>
    <row r="4215" spans="1:22" s="1192" customFormat="1" ht="22.8" x14ac:dyDescent="0.3">
      <c r="A4215" s="1192" t="s">
        <v>202</v>
      </c>
      <c r="C4215" s="1192" t="s">
        <v>2378</v>
      </c>
      <c r="E4215" s="1752" t="s">
        <v>202</v>
      </c>
      <c r="F4215" s="1752"/>
      <c r="G4215" s="1752"/>
      <c r="H4215" s="1752"/>
      <c r="I4215" s="1192" t="s">
        <v>603</v>
      </c>
      <c r="J4215" s="1192" t="s">
        <v>3474</v>
      </c>
      <c r="K4215" s="1192" t="s">
        <v>202</v>
      </c>
      <c r="M4215" s="1192">
        <v>8</v>
      </c>
      <c r="V4215" s="1192">
        <v>24</v>
      </c>
    </row>
    <row r="4216" spans="1:22" s="1192" customFormat="1" ht="17.399999999999999" x14ac:dyDescent="0.3">
      <c r="A4216" s="1192" t="s">
        <v>202</v>
      </c>
      <c r="C4216" s="1192" t="s">
        <v>2380</v>
      </c>
      <c r="E4216" s="1753" t="s">
        <v>2381</v>
      </c>
      <c r="F4216" s="1753"/>
      <c r="G4216" s="1753"/>
      <c r="H4216" s="1753"/>
      <c r="V4216" s="1192">
        <v>27</v>
      </c>
    </row>
    <row r="4217" spans="1:22" s="1192" customFormat="1" ht="15.6" x14ac:dyDescent="0.3">
      <c r="A4217" s="1192" t="s">
        <v>202</v>
      </c>
      <c r="C4217" s="1192" t="s">
        <v>2382</v>
      </c>
      <c r="E4217" s="1754" t="s">
        <v>5937</v>
      </c>
      <c r="F4217" s="1754"/>
      <c r="G4217" s="1754"/>
      <c r="H4217" s="1754"/>
      <c r="S4217" s="1192">
        <v>43831</v>
      </c>
      <c r="V4217" s="1192">
        <v>49</v>
      </c>
    </row>
    <row r="4218" spans="1:22" s="1192" customFormat="1" ht="14.4" x14ac:dyDescent="0.3">
      <c r="A4218" s="1192" t="s">
        <v>202</v>
      </c>
      <c r="C4218" s="1192" t="s">
        <v>2383</v>
      </c>
      <c r="E4218" s="1755" t="s">
        <v>2384</v>
      </c>
      <c r="F4218" s="1755"/>
      <c r="G4218" s="1755"/>
      <c r="H4218" s="1755"/>
      <c r="V4218" s="1192">
        <v>52</v>
      </c>
    </row>
    <row r="4219" spans="1:22" s="1192" customFormat="1" ht="14.4" x14ac:dyDescent="0.3">
      <c r="A4219" s="1192" t="s">
        <v>202</v>
      </c>
      <c r="E4219" s="1755" t="s">
        <v>2385</v>
      </c>
      <c r="F4219" s="1755"/>
      <c r="G4219" s="1755"/>
      <c r="H4219" s="1755"/>
      <c r="V4219" s="1192">
        <v>53</v>
      </c>
    </row>
    <row r="4220" spans="1:22" s="1192" customFormat="1" ht="14.4" x14ac:dyDescent="0.3">
      <c r="A4220" s="1192" t="s">
        <v>202</v>
      </c>
      <c r="E4220" s="1772" t="s">
        <v>6276</v>
      </c>
      <c r="F4220" s="1772"/>
      <c r="G4220" s="1772"/>
      <c r="H4220" s="1772"/>
      <c r="K4220" s="1192" t="s">
        <v>6276</v>
      </c>
      <c r="V4220" s="1192">
        <v>12</v>
      </c>
    </row>
    <row r="4221" spans="1:22" s="1192" customFormat="1" ht="14.4" x14ac:dyDescent="0.3">
      <c r="A4221" s="1192" t="s">
        <v>202</v>
      </c>
      <c r="E4221" s="1746" t="s">
        <v>427</v>
      </c>
      <c r="F4221" s="1743"/>
      <c r="G4221" s="1743"/>
      <c r="H4221" s="1743"/>
      <c r="K4221" s="1192" t="s">
        <v>2506</v>
      </c>
      <c r="V4221" s="1192">
        <v>34</v>
      </c>
    </row>
    <row r="4222" spans="1:22" s="1192" customFormat="1" ht="14.4" x14ac:dyDescent="0.3">
      <c r="A4222" s="1192" t="s">
        <v>202</v>
      </c>
      <c r="E4222" s="1743" t="s">
        <v>3358</v>
      </c>
      <c r="F4222" s="1743"/>
      <c r="G4222" s="1743"/>
      <c r="H4222" s="1743"/>
      <c r="K4222" s="1192" t="s">
        <v>2506</v>
      </c>
      <c r="V4222" s="1192">
        <v>617</v>
      </c>
    </row>
    <row r="4223" spans="1:22" s="1192" customFormat="1" ht="14.4" x14ac:dyDescent="0.3">
      <c r="A4223" s="1192" t="s">
        <v>202</v>
      </c>
      <c r="E4223" s="1750" t="s">
        <v>2389</v>
      </c>
      <c r="F4223" s="1743"/>
      <c r="G4223" s="1743"/>
      <c r="H4223" s="1743"/>
      <c r="K4223" s="1192" t="s">
        <v>2390</v>
      </c>
      <c r="V4223" s="1192">
        <v>11</v>
      </c>
    </row>
    <row r="4224" spans="1:22" s="1192" customFormat="1" ht="14.4" x14ac:dyDescent="0.3">
      <c r="A4224" s="1192" t="s">
        <v>202</v>
      </c>
      <c r="E4224" s="1743" t="s">
        <v>2391</v>
      </c>
      <c r="F4224" s="1743"/>
      <c r="G4224" s="1743"/>
      <c r="H4224" s="1743"/>
      <c r="K4224" s="1192" t="s">
        <v>2506</v>
      </c>
      <c r="V4224" s="1192">
        <v>280</v>
      </c>
    </row>
    <row r="4225" spans="1:22" s="1192" customFormat="1" ht="14.4" x14ac:dyDescent="0.3">
      <c r="A4225" s="1192" t="s">
        <v>202</v>
      </c>
      <c r="E4225" s="1743" t="s">
        <v>2392</v>
      </c>
      <c r="F4225" s="1743"/>
      <c r="G4225" s="1743"/>
      <c r="H4225" s="1743"/>
      <c r="K4225" s="1192" t="s">
        <v>2506</v>
      </c>
      <c r="V4225" s="1192">
        <v>411</v>
      </c>
    </row>
    <row r="4226" spans="1:22" s="1192" customFormat="1" ht="14.4" x14ac:dyDescent="0.3">
      <c r="A4226" s="1192" t="s">
        <v>202</v>
      </c>
      <c r="E4226" s="1743" t="s">
        <v>2508</v>
      </c>
      <c r="F4226" s="1743"/>
      <c r="G4226" s="1743"/>
      <c r="H4226" s="1743"/>
      <c r="K4226" s="1192" t="s">
        <v>2506</v>
      </c>
      <c r="V4226" s="1192">
        <v>386</v>
      </c>
    </row>
    <row r="4227" spans="1:22" s="1192" customFormat="1" ht="14.4" x14ac:dyDescent="0.3">
      <c r="A4227" s="1192" t="s">
        <v>202</v>
      </c>
      <c r="E4227" s="1743" t="s">
        <v>4652</v>
      </c>
      <c r="F4227" s="1743"/>
      <c r="G4227" s="1743"/>
      <c r="H4227" s="1743"/>
      <c r="K4227" s="1192" t="s">
        <v>2506</v>
      </c>
      <c r="V4227" s="1192">
        <v>251</v>
      </c>
    </row>
    <row r="4228" spans="1:22" s="1192" customFormat="1" ht="14.4" x14ac:dyDescent="0.3">
      <c r="A4228" s="1192" t="s">
        <v>202</v>
      </c>
      <c r="E4228" s="1750" t="s">
        <v>2394</v>
      </c>
      <c r="F4228" s="1743"/>
      <c r="G4228" s="1743"/>
      <c r="H4228" s="1743"/>
      <c r="K4228" s="1192" t="s">
        <v>2395</v>
      </c>
      <c r="V4228" s="1192">
        <v>46</v>
      </c>
    </row>
    <row r="4229" spans="1:22" s="1192" customFormat="1" ht="14.4" x14ac:dyDescent="0.3">
      <c r="A4229" s="1192" t="s">
        <v>202</v>
      </c>
      <c r="E4229" s="1741" t="s">
        <v>7</v>
      </c>
      <c r="F4229" s="1741"/>
      <c r="G4229" s="1277" t="s">
        <v>19</v>
      </c>
      <c r="H4229" s="1218">
        <v>23.3</v>
      </c>
      <c r="K4229" s="1192" t="s">
        <v>2506</v>
      </c>
      <c r="L4229" s="1192" t="s">
        <v>430</v>
      </c>
      <c r="P4229" s="1192" t="s">
        <v>2510</v>
      </c>
      <c r="V4229" s="1192">
        <v>14</v>
      </c>
    </row>
    <row r="4230" spans="1:22" s="1192" customFormat="1" ht="14.4" x14ac:dyDescent="0.3">
      <c r="A4230" s="1192" t="s">
        <v>202</v>
      </c>
      <c r="E4230" s="1741" t="s">
        <v>3900</v>
      </c>
      <c r="F4230" s="1741"/>
      <c r="G4230" s="1277" t="s">
        <v>19</v>
      </c>
      <c r="H4230" s="1218">
        <v>0.56999999999999995</v>
      </c>
      <c r="K4230" s="1192" t="s">
        <v>2506</v>
      </c>
      <c r="L4230" s="1192" t="s">
        <v>431</v>
      </c>
      <c r="P4230" s="1192" t="s">
        <v>2511</v>
      </c>
      <c r="T4230" s="1192">
        <v>44926</v>
      </c>
      <c r="V4230" s="1192">
        <v>64</v>
      </c>
    </row>
    <row r="4231" spans="1:22" s="1192" customFormat="1" ht="14.4" x14ac:dyDescent="0.3">
      <c r="A4231" s="1192" t="s">
        <v>202</v>
      </c>
      <c r="E4231" s="1741" t="s">
        <v>14</v>
      </c>
      <c r="F4231" s="1741"/>
      <c r="G4231" s="1277" t="s">
        <v>20</v>
      </c>
      <c r="H4231" s="1219">
        <v>1.4E-3</v>
      </c>
      <c r="K4231" s="1192" t="s">
        <v>2506</v>
      </c>
      <c r="L4231" s="1192" t="s">
        <v>431</v>
      </c>
      <c r="P4231" s="1192" t="s">
        <v>2513</v>
      </c>
      <c r="V4231" s="1192">
        <v>24</v>
      </c>
    </row>
    <row r="4232" spans="1:22" s="1192" customFormat="1" ht="14.4" x14ac:dyDescent="0.3">
      <c r="A4232" s="1192" t="s">
        <v>202</v>
      </c>
      <c r="E4232" s="1741" t="s">
        <v>213</v>
      </c>
      <c r="F4232" s="1741"/>
      <c r="G4232" s="1277" t="s">
        <v>20</v>
      </c>
      <c r="H4232" s="1219">
        <v>6.3E-3</v>
      </c>
      <c r="K4232" s="1192" t="s">
        <v>2506</v>
      </c>
      <c r="L4232" s="1192" t="s">
        <v>432</v>
      </c>
      <c r="P4232" s="1192" t="s">
        <v>2517</v>
      </c>
      <c r="V4232" s="1192">
        <v>47</v>
      </c>
    </row>
    <row r="4233" spans="1:22" s="1192" customFormat="1" ht="14.4" x14ac:dyDescent="0.3">
      <c r="A4233" s="1192" t="s">
        <v>202</v>
      </c>
      <c r="E4233" s="1741" t="s">
        <v>209</v>
      </c>
      <c r="F4233" s="1741"/>
      <c r="G4233" s="1277" t="s">
        <v>20</v>
      </c>
      <c r="H4233" s="1219">
        <v>5.4000000000000003E-3</v>
      </c>
      <c r="K4233" s="1192" t="s">
        <v>2506</v>
      </c>
      <c r="L4233" s="1192" t="s">
        <v>432</v>
      </c>
      <c r="P4233" s="1192" t="s">
        <v>2518</v>
      </c>
      <c r="V4233" s="1192">
        <v>74</v>
      </c>
    </row>
    <row r="4234" spans="1:22" s="1192" customFormat="1" ht="14.4" x14ac:dyDescent="0.3">
      <c r="A4234" s="1192" t="s">
        <v>202</v>
      </c>
      <c r="E4234" s="1750" t="s">
        <v>2405</v>
      </c>
      <c r="F4234" s="1741"/>
      <c r="G4234" s="1277"/>
      <c r="H4234" s="896"/>
      <c r="K4234" s="1192" t="s">
        <v>2406</v>
      </c>
      <c r="V4234" s="1192">
        <v>48</v>
      </c>
    </row>
    <row r="4235" spans="1:22" s="1192" customFormat="1" ht="14.4" x14ac:dyDescent="0.3">
      <c r="A4235" s="1192" t="s">
        <v>202</v>
      </c>
      <c r="E4235" s="1741" t="s">
        <v>2033</v>
      </c>
      <c r="F4235" s="1741"/>
      <c r="G4235" s="1277" t="s">
        <v>20</v>
      </c>
      <c r="H4235" s="1219">
        <v>3.0000000000000001E-3</v>
      </c>
      <c r="K4235" s="1192" t="s">
        <v>2506</v>
      </c>
      <c r="L4235" s="1192" t="s">
        <v>2374</v>
      </c>
      <c r="P4235" s="1192" t="s">
        <v>2519</v>
      </c>
      <c r="V4235" s="1192">
        <v>55</v>
      </c>
    </row>
    <row r="4236" spans="1:22" s="1192" customFormat="1" ht="14.4" x14ac:dyDescent="0.3">
      <c r="A4236" s="1192" t="s">
        <v>202</v>
      </c>
      <c r="E4236" s="2044" t="s">
        <v>2034</v>
      </c>
      <c r="F4236" s="1741"/>
      <c r="G4236" s="1277" t="s">
        <v>20</v>
      </c>
      <c r="H4236" s="1219">
        <v>4.0000000000000002E-4</v>
      </c>
      <c r="K4236" s="1192" t="s">
        <v>2506</v>
      </c>
      <c r="L4236" s="1192" t="s">
        <v>2374</v>
      </c>
      <c r="P4236" s="1192" t="s">
        <v>2519</v>
      </c>
      <c r="V4236" s="1192">
        <v>65</v>
      </c>
    </row>
    <row r="4237" spans="1:22" s="1192" customFormat="1" ht="14.4" x14ac:dyDescent="0.3">
      <c r="A4237" s="1192" t="s">
        <v>202</v>
      </c>
      <c r="E4237" s="1741" t="s">
        <v>428</v>
      </c>
      <c r="F4237" s="1741"/>
      <c r="G4237" s="1277" t="s">
        <v>20</v>
      </c>
      <c r="H4237" s="1219">
        <v>5.0000000000000001E-4</v>
      </c>
      <c r="K4237" s="1192" t="s">
        <v>2506</v>
      </c>
      <c r="L4237" s="1192" t="s">
        <v>2374</v>
      </c>
      <c r="P4237" s="1192" t="s">
        <v>2520</v>
      </c>
      <c r="V4237" s="1192">
        <v>57</v>
      </c>
    </row>
    <row r="4238" spans="1:22" s="1192" customFormat="1" ht="14.4" x14ac:dyDescent="0.3">
      <c r="A4238" s="1192" t="s">
        <v>202</v>
      </c>
      <c r="E4238" s="1741" t="s">
        <v>28</v>
      </c>
      <c r="F4238" s="1741"/>
      <c r="G4238" s="1277" t="s">
        <v>19</v>
      </c>
      <c r="H4238" s="1218">
        <v>0.25</v>
      </c>
      <c r="K4238" s="1192" t="s">
        <v>2506</v>
      </c>
      <c r="L4238" s="1192" t="s">
        <v>2374</v>
      </c>
      <c r="P4238" s="1192" t="s">
        <v>2521</v>
      </c>
      <c r="V4238" s="1192">
        <v>63</v>
      </c>
    </row>
    <row r="4239" spans="1:22" s="1192" customFormat="1" ht="17.399999999999999" x14ac:dyDescent="0.3">
      <c r="A4239" s="1192" t="s">
        <v>202</v>
      </c>
      <c r="E4239" s="1746" t="s">
        <v>2522</v>
      </c>
      <c r="F4239" s="1747"/>
      <c r="G4239" s="1747"/>
      <c r="H4239" s="1747"/>
      <c r="K4239" s="1192" t="s">
        <v>3901</v>
      </c>
      <c r="V4239" s="1192">
        <v>54</v>
      </c>
    </row>
    <row r="4240" spans="1:22" s="1192" customFormat="1" ht="14.4" x14ac:dyDescent="0.3">
      <c r="A4240" s="1192" t="s">
        <v>202</v>
      </c>
      <c r="E4240" s="1743" t="s">
        <v>2806</v>
      </c>
      <c r="F4240" s="1743"/>
      <c r="G4240" s="1743"/>
      <c r="H4240" s="1743"/>
      <c r="K4240" s="1192" t="s">
        <v>3901</v>
      </c>
      <c r="V4240" s="1192">
        <v>331</v>
      </c>
    </row>
    <row r="4241" spans="1:22" s="1192" customFormat="1" ht="14.4" x14ac:dyDescent="0.3">
      <c r="A4241" s="1192" t="s">
        <v>202</v>
      </c>
      <c r="E4241" s="1750" t="s">
        <v>2389</v>
      </c>
      <c r="F4241" s="1743"/>
      <c r="G4241" s="1743"/>
      <c r="H4241" s="1743"/>
      <c r="K4241" s="1192" t="s">
        <v>2412</v>
      </c>
      <c r="V4241" s="1192">
        <v>11</v>
      </c>
    </row>
    <row r="4242" spans="1:22" s="1192" customFormat="1" ht="14.4" x14ac:dyDescent="0.3">
      <c r="A4242" s="1192" t="s">
        <v>202</v>
      </c>
      <c r="E4242" s="1743" t="s">
        <v>2391</v>
      </c>
      <c r="F4242" s="1743"/>
      <c r="G4242" s="1743"/>
      <c r="H4242" s="1743"/>
      <c r="K4242" s="1192" t="s">
        <v>3901</v>
      </c>
      <c r="V4242" s="1192">
        <v>280</v>
      </c>
    </row>
    <row r="4243" spans="1:22" s="1192" customFormat="1" ht="14.4" x14ac:dyDescent="0.3">
      <c r="A4243" s="1192" t="s">
        <v>202</v>
      </c>
      <c r="E4243" s="1743" t="s">
        <v>2392</v>
      </c>
      <c r="F4243" s="1743"/>
      <c r="G4243" s="1743"/>
      <c r="H4243" s="1743"/>
      <c r="K4243" s="1192" t="s">
        <v>3901</v>
      </c>
      <c r="V4243" s="1192">
        <v>411</v>
      </c>
    </row>
    <row r="4244" spans="1:22" s="1192" customFormat="1" ht="14.4" x14ac:dyDescent="0.3">
      <c r="A4244" s="1192" t="s">
        <v>202</v>
      </c>
      <c r="E4244" s="1743" t="s">
        <v>2508</v>
      </c>
      <c r="F4244" s="1743"/>
      <c r="G4244" s="1743"/>
      <c r="H4244" s="1743"/>
      <c r="K4244" s="1192" t="s">
        <v>3901</v>
      </c>
      <c r="V4244" s="1192">
        <v>386</v>
      </c>
    </row>
    <row r="4245" spans="1:22" s="1192" customFormat="1" ht="14.4" x14ac:dyDescent="0.3">
      <c r="A4245" s="1192" t="s">
        <v>202</v>
      </c>
      <c r="E4245" s="1743" t="s">
        <v>4652</v>
      </c>
      <c r="F4245" s="1743"/>
      <c r="G4245" s="1743"/>
      <c r="H4245" s="1743"/>
      <c r="K4245" s="1192" t="s">
        <v>3901</v>
      </c>
      <c r="V4245" s="1192">
        <v>251</v>
      </c>
    </row>
    <row r="4246" spans="1:22" s="1192" customFormat="1" ht="14.4" x14ac:dyDescent="0.3">
      <c r="A4246" s="1192" t="s">
        <v>202</v>
      </c>
      <c r="E4246" s="1750" t="s">
        <v>2394</v>
      </c>
      <c r="F4246" s="1743"/>
      <c r="G4246" s="1743"/>
      <c r="H4246" s="1743"/>
      <c r="K4246" s="1192" t="s">
        <v>2413</v>
      </c>
      <c r="V4246" s="1192">
        <v>46</v>
      </c>
    </row>
    <row r="4247" spans="1:22" s="1192" customFormat="1" ht="14.4" x14ac:dyDescent="0.3">
      <c r="A4247" s="1192" t="s">
        <v>202</v>
      </c>
      <c r="E4247" s="1741" t="s">
        <v>7</v>
      </c>
      <c r="F4247" s="1741"/>
      <c r="G4247" s="1277" t="s">
        <v>19</v>
      </c>
      <c r="H4247" s="1218">
        <v>24.99</v>
      </c>
      <c r="K4247" s="1192" t="s">
        <v>3901</v>
      </c>
      <c r="L4247" s="1192" t="s">
        <v>430</v>
      </c>
      <c r="P4247" s="1192" t="s">
        <v>3902</v>
      </c>
      <c r="V4247" s="1192">
        <v>14</v>
      </c>
    </row>
    <row r="4248" spans="1:22" s="1192" customFormat="1" ht="14.4" x14ac:dyDescent="0.3">
      <c r="A4248" s="1192" t="s">
        <v>202</v>
      </c>
      <c r="E4248" s="1741" t="s">
        <v>3900</v>
      </c>
      <c r="F4248" s="1741"/>
      <c r="G4248" s="1277" t="s">
        <v>19</v>
      </c>
      <c r="H4248" s="1218">
        <v>0.56999999999999995</v>
      </c>
      <c r="K4248" s="1192" t="s">
        <v>3901</v>
      </c>
      <c r="L4248" s="1192" t="s">
        <v>431</v>
      </c>
      <c r="P4248" s="1192" t="s">
        <v>3903</v>
      </c>
      <c r="T4248" s="1192">
        <v>44926</v>
      </c>
      <c r="V4248" s="1192">
        <v>64</v>
      </c>
    </row>
    <row r="4249" spans="1:22" s="1192" customFormat="1" ht="14.4" x14ac:dyDescent="0.3">
      <c r="A4249" s="1192" t="s">
        <v>202</v>
      </c>
      <c r="E4249" s="1741" t="s">
        <v>80</v>
      </c>
      <c r="F4249" s="1741"/>
      <c r="G4249" s="1277" t="s">
        <v>20</v>
      </c>
      <c r="H4249" s="1219">
        <v>8.6E-3</v>
      </c>
      <c r="K4249" s="1192" t="s">
        <v>3901</v>
      </c>
      <c r="L4249" s="1192" t="s">
        <v>430</v>
      </c>
      <c r="P4249" s="1192" t="s">
        <v>3904</v>
      </c>
      <c r="V4249" s="1192">
        <v>28</v>
      </c>
    </row>
    <row r="4250" spans="1:22" s="1192" customFormat="1" ht="14.4" x14ac:dyDescent="0.3">
      <c r="A4250" s="1192" t="s">
        <v>202</v>
      </c>
      <c r="E4250" s="1741" t="s">
        <v>14</v>
      </c>
      <c r="F4250" s="1741"/>
      <c r="G4250" s="1277" t="s">
        <v>20</v>
      </c>
      <c r="H4250" s="1219">
        <v>1.1999999999999999E-3</v>
      </c>
      <c r="K4250" s="1192" t="s">
        <v>3901</v>
      </c>
      <c r="L4250" s="1192" t="s">
        <v>431</v>
      </c>
      <c r="P4250" s="1192" t="s">
        <v>3905</v>
      </c>
      <c r="V4250" s="1192">
        <v>24</v>
      </c>
    </row>
    <row r="4251" spans="1:22" s="1192" customFormat="1" ht="14.4" x14ac:dyDescent="0.3">
      <c r="A4251" s="1192" t="s">
        <v>202</v>
      </c>
      <c r="E4251" s="1741" t="s">
        <v>213</v>
      </c>
      <c r="F4251" s="1741"/>
      <c r="G4251" s="1277" t="s">
        <v>20</v>
      </c>
      <c r="H4251" s="1219">
        <v>5.7999999999999996E-3</v>
      </c>
      <c r="K4251" s="1192" t="s">
        <v>3901</v>
      </c>
      <c r="L4251" s="1192" t="s">
        <v>432</v>
      </c>
      <c r="P4251" s="1192" t="s">
        <v>3906</v>
      </c>
      <c r="V4251" s="1192">
        <v>47</v>
      </c>
    </row>
    <row r="4252" spans="1:22" s="1192" customFormat="1" ht="14.4" x14ac:dyDescent="0.3">
      <c r="A4252" s="1192" t="s">
        <v>202</v>
      </c>
      <c r="E4252" s="1741" t="s">
        <v>209</v>
      </c>
      <c r="F4252" s="1741"/>
      <c r="G4252" s="1277" t="s">
        <v>20</v>
      </c>
      <c r="H4252" s="1219">
        <v>4.7999999999999996E-3</v>
      </c>
      <c r="K4252" s="1192" t="s">
        <v>3901</v>
      </c>
      <c r="L4252" s="1192" t="s">
        <v>432</v>
      </c>
      <c r="P4252" s="1192" t="s">
        <v>3907</v>
      </c>
      <c r="V4252" s="1192">
        <v>74</v>
      </c>
    </row>
    <row r="4253" spans="1:22" s="1192" customFormat="1" ht="14.4" x14ac:dyDescent="0.3">
      <c r="A4253" s="1192" t="s">
        <v>202</v>
      </c>
      <c r="E4253" s="1750" t="s">
        <v>2405</v>
      </c>
      <c r="F4253" s="1741"/>
      <c r="G4253" s="1277"/>
      <c r="H4253" s="896"/>
      <c r="K4253" s="1192" t="s">
        <v>2418</v>
      </c>
      <c r="V4253" s="1192">
        <v>48</v>
      </c>
    </row>
    <row r="4254" spans="1:22" s="1192" customFormat="1" ht="14.4" x14ac:dyDescent="0.3">
      <c r="A4254" s="1192" t="s">
        <v>202</v>
      </c>
      <c r="E4254" s="1741" t="s">
        <v>2033</v>
      </c>
      <c r="F4254" s="1741"/>
      <c r="G4254" s="1277" t="s">
        <v>20</v>
      </c>
      <c r="H4254" s="1219">
        <v>3.0000000000000001E-3</v>
      </c>
      <c r="K4254" s="1192" t="s">
        <v>3901</v>
      </c>
      <c r="L4254" s="1192" t="s">
        <v>2374</v>
      </c>
      <c r="P4254" s="1192" t="s">
        <v>3908</v>
      </c>
      <c r="V4254" s="1192">
        <v>55</v>
      </c>
    </row>
    <row r="4255" spans="1:22" s="1192" customFormat="1" ht="14.4" x14ac:dyDescent="0.3">
      <c r="A4255" s="1192" t="s">
        <v>202</v>
      </c>
      <c r="E4255" s="2044" t="s">
        <v>2034</v>
      </c>
      <c r="F4255" s="1741"/>
      <c r="G4255" s="1277" t="s">
        <v>20</v>
      </c>
      <c r="H4255" s="1219">
        <v>4.0000000000000002E-4</v>
      </c>
      <c r="K4255" s="1192" t="s">
        <v>3901</v>
      </c>
      <c r="L4255" s="1192" t="s">
        <v>2374</v>
      </c>
      <c r="P4255" s="1192" t="s">
        <v>3908</v>
      </c>
      <c r="V4255" s="1192">
        <v>65</v>
      </c>
    </row>
    <row r="4256" spans="1:22" s="1192" customFormat="1" ht="14.4" x14ac:dyDescent="0.3">
      <c r="A4256" s="1192" t="s">
        <v>202</v>
      </c>
      <c r="E4256" s="1741" t="s">
        <v>428</v>
      </c>
      <c r="F4256" s="1741"/>
      <c r="G4256" s="1277" t="s">
        <v>20</v>
      </c>
      <c r="H4256" s="1219">
        <v>5.0000000000000001E-4</v>
      </c>
      <c r="K4256" s="1192" t="s">
        <v>3901</v>
      </c>
      <c r="L4256" s="1192" t="s">
        <v>2374</v>
      </c>
      <c r="P4256" s="1192" t="s">
        <v>3909</v>
      </c>
      <c r="V4256" s="1192">
        <v>57</v>
      </c>
    </row>
    <row r="4257" spans="1:22" s="1192" customFormat="1" ht="14.4" x14ac:dyDescent="0.3">
      <c r="A4257" s="1192" t="s">
        <v>202</v>
      </c>
      <c r="E4257" s="1741" t="s">
        <v>28</v>
      </c>
      <c r="F4257" s="1741"/>
      <c r="G4257" s="1277" t="s">
        <v>19</v>
      </c>
      <c r="H4257" s="1218">
        <v>0.25</v>
      </c>
      <c r="K4257" s="1192" t="s">
        <v>3901</v>
      </c>
      <c r="L4257" s="1192" t="s">
        <v>2374</v>
      </c>
      <c r="P4257" s="1192" t="s">
        <v>3910</v>
      </c>
      <c r="V4257" s="1192">
        <v>63</v>
      </c>
    </row>
    <row r="4258" spans="1:22" s="1192" customFormat="1" ht="17.399999999999999" x14ac:dyDescent="0.3">
      <c r="A4258" s="1192" t="s">
        <v>202</v>
      </c>
      <c r="E4258" s="1746" t="s">
        <v>611</v>
      </c>
      <c r="F4258" s="1747"/>
      <c r="G4258" s="1747"/>
      <c r="H4258" s="1747"/>
      <c r="K4258" s="1192" t="s">
        <v>2708</v>
      </c>
      <c r="V4258" s="1192">
        <v>53</v>
      </c>
    </row>
    <row r="4259" spans="1:22" s="1192" customFormat="1" ht="14.4" x14ac:dyDescent="0.3">
      <c r="A4259" s="1192" t="s">
        <v>202</v>
      </c>
      <c r="E4259" s="1743" t="s">
        <v>3364</v>
      </c>
      <c r="F4259" s="1743"/>
      <c r="G4259" s="1743"/>
      <c r="H4259" s="1743"/>
      <c r="K4259" s="1192" t="s">
        <v>2708</v>
      </c>
      <c r="V4259" s="1192">
        <v>356</v>
      </c>
    </row>
    <row r="4260" spans="1:22" s="1192" customFormat="1" ht="14.4" x14ac:dyDescent="0.3">
      <c r="A4260" s="1192" t="s">
        <v>202</v>
      </c>
      <c r="E4260" s="1750" t="s">
        <v>2389</v>
      </c>
      <c r="F4260" s="1743"/>
      <c r="G4260" s="1743"/>
      <c r="H4260" s="1743"/>
      <c r="K4260" s="1192" t="s">
        <v>2422</v>
      </c>
      <c r="V4260" s="1192">
        <v>11</v>
      </c>
    </row>
    <row r="4261" spans="1:22" s="1192" customFormat="1" ht="14.4" x14ac:dyDescent="0.3">
      <c r="A4261" s="1192" t="s">
        <v>202</v>
      </c>
      <c r="E4261" s="1743" t="s">
        <v>2391</v>
      </c>
      <c r="F4261" s="1743"/>
      <c r="G4261" s="1743"/>
      <c r="H4261" s="1743"/>
      <c r="K4261" s="1192" t="s">
        <v>2708</v>
      </c>
      <c r="V4261" s="1192">
        <v>280</v>
      </c>
    </row>
    <row r="4262" spans="1:22" s="1192" customFormat="1" ht="14.4" x14ac:dyDescent="0.3">
      <c r="A4262" s="1192" t="s">
        <v>202</v>
      </c>
      <c r="E4262" s="1743" t="s">
        <v>2392</v>
      </c>
      <c r="F4262" s="1743"/>
      <c r="G4262" s="1743"/>
      <c r="H4262" s="1743"/>
      <c r="K4262" s="1192" t="s">
        <v>2708</v>
      </c>
      <c r="V4262" s="1192">
        <v>411</v>
      </c>
    </row>
    <row r="4263" spans="1:22" s="1192" customFormat="1" ht="14.4" x14ac:dyDescent="0.3">
      <c r="A4263" s="1192" t="s">
        <v>202</v>
      </c>
      <c r="E4263" s="1743" t="s">
        <v>2508</v>
      </c>
      <c r="F4263" s="1743"/>
      <c r="G4263" s="1743"/>
      <c r="H4263" s="1743"/>
      <c r="K4263" s="1192" t="s">
        <v>2708</v>
      </c>
      <c r="V4263" s="1192">
        <v>386</v>
      </c>
    </row>
    <row r="4264" spans="1:22" s="1192" customFormat="1" ht="14.4" x14ac:dyDescent="0.3">
      <c r="A4264" s="1192" t="s">
        <v>202</v>
      </c>
      <c r="E4264" s="1743" t="s">
        <v>4503</v>
      </c>
      <c r="F4264" s="1743"/>
      <c r="G4264" s="1743"/>
      <c r="H4264" s="1743"/>
      <c r="K4264" s="1192" t="s">
        <v>2708</v>
      </c>
      <c r="V4264" s="1192">
        <v>677</v>
      </c>
    </row>
    <row r="4265" spans="1:22" s="1192" customFormat="1" ht="14.4" x14ac:dyDescent="0.3">
      <c r="A4265" s="1192" t="s">
        <v>202</v>
      </c>
      <c r="E4265" s="1743" t="s">
        <v>4644</v>
      </c>
      <c r="F4265" s="1743"/>
      <c r="G4265" s="1743"/>
      <c r="H4265" s="1743"/>
      <c r="K4265" s="1192" t="s">
        <v>2708</v>
      </c>
      <c r="V4265" s="1192">
        <v>693</v>
      </c>
    </row>
    <row r="4266" spans="1:22" s="1192" customFormat="1" ht="14.4" x14ac:dyDescent="0.3">
      <c r="A4266" s="1192" t="s">
        <v>202</v>
      </c>
      <c r="E4266" s="1743" t="s">
        <v>4652</v>
      </c>
      <c r="F4266" s="1743"/>
      <c r="G4266" s="1743"/>
      <c r="H4266" s="1743"/>
      <c r="K4266" s="1192" t="s">
        <v>2708</v>
      </c>
      <c r="V4266" s="1192">
        <v>251</v>
      </c>
    </row>
    <row r="4267" spans="1:22" s="1192" customFormat="1" ht="14.4" x14ac:dyDescent="0.3">
      <c r="A4267" s="1192" t="s">
        <v>202</v>
      </c>
      <c r="E4267" s="1750" t="s">
        <v>2394</v>
      </c>
      <c r="F4267" s="1743"/>
      <c r="G4267" s="1743"/>
      <c r="H4267" s="1743"/>
      <c r="K4267" s="1192" t="s">
        <v>2423</v>
      </c>
      <c r="V4267" s="1192">
        <v>46</v>
      </c>
    </row>
    <row r="4268" spans="1:22" s="1192" customFormat="1" ht="14.4" x14ac:dyDescent="0.3">
      <c r="A4268" s="1192" t="s">
        <v>202</v>
      </c>
      <c r="E4268" s="1741" t="s">
        <v>7</v>
      </c>
      <c r="F4268" s="1741"/>
      <c r="G4268" s="1277" t="s">
        <v>19</v>
      </c>
      <c r="H4268" s="1218">
        <v>87.82</v>
      </c>
      <c r="K4268" s="1192" t="s">
        <v>2708</v>
      </c>
      <c r="L4268" s="1192" t="s">
        <v>430</v>
      </c>
      <c r="P4268" s="1192" t="s">
        <v>2709</v>
      </c>
      <c r="V4268" s="1192">
        <v>14</v>
      </c>
    </row>
    <row r="4269" spans="1:22" s="1192" customFormat="1" ht="14.4" x14ac:dyDescent="0.3">
      <c r="A4269" s="1192" t="s">
        <v>202</v>
      </c>
      <c r="E4269" s="1741" t="s">
        <v>80</v>
      </c>
      <c r="F4269" s="1741"/>
      <c r="G4269" s="1277" t="s">
        <v>29</v>
      </c>
      <c r="H4269" s="1219">
        <v>3.5188000000000001</v>
      </c>
      <c r="K4269" s="1192" t="s">
        <v>2708</v>
      </c>
      <c r="L4269" s="1192" t="s">
        <v>430</v>
      </c>
      <c r="P4269" s="1192" t="s">
        <v>2710</v>
      </c>
      <c r="V4269" s="1192">
        <v>28</v>
      </c>
    </row>
    <row r="4270" spans="1:22" s="1192" customFormat="1" ht="14.4" x14ac:dyDescent="0.3">
      <c r="A4270" s="1192" t="s">
        <v>202</v>
      </c>
      <c r="E4270" s="1741" t="s">
        <v>14</v>
      </c>
      <c r="F4270" s="1741"/>
      <c r="G4270" s="1277" t="s">
        <v>29</v>
      </c>
      <c r="H4270" s="1219">
        <v>0.49330000000000002</v>
      </c>
      <c r="K4270" s="1192" t="s">
        <v>2708</v>
      </c>
      <c r="L4270" s="1192" t="s">
        <v>431</v>
      </c>
      <c r="P4270" s="1192" t="s">
        <v>2711</v>
      </c>
      <c r="V4270" s="1192">
        <v>24</v>
      </c>
    </row>
    <row r="4271" spans="1:22" s="1192" customFormat="1" ht="14.4" x14ac:dyDescent="0.3">
      <c r="A4271" s="1192" t="s">
        <v>202</v>
      </c>
      <c r="E4271" s="1741" t="s">
        <v>213</v>
      </c>
      <c r="F4271" s="1741"/>
      <c r="G4271" s="1277" t="s">
        <v>29</v>
      </c>
      <c r="H4271" s="1219">
        <v>2.3391999999999999</v>
      </c>
      <c r="K4271" s="1192" t="s">
        <v>2708</v>
      </c>
      <c r="L4271" s="1192" t="s">
        <v>432</v>
      </c>
      <c r="P4271" s="1192" t="s">
        <v>2712</v>
      </c>
      <c r="V4271" s="1192">
        <v>47</v>
      </c>
    </row>
    <row r="4272" spans="1:22" s="1192" customFormat="1" ht="14.4" x14ac:dyDescent="0.3">
      <c r="A4272" s="1192" t="s">
        <v>202</v>
      </c>
      <c r="E4272" s="1741" t="s">
        <v>209</v>
      </c>
      <c r="F4272" s="1741"/>
      <c r="G4272" s="1277" t="s">
        <v>29</v>
      </c>
      <c r="H4272" s="1219">
        <v>1.9460999999999999</v>
      </c>
      <c r="K4272" s="1192" t="s">
        <v>2708</v>
      </c>
      <c r="L4272" s="1192" t="s">
        <v>432</v>
      </c>
      <c r="P4272" s="1192" t="s">
        <v>2713</v>
      </c>
      <c r="V4272" s="1192">
        <v>74</v>
      </c>
    </row>
    <row r="4273" spans="1:22" s="1192" customFormat="1" ht="14.4" x14ac:dyDescent="0.3">
      <c r="A4273" s="1192" t="s">
        <v>202</v>
      </c>
      <c r="E4273" s="1750" t="s">
        <v>2405</v>
      </c>
      <c r="F4273" s="1741"/>
      <c r="G4273" s="1277"/>
      <c r="H4273" s="896"/>
      <c r="K4273" s="1192" t="s">
        <v>2526</v>
      </c>
      <c r="V4273" s="1192">
        <v>48</v>
      </c>
    </row>
    <row r="4274" spans="1:22" s="1192" customFormat="1" ht="14.4" x14ac:dyDescent="0.3">
      <c r="A4274" s="1192" t="s">
        <v>202</v>
      </c>
      <c r="E4274" s="1741" t="s">
        <v>2033</v>
      </c>
      <c r="F4274" s="1741"/>
      <c r="G4274" s="1277" t="s">
        <v>20</v>
      </c>
      <c r="H4274" s="1219">
        <v>3.0000000000000001E-3</v>
      </c>
      <c r="K4274" s="1192" t="s">
        <v>2708</v>
      </c>
      <c r="L4274" s="1192" t="s">
        <v>2374</v>
      </c>
      <c r="P4274" s="1192" t="s">
        <v>2714</v>
      </c>
      <c r="V4274" s="1192">
        <v>55</v>
      </c>
    </row>
    <row r="4275" spans="1:22" s="1192" customFormat="1" ht="14.4" x14ac:dyDescent="0.3">
      <c r="A4275" s="1192" t="s">
        <v>202</v>
      </c>
      <c r="E4275" s="2044" t="s">
        <v>2034</v>
      </c>
      <c r="F4275" s="1741"/>
      <c r="G4275" s="1277" t="s">
        <v>20</v>
      </c>
      <c r="H4275" s="1219">
        <v>4.0000000000000002E-4</v>
      </c>
      <c r="K4275" s="1192" t="s">
        <v>2708</v>
      </c>
      <c r="L4275" s="1192" t="s">
        <v>2374</v>
      </c>
      <c r="P4275" s="1192" t="s">
        <v>2714</v>
      </c>
      <c r="V4275" s="1192">
        <v>65</v>
      </c>
    </row>
    <row r="4276" spans="1:22" s="1192" customFormat="1" ht="14.4" x14ac:dyDescent="0.3">
      <c r="A4276" s="1192" t="s">
        <v>202</v>
      </c>
      <c r="E4276" s="1741" t="s">
        <v>428</v>
      </c>
      <c r="F4276" s="1741"/>
      <c r="G4276" s="1277" t="s">
        <v>20</v>
      </c>
      <c r="H4276" s="1219">
        <v>5.0000000000000001E-4</v>
      </c>
      <c r="K4276" s="1192" t="s">
        <v>2708</v>
      </c>
      <c r="L4276" s="1192" t="s">
        <v>2374</v>
      </c>
      <c r="P4276" s="1192" t="s">
        <v>2715</v>
      </c>
      <c r="V4276" s="1192">
        <v>57</v>
      </c>
    </row>
    <row r="4277" spans="1:22" s="1192" customFormat="1" ht="14.4" x14ac:dyDescent="0.3">
      <c r="A4277" s="1192" t="s">
        <v>202</v>
      </c>
      <c r="E4277" s="1741" t="s">
        <v>28</v>
      </c>
      <c r="F4277" s="1741"/>
      <c r="G4277" s="1277" t="s">
        <v>19</v>
      </c>
      <c r="H4277" s="1218">
        <v>0.25</v>
      </c>
      <c r="K4277" s="1192" t="s">
        <v>2708</v>
      </c>
      <c r="L4277" s="1192" t="s">
        <v>2374</v>
      </c>
      <c r="P4277" s="1192" t="s">
        <v>2716</v>
      </c>
      <c r="V4277" s="1192">
        <v>63</v>
      </c>
    </row>
    <row r="4278" spans="1:22" s="1192" customFormat="1" ht="17.399999999999999" x14ac:dyDescent="0.3">
      <c r="A4278" s="1192" t="s">
        <v>202</v>
      </c>
      <c r="E4278" s="1746" t="s">
        <v>612</v>
      </c>
      <c r="F4278" s="1747"/>
      <c r="G4278" s="1747"/>
      <c r="H4278" s="1747"/>
      <c r="K4278" s="1192" t="s">
        <v>2717</v>
      </c>
      <c r="V4278" s="1192">
        <v>56</v>
      </c>
    </row>
    <row r="4279" spans="1:22" s="1192" customFormat="1" ht="14.4" x14ac:dyDescent="0.3">
      <c r="A4279" s="1192" t="s">
        <v>202</v>
      </c>
      <c r="E4279" s="1743" t="s">
        <v>3475</v>
      </c>
      <c r="F4279" s="1743"/>
      <c r="G4279" s="1743"/>
      <c r="H4279" s="1743"/>
      <c r="K4279" s="1192" t="s">
        <v>2717</v>
      </c>
      <c r="V4279" s="1192">
        <v>359</v>
      </c>
    </row>
    <row r="4280" spans="1:22" s="1192" customFormat="1" ht="14.4" x14ac:dyDescent="0.3">
      <c r="A4280" s="1192" t="s">
        <v>202</v>
      </c>
      <c r="E4280" s="1750" t="s">
        <v>2389</v>
      </c>
      <c r="F4280" s="1743"/>
      <c r="G4280" s="1743"/>
      <c r="H4280" s="1743"/>
      <c r="K4280" s="1192" t="s">
        <v>2529</v>
      </c>
      <c r="V4280" s="1192">
        <v>11</v>
      </c>
    </row>
    <row r="4281" spans="1:22" s="1192" customFormat="1" ht="14.4" x14ac:dyDescent="0.3">
      <c r="A4281" s="1192" t="s">
        <v>202</v>
      </c>
      <c r="E4281" s="1743" t="s">
        <v>2391</v>
      </c>
      <c r="F4281" s="1743"/>
      <c r="G4281" s="1743"/>
      <c r="H4281" s="1743"/>
      <c r="K4281" s="1192" t="s">
        <v>2717</v>
      </c>
      <c r="V4281" s="1192">
        <v>280</v>
      </c>
    </row>
    <row r="4282" spans="1:22" s="1192" customFormat="1" ht="14.4" x14ac:dyDescent="0.3">
      <c r="A4282" s="1192" t="s">
        <v>202</v>
      </c>
      <c r="E4282" s="1743" t="s">
        <v>2392</v>
      </c>
      <c r="F4282" s="1743"/>
      <c r="G4282" s="1743"/>
      <c r="H4282" s="1743"/>
      <c r="K4282" s="1192" t="s">
        <v>2717</v>
      </c>
      <c r="V4282" s="1192">
        <v>411</v>
      </c>
    </row>
    <row r="4283" spans="1:22" s="1192" customFormat="1" ht="14.4" x14ac:dyDescent="0.3">
      <c r="A4283" s="1192" t="s">
        <v>202</v>
      </c>
      <c r="E4283" s="1743" t="s">
        <v>2508</v>
      </c>
      <c r="F4283" s="1743"/>
      <c r="G4283" s="1743"/>
      <c r="H4283" s="1743"/>
      <c r="K4283" s="1192" t="s">
        <v>2717</v>
      </c>
      <c r="V4283" s="1192">
        <v>386</v>
      </c>
    </row>
    <row r="4284" spans="1:22" s="1192" customFormat="1" ht="14.4" x14ac:dyDescent="0.3">
      <c r="A4284" s="1192" t="s">
        <v>202</v>
      </c>
      <c r="E4284" s="1743" t="s">
        <v>4503</v>
      </c>
      <c r="F4284" s="1743"/>
      <c r="G4284" s="1743"/>
      <c r="H4284" s="1743"/>
      <c r="K4284" s="1192" t="s">
        <v>2717</v>
      </c>
      <c r="V4284" s="1192">
        <v>677</v>
      </c>
    </row>
    <row r="4285" spans="1:22" s="1192" customFormat="1" ht="14.4" x14ac:dyDescent="0.3">
      <c r="A4285" s="1192" t="s">
        <v>202</v>
      </c>
      <c r="E4285" s="1743" t="s">
        <v>4644</v>
      </c>
      <c r="F4285" s="1743"/>
      <c r="G4285" s="1743"/>
      <c r="H4285" s="1743"/>
      <c r="K4285" s="1192" t="s">
        <v>2717</v>
      </c>
      <c r="V4285" s="1192">
        <v>693</v>
      </c>
    </row>
    <row r="4286" spans="1:22" s="1192" customFormat="1" ht="14.4" x14ac:dyDescent="0.3">
      <c r="A4286" s="1192" t="s">
        <v>202</v>
      </c>
      <c r="E4286" s="1743" t="s">
        <v>4652</v>
      </c>
      <c r="F4286" s="1743"/>
      <c r="G4286" s="1743"/>
      <c r="H4286" s="1743"/>
      <c r="K4286" s="1192" t="s">
        <v>2717</v>
      </c>
      <c r="V4286" s="1192">
        <v>251</v>
      </c>
    </row>
    <row r="4287" spans="1:22" s="1192" customFormat="1" ht="14.4" x14ac:dyDescent="0.3">
      <c r="A4287" s="1192" t="s">
        <v>202</v>
      </c>
      <c r="E4287" s="1750" t="s">
        <v>2394</v>
      </c>
      <c r="F4287" s="1743"/>
      <c r="G4287" s="1743"/>
      <c r="H4287" s="1743"/>
      <c r="K4287" s="1192" t="s">
        <v>2531</v>
      </c>
      <c r="V4287" s="1192">
        <v>46</v>
      </c>
    </row>
    <row r="4288" spans="1:22" s="1192" customFormat="1" ht="14.4" x14ac:dyDescent="0.3">
      <c r="A4288" s="1192" t="s">
        <v>202</v>
      </c>
      <c r="E4288" s="1741" t="s">
        <v>7</v>
      </c>
      <c r="F4288" s="1741"/>
      <c r="G4288" s="1277" t="s">
        <v>19</v>
      </c>
      <c r="H4288" s="1218">
        <v>6050.84</v>
      </c>
      <c r="K4288" s="1192" t="s">
        <v>2717</v>
      </c>
      <c r="L4288" s="1192" t="s">
        <v>430</v>
      </c>
      <c r="P4288" s="1192" t="s">
        <v>2718</v>
      </c>
      <c r="V4288" s="1192">
        <v>14</v>
      </c>
    </row>
    <row r="4289" spans="1:22" s="1192" customFormat="1" ht="14.4" x14ac:dyDescent="0.3">
      <c r="A4289" s="1192" t="s">
        <v>202</v>
      </c>
      <c r="E4289" s="1741" t="s">
        <v>80</v>
      </c>
      <c r="F4289" s="1741"/>
      <c r="G4289" s="1277" t="s">
        <v>29</v>
      </c>
      <c r="H4289" s="1219">
        <v>2.1741999999999999</v>
      </c>
      <c r="K4289" s="1192" t="s">
        <v>2717</v>
      </c>
      <c r="L4289" s="1192" t="s">
        <v>430</v>
      </c>
      <c r="P4289" s="1192" t="s">
        <v>2719</v>
      </c>
      <c r="V4289" s="1192">
        <v>28</v>
      </c>
    </row>
    <row r="4290" spans="1:22" s="1192" customFormat="1" ht="14.4" x14ac:dyDescent="0.3">
      <c r="A4290" s="1192" t="s">
        <v>202</v>
      </c>
      <c r="E4290" s="1741" t="s">
        <v>14</v>
      </c>
      <c r="F4290" s="1741"/>
      <c r="G4290" s="1277" t="s">
        <v>29</v>
      </c>
      <c r="H4290" s="1219">
        <v>0.58189999999999997</v>
      </c>
      <c r="K4290" s="1192" t="s">
        <v>2717</v>
      </c>
      <c r="L4290" s="1192" t="s">
        <v>431</v>
      </c>
      <c r="P4290" s="1192" t="s">
        <v>2720</v>
      </c>
      <c r="V4290" s="1192">
        <v>24</v>
      </c>
    </row>
    <row r="4291" spans="1:22" s="1192" customFormat="1" ht="14.4" x14ac:dyDescent="0.3">
      <c r="A4291" s="1192" t="s">
        <v>202</v>
      </c>
      <c r="E4291" s="1741" t="s">
        <v>213</v>
      </c>
      <c r="F4291" s="1741"/>
      <c r="G4291" s="1277" t="s">
        <v>29</v>
      </c>
      <c r="H4291" s="1219">
        <v>2.6162999999999998</v>
      </c>
      <c r="K4291" s="1192" t="s">
        <v>2717</v>
      </c>
      <c r="L4291" s="1192" t="s">
        <v>432</v>
      </c>
      <c r="P4291" s="1192" t="s">
        <v>2721</v>
      </c>
      <c r="V4291" s="1192">
        <v>47</v>
      </c>
    </row>
    <row r="4292" spans="1:22" s="1192" customFormat="1" ht="14.4" x14ac:dyDescent="0.3">
      <c r="A4292" s="1192" t="s">
        <v>202</v>
      </c>
      <c r="E4292" s="1741" t="s">
        <v>209</v>
      </c>
      <c r="F4292" s="1741"/>
      <c r="G4292" s="1277" t="s">
        <v>29</v>
      </c>
      <c r="H4292" s="1219">
        <v>2.2953999999999999</v>
      </c>
      <c r="K4292" s="1192" t="s">
        <v>2717</v>
      </c>
      <c r="L4292" s="1192" t="s">
        <v>432</v>
      </c>
      <c r="P4292" s="1192" t="s">
        <v>2722</v>
      </c>
      <c r="V4292" s="1192">
        <v>74</v>
      </c>
    </row>
    <row r="4293" spans="1:22" s="1192" customFormat="1" ht="14.4" x14ac:dyDescent="0.3">
      <c r="A4293" s="1192" t="s">
        <v>202</v>
      </c>
      <c r="E4293" s="1750" t="s">
        <v>2405</v>
      </c>
      <c r="F4293" s="1741"/>
      <c r="G4293" s="1277"/>
      <c r="H4293" s="896"/>
      <c r="K4293" s="1192" t="s">
        <v>2532</v>
      </c>
      <c r="V4293" s="1192">
        <v>48</v>
      </c>
    </row>
    <row r="4294" spans="1:22" s="1192" customFormat="1" ht="14.4" x14ac:dyDescent="0.3">
      <c r="A4294" s="1192" t="s">
        <v>202</v>
      </c>
      <c r="E4294" s="1741" t="s">
        <v>2033</v>
      </c>
      <c r="F4294" s="1741"/>
      <c r="G4294" s="1277" t="s">
        <v>20</v>
      </c>
      <c r="H4294" s="1219">
        <v>3.0000000000000001E-3</v>
      </c>
      <c r="K4294" s="1192" t="s">
        <v>2717</v>
      </c>
      <c r="L4294" s="1192" t="s">
        <v>2374</v>
      </c>
      <c r="P4294" s="1192" t="s">
        <v>2723</v>
      </c>
      <c r="V4294" s="1192">
        <v>55</v>
      </c>
    </row>
    <row r="4295" spans="1:22" s="1192" customFormat="1" ht="14.4" x14ac:dyDescent="0.3">
      <c r="A4295" s="1192" t="s">
        <v>202</v>
      </c>
      <c r="E4295" s="2044" t="s">
        <v>2034</v>
      </c>
      <c r="F4295" s="1741"/>
      <c r="G4295" s="1277" t="s">
        <v>20</v>
      </c>
      <c r="H4295" s="1219">
        <v>4.0000000000000002E-4</v>
      </c>
      <c r="K4295" s="1192" t="s">
        <v>2717</v>
      </c>
      <c r="L4295" s="1192" t="s">
        <v>2374</v>
      </c>
      <c r="P4295" s="1192" t="s">
        <v>2723</v>
      </c>
      <c r="V4295" s="1192">
        <v>65</v>
      </c>
    </row>
    <row r="4296" spans="1:22" s="1192" customFormat="1" ht="14.4" x14ac:dyDescent="0.3">
      <c r="A4296" s="1192" t="s">
        <v>202</v>
      </c>
      <c r="E4296" s="1741" t="s">
        <v>428</v>
      </c>
      <c r="F4296" s="1741"/>
      <c r="G4296" s="1277" t="s">
        <v>20</v>
      </c>
      <c r="H4296" s="1219">
        <v>5.0000000000000001E-4</v>
      </c>
      <c r="K4296" s="1192" t="s">
        <v>2717</v>
      </c>
      <c r="L4296" s="1192" t="s">
        <v>2374</v>
      </c>
      <c r="P4296" s="1192" t="s">
        <v>2724</v>
      </c>
      <c r="V4296" s="1192">
        <v>57</v>
      </c>
    </row>
    <row r="4297" spans="1:22" s="1192" customFormat="1" ht="14.4" x14ac:dyDescent="0.3">
      <c r="A4297" s="1192" t="s">
        <v>202</v>
      </c>
      <c r="E4297" s="1741" t="s">
        <v>28</v>
      </c>
      <c r="F4297" s="1741"/>
      <c r="G4297" s="1277" t="s">
        <v>19</v>
      </c>
      <c r="H4297" s="1218">
        <v>0.25</v>
      </c>
      <c r="K4297" s="1192" t="s">
        <v>2717</v>
      </c>
      <c r="L4297" s="1192" t="s">
        <v>2374</v>
      </c>
      <c r="P4297" s="1192" t="s">
        <v>2725</v>
      </c>
      <c r="V4297" s="1192">
        <v>63</v>
      </c>
    </row>
    <row r="4298" spans="1:22" s="1192" customFormat="1" ht="17.399999999999999" x14ac:dyDescent="0.3">
      <c r="A4298" s="1192" t="s">
        <v>202</v>
      </c>
      <c r="E4298" s="1746" t="s">
        <v>592</v>
      </c>
      <c r="F4298" s="1747"/>
      <c r="G4298" s="1747"/>
      <c r="H4298" s="1747"/>
      <c r="K4298" s="1192" t="s">
        <v>2726</v>
      </c>
      <c r="V4298" s="1192">
        <v>47</v>
      </c>
    </row>
    <row r="4299" spans="1:22" s="1192" customFormat="1" ht="14.4" x14ac:dyDescent="0.3">
      <c r="A4299" s="1192" t="s">
        <v>202</v>
      </c>
      <c r="E4299" s="1743" t="s">
        <v>3473</v>
      </c>
      <c r="F4299" s="1743"/>
      <c r="G4299" s="1743"/>
      <c r="H4299" s="1743"/>
      <c r="K4299" s="1192" t="s">
        <v>2726</v>
      </c>
      <c r="V4299" s="1192">
        <v>620</v>
      </c>
    </row>
    <row r="4300" spans="1:22" s="1192" customFormat="1" ht="14.4" x14ac:dyDescent="0.3">
      <c r="A4300" s="1192" t="s">
        <v>202</v>
      </c>
      <c r="E4300" s="1750" t="s">
        <v>2389</v>
      </c>
      <c r="F4300" s="1743"/>
      <c r="G4300" s="1743"/>
      <c r="H4300" s="1743"/>
      <c r="K4300" s="1192" t="s">
        <v>2424</v>
      </c>
      <c r="V4300" s="1192">
        <v>11</v>
      </c>
    </row>
    <row r="4301" spans="1:22" s="1192" customFormat="1" ht="14.4" x14ac:dyDescent="0.3">
      <c r="A4301" s="1192" t="s">
        <v>202</v>
      </c>
      <c r="E4301" s="1743" t="s">
        <v>2391</v>
      </c>
      <c r="F4301" s="1743"/>
      <c r="G4301" s="1743"/>
      <c r="H4301" s="1743"/>
      <c r="K4301" s="1192" t="s">
        <v>2726</v>
      </c>
      <c r="V4301" s="1192">
        <v>280</v>
      </c>
    </row>
    <row r="4302" spans="1:22" s="1192" customFormat="1" ht="14.4" x14ac:dyDescent="0.3">
      <c r="A4302" s="1192" t="s">
        <v>202</v>
      </c>
      <c r="E4302" s="1743" t="s">
        <v>2392</v>
      </c>
      <c r="F4302" s="1743"/>
      <c r="G4302" s="1743"/>
      <c r="H4302" s="1743"/>
      <c r="K4302" s="1192" t="s">
        <v>2726</v>
      </c>
      <c r="V4302" s="1192">
        <v>411</v>
      </c>
    </row>
    <row r="4303" spans="1:22" s="1192" customFormat="1" ht="14.4" x14ac:dyDescent="0.3">
      <c r="A4303" s="1192" t="s">
        <v>202</v>
      </c>
      <c r="E4303" s="1743" t="s">
        <v>2508</v>
      </c>
      <c r="F4303" s="1743"/>
      <c r="G4303" s="1743"/>
      <c r="H4303" s="1743"/>
      <c r="K4303" s="1192" t="s">
        <v>2726</v>
      </c>
      <c r="V4303" s="1192">
        <v>386</v>
      </c>
    </row>
    <row r="4304" spans="1:22" s="1192" customFormat="1" ht="14.4" x14ac:dyDescent="0.3">
      <c r="A4304" s="1192" t="s">
        <v>202</v>
      </c>
      <c r="E4304" s="1743" t="s">
        <v>4652</v>
      </c>
      <c r="F4304" s="1743"/>
      <c r="G4304" s="1743"/>
      <c r="H4304" s="1743"/>
      <c r="K4304" s="1192" t="s">
        <v>2726</v>
      </c>
      <c r="V4304" s="1192">
        <v>251</v>
      </c>
    </row>
    <row r="4305" spans="1:22" s="1192" customFormat="1" ht="14.4" x14ac:dyDescent="0.3">
      <c r="A4305" s="1192" t="s">
        <v>202</v>
      </c>
      <c r="E4305" s="1750" t="s">
        <v>2394</v>
      </c>
      <c r="F4305" s="1743"/>
      <c r="G4305" s="1743"/>
      <c r="H4305" s="1743"/>
      <c r="K4305" s="1192" t="s">
        <v>2425</v>
      </c>
      <c r="V4305" s="1192">
        <v>46</v>
      </c>
    </row>
    <row r="4306" spans="1:22" s="1192" customFormat="1" ht="14.4" x14ac:dyDescent="0.3">
      <c r="A4306" s="1192" t="s">
        <v>202</v>
      </c>
      <c r="E4306" s="1741" t="s">
        <v>9</v>
      </c>
      <c r="F4306" s="1741"/>
      <c r="G4306" s="1277" t="s">
        <v>19</v>
      </c>
      <c r="H4306" s="1218">
        <v>15.06</v>
      </c>
      <c r="K4306" s="1192" t="s">
        <v>2726</v>
      </c>
      <c r="L4306" s="1192" t="s">
        <v>430</v>
      </c>
      <c r="P4306" s="1192" t="s">
        <v>2727</v>
      </c>
      <c r="V4306" s="1192">
        <v>29</v>
      </c>
    </row>
    <row r="4307" spans="1:22" s="1192" customFormat="1" ht="14.4" x14ac:dyDescent="0.3">
      <c r="A4307" s="1192" t="s">
        <v>202</v>
      </c>
      <c r="E4307" s="1741" t="s">
        <v>80</v>
      </c>
      <c r="F4307" s="1741"/>
      <c r="G4307" s="1277" t="s">
        <v>20</v>
      </c>
      <c r="H4307" s="1219">
        <v>2.24E-2</v>
      </c>
      <c r="K4307" s="1192" t="s">
        <v>2726</v>
      </c>
      <c r="L4307" s="1192" t="s">
        <v>430</v>
      </c>
      <c r="P4307" s="1192" t="s">
        <v>2728</v>
      </c>
      <c r="V4307" s="1192">
        <v>28</v>
      </c>
    </row>
    <row r="4308" spans="1:22" s="1192" customFormat="1" ht="14.4" x14ac:dyDescent="0.3">
      <c r="A4308" s="1192" t="s">
        <v>202</v>
      </c>
      <c r="E4308" s="1741" t="s">
        <v>14</v>
      </c>
      <c r="F4308" s="1741"/>
      <c r="G4308" s="1277" t="s">
        <v>20</v>
      </c>
      <c r="H4308" s="1219">
        <v>1.5E-3</v>
      </c>
      <c r="K4308" s="1192" t="s">
        <v>2726</v>
      </c>
      <c r="L4308" s="1192" t="s">
        <v>431</v>
      </c>
      <c r="P4308" s="1192" t="s">
        <v>2729</v>
      </c>
      <c r="V4308" s="1192">
        <v>24</v>
      </c>
    </row>
    <row r="4309" spans="1:22" s="1192" customFormat="1" ht="14.4" x14ac:dyDescent="0.3">
      <c r="A4309" s="1192" t="s">
        <v>202</v>
      </c>
      <c r="E4309" s="1741" t="s">
        <v>213</v>
      </c>
      <c r="F4309" s="1741"/>
      <c r="G4309" s="1277" t="s">
        <v>20</v>
      </c>
      <c r="H4309" s="1219">
        <v>6.6E-3</v>
      </c>
      <c r="K4309" s="1192" t="s">
        <v>2726</v>
      </c>
      <c r="L4309" s="1192" t="s">
        <v>432</v>
      </c>
      <c r="P4309" s="1192" t="s">
        <v>2731</v>
      </c>
      <c r="V4309" s="1192">
        <v>47</v>
      </c>
    </row>
    <row r="4310" spans="1:22" s="1192" customFormat="1" ht="14.4" x14ac:dyDescent="0.3">
      <c r="A4310" s="1192" t="s">
        <v>202</v>
      </c>
      <c r="E4310" s="1741" t="s">
        <v>209</v>
      </c>
      <c r="F4310" s="1741"/>
      <c r="G4310" s="1277" t="s">
        <v>20</v>
      </c>
      <c r="H4310" s="1219">
        <v>6.0000000000000001E-3</v>
      </c>
      <c r="K4310" s="1192" t="s">
        <v>2726</v>
      </c>
      <c r="L4310" s="1192" t="s">
        <v>432</v>
      </c>
      <c r="P4310" s="1192" t="s">
        <v>2732</v>
      </c>
      <c r="V4310" s="1192">
        <v>74</v>
      </c>
    </row>
    <row r="4311" spans="1:22" s="1192" customFormat="1" ht="14.4" x14ac:dyDescent="0.3">
      <c r="A4311" s="1192" t="s">
        <v>202</v>
      </c>
      <c r="E4311" s="1750" t="s">
        <v>2405</v>
      </c>
      <c r="F4311" s="1741"/>
      <c r="G4311" s="1277"/>
      <c r="H4311" s="896"/>
      <c r="K4311" s="1192" t="s">
        <v>2427</v>
      </c>
      <c r="V4311" s="1192">
        <v>48</v>
      </c>
    </row>
    <row r="4312" spans="1:22" s="1192" customFormat="1" ht="14.4" x14ac:dyDescent="0.3">
      <c r="A4312" s="1192" t="s">
        <v>202</v>
      </c>
      <c r="E4312" s="1741" t="s">
        <v>2033</v>
      </c>
      <c r="F4312" s="1741"/>
      <c r="G4312" s="1277" t="s">
        <v>20</v>
      </c>
      <c r="H4312" s="1219">
        <v>3.0000000000000001E-3</v>
      </c>
      <c r="K4312" s="1192" t="s">
        <v>2726</v>
      </c>
      <c r="L4312" s="1192" t="s">
        <v>2374</v>
      </c>
      <c r="P4312" s="1192" t="s">
        <v>2733</v>
      </c>
      <c r="V4312" s="1192">
        <v>55</v>
      </c>
    </row>
    <row r="4313" spans="1:22" s="1192" customFormat="1" ht="14.4" x14ac:dyDescent="0.3">
      <c r="A4313" s="1192" t="s">
        <v>202</v>
      </c>
      <c r="E4313" s="2044" t="s">
        <v>2034</v>
      </c>
      <c r="F4313" s="1741"/>
      <c r="G4313" s="1277" t="s">
        <v>20</v>
      </c>
      <c r="H4313" s="1219">
        <v>4.0000000000000002E-4</v>
      </c>
      <c r="K4313" s="1192" t="s">
        <v>2726</v>
      </c>
      <c r="L4313" s="1192" t="s">
        <v>2374</v>
      </c>
      <c r="P4313" s="1192" t="s">
        <v>2733</v>
      </c>
      <c r="V4313" s="1192">
        <v>65</v>
      </c>
    </row>
    <row r="4314" spans="1:22" s="1192" customFormat="1" ht="14.4" x14ac:dyDescent="0.3">
      <c r="A4314" s="1192" t="s">
        <v>202</v>
      </c>
      <c r="E4314" s="1741" t="s">
        <v>428</v>
      </c>
      <c r="F4314" s="1741"/>
      <c r="G4314" s="1277" t="s">
        <v>20</v>
      </c>
      <c r="H4314" s="1219">
        <v>5.0000000000000001E-4</v>
      </c>
      <c r="K4314" s="1192" t="s">
        <v>2726</v>
      </c>
      <c r="L4314" s="1192" t="s">
        <v>2374</v>
      </c>
      <c r="P4314" s="1192" t="s">
        <v>2734</v>
      </c>
      <c r="V4314" s="1192">
        <v>57</v>
      </c>
    </row>
    <row r="4315" spans="1:22" s="1192" customFormat="1" ht="14.4" x14ac:dyDescent="0.3">
      <c r="A4315" s="1192" t="s">
        <v>202</v>
      </c>
      <c r="E4315" s="1741" t="s">
        <v>28</v>
      </c>
      <c r="F4315" s="1741"/>
      <c r="G4315" s="1277" t="s">
        <v>19</v>
      </c>
      <c r="H4315" s="1218">
        <v>0.25</v>
      </c>
      <c r="K4315" s="1192" t="s">
        <v>2726</v>
      </c>
      <c r="L4315" s="1192" t="s">
        <v>2374</v>
      </c>
      <c r="P4315" s="1192" t="s">
        <v>2735</v>
      </c>
      <c r="V4315" s="1192">
        <v>63</v>
      </c>
    </row>
    <row r="4316" spans="1:22" s="1192" customFormat="1" ht="17.399999999999999" x14ac:dyDescent="0.3">
      <c r="A4316" s="1192" t="s">
        <v>202</v>
      </c>
      <c r="E4316" s="1746" t="s">
        <v>604</v>
      </c>
      <c r="F4316" s="1747"/>
      <c r="G4316" s="1747"/>
      <c r="H4316" s="1747"/>
      <c r="K4316" s="1192" t="s">
        <v>2736</v>
      </c>
      <c r="V4316" s="1192">
        <v>40</v>
      </c>
    </row>
    <row r="4317" spans="1:22" s="1192" customFormat="1" ht="14.4" x14ac:dyDescent="0.3">
      <c r="A4317" s="1192" t="s">
        <v>202</v>
      </c>
      <c r="E4317" s="1743" t="s">
        <v>2556</v>
      </c>
      <c r="F4317" s="1743"/>
      <c r="G4317" s="1743"/>
      <c r="H4317" s="1743"/>
      <c r="K4317" s="1192" t="s">
        <v>2736</v>
      </c>
      <c r="V4317" s="1192">
        <v>253</v>
      </c>
    </row>
    <row r="4318" spans="1:22" s="1192" customFormat="1" ht="14.4" x14ac:dyDescent="0.3">
      <c r="A4318" s="1192" t="s">
        <v>202</v>
      </c>
      <c r="E4318" s="1750" t="s">
        <v>2389</v>
      </c>
      <c r="F4318" s="1743"/>
      <c r="G4318" s="1743"/>
      <c r="H4318" s="1743"/>
      <c r="K4318" s="1192" t="s">
        <v>2430</v>
      </c>
      <c r="V4318" s="1192">
        <v>11</v>
      </c>
    </row>
    <row r="4319" spans="1:22" s="1192" customFormat="1" ht="14.4" x14ac:dyDescent="0.3">
      <c r="A4319" s="1192" t="s">
        <v>202</v>
      </c>
      <c r="E4319" s="1743" t="s">
        <v>2391</v>
      </c>
      <c r="F4319" s="1743"/>
      <c r="G4319" s="1743"/>
      <c r="H4319" s="1743"/>
      <c r="K4319" s="1192" t="s">
        <v>2736</v>
      </c>
      <c r="V4319" s="1192">
        <v>280</v>
      </c>
    </row>
    <row r="4320" spans="1:22" s="1192" customFormat="1" ht="14.4" x14ac:dyDescent="0.3">
      <c r="A4320" s="1192" t="s">
        <v>202</v>
      </c>
      <c r="E4320" s="1743" t="s">
        <v>2392</v>
      </c>
      <c r="F4320" s="1743"/>
      <c r="G4320" s="1743"/>
      <c r="H4320" s="1743"/>
      <c r="K4320" s="1192" t="s">
        <v>2736</v>
      </c>
      <c r="V4320" s="1192">
        <v>411</v>
      </c>
    </row>
    <row r="4321" spans="1:22" s="1192" customFormat="1" ht="14.4" x14ac:dyDescent="0.3">
      <c r="A4321" s="1192" t="s">
        <v>202</v>
      </c>
      <c r="E4321" s="1743" t="s">
        <v>2508</v>
      </c>
      <c r="F4321" s="1743"/>
      <c r="G4321" s="1743"/>
      <c r="H4321" s="1743"/>
      <c r="K4321" s="1192" t="s">
        <v>2736</v>
      </c>
      <c r="V4321" s="1192">
        <v>386</v>
      </c>
    </row>
    <row r="4322" spans="1:22" s="1192" customFormat="1" ht="14.4" x14ac:dyDescent="0.3">
      <c r="A4322" s="1192" t="s">
        <v>202</v>
      </c>
      <c r="E4322" s="1743" t="s">
        <v>4500</v>
      </c>
      <c r="F4322" s="1743"/>
      <c r="G4322" s="1743"/>
      <c r="H4322" s="1743"/>
      <c r="K4322" s="1192" t="s">
        <v>2736</v>
      </c>
      <c r="V4322" s="1192">
        <v>247</v>
      </c>
    </row>
    <row r="4323" spans="1:22" s="1192" customFormat="1" ht="14.4" x14ac:dyDescent="0.3">
      <c r="A4323" s="1192" t="s">
        <v>202</v>
      </c>
      <c r="E4323" s="1750" t="s">
        <v>2394</v>
      </c>
      <c r="F4323" s="1743"/>
      <c r="G4323" s="1743"/>
      <c r="H4323" s="1743"/>
      <c r="K4323" s="1192" t="s">
        <v>2431</v>
      </c>
      <c r="V4323" s="1192">
        <v>46</v>
      </c>
    </row>
    <row r="4324" spans="1:22" s="1192" customFormat="1" ht="14.4" x14ac:dyDescent="0.3">
      <c r="A4324" s="1192" t="s">
        <v>202</v>
      </c>
      <c r="E4324" s="1741" t="s">
        <v>8</v>
      </c>
      <c r="F4324" s="1741"/>
      <c r="G4324" s="1277" t="s">
        <v>19</v>
      </c>
      <c r="H4324" s="1218">
        <v>5.16</v>
      </c>
      <c r="K4324" s="1192" t="s">
        <v>2736</v>
      </c>
      <c r="L4324" s="1192" t="s">
        <v>430</v>
      </c>
      <c r="P4324" s="1192" t="s">
        <v>2737</v>
      </c>
      <c r="V4324" s="1192">
        <v>31</v>
      </c>
    </row>
    <row r="4325" spans="1:22" s="1192" customFormat="1" ht="14.4" x14ac:dyDescent="0.3">
      <c r="A4325" s="1192" t="s">
        <v>202</v>
      </c>
      <c r="E4325" s="1741" t="s">
        <v>80</v>
      </c>
      <c r="F4325" s="1741"/>
      <c r="G4325" s="1277" t="s">
        <v>29</v>
      </c>
      <c r="H4325" s="1219">
        <v>11.763</v>
      </c>
      <c r="K4325" s="1192" t="s">
        <v>2736</v>
      </c>
      <c r="L4325" s="1192" t="s">
        <v>430</v>
      </c>
      <c r="P4325" s="1192" t="s">
        <v>2738</v>
      </c>
      <c r="V4325" s="1192">
        <v>28</v>
      </c>
    </row>
    <row r="4326" spans="1:22" s="1192" customFormat="1" ht="14.4" x14ac:dyDescent="0.3">
      <c r="A4326" s="1192" t="s">
        <v>202</v>
      </c>
      <c r="E4326" s="1741" t="s">
        <v>14</v>
      </c>
      <c r="F4326" s="1741"/>
      <c r="G4326" s="1277" t="s">
        <v>29</v>
      </c>
      <c r="H4326" s="1219">
        <v>0.38929999999999998</v>
      </c>
      <c r="K4326" s="1192" t="s">
        <v>2736</v>
      </c>
      <c r="L4326" s="1192" t="s">
        <v>431</v>
      </c>
      <c r="P4326" s="1192" t="s">
        <v>2739</v>
      </c>
      <c r="V4326" s="1192">
        <v>24</v>
      </c>
    </row>
    <row r="4327" spans="1:22" s="1192" customFormat="1" ht="14.4" x14ac:dyDescent="0.3">
      <c r="A4327" s="1192" t="s">
        <v>202</v>
      </c>
      <c r="E4327" s="1741" t="s">
        <v>213</v>
      </c>
      <c r="F4327" s="1741"/>
      <c r="G4327" s="1277" t="s">
        <v>29</v>
      </c>
      <c r="H4327" s="1219">
        <v>1.7727999999999999</v>
      </c>
      <c r="K4327" s="1192" t="s">
        <v>2736</v>
      </c>
      <c r="L4327" s="1192" t="s">
        <v>432</v>
      </c>
      <c r="P4327" s="1192" t="s">
        <v>2741</v>
      </c>
      <c r="V4327" s="1192">
        <v>47</v>
      </c>
    </row>
    <row r="4328" spans="1:22" s="1192" customFormat="1" ht="14.4" x14ac:dyDescent="0.3">
      <c r="A4328" s="1192" t="s">
        <v>202</v>
      </c>
      <c r="E4328" s="1741" t="s">
        <v>209</v>
      </c>
      <c r="F4328" s="1741"/>
      <c r="G4328" s="1277" t="s">
        <v>29</v>
      </c>
      <c r="H4328" s="1219">
        <v>1.536</v>
      </c>
      <c r="K4328" s="1192" t="s">
        <v>2736</v>
      </c>
      <c r="L4328" s="1192" t="s">
        <v>432</v>
      </c>
      <c r="P4328" s="1192" t="s">
        <v>2742</v>
      </c>
      <c r="V4328" s="1192">
        <v>74</v>
      </c>
    </row>
    <row r="4329" spans="1:22" s="1192" customFormat="1" ht="14.4" x14ac:dyDescent="0.3">
      <c r="A4329" s="1192" t="s">
        <v>202</v>
      </c>
      <c r="E4329" s="1750" t="s">
        <v>2405</v>
      </c>
      <c r="F4329" s="1741"/>
      <c r="G4329" s="1277"/>
      <c r="H4329" s="896"/>
      <c r="K4329" s="1192" t="s">
        <v>2438</v>
      </c>
      <c r="V4329" s="1192">
        <v>48</v>
      </c>
    </row>
    <row r="4330" spans="1:22" s="1192" customFormat="1" ht="14.4" x14ac:dyDescent="0.3">
      <c r="A4330" s="1192" t="s">
        <v>202</v>
      </c>
      <c r="E4330" s="1741" t="s">
        <v>2033</v>
      </c>
      <c r="F4330" s="1741"/>
      <c r="G4330" s="1277" t="s">
        <v>20</v>
      </c>
      <c r="H4330" s="1219">
        <v>3.0000000000000001E-3</v>
      </c>
      <c r="K4330" s="1192" t="s">
        <v>2736</v>
      </c>
      <c r="L4330" s="1192" t="s">
        <v>2374</v>
      </c>
      <c r="P4330" s="1192" t="s">
        <v>2743</v>
      </c>
      <c r="V4330" s="1192">
        <v>55</v>
      </c>
    </row>
    <row r="4331" spans="1:22" s="1192" customFormat="1" ht="14.4" x14ac:dyDescent="0.3">
      <c r="A4331" s="1192" t="s">
        <v>202</v>
      </c>
      <c r="E4331" s="2044" t="s">
        <v>2034</v>
      </c>
      <c r="F4331" s="1741"/>
      <c r="G4331" s="1277" t="s">
        <v>20</v>
      </c>
      <c r="H4331" s="1219">
        <v>4.0000000000000002E-4</v>
      </c>
      <c r="K4331" s="1192" t="s">
        <v>2736</v>
      </c>
      <c r="L4331" s="1192" t="s">
        <v>2374</v>
      </c>
      <c r="P4331" s="1192" t="s">
        <v>2743</v>
      </c>
      <c r="V4331" s="1192">
        <v>65</v>
      </c>
    </row>
    <row r="4332" spans="1:22" s="1192" customFormat="1" ht="14.4" x14ac:dyDescent="0.3">
      <c r="A4332" s="1192" t="s">
        <v>202</v>
      </c>
      <c r="E4332" s="1741" t="s">
        <v>428</v>
      </c>
      <c r="F4332" s="1741"/>
      <c r="G4332" s="1277" t="s">
        <v>20</v>
      </c>
      <c r="H4332" s="1219">
        <v>5.0000000000000001E-4</v>
      </c>
      <c r="K4332" s="1192" t="s">
        <v>2736</v>
      </c>
      <c r="L4332" s="1192" t="s">
        <v>2374</v>
      </c>
      <c r="P4332" s="1192" t="s">
        <v>2744</v>
      </c>
      <c r="V4332" s="1192">
        <v>57</v>
      </c>
    </row>
    <row r="4333" spans="1:22" s="1192" customFormat="1" ht="14.4" x14ac:dyDescent="0.3">
      <c r="A4333" s="1192" t="s">
        <v>202</v>
      </c>
      <c r="E4333" s="1741" t="s">
        <v>28</v>
      </c>
      <c r="F4333" s="1741"/>
      <c r="G4333" s="1277" t="s">
        <v>19</v>
      </c>
      <c r="H4333" s="1218">
        <v>0.25</v>
      </c>
      <c r="K4333" s="1192" t="s">
        <v>2736</v>
      </c>
      <c r="L4333" s="1192" t="s">
        <v>2374</v>
      </c>
      <c r="P4333" s="1192" t="s">
        <v>2745</v>
      </c>
      <c r="V4333" s="1192">
        <v>63</v>
      </c>
    </row>
    <row r="4334" spans="1:22" s="1192" customFormat="1" ht="17.399999999999999" x14ac:dyDescent="0.3">
      <c r="A4334" s="1192" t="s">
        <v>202</v>
      </c>
      <c r="E4334" s="1746" t="s">
        <v>590</v>
      </c>
      <c r="F4334" s="1747"/>
      <c r="G4334" s="1747"/>
      <c r="H4334" s="1747"/>
      <c r="K4334" s="1192" t="s">
        <v>2746</v>
      </c>
      <c r="V4334" s="1192">
        <v>38</v>
      </c>
    </row>
    <row r="4335" spans="1:22" s="1192" customFormat="1" ht="14.4" x14ac:dyDescent="0.3">
      <c r="A4335" s="1192" t="s">
        <v>202</v>
      </c>
      <c r="E4335" s="1743" t="s">
        <v>2811</v>
      </c>
      <c r="F4335" s="1743"/>
      <c r="G4335" s="1743"/>
      <c r="H4335" s="1743"/>
      <c r="K4335" s="1192" t="s">
        <v>2746</v>
      </c>
      <c r="V4335" s="1192">
        <v>551</v>
      </c>
    </row>
    <row r="4336" spans="1:22" s="1192" customFormat="1" ht="14.4" x14ac:dyDescent="0.3">
      <c r="A4336" s="1192" t="s">
        <v>202</v>
      </c>
      <c r="E4336" s="1750" t="s">
        <v>2389</v>
      </c>
      <c r="F4336" s="1743"/>
      <c r="G4336" s="1743"/>
      <c r="H4336" s="1743"/>
      <c r="K4336" s="1192" t="s">
        <v>2444</v>
      </c>
      <c r="V4336" s="1192">
        <v>11</v>
      </c>
    </row>
    <row r="4337" spans="1:22" s="1192" customFormat="1" ht="14.4" x14ac:dyDescent="0.3">
      <c r="A4337" s="1192" t="s">
        <v>202</v>
      </c>
      <c r="E4337" s="1743" t="s">
        <v>2391</v>
      </c>
      <c r="F4337" s="1743"/>
      <c r="G4337" s="1743"/>
      <c r="H4337" s="1743"/>
      <c r="K4337" s="1192" t="s">
        <v>2746</v>
      </c>
      <c r="V4337" s="1192">
        <v>280</v>
      </c>
    </row>
    <row r="4338" spans="1:22" s="1192" customFormat="1" ht="14.4" x14ac:dyDescent="0.3">
      <c r="A4338" s="1192" t="s">
        <v>202</v>
      </c>
      <c r="E4338" s="1743" t="s">
        <v>2392</v>
      </c>
      <c r="F4338" s="1743"/>
      <c r="G4338" s="1743"/>
      <c r="H4338" s="1743"/>
      <c r="K4338" s="1192" t="s">
        <v>2746</v>
      </c>
      <c r="V4338" s="1192">
        <v>411</v>
      </c>
    </row>
    <row r="4339" spans="1:22" s="1192" customFormat="1" ht="14.4" x14ac:dyDescent="0.3">
      <c r="A4339" s="1192" t="s">
        <v>202</v>
      </c>
      <c r="E4339" s="1743" t="s">
        <v>2508</v>
      </c>
      <c r="F4339" s="1743"/>
      <c r="G4339" s="1743"/>
      <c r="H4339" s="1743"/>
      <c r="K4339" s="1192" t="s">
        <v>2746</v>
      </c>
      <c r="V4339" s="1192">
        <v>386</v>
      </c>
    </row>
    <row r="4340" spans="1:22" s="1192" customFormat="1" ht="14.4" x14ac:dyDescent="0.3">
      <c r="A4340" s="1192" t="s">
        <v>202</v>
      </c>
      <c r="E4340" s="1743" t="s">
        <v>4652</v>
      </c>
      <c r="F4340" s="1743"/>
      <c r="G4340" s="1743"/>
      <c r="H4340" s="1743"/>
      <c r="K4340" s="1192" t="s">
        <v>2746</v>
      </c>
      <c r="V4340" s="1192">
        <v>251</v>
      </c>
    </row>
    <row r="4341" spans="1:22" s="1192" customFormat="1" ht="14.4" x14ac:dyDescent="0.3">
      <c r="A4341" s="1192" t="s">
        <v>202</v>
      </c>
      <c r="E4341" s="1750" t="s">
        <v>2394</v>
      </c>
      <c r="F4341" s="1743"/>
      <c r="G4341" s="1743"/>
      <c r="H4341" s="1743"/>
      <c r="K4341" s="1192" t="s">
        <v>2446</v>
      </c>
      <c r="V4341" s="1192">
        <v>46</v>
      </c>
    </row>
    <row r="4342" spans="1:22" s="1192" customFormat="1" ht="14.4" x14ac:dyDescent="0.3">
      <c r="A4342" s="1192" t="s">
        <v>202</v>
      </c>
      <c r="E4342" s="1741" t="s">
        <v>3068</v>
      </c>
      <c r="F4342" s="1741"/>
      <c r="G4342" s="1277" t="s">
        <v>19</v>
      </c>
      <c r="H4342" s="1218">
        <v>1.56</v>
      </c>
      <c r="K4342" s="1192" t="s">
        <v>2746</v>
      </c>
      <c r="L4342" s="1192" t="s">
        <v>430</v>
      </c>
      <c r="P4342" s="1192" t="s">
        <v>2747</v>
      </c>
      <c r="V4342" s="1192">
        <v>27</v>
      </c>
    </row>
    <row r="4343" spans="1:22" s="1192" customFormat="1" ht="14.4" x14ac:dyDescent="0.3">
      <c r="A4343" s="1192" t="s">
        <v>202</v>
      </c>
      <c r="E4343" s="1741" t="s">
        <v>80</v>
      </c>
      <c r="F4343" s="1741"/>
      <c r="G4343" s="1277" t="s">
        <v>29</v>
      </c>
      <c r="H4343" s="1219">
        <v>4.0749000000000004</v>
      </c>
      <c r="K4343" s="1192" t="s">
        <v>2746</v>
      </c>
      <c r="L4343" s="1192" t="s">
        <v>430</v>
      </c>
      <c r="P4343" s="1192" t="s">
        <v>2748</v>
      </c>
      <c r="V4343" s="1192">
        <v>28</v>
      </c>
    </row>
    <row r="4344" spans="1:22" s="1192" customFormat="1" ht="14.4" x14ac:dyDescent="0.3">
      <c r="A4344" s="1192" t="s">
        <v>202</v>
      </c>
      <c r="E4344" s="1741" t="s">
        <v>14</v>
      </c>
      <c r="F4344" s="1741"/>
      <c r="G4344" s="1277" t="s">
        <v>29</v>
      </c>
      <c r="H4344" s="1219">
        <v>0.38140000000000002</v>
      </c>
      <c r="K4344" s="1192" t="s">
        <v>2746</v>
      </c>
      <c r="L4344" s="1192" t="s">
        <v>431</v>
      </c>
      <c r="P4344" s="1192" t="s">
        <v>2749</v>
      </c>
      <c r="V4344" s="1192">
        <v>24</v>
      </c>
    </row>
    <row r="4345" spans="1:22" s="1192" customFormat="1" ht="14.4" x14ac:dyDescent="0.3">
      <c r="A4345" s="1192" t="s">
        <v>202</v>
      </c>
      <c r="E4345" s="1741" t="s">
        <v>213</v>
      </c>
      <c r="F4345" s="1741"/>
      <c r="G4345" s="1277" t="s">
        <v>29</v>
      </c>
      <c r="H4345" s="1219">
        <v>1.7643</v>
      </c>
      <c r="K4345" s="1192" t="s">
        <v>2746</v>
      </c>
      <c r="L4345" s="1192" t="s">
        <v>432</v>
      </c>
      <c r="P4345" s="1192" t="s">
        <v>2751</v>
      </c>
      <c r="V4345" s="1192">
        <v>47</v>
      </c>
    </row>
    <row r="4346" spans="1:22" s="1192" customFormat="1" ht="14.4" x14ac:dyDescent="0.3">
      <c r="A4346" s="1192" t="s">
        <v>202</v>
      </c>
      <c r="E4346" s="1741" t="s">
        <v>209</v>
      </c>
      <c r="F4346" s="1741"/>
      <c r="G4346" s="1277" t="s">
        <v>29</v>
      </c>
      <c r="H4346" s="1219">
        <v>1.5044999999999999</v>
      </c>
      <c r="K4346" s="1192" t="s">
        <v>2746</v>
      </c>
      <c r="L4346" s="1192" t="s">
        <v>432</v>
      </c>
      <c r="P4346" s="1192" t="s">
        <v>2752</v>
      </c>
      <c r="V4346" s="1192">
        <v>74</v>
      </c>
    </row>
    <row r="4347" spans="1:22" s="1192" customFormat="1" ht="14.4" x14ac:dyDescent="0.3">
      <c r="A4347" s="1192" t="s">
        <v>202</v>
      </c>
      <c r="E4347" s="1750" t="s">
        <v>2405</v>
      </c>
      <c r="F4347" s="1741"/>
      <c r="G4347" s="1277"/>
      <c r="H4347" s="896"/>
      <c r="K4347" s="1192" t="s">
        <v>2565</v>
      </c>
      <c r="V4347" s="1192">
        <v>48</v>
      </c>
    </row>
    <row r="4348" spans="1:22" s="1192" customFormat="1" ht="14.4" x14ac:dyDescent="0.3">
      <c r="A4348" s="1192" t="s">
        <v>202</v>
      </c>
      <c r="E4348" s="1741" t="s">
        <v>2033</v>
      </c>
      <c r="F4348" s="1741"/>
      <c r="G4348" s="1277" t="s">
        <v>20</v>
      </c>
      <c r="H4348" s="1219">
        <v>3.0000000000000001E-3</v>
      </c>
      <c r="K4348" s="1192" t="s">
        <v>2746</v>
      </c>
      <c r="L4348" s="1192" t="s">
        <v>2374</v>
      </c>
      <c r="P4348" s="1192" t="s">
        <v>2753</v>
      </c>
      <c r="V4348" s="1192">
        <v>55</v>
      </c>
    </row>
    <row r="4349" spans="1:22" s="1192" customFormat="1" ht="14.4" x14ac:dyDescent="0.3">
      <c r="A4349" s="1192" t="s">
        <v>202</v>
      </c>
      <c r="E4349" s="2044" t="s">
        <v>2034</v>
      </c>
      <c r="F4349" s="1741"/>
      <c r="G4349" s="1277" t="s">
        <v>20</v>
      </c>
      <c r="H4349" s="1219">
        <v>4.0000000000000002E-4</v>
      </c>
      <c r="K4349" s="1192" t="s">
        <v>2746</v>
      </c>
      <c r="L4349" s="1192" t="s">
        <v>2374</v>
      </c>
      <c r="P4349" s="1192" t="s">
        <v>2753</v>
      </c>
      <c r="V4349" s="1192">
        <v>65</v>
      </c>
    </row>
    <row r="4350" spans="1:22" s="1192" customFormat="1" ht="14.4" x14ac:dyDescent="0.3">
      <c r="A4350" s="1192" t="s">
        <v>202</v>
      </c>
      <c r="E4350" s="1741" t="s">
        <v>428</v>
      </c>
      <c r="F4350" s="1741"/>
      <c r="G4350" s="1277" t="s">
        <v>20</v>
      </c>
      <c r="H4350" s="1219">
        <v>5.0000000000000001E-4</v>
      </c>
      <c r="K4350" s="1192" t="s">
        <v>2746</v>
      </c>
      <c r="L4350" s="1192" t="s">
        <v>2374</v>
      </c>
      <c r="P4350" s="1192" t="s">
        <v>2754</v>
      </c>
      <c r="V4350" s="1192">
        <v>57</v>
      </c>
    </row>
    <row r="4351" spans="1:22" s="1192" customFormat="1" ht="14.4" x14ac:dyDescent="0.3">
      <c r="A4351" s="1192" t="s">
        <v>202</v>
      </c>
      <c r="E4351" s="1741" t="s">
        <v>28</v>
      </c>
      <c r="F4351" s="1741"/>
      <c r="G4351" s="1277" t="s">
        <v>19</v>
      </c>
      <c r="H4351" s="1218">
        <v>0.25</v>
      </c>
      <c r="K4351" s="1192" t="s">
        <v>2746</v>
      </c>
      <c r="L4351" s="1192" t="s">
        <v>2374</v>
      </c>
      <c r="P4351" s="1192" t="s">
        <v>2755</v>
      </c>
      <c r="V4351" s="1192">
        <v>63</v>
      </c>
    </row>
    <row r="4352" spans="1:22" s="1192" customFormat="1" ht="17.399999999999999" x14ac:dyDescent="0.3">
      <c r="A4352" s="1192" t="s">
        <v>202</v>
      </c>
      <c r="E4352" s="1746" t="s">
        <v>593</v>
      </c>
      <c r="F4352" s="1747"/>
      <c r="G4352" s="1747"/>
      <c r="H4352" s="1747"/>
      <c r="K4352" s="1192" t="s">
        <v>2756</v>
      </c>
      <c r="V4352" s="1192">
        <v>31</v>
      </c>
    </row>
    <row r="4353" spans="1:22" s="1192" customFormat="1" ht="14.4" x14ac:dyDescent="0.3">
      <c r="A4353" s="1192" t="s">
        <v>202</v>
      </c>
      <c r="E4353" s="1743" t="s">
        <v>2652</v>
      </c>
      <c r="F4353" s="1743"/>
      <c r="G4353" s="1743"/>
      <c r="H4353" s="1743"/>
      <c r="K4353" s="1192" t="s">
        <v>2756</v>
      </c>
      <c r="V4353" s="1192">
        <v>285</v>
      </c>
    </row>
    <row r="4354" spans="1:22" s="1192" customFormat="1" ht="14.4" x14ac:dyDescent="0.3">
      <c r="A4354" s="1192" t="s">
        <v>202</v>
      </c>
      <c r="E4354" s="1750" t="s">
        <v>2389</v>
      </c>
      <c r="F4354" s="1743"/>
      <c r="G4354" s="1743"/>
      <c r="H4354" s="1743"/>
      <c r="K4354" s="1192" t="s">
        <v>2571</v>
      </c>
      <c r="V4354" s="1192">
        <v>11</v>
      </c>
    </row>
    <row r="4355" spans="1:22" s="1192" customFormat="1" ht="14.4" x14ac:dyDescent="0.3">
      <c r="A4355" s="1192" t="s">
        <v>202</v>
      </c>
      <c r="E4355" s="1743" t="s">
        <v>2391</v>
      </c>
      <c r="F4355" s="1743"/>
      <c r="G4355" s="1743"/>
      <c r="H4355" s="1743"/>
      <c r="K4355" s="1192" t="s">
        <v>2756</v>
      </c>
      <c r="V4355" s="1192">
        <v>280</v>
      </c>
    </row>
    <row r="4356" spans="1:22" s="1192" customFormat="1" ht="14.4" x14ac:dyDescent="0.3">
      <c r="A4356" s="1192" t="s">
        <v>202</v>
      </c>
      <c r="E4356" s="1743" t="s">
        <v>2392</v>
      </c>
      <c r="F4356" s="1743"/>
      <c r="G4356" s="1743"/>
      <c r="H4356" s="1743"/>
      <c r="K4356" s="1192" t="s">
        <v>2756</v>
      </c>
      <c r="V4356" s="1192">
        <v>411</v>
      </c>
    </row>
    <row r="4357" spans="1:22" s="1192" customFormat="1" ht="14.4" x14ac:dyDescent="0.3">
      <c r="A4357" s="1192" t="s">
        <v>202</v>
      </c>
      <c r="E4357" s="1743" t="s">
        <v>2445</v>
      </c>
      <c r="F4357" s="1743"/>
      <c r="G4357" s="1743"/>
      <c r="H4357" s="1743"/>
      <c r="K4357" s="1192" t="s">
        <v>2756</v>
      </c>
      <c r="V4357" s="1192">
        <v>211</v>
      </c>
    </row>
    <row r="4358" spans="1:22" s="1192" customFormat="1" ht="14.4" x14ac:dyDescent="0.3">
      <c r="A4358" s="1192" t="s">
        <v>202</v>
      </c>
      <c r="E4358" s="1743" t="s">
        <v>4652</v>
      </c>
      <c r="F4358" s="1743"/>
      <c r="G4358" s="1743"/>
      <c r="H4358" s="1743"/>
      <c r="K4358" s="1192" t="s">
        <v>2756</v>
      </c>
      <c r="V4358" s="1192">
        <v>251</v>
      </c>
    </row>
    <row r="4359" spans="1:22" s="1192" customFormat="1" ht="14.4" x14ac:dyDescent="0.3">
      <c r="A4359" s="1192" t="s">
        <v>202</v>
      </c>
      <c r="E4359" s="1750" t="s">
        <v>2394</v>
      </c>
      <c r="F4359" s="1743"/>
      <c r="G4359" s="1743"/>
      <c r="H4359" s="1743"/>
      <c r="K4359" s="1192" t="s">
        <v>2572</v>
      </c>
      <c r="V4359" s="1192">
        <v>46</v>
      </c>
    </row>
    <row r="4360" spans="1:22" s="1192" customFormat="1" ht="14.4" x14ac:dyDescent="0.3">
      <c r="A4360" s="1192" t="s">
        <v>202</v>
      </c>
      <c r="E4360" s="1741" t="s">
        <v>7</v>
      </c>
      <c r="F4360" s="1741"/>
      <c r="G4360" s="1277" t="s">
        <v>19</v>
      </c>
      <c r="H4360" s="1218">
        <v>5.4</v>
      </c>
      <c r="K4360" s="1192" t="s">
        <v>2756</v>
      </c>
      <c r="L4360" s="1192" t="s">
        <v>430</v>
      </c>
      <c r="P4360" s="1192" t="s">
        <v>2757</v>
      </c>
      <c r="V4360" s="1192">
        <v>14</v>
      </c>
    </row>
    <row r="4361" spans="1:22" s="1192" customFormat="1" x14ac:dyDescent="0.35">
      <c r="A4361" s="1192" t="s">
        <v>202</v>
      </c>
      <c r="E4361" s="1260" t="s">
        <v>81</v>
      </c>
      <c r="F4361" s="550"/>
      <c r="G4361" s="550"/>
      <c r="H4361" s="881"/>
      <c r="K4361" s="1192" t="s">
        <v>3476</v>
      </c>
      <c r="V4361" s="1192">
        <v>10</v>
      </c>
    </row>
    <row r="4362" spans="1:22" s="1192" customFormat="1" ht="14.4" x14ac:dyDescent="0.3">
      <c r="A4362" s="1192" t="s">
        <v>202</v>
      </c>
      <c r="E4362" s="1741" t="s">
        <v>2449</v>
      </c>
      <c r="F4362" s="1741"/>
      <c r="G4362" s="1277" t="s">
        <v>29</v>
      </c>
      <c r="H4362" s="1219">
        <v>-0.6</v>
      </c>
      <c r="V4362" s="1192">
        <v>68</v>
      </c>
    </row>
    <row r="4363" spans="1:22" s="1192" customFormat="1" ht="14.4" x14ac:dyDescent="0.3">
      <c r="A4363" s="1192" t="s">
        <v>202</v>
      </c>
      <c r="E4363" s="1741" t="s">
        <v>2450</v>
      </c>
      <c r="F4363" s="1741"/>
      <c r="G4363" s="843" t="s">
        <v>82</v>
      </c>
      <c r="H4363" s="509">
        <v>-1</v>
      </c>
      <c r="V4363" s="1192">
        <v>87</v>
      </c>
    </row>
    <row r="4364" spans="1:22" s="1192" customFormat="1" x14ac:dyDescent="0.35">
      <c r="A4364" s="1192" t="s">
        <v>202</v>
      </c>
      <c r="E4364" s="1260" t="s">
        <v>83</v>
      </c>
      <c r="F4364" s="550"/>
      <c r="G4364" s="550"/>
      <c r="H4364" s="881"/>
      <c r="K4364" s="1192" t="s">
        <v>3477</v>
      </c>
      <c r="V4364" s="1192">
        <v>24</v>
      </c>
    </row>
    <row r="4365" spans="1:22" s="1192" customFormat="1" ht="14.4" x14ac:dyDescent="0.3">
      <c r="A4365" s="1192" t="s">
        <v>202</v>
      </c>
      <c r="E4365" s="1743" t="s">
        <v>2391</v>
      </c>
      <c r="F4365" s="1743"/>
      <c r="G4365" s="1743"/>
      <c r="H4365" s="1743"/>
      <c r="V4365" s="1192">
        <v>280</v>
      </c>
    </row>
    <row r="4366" spans="1:22" s="1192" customFormat="1" ht="14.4" x14ac:dyDescent="0.3">
      <c r="A4366" s="1192" t="s">
        <v>202</v>
      </c>
      <c r="E4366" s="1743" t="s">
        <v>2452</v>
      </c>
      <c r="F4366" s="1743"/>
      <c r="G4366" s="1743"/>
      <c r="H4366" s="1743"/>
      <c r="V4366" s="1192">
        <v>353</v>
      </c>
    </row>
    <row r="4367" spans="1:22" s="1192" customFormat="1" ht="14.4" x14ac:dyDescent="0.3">
      <c r="A4367" s="1192" t="s">
        <v>202</v>
      </c>
      <c r="E4367" s="1743" t="s">
        <v>4500</v>
      </c>
      <c r="F4367" s="1743"/>
      <c r="G4367" s="1743"/>
      <c r="H4367" s="1743"/>
      <c r="V4367" s="1192">
        <v>247</v>
      </c>
    </row>
    <row r="4368" spans="1:22" s="1192" customFormat="1" ht="14.4" x14ac:dyDescent="0.3">
      <c r="A4368" s="1192" t="s">
        <v>202</v>
      </c>
      <c r="E4368" s="1258" t="s">
        <v>2453</v>
      </c>
      <c r="F4368" s="3"/>
      <c r="G4368" s="3"/>
      <c r="H4368" s="897"/>
      <c r="K4368" s="1192" t="s">
        <v>3478</v>
      </c>
      <c r="V4368" s="1192">
        <v>23</v>
      </c>
    </row>
    <row r="4369" spans="1:22" s="1192" customFormat="1" ht="14.4" x14ac:dyDescent="0.3">
      <c r="A4369" s="1192" t="s">
        <v>202</v>
      </c>
      <c r="E4369" s="1942" t="s">
        <v>2639</v>
      </c>
      <c r="F4369" s="1942"/>
      <c r="G4369" s="1277" t="s">
        <v>19</v>
      </c>
      <c r="H4369" s="1218">
        <v>15</v>
      </c>
      <c r="V4369" s="1192">
        <v>19</v>
      </c>
    </row>
    <row r="4370" spans="1:22" s="1192" customFormat="1" ht="14.4" x14ac:dyDescent="0.3">
      <c r="A4370" s="1192" t="s">
        <v>202</v>
      </c>
      <c r="E4370" s="1942" t="s">
        <v>2456</v>
      </c>
      <c r="F4370" s="1942"/>
      <c r="G4370" s="1277" t="s">
        <v>19</v>
      </c>
      <c r="H4370" s="1218">
        <v>15</v>
      </c>
      <c r="V4370" s="1192">
        <v>20</v>
      </c>
    </row>
    <row r="4371" spans="1:22" s="1192" customFormat="1" ht="14.4" x14ac:dyDescent="0.3">
      <c r="A4371" s="1192" t="s">
        <v>202</v>
      </c>
      <c r="E4371" s="1942" t="s">
        <v>2457</v>
      </c>
      <c r="F4371" s="1942"/>
      <c r="G4371" s="1277" t="s">
        <v>19</v>
      </c>
      <c r="H4371" s="1218">
        <v>15</v>
      </c>
      <c r="V4371" s="1192">
        <v>26</v>
      </c>
    </row>
    <row r="4372" spans="1:22" s="1192" customFormat="1" ht="14.4" x14ac:dyDescent="0.3">
      <c r="A4372" s="1192" t="s">
        <v>202</v>
      </c>
      <c r="E4372" s="1942" t="s">
        <v>2459</v>
      </c>
      <c r="F4372" s="1942"/>
      <c r="G4372" s="1277" t="s">
        <v>19</v>
      </c>
      <c r="H4372" s="1218">
        <v>15</v>
      </c>
      <c r="V4372" s="1192">
        <v>37</v>
      </c>
    </row>
    <row r="4373" spans="1:22" s="1192" customFormat="1" ht="14.4" x14ac:dyDescent="0.3">
      <c r="A4373" s="1192" t="s">
        <v>202</v>
      </c>
      <c r="E4373" s="1942" t="s">
        <v>3663</v>
      </c>
      <c r="F4373" s="1942"/>
      <c r="G4373" s="1277" t="s">
        <v>19</v>
      </c>
      <c r="H4373" s="1218">
        <v>15</v>
      </c>
      <c r="V4373" s="1192">
        <v>15</v>
      </c>
    </row>
    <row r="4374" spans="1:22" s="1192" customFormat="1" ht="14.4" x14ac:dyDescent="0.3">
      <c r="A4374" s="1192" t="s">
        <v>202</v>
      </c>
      <c r="E4374" s="1942" t="s">
        <v>2461</v>
      </c>
      <c r="F4374" s="1942"/>
      <c r="G4374" s="1277" t="s">
        <v>19</v>
      </c>
      <c r="H4374" s="1218">
        <v>15</v>
      </c>
      <c r="V4374" s="1192">
        <v>17</v>
      </c>
    </row>
    <row r="4375" spans="1:22" s="1192" customFormat="1" ht="14.4" x14ac:dyDescent="0.3">
      <c r="A4375" s="1192" t="s">
        <v>202</v>
      </c>
      <c r="E4375" s="1942" t="s">
        <v>2464</v>
      </c>
      <c r="F4375" s="1942"/>
      <c r="G4375" s="1277" t="s">
        <v>19</v>
      </c>
      <c r="H4375" s="1218">
        <v>15</v>
      </c>
      <c r="V4375" s="1192">
        <v>56</v>
      </c>
    </row>
    <row r="4376" spans="1:22" s="1192" customFormat="1" ht="14.4" x14ac:dyDescent="0.3">
      <c r="A4376" s="1192" t="s">
        <v>202</v>
      </c>
      <c r="E4376" s="1942" t="s">
        <v>119</v>
      </c>
      <c r="F4376" s="1942"/>
      <c r="G4376" s="1277" t="s">
        <v>19</v>
      </c>
      <c r="H4376" s="1218">
        <v>15</v>
      </c>
      <c r="V4376" s="1192">
        <v>35</v>
      </c>
    </row>
    <row r="4377" spans="1:22" s="1192" customFormat="1" ht="14.4" x14ac:dyDescent="0.3">
      <c r="A4377" s="1192" t="s">
        <v>202</v>
      </c>
      <c r="E4377" s="1942" t="s">
        <v>2467</v>
      </c>
      <c r="F4377" s="1942"/>
      <c r="G4377" s="1277" t="s">
        <v>19</v>
      </c>
      <c r="H4377" s="1218">
        <v>15</v>
      </c>
      <c r="V4377" s="1192">
        <v>19</v>
      </c>
    </row>
    <row r="4378" spans="1:22" s="1192" customFormat="1" ht="14.4" x14ac:dyDescent="0.3">
      <c r="A4378" s="1192" t="s">
        <v>202</v>
      </c>
      <c r="E4378" s="1942" t="s">
        <v>84</v>
      </c>
      <c r="F4378" s="1942"/>
      <c r="G4378" s="1277" t="s">
        <v>19</v>
      </c>
      <c r="H4378" s="1218">
        <v>30</v>
      </c>
      <c r="V4378" s="1192">
        <v>89</v>
      </c>
    </row>
    <row r="4379" spans="1:22" s="1192" customFormat="1" ht="14.4" x14ac:dyDescent="0.3">
      <c r="A4379" s="1192" t="s">
        <v>202</v>
      </c>
      <c r="E4379" s="1942" t="s">
        <v>90</v>
      </c>
      <c r="F4379" s="1942"/>
      <c r="G4379" s="1277" t="s">
        <v>19</v>
      </c>
      <c r="H4379" s="1218">
        <v>30</v>
      </c>
      <c r="V4379" s="1192">
        <v>19</v>
      </c>
    </row>
    <row r="4380" spans="1:22" s="1192" customFormat="1" ht="14.4" x14ac:dyDescent="0.3">
      <c r="A4380" s="1192" t="s">
        <v>202</v>
      </c>
      <c r="E4380" s="1942" t="s">
        <v>88</v>
      </c>
      <c r="F4380" s="1942"/>
      <c r="G4380" s="1277" t="s">
        <v>19</v>
      </c>
      <c r="H4380" s="1218">
        <v>30</v>
      </c>
      <c r="V4380" s="1192">
        <v>74</v>
      </c>
    </row>
    <row r="4381" spans="1:22" s="1192" customFormat="1" ht="14.4" x14ac:dyDescent="0.3">
      <c r="A4381" s="1192" t="s">
        <v>202</v>
      </c>
      <c r="E4381" s="1258" t="s">
        <v>2468</v>
      </c>
      <c r="F4381" s="3"/>
      <c r="G4381" s="3"/>
      <c r="H4381" s="897"/>
      <c r="K4381" s="1192" t="s">
        <v>3479</v>
      </c>
      <c r="V4381" s="1192">
        <v>22</v>
      </c>
    </row>
    <row r="4382" spans="1:22" s="1192" customFormat="1" ht="14.4" x14ac:dyDescent="0.3">
      <c r="A4382" s="1192" t="s">
        <v>202</v>
      </c>
      <c r="E4382" s="1745" t="s">
        <v>6205</v>
      </c>
      <c r="F4382" s="1745"/>
      <c r="G4382" s="1277" t="s">
        <v>82</v>
      </c>
      <c r="H4382" s="1218">
        <v>1.5</v>
      </c>
      <c r="V4382" s="1192">
        <v>100</v>
      </c>
    </row>
    <row r="4383" spans="1:22" s="1192" customFormat="1" ht="14.4" x14ac:dyDescent="0.3">
      <c r="A4383" s="1192" t="s">
        <v>202</v>
      </c>
      <c r="E4383" s="1942" t="s">
        <v>6106</v>
      </c>
      <c r="F4383" s="1942"/>
      <c r="G4383" s="1277" t="s">
        <v>19</v>
      </c>
      <c r="H4383" s="1218">
        <v>65</v>
      </c>
      <c r="V4383" s="1192">
        <v>44</v>
      </c>
    </row>
    <row r="4384" spans="1:22" s="1192" customFormat="1" ht="14.4" x14ac:dyDescent="0.3">
      <c r="A4384" s="1192" t="s">
        <v>202</v>
      </c>
      <c r="E4384" s="1942" t="s">
        <v>6107</v>
      </c>
      <c r="F4384" s="1942"/>
      <c r="G4384" s="1277" t="s">
        <v>19</v>
      </c>
      <c r="H4384" s="1218">
        <v>185</v>
      </c>
      <c r="V4384" s="1192">
        <v>43</v>
      </c>
    </row>
    <row r="4385" spans="1:22" s="1192" customFormat="1" ht="14.4" x14ac:dyDescent="0.3">
      <c r="A4385" s="1192" t="s">
        <v>202</v>
      </c>
      <c r="E4385" s="1942" t="s">
        <v>6108</v>
      </c>
      <c r="F4385" s="1942"/>
      <c r="G4385" s="1277" t="s">
        <v>19</v>
      </c>
      <c r="H4385" s="1218">
        <v>185</v>
      </c>
      <c r="V4385" s="1192">
        <v>43</v>
      </c>
    </row>
    <row r="4386" spans="1:22" s="1192" customFormat="1" ht="14.4" x14ac:dyDescent="0.3">
      <c r="A4386" s="1192" t="s">
        <v>202</v>
      </c>
      <c r="E4386" s="1942" t="s">
        <v>6115</v>
      </c>
      <c r="F4386" s="1942"/>
      <c r="G4386" s="1277" t="s">
        <v>19</v>
      </c>
      <c r="H4386" s="1218">
        <v>415</v>
      </c>
      <c r="V4386" s="1192">
        <v>42</v>
      </c>
    </row>
    <row r="4387" spans="1:22" s="1192" customFormat="1" ht="14.4" x14ac:dyDescent="0.3">
      <c r="A4387" s="1192" t="s">
        <v>202</v>
      </c>
      <c r="E4387" s="1258" t="s">
        <v>2474</v>
      </c>
      <c r="F4387" s="3"/>
      <c r="G4387" s="3"/>
      <c r="H4387" s="897"/>
      <c r="V4387" s="1192">
        <v>5</v>
      </c>
    </row>
    <row r="4388" spans="1:22" s="1192" customFormat="1" ht="14.4" x14ac:dyDescent="0.3">
      <c r="A4388" s="1192" t="s">
        <v>202</v>
      </c>
      <c r="E4388" s="1942" t="s">
        <v>2477</v>
      </c>
      <c r="F4388" s="1942"/>
      <c r="G4388" s="1277" t="s">
        <v>19</v>
      </c>
      <c r="H4388" s="1218">
        <v>30</v>
      </c>
      <c r="V4388" s="1192">
        <v>39</v>
      </c>
    </row>
    <row r="4389" spans="1:22" s="1192" customFormat="1" ht="14.4" x14ac:dyDescent="0.3">
      <c r="A4389" s="1192" t="s">
        <v>202</v>
      </c>
      <c r="E4389" s="1942" t="s">
        <v>2478</v>
      </c>
      <c r="F4389" s="1942"/>
      <c r="G4389" s="1277" t="s">
        <v>19</v>
      </c>
      <c r="H4389" s="1218">
        <v>165</v>
      </c>
      <c r="V4389" s="1192">
        <v>34</v>
      </c>
    </row>
    <row r="4390" spans="1:22" s="1192" customFormat="1" ht="14.4" x14ac:dyDescent="0.3">
      <c r="A4390" s="1192" t="s">
        <v>202</v>
      </c>
      <c r="E4390" s="1942" t="s">
        <v>2703</v>
      </c>
      <c r="F4390" s="1942"/>
      <c r="G4390" s="1277" t="s">
        <v>19</v>
      </c>
      <c r="H4390" s="1218">
        <v>500</v>
      </c>
      <c r="V4390" s="1192">
        <v>64</v>
      </c>
    </row>
    <row r="4391" spans="1:22" s="1192" customFormat="1" ht="14.4" x14ac:dyDescent="0.3">
      <c r="A4391" s="1192" t="s">
        <v>202</v>
      </c>
      <c r="E4391" s="1942" t="s">
        <v>2758</v>
      </c>
      <c r="F4391" s="1942"/>
      <c r="G4391" s="1277" t="s">
        <v>19</v>
      </c>
      <c r="H4391" s="1218">
        <v>300</v>
      </c>
      <c r="V4391" s="1192">
        <v>67</v>
      </c>
    </row>
    <row r="4392" spans="1:22" s="1192" customFormat="1" ht="14.4" x14ac:dyDescent="0.3">
      <c r="A4392" s="1192" t="s">
        <v>202</v>
      </c>
      <c r="E4392" s="1942" t="s">
        <v>2759</v>
      </c>
      <c r="F4392" s="1942"/>
      <c r="G4392" s="1277" t="s">
        <v>19</v>
      </c>
      <c r="H4392" s="1218">
        <v>1000</v>
      </c>
      <c r="V4392" s="1192">
        <v>66</v>
      </c>
    </row>
    <row r="4393" spans="1:22" s="1192" customFormat="1" ht="14.4" x14ac:dyDescent="0.3">
      <c r="A4393" s="1192" t="s">
        <v>202</v>
      </c>
      <c r="E4393" s="1942" t="s">
        <v>2768</v>
      </c>
      <c r="F4393" s="1942"/>
      <c r="G4393" s="1277" t="s">
        <v>19</v>
      </c>
      <c r="H4393" s="1218">
        <v>44.5</v>
      </c>
      <c r="V4393" s="1192">
        <v>104</v>
      </c>
    </row>
    <row r="4394" spans="1:22" s="1192" customFormat="1" ht="14.4" x14ac:dyDescent="0.3">
      <c r="A4394" s="1192" t="s">
        <v>202</v>
      </c>
      <c r="E4394" s="1942" t="s">
        <v>3399</v>
      </c>
      <c r="F4394" s="1942"/>
      <c r="G4394" s="1277" t="s">
        <v>19</v>
      </c>
      <c r="H4394" s="1218">
        <v>110</v>
      </c>
      <c r="V4394" s="1192">
        <v>50</v>
      </c>
    </row>
    <row r="4395" spans="1:22" s="1192" customFormat="1" ht="14.4" x14ac:dyDescent="0.3">
      <c r="A4395" s="1192" t="s">
        <v>202</v>
      </c>
      <c r="E4395" s="1942" t="s">
        <v>3480</v>
      </c>
      <c r="F4395" s="1942"/>
      <c r="G4395" s="1277" t="s">
        <v>19</v>
      </c>
      <c r="H4395" s="1218">
        <v>60</v>
      </c>
      <c r="L4395" s="1192" t="s">
        <v>430</v>
      </c>
      <c r="P4395" s="1192" t="s">
        <v>6277</v>
      </c>
      <c r="V4395" s="1192">
        <v>130</v>
      </c>
    </row>
    <row r="4396" spans="1:22" s="1192" customFormat="1" x14ac:dyDescent="0.35">
      <c r="A4396" s="1192" t="s">
        <v>202</v>
      </c>
      <c r="E4396" s="1746" t="s">
        <v>73</v>
      </c>
      <c r="F4396" s="1999"/>
      <c r="G4396" s="1999"/>
      <c r="H4396" s="881"/>
      <c r="K4396" s="1192" t="s">
        <v>3481</v>
      </c>
      <c r="V4396" s="1192">
        <v>38</v>
      </c>
    </row>
    <row r="4397" spans="1:22" s="1192" customFormat="1" ht="14.4" x14ac:dyDescent="0.3">
      <c r="A4397" s="1192" t="s">
        <v>202</v>
      </c>
      <c r="E4397" s="1743" t="s">
        <v>2391</v>
      </c>
      <c r="F4397" s="1743"/>
      <c r="G4397" s="1743"/>
      <c r="H4397" s="1743"/>
      <c r="V4397" s="1192">
        <v>280</v>
      </c>
    </row>
    <row r="4398" spans="1:22" s="1192" customFormat="1" ht="14.4" x14ac:dyDescent="0.3">
      <c r="A4398" s="1192" t="s">
        <v>202</v>
      </c>
      <c r="E4398" s="1743" t="s">
        <v>2392</v>
      </c>
      <c r="F4398" s="1743"/>
      <c r="G4398" s="1743"/>
      <c r="H4398" s="1743"/>
      <c r="V4398" s="1192">
        <v>411</v>
      </c>
    </row>
    <row r="4399" spans="1:22" s="1192" customFormat="1" ht="14.4" x14ac:dyDescent="0.3">
      <c r="A4399" s="1192" t="s">
        <v>202</v>
      </c>
      <c r="E4399" s="1743" t="s">
        <v>2445</v>
      </c>
      <c r="F4399" s="1743"/>
      <c r="G4399" s="1743"/>
      <c r="H4399" s="1743"/>
      <c r="V4399" s="1192">
        <v>211</v>
      </c>
    </row>
    <row r="4400" spans="1:22" s="1192" customFormat="1" ht="14.4" x14ac:dyDescent="0.3">
      <c r="A4400" s="1192" t="s">
        <v>202</v>
      </c>
      <c r="E4400" s="1743" t="s">
        <v>4652</v>
      </c>
      <c r="F4400" s="1743"/>
      <c r="G4400" s="1743"/>
      <c r="H4400" s="1743"/>
      <c r="V4400" s="1192">
        <v>251</v>
      </c>
    </row>
    <row r="4401" spans="1:22" s="1192" customFormat="1" ht="14.4" x14ac:dyDescent="0.3">
      <c r="A4401" s="1192" t="s">
        <v>202</v>
      </c>
      <c r="E4401" s="1743" t="s">
        <v>2595</v>
      </c>
      <c r="F4401" s="1743"/>
      <c r="G4401" s="1743"/>
      <c r="H4401" s="1743"/>
      <c r="V4401" s="1192">
        <v>142</v>
      </c>
    </row>
    <row r="4402" spans="1:22" s="1192" customFormat="1" ht="14.4" x14ac:dyDescent="0.3">
      <c r="A4402" s="1192" t="s">
        <v>202</v>
      </c>
      <c r="E4402" s="1741" t="s">
        <v>2485</v>
      </c>
      <c r="F4402" s="1741"/>
      <c r="G4402" s="360" t="s">
        <v>19</v>
      </c>
      <c r="H4402" s="1218">
        <v>102</v>
      </c>
      <c r="V4402" s="1192">
        <v>106</v>
      </c>
    </row>
    <row r="4403" spans="1:22" s="1192" customFormat="1" ht="14.4" x14ac:dyDescent="0.3">
      <c r="A4403" s="1192" t="s">
        <v>202</v>
      </c>
      <c r="E4403" s="1741" t="s">
        <v>3919</v>
      </c>
      <c r="F4403" s="1741"/>
      <c r="G4403" s="360" t="s">
        <v>19</v>
      </c>
      <c r="H4403" s="1218">
        <v>40.799999999999997</v>
      </c>
      <c r="V4403" s="1192">
        <v>34</v>
      </c>
    </row>
    <row r="4404" spans="1:22" s="1192" customFormat="1" ht="14.4" x14ac:dyDescent="0.3">
      <c r="A4404" s="1192" t="s">
        <v>202</v>
      </c>
      <c r="E4404" s="1741" t="s">
        <v>3920</v>
      </c>
      <c r="F4404" s="1741"/>
      <c r="G4404" s="360" t="s">
        <v>2488</v>
      </c>
      <c r="H4404" s="1218">
        <v>1.02</v>
      </c>
      <c r="V4404" s="1192">
        <v>51</v>
      </c>
    </row>
    <row r="4405" spans="1:22" s="1192" customFormat="1" ht="14.4" x14ac:dyDescent="0.3">
      <c r="A4405" s="1192" t="s">
        <v>202</v>
      </c>
      <c r="E4405" s="1741" t="s">
        <v>2489</v>
      </c>
      <c r="F4405" s="1741"/>
      <c r="G4405" s="360" t="s">
        <v>2488</v>
      </c>
      <c r="H4405" s="1218">
        <v>0.61</v>
      </c>
      <c r="V4405" s="1192">
        <v>75</v>
      </c>
    </row>
    <row r="4406" spans="1:22" s="1192" customFormat="1" ht="14.4" x14ac:dyDescent="0.3">
      <c r="A4406" s="1192" t="s">
        <v>202</v>
      </c>
      <c r="E4406" s="1741" t="s">
        <v>2490</v>
      </c>
      <c r="F4406" s="1741"/>
      <c r="G4406" s="360" t="s">
        <v>2488</v>
      </c>
      <c r="H4406" s="1218">
        <v>-0.61</v>
      </c>
      <c r="V4406" s="1192">
        <v>72</v>
      </c>
    </row>
    <row r="4407" spans="1:22" s="1192" customFormat="1" ht="14.4" x14ac:dyDescent="0.3">
      <c r="A4407" s="1192" t="s">
        <v>202</v>
      </c>
      <c r="E4407" s="1741" t="s">
        <v>2596</v>
      </c>
      <c r="F4407" s="1741"/>
      <c r="G4407" s="360"/>
      <c r="H4407" s="837"/>
      <c r="V4407" s="1192">
        <v>34</v>
      </c>
    </row>
    <row r="4408" spans="1:22" s="1192" customFormat="1" ht="14.4" x14ac:dyDescent="0.3">
      <c r="A4408" s="1192" t="s">
        <v>202</v>
      </c>
      <c r="E4408" s="1941" t="s">
        <v>2492</v>
      </c>
      <c r="F4408" s="1941"/>
      <c r="G4408" s="360" t="s">
        <v>19</v>
      </c>
      <c r="H4408" s="1218">
        <v>0.51</v>
      </c>
      <c r="V4408" s="1192">
        <v>57</v>
      </c>
    </row>
    <row r="4409" spans="1:22" s="1192" customFormat="1" ht="14.4" x14ac:dyDescent="0.3">
      <c r="A4409" s="1192" t="s">
        <v>202</v>
      </c>
      <c r="E4409" s="1941" t="s">
        <v>2493</v>
      </c>
      <c r="F4409" s="1941"/>
      <c r="G4409" s="360" t="s">
        <v>19</v>
      </c>
      <c r="H4409" s="1218">
        <v>1.02</v>
      </c>
      <c r="V4409" s="1192">
        <v>60</v>
      </c>
    </row>
    <row r="4410" spans="1:22" s="1192" customFormat="1" ht="14.4" x14ac:dyDescent="0.3">
      <c r="A4410" s="1192" t="s">
        <v>202</v>
      </c>
      <c r="E4410" s="1741" t="s">
        <v>2494</v>
      </c>
      <c r="F4410" s="1741"/>
      <c r="G4410" s="360"/>
      <c r="H4410" s="837"/>
      <c r="V4410" s="1192">
        <v>91</v>
      </c>
    </row>
    <row r="4411" spans="1:22" s="1192" customFormat="1" ht="14.4" x14ac:dyDescent="0.3">
      <c r="A4411" s="1192" t="s">
        <v>202</v>
      </c>
      <c r="E4411" s="1741" t="s">
        <v>2495</v>
      </c>
      <c r="F4411" s="1741"/>
      <c r="G4411" s="360"/>
      <c r="H4411" s="837"/>
      <c r="V4411" s="1192">
        <v>96</v>
      </c>
    </row>
    <row r="4412" spans="1:22" s="1192" customFormat="1" ht="14.4" x14ac:dyDescent="0.3">
      <c r="A4412" s="1192" t="s">
        <v>202</v>
      </c>
      <c r="E4412" s="1741" t="s">
        <v>2597</v>
      </c>
      <c r="F4412" s="1741"/>
      <c r="G4412" s="360"/>
      <c r="H4412" s="837"/>
      <c r="V4412" s="1192">
        <v>77</v>
      </c>
    </row>
    <row r="4413" spans="1:22" s="1192" customFormat="1" ht="14.4" x14ac:dyDescent="0.3">
      <c r="A4413" s="1192" t="s">
        <v>202</v>
      </c>
      <c r="E4413" s="1941" t="s">
        <v>2497</v>
      </c>
      <c r="F4413" s="1941"/>
      <c r="G4413" s="360" t="s">
        <v>19</v>
      </c>
      <c r="H4413" s="837" t="s">
        <v>2498</v>
      </c>
      <c r="V4413" s="1192">
        <v>18</v>
      </c>
    </row>
    <row r="4414" spans="1:22" s="1192" customFormat="1" ht="14.4" x14ac:dyDescent="0.3">
      <c r="A4414" s="1192" t="s">
        <v>202</v>
      </c>
      <c r="E4414" s="1941" t="s">
        <v>2499</v>
      </c>
      <c r="F4414" s="1941"/>
      <c r="G4414" s="360" t="s">
        <v>19</v>
      </c>
      <c r="H4414" s="1218">
        <v>4.08</v>
      </c>
      <c r="V4414" s="1192">
        <v>69</v>
      </c>
    </row>
    <row r="4415" spans="1:22" s="1192" customFormat="1" ht="14.4" x14ac:dyDescent="0.3">
      <c r="A4415" s="1192" t="s">
        <v>202</v>
      </c>
      <c r="E4415" s="1740" t="s">
        <v>4608</v>
      </c>
      <c r="F4415" s="1740"/>
      <c r="G4415" s="360" t="s">
        <v>19</v>
      </c>
      <c r="H4415" s="1218">
        <v>2.04</v>
      </c>
      <c r="V4415" s="1192">
        <v>199</v>
      </c>
    </row>
    <row r="4416" spans="1:22" s="1192" customFormat="1" x14ac:dyDescent="0.35">
      <c r="A4416" s="1192" t="s">
        <v>202</v>
      </c>
      <c r="E4416" s="1260" t="s">
        <v>143</v>
      </c>
      <c r="F4416" s="550"/>
      <c r="G4416" s="550"/>
      <c r="H4416" s="881"/>
      <c r="K4416" s="1192" t="s">
        <v>3482</v>
      </c>
      <c r="V4416" s="1192">
        <v>12</v>
      </c>
    </row>
    <row r="4417" spans="1:22" s="1192" customFormat="1" ht="14.4" x14ac:dyDescent="0.3">
      <c r="A4417" s="1192" t="s">
        <v>202</v>
      </c>
      <c r="E4417" s="1741" t="s">
        <v>2501</v>
      </c>
      <c r="F4417" s="1741"/>
      <c r="G4417" s="1741"/>
      <c r="H4417" s="1741"/>
      <c r="V4417" s="1192">
        <v>203</v>
      </c>
    </row>
    <row r="4418" spans="1:22" s="1192" customFormat="1" ht="14.4" x14ac:dyDescent="0.3">
      <c r="A4418" s="1192" t="s">
        <v>202</v>
      </c>
      <c r="E4418" s="1741" t="s">
        <v>2599</v>
      </c>
      <c r="F4418" s="1741"/>
      <c r="G4418" s="1277"/>
      <c r="H4418" s="837">
        <v>1.0441</v>
      </c>
      <c r="V4418" s="1192">
        <v>57</v>
      </c>
    </row>
    <row r="4419" spans="1:22" s="1192" customFormat="1" ht="14.4" x14ac:dyDescent="0.3">
      <c r="A4419" s="1192" t="s">
        <v>202</v>
      </c>
      <c r="E4419" s="1741" t="s">
        <v>2601</v>
      </c>
      <c r="F4419" s="1741"/>
      <c r="G4419" s="1277"/>
      <c r="H4419" s="837">
        <v>1.0341</v>
      </c>
      <c r="J4419" s="1192" t="s">
        <v>3483</v>
      </c>
      <c r="V4419" s="1192">
        <v>55</v>
      </c>
    </row>
    <row r="4420" spans="1:22" s="1192" customFormat="1" ht="22.8" x14ac:dyDescent="0.3">
      <c r="A4420" s="1192" t="s">
        <v>234</v>
      </c>
      <c r="C4420" s="1192" t="s">
        <v>2378</v>
      </c>
      <c r="E4420" s="1752" t="s">
        <v>234</v>
      </c>
      <c r="F4420" s="1752"/>
      <c r="G4420" s="1752"/>
      <c r="H4420" s="1752"/>
      <c r="I4420" s="1192" t="s">
        <v>603</v>
      </c>
      <c r="J4420" s="1192" t="s">
        <v>3484</v>
      </c>
      <c r="K4420" s="1192" t="s">
        <v>234</v>
      </c>
      <c r="M4420" s="1192">
        <v>9</v>
      </c>
      <c r="V4420" s="1192">
        <v>44</v>
      </c>
    </row>
    <row r="4421" spans="1:22" s="1192" customFormat="1" ht="17.399999999999999" x14ac:dyDescent="0.3">
      <c r="A4421" s="1192" t="s">
        <v>234</v>
      </c>
      <c r="C4421" s="1192" t="s">
        <v>2380</v>
      </c>
      <c r="E4421" s="1753" t="s">
        <v>2381</v>
      </c>
      <c r="F4421" s="1753"/>
      <c r="G4421" s="1753"/>
      <c r="H4421" s="1753"/>
      <c r="V4421" s="1192">
        <v>27</v>
      </c>
    </row>
    <row r="4422" spans="1:22" s="1192" customFormat="1" ht="15.6" x14ac:dyDescent="0.3">
      <c r="A4422" s="1192" t="s">
        <v>234</v>
      </c>
      <c r="C4422" s="1192" t="s">
        <v>2382</v>
      </c>
      <c r="E4422" s="1754" t="s">
        <v>5937</v>
      </c>
      <c r="F4422" s="1754"/>
      <c r="G4422" s="1754"/>
      <c r="H4422" s="1754"/>
      <c r="S4422" s="1192">
        <v>43831</v>
      </c>
      <c r="V4422" s="1192">
        <v>49</v>
      </c>
    </row>
    <row r="4423" spans="1:22" s="1192" customFormat="1" ht="14.4" x14ac:dyDescent="0.3">
      <c r="A4423" s="1192" t="s">
        <v>234</v>
      </c>
      <c r="C4423" s="1192" t="s">
        <v>2383</v>
      </c>
      <c r="E4423" s="1755" t="s">
        <v>2384</v>
      </c>
      <c r="F4423" s="1755"/>
      <c r="G4423" s="1755"/>
      <c r="H4423" s="1755"/>
      <c r="V4423" s="1192">
        <v>52</v>
      </c>
    </row>
    <row r="4424" spans="1:22" s="1192" customFormat="1" ht="14.4" x14ac:dyDescent="0.3">
      <c r="A4424" s="1192" t="s">
        <v>234</v>
      </c>
      <c r="E4424" s="1755" t="s">
        <v>2385</v>
      </c>
      <c r="F4424" s="1755"/>
      <c r="G4424" s="1755"/>
      <c r="H4424" s="1755"/>
      <c r="V4424" s="1192">
        <v>53</v>
      </c>
    </row>
    <row r="4425" spans="1:22" s="1192" customFormat="1" ht="14.4" x14ac:dyDescent="0.3">
      <c r="A4425" s="1192" t="s">
        <v>234</v>
      </c>
      <c r="E4425" s="1772" t="s">
        <v>6278</v>
      </c>
      <c r="F4425" s="1772"/>
      <c r="G4425" s="1772"/>
      <c r="H4425" s="1772"/>
      <c r="K4425" s="1192" t="s">
        <v>6278</v>
      </c>
      <c r="V4425" s="1192">
        <v>12</v>
      </c>
    </row>
    <row r="4426" spans="1:22" s="1192" customFormat="1" ht="14.4" x14ac:dyDescent="0.3">
      <c r="A4426" s="1192" t="s">
        <v>234</v>
      </c>
      <c r="E4426" s="1746" t="s">
        <v>427</v>
      </c>
      <c r="F4426" s="1743"/>
      <c r="G4426" s="1743"/>
      <c r="H4426" s="1743"/>
      <c r="K4426" s="1192" t="s">
        <v>2506</v>
      </c>
      <c r="V4426" s="1192">
        <v>34</v>
      </c>
    </row>
    <row r="4427" spans="1:22" s="1192" customFormat="1" ht="14.4" x14ac:dyDescent="0.3">
      <c r="A4427" s="1192" t="s">
        <v>234</v>
      </c>
      <c r="E4427" s="1743" t="s">
        <v>3485</v>
      </c>
      <c r="F4427" s="1743"/>
      <c r="G4427" s="1743"/>
      <c r="H4427" s="1743"/>
      <c r="K4427" s="1192" t="s">
        <v>2506</v>
      </c>
      <c r="V4427" s="1192">
        <v>733</v>
      </c>
    </row>
    <row r="4428" spans="1:22" s="1192" customFormat="1" ht="14.4" x14ac:dyDescent="0.3">
      <c r="A4428" s="1192" t="s">
        <v>234</v>
      </c>
      <c r="E4428" s="1750" t="s">
        <v>2389</v>
      </c>
      <c r="F4428" s="1743"/>
      <c r="G4428" s="1743"/>
      <c r="H4428" s="1743"/>
      <c r="K4428" s="1192" t="s">
        <v>2390</v>
      </c>
      <c r="V4428" s="1192">
        <v>11</v>
      </c>
    </row>
    <row r="4429" spans="1:22" s="1192" customFormat="1" ht="14.4" x14ac:dyDescent="0.3">
      <c r="A4429" s="1192" t="s">
        <v>234</v>
      </c>
      <c r="E4429" s="1743" t="s">
        <v>2391</v>
      </c>
      <c r="F4429" s="1743"/>
      <c r="G4429" s="1743"/>
      <c r="H4429" s="1743"/>
      <c r="K4429" s="1192" t="s">
        <v>2506</v>
      </c>
      <c r="V4429" s="1192">
        <v>280</v>
      </c>
    </row>
    <row r="4430" spans="1:22" s="1192" customFormat="1" ht="14.4" x14ac:dyDescent="0.3">
      <c r="A4430" s="1192" t="s">
        <v>234</v>
      </c>
      <c r="E4430" s="1743" t="s">
        <v>2392</v>
      </c>
      <c r="F4430" s="1743"/>
      <c r="G4430" s="1743"/>
      <c r="H4430" s="1743"/>
      <c r="K4430" s="1192" t="s">
        <v>2506</v>
      </c>
      <c r="V4430" s="1192">
        <v>411</v>
      </c>
    </row>
    <row r="4431" spans="1:22" s="1192" customFormat="1" ht="14.4" x14ac:dyDescent="0.3">
      <c r="A4431" s="1192" t="s">
        <v>234</v>
      </c>
      <c r="E4431" s="1743" t="s">
        <v>3486</v>
      </c>
      <c r="F4431" s="1743"/>
      <c r="G4431" s="1743"/>
      <c r="H4431" s="1743"/>
      <c r="K4431" s="1192" t="s">
        <v>2506</v>
      </c>
      <c r="V4431" s="1192">
        <v>385</v>
      </c>
    </row>
    <row r="4432" spans="1:22" s="1192" customFormat="1" ht="14.4" x14ac:dyDescent="0.3">
      <c r="A4432" s="1192" t="s">
        <v>234</v>
      </c>
      <c r="E4432" s="1743" t="s">
        <v>4652</v>
      </c>
      <c r="F4432" s="1743"/>
      <c r="G4432" s="1743"/>
      <c r="H4432" s="1743"/>
      <c r="K4432" s="1192" t="s">
        <v>2506</v>
      </c>
      <c r="V4432" s="1192">
        <v>251</v>
      </c>
    </row>
    <row r="4433" spans="1:22" s="1192" customFormat="1" ht="14.4" x14ac:dyDescent="0.3">
      <c r="A4433" s="1192" t="s">
        <v>234</v>
      </c>
      <c r="E4433" s="1750" t="s">
        <v>2394</v>
      </c>
      <c r="F4433" s="1743"/>
      <c r="G4433" s="1743"/>
      <c r="H4433" s="1743"/>
      <c r="K4433" s="1192" t="s">
        <v>2395</v>
      </c>
      <c r="V4433" s="1192">
        <v>46</v>
      </c>
    </row>
    <row r="4434" spans="1:22" s="1192" customFormat="1" ht="14.4" x14ac:dyDescent="0.3">
      <c r="A4434" s="1192" t="s">
        <v>234</v>
      </c>
      <c r="E4434" s="1741" t="s">
        <v>7</v>
      </c>
      <c r="F4434" s="1741"/>
      <c r="G4434" s="1277" t="s">
        <v>19</v>
      </c>
      <c r="H4434" s="1218">
        <v>29.89</v>
      </c>
      <c r="K4434" s="1192" t="s">
        <v>2506</v>
      </c>
      <c r="L4434" s="1192" t="s">
        <v>430</v>
      </c>
      <c r="P4434" s="1192" t="s">
        <v>2510</v>
      </c>
      <c r="V4434" s="1192">
        <v>14</v>
      </c>
    </row>
    <row r="4435" spans="1:22" s="1192" customFormat="1" ht="14.4" x14ac:dyDescent="0.3">
      <c r="A4435" s="1192" t="s">
        <v>234</v>
      </c>
      <c r="E4435" s="1741" t="s">
        <v>3900</v>
      </c>
      <c r="F4435" s="1741"/>
      <c r="G4435" s="1277" t="s">
        <v>19</v>
      </c>
      <c r="H4435" s="1218">
        <v>0.56999999999999995</v>
      </c>
      <c r="K4435" s="1192" t="s">
        <v>2506</v>
      </c>
      <c r="L4435" s="1192" t="s">
        <v>431</v>
      </c>
      <c r="P4435" s="1192" t="s">
        <v>2511</v>
      </c>
      <c r="T4435" s="1192">
        <v>44926</v>
      </c>
      <c r="V4435" s="1192">
        <v>64</v>
      </c>
    </row>
    <row r="4436" spans="1:22" s="1192" customFormat="1" ht="14.4" x14ac:dyDescent="0.3">
      <c r="A4436" s="1192" t="s">
        <v>234</v>
      </c>
      <c r="E4436" s="1741" t="s">
        <v>14</v>
      </c>
      <c r="F4436" s="1741"/>
      <c r="G4436" s="1277" t="s">
        <v>20</v>
      </c>
      <c r="H4436" s="1219">
        <v>4.0000000000000002E-4</v>
      </c>
      <c r="K4436" s="1192" t="s">
        <v>2506</v>
      </c>
      <c r="L4436" s="1192" t="s">
        <v>431</v>
      </c>
      <c r="P4436" s="1192" t="s">
        <v>2513</v>
      </c>
      <c r="V4436" s="1192">
        <v>24</v>
      </c>
    </row>
    <row r="4437" spans="1:22" s="1192" customFormat="1" ht="14.4" x14ac:dyDescent="0.3">
      <c r="A4437" s="1192" t="s">
        <v>234</v>
      </c>
      <c r="E4437" s="1741" t="s">
        <v>5939</v>
      </c>
      <c r="F4437" s="1998"/>
      <c r="G4437" s="1277" t="s">
        <v>20</v>
      </c>
      <c r="H4437" s="1219">
        <v>6.9999999999999999E-4</v>
      </c>
      <c r="K4437" s="1192" t="s">
        <v>2506</v>
      </c>
      <c r="L4437" s="1192" t="s">
        <v>430</v>
      </c>
      <c r="P4437" s="1192" t="s">
        <v>2515</v>
      </c>
      <c r="T4437" s="1192">
        <v>44196</v>
      </c>
      <c r="V4437" s="1192">
        <v>138</v>
      </c>
    </row>
    <row r="4438" spans="1:22" s="1192" customFormat="1" ht="14.4" x14ac:dyDescent="0.3">
      <c r="A4438" s="1192" t="s">
        <v>234</v>
      </c>
      <c r="E4438" s="1741" t="s">
        <v>213</v>
      </c>
      <c r="F4438" s="1741"/>
      <c r="G4438" s="1277" t="s">
        <v>20</v>
      </c>
      <c r="H4438" s="1219">
        <v>8.0999999999999996E-3</v>
      </c>
      <c r="K4438" s="1192" t="s">
        <v>2506</v>
      </c>
      <c r="L4438" s="1192" t="s">
        <v>432</v>
      </c>
      <c r="P4438" s="1192" t="s">
        <v>2517</v>
      </c>
      <c r="V4438" s="1192">
        <v>47</v>
      </c>
    </row>
    <row r="4439" spans="1:22" s="1192" customFormat="1" ht="14.4" x14ac:dyDescent="0.3">
      <c r="A4439" s="1192" t="s">
        <v>234</v>
      </c>
      <c r="E4439" s="1741" t="s">
        <v>209</v>
      </c>
      <c r="F4439" s="1741"/>
      <c r="G4439" s="1277" t="s">
        <v>20</v>
      </c>
      <c r="H4439" s="1219">
        <v>6.1000000000000004E-3</v>
      </c>
      <c r="K4439" s="1192" t="s">
        <v>2506</v>
      </c>
      <c r="L4439" s="1192" t="s">
        <v>432</v>
      </c>
      <c r="P4439" s="1192" t="s">
        <v>2518</v>
      </c>
      <c r="V4439" s="1192">
        <v>74</v>
      </c>
    </row>
    <row r="4440" spans="1:22" s="1192" customFormat="1" ht="14.4" x14ac:dyDescent="0.3">
      <c r="A4440" s="1192" t="s">
        <v>234</v>
      </c>
      <c r="E4440" s="1750" t="s">
        <v>2405</v>
      </c>
      <c r="F4440" s="1741"/>
      <c r="G4440" s="1277"/>
      <c r="H4440" s="896"/>
      <c r="K4440" s="1192" t="s">
        <v>2406</v>
      </c>
      <c r="V4440" s="1192">
        <v>48</v>
      </c>
    </row>
    <row r="4441" spans="1:22" s="1192" customFormat="1" ht="14.4" x14ac:dyDescent="0.3">
      <c r="A4441" s="1192" t="s">
        <v>234</v>
      </c>
      <c r="E4441" s="1741" t="s">
        <v>2033</v>
      </c>
      <c r="F4441" s="1741"/>
      <c r="G4441" s="1277" t="s">
        <v>20</v>
      </c>
      <c r="H4441" s="1219">
        <v>3.0000000000000001E-3</v>
      </c>
      <c r="K4441" s="1192" t="s">
        <v>2506</v>
      </c>
      <c r="L4441" s="1192" t="s">
        <v>2374</v>
      </c>
      <c r="P4441" s="1192" t="s">
        <v>2519</v>
      </c>
      <c r="V4441" s="1192">
        <v>55</v>
      </c>
    </row>
    <row r="4442" spans="1:22" s="1192" customFormat="1" ht="14.4" x14ac:dyDescent="0.3">
      <c r="A4442" s="1192" t="s">
        <v>234</v>
      </c>
      <c r="E4442" s="1741" t="s">
        <v>2034</v>
      </c>
      <c r="F4442" s="1741"/>
      <c r="G4442" s="1277" t="s">
        <v>20</v>
      </c>
      <c r="H4442" s="1219">
        <v>4.0000000000000002E-4</v>
      </c>
      <c r="K4442" s="1192" t="s">
        <v>2506</v>
      </c>
      <c r="L4442" s="1192" t="s">
        <v>2374</v>
      </c>
      <c r="P4442" s="1192" t="s">
        <v>2519</v>
      </c>
      <c r="V4442" s="1192">
        <v>65</v>
      </c>
    </row>
    <row r="4443" spans="1:22" s="1192" customFormat="1" ht="14.4" x14ac:dyDescent="0.3">
      <c r="A4443" s="1192" t="s">
        <v>234</v>
      </c>
      <c r="E4443" s="1741" t="s">
        <v>428</v>
      </c>
      <c r="F4443" s="1741"/>
      <c r="G4443" s="1277" t="s">
        <v>20</v>
      </c>
      <c r="H4443" s="1219">
        <v>5.0000000000000001E-4</v>
      </c>
      <c r="K4443" s="1192" t="s">
        <v>2506</v>
      </c>
      <c r="L4443" s="1192" t="s">
        <v>2374</v>
      </c>
      <c r="P4443" s="1192" t="s">
        <v>2520</v>
      </c>
      <c r="V4443" s="1192">
        <v>57</v>
      </c>
    </row>
    <row r="4444" spans="1:22" s="1192" customFormat="1" ht="14.4" x14ac:dyDescent="0.3">
      <c r="A4444" s="1192" t="s">
        <v>234</v>
      </c>
      <c r="E4444" s="1741" t="s">
        <v>28</v>
      </c>
      <c r="F4444" s="1741"/>
      <c r="G4444" s="1277" t="s">
        <v>19</v>
      </c>
      <c r="H4444" s="1218">
        <v>0.25</v>
      </c>
      <c r="K4444" s="1192" t="s">
        <v>2506</v>
      </c>
      <c r="L4444" s="1192" t="s">
        <v>2374</v>
      </c>
      <c r="P4444" s="1192" t="s">
        <v>2521</v>
      </c>
      <c r="V4444" s="1192">
        <v>63</v>
      </c>
    </row>
    <row r="4445" spans="1:22" s="1192" customFormat="1" ht="17.399999999999999" x14ac:dyDescent="0.3">
      <c r="A4445" s="1192" t="s">
        <v>234</v>
      </c>
      <c r="E4445" s="1746" t="s">
        <v>2522</v>
      </c>
      <c r="F4445" s="1747"/>
      <c r="G4445" s="1747"/>
      <c r="H4445" s="1747"/>
      <c r="K4445" s="1192" t="s">
        <v>3901</v>
      </c>
      <c r="V4445" s="1192">
        <v>54</v>
      </c>
    </row>
    <row r="4446" spans="1:22" s="1192" customFormat="1" ht="14.4" x14ac:dyDescent="0.3">
      <c r="A4446" s="1192" t="s">
        <v>234</v>
      </c>
      <c r="E4446" s="1743" t="s">
        <v>3487</v>
      </c>
      <c r="F4446" s="1743"/>
      <c r="G4446" s="1743"/>
      <c r="H4446" s="1743"/>
      <c r="K4446" s="1192" t="s">
        <v>3901</v>
      </c>
      <c r="V4446" s="1192">
        <v>584</v>
      </c>
    </row>
    <row r="4447" spans="1:22" s="1192" customFormat="1" ht="14.4" x14ac:dyDescent="0.3">
      <c r="A4447" s="1192" t="s">
        <v>234</v>
      </c>
      <c r="E4447" s="1750" t="s">
        <v>2389</v>
      </c>
      <c r="F4447" s="1743"/>
      <c r="G4447" s="1743"/>
      <c r="H4447" s="1743"/>
      <c r="K4447" s="1192" t="s">
        <v>2412</v>
      </c>
      <c r="V4447" s="1192">
        <v>11</v>
      </c>
    </row>
    <row r="4448" spans="1:22" s="1192" customFormat="1" ht="14.4" x14ac:dyDescent="0.3">
      <c r="A4448" s="1192" t="s">
        <v>234</v>
      </c>
      <c r="E4448" s="1743" t="s">
        <v>2391</v>
      </c>
      <c r="F4448" s="1743"/>
      <c r="G4448" s="1743"/>
      <c r="H4448" s="1743"/>
      <c r="K4448" s="1192" t="s">
        <v>3901</v>
      </c>
      <c r="V4448" s="1192">
        <v>280</v>
      </c>
    </row>
    <row r="4449" spans="1:22" s="1192" customFormat="1" ht="14.4" x14ac:dyDescent="0.3">
      <c r="A4449" s="1192" t="s">
        <v>234</v>
      </c>
      <c r="E4449" s="1743" t="s">
        <v>2392</v>
      </c>
      <c r="F4449" s="1743"/>
      <c r="G4449" s="1743"/>
      <c r="H4449" s="1743"/>
      <c r="K4449" s="1192" t="s">
        <v>3901</v>
      </c>
      <c r="V4449" s="1192">
        <v>411</v>
      </c>
    </row>
    <row r="4450" spans="1:22" s="1192" customFormat="1" ht="14.4" x14ac:dyDescent="0.3">
      <c r="A4450" s="1192" t="s">
        <v>234</v>
      </c>
      <c r="E4450" s="1743" t="s">
        <v>3486</v>
      </c>
      <c r="F4450" s="1743"/>
      <c r="G4450" s="1743"/>
      <c r="H4450" s="1743"/>
      <c r="K4450" s="1192" t="s">
        <v>3901</v>
      </c>
      <c r="V4450" s="1192">
        <v>385</v>
      </c>
    </row>
    <row r="4451" spans="1:22" s="1192" customFormat="1" ht="14.4" x14ac:dyDescent="0.3">
      <c r="A4451" s="1192" t="s">
        <v>234</v>
      </c>
      <c r="E4451" s="1743" t="s">
        <v>4652</v>
      </c>
      <c r="F4451" s="1743"/>
      <c r="G4451" s="1743"/>
      <c r="H4451" s="1743"/>
      <c r="K4451" s="1192" t="s">
        <v>3901</v>
      </c>
      <c r="V4451" s="1192">
        <v>251</v>
      </c>
    </row>
    <row r="4452" spans="1:22" s="1192" customFormat="1" ht="14.4" x14ac:dyDescent="0.3">
      <c r="A4452" s="1192" t="s">
        <v>234</v>
      </c>
      <c r="E4452" s="1750" t="s">
        <v>2394</v>
      </c>
      <c r="F4452" s="1743"/>
      <c r="G4452" s="1743"/>
      <c r="H4452" s="1743"/>
      <c r="K4452" s="1192" t="s">
        <v>2413</v>
      </c>
      <c r="V4452" s="1192">
        <v>46</v>
      </c>
    </row>
    <row r="4453" spans="1:22" s="1192" customFormat="1" ht="14.4" x14ac:dyDescent="0.3">
      <c r="A4453" s="1192" t="s">
        <v>234</v>
      </c>
      <c r="E4453" s="1741" t="s">
        <v>7</v>
      </c>
      <c r="F4453" s="1741"/>
      <c r="G4453" s="1277" t="s">
        <v>19</v>
      </c>
      <c r="H4453" s="1218">
        <v>37.659999999999997</v>
      </c>
      <c r="K4453" s="1192" t="s">
        <v>3901</v>
      </c>
      <c r="L4453" s="1192" t="s">
        <v>430</v>
      </c>
      <c r="P4453" s="1192" t="s">
        <v>3902</v>
      </c>
      <c r="V4453" s="1192">
        <v>14</v>
      </c>
    </row>
    <row r="4454" spans="1:22" s="1192" customFormat="1" ht="14.4" x14ac:dyDescent="0.3">
      <c r="A4454" s="1192" t="s">
        <v>234</v>
      </c>
      <c r="E4454" s="1741" t="s">
        <v>3900</v>
      </c>
      <c r="F4454" s="1741"/>
      <c r="G4454" s="1277" t="s">
        <v>19</v>
      </c>
      <c r="H4454" s="1218">
        <v>0.56999999999999995</v>
      </c>
      <c r="K4454" s="1192" t="s">
        <v>3901</v>
      </c>
      <c r="L4454" s="1192" t="s">
        <v>431</v>
      </c>
      <c r="P4454" s="1192" t="s">
        <v>3903</v>
      </c>
      <c r="T4454" s="1192">
        <v>44926</v>
      </c>
      <c r="V4454" s="1192">
        <v>64</v>
      </c>
    </row>
    <row r="4455" spans="1:22" s="1192" customFormat="1" ht="14.4" x14ac:dyDescent="0.3">
      <c r="A4455" s="1192" t="s">
        <v>234</v>
      </c>
      <c r="E4455" s="1741" t="s">
        <v>80</v>
      </c>
      <c r="F4455" s="1741"/>
      <c r="G4455" s="1277" t="s">
        <v>20</v>
      </c>
      <c r="H4455" s="1219">
        <v>1.67E-2</v>
      </c>
      <c r="K4455" s="1192" t="s">
        <v>3901</v>
      </c>
      <c r="L4455" s="1192" t="s">
        <v>430</v>
      </c>
      <c r="P4455" s="1192" t="s">
        <v>3904</v>
      </c>
      <c r="V4455" s="1192">
        <v>28</v>
      </c>
    </row>
    <row r="4456" spans="1:22" s="1192" customFormat="1" ht="14.4" x14ac:dyDescent="0.3">
      <c r="A4456" s="1192" t="s">
        <v>234</v>
      </c>
      <c r="E4456" s="1741" t="s">
        <v>14</v>
      </c>
      <c r="F4456" s="1741"/>
      <c r="G4456" s="1277" t="s">
        <v>20</v>
      </c>
      <c r="H4456" s="1219">
        <v>2.9999999999999997E-4</v>
      </c>
      <c r="K4456" s="1192" t="s">
        <v>3901</v>
      </c>
      <c r="L4456" s="1192" t="s">
        <v>431</v>
      </c>
      <c r="P4456" s="1192" t="s">
        <v>3905</v>
      </c>
      <c r="V4456" s="1192">
        <v>24</v>
      </c>
    </row>
    <row r="4457" spans="1:22" s="1192" customFormat="1" ht="14.4" x14ac:dyDescent="0.3">
      <c r="A4457" s="1192" t="s">
        <v>234</v>
      </c>
      <c r="E4457" s="1741" t="s">
        <v>5939</v>
      </c>
      <c r="F4457" s="1998"/>
      <c r="G4457" s="1277" t="s">
        <v>20</v>
      </c>
      <c r="H4457" s="1219">
        <v>2.5999999999999999E-3</v>
      </c>
      <c r="K4457" s="1192" t="s">
        <v>3901</v>
      </c>
      <c r="L4457" s="1192" t="s">
        <v>430</v>
      </c>
      <c r="P4457" s="1192" t="s">
        <v>4000</v>
      </c>
      <c r="T4457" s="1192">
        <v>44196</v>
      </c>
      <c r="V4457" s="1192">
        <v>138</v>
      </c>
    </row>
    <row r="4458" spans="1:22" s="1192" customFormat="1" ht="14.4" x14ac:dyDescent="0.3">
      <c r="A4458" s="1192" t="s">
        <v>234</v>
      </c>
      <c r="E4458" s="1741" t="s">
        <v>213</v>
      </c>
      <c r="F4458" s="1741"/>
      <c r="G4458" s="1277" t="s">
        <v>20</v>
      </c>
      <c r="H4458" s="1219">
        <v>7.4000000000000003E-3</v>
      </c>
      <c r="K4458" s="1192" t="s">
        <v>3901</v>
      </c>
      <c r="L4458" s="1192" t="s">
        <v>432</v>
      </c>
      <c r="P4458" s="1192" t="s">
        <v>3906</v>
      </c>
      <c r="V4458" s="1192">
        <v>47</v>
      </c>
    </row>
    <row r="4459" spans="1:22" s="1192" customFormat="1" ht="14.4" x14ac:dyDescent="0.3">
      <c r="A4459" s="1192" t="s">
        <v>234</v>
      </c>
      <c r="E4459" s="1741" t="s">
        <v>209</v>
      </c>
      <c r="F4459" s="1741"/>
      <c r="G4459" s="1277" t="s">
        <v>20</v>
      </c>
      <c r="H4459" s="1219">
        <v>5.5999999999999999E-3</v>
      </c>
      <c r="K4459" s="1192" t="s">
        <v>3901</v>
      </c>
      <c r="L4459" s="1192" t="s">
        <v>432</v>
      </c>
      <c r="P4459" s="1192" t="s">
        <v>3907</v>
      </c>
      <c r="V4459" s="1192">
        <v>74</v>
      </c>
    </row>
    <row r="4460" spans="1:22" s="1192" customFormat="1" ht="14.4" x14ac:dyDescent="0.3">
      <c r="A4460" s="1192" t="s">
        <v>234</v>
      </c>
      <c r="E4460" s="1750" t="s">
        <v>2405</v>
      </c>
      <c r="F4460" s="1741"/>
      <c r="G4460" s="1277"/>
      <c r="H4460" s="896"/>
      <c r="K4460" s="1192" t="s">
        <v>2418</v>
      </c>
      <c r="V4460" s="1192">
        <v>48</v>
      </c>
    </row>
    <row r="4461" spans="1:22" s="1192" customFormat="1" ht="14.4" x14ac:dyDescent="0.3">
      <c r="A4461" s="1192" t="s">
        <v>234</v>
      </c>
      <c r="E4461" s="1741" t="s">
        <v>2033</v>
      </c>
      <c r="F4461" s="1741"/>
      <c r="G4461" s="1277" t="s">
        <v>20</v>
      </c>
      <c r="H4461" s="1219">
        <v>3.0000000000000001E-3</v>
      </c>
      <c r="K4461" s="1192" t="s">
        <v>3901</v>
      </c>
      <c r="L4461" s="1192" t="s">
        <v>2374</v>
      </c>
      <c r="P4461" s="1192" t="s">
        <v>3908</v>
      </c>
      <c r="V4461" s="1192">
        <v>55</v>
      </c>
    </row>
    <row r="4462" spans="1:22" s="1192" customFormat="1" ht="14.4" x14ac:dyDescent="0.3">
      <c r="A4462" s="1192" t="s">
        <v>234</v>
      </c>
      <c r="E4462" s="1741" t="s">
        <v>2034</v>
      </c>
      <c r="F4462" s="1741"/>
      <c r="G4462" s="1277" t="s">
        <v>20</v>
      </c>
      <c r="H4462" s="1219">
        <v>4.0000000000000002E-4</v>
      </c>
      <c r="K4462" s="1192" t="s">
        <v>3901</v>
      </c>
      <c r="L4462" s="1192" t="s">
        <v>2374</v>
      </c>
      <c r="P4462" s="1192" t="s">
        <v>3908</v>
      </c>
      <c r="V4462" s="1192">
        <v>65</v>
      </c>
    </row>
    <row r="4463" spans="1:22" s="1192" customFormat="1" ht="14.4" x14ac:dyDescent="0.3">
      <c r="A4463" s="1192" t="s">
        <v>234</v>
      </c>
      <c r="E4463" s="1741" t="s">
        <v>428</v>
      </c>
      <c r="F4463" s="1741"/>
      <c r="G4463" s="1277" t="s">
        <v>20</v>
      </c>
      <c r="H4463" s="1219">
        <v>5.0000000000000001E-4</v>
      </c>
      <c r="K4463" s="1192" t="s">
        <v>3901</v>
      </c>
      <c r="L4463" s="1192" t="s">
        <v>2374</v>
      </c>
      <c r="P4463" s="1192" t="s">
        <v>3909</v>
      </c>
      <c r="V4463" s="1192">
        <v>57</v>
      </c>
    </row>
    <row r="4464" spans="1:22" s="1192" customFormat="1" ht="14.4" x14ac:dyDescent="0.3">
      <c r="A4464" s="1192" t="s">
        <v>234</v>
      </c>
      <c r="E4464" s="1741" t="s">
        <v>28</v>
      </c>
      <c r="F4464" s="1741"/>
      <c r="G4464" s="1277" t="s">
        <v>19</v>
      </c>
      <c r="H4464" s="1218">
        <v>0.25</v>
      </c>
      <c r="K4464" s="1192" t="s">
        <v>3901</v>
      </c>
      <c r="L4464" s="1192" t="s">
        <v>2374</v>
      </c>
      <c r="P4464" s="1192" t="s">
        <v>3910</v>
      </c>
      <c r="V4464" s="1192">
        <v>63</v>
      </c>
    </row>
    <row r="4465" spans="1:22" s="1192" customFormat="1" ht="17.399999999999999" x14ac:dyDescent="0.3">
      <c r="A4465" s="1192" t="s">
        <v>234</v>
      </c>
      <c r="E4465" s="1746" t="s">
        <v>2524</v>
      </c>
      <c r="F4465" s="1747"/>
      <c r="G4465" s="1747"/>
      <c r="H4465" s="1747"/>
      <c r="K4465" s="1192" t="s">
        <v>3937</v>
      </c>
      <c r="V4465" s="1192">
        <v>51</v>
      </c>
    </row>
    <row r="4466" spans="1:22" s="1192" customFormat="1" ht="14.4" x14ac:dyDescent="0.3">
      <c r="A4466" s="1192" t="s">
        <v>234</v>
      </c>
      <c r="E4466" s="1743" t="s">
        <v>3488</v>
      </c>
      <c r="F4466" s="1743"/>
      <c r="G4466" s="1743"/>
      <c r="H4466" s="1743"/>
      <c r="K4466" s="1192" t="s">
        <v>3937</v>
      </c>
      <c r="V4466" s="1192">
        <v>565</v>
      </c>
    </row>
    <row r="4467" spans="1:22" s="1192" customFormat="1" ht="14.4" x14ac:dyDescent="0.3">
      <c r="A4467" s="1192" t="s">
        <v>234</v>
      </c>
      <c r="E4467" s="1750" t="s">
        <v>2389</v>
      </c>
      <c r="F4467" s="1743"/>
      <c r="G4467" s="1743"/>
      <c r="H4467" s="1743"/>
      <c r="K4467" s="1192" t="s">
        <v>2422</v>
      </c>
      <c r="V4467" s="1192">
        <v>11</v>
      </c>
    </row>
    <row r="4468" spans="1:22" s="1192" customFormat="1" ht="14.4" x14ac:dyDescent="0.3">
      <c r="A4468" s="1192" t="s">
        <v>234</v>
      </c>
      <c r="E4468" s="1743" t="s">
        <v>2391</v>
      </c>
      <c r="F4468" s="1743"/>
      <c r="G4468" s="1743"/>
      <c r="H4468" s="1743"/>
      <c r="K4468" s="1192" t="s">
        <v>3937</v>
      </c>
      <c r="V4468" s="1192">
        <v>280</v>
      </c>
    </row>
    <row r="4469" spans="1:22" s="1192" customFormat="1" ht="14.4" x14ac:dyDescent="0.3">
      <c r="A4469" s="1192" t="s">
        <v>234</v>
      </c>
      <c r="E4469" s="1743" t="s">
        <v>3489</v>
      </c>
      <c r="F4469" s="1743"/>
      <c r="G4469" s="1743"/>
      <c r="H4469" s="1743"/>
      <c r="K4469" s="1192" t="s">
        <v>3937</v>
      </c>
      <c r="V4469" s="1192">
        <v>411</v>
      </c>
    </row>
    <row r="4470" spans="1:22" s="1192" customFormat="1" ht="14.4" x14ac:dyDescent="0.3">
      <c r="A4470" s="1192" t="s">
        <v>234</v>
      </c>
      <c r="E4470" s="1743" t="s">
        <v>2508</v>
      </c>
      <c r="F4470" s="1743"/>
      <c r="G4470" s="1743"/>
      <c r="H4470" s="1743"/>
      <c r="K4470" s="1192" t="s">
        <v>3937</v>
      </c>
      <c r="V4470" s="1192">
        <v>386</v>
      </c>
    </row>
    <row r="4471" spans="1:22" s="1192" customFormat="1" ht="14.4" x14ac:dyDescent="0.3">
      <c r="A4471" s="1192" t="s">
        <v>234</v>
      </c>
      <c r="E4471" s="1743" t="s">
        <v>4503</v>
      </c>
      <c r="F4471" s="1743"/>
      <c r="G4471" s="1743"/>
      <c r="H4471" s="1743"/>
      <c r="K4471" s="1192" t="s">
        <v>3937</v>
      </c>
      <c r="V4471" s="1192">
        <v>677</v>
      </c>
    </row>
    <row r="4472" spans="1:22" s="1192" customFormat="1" ht="14.4" x14ac:dyDescent="0.3">
      <c r="A4472" s="1192" t="s">
        <v>234</v>
      </c>
      <c r="E4472" s="1743" t="s">
        <v>4644</v>
      </c>
      <c r="F4472" s="1743"/>
      <c r="G4472" s="1743"/>
      <c r="H4472" s="1743"/>
      <c r="K4472" s="1192" t="s">
        <v>3937</v>
      </c>
      <c r="V4472" s="1192">
        <v>693</v>
      </c>
    </row>
    <row r="4473" spans="1:22" s="1192" customFormat="1" ht="14.4" x14ac:dyDescent="0.3">
      <c r="A4473" s="1192" t="s">
        <v>234</v>
      </c>
      <c r="E4473" s="1743" t="s">
        <v>4652</v>
      </c>
      <c r="F4473" s="1743"/>
      <c r="G4473" s="1743"/>
      <c r="H4473" s="1743"/>
      <c r="K4473" s="1192" t="s">
        <v>3937</v>
      </c>
      <c r="V4473" s="1192">
        <v>251</v>
      </c>
    </row>
    <row r="4474" spans="1:22" s="1192" customFormat="1" ht="14.4" x14ac:dyDescent="0.3">
      <c r="A4474" s="1192" t="s">
        <v>234</v>
      </c>
      <c r="E4474" s="1750" t="s">
        <v>2394</v>
      </c>
      <c r="F4474" s="1743"/>
      <c r="G4474" s="1743"/>
      <c r="H4474" s="1743"/>
      <c r="K4474" s="1192" t="s">
        <v>2423</v>
      </c>
      <c r="V4474" s="1192">
        <v>46</v>
      </c>
    </row>
    <row r="4475" spans="1:22" s="1192" customFormat="1" ht="14.4" x14ac:dyDescent="0.3">
      <c r="A4475" s="1192" t="s">
        <v>234</v>
      </c>
      <c r="E4475" s="1741" t="s">
        <v>7</v>
      </c>
      <c r="F4475" s="1741"/>
      <c r="G4475" s="1277" t="s">
        <v>19</v>
      </c>
      <c r="H4475" s="1218">
        <v>128.5</v>
      </c>
      <c r="K4475" s="1192" t="s">
        <v>3937</v>
      </c>
      <c r="L4475" s="1192" t="s">
        <v>430</v>
      </c>
      <c r="P4475" s="1192" t="s">
        <v>3938</v>
      </c>
      <c r="V4475" s="1192">
        <v>14</v>
      </c>
    </row>
    <row r="4476" spans="1:22" s="1192" customFormat="1" ht="14.4" x14ac:dyDescent="0.3">
      <c r="A4476" s="1192" t="s">
        <v>234</v>
      </c>
      <c r="E4476" s="1741" t="s">
        <v>80</v>
      </c>
      <c r="F4476" s="1741"/>
      <c r="G4476" s="1277" t="s">
        <v>29</v>
      </c>
      <c r="H4476" s="1219">
        <v>5.0248999999999997</v>
      </c>
      <c r="K4476" s="1192" t="s">
        <v>3937</v>
      </c>
      <c r="L4476" s="1192" t="s">
        <v>430</v>
      </c>
      <c r="P4476" s="1192" t="s">
        <v>3939</v>
      </c>
      <c r="V4476" s="1192">
        <v>28</v>
      </c>
    </row>
    <row r="4477" spans="1:22" s="1192" customFormat="1" ht="14.4" x14ac:dyDescent="0.3">
      <c r="A4477" s="1192" t="s">
        <v>234</v>
      </c>
      <c r="E4477" s="1741" t="s">
        <v>14</v>
      </c>
      <c r="F4477" s="1741"/>
      <c r="G4477" s="1277" t="s">
        <v>29</v>
      </c>
      <c r="H4477" s="1219">
        <v>0.1313</v>
      </c>
      <c r="K4477" s="1192" t="s">
        <v>3937</v>
      </c>
      <c r="L4477" s="1192" t="s">
        <v>431</v>
      </c>
      <c r="P4477" s="1192" t="s">
        <v>3940</v>
      </c>
      <c r="V4477" s="1192">
        <v>24</v>
      </c>
    </row>
    <row r="4478" spans="1:22" s="1192" customFormat="1" ht="14.4" x14ac:dyDescent="0.3">
      <c r="A4478" s="1192" t="s">
        <v>234</v>
      </c>
      <c r="E4478" s="1741" t="s">
        <v>5939</v>
      </c>
      <c r="F4478" s="1998"/>
      <c r="G4478" s="1277" t="s">
        <v>29</v>
      </c>
      <c r="H4478" s="1219">
        <v>0.21099999999999999</v>
      </c>
      <c r="K4478" s="1192" t="s">
        <v>3937</v>
      </c>
      <c r="L4478" s="1192" t="s">
        <v>430</v>
      </c>
      <c r="P4478" s="1192" t="s">
        <v>4090</v>
      </c>
      <c r="T4478" s="1192">
        <v>44196</v>
      </c>
      <c r="V4478" s="1192">
        <v>138</v>
      </c>
    </row>
    <row r="4479" spans="1:22" s="1192" customFormat="1" ht="14.4" x14ac:dyDescent="0.3">
      <c r="A4479" s="1192" t="s">
        <v>234</v>
      </c>
      <c r="E4479" s="1741" t="s">
        <v>213</v>
      </c>
      <c r="F4479" s="1741"/>
      <c r="G4479" s="1277" t="s">
        <v>29</v>
      </c>
      <c r="H4479" s="1219">
        <v>2.7963</v>
      </c>
      <c r="K4479" s="1192" t="s">
        <v>3937</v>
      </c>
      <c r="L4479" s="1192" t="s">
        <v>432</v>
      </c>
      <c r="P4479" s="1192" t="s">
        <v>3941</v>
      </c>
      <c r="V4479" s="1192">
        <v>47</v>
      </c>
    </row>
    <row r="4480" spans="1:22" s="1192" customFormat="1" ht="14.4" x14ac:dyDescent="0.3">
      <c r="A4480" s="1192" t="s">
        <v>234</v>
      </c>
      <c r="E4480" s="1741" t="s">
        <v>215</v>
      </c>
      <c r="F4480" s="1741"/>
      <c r="G4480" s="1277" t="s">
        <v>29</v>
      </c>
      <c r="H4480" s="1219">
        <v>2.8866000000000001</v>
      </c>
      <c r="K4480" s="1192" t="s">
        <v>3937</v>
      </c>
      <c r="L4480" s="1192" t="s">
        <v>432</v>
      </c>
      <c r="P4480" s="1192" t="s">
        <v>3941</v>
      </c>
      <c r="V4480" s="1192">
        <v>66</v>
      </c>
    </row>
    <row r="4481" spans="1:22" s="1192" customFormat="1" ht="14.4" x14ac:dyDescent="0.3">
      <c r="A4481" s="1192" t="s">
        <v>234</v>
      </c>
      <c r="E4481" s="1741" t="s">
        <v>209</v>
      </c>
      <c r="F4481" s="1741"/>
      <c r="G4481" s="1277" t="s">
        <v>29</v>
      </c>
      <c r="H4481" s="1219">
        <v>2.1089000000000002</v>
      </c>
      <c r="K4481" s="1192" t="s">
        <v>3937</v>
      </c>
      <c r="L4481" s="1192" t="s">
        <v>432</v>
      </c>
      <c r="P4481" s="1192" t="s">
        <v>3942</v>
      </c>
      <c r="V4481" s="1192">
        <v>74</v>
      </c>
    </row>
    <row r="4482" spans="1:22" s="1192" customFormat="1" ht="14.4" x14ac:dyDescent="0.3">
      <c r="A4482" s="1192" t="s">
        <v>234</v>
      </c>
      <c r="E4482" s="1741" t="s">
        <v>211</v>
      </c>
      <c r="F4482" s="1741"/>
      <c r="G4482" s="1277" t="s">
        <v>29</v>
      </c>
      <c r="H4482" s="1219">
        <v>2.1772</v>
      </c>
      <c r="K4482" s="1192" t="s">
        <v>3937</v>
      </c>
      <c r="L4482" s="1192" t="s">
        <v>432</v>
      </c>
      <c r="P4482" s="1192" t="s">
        <v>3942</v>
      </c>
      <c r="V4482" s="1192">
        <v>93</v>
      </c>
    </row>
    <row r="4483" spans="1:22" s="1192" customFormat="1" ht="14.4" x14ac:dyDescent="0.3">
      <c r="A4483" s="1192" t="s">
        <v>234</v>
      </c>
      <c r="E4483" s="1750" t="s">
        <v>2405</v>
      </c>
      <c r="F4483" s="1741"/>
      <c r="G4483" s="1277"/>
      <c r="H4483" s="896"/>
      <c r="K4483" s="1192" t="s">
        <v>2526</v>
      </c>
      <c r="V4483" s="1192">
        <v>48</v>
      </c>
    </row>
    <row r="4484" spans="1:22" s="1192" customFormat="1" ht="14.4" x14ac:dyDescent="0.3">
      <c r="A4484" s="1192" t="s">
        <v>234</v>
      </c>
      <c r="E4484" s="1741" t="s">
        <v>2033</v>
      </c>
      <c r="F4484" s="1741"/>
      <c r="G4484" s="1277" t="s">
        <v>20</v>
      </c>
      <c r="H4484" s="1219">
        <v>3.0000000000000001E-3</v>
      </c>
      <c r="K4484" s="1192" t="s">
        <v>3937</v>
      </c>
      <c r="L4484" s="1192" t="s">
        <v>2374</v>
      </c>
      <c r="P4484" s="1192" t="s">
        <v>3943</v>
      </c>
      <c r="V4484" s="1192">
        <v>55</v>
      </c>
    </row>
    <row r="4485" spans="1:22" s="1192" customFormat="1" ht="14.4" x14ac:dyDescent="0.3">
      <c r="A4485" s="1192" t="s">
        <v>234</v>
      </c>
      <c r="E4485" s="1741" t="s">
        <v>2034</v>
      </c>
      <c r="F4485" s="1741"/>
      <c r="G4485" s="1277" t="s">
        <v>20</v>
      </c>
      <c r="H4485" s="1219">
        <v>4.0000000000000002E-4</v>
      </c>
      <c r="K4485" s="1192" t="s">
        <v>3937</v>
      </c>
      <c r="L4485" s="1192" t="s">
        <v>2374</v>
      </c>
      <c r="P4485" s="1192" t="s">
        <v>3943</v>
      </c>
      <c r="V4485" s="1192">
        <v>65</v>
      </c>
    </row>
    <row r="4486" spans="1:22" s="1192" customFormat="1" ht="14.4" x14ac:dyDescent="0.3">
      <c r="A4486" s="1192" t="s">
        <v>234</v>
      </c>
      <c r="E4486" s="1741" t="s">
        <v>428</v>
      </c>
      <c r="F4486" s="1741"/>
      <c r="G4486" s="1277" t="s">
        <v>20</v>
      </c>
      <c r="H4486" s="1219">
        <v>5.0000000000000001E-4</v>
      </c>
      <c r="K4486" s="1192" t="s">
        <v>3937</v>
      </c>
      <c r="L4486" s="1192" t="s">
        <v>2374</v>
      </c>
      <c r="P4486" s="1192" t="s">
        <v>3944</v>
      </c>
      <c r="V4486" s="1192">
        <v>57</v>
      </c>
    </row>
    <row r="4487" spans="1:22" s="1192" customFormat="1" ht="14.4" x14ac:dyDescent="0.3">
      <c r="A4487" s="1192" t="s">
        <v>234</v>
      </c>
      <c r="E4487" s="1741" t="s">
        <v>28</v>
      </c>
      <c r="F4487" s="1741"/>
      <c r="G4487" s="1277" t="s">
        <v>19</v>
      </c>
      <c r="H4487" s="1218">
        <v>0.25</v>
      </c>
      <c r="K4487" s="1192" t="s">
        <v>3937</v>
      </c>
      <c r="L4487" s="1192" t="s">
        <v>2374</v>
      </c>
      <c r="P4487" s="1192" t="s">
        <v>3945</v>
      </c>
      <c r="V4487" s="1192">
        <v>63</v>
      </c>
    </row>
    <row r="4488" spans="1:22" s="1192" customFormat="1" ht="17.399999999999999" x14ac:dyDescent="0.3">
      <c r="A4488" s="1192" t="s">
        <v>234</v>
      </c>
      <c r="E4488" s="1746" t="s">
        <v>2016</v>
      </c>
      <c r="F4488" s="1747"/>
      <c r="G4488" s="1747"/>
      <c r="H4488" s="1747"/>
      <c r="K4488" s="1192" t="s">
        <v>4195</v>
      </c>
      <c r="V4488" s="1192">
        <v>59</v>
      </c>
    </row>
    <row r="4489" spans="1:22" s="1192" customFormat="1" ht="14.4" x14ac:dyDescent="0.3">
      <c r="A4489" s="1192" t="s">
        <v>234</v>
      </c>
      <c r="E4489" s="1743" t="s">
        <v>3490</v>
      </c>
      <c r="F4489" s="1743"/>
      <c r="G4489" s="1743"/>
      <c r="H4489" s="1743"/>
      <c r="K4489" s="1192" t="s">
        <v>4195</v>
      </c>
      <c r="V4489" s="1192">
        <v>532</v>
      </c>
    </row>
    <row r="4490" spans="1:22" s="1192" customFormat="1" ht="14.4" x14ac:dyDescent="0.3">
      <c r="A4490" s="1192" t="s">
        <v>234</v>
      </c>
      <c r="E4490" s="1750" t="s">
        <v>2389</v>
      </c>
      <c r="F4490" s="1743"/>
      <c r="G4490" s="1743"/>
      <c r="H4490" s="1743"/>
      <c r="K4490" s="1192" t="s">
        <v>2529</v>
      </c>
      <c r="V4490" s="1192">
        <v>11</v>
      </c>
    </row>
    <row r="4491" spans="1:22" s="1192" customFormat="1" ht="14.4" x14ac:dyDescent="0.3">
      <c r="A4491" s="1192" t="s">
        <v>234</v>
      </c>
      <c r="E4491" s="1743" t="s">
        <v>2391</v>
      </c>
      <c r="F4491" s="1743"/>
      <c r="G4491" s="1743"/>
      <c r="H4491" s="1743"/>
      <c r="K4491" s="1192" t="s">
        <v>4195</v>
      </c>
      <c r="V4491" s="1192">
        <v>280</v>
      </c>
    </row>
    <row r="4492" spans="1:22" s="1192" customFormat="1" ht="14.4" x14ac:dyDescent="0.3">
      <c r="A4492" s="1192" t="s">
        <v>234</v>
      </c>
      <c r="E4492" s="1743" t="s">
        <v>2392</v>
      </c>
      <c r="F4492" s="1743"/>
      <c r="G4492" s="1743"/>
      <c r="H4492" s="1743"/>
      <c r="K4492" s="1192" t="s">
        <v>4195</v>
      </c>
      <c r="V4492" s="1192">
        <v>411</v>
      </c>
    </row>
    <row r="4493" spans="1:22" s="1192" customFormat="1" ht="14.4" x14ac:dyDescent="0.3">
      <c r="A4493" s="1192" t="s">
        <v>234</v>
      </c>
      <c r="E4493" s="1743" t="s">
        <v>2508</v>
      </c>
      <c r="F4493" s="1743"/>
      <c r="G4493" s="1743"/>
      <c r="H4493" s="1743"/>
      <c r="K4493" s="1192" t="s">
        <v>4195</v>
      </c>
      <c r="V4493" s="1192">
        <v>386</v>
      </c>
    </row>
    <row r="4494" spans="1:22" s="1192" customFormat="1" ht="14.4" x14ac:dyDescent="0.3">
      <c r="A4494" s="1192" t="s">
        <v>234</v>
      </c>
      <c r="E4494" s="1743" t="s">
        <v>4503</v>
      </c>
      <c r="F4494" s="1743"/>
      <c r="G4494" s="1743"/>
      <c r="H4494" s="1743"/>
      <c r="K4494" s="1192" t="s">
        <v>4195</v>
      </c>
      <c r="V4494" s="1192">
        <v>677</v>
      </c>
    </row>
    <row r="4495" spans="1:22" s="1192" customFormat="1" ht="14.4" x14ac:dyDescent="0.3">
      <c r="A4495" s="1192" t="s">
        <v>234</v>
      </c>
      <c r="E4495" s="1743" t="s">
        <v>4644</v>
      </c>
      <c r="F4495" s="1743"/>
      <c r="G4495" s="1743"/>
      <c r="H4495" s="1743"/>
      <c r="K4495" s="1192" t="s">
        <v>4195</v>
      </c>
      <c r="V4495" s="1192">
        <v>693</v>
      </c>
    </row>
    <row r="4496" spans="1:22" s="1192" customFormat="1" ht="14.4" x14ac:dyDescent="0.3">
      <c r="A4496" s="1192" t="s">
        <v>234</v>
      </c>
      <c r="E4496" s="1743" t="s">
        <v>4652</v>
      </c>
      <c r="F4496" s="1743"/>
      <c r="G4496" s="1743"/>
      <c r="H4496" s="1743"/>
      <c r="K4496" s="1192" t="s">
        <v>4195</v>
      </c>
      <c r="V4496" s="1192">
        <v>251</v>
      </c>
    </row>
    <row r="4497" spans="1:22" s="1192" customFormat="1" ht="14.4" x14ac:dyDescent="0.3">
      <c r="A4497" s="1192" t="s">
        <v>234</v>
      </c>
      <c r="E4497" s="1750" t="s">
        <v>2394</v>
      </c>
      <c r="F4497" s="1743"/>
      <c r="G4497" s="1743"/>
      <c r="H4497" s="1743"/>
      <c r="K4497" s="1192" t="s">
        <v>2531</v>
      </c>
      <c r="V4497" s="1192">
        <v>46</v>
      </c>
    </row>
    <row r="4498" spans="1:22" s="1192" customFormat="1" ht="14.4" x14ac:dyDescent="0.3">
      <c r="A4498" s="1192" t="s">
        <v>234</v>
      </c>
      <c r="E4498" s="1741" t="s">
        <v>7</v>
      </c>
      <c r="F4498" s="1741"/>
      <c r="G4498" s="1277" t="s">
        <v>19</v>
      </c>
      <c r="H4498" s="1218">
        <v>3688.21</v>
      </c>
      <c r="K4498" s="1192" t="s">
        <v>4195</v>
      </c>
      <c r="L4498" s="1192" t="s">
        <v>430</v>
      </c>
      <c r="P4498" s="1192" t="s">
        <v>4196</v>
      </c>
      <c r="V4498" s="1192">
        <v>14</v>
      </c>
    </row>
    <row r="4499" spans="1:22" s="1192" customFormat="1" ht="14.4" x14ac:dyDescent="0.3">
      <c r="A4499" s="1192" t="s">
        <v>234</v>
      </c>
      <c r="E4499" s="1741" t="s">
        <v>80</v>
      </c>
      <c r="F4499" s="1741"/>
      <c r="G4499" s="1277" t="s">
        <v>29</v>
      </c>
      <c r="H4499" s="1219">
        <v>2.9165000000000001</v>
      </c>
      <c r="K4499" s="1192" t="s">
        <v>4195</v>
      </c>
      <c r="L4499" s="1192" t="s">
        <v>430</v>
      </c>
      <c r="P4499" s="1192" t="s">
        <v>4197</v>
      </c>
      <c r="V4499" s="1192">
        <v>28</v>
      </c>
    </row>
    <row r="4500" spans="1:22" s="1192" customFormat="1" ht="14.4" x14ac:dyDescent="0.3">
      <c r="A4500" s="1192" t="s">
        <v>234</v>
      </c>
      <c r="E4500" s="1741" t="s">
        <v>14</v>
      </c>
      <c r="F4500" s="1741"/>
      <c r="G4500" s="1277" t="s">
        <v>29</v>
      </c>
      <c r="H4500" s="1219">
        <v>0.1313</v>
      </c>
      <c r="K4500" s="1192" t="s">
        <v>4195</v>
      </c>
      <c r="L4500" s="1192" t="s">
        <v>431</v>
      </c>
      <c r="P4500" s="1192" t="s">
        <v>4198</v>
      </c>
      <c r="V4500" s="1192">
        <v>24</v>
      </c>
    </row>
    <row r="4501" spans="1:22" s="1192" customFormat="1" ht="14.4" x14ac:dyDescent="0.3">
      <c r="A4501" s="1192" t="s">
        <v>234</v>
      </c>
      <c r="E4501" s="1741" t="s">
        <v>5939</v>
      </c>
      <c r="F4501" s="1998"/>
      <c r="G4501" s="1277" t="s">
        <v>29</v>
      </c>
      <c r="H4501" s="1219">
        <v>3.7199999999999997E-2</v>
      </c>
      <c r="K4501" s="1192" t="s">
        <v>4195</v>
      </c>
      <c r="L4501" s="1192" t="s">
        <v>430</v>
      </c>
      <c r="P4501" s="1192" t="s">
        <v>4759</v>
      </c>
      <c r="T4501" s="1192">
        <v>44196</v>
      </c>
      <c r="V4501" s="1192">
        <v>138</v>
      </c>
    </row>
    <row r="4502" spans="1:22" s="1192" customFormat="1" ht="14.4" x14ac:dyDescent="0.3">
      <c r="A4502" s="1192" t="s">
        <v>234</v>
      </c>
      <c r="E4502" s="1741" t="s">
        <v>215</v>
      </c>
      <c r="F4502" s="1741"/>
      <c r="G4502" s="1277" t="s">
        <v>29</v>
      </c>
      <c r="H4502" s="1219">
        <v>2.8866000000000001</v>
      </c>
      <c r="K4502" s="1192" t="s">
        <v>4195</v>
      </c>
      <c r="L4502" s="1192" t="s">
        <v>432</v>
      </c>
      <c r="P4502" s="1192" t="s">
        <v>6279</v>
      </c>
      <c r="V4502" s="1192">
        <v>66</v>
      </c>
    </row>
    <row r="4503" spans="1:22" s="1192" customFormat="1" ht="14.4" x14ac:dyDescent="0.3">
      <c r="A4503" s="1192" t="s">
        <v>234</v>
      </c>
      <c r="E4503" s="1741" t="s">
        <v>211</v>
      </c>
      <c r="F4503" s="1741"/>
      <c r="G4503" s="1277" t="s">
        <v>29</v>
      </c>
      <c r="H4503" s="1219">
        <v>2.1772</v>
      </c>
      <c r="K4503" s="1192" t="s">
        <v>4195</v>
      </c>
      <c r="L4503" s="1192" t="s">
        <v>432</v>
      </c>
      <c r="P4503" s="1192" t="s">
        <v>6280</v>
      </c>
      <c r="V4503" s="1192">
        <v>93</v>
      </c>
    </row>
    <row r="4504" spans="1:22" s="1192" customFormat="1" ht="14.4" x14ac:dyDescent="0.3">
      <c r="A4504" s="1192" t="s">
        <v>234</v>
      </c>
      <c r="E4504" s="1750" t="s">
        <v>2405</v>
      </c>
      <c r="F4504" s="1741"/>
      <c r="G4504" s="1277"/>
      <c r="H4504" s="896"/>
      <c r="K4504" s="1192" t="s">
        <v>2532</v>
      </c>
      <c r="V4504" s="1192">
        <v>48</v>
      </c>
    </row>
    <row r="4505" spans="1:22" s="1192" customFormat="1" ht="14.4" x14ac:dyDescent="0.3">
      <c r="A4505" s="1192" t="s">
        <v>234</v>
      </c>
      <c r="E4505" s="1741" t="s">
        <v>2033</v>
      </c>
      <c r="F4505" s="1741"/>
      <c r="G4505" s="1277" t="s">
        <v>20</v>
      </c>
      <c r="H4505" s="1219">
        <v>3.0000000000000001E-3</v>
      </c>
      <c r="K4505" s="1192" t="s">
        <v>4195</v>
      </c>
      <c r="L4505" s="1192" t="s">
        <v>2374</v>
      </c>
      <c r="P4505" s="1192" t="s">
        <v>4199</v>
      </c>
      <c r="V4505" s="1192">
        <v>55</v>
      </c>
    </row>
    <row r="4506" spans="1:22" s="1192" customFormat="1" ht="14.4" x14ac:dyDescent="0.3">
      <c r="A4506" s="1192" t="s">
        <v>234</v>
      </c>
      <c r="E4506" s="1741" t="s">
        <v>2034</v>
      </c>
      <c r="F4506" s="1741"/>
      <c r="G4506" s="1277" t="s">
        <v>20</v>
      </c>
      <c r="H4506" s="1219">
        <v>4.0000000000000002E-4</v>
      </c>
      <c r="K4506" s="1192" t="s">
        <v>4195</v>
      </c>
      <c r="L4506" s="1192" t="s">
        <v>2374</v>
      </c>
      <c r="P4506" s="1192" t="s">
        <v>4199</v>
      </c>
      <c r="V4506" s="1192">
        <v>65</v>
      </c>
    </row>
    <row r="4507" spans="1:22" s="1192" customFormat="1" ht="14.4" x14ac:dyDescent="0.3">
      <c r="A4507" s="1192" t="s">
        <v>234</v>
      </c>
      <c r="E4507" s="1741" t="s">
        <v>428</v>
      </c>
      <c r="F4507" s="1741"/>
      <c r="G4507" s="1277" t="s">
        <v>20</v>
      </c>
      <c r="H4507" s="1219">
        <v>5.0000000000000001E-4</v>
      </c>
      <c r="K4507" s="1192" t="s">
        <v>4195</v>
      </c>
      <c r="L4507" s="1192" t="s">
        <v>2374</v>
      </c>
      <c r="P4507" s="1192" t="s">
        <v>4200</v>
      </c>
      <c r="V4507" s="1192">
        <v>57</v>
      </c>
    </row>
    <row r="4508" spans="1:22" s="1192" customFormat="1" ht="14.4" x14ac:dyDescent="0.3">
      <c r="A4508" s="1192" t="s">
        <v>234</v>
      </c>
      <c r="E4508" s="1741" t="s">
        <v>28</v>
      </c>
      <c r="F4508" s="1741"/>
      <c r="G4508" s="1277" t="s">
        <v>19</v>
      </c>
      <c r="H4508" s="1218">
        <v>0.25</v>
      </c>
      <c r="K4508" s="1192" t="s">
        <v>4195</v>
      </c>
      <c r="L4508" s="1192" t="s">
        <v>2374</v>
      </c>
      <c r="P4508" s="1192" t="s">
        <v>4201</v>
      </c>
      <c r="V4508" s="1192">
        <v>63</v>
      </c>
    </row>
    <row r="4509" spans="1:22" s="1192" customFormat="1" ht="17.399999999999999" x14ac:dyDescent="0.3">
      <c r="A4509" s="1192" t="s">
        <v>234</v>
      </c>
      <c r="E4509" s="1746" t="s">
        <v>592</v>
      </c>
      <c r="F4509" s="1747"/>
      <c r="G4509" s="1747"/>
      <c r="H4509" s="1747"/>
      <c r="K4509" s="1192" t="s">
        <v>2726</v>
      </c>
      <c r="V4509" s="1192">
        <v>47</v>
      </c>
    </row>
    <row r="4510" spans="1:22" s="1192" customFormat="1" ht="14.4" x14ac:dyDescent="0.3">
      <c r="A4510" s="1192" t="s">
        <v>234</v>
      </c>
      <c r="E4510" s="1743" t="s">
        <v>3491</v>
      </c>
      <c r="F4510" s="1743"/>
      <c r="G4510" s="1743"/>
      <c r="H4510" s="1743"/>
      <c r="K4510" s="1192" t="s">
        <v>2726</v>
      </c>
      <c r="V4510" s="1192">
        <v>758</v>
      </c>
    </row>
    <row r="4511" spans="1:22" s="1192" customFormat="1" ht="14.4" x14ac:dyDescent="0.3">
      <c r="A4511" s="1192" t="s">
        <v>234</v>
      </c>
      <c r="E4511" s="1750" t="s">
        <v>2389</v>
      </c>
      <c r="F4511" s="1743"/>
      <c r="G4511" s="1743"/>
      <c r="H4511" s="1743"/>
      <c r="K4511" s="1192" t="s">
        <v>2424</v>
      </c>
      <c r="V4511" s="1192">
        <v>11</v>
      </c>
    </row>
    <row r="4512" spans="1:22" s="1192" customFormat="1" ht="14.4" x14ac:dyDescent="0.3">
      <c r="A4512" s="1192" t="s">
        <v>234</v>
      </c>
      <c r="E4512" s="1743" t="s">
        <v>2391</v>
      </c>
      <c r="F4512" s="1743"/>
      <c r="G4512" s="1743"/>
      <c r="H4512" s="1743"/>
      <c r="K4512" s="1192" t="s">
        <v>2726</v>
      </c>
      <c r="V4512" s="1192">
        <v>280</v>
      </c>
    </row>
    <row r="4513" spans="1:22" s="1192" customFormat="1" ht="14.4" x14ac:dyDescent="0.3">
      <c r="A4513" s="1192" t="s">
        <v>234</v>
      </c>
      <c r="E4513" s="1743" t="s">
        <v>2392</v>
      </c>
      <c r="F4513" s="1743"/>
      <c r="G4513" s="1743"/>
      <c r="H4513" s="1743"/>
      <c r="K4513" s="1192" t="s">
        <v>2726</v>
      </c>
      <c r="V4513" s="1192">
        <v>411</v>
      </c>
    </row>
    <row r="4514" spans="1:22" s="1192" customFormat="1" ht="14.4" x14ac:dyDescent="0.3">
      <c r="A4514" s="1192" t="s">
        <v>234</v>
      </c>
      <c r="E4514" s="1743" t="s">
        <v>2508</v>
      </c>
      <c r="F4514" s="1743"/>
      <c r="G4514" s="1743"/>
      <c r="H4514" s="1743"/>
      <c r="K4514" s="1192" t="s">
        <v>2726</v>
      </c>
      <c r="V4514" s="1192">
        <v>386</v>
      </c>
    </row>
    <row r="4515" spans="1:22" s="1192" customFormat="1" ht="14.4" x14ac:dyDescent="0.3">
      <c r="A4515" s="1192" t="s">
        <v>234</v>
      </c>
      <c r="E4515" s="1743" t="s">
        <v>4652</v>
      </c>
      <c r="F4515" s="1743"/>
      <c r="G4515" s="1743"/>
      <c r="H4515" s="1743"/>
      <c r="K4515" s="1192" t="s">
        <v>2726</v>
      </c>
      <c r="V4515" s="1192">
        <v>251</v>
      </c>
    </row>
    <row r="4516" spans="1:22" s="1192" customFormat="1" ht="14.4" x14ac:dyDescent="0.3">
      <c r="A4516" s="1192" t="s">
        <v>234</v>
      </c>
      <c r="E4516" s="1750" t="s">
        <v>2394</v>
      </c>
      <c r="F4516" s="1743"/>
      <c r="G4516" s="1743"/>
      <c r="H4516" s="1743"/>
      <c r="K4516" s="1192" t="s">
        <v>2425</v>
      </c>
      <c r="V4516" s="1192">
        <v>46</v>
      </c>
    </row>
    <row r="4517" spans="1:22" s="1192" customFormat="1" ht="14.4" x14ac:dyDescent="0.3">
      <c r="A4517" s="1192" t="s">
        <v>234</v>
      </c>
      <c r="E4517" s="1741" t="s">
        <v>8</v>
      </c>
      <c r="F4517" s="1741"/>
      <c r="G4517" s="1277" t="s">
        <v>19</v>
      </c>
      <c r="H4517" s="1218">
        <v>10.65</v>
      </c>
      <c r="K4517" s="1192" t="s">
        <v>2726</v>
      </c>
      <c r="L4517" s="1192" t="s">
        <v>430</v>
      </c>
      <c r="P4517" s="1192" t="s">
        <v>2727</v>
      </c>
      <c r="V4517" s="1192">
        <v>31</v>
      </c>
    </row>
    <row r="4518" spans="1:22" s="1192" customFormat="1" ht="14.4" x14ac:dyDescent="0.3">
      <c r="A4518" s="1192" t="s">
        <v>234</v>
      </c>
      <c r="E4518" s="1741" t="s">
        <v>80</v>
      </c>
      <c r="F4518" s="1741"/>
      <c r="G4518" s="1277" t="s">
        <v>20</v>
      </c>
      <c r="H4518" s="1219">
        <v>1.01E-2</v>
      </c>
      <c r="K4518" s="1192" t="s">
        <v>2726</v>
      </c>
      <c r="L4518" s="1192" t="s">
        <v>430</v>
      </c>
      <c r="P4518" s="1192" t="s">
        <v>2728</v>
      </c>
      <c r="V4518" s="1192">
        <v>28</v>
      </c>
    </row>
    <row r="4519" spans="1:22" s="1192" customFormat="1" ht="14.4" x14ac:dyDescent="0.3">
      <c r="A4519" s="1192" t="s">
        <v>234</v>
      </c>
      <c r="E4519" s="1741" t="s">
        <v>14</v>
      </c>
      <c r="F4519" s="1741"/>
      <c r="G4519" s="1277" t="s">
        <v>20</v>
      </c>
      <c r="H4519" s="1219">
        <v>2.9999999999999997E-4</v>
      </c>
      <c r="K4519" s="1192" t="s">
        <v>2726</v>
      </c>
      <c r="L4519" s="1192" t="s">
        <v>431</v>
      </c>
      <c r="P4519" s="1192" t="s">
        <v>2729</v>
      </c>
      <c r="V4519" s="1192">
        <v>24</v>
      </c>
    </row>
    <row r="4520" spans="1:22" s="1192" customFormat="1" ht="14.4" x14ac:dyDescent="0.3">
      <c r="A4520" s="1192" t="s">
        <v>234</v>
      </c>
      <c r="E4520" s="1741" t="s">
        <v>213</v>
      </c>
      <c r="F4520" s="1741"/>
      <c r="G4520" s="1277" t="s">
        <v>20</v>
      </c>
      <c r="H4520" s="1219">
        <v>7.4000000000000003E-3</v>
      </c>
      <c r="K4520" s="1192" t="s">
        <v>2726</v>
      </c>
      <c r="L4520" s="1192" t="s">
        <v>432</v>
      </c>
      <c r="P4520" s="1192" t="s">
        <v>2731</v>
      </c>
      <c r="V4520" s="1192">
        <v>47</v>
      </c>
    </row>
    <row r="4521" spans="1:22" s="1192" customFormat="1" ht="14.4" x14ac:dyDescent="0.3">
      <c r="A4521" s="1192" t="s">
        <v>234</v>
      </c>
      <c r="E4521" s="1741" t="s">
        <v>209</v>
      </c>
      <c r="F4521" s="1741"/>
      <c r="G4521" s="1277" t="s">
        <v>20</v>
      </c>
      <c r="H4521" s="1219">
        <v>5.5999999999999999E-3</v>
      </c>
      <c r="K4521" s="1192" t="s">
        <v>2726</v>
      </c>
      <c r="L4521" s="1192" t="s">
        <v>432</v>
      </c>
      <c r="P4521" s="1192" t="s">
        <v>2732</v>
      </c>
      <c r="V4521" s="1192">
        <v>74</v>
      </c>
    </row>
    <row r="4522" spans="1:22" s="1192" customFormat="1" ht="14.4" x14ac:dyDescent="0.3">
      <c r="A4522" s="1192" t="s">
        <v>234</v>
      </c>
      <c r="E4522" s="1750" t="s">
        <v>2405</v>
      </c>
      <c r="F4522" s="1741"/>
      <c r="G4522" s="1277"/>
      <c r="H4522" s="896"/>
      <c r="K4522" s="1192" t="s">
        <v>2427</v>
      </c>
      <c r="V4522" s="1192">
        <v>48</v>
      </c>
    </row>
    <row r="4523" spans="1:22" s="1192" customFormat="1" ht="14.4" x14ac:dyDescent="0.3">
      <c r="A4523" s="1192" t="s">
        <v>234</v>
      </c>
      <c r="E4523" s="1741" t="s">
        <v>2033</v>
      </c>
      <c r="F4523" s="1741"/>
      <c r="G4523" s="1277" t="s">
        <v>20</v>
      </c>
      <c r="H4523" s="1219">
        <v>3.0000000000000001E-3</v>
      </c>
      <c r="K4523" s="1192" t="s">
        <v>2726</v>
      </c>
      <c r="L4523" s="1192" t="s">
        <v>2374</v>
      </c>
      <c r="P4523" s="1192" t="s">
        <v>2733</v>
      </c>
      <c r="V4523" s="1192">
        <v>55</v>
      </c>
    </row>
    <row r="4524" spans="1:22" s="1192" customFormat="1" ht="14.4" x14ac:dyDescent="0.3">
      <c r="A4524" s="1192" t="s">
        <v>234</v>
      </c>
      <c r="E4524" s="1741" t="s">
        <v>2034</v>
      </c>
      <c r="F4524" s="1741"/>
      <c r="G4524" s="1277" t="s">
        <v>20</v>
      </c>
      <c r="H4524" s="1219">
        <v>4.0000000000000002E-4</v>
      </c>
      <c r="K4524" s="1192" t="s">
        <v>2726</v>
      </c>
      <c r="L4524" s="1192" t="s">
        <v>2374</v>
      </c>
      <c r="P4524" s="1192" t="s">
        <v>2733</v>
      </c>
      <c r="V4524" s="1192">
        <v>65</v>
      </c>
    </row>
    <row r="4525" spans="1:22" s="1192" customFormat="1" ht="14.4" x14ac:dyDescent="0.3">
      <c r="A4525" s="1192" t="s">
        <v>234</v>
      </c>
      <c r="E4525" s="1741" t="s">
        <v>428</v>
      </c>
      <c r="F4525" s="1741"/>
      <c r="G4525" s="1277" t="s">
        <v>20</v>
      </c>
      <c r="H4525" s="1219">
        <v>5.0000000000000001E-4</v>
      </c>
      <c r="K4525" s="1192" t="s">
        <v>2726</v>
      </c>
      <c r="L4525" s="1192" t="s">
        <v>2374</v>
      </c>
      <c r="P4525" s="1192" t="s">
        <v>2734</v>
      </c>
      <c r="V4525" s="1192">
        <v>57</v>
      </c>
    </row>
    <row r="4526" spans="1:22" s="1192" customFormat="1" ht="14.4" x14ac:dyDescent="0.3">
      <c r="A4526" s="1192" t="s">
        <v>234</v>
      </c>
      <c r="E4526" s="1741" t="s">
        <v>28</v>
      </c>
      <c r="F4526" s="1741"/>
      <c r="G4526" s="1277" t="s">
        <v>19</v>
      </c>
      <c r="H4526" s="1218">
        <v>0.25</v>
      </c>
      <c r="K4526" s="1192" t="s">
        <v>2726</v>
      </c>
      <c r="L4526" s="1192" t="s">
        <v>2374</v>
      </c>
      <c r="P4526" s="1192" t="s">
        <v>2735</v>
      </c>
      <c r="V4526" s="1192">
        <v>63</v>
      </c>
    </row>
    <row r="4527" spans="1:22" s="1192" customFormat="1" ht="17.399999999999999" x14ac:dyDescent="0.3">
      <c r="A4527" s="1192" t="s">
        <v>234</v>
      </c>
      <c r="E4527" s="1746" t="s">
        <v>604</v>
      </c>
      <c r="F4527" s="1747"/>
      <c r="G4527" s="1747"/>
      <c r="H4527" s="1747"/>
      <c r="K4527" s="1192" t="s">
        <v>2736</v>
      </c>
      <c r="V4527" s="1192">
        <v>40</v>
      </c>
    </row>
    <row r="4528" spans="1:22" s="1192" customFormat="1" ht="14.4" x14ac:dyDescent="0.3">
      <c r="A4528" s="1192" t="s">
        <v>234</v>
      </c>
      <c r="E4528" s="1743" t="s">
        <v>3492</v>
      </c>
      <c r="F4528" s="1743"/>
      <c r="G4528" s="1743"/>
      <c r="H4528" s="1743"/>
      <c r="K4528" s="1192" t="s">
        <v>2736</v>
      </c>
      <c r="V4528" s="1192">
        <v>253</v>
      </c>
    </row>
    <row r="4529" spans="1:22" s="1192" customFormat="1" ht="14.4" x14ac:dyDescent="0.3">
      <c r="A4529" s="1192" t="s">
        <v>234</v>
      </c>
      <c r="E4529" s="1750" t="s">
        <v>2389</v>
      </c>
      <c r="F4529" s="1743"/>
      <c r="G4529" s="1743"/>
      <c r="H4529" s="1743"/>
      <c r="K4529" s="1192" t="s">
        <v>2430</v>
      </c>
      <c r="V4529" s="1192">
        <v>11</v>
      </c>
    </row>
    <row r="4530" spans="1:22" s="1192" customFormat="1" ht="14.4" x14ac:dyDescent="0.3">
      <c r="A4530" s="1192" t="s">
        <v>234</v>
      </c>
      <c r="E4530" s="1743" t="s">
        <v>2391</v>
      </c>
      <c r="F4530" s="1743"/>
      <c r="G4530" s="1743"/>
      <c r="H4530" s="1743"/>
      <c r="K4530" s="1192" t="s">
        <v>2736</v>
      </c>
      <c r="V4530" s="1192">
        <v>280</v>
      </c>
    </row>
    <row r="4531" spans="1:22" s="1192" customFormat="1" ht="14.4" x14ac:dyDescent="0.3">
      <c r="A4531" s="1192" t="s">
        <v>234</v>
      </c>
      <c r="E4531" s="1743" t="s">
        <v>2392</v>
      </c>
      <c r="F4531" s="1743"/>
      <c r="G4531" s="1743"/>
      <c r="H4531" s="1743"/>
      <c r="K4531" s="1192" t="s">
        <v>2736</v>
      </c>
      <c r="V4531" s="1192">
        <v>411</v>
      </c>
    </row>
    <row r="4532" spans="1:22" s="1192" customFormat="1" ht="14.4" x14ac:dyDescent="0.3">
      <c r="A4532" s="1192" t="s">
        <v>234</v>
      </c>
      <c r="E4532" s="1743" t="s">
        <v>2508</v>
      </c>
      <c r="F4532" s="1743"/>
      <c r="G4532" s="1743"/>
      <c r="H4532" s="1743"/>
      <c r="K4532" s="1192" t="s">
        <v>2736</v>
      </c>
      <c r="V4532" s="1192">
        <v>386</v>
      </c>
    </row>
    <row r="4533" spans="1:22" s="1192" customFormat="1" ht="14.4" x14ac:dyDescent="0.3">
      <c r="A4533" s="1192" t="s">
        <v>234</v>
      </c>
      <c r="E4533" s="1743" t="s">
        <v>4652</v>
      </c>
      <c r="F4533" s="1743"/>
      <c r="G4533" s="1743"/>
      <c r="H4533" s="1743"/>
      <c r="K4533" s="1192" t="s">
        <v>2736</v>
      </c>
      <c r="V4533" s="1192">
        <v>251</v>
      </c>
    </row>
    <row r="4534" spans="1:22" s="1192" customFormat="1" ht="14.4" x14ac:dyDescent="0.3">
      <c r="A4534" s="1192" t="s">
        <v>234</v>
      </c>
      <c r="E4534" s="1750" t="s">
        <v>2394</v>
      </c>
      <c r="F4534" s="1743"/>
      <c r="G4534" s="1743"/>
      <c r="H4534" s="1743"/>
      <c r="K4534" s="1192" t="s">
        <v>2431</v>
      </c>
      <c r="V4534" s="1192">
        <v>46</v>
      </c>
    </row>
    <row r="4535" spans="1:22" s="1192" customFormat="1" ht="14.4" x14ac:dyDescent="0.3">
      <c r="A4535" s="1192" t="s">
        <v>234</v>
      </c>
      <c r="E4535" s="1741" t="s">
        <v>8</v>
      </c>
      <c r="F4535" s="1741"/>
      <c r="G4535" s="1277" t="s">
        <v>19</v>
      </c>
      <c r="H4535" s="1218">
        <v>2.91</v>
      </c>
      <c r="K4535" s="1192" t="s">
        <v>2736</v>
      </c>
      <c r="L4535" s="1192" t="s">
        <v>430</v>
      </c>
      <c r="P4535" s="1192" t="s">
        <v>2737</v>
      </c>
      <c r="V4535" s="1192">
        <v>31</v>
      </c>
    </row>
    <row r="4536" spans="1:22" s="1192" customFormat="1" ht="14.4" x14ac:dyDescent="0.3">
      <c r="A4536" s="1192" t="s">
        <v>234</v>
      </c>
      <c r="E4536" s="1741" t="s">
        <v>80</v>
      </c>
      <c r="F4536" s="1741"/>
      <c r="G4536" s="1277" t="s">
        <v>29</v>
      </c>
      <c r="H4536" s="1219">
        <v>49.442300000000003</v>
      </c>
      <c r="K4536" s="1192" t="s">
        <v>2736</v>
      </c>
      <c r="L4536" s="1192" t="s">
        <v>430</v>
      </c>
      <c r="P4536" s="1192" t="s">
        <v>2738</v>
      </c>
      <c r="V4536" s="1192">
        <v>28</v>
      </c>
    </row>
    <row r="4537" spans="1:22" s="1192" customFormat="1" ht="14.4" x14ac:dyDescent="0.3">
      <c r="A4537" s="1192" t="s">
        <v>234</v>
      </c>
      <c r="E4537" s="1741" t="s">
        <v>14</v>
      </c>
      <c r="F4537" s="1741"/>
      <c r="G4537" s="1277" t="s">
        <v>29</v>
      </c>
      <c r="H4537" s="1219">
        <v>2.5499999999999998E-2</v>
      </c>
      <c r="K4537" s="1192" t="s">
        <v>2736</v>
      </c>
      <c r="L4537" s="1192" t="s">
        <v>431</v>
      </c>
      <c r="P4537" s="1192" t="s">
        <v>2739</v>
      </c>
      <c r="V4537" s="1192">
        <v>24</v>
      </c>
    </row>
    <row r="4538" spans="1:22" s="1192" customFormat="1" ht="14.4" x14ac:dyDescent="0.3">
      <c r="A4538" s="1192" t="s">
        <v>234</v>
      </c>
      <c r="E4538" s="1741" t="s">
        <v>213</v>
      </c>
      <c r="F4538" s="1741"/>
      <c r="G4538" s="1277" t="s">
        <v>29</v>
      </c>
      <c r="H4538" s="1219">
        <v>0.56059999999999999</v>
      </c>
      <c r="K4538" s="1192" t="s">
        <v>2736</v>
      </c>
      <c r="L4538" s="1192" t="s">
        <v>432</v>
      </c>
      <c r="P4538" s="1192" t="s">
        <v>2741</v>
      </c>
      <c r="V4538" s="1192">
        <v>47</v>
      </c>
    </row>
    <row r="4539" spans="1:22" s="1192" customFormat="1" ht="14.4" x14ac:dyDescent="0.3">
      <c r="A4539" s="1192" t="s">
        <v>234</v>
      </c>
      <c r="E4539" s="1741" t="s">
        <v>209</v>
      </c>
      <c r="F4539" s="1741"/>
      <c r="G4539" s="1277" t="s">
        <v>29</v>
      </c>
      <c r="H4539" s="1219">
        <v>0.42270000000000002</v>
      </c>
      <c r="K4539" s="1192" t="s">
        <v>2736</v>
      </c>
      <c r="L4539" s="1192" t="s">
        <v>432</v>
      </c>
      <c r="P4539" s="1192" t="s">
        <v>2742</v>
      </c>
      <c r="V4539" s="1192">
        <v>74</v>
      </c>
    </row>
    <row r="4540" spans="1:22" s="1192" customFormat="1" ht="14.4" x14ac:dyDescent="0.3">
      <c r="A4540" s="1192" t="s">
        <v>234</v>
      </c>
      <c r="E4540" s="1750" t="s">
        <v>2405</v>
      </c>
      <c r="F4540" s="1741"/>
      <c r="G4540" s="1277"/>
      <c r="H4540" s="896"/>
      <c r="K4540" s="1192" t="s">
        <v>2438</v>
      </c>
      <c r="V4540" s="1192">
        <v>48</v>
      </c>
    </row>
    <row r="4541" spans="1:22" s="1192" customFormat="1" ht="14.4" x14ac:dyDescent="0.3">
      <c r="A4541" s="1192" t="s">
        <v>234</v>
      </c>
      <c r="E4541" s="1741" t="s">
        <v>2033</v>
      </c>
      <c r="F4541" s="1741"/>
      <c r="G4541" s="1277" t="s">
        <v>20</v>
      </c>
      <c r="H4541" s="1219">
        <v>3.0000000000000001E-3</v>
      </c>
      <c r="K4541" s="1192" t="s">
        <v>2736</v>
      </c>
      <c r="L4541" s="1192" t="s">
        <v>2374</v>
      </c>
      <c r="P4541" s="1192" t="s">
        <v>2743</v>
      </c>
      <c r="V4541" s="1192">
        <v>55</v>
      </c>
    </row>
    <row r="4542" spans="1:22" s="1192" customFormat="1" ht="14.4" x14ac:dyDescent="0.3">
      <c r="A4542" s="1192" t="s">
        <v>234</v>
      </c>
      <c r="E4542" s="1741" t="s">
        <v>2034</v>
      </c>
      <c r="F4542" s="1741"/>
      <c r="G4542" s="1277" t="s">
        <v>20</v>
      </c>
      <c r="H4542" s="1219">
        <v>4.0000000000000002E-4</v>
      </c>
      <c r="K4542" s="1192" t="s">
        <v>2736</v>
      </c>
      <c r="L4542" s="1192" t="s">
        <v>2374</v>
      </c>
      <c r="P4542" s="1192" t="s">
        <v>2743</v>
      </c>
      <c r="V4542" s="1192">
        <v>65</v>
      </c>
    </row>
    <row r="4543" spans="1:22" s="1192" customFormat="1" ht="14.4" x14ac:dyDescent="0.3">
      <c r="A4543" s="1192" t="s">
        <v>234</v>
      </c>
      <c r="E4543" s="1741" t="s">
        <v>428</v>
      </c>
      <c r="F4543" s="1741"/>
      <c r="G4543" s="1277" t="s">
        <v>20</v>
      </c>
      <c r="H4543" s="1219">
        <v>5.0000000000000001E-4</v>
      </c>
      <c r="K4543" s="1192" t="s">
        <v>2736</v>
      </c>
      <c r="L4543" s="1192" t="s">
        <v>2374</v>
      </c>
      <c r="P4543" s="1192" t="s">
        <v>2744</v>
      </c>
      <c r="V4543" s="1192">
        <v>57</v>
      </c>
    </row>
    <row r="4544" spans="1:22" s="1192" customFormat="1" ht="14.4" x14ac:dyDescent="0.3">
      <c r="A4544" s="1192" t="s">
        <v>234</v>
      </c>
      <c r="E4544" s="1741" t="s">
        <v>28</v>
      </c>
      <c r="F4544" s="1741"/>
      <c r="G4544" s="1277" t="s">
        <v>19</v>
      </c>
      <c r="H4544" s="1218">
        <v>0.25</v>
      </c>
      <c r="K4544" s="1192" t="s">
        <v>2736</v>
      </c>
      <c r="L4544" s="1192" t="s">
        <v>2374</v>
      </c>
      <c r="P4544" s="1192" t="s">
        <v>2745</v>
      </c>
      <c r="V4544" s="1192">
        <v>63</v>
      </c>
    </row>
    <row r="4545" spans="1:22" s="1192" customFormat="1" ht="17.399999999999999" x14ac:dyDescent="0.3">
      <c r="A4545" s="1192" t="s">
        <v>234</v>
      </c>
      <c r="E4545" s="1746" t="s">
        <v>590</v>
      </c>
      <c r="F4545" s="1747"/>
      <c r="G4545" s="1747"/>
      <c r="H4545" s="1747"/>
      <c r="K4545" s="1192" t="s">
        <v>2746</v>
      </c>
      <c r="V4545" s="1192">
        <v>38</v>
      </c>
    </row>
    <row r="4546" spans="1:22" s="1192" customFormat="1" ht="14.4" x14ac:dyDescent="0.3">
      <c r="A4546" s="1192" t="s">
        <v>234</v>
      </c>
      <c r="E4546" s="1743" t="s">
        <v>3493</v>
      </c>
      <c r="F4546" s="1743"/>
      <c r="G4546" s="1743"/>
      <c r="H4546" s="1743"/>
      <c r="K4546" s="1192" t="s">
        <v>2746</v>
      </c>
      <c r="V4546" s="1192">
        <v>499</v>
      </c>
    </row>
    <row r="4547" spans="1:22" s="1192" customFormat="1" ht="14.4" x14ac:dyDescent="0.3">
      <c r="A4547" s="1192" t="s">
        <v>234</v>
      </c>
      <c r="E4547" s="1750" t="s">
        <v>2389</v>
      </c>
      <c r="F4547" s="1743"/>
      <c r="G4547" s="1743"/>
      <c r="H4547" s="1743"/>
      <c r="K4547" s="1192" t="s">
        <v>2444</v>
      </c>
      <c r="V4547" s="1192">
        <v>11</v>
      </c>
    </row>
    <row r="4548" spans="1:22" s="1192" customFormat="1" ht="14.4" x14ac:dyDescent="0.3">
      <c r="A4548" s="1192" t="s">
        <v>234</v>
      </c>
      <c r="E4548" s="1743" t="s">
        <v>2391</v>
      </c>
      <c r="F4548" s="1743"/>
      <c r="G4548" s="1743"/>
      <c r="H4548" s="1743"/>
      <c r="K4548" s="1192" t="s">
        <v>2746</v>
      </c>
      <c r="V4548" s="1192">
        <v>280</v>
      </c>
    </row>
    <row r="4549" spans="1:22" s="1192" customFormat="1" ht="14.4" x14ac:dyDescent="0.3">
      <c r="A4549" s="1192" t="s">
        <v>234</v>
      </c>
      <c r="E4549" s="1743" t="s">
        <v>2392</v>
      </c>
      <c r="F4549" s="1743"/>
      <c r="G4549" s="1743"/>
      <c r="H4549" s="1743"/>
      <c r="K4549" s="1192" t="s">
        <v>2746</v>
      </c>
      <c r="V4549" s="1192">
        <v>411</v>
      </c>
    </row>
    <row r="4550" spans="1:22" s="1192" customFormat="1" ht="14.4" x14ac:dyDescent="0.3">
      <c r="A4550" s="1192" t="s">
        <v>234</v>
      </c>
      <c r="E4550" s="1743" t="s">
        <v>2508</v>
      </c>
      <c r="F4550" s="1743"/>
      <c r="G4550" s="1743"/>
      <c r="H4550" s="1743"/>
      <c r="K4550" s="1192" t="s">
        <v>2746</v>
      </c>
      <c r="V4550" s="1192">
        <v>386</v>
      </c>
    </row>
    <row r="4551" spans="1:22" s="1192" customFormat="1" ht="14.4" x14ac:dyDescent="0.3">
      <c r="A4551" s="1192" t="s">
        <v>234</v>
      </c>
      <c r="E4551" s="1743" t="s">
        <v>4652</v>
      </c>
      <c r="F4551" s="1743"/>
      <c r="G4551" s="1743"/>
      <c r="H4551" s="1743"/>
      <c r="K4551" s="1192" t="s">
        <v>2746</v>
      </c>
      <c r="V4551" s="1192">
        <v>251</v>
      </c>
    </row>
    <row r="4552" spans="1:22" s="1192" customFormat="1" ht="14.4" x14ac:dyDescent="0.3">
      <c r="A4552" s="1192" t="s">
        <v>234</v>
      </c>
      <c r="E4552" s="1750" t="s">
        <v>2394</v>
      </c>
      <c r="F4552" s="1743"/>
      <c r="G4552" s="1743"/>
      <c r="H4552" s="1743"/>
      <c r="K4552" s="1192" t="s">
        <v>2446</v>
      </c>
      <c r="V4552" s="1192">
        <v>46</v>
      </c>
    </row>
    <row r="4553" spans="1:22" s="1192" customFormat="1" ht="14.4" x14ac:dyDescent="0.3">
      <c r="A4553" s="1192" t="s">
        <v>234</v>
      </c>
      <c r="E4553" s="1741" t="s">
        <v>8</v>
      </c>
      <c r="F4553" s="1741"/>
      <c r="G4553" s="1277" t="s">
        <v>19</v>
      </c>
      <c r="H4553" s="1218">
        <v>4</v>
      </c>
      <c r="K4553" s="1192" t="s">
        <v>2746</v>
      </c>
      <c r="L4553" s="1192" t="s">
        <v>430</v>
      </c>
      <c r="P4553" s="1192" t="s">
        <v>2747</v>
      </c>
      <c r="V4553" s="1192">
        <v>31</v>
      </c>
    </row>
    <row r="4554" spans="1:22" s="1192" customFormat="1" ht="14.4" x14ac:dyDescent="0.3">
      <c r="A4554" s="1192" t="s">
        <v>234</v>
      </c>
      <c r="E4554" s="1741" t="s">
        <v>80</v>
      </c>
      <c r="F4554" s="1741"/>
      <c r="G4554" s="1277" t="s">
        <v>29</v>
      </c>
      <c r="H4554" s="1219">
        <v>24.5595</v>
      </c>
      <c r="K4554" s="1192" t="s">
        <v>2746</v>
      </c>
      <c r="L4554" s="1192" t="s">
        <v>430</v>
      </c>
      <c r="P4554" s="1192" t="s">
        <v>2748</v>
      </c>
      <c r="V4554" s="1192">
        <v>28</v>
      </c>
    </row>
    <row r="4555" spans="1:22" s="1192" customFormat="1" ht="14.4" x14ac:dyDescent="0.3">
      <c r="A4555" s="1192" t="s">
        <v>234</v>
      </c>
      <c r="E4555" s="1741" t="s">
        <v>14</v>
      </c>
      <c r="F4555" s="1741"/>
      <c r="G4555" s="1277" t="s">
        <v>29</v>
      </c>
      <c r="H4555" s="1219">
        <v>0.1061</v>
      </c>
      <c r="K4555" s="1192" t="s">
        <v>2746</v>
      </c>
      <c r="L4555" s="1192" t="s">
        <v>431</v>
      </c>
      <c r="P4555" s="1192" t="s">
        <v>2749</v>
      </c>
      <c r="V4555" s="1192">
        <v>24</v>
      </c>
    </row>
    <row r="4556" spans="1:22" s="1192" customFormat="1" ht="14.4" x14ac:dyDescent="0.3">
      <c r="A4556" s="1192" t="s">
        <v>234</v>
      </c>
      <c r="E4556" s="1741" t="s">
        <v>6123</v>
      </c>
      <c r="F4556" s="1998"/>
      <c r="G4556" s="1277" t="s">
        <v>29</v>
      </c>
      <c r="H4556" s="1219">
        <v>3.4201000000000001</v>
      </c>
      <c r="K4556" s="1192" t="s">
        <v>2746</v>
      </c>
      <c r="L4556" s="1192" t="s">
        <v>430</v>
      </c>
      <c r="P4556" s="1192" t="s">
        <v>2750</v>
      </c>
      <c r="T4556" s="1192">
        <v>44196</v>
      </c>
      <c r="V4556" s="1192">
        <v>132</v>
      </c>
    </row>
    <row r="4557" spans="1:22" s="1192" customFormat="1" ht="14.4" x14ac:dyDescent="0.3">
      <c r="A4557" s="1192" t="s">
        <v>234</v>
      </c>
      <c r="E4557" s="1741" t="s">
        <v>213</v>
      </c>
      <c r="F4557" s="1741"/>
      <c r="G4557" s="1277" t="s">
        <v>29</v>
      </c>
      <c r="H4557" s="1219">
        <v>2.3327</v>
      </c>
      <c r="K4557" s="1192" t="s">
        <v>2746</v>
      </c>
      <c r="L4557" s="1192" t="s">
        <v>432</v>
      </c>
      <c r="P4557" s="1192" t="s">
        <v>2751</v>
      </c>
      <c r="V4557" s="1192">
        <v>47</v>
      </c>
    </row>
    <row r="4558" spans="1:22" s="1192" customFormat="1" ht="14.4" x14ac:dyDescent="0.3">
      <c r="A4558" s="1192" t="s">
        <v>234</v>
      </c>
      <c r="E4558" s="1741" t="s">
        <v>209</v>
      </c>
      <c r="F4558" s="1741"/>
      <c r="G4558" s="1277" t="s">
        <v>29</v>
      </c>
      <c r="H4558" s="1219">
        <v>1.7595000000000001</v>
      </c>
      <c r="K4558" s="1192" t="s">
        <v>2746</v>
      </c>
      <c r="L4558" s="1192" t="s">
        <v>432</v>
      </c>
      <c r="P4558" s="1192" t="s">
        <v>2752</v>
      </c>
      <c r="V4558" s="1192">
        <v>74</v>
      </c>
    </row>
    <row r="4559" spans="1:22" s="1192" customFormat="1" ht="14.4" x14ac:dyDescent="0.3">
      <c r="A4559" s="1192" t="s">
        <v>234</v>
      </c>
      <c r="E4559" s="1750" t="s">
        <v>2405</v>
      </c>
      <c r="F4559" s="1741"/>
      <c r="G4559" s="1277"/>
      <c r="H4559" s="896"/>
      <c r="K4559" s="1192" t="s">
        <v>2565</v>
      </c>
      <c r="V4559" s="1192">
        <v>48</v>
      </c>
    </row>
    <row r="4560" spans="1:22" s="1192" customFormat="1" ht="14.4" x14ac:dyDescent="0.3">
      <c r="A4560" s="1192" t="s">
        <v>234</v>
      </c>
      <c r="E4560" s="1741" t="s">
        <v>2033</v>
      </c>
      <c r="F4560" s="1741"/>
      <c r="G4560" s="1277" t="s">
        <v>20</v>
      </c>
      <c r="H4560" s="1219">
        <v>3.0000000000000001E-3</v>
      </c>
      <c r="K4560" s="1192" t="s">
        <v>2746</v>
      </c>
      <c r="L4560" s="1192" t="s">
        <v>2374</v>
      </c>
      <c r="P4560" s="1192" t="s">
        <v>2753</v>
      </c>
      <c r="V4560" s="1192">
        <v>55</v>
      </c>
    </row>
    <row r="4561" spans="1:22" s="1192" customFormat="1" ht="14.4" x14ac:dyDescent="0.3">
      <c r="A4561" s="1192" t="s">
        <v>234</v>
      </c>
      <c r="E4561" s="1741" t="s">
        <v>2034</v>
      </c>
      <c r="F4561" s="1741"/>
      <c r="G4561" s="1277" t="s">
        <v>20</v>
      </c>
      <c r="H4561" s="1219">
        <v>4.0000000000000002E-4</v>
      </c>
      <c r="K4561" s="1192" t="s">
        <v>2746</v>
      </c>
      <c r="L4561" s="1192" t="s">
        <v>2374</v>
      </c>
      <c r="P4561" s="1192" t="s">
        <v>2753</v>
      </c>
      <c r="V4561" s="1192">
        <v>65</v>
      </c>
    </row>
    <row r="4562" spans="1:22" s="1192" customFormat="1" ht="14.4" x14ac:dyDescent="0.3">
      <c r="A4562" s="1192" t="s">
        <v>234</v>
      </c>
      <c r="E4562" s="1741" t="s">
        <v>428</v>
      </c>
      <c r="F4562" s="1741"/>
      <c r="G4562" s="1277" t="s">
        <v>20</v>
      </c>
      <c r="H4562" s="1219">
        <v>5.0000000000000001E-4</v>
      </c>
      <c r="K4562" s="1192" t="s">
        <v>2746</v>
      </c>
      <c r="L4562" s="1192" t="s">
        <v>2374</v>
      </c>
      <c r="P4562" s="1192" t="s">
        <v>2754</v>
      </c>
      <c r="V4562" s="1192">
        <v>57</v>
      </c>
    </row>
    <row r="4563" spans="1:22" s="1192" customFormat="1" ht="14.4" x14ac:dyDescent="0.3">
      <c r="A4563" s="1192" t="s">
        <v>234</v>
      </c>
      <c r="E4563" s="1741" t="s">
        <v>28</v>
      </c>
      <c r="F4563" s="1741"/>
      <c r="G4563" s="1277" t="s">
        <v>19</v>
      </c>
      <c r="H4563" s="1218">
        <v>0.25</v>
      </c>
      <c r="K4563" s="1192" t="s">
        <v>2746</v>
      </c>
      <c r="L4563" s="1192" t="s">
        <v>2374</v>
      </c>
      <c r="P4563" s="1192" t="s">
        <v>2755</v>
      </c>
      <c r="V4563" s="1192">
        <v>63</v>
      </c>
    </row>
    <row r="4564" spans="1:22" s="1192" customFormat="1" ht="17.399999999999999" x14ac:dyDescent="0.3">
      <c r="A4564" s="1192" t="s">
        <v>234</v>
      </c>
      <c r="E4564" s="1746" t="s">
        <v>597</v>
      </c>
      <c r="F4564" s="1747"/>
      <c r="G4564" s="1747"/>
      <c r="H4564" s="1747"/>
      <c r="K4564" s="1192" t="s">
        <v>2835</v>
      </c>
      <c r="V4564" s="1192">
        <v>43</v>
      </c>
    </row>
    <row r="4565" spans="1:22" s="1192" customFormat="1" ht="14.4" x14ac:dyDescent="0.3">
      <c r="A4565" s="1192" t="s">
        <v>234</v>
      </c>
      <c r="E4565" s="1743" t="s">
        <v>3494</v>
      </c>
      <c r="F4565" s="1743"/>
      <c r="G4565" s="1743"/>
      <c r="H4565" s="1743"/>
      <c r="K4565" s="1192" t="s">
        <v>2835</v>
      </c>
      <c r="V4565" s="1192">
        <v>252</v>
      </c>
    </row>
    <row r="4566" spans="1:22" s="1192" customFormat="1" ht="14.4" x14ac:dyDescent="0.3">
      <c r="A4566" s="1192" t="s">
        <v>234</v>
      </c>
      <c r="E4566" s="1750" t="s">
        <v>2389</v>
      </c>
      <c r="F4566" s="1743"/>
      <c r="G4566" s="1743"/>
      <c r="H4566" s="1743"/>
      <c r="K4566" s="1192" t="s">
        <v>2571</v>
      </c>
      <c r="V4566" s="1192">
        <v>11</v>
      </c>
    </row>
    <row r="4567" spans="1:22" s="1192" customFormat="1" ht="14.4" x14ac:dyDescent="0.3">
      <c r="A4567" s="1192" t="s">
        <v>234</v>
      </c>
      <c r="E4567" s="1743" t="s">
        <v>2391</v>
      </c>
      <c r="F4567" s="1743"/>
      <c r="G4567" s="1743"/>
      <c r="H4567" s="1743"/>
      <c r="K4567" s="1192" t="s">
        <v>2835</v>
      </c>
      <c r="V4567" s="1192">
        <v>280</v>
      </c>
    </row>
    <row r="4568" spans="1:22" s="1192" customFormat="1" ht="14.4" x14ac:dyDescent="0.3">
      <c r="A4568" s="1192" t="s">
        <v>234</v>
      </c>
      <c r="E4568" s="1743" t="s">
        <v>2392</v>
      </c>
      <c r="F4568" s="1743"/>
      <c r="G4568" s="1743"/>
      <c r="H4568" s="1743"/>
      <c r="K4568" s="1192" t="s">
        <v>2835</v>
      </c>
      <c r="V4568" s="1192">
        <v>411</v>
      </c>
    </row>
    <row r="4569" spans="1:22" s="1192" customFormat="1" ht="14.4" x14ac:dyDescent="0.3">
      <c r="A4569" s="1192" t="s">
        <v>234</v>
      </c>
      <c r="E4569" s="1743" t="s">
        <v>2508</v>
      </c>
      <c r="F4569" s="1743"/>
      <c r="G4569" s="1743"/>
      <c r="H4569" s="1743"/>
      <c r="K4569" s="1192" t="s">
        <v>2835</v>
      </c>
      <c r="V4569" s="1192">
        <v>386</v>
      </c>
    </row>
    <row r="4570" spans="1:22" s="1192" customFormat="1" ht="14.4" x14ac:dyDescent="0.3">
      <c r="A4570" s="1192" t="s">
        <v>234</v>
      </c>
      <c r="E4570" s="1743" t="s">
        <v>4652</v>
      </c>
      <c r="F4570" s="1743"/>
      <c r="G4570" s="1743"/>
      <c r="H4570" s="1743"/>
      <c r="K4570" s="1192" t="s">
        <v>2835</v>
      </c>
      <c r="V4570" s="1192">
        <v>251</v>
      </c>
    </row>
    <row r="4571" spans="1:22" s="1192" customFormat="1" ht="14.4" x14ac:dyDescent="0.3">
      <c r="A4571" s="1192" t="s">
        <v>234</v>
      </c>
      <c r="E4571" s="1750" t="s">
        <v>2394</v>
      </c>
      <c r="F4571" s="1743"/>
      <c r="G4571" s="1743"/>
      <c r="H4571" s="1743"/>
      <c r="K4571" s="1192" t="s">
        <v>2572</v>
      </c>
      <c r="V4571" s="1192">
        <v>46</v>
      </c>
    </row>
    <row r="4572" spans="1:22" s="1192" customFormat="1" ht="14.4" x14ac:dyDescent="0.3">
      <c r="A4572" s="1192" t="s">
        <v>234</v>
      </c>
      <c r="E4572" s="1741" t="s">
        <v>7</v>
      </c>
      <c r="F4572" s="1741"/>
      <c r="G4572" s="1277" t="s">
        <v>19</v>
      </c>
      <c r="H4572" s="1218">
        <v>5502.36</v>
      </c>
      <c r="K4572" s="1192" t="s">
        <v>2835</v>
      </c>
      <c r="L4572" s="1192" t="s">
        <v>430</v>
      </c>
      <c r="P4572" s="1192" t="s">
        <v>3418</v>
      </c>
      <c r="V4572" s="1192">
        <v>14</v>
      </c>
    </row>
    <row r="4573" spans="1:22" s="1192" customFormat="1" ht="14.4" x14ac:dyDescent="0.3">
      <c r="A4573" s="1192" t="s">
        <v>234</v>
      </c>
      <c r="E4573" s="1741" t="s">
        <v>80</v>
      </c>
      <c r="F4573" s="1741"/>
      <c r="G4573" s="1277" t="s">
        <v>29</v>
      </c>
      <c r="H4573" s="1219">
        <v>3.0051999999999999</v>
      </c>
      <c r="K4573" s="1192" t="s">
        <v>2835</v>
      </c>
      <c r="L4573" s="1192" t="s">
        <v>430</v>
      </c>
      <c r="P4573" s="1192" t="s">
        <v>4202</v>
      </c>
      <c r="V4573" s="1192">
        <v>28</v>
      </c>
    </row>
    <row r="4574" spans="1:22" s="1192" customFormat="1" ht="14.4" x14ac:dyDescent="0.3">
      <c r="A4574" s="1192" t="s">
        <v>234</v>
      </c>
      <c r="E4574" s="1741" t="s">
        <v>14</v>
      </c>
      <c r="F4574" s="1741"/>
      <c r="G4574" s="1277" t="s">
        <v>29</v>
      </c>
      <c r="H4574" s="1219">
        <v>0.1313</v>
      </c>
      <c r="K4574" s="1192" t="s">
        <v>2835</v>
      </c>
      <c r="L4574" s="1192" t="s">
        <v>431</v>
      </c>
      <c r="P4574" s="1192" t="s">
        <v>3419</v>
      </c>
      <c r="V4574" s="1192">
        <v>24</v>
      </c>
    </row>
    <row r="4575" spans="1:22" s="1192" customFormat="1" ht="14.4" x14ac:dyDescent="0.3">
      <c r="A4575" s="1192" t="s">
        <v>234</v>
      </c>
      <c r="E4575" s="1741" t="s">
        <v>213</v>
      </c>
      <c r="F4575" s="1741"/>
      <c r="G4575" s="1277" t="s">
        <v>29</v>
      </c>
      <c r="H4575" s="1219">
        <v>2.8866000000000001</v>
      </c>
      <c r="K4575" s="1192" t="s">
        <v>2835</v>
      </c>
      <c r="L4575" s="1192" t="s">
        <v>432</v>
      </c>
      <c r="P4575" s="1192" t="s">
        <v>2836</v>
      </c>
      <c r="V4575" s="1192">
        <v>47</v>
      </c>
    </row>
    <row r="4576" spans="1:22" s="1192" customFormat="1" ht="14.4" x14ac:dyDescent="0.3">
      <c r="A4576" s="1192" t="s">
        <v>234</v>
      </c>
      <c r="E4576" s="1741" t="s">
        <v>209</v>
      </c>
      <c r="F4576" s="1741"/>
      <c r="G4576" s="1277" t="s">
        <v>29</v>
      </c>
      <c r="H4576" s="1219">
        <v>2.1772</v>
      </c>
      <c r="K4576" s="1192" t="s">
        <v>2835</v>
      </c>
      <c r="L4576" s="1192" t="s">
        <v>432</v>
      </c>
      <c r="P4576" s="1192" t="s">
        <v>2837</v>
      </c>
      <c r="V4576" s="1192">
        <v>74</v>
      </c>
    </row>
    <row r="4577" spans="1:22" s="1192" customFormat="1" ht="14.4" x14ac:dyDescent="0.3">
      <c r="A4577" s="1192" t="s">
        <v>234</v>
      </c>
      <c r="E4577" s="1750" t="s">
        <v>2405</v>
      </c>
      <c r="F4577" s="1741"/>
      <c r="G4577" s="1277"/>
      <c r="H4577" s="896"/>
      <c r="K4577" s="1192" t="s">
        <v>2581</v>
      </c>
      <c r="V4577" s="1192">
        <v>48</v>
      </c>
    </row>
    <row r="4578" spans="1:22" s="1192" customFormat="1" ht="14.4" x14ac:dyDescent="0.3">
      <c r="A4578" s="1192" t="s">
        <v>234</v>
      </c>
      <c r="E4578" s="1741" t="s">
        <v>2033</v>
      </c>
      <c r="F4578" s="1741"/>
      <c r="G4578" s="1277" t="s">
        <v>20</v>
      </c>
      <c r="H4578" s="1219">
        <v>3.0000000000000001E-3</v>
      </c>
      <c r="K4578" s="1192" t="s">
        <v>2835</v>
      </c>
      <c r="L4578" s="1192" t="s">
        <v>2374</v>
      </c>
      <c r="P4578" s="1192" t="s">
        <v>2838</v>
      </c>
      <c r="V4578" s="1192">
        <v>55</v>
      </c>
    </row>
    <row r="4579" spans="1:22" s="1192" customFormat="1" ht="14.4" x14ac:dyDescent="0.3">
      <c r="A4579" s="1192" t="s">
        <v>234</v>
      </c>
      <c r="E4579" s="1741" t="s">
        <v>2034</v>
      </c>
      <c r="F4579" s="1741"/>
      <c r="G4579" s="1277" t="s">
        <v>20</v>
      </c>
      <c r="H4579" s="1219">
        <v>4.0000000000000002E-4</v>
      </c>
      <c r="K4579" s="1192" t="s">
        <v>2835</v>
      </c>
      <c r="L4579" s="1192" t="s">
        <v>2374</v>
      </c>
      <c r="P4579" s="1192" t="s">
        <v>2838</v>
      </c>
      <c r="V4579" s="1192">
        <v>65</v>
      </c>
    </row>
    <row r="4580" spans="1:22" s="1192" customFormat="1" ht="14.4" x14ac:dyDescent="0.3">
      <c r="A4580" s="1192" t="s">
        <v>234</v>
      </c>
      <c r="E4580" s="1741" t="s">
        <v>428</v>
      </c>
      <c r="F4580" s="1741"/>
      <c r="G4580" s="1277" t="s">
        <v>20</v>
      </c>
      <c r="H4580" s="1219">
        <v>5.0000000000000001E-4</v>
      </c>
      <c r="K4580" s="1192" t="s">
        <v>2835</v>
      </c>
      <c r="L4580" s="1192" t="s">
        <v>2374</v>
      </c>
      <c r="P4580" s="1192" t="s">
        <v>2839</v>
      </c>
      <c r="V4580" s="1192">
        <v>57</v>
      </c>
    </row>
    <row r="4581" spans="1:22" s="1192" customFormat="1" ht="14.4" x14ac:dyDescent="0.3">
      <c r="A4581" s="1192" t="s">
        <v>234</v>
      </c>
      <c r="E4581" s="1741" t="s">
        <v>28</v>
      </c>
      <c r="F4581" s="1741"/>
      <c r="G4581" s="1277" t="s">
        <v>19</v>
      </c>
      <c r="H4581" s="1218">
        <v>0.25</v>
      </c>
      <c r="K4581" s="1192" t="s">
        <v>2835</v>
      </c>
      <c r="L4581" s="1192" t="s">
        <v>2374</v>
      </c>
      <c r="P4581" s="1192" t="s">
        <v>2840</v>
      </c>
      <c r="V4581" s="1192">
        <v>63</v>
      </c>
    </row>
    <row r="4582" spans="1:22" s="1192" customFormat="1" ht="17.399999999999999" x14ac:dyDescent="0.3">
      <c r="A4582" s="1192" t="s">
        <v>234</v>
      </c>
      <c r="E4582" s="1746" t="s">
        <v>593</v>
      </c>
      <c r="F4582" s="1747"/>
      <c r="G4582" s="1747"/>
      <c r="H4582" s="1747"/>
      <c r="K4582" s="1192" t="s">
        <v>2585</v>
      </c>
      <c r="V4582" s="1192">
        <v>31</v>
      </c>
    </row>
    <row r="4583" spans="1:22" s="1192" customFormat="1" ht="14.4" x14ac:dyDescent="0.3">
      <c r="A4583" s="1192" t="s">
        <v>234</v>
      </c>
      <c r="E4583" s="1743" t="s">
        <v>2652</v>
      </c>
      <c r="F4583" s="1743"/>
      <c r="G4583" s="1743"/>
      <c r="H4583" s="1743"/>
      <c r="K4583" s="1192" t="s">
        <v>2585</v>
      </c>
      <c r="V4583" s="1192">
        <v>285</v>
      </c>
    </row>
    <row r="4584" spans="1:22" s="1192" customFormat="1" ht="14.4" x14ac:dyDescent="0.3">
      <c r="A4584" s="1192" t="s">
        <v>234</v>
      </c>
      <c r="E4584" s="1750" t="s">
        <v>2389</v>
      </c>
      <c r="F4584" s="1743"/>
      <c r="G4584" s="1743"/>
      <c r="H4584" s="1743"/>
      <c r="K4584" s="1192" t="s">
        <v>2586</v>
      </c>
      <c r="V4584" s="1192">
        <v>11</v>
      </c>
    </row>
    <row r="4585" spans="1:22" s="1192" customFormat="1" ht="14.4" x14ac:dyDescent="0.3">
      <c r="A4585" s="1192" t="s">
        <v>234</v>
      </c>
      <c r="E4585" s="1743" t="s">
        <v>2391</v>
      </c>
      <c r="F4585" s="1743"/>
      <c r="G4585" s="1743"/>
      <c r="H4585" s="1743"/>
      <c r="K4585" s="1192" t="s">
        <v>2585</v>
      </c>
      <c r="V4585" s="1192">
        <v>280</v>
      </c>
    </row>
    <row r="4586" spans="1:22" s="1192" customFormat="1" ht="14.4" x14ac:dyDescent="0.3">
      <c r="A4586" s="1192" t="s">
        <v>234</v>
      </c>
      <c r="E4586" s="1743" t="s">
        <v>2392</v>
      </c>
      <c r="F4586" s="1743"/>
      <c r="G4586" s="1743"/>
      <c r="H4586" s="1743"/>
      <c r="K4586" s="1192" t="s">
        <v>2585</v>
      </c>
      <c r="V4586" s="1192">
        <v>411</v>
      </c>
    </row>
    <row r="4587" spans="1:22" s="1192" customFormat="1" ht="14.4" x14ac:dyDescent="0.3">
      <c r="A4587" s="1192" t="s">
        <v>234</v>
      </c>
      <c r="E4587" s="1743" t="s">
        <v>2445</v>
      </c>
      <c r="F4587" s="1743"/>
      <c r="G4587" s="1743"/>
      <c r="H4587" s="1743"/>
      <c r="K4587" s="1192" t="s">
        <v>2585</v>
      </c>
      <c r="V4587" s="1192">
        <v>211</v>
      </c>
    </row>
    <row r="4588" spans="1:22" s="1192" customFormat="1" ht="14.4" x14ac:dyDescent="0.3">
      <c r="A4588" s="1192" t="s">
        <v>234</v>
      </c>
      <c r="E4588" s="1743" t="s">
        <v>4652</v>
      </c>
      <c r="F4588" s="1743"/>
      <c r="G4588" s="1743"/>
      <c r="H4588" s="1743"/>
      <c r="K4588" s="1192" t="s">
        <v>2585</v>
      </c>
      <c r="V4588" s="1192">
        <v>251</v>
      </c>
    </row>
    <row r="4589" spans="1:22" s="1192" customFormat="1" ht="14.4" x14ac:dyDescent="0.3">
      <c r="A4589" s="1192" t="s">
        <v>234</v>
      </c>
      <c r="E4589" s="1750" t="s">
        <v>2394</v>
      </c>
      <c r="F4589" s="1743"/>
      <c r="G4589" s="1743"/>
      <c r="H4589" s="1743"/>
      <c r="K4589" s="1192" t="s">
        <v>2587</v>
      </c>
      <c r="V4589" s="1192">
        <v>46</v>
      </c>
    </row>
    <row r="4590" spans="1:22" s="1192" customFormat="1" ht="14.4" x14ac:dyDescent="0.3">
      <c r="A4590" s="1192" t="s">
        <v>234</v>
      </c>
      <c r="E4590" s="1741" t="s">
        <v>7</v>
      </c>
      <c r="F4590" s="1741"/>
      <c r="G4590" s="1277" t="s">
        <v>19</v>
      </c>
      <c r="H4590" s="1218">
        <v>5.4</v>
      </c>
      <c r="K4590" s="1192" t="s">
        <v>2585</v>
      </c>
      <c r="L4590" s="1192" t="s">
        <v>430</v>
      </c>
      <c r="P4590" s="1192" t="s">
        <v>2588</v>
      </c>
      <c r="V4590" s="1192">
        <v>14</v>
      </c>
    </row>
    <row r="4591" spans="1:22" s="1192" customFormat="1" x14ac:dyDescent="0.3">
      <c r="A4591" s="1192" t="s">
        <v>234</v>
      </c>
      <c r="E4591" s="1224" t="s">
        <v>81</v>
      </c>
      <c r="F4591" s="554"/>
      <c r="G4591" s="554"/>
      <c r="H4591" s="898"/>
      <c r="K4591" s="1192" t="s">
        <v>3496</v>
      </c>
      <c r="V4591" s="1192">
        <v>10</v>
      </c>
    </row>
    <row r="4592" spans="1:22" s="1192" customFormat="1" ht="14.4" x14ac:dyDescent="0.3">
      <c r="A4592" s="1192" t="s">
        <v>234</v>
      </c>
      <c r="E4592" s="1741" t="s">
        <v>3497</v>
      </c>
      <c r="F4592" s="1741"/>
      <c r="G4592" s="1277" t="s">
        <v>29</v>
      </c>
      <c r="H4592" s="1219">
        <v>-0.5</v>
      </c>
      <c r="V4592" s="1192">
        <v>126</v>
      </c>
    </row>
    <row r="4593" spans="1:22" s="1192" customFormat="1" ht="14.4" x14ac:dyDescent="0.3">
      <c r="A4593" s="1192" t="s">
        <v>234</v>
      </c>
      <c r="E4593" s="1741" t="s">
        <v>2450</v>
      </c>
      <c r="F4593" s="1741"/>
      <c r="G4593" s="1266" t="s">
        <v>82</v>
      </c>
      <c r="H4593" s="358">
        <v>-1</v>
      </c>
      <c r="V4593" s="1192">
        <v>87</v>
      </c>
    </row>
    <row r="4594" spans="1:22" s="1192" customFormat="1" x14ac:dyDescent="0.3">
      <c r="A4594" s="1192" t="s">
        <v>234</v>
      </c>
      <c r="E4594" s="1260" t="s">
        <v>83</v>
      </c>
      <c r="F4594" s="554"/>
      <c r="G4594" s="554"/>
      <c r="H4594" s="898"/>
      <c r="K4594" s="1192" t="s">
        <v>3498</v>
      </c>
      <c r="V4594" s="1192">
        <v>24</v>
      </c>
    </row>
    <row r="4595" spans="1:22" s="1192" customFormat="1" ht="14.4" x14ac:dyDescent="0.3">
      <c r="A4595" s="1192" t="s">
        <v>234</v>
      </c>
      <c r="E4595" s="1743" t="s">
        <v>2391</v>
      </c>
      <c r="F4595" s="1743"/>
      <c r="G4595" s="1743"/>
      <c r="H4595" s="1743"/>
      <c r="V4595" s="1192">
        <v>280</v>
      </c>
    </row>
    <row r="4596" spans="1:22" s="1192" customFormat="1" ht="14.4" x14ac:dyDescent="0.3">
      <c r="A4596" s="1192" t="s">
        <v>234</v>
      </c>
      <c r="E4596" s="1743" t="s">
        <v>2452</v>
      </c>
      <c r="F4596" s="1743"/>
      <c r="G4596" s="1743"/>
      <c r="H4596" s="1743"/>
      <c r="V4596" s="1192">
        <v>353</v>
      </c>
    </row>
    <row r="4597" spans="1:22" s="1192" customFormat="1" ht="14.4" x14ac:dyDescent="0.3">
      <c r="A4597" s="1192" t="s">
        <v>234</v>
      </c>
      <c r="E4597" s="1743" t="s">
        <v>4652</v>
      </c>
      <c r="F4597" s="1743"/>
      <c r="G4597" s="1743"/>
      <c r="H4597" s="1743"/>
      <c r="V4597" s="1192">
        <v>251</v>
      </c>
    </row>
    <row r="4598" spans="1:22" s="1192" customFormat="1" ht="14.4" x14ac:dyDescent="0.3">
      <c r="A4598" s="1192" t="s">
        <v>234</v>
      </c>
      <c r="E4598" s="1258" t="s">
        <v>2453</v>
      </c>
      <c r="F4598" s="454"/>
      <c r="G4598" s="454"/>
      <c r="H4598" s="960"/>
      <c r="K4598" s="1192" t="s">
        <v>3499</v>
      </c>
      <c r="V4598" s="1192">
        <v>23</v>
      </c>
    </row>
    <row r="4599" spans="1:22" s="1192" customFormat="1" ht="14.4" x14ac:dyDescent="0.3">
      <c r="A4599" s="1192" t="s">
        <v>234</v>
      </c>
      <c r="E4599" s="1942" t="s">
        <v>2456</v>
      </c>
      <c r="F4599" s="1942"/>
      <c r="G4599" s="1277" t="s">
        <v>19</v>
      </c>
      <c r="H4599" s="1218">
        <v>15</v>
      </c>
      <c r="V4599" s="1192">
        <v>20</v>
      </c>
    </row>
    <row r="4600" spans="1:22" s="1192" customFormat="1" ht="14.4" x14ac:dyDescent="0.3">
      <c r="A4600" s="1192" t="s">
        <v>234</v>
      </c>
      <c r="E4600" s="1942" t="s">
        <v>2457</v>
      </c>
      <c r="F4600" s="1942"/>
      <c r="G4600" s="1277" t="s">
        <v>19</v>
      </c>
      <c r="H4600" s="1218">
        <v>15</v>
      </c>
      <c r="V4600" s="1192">
        <v>26</v>
      </c>
    </row>
    <row r="4601" spans="1:22" s="1192" customFormat="1" ht="14.4" x14ac:dyDescent="0.3">
      <c r="A4601" s="1192" t="s">
        <v>234</v>
      </c>
      <c r="E4601" s="1942" t="s">
        <v>2458</v>
      </c>
      <c r="F4601" s="1942"/>
      <c r="G4601" s="1277" t="s">
        <v>19</v>
      </c>
      <c r="H4601" s="1218">
        <v>15</v>
      </c>
      <c r="V4601" s="1192">
        <v>39</v>
      </c>
    </row>
    <row r="4602" spans="1:22" s="1192" customFormat="1" ht="14.4" x14ac:dyDescent="0.3">
      <c r="A4602" s="1192" t="s">
        <v>234</v>
      </c>
      <c r="E4602" s="1942" t="s">
        <v>3663</v>
      </c>
      <c r="F4602" s="1942"/>
      <c r="G4602" s="1277" t="s">
        <v>19</v>
      </c>
      <c r="H4602" s="1218">
        <v>15</v>
      </c>
      <c r="V4602" s="1192">
        <v>15</v>
      </c>
    </row>
    <row r="4603" spans="1:22" s="1192" customFormat="1" ht="14.4" x14ac:dyDescent="0.3">
      <c r="A4603" s="1192" t="s">
        <v>234</v>
      </c>
      <c r="E4603" s="1942" t="s">
        <v>2463</v>
      </c>
      <c r="F4603" s="1942"/>
      <c r="G4603" s="1277" t="s">
        <v>19</v>
      </c>
      <c r="H4603" s="1218">
        <v>15</v>
      </c>
      <c r="V4603" s="1192">
        <v>15</v>
      </c>
    </row>
    <row r="4604" spans="1:22" s="1192" customFormat="1" ht="14.4" x14ac:dyDescent="0.3">
      <c r="A4604" s="1192" t="s">
        <v>234</v>
      </c>
      <c r="E4604" s="1942" t="s">
        <v>2464</v>
      </c>
      <c r="F4604" s="1942"/>
      <c r="G4604" s="1277" t="s">
        <v>19</v>
      </c>
      <c r="H4604" s="1218">
        <v>15</v>
      </c>
      <c r="V4604" s="1192">
        <v>56</v>
      </c>
    </row>
    <row r="4605" spans="1:22" s="1192" customFormat="1" ht="14.4" x14ac:dyDescent="0.3">
      <c r="A4605" s="1192" t="s">
        <v>234</v>
      </c>
      <c r="E4605" s="1942" t="s">
        <v>119</v>
      </c>
      <c r="F4605" s="1942"/>
      <c r="G4605" s="1277" t="s">
        <v>19</v>
      </c>
      <c r="H4605" s="1218">
        <v>15</v>
      </c>
      <c r="V4605" s="1192">
        <v>35</v>
      </c>
    </row>
    <row r="4606" spans="1:22" s="1192" customFormat="1" ht="14.4" x14ac:dyDescent="0.3">
      <c r="A4606" s="1192" t="s">
        <v>234</v>
      </c>
      <c r="E4606" s="1942" t="s">
        <v>84</v>
      </c>
      <c r="F4606" s="1942"/>
      <c r="G4606" s="1277" t="s">
        <v>19</v>
      </c>
      <c r="H4606" s="1218">
        <v>30</v>
      </c>
      <c r="V4606" s="1192">
        <v>89</v>
      </c>
    </row>
    <row r="4607" spans="1:22" s="1192" customFormat="1" ht="14.4" x14ac:dyDescent="0.3">
      <c r="A4607" s="1192" t="s">
        <v>234</v>
      </c>
      <c r="E4607" s="1942" t="s">
        <v>88</v>
      </c>
      <c r="F4607" s="1942"/>
      <c r="G4607" s="1277" t="s">
        <v>19</v>
      </c>
      <c r="H4607" s="1218">
        <v>30</v>
      </c>
      <c r="V4607" s="1192">
        <v>74</v>
      </c>
    </row>
    <row r="4608" spans="1:22" s="1192" customFormat="1" ht="14.4" x14ac:dyDescent="0.3">
      <c r="A4608" s="1192" t="s">
        <v>234</v>
      </c>
      <c r="E4608" s="1258" t="s">
        <v>2468</v>
      </c>
      <c r="F4608" s="454"/>
      <c r="G4608" s="454"/>
      <c r="H4608" s="960"/>
      <c r="K4608" s="1192" t="s">
        <v>3500</v>
      </c>
      <c r="V4608" s="1192">
        <v>22</v>
      </c>
    </row>
    <row r="4609" spans="1:22" s="1192" customFormat="1" ht="14.4" x14ac:dyDescent="0.3">
      <c r="A4609" s="1192" t="s">
        <v>234</v>
      </c>
      <c r="E4609" s="2178" t="s">
        <v>5940</v>
      </c>
      <c r="F4609" s="2178"/>
      <c r="G4609" s="1220" t="s">
        <v>82</v>
      </c>
      <c r="H4609" s="1222">
        <v>1.5</v>
      </c>
      <c r="V4609" s="1192">
        <v>99</v>
      </c>
    </row>
    <row r="4610" spans="1:22" s="1192" customFormat="1" ht="14.4" x14ac:dyDescent="0.3">
      <c r="A4610" s="1192" t="s">
        <v>234</v>
      </c>
      <c r="E4610" s="1942" t="s">
        <v>6106</v>
      </c>
      <c r="F4610" s="1942"/>
      <c r="G4610" s="1277" t="s">
        <v>19</v>
      </c>
      <c r="H4610" s="1218">
        <v>65</v>
      </c>
      <c r="V4610" s="1192">
        <v>44</v>
      </c>
    </row>
    <row r="4611" spans="1:22" s="1192" customFormat="1" ht="14.4" x14ac:dyDescent="0.3">
      <c r="A4611" s="1192" t="s">
        <v>234</v>
      </c>
      <c r="E4611" s="1942" t="s">
        <v>6107</v>
      </c>
      <c r="F4611" s="1942"/>
      <c r="G4611" s="1277" t="s">
        <v>19</v>
      </c>
      <c r="H4611" s="1218">
        <v>185</v>
      </c>
      <c r="V4611" s="1192">
        <v>43</v>
      </c>
    </row>
    <row r="4612" spans="1:22" s="1192" customFormat="1" ht="14.4" x14ac:dyDescent="0.3">
      <c r="A4612" s="1192" t="s">
        <v>234</v>
      </c>
      <c r="E4612" s="1942" t="s">
        <v>6108</v>
      </c>
      <c r="F4612" s="1942"/>
      <c r="G4612" s="1277" t="s">
        <v>19</v>
      </c>
      <c r="H4612" s="1218">
        <v>185</v>
      </c>
      <c r="V4612" s="1192">
        <v>43</v>
      </c>
    </row>
    <row r="4613" spans="1:22" s="1192" customFormat="1" ht="14.4" x14ac:dyDescent="0.3">
      <c r="A4613" s="1192" t="s">
        <v>234</v>
      </c>
      <c r="E4613" s="1942" t="s">
        <v>6115</v>
      </c>
      <c r="F4613" s="1942"/>
      <c r="G4613" s="1277" t="s">
        <v>19</v>
      </c>
      <c r="H4613" s="1218">
        <v>415</v>
      </c>
      <c r="V4613" s="1192">
        <v>42</v>
      </c>
    </row>
    <row r="4614" spans="1:22" s="1192" customFormat="1" ht="14.4" x14ac:dyDescent="0.3">
      <c r="A4614" s="1192" t="s">
        <v>234</v>
      </c>
      <c r="E4614" s="1258" t="s">
        <v>2474</v>
      </c>
      <c r="F4614" s="454"/>
      <c r="G4614" s="454"/>
      <c r="H4614" s="960"/>
      <c r="V4614" s="1192">
        <v>5</v>
      </c>
    </row>
    <row r="4615" spans="1:22" s="1192" customFormat="1" ht="14.4" x14ac:dyDescent="0.3">
      <c r="A4615" s="1192" t="s">
        <v>234</v>
      </c>
      <c r="E4615" s="1942" t="s">
        <v>90</v>
      </c>
      <c r="F4615" s="1942"/>
      <c r="G4615" s="1277" t="s">
        <v>19</v>
      </c>
      <c r="H4615" s="1218">
        <v>30</v>
      </c>
      <c r="V4615" s="1192">
        <v>19</v>
      </c>
    </row>
    <row r="4616" spans="1:22" s="1192" customFormat="1" ht="14.4" x14ac:dyDescent="0.3">
      <c r="A4616" s="1192" t="s">
        <v>234</v>
      </c>
      <c r="E4616" s="1942" t="s">
        <v>3501</v>
      </c>
      <c r="F4616" s="1942"/>
      <c r="G4616" s="1277" t="s">
        <v>19</v>
      </c>
      <c r="H4616" s="1218">
        <v>30</v>
      </c>
      <c r="V4616" s="1192">
        <v>83</v>
      </c>
    </row>
    <row r="4617" spans="1:22" s="1192" customFormat="1" ht="14.4" x14ac:dyDescent="0.3">
      <c r="A4617" s="1192" t="s">
        <v>234</v>
      </c>
      <c r="E4617" s="1942" t="s">
        <v>3502</v>
      </c>
      <c r="F4617" s="1942"/>
      <c r="G4617" s="1277" t="s">
        <v>19</v>
      </c>
      <c r="H4617" s="1218">
        <v>165</v>
      </c>
      <c r="V4617" s="1192">
        <v>82</v>
      </c>
    </row>
    <row r="4618" spans="1:22" s="1192" customFormat="1" ht="14.4" x14ac:dyDescent="0.3">
      <c r="A4618" s="1192" t="s">
        <v>234</v>
      </c>
      <c r="E4618" s="1942" t="s">
        <v>2703</v>
      </c>
      <c r="F4618" s="1942"/>
      <c r="G4618" s="1277" t="s">
        <v>19</v>
      </c>
      <c r="H4618" s="1218">
        <v>500</v>
      </c>
      <c r="V4618" s="1192">
        <v>64</v>
      </c>
    </row>
    <row r="4619" spans="1:22" s="1192" customFormat="1" ht="14.4" x14ac:dyDescent="0.3">
      <c r="A4619" s="1192" t="s">
        <v>234</v>
      </c>
      <c r="E4619" s="1942" t="s">
        <v>2758</v>
      </c>
      <c r="F4619" s="1942"/>
      <c r="G4619" s="1277" t="s">
        <v>19</v>
      </c>
      <c r="H4619" s="1218">
        <v>300</v>
      </c>
      <c r="V4619" s="1192">
        <v>67</v>
      </c>
    </row>
    <row r="4620" spans="1:22" s="1192" customFormat="1" ht="14.4" x14ac:dyDescent="0.3">
      <c r="A4620" s="1192" t="s">
        <v>234</v>
      </c>
      <c r="E4620" s="1942" t="s">
        <v>2768</v>
      </c>
      <c r="F4620" s="1942"/>
      <c r="G4620" s="1277" t="s">
        <v>19</v>
      </c>
      <c r="H4620" s="1218">
        <v>44.5</v>
      </c>
      <c r="V4620" s="1192">
        <v>104</v>
      </c>
    </row>
    <row r="4621" spans="1:22" s="1192" customFormat="1" ht="34.799999999999997" x14ac:dyDescent="0.3">
      <c r="A4621" s="1192" t="s">
        <v>234</v>
      </c>
      <c r="E4621" s="1260" t="s">
        <v>73</v>
      </c>
      <c r="F4621" s="554"/>
      <c r="G4621" s="554"/>
      <c r="H4621" s="898"/>
      <c r="K4621" s="1192" t="s">
        <v>3503</v>
      </c>
      <c r="V4621" s="1192">
        <v>38</v>
      </c>
    </row>
    <row r="4622" spans="1:22" s="1192" customFormat="1" ht="14.4" x14ac:dyDescent="0.3">
      <c r="A4622" s="1192" t="s">
        <v>234</v>
      </c>
      <c r="E4622" s="1743" t="s">
        <v>3504</v>
      </c>
      <c r="F4622" s="1743"/>
      <c r="G4622" s="1743"/>
      <c r="H4622" s="1743"/>
      <c r="V4622" s="1192">
        <v>281</v>
      </c>
    </row>
    <row r="4623" spans="1:22" s="1192" customFormat="1" ht="14.4" x14ac:dyDescent="0.3">
      <c r="A4623" s="1192" t="s">
        <v>234</v>
      </c>
      <c r="E4623" s="1743" t="s">
        <v>2392</v>
      </c>
      <c r="F4623" s="1743"/>
      <c r="G4623" s="1743"/>
      <c r="H4623" s="1743"/>
      <c r="V4623" s="1192">
        <v>411</v>
      </c>
    </row>
    <row r="4624" spans="1:22" s="1192" customFormat="1" ht="14.4" x14ac:dyDescent="0.3">
      <c r="A4624" s="1192" t="s">
        <v>234</v>
      </c>
      <c r="E4624" s="1743" t="s">
        <v>2445</v>
      </c>
      <c r="F4624" s="1743"/>
      <c r="G4624" s="1743"/>
      <c r="H4624" s="1743"/>
      <c r="V4624" s="1192">
        <v>211</v>
      </c>
    </row>
    <row r="4625" spans="1:22" s="1192" customFormat="1" ht="14.4" x14ac:dyDescent="0.3">
      <c r="A4625" s="1192" t="s">
        <v>234</v>
      </c>
      <c r="E4625" s="1743" t="s">
        <v>4652</v>
      </c>
      <c r="F4625" s="1743"/>
      <c r="G4625" s="1743"/>
      <c r="H4625" s="1743"/>
      <c r="V4625" s="1192">
        <v>251</v>
      </c>
    </row>
    <row r="4626" spans="1:22" s="1192" customFormat="1" ht="14.4" x14ac:dyDescent="0.3">
      <c r="A4626" s="1192" t="s">
        <v>234</v>
      </c>
      <c r="E4626" s="1743" t="s">
        <v>2595</v>
      </c>
      <c r="F4626" s="1743"/>
      <c r="G4626" s="1743"/>
      <c r="H4626" s="1743"/>
      <c r="V4626" s="1192">
        <v>142</v>
      </c>
    </row>
    <row r="4627" spans="1:22" s="1192" customFormat="1" ht="14.4" x14ac:dyDescent="0.3">
      <c r="A4627" s="1192" t="s">
        <v>234</v>
      </c>
      <c r="E4627" s="1741" t="s">
        <v>2485</v>
      </c>
      <c r="F4627" s="1741"/>
      <c r="G4627" s="451" t="s">
        <v>19</v>
      </c>
      <c r="H4627" s="358">
        <v>102</v>
      </c>
      <c r="V4627" s="1192">
        <v>106</v>
      </c>
    </row>
    <row r="4628" spans="1:22" s="1192" customFormat="1" ht="14.4" x14ac:dyDescent="0.3">
      <c r="A4628" s="1192" t="s">
        <v>234</v>
      </c>
      <c r="E4628" s="1741" t="s">
        <v>2486</v>
      </c>
      <c r="F4628" s="1741"/>
      <c r="G4628" s="451" t="s">
        <v>19</v>
      </c>
      <c r="H4628" s="358">
        <v>40.799999999999997</v>
      </c>
      <c r="V4628" s="1192">
        <v>34</v>
      </c>
    </row>
    <row r="4629" spans="1:22" s="1192" customFormat="1" ht="14.4" x14ac:dyDescent="0.3">
      <c r="A4629" s="1192" t="s">
        <v>234</v>
      </c>
      <c r="E4629" s="1741" t="s">
        <v>2487</v>
      </c>
      <c r="F4629" s="1741"/>
      <c r="G4629" s="451" t="s">
        <v>2488</v>
      </c>
      <c r="H4629" s="358">
        <v>1.02</v>
      </c>
      <c r="V4629" s="1192">
        <v>51</v>
      </c>
    </row>
    <row r="4630" spans="1:22" s="1192" customFormat="1" ht="14.4" x14ac:dyDescent="0.3">
      <c r="A4630" s="1192" t="s">
        <v>234</v>
      </c>
      <c r="E4630" s="1741" t="s">
        <v>2489</v>
      </c>
      <c r="F4630" s="1741"/>
      <c r="G4630" s="451" t="s">
        <v>2488</v>
      </c>
      <c r="H4630" s="358">
        <v>0.61</v>
      </c>
      <c r="V4630" s="1192">
        <v>75</v>
      </c>
    </row>
    <row r="4631" spans="1:22" s="1192" customFormat="1" ht="14.4" x14ac:dyDescent="0.3">
      <c r="A4631" s="1192" t="s">
        <v>234</v>
      </c>
      <c r="E4631" s="1741" t="s">
        <v>2490</v>
      </c>
      <c r="F4631" s="1741"/>
      <c r="G4631" s="451" t="s">
        <v>2488</v>
      </c>
      <c r="H4631" s="358">
        <v>-0.61</v>
      </c>
      <c r="V4631" s="1192">
        <v>72</v>
      </c>
    </row>
    <row r="4632" spans="1:22" s="1192" customFormat="1" ht="14.4" x14ac:dyDescent="0.3">
      <c r="A4632" s="1192" t="s">
        <v>234</v>
      </c>
      <c r="E4632" s="1741" t="s">
        <v>2596</v>
      </c>
      <c r="F4632" s="1741"/>
      <c r="G4632" s="451"/>
      <c r="H4632" s="899"/>
      <c r="V4632" s="1192">
        <v>34</v>
      </c>
    </row>
    <row r="4633" spans="1:22" s="1192" customFormat="1" ht="14.4" x14ac:dyDescent="0.3">
      <c r="A4633" s="1192" t="s">
        <v>234</v>
      </c>
      <c r="E4633" s="1941" t="s">
        <v>2492</v>
      </c>
      <c r="F4633" s="1941"/>
      <c r="G4633" s="451" t="s">
        <v>19</v>
      </c>
      <c r="H4633" s="358">
        <v>0.51</v>
      </c>
      <c r="V4633" s="1192">
        <v>57</v>
      </c>
    </row>
    <row r="4634" spans="1:22" s="1192" customFormat="1" ht="14.4" x14ac:dyDescent="0.3">
      <c r="A4634" s="1192" t="s">
        <v>234</v>
      </c>
      <c r="E4634" s="1941" t="s">
        <v>2493</v>
      </c>
      <c r="F4634" s="1941"/>
      <c r="G4634" s="451" t="s">
        <v>19</v>
      </c>
      <c r="H4634" s="358">
        <v>1.02</v>
      </c>
      <c r="V4634" s="1192">
        <v>60</v>
      </c>
    </row>
    <row r="4635" spans="1:22" s="1192" customFormat="1" ht="14.4" x14ac:dyDescent="0.3">
      <c r="A4635" s="1192" t="s">
        <v>234</v>
      </c>
      <c r="E4635" s="1741" t="s">
        <v>2494</v>
      </c>
      <c r="F4635" s="1741"/>
      <c r="G4635" s="451"/>
      <c r="H4635" s="899"/>
      <c r="V4635" s="1192">
        <v>91</v>
      </c>
    </row>
    <row r="4636" spans="1:22" s="1192" customFormat="1" ht="14.4" x14ac:dyDescent="0.3">
      <c r="A4636" s="1192" t="s">
        <v>234</v>
      </c>
      <c r="E4636" s="1741" t="s">
        <v>2495</v>
      </c>
      <c r="F4636" s="1741"/>
      <c r="G4636" s="451"/>
      <c r="H4636" s="899"/>
      <c r="V4636" s="1192">
        <v>96</v>
      </c>
    </row>
    <row r="4637" spans="1:22" s="1192" customFormat="1" ht="14.4" x14ac:dyDescent="0.3">
      <c r="A4637" s="1192" t="s">
        <v>234</v>
      </c>
      <c r="E4637" s="1741" t="s">
        <v>2597</v>
      </c>
      <c r="F4637" s="1741"/>
      <c r="G4637" s="451"/>
      <c r="H4637" s="899"/>
      <c r="V4637" s="1192">
        <v>77</v>
      </c>
    </row>
    <row r="4638" spans="1:22" s="1192" customFormat="1" ht="14.4" x14ac:dyDescent="0.3">
      <c r="A4638" s="1192" t="s">
        <v>234</v>
      </c>
      <c r="E4638" s="1941" t="s">
        <v>2497</v>
      </c>
      <c r="F4638" s="1941"/>
      <c r="G4638" s="451" t="s">
        <v>19</v>
      </c>
      <c r="H4638" s="899" t="s">
        <v>2498</v>
      </c>
      <c r="V4638" s="1192">
        <v>18</v>
      </c>
    </row>
    <row r="4639" spans="1:22" s="1192" customFormat="1" ht="14.4" x14ac:dyDescent="0.3">
      <c r="A4639" s="1192" t="s">
        <v>234</v>
      </c>
      <c r="E4639" s="1941" t="s">
        <v>2499</v>
      </c>
      <c r="F4639" s="1941"/>
      <c r="G4639" s="451" t="s">
        <v>19</v>
      </c>
      <c r="H4639" s="358">
        <v>4.08</v>
      </c>
      <c r="V4639" s="1192">
        <v>69</v>
      </c>
    </row>
    <row r="4640" spans="1:22" s="1192" customFormat="1" ht="14.4" x14ac:dyDescent="0.3">
      <c r="A4640" s="1192" t="s">
        <v>234</v>
      </c>
      <c r="E4640" s="2155" t="s">
        <v>5946</v>
      </c>
      <c r="F4640" s="2155"/>
      <c r="G4640" s="827" t="s">
        <v>19</v>
      </c>
      <c r="H4640" s="1222">
        <v>2.04</v>
      </c>
      <c r="V4640" s="1192">
        <v>203</v>
      </c>
    </row>
    <row r="4641" spans="1:22" s="1192" customFormat="1" x14ac:dyDescent="0.35">
      <c r="A4641" s="1192" t="s">
        <v>234</v>
      </c>
      <c r="E4641" s="1264" t="s">
        <v>143</v>
      </c>
      <c r="F4641" s="598"/>
      <c r="G4641" s="598"/>
      <c r="H4641" s="958"/>
      <c r="K4641" s="1192" t="s">
        <v>3505</v>
      </c>
      <c r="V4641" s="1192">
        <v>12</v>
      </c>
    </row>
    <row r="4642" spans="1:22" s="1192" customFormat="1" ht="14.4" x14ac:dyDescent="0.3">
      <c r="A4642" s="1192" t="s">
        <v>234</v>
      </c>
      <c r="E4642" s="1741" t="s">
        <v>2501</v>
      </c>
      <c r="F4642" s="1741"/>
      <c r="G4642" s="1741"/>
      <c r="H4642" s="1741"/>
      <c r="V4642" s="1192">
        <v>203</v>
      </c>
    </row>
    <row r="4643" spans="1:22" s="1192" customFormat="1" ht="14.4" x14ac:dyDescent="0.3">
      <c r="A4643" s="1192" t="s">
        <v>234</v>
      </c>
      <c r="E4643" s="1741" t="s">
        <v>2599</v>
      </c>
      <c r="F4643" s="1741"/>
      <c r="G4643" s="1277"/>
      <c r="H4643" s="837">
        <v>1.0376000000000001</v>
      </c>
      <c r="V4643" s="1192">
        <v>57</v>
      </c>
    </row>
    <row r="4644" spans="1:22" s="1192" customFormat="1" ht="14.4" x14ac:dyDescent="0.3">
      <c r="A4644" s="1192" t="s">
        <v>234</v>
      </c>
      <c r="E4644" s="1741" t="s">
        <v>2600</v>
      </c>
      <c r="F4644" s="1741"/>
      <c r="G4644" s="1277"/>
      <c r="H4644" s="837">
        <v>1.0145</v>
      </c>
      <c r="V4644" s="1192">
        <v>57</v>
      </c>
    </row>
    <row r="4645" spans="1:22" s="1192" customFormat="1" ht="14.4" x14ac:dyDescent="0.3">
      <c r="A4645" s="1192" t="s">
        <v>234</v>
      </c>
      <c r="E4645" s="1741" t="s">
        <v>2601</v>
      </c>
      <c r="F4645" s="1741"/>
      <c r="G4645" s="1277"/>
      <c r="H4645" s="837">
        <v>1.0271999999999999</v>
      </c>
      <c r="V4645" s="1192">
        <v>55</v>
      </c>
    </row>
    <row r="4646" spans="1:22" s="1192" customFormat="1" ht="14.4" x14ac:dyDescent="0.3">
      <c r="A4646" s="1192" t="s">
        <v>234</v>
      </c>
      <c r="E4646" s="1741" t="s">
        <v>2602</v>
      </c>
      <c r="F4646" s="1741"/>
      <c r="G4646" s="1277"/>
      <c r="H4646" s="837">
        <v>1.0044999999999999</v>
      </c>
      <c r="J4646" s="1192" t="s">
        <v>3506</v>
      </c>
      <c r="V4646" s="1192">
        <v>55</v>
      </c>
    </row>
    <row r="4647" spans="1:22" s="1192" customFormat="1" ht="22.8" x14ac:dyDescent="0.3">
      <c r="A4647" s="1192" t="s">
        <v>203</v>
      </c>
      <c r="C4647" s="1192" t="s">
        <v>2378</v>
      </c>
      <c r="E4647" s="2180" t="s">
        <v>203</v>
      </c>
      <c r="F4647" s="2180"/>
      <c r="G4647" s="2180"/>
      <c r="H4647" s="2180"/>
      <c r="I4647" s="1192" t="s">
        <v>603</v>
      </c>
      <c r="J4647" s="1192" t="s">
        <v>2888</v>
      </c>
      <c r="K4647" s="1192" t="s">
        <v>203</v>
      </c>
      <c r="M4647" s="1192">
        <v>9</v>
      </c>
      <c r="V4647" s="1192">
        <v>24</v>
      </c>
    </row>
    <row r="4648" spans="1:22" s="1192" customFormat="1" ht="17.399999999999999" x14ac:dyDescent="0.3">
      <c r="A4648" s="1192" t="s">
        <v>203</v>
      </c>
      <c r="C4648" s="1192" t="s">
        <v>2380</v>
      </c>
      <c r="E4648" s="2230" t="s">
        <v>2381</v>
      </c>
      <c r="F4648" s="2230"/>
      <c r="G4648" s="2230"/>
      <c r="H4648" s="2230"/>
      <c r="V4648" s="1192">
        <v>27</v>
      </c>
    </row>
    <row r="4649" spans="1:22" s="1192" customFormat="1" ht="15.6" x14ac:dyDescent="0.3">
      <c r="A4649" s="1192" t="s">
        <v>203</v>
      </c>
      <c r="C4649" s="1192" t="s">
        <v>2382</v>
      </c>
      <c r="E4649" s="2231" t="s">
        <v>5937</v>
      </c>
      <c r="F4649" s="2231"/>
      <c r="G4649" s="2231"/>
      <c r="H4649" s="2231"/>
      <c r="S4649" s="1192">
        <v>43831</v>
      </c>
      <c r="V4649" s="1192">
        <v>49</v>
      </c>
    </row>
    <row r="4650" spans="1:22" s="1192" customFormat="1" ht="14.4" x14ac:dyDescent="0.3">
      <c r="A4650" s="1192" t="s">
        <v>203</v>
      </c>
      <c r="C4650" s="1192" t="s">
        <v>2383</v>
      </c>
      <c r="E4650" s="2232" t="s">
        <v>2384</v>
      </c>
      <c r="F4650" s="2232"/>
      <c r="G4650" s="2232"/>
      <c r="H4650" s="2232"/>
      <c r="V4650" s="1192">
        <v>52</v>
      </c>
    </row>
    <row r="4651" spans="1:22" s="1192" customFormat="1" ht="14.4" x14ac:dyDescent="0.3">
      <c r="A4651" s="1192" t="s">
        <v>203</v>
      </c>
      <c r="E4651" s="2232" t="s">
        <v>2385</v>
      </c>
      <c r="F4651" s="2232"/>
      <c r="G4651" s="2232"/>
      <c r="H4651" s="2232"/>
      <c r="V4651" s="1192">
        <v>53</v>
      </c>
    </row>
    <row r="4652" spans="1:22" s="1192" customFormat="1" ht="14.4" x14ac:dyDescent="0.3">
      <c r="A4652" s="1192" t="s">
        <v>203</v>
      </c>
      <c r="E4652" s="2233" t="s">
        <v>6281</v>
      </c>
      <c r="F4652" s="2233"/>
      <c r="G4652" s="2233"/>
      <c r="H4652" s="2233"/>
      <c r="K4652" s="1192" t="s">
        <v>6281</v>
      </c>
      <c r="V4652" s="1192">
        <v>12</v>
      </c>
    </row>
    <row r="4653" spans="1:22" s="1192" customFormat="1" ht="14.4" x14ac:dyDescent="0.3">
      <c r="A4653" s="1192" t="s">
        <v>203</v>
      </c>
      <c r="E4653" s="2032" t="s">
        <v>427</v>
      </c>
      <c r="F4653" s="2234"/>
      <c r="G4653" s="2234"/>
      <c r="H4653" s="2234"/>
      <c r="K4653" s="1192" t="s">
        <v>2506</v>
      </c>
      <c r="V4653" s="1192">
        <v>34</v>
      </c>
    </row>
    <row r="4654" spans="1:22" s="1192" customFormat="1" ht="14.4" x14ac:dyDescent="0.3">
      <c r="A4654" s="1192" t="s">
        <v>203</v>
      </c>
      <c r="E4654" s="2023" t="s">
        <v>2893</v>
      </c>
      <c r="F4654" s="2023"/>
      <c r="G4654" s="2023"/>
      <c r="H4654" s="2023"/>
      <c r="K4654" s="1192" t="s">
        <v>2506</v>
      </c>
      <c r="V4654" s="1192">
        <v>291</v>
      </c>
    </row>
    <row r="4655" spans="1:22" s="1192" customFormat="1" ht="14.4" x14ac:dyDescent="0.3">
      <c r="A4655" s="1192" t="s">
        <v>203</v>
      </c>
      <c r="E4655" s="2024" t="s">
        <v>2389</v>
      </c>
      <c r="F4655" s="1988"/>
      <c r="G4655" s="1988"/>
      <c r="H4655" s="1988"/>
      <c r="K4655" s="1192" t="s">
        <v>2390</v>
      </c>
      <c r="V4655" s="1192">
        <v>11</v>
      </c>
    </row>
    <row r="4656" spans="1:22" s="1192" customFormat="1" ht="14.4" x14ac:dyDescent="0.3">
      <c r="A4656" s="1192" t="s">
        <v>203</v>
      </c>
      <c r="E4656" s="2023" t="s">
        <v>2391</v>
      </c>
      <c r="F4656" s="2023"/>
      <c r="G4656" s="2023"/>
      <c r="H4656" s="2023"/>
      <c r="K4656" s="1192" t="s">
        <v>2506</v>
      </c>
      <c r="V4656" s="1192">
        <v>280</v>
      </c>
    </row>
    <row r="4657" spans="1:22" s="1192" customFormat="1" ht="14.4" x14ac:dyDescent="0.3">
      <c r="A4657" s="1192" t="s">
        <v>203</v>
      </c>
      <c r="E4657" s="2023" t="s">
        <v>2392</v>
      </c>
      <c r="F4657" s="2023"/>
      <c r="G4657" s="2023"/>
      <c r="H4657" s="2023"/>
      <c r="K4657" s="1192" t="s">
        <v>2506</v>
      </c>
      <c r="V4657" s="1192">
        <v>411</v>
      </c>
    </row>
    <row r="4658" spans="1:22" s="1192" customFormat="1" ht="14.4" x14ac:dyDescent="0.3">
      <c r="A4658" s="1192" t="s">
        <v>203</v>
      </c>
      <c r="E4658" s="2023" t="s">
        <v>2393</v>
      </c>
      <c r="F4658" s="2023"/>
      <c r="G4658" s="2023"/>
      <c r="H4658" s="2023"/>
      <c r="K4658" s="1192" t="s">
        <v>2506</v>
      </c>
      <c r="V4658" s="1192">
        <v>387</v>
      </c>
    </row>
    <row r="4659" spans="1:22" s="1192" customFormat="1" ht="14.4" x14ac:dyDescent="0.3">
      <c r="A4659" s="1192" t="s">
        <v>203</v>
      </c>
      <c r="E4659" s="2023" t="s">
        <v>2986</v>
      </c>
      <c r="F4659" s="2023"/>
      <c r="G4659" s="2023"/>
      <c r="H4659" s="2023"/>
      <c r="K4659" s="1192" t="s">
        <v>2506</v>
      </c>
      <c r="V4659" s="1192">
        <v>246</v>
      </c>
    </row>
    <row r="4660" spans="1:22" s="1192" customFormat="1" ht="14.4" x14ac:dyDescent="0.3">
      <c r="A4660" s="1192" t="s">
        <v>203</v>
      </c>
      <c r="E4660" s="2024" t="s">
        <v>2394</v>
      </c>
      <c r="F4660" s="1988"/>
      <c r="G4660" s="1988"/>
      <c r="H4660" s="1988"/>
      <c r="K4660" s="1192" t="s">
        <v>2395</v>
      </c>
      <c r="V4660" s="1192">
        <v>46</v>
      </c>
    </row>
    <row r="4661" spans="1:22" s="1192" customFormat="1" ht="14.4" x14ac:dyDescent="0.3">
      <c r="A4661" s="1192" t="s">
        <v>203</v>
      </c>
      <c r="E4661" s="2026" t="s">
        <v>7</v>
      </c>
      <c r="F4661" s="2026"/>
      <c r="G4661" s="941" t="s">
        <v>19</v>
      </c>
      <c r="H4661" s="1218">
        <v>24.67</v>
      </c>
      <c r="K4661" s="1192" t="s">
        <v>2506</v>
      </c>
      <c r="L4661" s="1192" t="s">
        <v>430</v>
      </c>
      <c r="P4661" s="1192" t="s">
        <v>2510</v>
      </c>
      <c r="V4661" s="1192">
        <v>14</v>
      </c>
    </row>
    <row r="4662" spans="1:22" s="1192" customFormat="1" ht="14.4" x14ac:dyDescent="0.3">
      <c r="A4662" s="1192" t="s">
        <v>203</v>
      </c>
      <c r="E4662" s="1741" t="s">
        <v>3900</v>
      </c>
      <c r="F4662" s="1741"/>
      <c r="G4662" s="1277" t="s">
        <v>19</v>
      </c>
      <c r="H4662" s="1218">
        <v>0.56999999999999995</v>
      </c>
      <c r="K4662" s="1192" t="s">
        <v>2506</v>
      </c>
      <c r="L4662" s="1192" t="s">
        <v>431</v>
      </c>
      <c r="P4662" s="1192" t="s">
        <v>2511</v>
      </c>
      <c r="T4662" s="1192">
        <v>44926</v>
      </c>
      <c r="V4662" s="1192">
        <v>64</v>
      </c>
    </row>
    <row r="4663" spans="1:22" s="1192" customFormat="1" ht="14.4" x14ac:dyDescent="0.3">
      <c r="A4663" s="1192" t="s">
        <v>203</v>
      </c>
      <c r="E4663" s="2026" t="s">
        <v>6103</v>
      </c>
      <c r="F4663" s="1998"/>
      <c r="G4663" s="941" t="s">
        <v>20</v>
      </c>
      <c r="H4663" s="1219">
        <v>5.0000000000000001E-4</v>
      </c>
      <c r="K4663" s="1192" t="s">
        <v>2506</v>
      </c>
      <c r="L4663" s="1192" t="s">
        <v>430</v>
      </c>
      <c r="P4663" s="1192" t="s">
        <v>2515</v>
      </c>
      <c r="T4663" s="1192">
        <v>44196</v>
      </c>
      <c r="V4663" s="1192">
        <v>137</v>
      </c>
    </row>
    <row r="4664" spans="1:22" s="1192" customFormat="1" ht="14.4" x14ac:dyDescent="0.3">
      <c r="A4664" s="1192" t="s">
        <v>203</v>
      </c>
      <c r="E4664" s="2026" t="s">
        <v>213</v>
      </c>
      <c r="F4664" s="2026"/>
      <c r="G4664" s="941" t="s">
        <v>20</v>
      </c>
      <c r="H4664" s="1219">
        <v>7.3000000000000001E-3</v>
      </c>
      <c r="K4664" s="1192" t="s">
        <v>2506</v>
      </c>
      <c r="L4664" s="1192" t="s">
        <v>432</v>
      </c>
      <c r="P4664" s="1192" t="s">
        <v>2517</v>
      </c>
      <c r="V4664" s="1192">
        <v>47</v>
      </c>
    </row>
    <row r="4665" spans="1:22" s="1192" customFormat="1" ht="14.4" x14ac:dyDescent="0.3">
      <c r="A4665" s="1192" t="s">
        <v>203</v>
      </c>
      <c r="E4665" s="2026" t="s">
        <v>209</v>
      </c>
      <c r="F4665" s="2026"/>
      <c r="G4665" s="941" t="s">
        <v>20</v>
      </c>
      <c r="H4665" s="1219">
        <v>6.6E-3</v>
      </c>
      <c r="K4665" s="1192" t="s">
        <v>2506</v>
      </c>
      <c r="L4665" s="1192" t="s">
        <v>432</v>
      </c>
      <c r="P4665" s="1192" t="s">
        <v>2518</v>
      </c>
      <c r="V4665" s="1192">
        <v>74</v>
      </c>
    </row>
    <row r="4666" spans="1:22" s="1192" customFormat="1" ht="14.4" x14ac:dyDescent="0.3">
      <c r="A4666" s="1192" t="s">
        <v>203</v>
      </c>
      <c r="E4666" s="2027" t="s">
        <v>2405</v>
      </c>
      <c r="F4666" s="1741"/>
      <c r="G4666" s="953"/>
      <c r="H4666" s="1305"/>
      <c r="K4666" s="1192" t="s">
        <v>2406</v>
      </c>
      <c r="V4666" s="1192">
        <v>48</v>
      </c>
    </row>
    <row r="4667" spans="1:22" s="1192" customFormat="1" ht="14.4" x14ac:dyDescent="0.3">
      <c r="A4667" s="1192" t="s">
        <v>203</v>
      </c>
      <c r="E4667" s="2026" t="s">
        <v>2033</v>
      </c>
      <c r="F4667" s="2026"/>
      <c r="G4667" s="953" t="s">
        <v>20</v>
      </c>
      <c r="H4667" s="1306">
        <v>3.0000000000000001E-3</v>
      </c>
      <c r="K4667" s="1192" t="s">
        <v>2506</v>
      </c>
      <c r="L4667" s="1192" t="s">
        <v>2374</v>
      </c>
      <c r="P4667" s="1192" t="s">
        <v>2519</v>
      </c>
      <c r="V4667" s="1192">
        <v>55</v>
      </c>
    </row>
    <row r="4668" spans="1:22" s="1192" customFormat="1" ht="14.4" x14ac:dyDescent="0.3">
      <c r="A4668" s="1192" t="s">
        <v>203</v>
      </c>
      <c r="E4668" s="2026" t="s">
        <v>2034</v>
      </c>
      <c r="F4668" s="1741"/>
      <c r="G4668" s="953" t="s">
        <v>20</v>
      </c>
      <c r="H4668" s="1306">
        <v>4.0000000000000002E-4</v>
      </c>
      <c r="K4668" s="1192" t="s">
        <v>2506</v>
      </c>
      <c r="L4668" s="1192" t="s">
        <v>2374</v>
      </c>
      <c r="P4668" s="1192" t="s">
        <v>2519</v>
      </c>
      <c r="V4668" s="1192">
        <v>65</v>
      </c>
    </row>
    <row r="4669" spans="1:22" s="1192" customFormat="1" ht="14.4" x14ac:dyDescent="0.3">
      <c r="A4669" s="1192" t="s">
        <v>203</v>
      </c>
      <c r="E4669" s="2026" t="s">
        <v>428</v>
      </c>
      <c r="F4669" s="2026"/>
      <c r="G4669" s="953" t="s">
        <v>20</v>
      </c>
      <c r="H4669" s="1306">
        <v>5.0000000000000001E-4</v>
      </c>
      <c r="K4669" s="1192" t="s">
        <v>2506</v>
      </c>
      <c r="L4669" s="1192" t="s">
        <v>2374</v>
      </c>
      <c r="P4669" s="1192" t="s">
        <v>2520</v>
      </c>
      <c r="V4669" s="1192">
        <v>57</v>
      </c>
    </row>
    <row r="4670" spans="1:22" s="1192" customFormat="1" ht="14.4" x14ac:dyDescent="0.3">
      <c r="A4670" s="1192" t="s">
        <v>203</v>
      </c>
      <c r="E4670" s="2026" t="s">
        <v>28</v>
      </c>
      <c r="F4670" s="2026"/>
      <c r="G4670" s="953" t="s">
        <v>19</v>
      </c>
      <c r="H4670" s="1307">
        <v>0.25</v>
      </c>
      <c r="K4670" s="1192" t="s">
        <v>2506</v>
      </c>
      <c r="L4670" s="1192" t="s">
        <v>2374</v>
      </c>
      <c r="P4670" s="1192" t="s">
        <v>2521</v>
      </c>
      <c r="V4670" s="1192">
        <v>63</v>
      </c>
    </row>
    <row r="4671" spans="1:22" s="1192" customFormat="1" ht="17.399999999999999" x14ac:dyDescent="0.3">
      <c r="A4671" s="1192" t="s">
        <v>203</v>
      </c>
      <c r="E4671" s="2032" t="s">
        <v>2522</v>
      </c>
      <c r="F4671" s="2032"/>
      <c r="G4671" s="2032"/>
      <c r="H4671" s="2033"/>
      <c r="K4671" s="1192" t="s">
        <v>3901</v>
      </c>
      <c r="V4671" s="1192">
        <v>54</v>
      </c>
    </row>
    <row r="4672" spans="1:22" s="1192" customFormat="1" ht="14.4" x14ac:dyDescent="0.3">
      <c r="A4672" s="1192" t="s">
        <v>203</v>
      </c>
      <c r="E4672" s="2023" t="s">
        <v>2893</v>
      </c>
      <c r="F4672" s="2023"/>
      <c r="G4672" s="2023"/>
      <c r="H4672" s="2029"/>
      <c r="K4672" s="1192" t="s">
        <v>3901</v>
      </c>
      <c r="V4672" s="1192">
        <v>291</v>
      </c>
    </row>
    <row r="4673" spans="1:22" s="1192" customFormat="1" ht="14.4" x14ac:dyDescent="0.3">
      <c r="A4673" s="1192" t="s">
        <v>203</v>
      </c>
      <c r="E4673" s="2024" t="s">
        <v>2389</v>
      </c>
      <c r="F4673" s="1988"/>
      <c r="G4673" s="1988"/>
      <c r="H4673" s="1988"/>
      <c r="K4673" s="1192" t="s">
        <v>2412</v>
      </c>
      <c r="V4673" s="1192">
        <v>11</v>
      </c>
    </row>
    <row r="4674" spans="1:22" s="1192" customFormat="1" ht="14.4" x14ac:dyDescent="0.3">
      <c r="A4674" s="1192" t="s">
        <v>203</v>
      </c>
      <c r="E4674" s="2058" t="s">
        <v>2391</v>
      </c>
      <c r="F4674" s="2058"/>
      <c r="G4674" s="2058"/>
      <c r="H4674" s="2166"/>
      <c r="K4674" s="1192" t="s">
        <v>3901</v>
      </c>
      <c r="V4674" s="1192">
        <v>280</v>
      </c>
    </row>
    <row r="4675" spans="1:22" s="1192" customFormat="1" ht="14.4" x14ac:dyDescent="0.3">
      <c r="A4675" s="1192" t="s">
        <v>203</v>
      </c>
      <c r="E4675" s="2023" t="s">
        <v>3636</v>
      </c>
      <c r="F4675" s="2023"/>
      <c r="G4675" s="2023"/>
      <c r="H4675" s="2029"/>
      <c r="K4675" s="1192" t="s">
        <v>3901</v>
      </c>
      <c r="V4675" s="1192">
        <v>381</v>
      </c>
    </row>
    <row r="4676" spans="1:22" s="1192" customFormat="1" ht="14.4" x14ac:dyDescent="0.3">
      <c r="A4676" s="1192" t="s">
        <v>203</v>
      </c>
      <c r="E4676" s="2023" t="s">
        <v>3158</v>
      </c>
      <c r="F4676" s="2023"/>
      <c r="G4676" s="2023"/>
      <c r="H4676" s="2029"/>
      <c r="K4676" s="1192" t="s">
        <v>3901</v>
      </c>
      <c r="V4676" s="1192">
        <v>387</v>
      </c>
    </row>
    <row r="4677" spans="1:22" s="1192" customFormat="1" ht="14.4" x14ac:dyDescent="0.3">
      <c r="A4677" s="1192" t="s">
        <v>203</v>
      </c>
      <c r="E4677" s="2023" t="s">
        <v>2986</v>
      </c>
      <c r="F4677" s="2023"/>
      <c r="G4677" s="2023"/>
      <c r="H4677" s="2029"/>
      <c r="K4677" s="1192" t="s">
        <v>3901</v>
      </c>
      <c r="V4677" s="1192">
        <v>246</v>
      </c>
    </row>
    <row r="4678" spans="1:22" s="1192" customFormat="1" ht="14.4" x14ac:dyDescent="0.3">
      <c r="A4678" s="1192" t="s">
        <v>203</v>
      </c>
      <c r="E4678" s="2024" t="s">
        <v>2394</v>
      </c>
      <c r="F4678" s="1988"/>
      <c r="G4678" s="1988"/>
      <c r="H4678" s="1988"/>
      <c r="K4678" s="1192" t="s">
        <v>2413</v>
      </c>
      <c r="V4678" s="1192">
        <v>46</v>
      </c>
    </row>
    <row r="4679" spans="1:22" s="1192" customFormat="1" ht="14.4" x14ac:dyDescent="0.3">
      <c r="A4679" s="1192" t="s">
        <v>203</v>
      </c>
      <c r="E4679" s="2026" t="s">
        <v>7</v>
      </c>
      <c r="F4679" s="2026"/>
      <c r="G4679" s="941" t="s">
        <v>19</v>
      </c>
      <c r="H4679" s="1218">
        <v>17.39</v>
      </c>
      <c r="K4679" s="1192" t="s">
        <v>3901</v>
      </c>
      <c r="L4679" s="1192" t="s">
        <v>430</v>
      </c>
      <c r="P4679" s="1192" t="s">
        <v>3902</v>
      </c>
      <c r="V4679" s="1192">
        <v>14</v>
      </c>
    </row>
    <row r="4680" spans="1:22" s="1192" customFormat="1" ht="14.4" x14ac:dyDescent="0.3">
      <c r="A4680" s="1192" t="s">
        <v>203</v>
      </c>
      <c r="E4680" s="1741" t="s">
        <v>3900</v>
      </c>
      <c r="F4680" s="1741"/>
      <c r="G4680" s="1277" t="s">
        <v>19</v>
      </c>
      <c r="H4680" s="1218">
        <v>0.56999999999999995</v>
      </c>
      <c r="K4680" s="1192" t="s">
        <v>3901</v>
      </c>
      <c r="L4680" s="1192" t="s">
        <v>431</v>
      </c>
      <c r="P4680" s="1192" t="s">
        <v>3903</v>
      </c>
      <c r="T4680" s="1192">
        <v>44926</v>
      </c>
      <c r="V4680" s="1192">
        <v>64</v>
      </c>
    </row>
    <row r="4681" spans="1:22" s="1192" customFormat="1" ht="14.4" x14ac:dyDescent="0.3">
      <c r="A4681" s="1192" t="s">
        <v>203</v>
      </c>
      <c r="E4681" s="2026" t="s">
        <v>80</v>
      </c>
      <c r="F4681" s="2026"/>
      <c r="G4681" s="941" t="s">
        <v>20</v>
      </c>
      <c r="H4681" s="1219">
        <v>1.77E-2</v>
      </c>
      <c r="K4681" s="1192" t="s">
        <v>3901</v>
      </c>
      <c r="L4681" s="1192" t="s">
        <v>430</v>
      </c>
      <c r="P4681" s="1192" t="s">
        <v>3904</v>
      </c>
      <c r="V4681" s="1192">
        <v>28</v>
      </c>
    </row>
    <row r="4682" spans="1:22" s="1192" customFormat="1" ht="14.4" x14ac:dyDescent="0.3">
      <c r="A4682" s="1192" t="s">
        <v>203</v>
      </c>
      <c r="E4682" s="2026" t="s">
        <v>6103</v>
      </c>
      <c r="F4682" s="1998"/>
      <c r="G4682" s="941" t="s">
        <v>20</v>
      </c>
      <c r="H4682" s="1219">
        <v>2.9999999999999997E-4</v>
      </c>
      <c r="K4682" s="1192" t="s">
        <v>3901</v>
      </c>
      <c r="L4682" s="1192" t="s">
        <v>430</v>
      </c>
      <c r="P4682" s="1192" t="s">
        <v>4000</v>
      </c>
      <c r="T4682" s="1192">
        <v>44196</v>
      </c>
      <c r="V4682" s="1192">
        <v>137</v>
      </c>
    </row>
    <row r="4683" spans="1:22" s="1192" customFormat="1" ht="14.4" x14ac:dyDescent="0.3">
      <c r="A4683" s="1192" t="s">
        <v>203</v>
      </c>
      <c r="E4683" s="2026" t="s">
        <v>213</v>
      </c>
      <c r="F4683" s="2026"/>
      <c r="G4683" s="941" t="s">
        <v>20</v>
      </c>
      <c r="H4683" s="1219">
        <v>6.7999999999999996E-3</v>
      </c>
      <c r="K4683" s="1192" t="s">
        <v>3901</v>
      </c>
      <c r="L4683" s="1192" t="s">
        <v>432</v>
      </c>
      <c r="P4683" s="1192" t="s">
        <v>3906</v>
      </c>
      <c r="V4683" s="1192">
        <v>47</v>
      </c>
    </row>
    <row r="4684" spans="1:22" s="1192" customFormat="1" ht="14.4" x14ac:dyDescent="0.3">
      <c r="A4684" s="1192" t="s">
        <v>203</v>
      </c>
      <c r="E4684" s="2026" t="s">
        <v>209</v>
      </c>
      <c r="F4684" s="2026"/>
      <c r="G4684" s="941" t="s">
        <v>20</v>
      </c>
      <c r="H4684" s="1219">
        <v>6.1000000000000004E-3</v>
      </c>
      <c r="K4684" s="1192" t="s">
        <v>3901</v>
      </c>
      <c r="L4684" s="1192" t="s">
        <v>432</v>
      </c>
      <c r="P4684" s="1192" t="s">
        <v>3907</v>
      </c>
      <c r="V4684" s="1192">
        <v>74</v>
      </c>
    </row>
    <row r="4685" spans="1:22" s="1192" customFormat="1" ht="14.4" x14ac:dyDescent="0.3">
      <c r="A4685" s="1192" t="s">
        <v>203</v>
      </c>
      <c r="E4685" s="2027" t="s">
        <v>2405</v>
      </c>
      <c r="F4685" s="1741"/>
      <c r="G4685" s="953"/>
      <c r="H4685" s="1305"/>
      <c r="K4685" s="1192" t="s">
        <v>2418</v>
      </c>
      <c r="V4685" s="1192">
        <v>48</v>
      </c>
    </row>
    <row r="4686" spans="1:22" s="1192" customFormat="1" ht="14.4" x14ac:dyDescent="0.3">
      <c r="A4686" s="1192" t="s">
        <v>203</v>
      </c>
      <c r="E4686" s="2026" t="s">
        <v>2033</v>
      </c>
      <c r="F4686" s="2026"/>
      <c r="G4686" s="953" t="s">
        <v>20</v>
      </c>
      <c r="H4686" s="1306">
        <v>3.0000000000000001E-3</v>
      </c>
      <c r="K4686" s="1192" t="s">
        <v>3901</v>
      </c>
      <c r="L4686" s="1192" t="s">
        <v>2374</v>
      </c>
      <c r="P4686" s="1192" t="s">
        <v>3908</v>
      </c>
      <c r="V4686" s="1192">
        <v>55</v>
      </c>
    </row>
    <row r="4687" spans="1:22" s="1192" customFormat="1" ht="14.4" x14ac:dyDescent="0.3">
      <c r="A4687" s="1192" t="s">
        <v>203</v>
      </c>
      <c r="E4687" s="2026" t="s">
        <v>2034</v>
      </c>
      <c r="F4687" s="1741"/>
      <c r="G4687" s="953" t="s">
        <v>20</v>
      </c>
      <c r="H4687" s="1306">
        <v>4.0000000000000002E-4</v>
      </c>
      <c r="K4687" s="1192" t="s">
        <v>3901</v>
      </c>
      <c r="L4687" s="1192" t="s">
        <v>2374</v>
      </c>
      <c r="P4687" s="1192" t="s">
        <v>3908</v>
      </c>
      <c r="V4687" s="1192">
        <v>65</v>
      </c>
    </row>
    <row r="4688" spans="1:22" s="1192" customFormat="1" ht="14.4" x14ac:dyDescent="0.3">
      <c r="A4688" s="1192" t="s">
        <v>203</v>
      </c>
      <c r="E4688" s="2026" t="s">
        <v>428</v>
      </c>
      <c r="F4688" s="2026"/>
      <c r="G4688" s="953" t="s">
        <v>20</v>
      </c>
      <c r="H4688" s="1306">
        <v>5.0000000000000001E-4</v>
      </c>
      <c r="K4688" s="1192" t="s">
        <v>3901</v>
      </c>
      <c r="L4688" s="1192" t="s">
        <v>2374</v>
      </c>
      <c r="P4688" s="1192" t="s">
        <v>3909</v>
      </c>
      <c r="V4688" s="1192">
        <v>57</v>
      </c>
    </row>
    <row r="4689" spans="1:22" s="1192" customFormat="1" ht="14.4" x14ac:dyDescent="0.3">
      <c r="A4689" s="1192" t="s">
        <v>203</v>
      </c>
      <c r="E4689" s="2026" t="s">
        <v>28</v>
      </c>
      <c r="F4689" s="2026"/>
      <c r="G4689" s="953" t="s">
        <v>19</v>
      </c>
      <c r="H4689" s="1307">
        <v>0.25</v>
      </c>
      <c r="K4689" s="1192" t="s">
        <v>3901</v>
      </c>
      <c r="L4689" s="1192" t="s">
        <v>2374</v>
      </c>
      <c r="P4689" s="1192" t="s">
        <v>3910</v>
      </c>
      <c r="V4689" s="1192">
        <v>63</v>
      </c>
    </row>
    <row r="4690" spans="1:22" s="1192" customFormat="1" ht="17.399999999999999" x14ac:dyDescent="0.3">
      <c r="A4690" s="1192" t="s">
        <v>203</v>
      </c>
      <c r="E4690" s="2032" t="s">
        <v>2524</v>
      </c>
      <c r="F4690" s="2032"/>
      <c r="G4690" s="2032"/>
      <c r="H4690" s="2033"/>
      <c r="K4690" s="1192" t="s">
        <v>3937</v>
      </c>
      <c r="V4690" s="1192">
        <v>51</v>
      </c>
    </row>
    <row r="4691" spans="1:22" s="1192" customFormat="1" ht="14.4" x14ac:dyDescent="0.3">
      <c r="A4691" s="1192" t="s">
        <v>203</v>
      </c>
      <c r="E4691" s="2023" t="s">
        <v>4203</v>
      </c>
      <c r="F4691" s="2023"/>
      <c r="G4691" s="2023"/>
      <c r="H4691" s="2029"/>
      <c r="K4691" s="1192" t="s">
        <v>3937</v>
      </c>
      <c r="V4691" s="1192">
        <v>520</v>
      </c>
    </row>
    <row r="4692" spans="1:22" s="1192" customFormat="1" ht="14.4" x14ac:dyDescent="0.3">
      <c r="A4692" s="1192" t="s">
        <v>203</v>
      </c>
      <c r="E4692" s="2024" t="s">
        <v>2389</v>
      </c>
      <c r="F4692" s="1988"/>
      <c r="G4692" s="1988"/>
      <c r="H4692" s="1988"/>
      <c r="K4692" s="1192" t="s">
        <v>2422</v>
      </c>
      <c r="V4692" s="1192">
        <v>11</v>
      </c>
    </row>
    <row r="4693" spans="1:22" s="1192" customFormat="1" ht="14.4" x14ac:dyDescent="0.3">
      <c r="A4693" s="1192" t="s">
        <v>203</v>
      </c>
      <c r="E4693" s="2023" t="s">
        <v>2391</v>
      </c>
      <c r="F4693" s="2023"/>
      <c r="G4693" s="2023"/>
      <c r="H4693" s="2029"/>
      <c r="K4693" s="1192" t="s">
        <v>3937</v>
      </c>
      <c r="V4693" s="1192">
        <v>280</v>
      </c>
    </row>
    <row r="4694" spans="1:22" s="1192" customFormat="1" ht="14.4" x14ac:dyDescent="0.3">
      <c r="A4694" s="1192" t="s">
        <v>203</v>
      </c>
      <c r="E4694" s="2023" t="s">
        <v>2392</v>
      </c>
      <c r="F4694" s="2023"/>
      <c r="G4694" s="2023"/>
      <c r="H4694" s="2029"/>
      <c r="K4694" s="1192" t="s">
        <v>3937</v>
      </c>
      <c r="V4694" s="1192">
        <v>411</v>
      </c>
    </row>
    <row r="4695" spans="1:22" s="1192" customFormat="1" ht="14.4" x14ac:dyDescent="0.3">
      <c r="A4695" s="1192" t="s">
        <v>203</v>
      </c>
      <c r="E4695" s="2023" t="s">
        <v>2393</v>
      </c>
      <c r="F4695" s="2023"/>
      <c r="G4695" s="2023"/>
      <c r="H4695" s="2029"/>
      <c r="K4695" s="1192" t="s">
        <v>3937</v>
      </c>
      <c r="V4695" s="1192">
        <v>387</v>
      </c>
    </row>
    <row r="4696" spans="1:22" s="1192" customFormat="1" ht="14.4" x14ac:dyDescent="0.3">
      <c r="A4696" s="1192" t="s">
        <v>203</v>
      </c>
      <c r="E4696" s="1743" t="s">
        <v>4503</v>
      </c>
      <c r="F4696" s="1743"/>
      <c r="G4696" s="1743"/>
      <c r="H4696" s="1743"/>
      <c r="K4696" s="1192" t="s">
        <v>3937</v>
      </c>
      <c r="V4696" s="1192">
        <v>677</v>
      </c>
    </row>
    <row r="4697" spans="1:22" s="1192" customFormat="1" ht="14.4" x14ac:dyDescent="0.3">
      <c r="A4697" s="1192" t="s">
        <v>203</v>
      </c>
      <c r="E4697" s="1743" t="s">
        <v>4644</v>
      </c>
      <c r="F4697" s="1743"/>
      <c r="G4697" s="1743"/>
      <c r="H4697" s="1743"/>
      <c r="K4697" s="1192" t="s">
        <v>3937</v>
      </c>
      <c r="V4697" s="1192">
        <v>693</v>
      </c>
    </row>
    <row r="4698" spans="1:22" s="1192" customFormat="1" ht="14.4" x14ac:dyDescent="0.3">
      <c r="A4698" s="1192" t="s">
        <v>203</v>
      </c>
      <c r="E4698" s="2023" t="s">
        <v>2986</v>
      </c>
      <c r="F4698" s="2023"/>
      <c r="G4698" s="2023"/>
      <c r="H4698" s="2029"/>
      <c r="K4698" s="1192" t="s">
        <v>3937</v>
      </c>
      <c r="V4698" s="1192">
        <v>246</v>
      </c>
    </row>
    <row r="4699" spans="1:22" s="1192" customFormat="1" ht="14.4" x14ac:dyDescent="0.3">
      <c r="A4699" s="1192" t="s">
        <v>203</v>
      </c>
      <c r="E4699" s="2024" t="s">
        <v>2394</v>
      </c>
      <c r="F4699" s="1988"/>
      <c r="G4699" s="1988"/>
      <c r="H4699" s="1988"/>
      <c r="K4699" s="1192" t="s">
        <v>2423</v>
      </c>
      <c r="V4699" s="1192">
        <v>46</v>
      </c>
    </row>
    <row r="4700" spans="1:22" s="1192" customFormat="1" ht="14.4" x14ac:dyDescent="0.3">
      <c r="A4700" s="1192" t="s">
        <v>203</v>
      </c>
      <c r="E4700" s="2026" t="s">
        <v>7</v>
      </c>
      <c r="F4700" s="2026"/>
      <c r="G4700" s="941" t="s">
        <v>19</v>
      </c>
      <c r="H4700" s="1218">
        <v>58.43</v>
      </c>
      <c r="K4700" s="1192" t="s">
        <v>3937</v>
      </c>
      <c r="L4700" s="1192" t="s">
        <v>430</v>
      </c>
      <c r="P4700" s="1192" t="s">
        <v>3938</v>
      </c>
      <c r="V4700" s="1192">
        <v>14</v>
      </c>
    </row>
    <row r="4701" spans="1:22" s="1192" customFormat="1" ht="14.4" x14ac:dyDescent="0.3">
      <c r="A4701" s="1192" t="s">
        <v>203</v>
      </c>
      <c r="E4701" s="2026" t="s">
        <v>80</v>
      </c>
      <c r="F4701" s="2026"/>
      <c r="G4701" s="941" t="s">
        <v>29</v>
      </c>
      <c r="H4701" s="1219">
        <v>4.9997999999999996</v>
      </c>
      <c r="K4701" s="1192" t="s">
        <v>3937</v>
      </c>
      <c r="L4701" s="1192" t="s">
        <v>430</v>
      </c>
      <c r="P4701" s="1192" t="s">
        <v>3939</v>
      </c>
      <c r="V4701" s="1192">
        <v>28</v>
      </c>
    </row>
    <row r="4702" spans="1:22" s="1192" customFormat="1" ht="14.4" x14ac:dyDescent="0.3">
      <c r="A4702" s="1192" t="s">
        <v>203</v>
      </c>
      <c r="E4702" s="2026" t="s">
        <v>6103</v>
      </c>
      <c r="F4702" s="1998"/>
      <c r="G4702" s="941" t="s">
        <v>29</v>
      </c>
      <c r="H4702" s="1219">
        <v>-0.12870000000000001</v>
      </c>
      <c r="K4702" s="1192" t="s">
        <v>3937</v>
      </c>
      <c r="L4702" s="1192" t="s">
        <v>430</v>
      </c>
      <c r="P4702" s="1192" t="s">
        <v>4090</v>
      </c>
      <c r="T4702" s="1192">
        <v>44196</v>
      </c>
      <c r="V4702" s="1192">
        <v>137</v>
      </c>
    </row>
    <row r="4703" spans="1:22" s="1192" customFormat="1" ht="14.4" x14ac:dyDescent="0.3">
      <c r="A4703" s="1192" t="s">
        <v>203</v>
      </c>
      <c r="E4703" s="2026" t="s">
        <v>213</v>
      </c>
      <c r="F4703" s="2026"/>
      <c r="G4703" s="941" t="s">
        <v>29</v>
      </c>
      <c r="H4703" s="1219">
        <v>2.4777</v>
      </c>
      <c r="K4703" s="1192" t="s">
        <v>3937</v>
      </c>
      <c r="L4703" s="1192" t="s">
        <v>432</v>
      </c>
      <c r="P4703" s="1192" t="s">
        <v>3941</v>
      </c>
      <c r="V4703" s="1192">
        <v>47</v>
      </c>
    </row>
    <row r="4704" spans="1:22" s="1192" customFormat="1" ht="14.4" x14ac:dyDescent="0.3">
      <c r="A4704" s="1192" t="s">
        <v>203</v>
      </c>
      <c r="E4704" s="2026" t="s">
        <v>209</v>
      </c>
      <c r="F4704" s="2026"/>
      <c r="G4704" s="941" t="s">
        <v>29</v>
      </c>
      <c r="H4704" s="1219">
        <v>2.1429</v>
      </c>
      <c r="K4704" s="1192" t="s">
        <v>3937</v>
      </c>
      <c r="L4704" s="1192" t="s">
        <v>432</v>
      </c>
      <c r="P4704" s="1192" t="s">
        <v>3942</v>
      </c>
      <c r="V4704" s="1192">
        <v>74</v>
      </c>
    </row>
    <row r="4705" spans="1:22" s="1192" customFormat="1" ht="14.4" x14ac:dyDescent="0.3">
      <c r="A4705" s="1192" t="s">
        <v>203</v>
      </c>
      <c r="E4705" s="2026" t="s">
        <v>215</v>
      </c>
      <c r="F4705" s="2026"/>
      <c r="G4705" s="941" t="s">
        <v>29</v>
      </c>
      <c r="H4705" s="1219">
        <v>3.1758000000000002</v>
      </c>
      <c r="K4705" s="1192" t="s">
        <v>3937</v>
      </c>
      <c r="L4705" s="1192" t="s">
        <v>432</v>
      </c>
      <c r="P4705" s="1192" t="s">
        <v>3941</v>
      </c>
      <c r="V4705" s="1192">
        <v>66</v>
      </c>
    </row>
    <row r="4706" spans="1:22" s="1192" customFormat="1" ht="14.4" x14ac:dyDescent="0.3">
      <c r="A4706" s="1192" t="s">
        <v>203</v>
      </c>
      <c r="E4706" s="2026" t="s">
        <v>211</v>
      </c>
      <c r="F4706" s="2026"/>
      <c r="G4706" s="941" t="s">
        <v>29</v>
      </c>
      <c r="H4706" s="1219">
        <v>2.7221000000000002</v>
      </c>
      <c r="K4706" s="1192" t="s">
        <v>3937</v>
      </c>
      <c r="L4706" s="1192" t="s">
        <v>432</v>
      </c>
      <c r="P4706" s="1192" t="s">
        <v>3942</v>
      </c>
      <c r="V4706" s="1192">
        <v>93</v>
      </c>
    </row>
    <row r="4707" spans="1:22" s="1192" customFormat="1" ht="14.4" x14ac:dyDescent="0.3">
      <c r="A4707" s="1192" t="s">
        <v>203</v>
      </c>
      <c r="E4707" s="2027" t="s">
        <v>2405</v>
      </c>
      <c r="F4707" s="1741"/>
      <c r="G4707" s="953"/>
      <c r="H4707" s="1305"/>
      <c r="K4707" s="1192" t="s">
        <v>2526</v>
      </c>
      <c r="V4707" s="1192">
        <v>48</v>
      </c>
    </row>
    <row r="4708" spans="1:22" s="1192" customFormat="1" ht="14.4" x14ac:dyDescent="0.3">
      <c r="A4708" s="1192" t="s">
        <v>203</v>
      </c>
      <c r="E4708" s="2026" t="s">
        <v>2033</v>
      </c>
      <c r="F4708" s="2026"/>
      <c r="G4708" s="953" t="s">
        <v>20</v>
      </c>
      <c r="H4708" s="1306">
        <v>3.0000000000000001E-3</v>
      </c>
      <c r="K4708" s="1192" t="s">
        <v>3937</v>
      </c>
      <c r="L4708" s="1192" t="s">
        <v>2374</v>
      </c>
      <c r="P4708" s="1192" t="s">
        <v>3943</v>
      </c>
      <c r="V4708" s="1192">
        <v>55</v>
      </c>
    </row>
    <row r="4709" spans="1:22" s="1192" customFormat="1" ht="14.4" x14ac:dyDescent="0.3">
      <c r="A4709" s="1192" t="s">
        <v>203</v>
      </c>
      <c r="E4709" s="2026" t="s">
        <v>2034</v>
      </c>
      <c r="F4709" s="1741"/>
      <c r="G4709" s="953" t="s">
        <v>20</v>
      </c>
      <c r="H4709" s="1306">
        <v>4.0000000000000002E-4</v>
      </c>
      <c r="K4709" s="1192" t="s">
        <v>3937</v>
      </c>
      <c r="L4709" s="1192" t="s">
        <v>2374</v>
      </c>
      <c r="P4709" s="1192" t="s">
        <v>3943</v>
      </c>
      <c r="V4709" s="1192">
        <v>65</v>
      </c>
    </row>
    <row r="4710" spans="1:22" s="1192" customFormat="1" ht="14.4" x14ac:dyDescent="0.3">
      <c r="A4710" s="1192" t="s">
        <v>203</v>
      </c>
      <c r="E4710" s="2026" t="s">
        <v>428</v>
      </c>
      <c r="F4710" s="2026"/>
      <c r="G4710" s="953" t="s">
        <v>20</v>
      </c>
      <c r="H4710" s="1306">
        <v>5.0000000000000001E-4</v>
      </c>
      <c r="K4710" s="1192" t="s">
        <v>3937</v>
      </c>
      <c r="L4710" s="1192" t="s">
        <v>2374</v>
      </c>
      <c r="P4710" s="1192" t="s">
        <v>3944</v>
      </c>
      <c r="V4710" s="1192">
        <v>57</v>
      </c>
    </row>
    <row r="4711" spans="1:22" s="1192" customFormat="1" ht="14.4" x14ac:dyDescent="0.3">
      <c r="A4711" s="1192" t="s">
        <v>203</v>
      </c>
      <c r="E4711" s="2026" t="s">
        <v>28</v>
      </c>
      <c r="F4711" s="2026"/>
      <c r="G4711" s="953" t="s">
        <v>19</v>
      </c>
      <c r="H4711" s="1307">
        <v>0.25</v>
      </c>
      <c r="K4711" s="1192" t="s">
        <v>3937</v>
      </c>
      <c r="L4711" s="1192" t="s">
        <v>2374</v>
      </c>
      <c r="P4711" s="1192" t="s">
        <v>3945</v>
      </c>
      <c r="V4711" s="1192">
        <v>63</v>
      </c>
    </row>
    <row r="4712" spans="1:22" s="1192" customFormat="1" ht="17.399999999999999" x14ac:dyDescent="0.3">
      <c r="A4712" s="1192" t="s">
        <v>203</v>
      </c>
      <c r="E4712" s="2032" t="s">
        <v>2527</v>
      </c>
      <c r="F4712" s="2032"/>
      <c r="G4712" s="2032"/>
      <c r="H4712" s="2033"/>
      <c r="K4712" s="1192" t="s">
        <v>3946</v>
      </c>
      <c r="V4712" s="1192">
        <v>56</v>
      </c>
    </row>
    <row r="4713" spans="1:22" s="1192" customFormat="1" ht="14.4" x14ac:dyDescent="0.3">
      <c r="A4713" s="1192" t="s">
        <v>203</v>
      </c>
      <c r="E4713" s="2023" t="s">
        <v>2895</v>
      </c>
      <c r="F4713" s="2023"/>
      <c r="G4713" s="2023"/>
      <c r="H4713" s="2029"/>
      <c r="K4713" s="1192" t="s">
        <v>3946</v>
      </c>
      <c r="V4713" s="1192">
        <v>391</v>
      </c>
    </row>
    <row r="4714" spans="1:22" s="1192" customFormat="1" ht="14.4" x14ac:dyDescent="0.3">
      <c r="A4714" s="1192" t="s">
        <v>203</v>
      </c>
      <c r="E4714" s="2024" t="s">
        <v>2389</v>
      </c>
      <c r="F4714" s="1988"/>
      <c r="G4714" s="1988"/>
      <c r="H4714" s="1988"/>
      <c r="K4714" s="1192" t="s">
        <v>2529</v>
      </c>
      <c r="V4714" s="1192">
        <v>11</v>
      </c>
    </row>
    <row r="4715" spans="1:22" s="1192" customFormat="1" ht="14.4" x14ac:dyDescent="0.3">
      <c r="A4715" s="1192" t="s">
        <v>203</v>
      </c>
      <c r="E4715" s="2023" t="s">
        <v>2391</v>
      </c>
      <c r="F4715" s="2023"/>
      <c r="G4715" s="2023"/>
      <c r="H4715" s="2029"/>
      <c r="K4715" s="1192" t="s">
        <v>3946</v>
      </c>
      <c r="V4715" s="1192">
        <v>280</v>
      </c>
    </row>
    <row r="4716" spans="1:22" s="1192" customFormat="1" ht="14.4" x14ac:dyDescent="0.3">
      <c r="A4716" s="1192" t="s">
        <v>203</v>
      </c>
      <c r="E4716" s="2023" t="s">
        <v>2392</v>
      </c>
      <c r="F4716" s="2023"/>
      <c r="G4716" s="2023"/>
      <c r="H4716" s="2029"/>
      <c r="K4716" s="1192" t="s">
        <v>3946</v>
      </c>
      <c r="V4716" s="1192">
        <v>411</v>
      </c>
    </row>
    <row r="4717" spans="1:22" s="1192" customFormat="1" ht="14.4" x14ac:dyDescent="0.3">
      <c r="A4717" s="1192" t="s">
        <v>203</v>
      </c>
      <c r="E4717" s="2023" t="s">
        <v>2393</v>
      </c>
      <c r="F4717" s="2023"/>
      <c r="G4717" s="2023"/>
      <c r="H4717" s="2029"/>
      <c r="K4717" s="1192" t="s">
        <v>3946</v>
      </c>
      <c r="V4717" s="1192">
        <v>387</v>
      </c>
    </row>
    <row r="4718" spans="1:22" s="1192" customFormat="1" ht="14.4" x14ac:dyDescent="0.3">
      <c r="A4718" s="1192" t="s">
        <v>203</v>
      </c>
      <c r="E4718" s="1743" t="s">
        <v>4503</v>
      </c>
      <c r="F4718" s="1743"/>
      <c r="G4718" s="1743"/>
      <c r="H4718" s="1743"/>
      <c r="K4718" s="1192" t="s">
        <v>3946</v>
      </c>
      <c r="V4718" s="1192">
        <v>677</v>
      </c>
    </row>
    <row r="4719" spans="1:22" s="1192" customFormat="1" ht="14.4" x14ac:dyDescent="0.3">
      <c r="A4719" s="1192" t="s">
        <v>203</v>
      </c>
      <c r="E4719" s="1743" t="s">
        <v>4644</v>
      </c>
      <c r="F4719" s="1743"/>
      <c r="G4719" s="1743"/>
      <c r="H4719" s="1743"/>
      <c r="K4719" s="1192" t="s">
        <v>3946</v>
      </c>
      <c r="V4719" s="1192">
        <v>693</v>
      </c>
    </row>
    <row r="4720" spans="1:22" s="1192" customFormat="1" ht="14.4" x14ac:dyDescent="0.3">
      <c r="A4720" s="1192" t="s">
        <v>203</v>
      </c>
      <c r="E4720" s="2023" t="s">
        <v>2986</v>
      </c>
      <c r="F4720" s="2023"/>
      <c r="G4720" s="2023"/>
      <c r="H4720" s="2029"/>
      <c r="K4720" s="1192" t="s">
        <v>3946</v>
      </c>
      <c r="V4720" s="1192">
        <v>246</v>
      </c>
    </row>
    <row r="4721" spans="1:22" s="1192" customFormat="1" ht="14.4" x14ac:dyDescent="0.3">
      <c r="A4721" s="1192" t="s">
        <v>203</v>
      </c>
      <c r="E4721" s="2024" t="s">
        <v>2394</v>
      </c>
      <c r="F4721" s="1988"/>
      <c r="G4721" s="1988"/>
      <c r="H4721" s="1988"/>
      <c r="K4721" s="1192" t="s">
        <v>2531</v>
      </c>
      <c r="V4721" s="1192">
        <v>46</v>
      </c>
    </row>
    <row r="4722" spans="1:22" s="1192" customFormat="1" ht="14.4" x14ac:dyDescent="0.3">
      <c r="A4722" s="1192" t="s">
        <v>203</v>
      </c>
      <c r="E4722" s="2026" t="s">
        <v>7</v>
      </c>
      <c r="F4722" s="2026"/>
      <c r="G4722" s="941" t="s">
        <v>19</v>
      </c>
      <c r="H4722" s="1218">
        <v>1227.8699999999999</v>
      </c>
      <c r="K4722" s="1192" t="s">
        <v>3946</v>
      </c>
      <c r="L4722" s="1192" t="s">
        <v>430</v>
      </c>
      <c r="P4722" s="1192" t="s">
        <v>3947</v>
      </c>
      <c r="V4722" s="1192">
        <v>14</v>
      </c>
    </row>
    <row r="4723" spans="1:22" s="1192" customFormat="1" ht="14.4" x14ac:dyDescent="0.3">
      <c r="A4723" s="1192" t="s">
        <v>203</v>
      </c>
      <c r="E4723" s="2026" t="s">
        <v>80</v>
      </c>
      <c r="F4723" s="2026"/>
      <c r="G4723" s="941" t="s">
        <v>29</v>
      </c>
      <c r="H4723" s="1219">
        <v>2.6132</v>
      </c>
      <c r="K4723" s="1192" t="s">
        <v>3946</v>
      </c>
      <c r="L4723" s="1192" t="s">
        <v>430</v>
      </c>
      <c r="P4723" s="1192" t="s">
        <v>3948</v>
      </c>
      <c r="V4723" s="1192">
        <v>28</v>
      </c>
    </row>
    <row r="4724" spans="1:22" s="1192" customFormat="1" ht="14.4" x14ac:dyDescent="0.3">
      <c r="A4724" s="1192" t="s">
        <v>203</v>
      </c>
      <c r="E4724" s="2026" t="s">
        <v>6103</v>
      </c>
      <c r="F4724" s="1998"/>
      <c r="G4724" s="941" t="s">
        <v>29</v>
      </c>
      <c r="H4724" s="1219">
        <v>0.2944</v>
      </c>
      <c r="K4724" s="1192" t="s">
        <v>3946</v>
      </c>
      <c r="L4724" s="1192" t="s">
        <v>430</v>
      </c>
      <c r="P4724" s="1192" t="s">
        <v>4094</v>
      </c>
      <c r="T4724" s="1192">
        <v>44196</v>
      </c>
      <c r="V4724" s="1192">
        <v>137</v>
      </c>
    </row>
    <row r="4725" spans="1:22" s="1192" customFormat="1" ht="14.4" x14ac:dyDescent="0.3">
      <c r="A4725" s="1192" t="s">
        <v>203</v>
      </c>
      <c r="E4725" s="2026" t="s">
        <v>215</v>
      </c>
      <c r="F4725" s="2026"/>
      <c r="G4725" s="941" t="s">
        <v>29</v>
      </c>
      <c r="H4725" s="1219">
        <v>3.1758000000000002</v>
      </c>
      <c r="K4725" s="1192" t="s">
        <v>3946</v>
      </c>
      <c r="L4725" s="1192" t="s">
        <v>432</v>
      </c>
      <c r="P4725" s="1192" t="s">
        <v>3950</v>
      </c>
      <c r="V4725" s="1192">
        <v>66</v>
      </c>
    </row>
    <row r="4726" spans="1:22" s="1192" customFormat="1" ht="14.4" x14ac:dyDescent="0.3">
      <c r="A4726" s="1192" t="s">
        <v>203</v>
      </c>
      <c r="E4726" s="2026" t="s">
        <v>211</v>
      </c>
      <c r="F4726" s="2026"/>
      <c r="G4726" s="941" t="s">
        <v>29</v>
      </c>
      <c r="H4726" s="1219">
        <v>2.7221000000000002</v>
      </c>
      <c r="K4726" s="1192" t="s">
        <v>3946</v>
      </c>
      <c r="L4726" s="1192" t="s">
        <v>432</v>
      </c>
      <c r="P4726" s="1192" t="s">
        <v>3951</v>
      </c>
      <c r="V4726" s="1192">
        <v>93</v>
      </c>
    </row>
    <row r="4727" spans="1:22" s="1192" customFormat="1" ht="14.4" x14ac:dyDescent="0.3">
      <c r="A4727" s="1192" t="s">
        <v>203</v>
      </c>
      <c r="E4727" s="2027" t="s">
        <v>2405</v>
      </c>
      <c r="F4727" s="1741"/>
      <c r="G4727" s="953"/>
      <c r="H4727" s="1305"/>
      <c r="K4727" s="1192" t="s">
        <v>2532</v>
      </c>
      <c r="V4727" s="1192">
        <v>48</v>
      </c>
    </row>
    <row r="4728" spans="1:22" s="1192" customFormat="1" ht="14.4" x14ac:dyDescent="0.3">
      <c r="A4728" s="1192" t="s">
        <v>203</v>
      </c>
      <c r="E4728" s="2026" t="s">
        <v>2033</v>
      </c>
      <c r="F4728" s="2026"/>
      <c r="G4728" s="953" t="s">
        <v>20</v>
      </c>
      <c r="H4728" s="1306">
        <v>3.0000000000000001E-3</v>
      </c>
      <c r="K4728" s="1192" t="s">
        <v>3946</v>
      </c>
      <c r="L4728" s="1192" t="s">
        <v>2374</v>
      </c>
      <c r="P4728" s="1192" t="s">
        <v>3952</v>
      </c>
      <c r="V4728" s="1192">
        <v>55</v>
      </c>
    </row>
    <row r="4729" spans="1:22" s="1192" customFormat="1" ht="14.4" x14ac:dyDescent="0.3">
      <c r="A4729" s="1192" t="s">
        <v>203</v>
      </c>
      <c r="E4729" s="2026" t="s">
        <v>2034</v>
      </c>
      <c r="F4729" s="1741"/>
      <c r="G4729" s="953" t="s">
        <v>20</v>
      </c>
      <c r="H4729" s="1306">
        <v>4.0000000000000002E-4</v>
      </c>
      <c r="K4729" s="1192" t="s">
        <v>3946</v>
      </c>
      <c r="L4729" s="1192" t="s">
        <v>2374</v>
      </c>
      <c r="P4729" s="1192" t="s">
        <v>3952</v>
      </c>
      <c r="V4729" s="1192">
        <v>65</v>
      </c>
    </row>
    <row r="4730" spans="1:22" s="1192" customFormat="1" ht="14.4" x14ac:dyDescent="0.3">
      <c r="A4730" s="1192" t="s">
        <v>203</v>
      </c>
      <c r="E4730" s="2026" t="s">
        <v>428</v>
      </c>
      <c r="F4730" s="2026"/>
      <c r="G4730" s="953" t="s">
        <v>20</v>
      </c>
      <c r="H4730" s="1306">
        <v>5.0000000000000001E-4</v>
      </c>
      <c r="K4730" s="1192" t="s">
        <v>3946</v>
      </c>
      <c r="L4730" s="1192" t="s">
        <v>2374</v>
      </c>
      <c r="P4730" s="1192" t="s">
        <v>3953</v>
      </c>
      <c r="V4730" s="1192">
        <v>57</v>
      </c>
    </row>
    <row r="4731" spans="1:22" s="1192" customFormat="1" ht="14.4" x14ac:dyDescent="0.3">
      <c r="A4731" s="1192" t="s">
        <v>203</v>
      </c>
      <c r="E4731" s="2026" t="s">
        <v>28</v>
      </c>
      <c r="F4731" s="2026"/>
      <c r="G4731" s="953" t="s">
        <v>19</v>
      </c>
      <c r="H4731" s="1307">
        <v>0.25</v>
      </c>
      <c r="K4731" s="1192" t="s">
        <v>3946</v>
      </c>
      <c r="L4731" s="1192" t="s">
        <v>2374</v>
      </c>
      <c r="P4731" s="1192" t="s">
        <v>3954</v>
      </c>
      <c r="V4731" s="1192">
        <v>63</v>
      </c>
    </row>
    <row r="4732" spans="1:22" s="1192" customFormat="1" ht="17.399999999999999" x14ac:dyDescent="0.3">
      <c r="A4732" s="1192" t="s">
        <v>203</v>
      </c>
      <c r="E4732" s="2032" t="s">
        <v>596</v>
      </c>
      <c r="F4732" s="2032"/>
      <c r="G4732" s="2032"/>
      <c r="H4732" s="2033"/>
      <c r="K4732" s="1192" t="s">
        <v>2533</v>
      </c>
      <c r="V4732" s="1192">
        <v>32</v>
      </c>
    </row>
    <row r="4733" spans="1:22" s="1192" customFormat="1" ht="14.4" x14ac:dyDescent="0.3">
      <c r="A4733" s="1192" t="s">
        <v>203</v>
      </c>
      <c r="E4733" s="2023" t="s">
        <v>2896</v>
      </c>
      <c r="F4733" s="2023"/>
      <c r="G4733" s="2023"/>
      <c r="H4733" s="2029"/>
      <c r="K4733" s="1192" t="s">
        <v>2533</v>
      </c>
      <c r="V4733" s="1192">
        <v>351</v>
      </c>
    </row>
    <row r="4734" spans="1:22" s="1192" customFormat="1" ht="14.4" x14ac:dyDescent="0.3">
      <c r="A4734" s="1192" t="s">
        <v>203</v>
      </c>
      <c r="E4734" s="2024" t="s">
        <v>2389</v>
      </c>
      <c r="F4734" s="1988"/>
      <c r="G4734" s="1988"/>
      <c r="H4734" s="1988"/>
      <c r="K4734" s="1192" t="s">
        <v>2424</v>
      </c>
      <c r="V4734" s="1192">
        <v>11</v>
      </c>
    </row>
    <row r="4735" spans="1:22" s="1192" customFormat="1" ht="14.4" x14ac:dyDescent="0.3">
      <c r="A4735" s="1192" t="s">
        <v>203</v>
      </c>
      <c r="E4735" s="2023" t="s">
        <v>2391</v>
      </c>
      <c r="F4735" s="2023"/>
      <c r="G4735" s="2023"/>
      <c r="H4735" s="2029"/>
      <c r="K4735" s="1192" t="s">
        <v>2533</v>
      </c>
      <c r="V4735" s="1192">
        <v>280</v>
      </c>
    </row>
    <row r="4736" spans="1:22" s="1192" customFormat="1" ht="14.4" x14ac:dyDescent="0.3">
      <c r="A4736" s="1192" t="s">
        <v>203</v>
      </c>
      <c r="E4736" s="2023" t="s">
        <v>2392</v>
      </c>
      <c r="F4736" s="2023"/>
      <c r="G4736" s="2023"/>
      <c r="H4736" s="2029"/>
      <c r="K4736" s="1192" t="s">
        <v>2533</v>
      </c>
      <c r="V4736" s="1192">
        <v>411</v>
      </c>
    </row>
    <row r="4737" spans="1:22" s="1192" customFormat="1" ht="14.4" x14ac:dyDescent="0.3">
      <c r="A4737" s="1192" t="s">
        <v>203</v>
      </c>
      <c r="E4737" s="2023" t="s">
        <v>2393</v>
      </c>
      <c r="F4737" s="2023"/>
      <c r="G4737" s="2023"/>
      <c r="H4737" s="2029"/>
      <c r="K4737" s="1192" t="s">
        <v>2533</v>
      </c>
      <c r="V4737" s="1192">
        <v>387</v>
      </c>
    </row>
    <row r="4738" spans="1:22" s="1192" customFormat="1" ht="14.4" x14ac:dyDescent="0.3">
      <c r="A4738" s="1192" t="s">
        <v>203</v>
      </c>
      <c r="E4738" s="1743" t="s">
        <v>4503</v>
      </c>
      <c r="F4738" s="1743"/>
      <c r="G4738" s="1743"/>
      <c r="H4738" s="1743"/>
      <c r="K4738" s="1192" t="s">
        <v>2533</v>
      </c>
      <c r="V4738" s="1192">
        <v>677</v>
      </c>
    </row>
    <row r="4739" spans="1:22" s="1192" customFormat="1" ht="14.4" x14ac:dyDescent="0.3">
      <c r="A4739" s="1192" t="s">
        <v>203</v>
      </c>
      <c r="E4739" s="1743" t="s">
        <v>4644</v>
      </c>
      <c r="F4739" s="1743"/>
      <c r="G4739" s="1743"/>
      <c r="H4739" s="1743"/>
      <c r="K4739" s="1192" t="s">
        <v>2533</v>
      </c>
      <c r="V4739" s="1192">
        <v>693</v>
      </c>
    </row>
    <row r="4740" spans="1:22" s="1192" customFormat="1" ht="14.4" x14ac:dyDescent="0.3">
      <c r="A4740" s="1192" t="s">
        <v>203</v>
      </c>
      <c r="E4740" s="2023" t="s">
        <v>2986</v>
      </c>
      <c r="F4740" s="2023"/>
      <c r="G4740" s="2023"/>
      <c r="H4740" s="2029"/>
      <c r="K4740" s="1192" t="s">
        <v>2533</v>
      </c>
      <c r="V4740" s="1192">
        <v>246</v>
      </c>
    </row>
    <row r="4741" spans="1:22" s="1192" customFormat="1" ht="14.4" x14ac:dyDescent="0.3">
      <c r="A4741" s="1192" t="s">
        <v>203</v>
      </c>
      <c r="E4741" s="2024" t="s">
        <v>2394</v>
      </c>
      <c r="F4741" s="1988"/>
      <c r="G4741" s="1988"/>
      <c r="H4741" s="1988"/>
      <c r="K4741" s="1192" t="s">
        <v>2425</v>
      </c>
      <c r="V4741" s="1192">
        <v>46</v>
      </c>
    </row>
    <row r="4742" spans="1:22" s="1192" customFormat="1" ht="14.4" x14ac:dyDescent="0.3">
      <c r="A4742" s="1192" t="s">
        <v>203</v>
      </c>
      <c r="E4742" s="2026" t="s">
        <v>7</v>
      </c>
      <c r="F4742" s="2026"/>
      <c r="G4742" s="941" t="s">
        <v>19</v>
      </c>
      <c r="H4742" s="1218">
        <v>9343.15</v>
      </c>
      <c r="K4742" s="1192" t="s">
        <v>2533</v>
      </c>
      <c r="L4742" s="1192" t="s">
        <v>430</v>
      </c>
      <c r="P4742" s="1192" t="s">
        <v>2535</v>
      </c>
      <c r="V4742" s="1192">
        <v>14</v>
      </c>
    </row>
    <row r="4743" spans="1:22" s="1192" customFormat="1" ht="14.4" x14ac:dyDescent="0.3">
      <c r="A4743" s="1192" t="s">
        <v>203</v>
      </c>
      <c r="E4743" s="2026" t="s">
        <v>80</v>
      </c>
      <c r="F4743" s="2026"/>
      <c r="G4743" s="941" t="s">
        <v>29</v>
      </c>
      <c r="H4743" s="1219">
        <v>2.2526000000000002</v>
      </c>
      <c r="K4743" s="1192" t="s">
        <v>2533</v>
      </c>
      <c r="L4743" s="1192" t="s">
        <v>430</v>
      </c>
      <c r="P4743" s="1192" t="s">
        <v>2536</v>
      </c>
      <c r="V4743" s="1192">
        <v>28</v>
      </c>
    </row>
    <row r="4744" spans="1:22" s="1192" customFormat="1" ht="14.4" x14ac:dyDescent="0.3">
      <c r="A4744" s="1192" t="s">
        <v>203</v>
      </c>
      <c r="E4744" s="2026" t="s">
        <v>6103</v>
      </c>
      <c r="F4744" s="1998"/>
      <c r="G4744" s="941" t="s">
        <v>29</v>
      </c>
      <c r="H4744" s="1219">
        <v>-9.9599999999999994E-2</v>
      </c>
      <c r="K4744" s="1192" t="s">
        <v>2533</v>
      </c>
      <c r="L4744" s="1192" t="s">
        <v>430</v>
      </c>
      <c r="P4744" s="1192" t="s">
        <v>2538</v>
      </c>
      <c r="T4744" s="1192">
        <v>44196</v>
      </c>
      <c r="V4744" s="1192">
        <v>137</v>
      </c>
    </row>
    <row r="4745" spans="1:22" s="1192" customFormat="1" ht="14.4" x14ac:dyDescent="0.3">
      <c r="A4745" s="1192" t="s">
        <v>203</v>
      </c>
      <c r="E4745" s="2026" t="s">
        <v>215</v>
      </c>
      <c r="F4745" s="2026"/>
      <c r="G4745" s="941" t="s">
        <v>29</v>
      </c>
      <c r="H4745" s="1219">
        <v>3.3839000000000001</v>
      </c>
      <c r="K4745" s="1192" t="s">
        <v>2533</v>
      </c>
      <c r="L4745" s="1192" t="s">
        <v>432</v>
      </c>
      <c r="P4745" s="1192" t="s">
        <v>2833</v>
      </c>
      <c r="V4745" s="1192">
        <v>66</v>
      </c>
    </row>
    <row r="4746" spans="1:22" s="1192" customFormat="1" ht="14.4" x14ac:dyDescent="0.3">
      <c r="A4746" s="1192" t="s">
        <v>203</v>
      </c>
      <c r="E4746" s="2026" t="s">
        <v>211</v>
      </c>
      <c r="F4746" s="2026"/>
      <c r="G4746" s="941" t="s">
        <v>29</v>
      </c>
      <c r="H4746" s="1219">
        <v>2.9701</v>
      </c>
      <c r="K4746" s="1192" t="s">
        <v>2533</v>
      </c>
      <c r="L4746" s="1192" t="s">
        <v>432</v>
      </c>
      <c r="P4746" s="1192" t="s">
        <v>2834</v>
      </c>
      <c r="V4746" s="1192">
        <v>93</v>
      </c>
    </row>
    <row r="4747" spans="1:22" s="1192" customFormat="1" ht="14.4" x14ac:dyDescent="0.3">
      <c r="A4747" s="1192" t="s">
        <v>203</v>
      </c>
      <c r="E4747" s="2027" t="s">
        <v>2405</v>
      </c>
      <c r="F4747" s="1741"/>
      <c r="G4747" s="953"/>
      <c r="H4747" s="1305"/>
      <c r="K4747" s="1192" t="s">
        <v>2427</v>
      </c>
      <c r="V4747" s="1192">
        <v>48</v>
      </c>
    </row>
    <row r="4748" spans="1:22" s="1192" customFormat="1" ht="14.4" x14ac:dyDescent="0.3">
      <c r="A4748" s="1192" t="s">
        <v>203</v>
      </c>
      <c r="E4748" s="2026" t="s">
        <v>2033</v>
      </c>
      <c r="F4748" s="2026"/>
      <c r="G4748" s="953" t="s">
        <v>20</v>
      </c>
      <c r="H4748" s="1306">
        <v>3.0000000000000001E-3</v>
      </c>
      <c r="K4748" s="1192" t="s">
        <v>2533</v>
      </c>
      <c r="L4748" s="1192" t="s">
        <v>2374</v>
      </c>
      <c r="P4748" s="1192" t="s">
        <v>2540</v>
      </c>
      <c r="V4748" s="1192">
        <v>55</v>
      </c>
    </row>
    <row r="4749" spans="1:22" s="1192" customFormat="1" ht="14.4" x14ac:dyDescent="0.3">
      <c r="A4749" s="1192" t="s">
        <v>203</v>
      </c>
      <c r="E4749" s="2026" t="s">
        <v>2034</v>
      </c>
      <c r="F4749" s="1741"/>
      <c r="G4749" s="953" t="s">
        <v>20</v>
      </c>
      <c r="H4749" s="1306">
        <v>4.0000000000000002E-4</v>
      </c>
      <c r="K4749" s="1192" t="s">
        <v>2533</v>
      </c>
      <c r="L4749" s="1192" t="s">
        <v>2374</v>
      </c>
      <c r="P4749" s="1192" t="s">
        <v>2540</v>
      </c>
      <c r="V4749" s="1192">
        <v>65</v>
      </c>
    </row>
    <row r="4750" spans="1:22" s="1192" customFormat="1" ht="14.4" x14ac:dyDescent="0.3">
      <c r="A4750" s="1192" t="s">
        <v>203</v>
      </c>
      <c r="E4750" s="2026" t="s">
        <v>428</v>
      </c>
      <c r="F4750" s="2026"/>
      <c r="G4750" s="953" t="s">
        <v>20</v>
      </c>
      <c r="H4750" s="1306">
        <v>5.0000000000000001E-4</v>
      </c>
      <c r="K4750" s="1192" t="s">
        <v>2533</v>
      </c>
      <c r="L4750" s="1192" t="s">
        <v>2374</v>
      </c>
      <c r="P4750" s="1192" t="s">
        <v>2541</v>
      </c>
      <c r="V4750" s="1192">
        <v>57</v>
      </c>
    </row>
    <row r="4751" spans="1:22" s="1192" customFormat="1" ht="14.4" x14ac:dyDescent="0.3">
      <c r="A4751" s="1192" t="s">
        <v>203</v>
      </c>
      <c r="E4751" s="2026" t="s">
        <v>28</v>
      </c>
      <c r="F4751" s="2026"/>
      <c r="G4751" s="953" t="s">
        <v>19</v>
      </c>
      <c r="H4751" s="1307">
        <v>0.25</v>
      </c>
      <c r="K4751" s="1192" t="s">
        <v>2533</v>
      </c>
      <c r="L4751" s="1192" t="s">
        <v>2374</v>
      </c>
      <c r="P4751" s="1192" t="s">
        <v>2542</v>
      </c>
      <c r="V4751" s="1192">
        <v>63</v>
      </c>
    </row>
    <row r="4752" spans="1:22" s="1192" customFormat="1" ht="17.399999999999999" x14ac:dyDescent="0.3">
      <c r="A4752" s="1192" t="s">
        <v>203</v>
      </c>
      <c r="E4752" s="2032" t="s">
        <v>592</v>
      </c>
      <c r="F4752" s="2032"/>
      <c r="G4752" s="2032"/>
      <c r="H4752" s="2033"/>
      <c r="K4752" s="1192" t="s">
        <v>2543</v>
      </c>
      <c r="V4752" s="1192">
        <v>47</v>
      </c>
    </row>
    <row r="4753" spans="1:22" s="1192" customFormat="1" ht="14.4" x14ac:dyDescent="0.3">
      <c r="A4753" s="1192" t="s">
        <v>203</v>
      </c>
      <c r="E4753" s="2023" t="s">
        <v>2897</v>
      </c>
      <c r="F4753" s="2023"/>
      <c r="G4753" s="2023"/>
      <c r="H4753" s="2029"/>
      <c r="K4753" s="1192" t="s">
        <v>2543</v>
      </c>
      <c r="V4753" s="1192">
        <v>699</v>
      </c>
    </row>
    <row r="4754" spans="1:22" s="1192" customFormat="1" ht="14.4" x14ac:dyDescent="0.3">
      <c r="A4754" s="1192" t="s">
        <v>203</v>
      </c>
      <c r="E4754" s="2024" t="s">
        <v>2389</v>
      </c>
      <c r="F4754" s="1988"/>
      <c r="G4754" s="1988"/>
      <c r="H4754" s="1988"/>
      <c r="K4754" s="1192" t="s">
        <v>2430</v>
      </c>
      <c r="V4754" s="1192">
        <v>11</v>
      </c>
    </row>
    <row r="4755" spans="1:22" s="1192" customFormat="1" ht="14.4" x14ac:dyDescent="0.3">
      <c r="A4755" s="1192" t="s">
        <v>203</v>
      </c>
      <c r="E4755" s="2023" t="s">
        <v>2391</v>
      </c>
      <c r="F4755" s="2023"/>
      <c r="G4755" s="2023"/>
      <c r="H4755" s="2029"/>
      <c r="K4755" s="1192" t="s">
        <v>2543</v>
      </c>
      <c r="V4755" s="1192">
        <v>280</v>
      </c>
    </row>
    <row r="4756" spans="1:22" s="1192" customFormat="1" ht="14.4" x14ac:dyDescent="0.3">
      <c r="A4756" s="1192" t="s">
        <v>203</v>
      </c>
      <c r="E4756" s="2023" t="s">
        <v>2392</v>
      </c>
      <c r="F4756" s="2023"/>
      <c r="G4756" s="2023"/>
      <c r="H4756" s="2029"/>
      <c r="K4756" s="1192" t="s">
        <v>2543</v>
      </c>
      <c r="V4756" s="1192">
        <v>411</v>
      </c>
    </row>
    <row r="4757" spans="1:22" s="1192" customFormat="1" ht="14.4" x14ac:dyDescent="0.3">
      <c r="A4757" s="1192" t="s">
        <v>203</v>
      </c>
      <c r="E4757" s="2023" t="s">
        <v>2393</v>
      </c>
      <c r="F4757" s="2023"/>
      <c r="G4757" s="2023"/>
      <c r="H4757" s="2029"/>
      <c r="K4757" s="1192" t="s">
        <v>2543</v>
      </c>
      <c r="V4757" s="1192">
        <v>387</v>
      </c>
    </row>
    <row r="4758" spans="1:22" s="1192" customFormat="1" ht="14.4" x14ac:dyDescent="0.3">
      <c r="A4758" s="1192" t="s">
        <v>203</v>
      </c>
      <c r="E4758" s="2023" t="s">
        <v>2986</v>
      </c>
      <c r="F4758" s="2023"/>
      <c r="G4758" s="2023"/>
      <c r="H4758" s="2029"/>
      <c r="K4758" s="1192" t="s">
        <v>2543</v>
      </c>
      <c r="V4758" s="1192">
        <v>246</v>
      </c>
    </row>
    <row r="4759" spans="1:22" s="1192" customFormat="1" ht="14.4" x14ac:dyDescent="0.3">
      <c r="A4759" s="1192" t="s">
        <v>203</v>
      </c>
      <c r="E4759" s="2024" t="s">
        <v>2394</v>
      </c>
      <c r="F4759" s="1988"/>
      <c r="G4759" s="1988"/>
      <c r="H4759" s="1988"/>
      <c r="K4759" s="1192" t="s">
        <v>2431</v>
      </c>
      <c r="V4759" s="1192">
        <v>46</v>
      </c>
    </row>
    <row r="4760" spans="1:22" s="1192" customFormat="1" ht="14.4" x14ac:dyDescent="0.3">
      <c r="A4760" s="1192" t="s">
        <v>203</v>
      </c>
      <c r="E4760" s="2026" t="s">
        <v>8</v>
      </c>
      <c r="F4760" s="2026"/>
      <c r="G4760" s="941" t="s">
        <v>19</v>
      </c>
      <c r="H4760" s="1218">
        <v>4.87</v>
      </c>
      <c r="K4760" s="1192" t="s">
        <v>2543</v>
      </c>
      <c r="L4760" s="1192" t="s">
        <v>430</v>
      </c>
      <c r="P4760" s="1192" t="s">
        <v>2545</v>
      </c>
      <c r="V4760" s="1192">
        <v>31</v>
      </c>
    </row>
    <row r="4761" spans="1:22" s="1192" customFormat="1" ht="14.4" x14ac:dyDescent="0.3">
      <c r="A4761" s="1192" t="s">
        <v>203</v>
      </c>
      <c r="E4761" s="2026" t="s">
        <v>80</v>
      </c>
      <c r="F4761" s="2026"/>
      <c r="G4761" s="941" t="s">
        <v>20</v>
      </c>
      <c r="H4761" s="1219">
        <v>0.02</v>
      </c>
      <c r="K4761" s="1192" t="s">
        <v>2543</v>
      </c>
      <c r="L4761" s="1192" t="s">
        <v>430</v>
      </c>
      <c r="P4761" s="1192" t="s">
        <v>2546</v>
      </c>
      <c r="V4761" s="1192">
        <v>28</v>
      </c>
    </row>
    <row r="4762" spans="1:22" s="1192" customFormat="1" ht="14.4" x14ac:dyDescent="0.3">
      <c r="A4762" s="1192" t="s">
        <v>203</v>
      </c>
      <c r="E4762" s="2026" t="s">
        <v>6103</v>
      </c>
      <c r="F4762" s="1998"/>
      <c r="G4762" s="941" t="s">
        <v>20</v>
      </c>
      <c r="H4762" s="1219">
        <v>-3.2000000000000002E-3</v>
      </c>
      <c r="K4762" s="1192" t="s">
        <v>2543</v>
      </c>
      <c r="L4762" s="1192" t="s">
        <v>430</v>
      </c>
      <c r="P4762" s="1192" t="s">
        <v>2548</v>
      </c>
      <c r="T4762" s="1192">
        <v>44196</v>
      </c>
      <c r="V4762" s="1192">
        <v>137</v>
      </c>
    </row>
    <row r="4763" spans="1:22" s="1192" customFormat="1" ht="14.4" x14ac:dyDescent="0.3">
      <c r="A4763" s="1192" t="s">
        <v>203</v>
      </c>
      <c r="E4763" s="2026" t="s">
        <v>213</v>
      </c>
      <c r="F4763" s="2026"/>
      <c r="G4763" s="941" t="s">
        <v>20</v>
      </c>
      <c r="H4763" s="1219">
        <v>6.7999999999999996E-3</v>
      </c>
      <c r="K4763" s="1192" t="s">
        <v>2543</v>
      </c>
      <c r="L4763" s="1192" t="s">
        <v>432</v>
      </c>
      <c r="P4763" s="1192" t="s">
        <v>2550</v>
      </c>
      <c r="V4763" s="1192">
        <v>47</v>
      </c>
    </row>
    <row r="4764" spans="1:22" s="1192" customFormat="1" ht="14.4" x14ac:dyDescent="0.3">
      <c r="A4764" s="1192" t="s">
        <v>203</v>
      </c>
      <c r="E4764" s="2026" t="s">
        <v>209</v>
      </c>
      <c r="F4764" s="2026"/>
      <c r="G4764" s="941" t="s">
        <v>20</v>
      </c>
      <c r="H4764" s="1219">
        <v>6.1000000000000004E-3</v>
      </c>
      <c r="K4764" s="1192" t="s">
        <v>2543</v>
      </c>
      <c r="L4764" s="1192" t="s">
        <v>432</v>
      </c>
      <c r="P4764" s="1192" t="s">
        <v>2551</v>
      </c>
      <c r="V4764" s="1192">
        <v>74</v>
      </c>
    </row>
    <row r="4765" spans="1:22" s="1192" customFormat="1" ht="14.4" x14ac:dyDescent="0.3">
      <c r="A4765" s="1192" t="s">
        <v>203</v>
      </c>
      <c r="E4765" s="2027" t="s">
        <v>2405</v>
      </c>
      <c r="F4765" s="1741"/>
      <c r="G4765" s="953"/>
      <c r="H4765" s="1305"/>
      <c r="K4765" s="1192" t="s">
        <v>2438</v>
      </c>
      <c r="V4765" s="1192">
        <v>48</v>
      </c>
    </row>
    <row r="4766" spans="1:22" s="1192" customFormat="1" ht="14.4" x14ac:dyDescent="0.3">
      <c r="A4766" s="1192" t="s">
        <v>203</v>
      </c>
      <c r="E4766" s="2026" t="s">
        <v>2033</v>
      </c>
      <c r="F4766" s="2026"/>
      <c r="G4766" s="953" t="s">
        <v>20</v>
      </c>
      <c r="H4766" s="1306">
        <v>3.0000000000000001E-3</v>
      </c>
      <c r="K4766" s="1192" t="s">
        <v>2543</v>
      </c>
      <c r="L4766" s="1192" t="s">
        <v>2374</v>
      </c>
      <c r="P4766" s="1192" t="s">
        <v>2552</v>
      </c>
      <c r="V4766" s="1192">
        <v>55</v>
      </c>
    </row>
    <row r="4767" spans="1:22" s="1192" customFormat="1" ht="14.4" x14ac:dyDescent="0.3">
      <c r="A4767" s="1192" t="s">
        <v>203</v>
      </c>
      <c r="E4767" s="2026" t="s">
        <v>2034</v>
      </c>
      <c r="F4767" s="1741"/>
      <c r="G4767" s="953" t="s">
        <v>20</v>
      </c>
      <c r="H4767" s="1306">
        <v>4.0000000000000002E-4</v>
      </c>
      <c r="K4767" s="1192" t="s">
        <v>2543</v>
      </c>
      <c r="L4767" s="1192" t="s">
        <v>2374</v>
      </c>
      <c r="P4767" s="1192" t="s">
        <v>2552</v>
      </c>
      <c r="V4767" s="1192">
        <v>65</v>
      </c>
    </row>
    <row r="4768" spans="1:22" s="1192" customFormat="1" ht="14.4" x14ac:dyDescent="0.3">
      <c r="A4768" s="1192" t="s">
        <v>203</v>
      </c>
      <c r="E4768" s="2026" t="s">
        <v>428</v>
      </c>
      <c r="F4768" s="2026"/>
      <c r="G4768" s="953" t="s">
        <v>20</v>
      </c>
      <c r="H4768" s="1306">
        <v>5.0000000000000001E-4</v>
      </c>
      <c r="K4768" s="1192" t="s">
        <v>2543</v>
      </c>
      <c r="L4768" s="1192" t="s">
        <v>2374</v>
      </c>
      <c r="P4768" s="1192" t="s">
        <v>2553</v>
      </c>
      <c r="V4768" s="1192">
        <v>57</v>
      </c>
    </row>
    <row r="4769" spans="1:22" s="1192" customFormat="1" ht="14.4" x14ac:dyDescent="0.3">
      <c r="A4769" s="1192" t="s">
        <v>203</v>
      </c>
      <c r="E4769" s="2026" t="s">
        <v>28</v>
      </c>
      <c r="F4769" s="2026"/>
      <c r="G4769" s="953" t="s">
        <v>19</v>
      </c>
      <c r="H4769" s="1307">
        <v>0.25</v>
      </c>
      <c r="K4769" s="1192" t="s">
        <v>2543</v>
      </c>
      <c r="L4769" s="1192" t="s">
        <v>2374</v>
      </c>
      <c r="P4769" s="1192" t="s">
        <v>2554</v>
      </c>
      <c r="V4769" s="1192">
        <v>63</v>
      </c>
    </row>
    <row r="4770" spans="1:22" s="1192" customFormat="1" ht="17.399999999999999" x14ac:dyDescent="0.3">
      <c r="A4770" s="1192" t="s">
        <v>203</v>
      </c>
      <c r="E4770" s="2032" t="s">
        <v>604</v>
      </c>
      <c r="F4770" s="2032"/>
      <c r="G4770" s="2032"/>
      <c r="H4770" s="2033"/>
      <c r="K4770" s="1192" t="s">
        <v>2555</v>
      </c>
      <c r="V4770" s="1192">
        <v>40</v>
      </c>
    </row>
    <row r="4771" spans="1:22" s="1192" customFormat="1" ht="14.4" x14ac:dyDescent="0.3">
      <c r="A4771" s="1192" t="s">
        <v>203</v>
      </c>
      <c r="E4771" s="2023" t="s">
        <v>2654</v>
      </c>
      <c r="F4771" s="2023"/>
      <c r="G4771" s="2023"/>
      <c r="H4771" s="2029"/>
      <c r="K4771" s="1192" t="s">
        <v>2555</v>
      </c>
      <c r="V4771" s="1192">
        <v>188</v>
      </c>
    </row>
    <row r="4772" spans="1:22" s="1192" customFormat="1" ht="14.4" x14ac:dyDescent="0.3">
      <c r="A4772" s="1192" t="s">
        <v>203</v>
      </c>
      <c r="E4772" s="2024" t="s">
        <v>2389</v>
      </c>
      <c r="F4772" s="1988"/>
      <c r="G4772" s="1988"/>
      <c r="H4772" s="1988"/>
      <c r="K4772" s="1192" t="s">
        <v>2444</v>
      </c>
      <c r="V4772" s="1192">
        <v>11</v>
      </c>
    </row>
    <row r="4773" spans="1:22" s="1192" customFormat="1" ht="14.4" x14ac:dyDescent="0.3">
      <c r="A4773" s="1192" t="s">
        <v>203</v>
      </c>
      <c r="E4773" s="2023" t="s">
        <v>2391</v>
      </c>
      <c r="F4773" s="2023"/>
      <c r="G4773" s="2023"/>
      <c r="H4773" s="2029"/>
      <c r="K4773" s="1192" t="s">
        <v>2555</v>
      </c>
      <c r="V4773" s="1192">
        <v>280</v>
      </c>
    </row>
    <row r="4774" spans="1:22" s="1192" customFormat="1" ht="14.4" x14ac:dyDescent="0.3">
      <c r="A4774" s="1192" t="s">
        <v>203</v>
      </c>
      <c r="E4774" s="2023" t="s">
        <v>2392</v>
      </c>
      <c r="F4774" s="2023"/>
      <c r="G4774" s="2023"/>
      <c r="H4774" s="2029"/>
      <c r="K4774" s="1192" t="s">
        <v>2555</v>
      </c>
      <c r="V4774" s="1192">
        <v>411</v>
      </c>
    </row>
    <row r="4775" spans="1:22" s="1192" customFormat="1" ht="14.4" x14ac:dyDescent="0.3">
      <c r="A4775" s="1192" t="s">
        <v>203</v>
      </c>
      <c r="E4775" s="2023" t="s">
        <v>2393</v>
      </c>
      <c r="F4775" s="2023"/>
      <c r="G4775" s="2023"/>
      <c r="H4775" s="2029"/>
      <c r="K4775" s="1192" t="s">
        <v>2555</v>
      </c>
      <c r="V4775" s="1192">
        <v>387</v>
      </c>
    </row>
    <row r="4776" spans="1:22" s="1192" customFormat="1" ht="14.4" x14ac:dyDescent="0.3">
      <c r="A4776" s="1192" t="s">
        <v>203</v>
      </c>
      <c r="E4776" s="2023" t="s">
        <v>2986</v>
      </c>
      <c r="F4776" s="2023"/>
      <c r="G4776" s="2023"/>
      <c r="H4776" s="2029"/>
      <c r="K4776" s="1192" t="s">
        <v>2555</v>
      </c>
      <c r="V4776" s="1192">
        <v>246</v>
      </c>
    </row>
    <row r="4777" spans="1:22" s="1192" customFormat="1" ht="14.4" x14ac:dyDescent="0.3">
      <c r="A4777" s="1192" t="s">
        <v>203</v>
      </c>
      <c r="E4777" s="2024" t="s">
        <v>2394</v>
      </c>
      <c r="F4777" s="1988"/>
      <c r="G4777" s="1988"/>
      <c r="H4777" s="1988"/>
      <c r="K4777" s="1192" t="s">
        <v>2446</v>
      </c>
      <c r="V4777" s="1192">
        <v>46</v>
      </c>
    </row>
    <row r="4778" spans="1:22" s="1192" customFormat="1" ht="14.4" x14ac:dyDescent="0.3">
      <c r="A4778" s="1192" t="s">
        <v>203</v>
      </c>
      <c r="E4778" s="2026" t="s">
        <v>8</v>
      </c>
      <c r="F4778" s="2026"/>
      <c r="G4778" s="941" t="s">
        <v>19</v>
      </c>
      <c r="H4778" s="1218">
        <v>5.88</v>
      </c>
      <c r="K4778" s="1192" t="s">
        <v>2555</v>
      </c>
      <c r="L4778" s="1192" t="s">
        <v>430</v>
      </c>
      <c r="P4778" s="1192" t="s">
        <v>2557</v>
      </c>
      <c r="V4778" s="1192">
        <v>31</v>
      </c>
    </row>
    <row r="4779" spans="1:22" s="1192" customFormat="1" ht="14.4" x14ac:dyDescent="0.3">
      <c r="A4779" s="1192" t="s">
        <v>203</v>
      </c>
      <c r="E4779" s="2026" t="s">
        <v>80</v>
      </c>
      <c r="F4779" s="2026"/>
      <c r="G4779" s="941" t="s">
        <v>29</v>
      </c>
      <c r="H4779" s="1219">
        <v>8.4045000000000005</v>
      </c>
      <c r="K4779" s="1192" t="s">
        <v>2555</v>
      </c>
      <c r="L4779" s="1192" t="s">
        <v>430</v>
      </c>
      <c r="P4779" s="1192" t="s">
        <v>2558</v>
      </c>
      <c r="V4779" s="1192">
        <v>28</v>
      </c>
    </row>
    <row r="4780" spans="1:22" s="1192" customFormat="1" ht="14.4" x14ac:dyDescent="0.3">
      <c r="A4780" s="1192" t="s">
        <v>203</v>
      </c>
      <c r="E4780" s="2026" t="s">
        <v>6103</v>
      </c>
      <c r="F4780" s="1998"/>
      <c r="G4780" s="941" t="s">
        <v>29</v>
      </c>
      <c r="H4780" s="1219">
        <v>-0.47060000000000002</v>
      </c>
      <c r="K4780" s="1192" t="s">
        <v>2555</v>
      </c>
      <c r="L4780" s="1192" t="s">
        <v>430</v>
      </c>
      <c r="P4780" s="1192" t="s">
        <v>2561</v>
      </c>
      <c r="T4780" s="1192">
        <v>44196</v>
      </c>
      <c r="V4780" s="1192">
        <v>137</v>
      </c>
    </row>
    <row r="4781" spans="1:22" s="1192" customFormat="1" ht="14.4" x14ac:dyDescent="0.3">
      <c r="A4781" s="1192" t="s">
        <v>203</v>
      </c>
      <c r="E4781" s="2026" t="s">
        <v>213</v>
      </c>
      <c r="F4781" s="2026"/>
      <c r="G4781" s="941" t="s">
        <v>29</v>
      </c>
      <c r="H4781" s="1219">
        <v>1.7090000000000001</v>
      </c>
      <c r="K4781" s="1192" t="s">
        <v>2555</v>
      </c>
      <c r="L4781" s="1192" t="s">
        <v>432</v>
      </c>
      <c r="P4781" s="1192" t="s">
        <v>2563</v>
      </c>
      <c r="V4781" s="1192">
        <v>47</v>
      </c>
    </row>
    <row r="4782" spans="1:22" s="1192" customFormat="1" ht="14.4" x14ac:dyDescent="0.3">
      <c r="A4782" s="1192" t="s">
        <v>203</v>
      </c>
      <c r="E4782" s="2026" t="s">
        <v>209</v>
      </c>
      <c r="F4782" s="2026"/>
      <c r="G4782" s="941" t="s">
        <v>29</v>
      </c>
      <c r="H4782" s="1219">
        <v>2.5154999999999998</v>
      </c>
      <c r="K4782" s="1192" t="s">
        <v>2555</v>
      </c>
      <c r="L4782" s="1192" t="s">
        <v>432</v>
      </c>
      <c r="P4782" s="1192" t="s">
        <v>2564</v>
      </c>
      <c r="V4782" s="1192">
        <v>74</v>
      </c>
    </row>
    <row r="4783" spans="1:22" s="1192" customFormat="1" ht="14.4" x14ac:dyDescent="0.3">
      <c r="A4783" s="1192" t="s">
        <v>203</v>
      </c>
      <c r="E4783" s="2027" t="s">
        <v>2405</v>
      </c>
      <c r="F4783" s="1741"/>
      <c r="G4783" s="953"/>
      <c r="H4783" s="1305"/>
      <c r="K4783" s="1192" t="s">
        <v>2565</v>
      </c>
      <c r="V4783" s="1192">
        <v>48</v>
      </c>
    </row>
    <row r="4784" spans="1:22" s="1192" customFormat="1" ht="14.4" x14ac:dyDescent="0.3">
      <c r="A4784" s="1192" t="s">
        <v>203</v>
      </c>
      <c r="E4784" s="2026" t="s">
        <v>2033</v>
      </c>
      <c r="F4784" s="2026"/>
      <c r="G4784" s="953" t="s">
        <v>20</v>
      </c>
      <c r="H4784" s="1306">
        <v>3.0000000000000001E-3</v>
      </c>
      <c r="K4784" s="1192" t="s">
        <v>2555</v>
      </c>
      <c r="L4784" s="1192" t="s">
        <v>2374</v>
      </c>
      <c r="P4784" s="1192" t="s">
        <v>2566</v>
      </c>
      <c r="V4784" s="1192">
        <v>55</v>
      </c>
    </row>
    <row r="4785" spans="1:22" s="1192" customFormat="1" ht="14.4" x14ac:dyDescent="0.3">
      <c r="A4785" s="1192" t="s">
        <v>203</v>
      </c>
      <c r="E4785" s="2026" t="s">
        <v>2034</v>
      </c>
      <c r="F4785" s="1741"/>
      <c r="G4785" s="953" t="s">
        <v>20</v>
      </c>
      <c r="H4785" s="1306">
        <v>4.0000000000000002E-4</v>
      </c>
      <c r="K4785" s="1192" t="s">
        <v>2555</v>
      </c>
      <c r="L4785" s="1192" t="s">
        <v>2374</v>
      </c>
      <c r="P4785" s="1192" t="s">
        <v>2566</v>
      </c>
      <c r="V4785" s="1192">
        <v>65</v>
      </c>
    </row>
    <row r="4786" spans="1:22" s="1192" customFormat="1" ht="14.4" x14ac:dyDescent="0.3">
      <c r="A4786" s="1192" t="s">
        <v>203</v>
      </c>
      <c r="E4786" s="2026" t="s">
        <v>428</v>
      </c>
      <c r="F4786" s="2026"/>
      <c r="G4786" s="953" t="s">
        <v>20</v>
      </c>
      <c r="H4786" s="1306">
        <v>5.0000000000000001E-4</v>
      </c>
      <c r="K4786" s="1192" t="s">
        <v>2555</v>
      </c>
      <c r="L4786" s="1192" t="s">
        <v>2374</v>
      </c>
      <c r="P4786" s="1192" t="s">
        <v>2567</v>
      </c>
      <c r="V4786" s="1192">
        <v>57</v>
      </c>
    </row>
    <row r="4787" spans="1:22" s="1192" customFormat="1" ht="14.4" x14ac:dyDescent="0.3">
      <c r="A4787" s="1192" t="s">
        <v>203</v>
      </c>
      <c r="E4787" s="2026" t="s">
        <v>28</v>
      </c>
      <c r="F4787" s="2026"/>
      <c r="G4787" s="953" t="s">
        <v>19</v>
      </c>
      <c r="H4787" s="1307">
        <v>0.25</v>
      </c>
      <c r="K4787" s="1192" t="s">
        <v>2555</v>
      </c>
      <c r="L4787" s="1192" t="s">
        <v>2374</v>
      </c>
      <c r="P4787" s="1192" t="s">
        <v>2568</v>
      </c>
      <c r="V4787" s="1192">
        <v>63</v>
      </c>
    </row>
    <row r="4788" spans="1:22" s="1192" customFormat="1" ht="17.399999999999999" x14ac:dyDescent="0.3">
      <c r="A4788" s="1192" t="s">
        <v>203</v>
      </c>
      <c r="E4788" s="2032" t="s">
        <v>590</v>
      </c>
      <c r="F4788" s="2032"/>
      <c r="G4788" s="2032"/>
      <c r="H4788" s="2033"/>
      <c r="K4788" s="1192" t="s">
        <v>2569</v>
      </c>
      <c r="V4788" s="1192">
        <v>38</v>
      </c>
    </row>
    <row r="4789" spans="1:22" s="1192" customFormat="1" ht="14.4" x14ac:dyDescent="0.3">
      <c r="A4789" s="1192" t="s">
        <v>203</v>
      </c>
      <c r="E4789" s="2023" t="s">
        <v>2898</v>
      </c>
      <c r="F4789" s="2023"/>
      <c r="G4789" s="2023"/>
      <c r="H4789" s="2029"/>
      <c r="K4789" s="1192" t="s">
        <v>2569</v>
      </c>
      <c r="V4789" s="1192">
        <v>526</v>
      </c>
    </row>
    <row r="4790" spans="1:22" s="1192" customFormat="1" ht="14.4" x14ac:dyDescent="0.3">
      <c r="A4790" s="1192" t="s">
        <v>203</v>
      </c>
      <c r="E4790" s="2024" t="s">
        <v>2389</v>
      </c>
      <c r="F4790" s="1988"/>
      <c r="G4790" s="1988"/>
      <c r="H4790" s="1988"/>
      <c r="K4790" s="1192" t="s">
        <v>2571</v>
      </c>
      <c r="V4790" s="1192">
        <v>11</v>
      </c>
    </row>
    <row r="4791" spans="1:22" s="1192" customFormat="1" ht="14.4" x14ac:dyDescent="0.3">
      <c r="A4791" s="1192" t="s">
        <v>203</v>
      </c>
      <c r="E4791" s="2023" t="s">
        <v>2391</v>
      </c>
      <c r="F4791" s="2023"/>
      <c r="G4791" s="2023"/>
      <c r="H4791" s="2029"/>
      <c r="K4791" s="1192" t="s">
        <v>2569</v>
      </c>
      <c r="V4791" s="1192">
        <v>280</v>
      </c>
    </row>
    <row r="4792" spans="1:22" s="1192" customFormat="1" ht="14.4" x14ac:dyDescent="0.3">
      <c r="A4792" s="1192" t="s">
        <v>203</v>
      </c>
      <c r="E4792" s="2023" t="s">
        <v>2392</v>
      </c>
      <c r="F4792" s="2023"/>
      <c r="G4792" s="2023"/>
      <c r="H4792" s="2029"/>
      <c r="K4792" s="1192" t="s">
        <v>2569</v>
      </c>
      <c r="V4792" s="1192">
        <v>411</v>
      </c>
    </row>
    <row r="4793" spans="1:22" s="1192" customFormat="1" ht="14.4" x14ac:dyDescent="0.3">
      <c r="A4793" s="1192" t="s">
        <v>203</v>
      </c>
      <c r="E4793" s="2023" t="s">
        <v>2393</v>
      </c>
      <c r="F4793" s="2023"/>
      <c r="G4793" s="2023"/>
      <c r="H4793" s="2029"/>
      <c r="K4793" s="1192" t="s">
        <v>2569</v>
      </c>
      <c r="V4793" s="1192">
        <v>387</v>
      </c>
    </row>
    <row r="4794" spans="1:22" s="1192" customFormat="1" ht="14.4" x14ac:dyDescent="0.3">
      <c r="A4794" s="1192" t="s">
        <v>203</v>
      </c>
      <c r="E4794" s="2023" t="s">
        <v>2986</v>
      </c>
      <c r="F4794" s="2023"/>
      <c r="G4794" s="2023"/>
      <c r="H4794" s="2029"/>
      <c r="K4794" s="1192" t="s">
        <v>2569</v>
      </c>
      <c r="V4794" s="1192">
        <v>246</v>
      </c>
    </row>
    <row r="4795" spans="1:22" s="1192" customFormat="1" ht="14.4" x14ac:dyDescent="0.3">
      <c r="A4795" s="1192" t="s">
        <v>203</v>
      </c>
      <c r="E4795" s="2024" t="s">
        <v>2394</v>
      </c>
      <c r="F4795" s="1988"/>
      <c r="G4795" s="1988"/>
      <c r="H4795" s="1988"/>
      <c r="K4795" s="1192" t="s">
        <v>2572</v>
      </c>
      <c r="V4795" s="1192">
        <v>46</v>
      </c>
    </row>
    <row r="4796" spans="1:22" s="1192" customFormat="1" ht="14.4" x14ac:dyDescent="0.3">
      <c r="A4796" s="1192" t="s">
        <v>203</v>
      </c>
      <c r="E4796" s="2026" t="s">
        <v>8</v>
      </c>
      <c r="F4796" s="2026"/>
      <c r="G4796" s="941" t="s">
        <v>19</v>
      </c>
      <c r="H4796" s="1218">
        <v>2.11</v>
      </c>
      <c r="K4796" s="1192" t="s">
        <v>2569</v>
      </c>
      <c r="L4796" s="1192" t="s">
        <v>430</v>
      </c>
      <c r="P4796" s="1192" t="s">
        <v>2573</v>
      </c>
      <c r="V4796" s="1192">
        <v>31</v>
      </c>
    </row>
    <row r="4797" spans="1:22" s="1192" customFormat="1" ht="14.4" x14ac:dyDescent="0.3">
      <c r="A4797" s="1192" t="s">
        <v>203</v>
      </c>
      <c r="E4797" s="2026" t="s">
        <v>80</v>
      </c>
      <c r="F4797" s="2026"/>
      <c r="G4797" s="941" t="s">
        <v>29</v>
      </c>
      <c r="H4797" s="1219">
        <v>32.502200000000002</v>
      </c>
      <c r="K4797" s="1192" t="s">
        <v>2569</v>
      </c>
      <c r="L4797" s="1192" t="s">
        <v>430</v>
      </c>
      <c r="P4797" s="1192" t="s">
        <v>2574</v>
      </c>
      <c r="V4797" s="1192">
        <v>28</v>
      </c>
    </row>
    <row r="4798" spans="1:22" s="1192" customFormat="1" ht="14.4" x14ac:dyDescent="0.3">
      <c r="A4798" s="1192" t="s">
        <v>203</v>
      </c>
      <c r="E4798" s="2026" t="s">
        <v>6103</v>
      </c>
      <c r="F4798" s="1998"/>
      <c r="G4798" s="941" t="s">
        <v>29</v>
      </c>
      <c r="H4798" s="1219">
        <v>-20.059699999999999</v>
      </c>
      <c r="K4798" s="1192" t="s">
        <v>2569</v>
      </c>
      <c r="L4798" s="1192" t="s">
        <v>430</v>
      </c>
      <c r="P4798" s="1192" t="s">
        <v>2577</v>
      </c>
      <c r="T4798" s="1192">
        <v>44196</v>
      </c>
      <c r="V4798" s="1192">
        <v>137</v>
      </c>
    </row>
    <row r="4799" spans="1:22" s="1192" customFormat="1" ht="14.4" x14ac:dyDescent="0.3">
      <c r="A4799" s="1192" t="s">
        <v>203</v>
      </c>
      <c r="E4799" s="2026" t="s">
        <v>213</v>
      </c>
      <c r="F4799" s="2026"/>
      <c r="G4799" s="941" t="s">
        <v>29</v>
      </c>
      <c r="H4799" s="1219">
        <v>1.6800999999999999</v>
      </c>
      <c r="K4799" s="1192" t="s">
        <v>2569</v>
      </c>
      <c r="L4799" s="1192" t="s">
        <v>432</v>
      </c>
      <c r="P4799" s="1192" t="s">
        <v>2579</v>
      </c>
      <c r="V4799" s="1192">
        <v>47</v>
      </c>
    </row>
    <row r="4800" spans="1:22" s="1192" customFormat="1" ht="14.4" x14ac:dyDescent="0.3">
      <c r="A4800" s="1192" t="s">
        <v>203</v>
      </c>
      <c r="E4800" s="2026" t="s">
        <v>209</v>
      </c>
      <c r="F4800" s="2026"/>
      <c r="G4800" s="941" t="s">
        <v>29</v>
      </c>
      <c r="H4800" s="1219">
        <v>2.4729000000000001</v>
      </c>
      <c r="K4800" s="1192" t="s">
        <v>2569</v>
      </c>
      <c r="L4800" s="1192" t="s">
        <v>432</v>
      </c>
      <c r="P4800" s="1192" t="s">
        <v>2580</v>
      </c>
      <c r="V4800" s="1192">
        <v>74</v>
      </c>
    </row>
    <row r="4801" spans="1:22" s="1192" customFormat="1" ht="14.4" x14ac:dyDescent="0.3">
      <c r="A4801" s="1192" t="s">
        <v>203</v>
      </c>
      <c r="E4801" s="2027" t="s">
        <v>2405</v>
      </c>
      <c r="F4801" s="1741"/>
      <c r="G4801" s="953"/>
      <c r="H4801" s="1305"/>
      <c r="K4801" s="1192" t="s">
        <v>2581</v>
      </c>
      <c r="V4801" s="1192">
        <v>48</v>
      </c>
    </row>
    <row r="4802" spans="1:22" s="1192" customFormat="1" ht="14.4" x14ac:dyDescent="0.3">
      <c r="A4802" s="1192" t="s">
        <v>203</v>
      </c>
      <c r="E4802" s="2026" t="s">
        <v>2033</v>
      </c>
      <c r="F4802" s="2026"/>
      <c r="G4802" s="953" t="s">
        <v>20</v>
      </c>
      <c r="H4802" s="1306">
        <v>3.0000000000000001E-3</v>
      </c>
      <c r="K4802" s="1192" t="s">
        <v>2569</v>
      </c>
      <c r="L4802" s="1192" t="s">
        <v>2374</v>
      </c>
      <c r="P4802" s="1192" t="s">
        <v>2582</v>
      </c>
      <c r="V4802" s="1192">
        <v>55</v>
      </c>
    </row>
    <row r="4803" spans="1:22" s="1192" customFormat="1" ht="14.4" x14ac:dyDescent="0.3">
      <c r="A4803" s="1192" t="s">
        <v>203</v>
      </c>
      <c r="E4803" s="2026" t="s">
        <v>2034</v>
      </c>
      <c r="F4803" s="1741"/>
      <c r="G4803" s="953" t="s">
        <v>20</v>
      </c>
      <c r="H4803" s="1306">
        <v>4.0000000000000002E-4</v>
      </c>
      <c r="K4803" s="1192" t="s">
        <v>2569</v>
      </c>
      <c r="L4803" s="1192" t="s">
        <v>2374</v>
      </c>
      <c r="P4803" s="1192" t="s">
        <v>2582</v>
      </c>
      <c r="V4803" s="1192">
        <v>65</v>
      </c>
    </row>
    <row r="4804" spans="1:22" s="1192" customFormat="1" ht="14.4" x14ac:dyDescent="0.3">
      <c r="A4804" s="1192" t="s">
        <v>203</v>
      </c>
      <c r="E4804" s="2026" t="s">
        <v>428</v>
      </c>
      <c r="F4804" s="2026"/>
      <c r="G4804" s="953" t="s">
        <v>20</v>
      </c>
      <c r="H4804" s="1306">
        <v>5.0000000000000001E-4</v>
      </c>
      <c r="K4804" s="1192" t="s">
        <v>2569</v>
      </c>
      <c r="L4804" s="1192" t="s">
        <v>2374</v>
      </c>
      <c r="P4804" s="1192" t="s">
        <v>2583</v>
      </c>
      <c r="V4804" s="1192">
        <v>57</v>
      </c>
    </row>
    <row r="4805" spans="1:22" s="1192" customFormat="1" ht="14.4" x14ac:dyDescent="0.3">
      <c r="A4805" s="1192" t="s">
        <v>203</v>
      </c>
      <c r="E4805" s="2026" t="s">
        <v>28</v>
      </c>
      <c r="F4805" s="2026"/>
      <c r="G4805" s="953" t="s">
        <v>19</v>
      </c>
      <c r="H4805" s="1307">
        <v>0.25</v>
      </c>
      <c r="K4805" s="1192" t="s">
        <v>2569</v>
      </c>
      <c r="L4805" s="1192" t="s">
        <v>2374</v>
      </c>
      <c r="P4805" s="1192" t="s">
        <v>2584</v>
      </c>
      <c r="V4805" s="1192">
        <v>63</v>
      </c>
    </row>
    <row r="4806" spans="1:22" s="1192" customFormat="1" ht="17.399999999999999" x14ac:dyDescent="0.3">
      <c r="A4806" s="1192" t="s">
        <v>203</v>
      </c>
      <c r="E4806" s="2032" t="s">
        <v>593</v>
      </c>
      <c r="F4806" s="2032"/>
      <c r="G4806" s="2032"/>
      <c r="H4806" s="2033"/>
      <c r="K4806" s="1192" t="s">
        <v>2585</v>
      </c>
      <c r="V4806" s="1192">
        <v>31</v>
      </c>
    </row>
    <row r="4807" spans="1:22" s="1192" customFormat="1" ht="14.4" x14ac:dyDescent="0.3">
      <c r="A4807" s="1192" t="s">
        <v>203</v>
      </c>
      <c r="E4807" s="2023" t="s">
        <v>2443</v>
      </c>
      <c r="F4807" s="2023"/>
      <c r="G4807" s="2023"/>
      <c r="H4807" s="2029"/>
      <c r="K4807" s="1192" t="s">
        <v>2585</v>
      </c>
      <c r="V4807" s="1192">
        <v>286</v>
      </c>
    </row>
    <row r="4808" spans="1:22" s="1192" customFormat="1" ht="14.4" x14ac:dyDescent="0.3">
      <c r="A4808" s="1192" t="s">
        <v>203</v>
      </c>
      <c r="E4808" s="2024" t="s">
        <v>2389</v>
      </c>
      <c r="F4808" s="1988"/>
      <c r="G4808" s="1988"/>
      <c r="H4808" s="1988"/>
      <c r="K4808" s="1192" t="s">
        <v>2586</v>
      </c>
      <c r="V4808" s="1192">
        <v>11</v>
      </c>
    </row>
    <row r="4809" spans="1:22" s="1192" customFormat="1" ht="14.4" x14ac:dyDescent="0.3">
      <c r="A4809" s="1192" t="s">
        <v>203</v>
      </c>
      <c r="E4809" s="2023" t="s">
        <v>2391</v>
      </c>
      <c r="F4809" s="2023"/>
      <c r="G4809" s="2023"/>
      <c r="H4809" s="2029"/>
      <c r="K4809" s="1192" t="s">
        <v>2585</v>
      </c>
      <c r="V4809" s="1192">
        <v>280</v>
      </c>
    </row>
    <row r="4810" spans="1:22" s="1192" customFormat="1" ht="14.4" x14ac:dyDescent="0.3">
      <c r="A4810" s="1192" t="s">
        <v>203</v>
      </c>
      <c r="E4810" s="2023" t="s">
        <v>2392</v>
      </c>
      <c r="F4810" s="2023"/>
      <c r="G4810" s="2023"/>
      <c r="H4810" s="2029"/>
      <c r="K4810" s="1192" t="s">
        <v>2585</v>
      </c>
      <c r="V4810" s="1192">
        <v>411</v>
      </c>
    </row>
    <row r="4811" spans="1:22" s="1192" customFormat="1" ht="14.4" x14ac:dyDescent="0.3">
      <c r="A4811" s="1192" t="s">
        <v>203</v>
      </c>
      <c r="E4811" s="2023" t="s">
        <v>2445</v>
      </c>
      <c r="F4811" s="2023"/>
      <c r="G4811" s="2023"/>
      <c r="H4811" s="2029"/>
      <c r="K4811" s="1192" t="s">
        <v>2585</v>
      </c>
      <c r="V4811" s="1192">
        <v>211</v>
      </c>
    </row>
    <row r="4812" spans="1:22" s="1192" customFormat="1" ht="14.4" x14ac:dyDescent="0.3">
      <c r="A4812" s="1192" t="s">
        <v>203</v>
      </c>
      <c r="E4812" s="2023" t="s">
        <v>2986</v>
      </c>
      <c r="F4812" s="2023"/>
      <c r="G4812" s="2023"/>
      <c r="H4812" s="2029"/>
      <c r="K4812" s="1192" t="s">
        <v>2585</v>
      </c>
      <c r="V4812" s="1192">
        <v>246</v>
      </c>
    </row>
    <row r="4813" spans="1:22" s="1192" customFormat="1" ht="14.4" x14ac:dyDescent="0.3">
      <c r="A4813" s="1192" t="s">
        <v>203</v>
      </c>
      <c r="E4813" s="2024" t="s">
        <v>2394</v>
      </c>
      <c r="F4813" s="1988"/>
      <c r="G4813" s="1988"/>
      <c r="H4813" s="1988"/>
      <c r="K4813" s="1192" t="s">
        <v>2587</v>
      </c>
      <c r="V4813" s="1192">
        <v>46</v>
      </c>
    </row>
    <row r="4814" spans="1:22" s="1192" customFormat="1" ht="14.4" x14ac:dyDescent="0.3">
      <c r="A4814" s="1192" t="s">
        <v>203</v>
      </c>
      <c r="E4814" s="2026" t="s">
        <v>7</v>
      </c>
      <c r="F4814" s="2026"/>
      <c r="G4814" s="941" t="s">
        <v>19</v>
      </c>
      <c r="H4814" s="1218">
        <v>5.4</v>
      </c>
      <c r="K4814" s="1192" t="s">
        <v>2585</v>
      </c>
      <c r="L4814" s="1192" t="s">
        <v>430</v>
      </c>
      <c r="P4814" s="1192" t="s">
        <v>2588</v>
      </c>
      <c r="V4814" s="1192">
        <v>14</v>
      </c>
    </row>
    <row r="4815" spans="1:22" s="1192" customFormat="1" ht="17.399999999999999" x14ac:dyDescent="0.3">
      <c r="A4815" s="1192" t="s">
        <v>203</v>
      </c>
      <c r="E4815" s="1308" t="s">
        <v>81</v>
      </c>
      <c r="F4815" s="1309"/>
      <c r="G4815" s="1309"/>
      <c r="H4815" s="1310"/>
      <c r="K4815" s="1192" t="s">
        <v>2899</v>
      </c>
      <c r="V4815" s="1192">
        <v>10</v>
      </c>
    </row>
    <row r="4816" spans="1:22" s="1192" customFormat="1" ht="14.4" x14ac:dyDescent="0.3">
      <c r="A4816" s="1192" t="s">
        <v>203</v>
      </c>
      <c r="E4816" s="2164" t="s">
        <v>4153</v>
      </c>
      <c r="F4816" s="2164"/>
      <c r="G4816" s="953" t="s">
        <v>29</v>
      </c>
      <c r="H4816" s="1311">
        <v>-0.6</v>
      </c>
      <c r="V4816" s="1192">
        <v>62</v>
      </c>
    </row>
    <row r="4817" spans="1:22" s="1192" customFormat="1" ht="14.4" x14ac:dyDescent="0.3">
      <c r="A4817" s="1192" t="s">
        <v>203</v>
      </c>
      <c r="E4817" s="2164" t="s">
        <v>2450</v>
      </c>
      <c r="F4817" s="2164"/>
      <c r="G4817" s="1312" t="s">
        <v>82</v>
      </c>
      <c r="H4817" s="1313">
        <v>-1</v>
      </c>
      <c r="V4817" s="1192">
        <v>87</v>
      </c>
    </row>
    <row r="4818" spans="1:22" s="1192" customFormat="1" ht="17.399999999999999" x14ac:dyDescent="0.3">
      <c r="A4818" s="1192" t="s">
        <v>203</v>
      </c>
      <c r="E4818" s="1308" t="s">
        <v>83</v>
      </c>
      <c r="F4818" s="1309"/>
      <c r="G4818" s="1309"/>
      <c r="H4818" s="1314"/>
      <c r="K4818" s="1192" t="s">
        <v>2901</v>
      </c>
      <c r="V4818" s="1192">
        <v>24</v>
      </c>
    </row>
    <row r="4819" spans="1:22" s="1192" customFormat="1" ht="14.4" x14ac:dyDescent="0.3">
      <c r="A4819" s="1192" t="s">
        <v>203</v>
      </c>
      <c r="E4819" s="2165" t="s">
        <v>2389</v>
      </c>
      <c r="F4819" s="1743"/>
      <c r="G4819" s="1743"/>
      <c r="H4819" s="1743"/>
      <c r="V4819" s="1192">
        <v>11</v>
      </c>
    </row>
    <row r="4820" spans="1:22" s="1192" customFormat="1" ht="14.4" x14ac:dyDescent="0.3">
      <c r="A4820" s="1192" t="s">
        <v>203</v>
      </c>
      <c r="E4820" s="2058" t="s">
        <v>2391</v>
      </c>
      <c r="F4820" s="2058"/>
      <c r="G4820" s="2058"/>
      <c r="H4820" s="2166"/>
      <c r="V4820" s="1192">
        <v>280</v>
      </c>
    </row>
    <row r="4821" spans="1:22" s="1192" customFormat="1" ht="14.4" x14ac:dyDescent="0.3">
      <c r="A4821" s="1192" t="s">
        <v>203</v>
      </c>
      <c r="E4821" s="2058" t="s">
        <v>2452</v>
      </c>
      <c r="F4821" s="2058"/>
      <c r="G4821" s="2058"/>
      <c r="H4821" s="2166"/>
      <c r="V4821" s="1192">
        <v>353</v>
      </c>
    </row>
    <row r="4822" spans="1:22" s="1192" customFormat="1" ht="14.4" x14ac:dyDescent="0.3">
      <c r="A4822" s="1192" t="s">
        <v>203</v>
      </c>
      <c r="E4822" s="2023" t="s">
        <v>2986</v>
      </c>
      <c r="F4822" s="2023"/>
      <c r="G4822" s="2023"/>
      <c r="H4822" s="2029"/>
      <c r="V4822" s="1192">
        <v>246</v>
      </c>
    </row>
    <row r="4823" spans="1:22" s="1192" customFormat="1" ht="14.4" x14ac:dyDescent="0.3">
      <c r="A4823" s="1192" t="s">
        <v>203</v>
      </c>
      <c r="E4823" s="1315" t="s">
        <v>2453</v>
      </c>
      <c r="F4823" s="1309"/>
      <c r="G4823" s="1309"/>
      <c r="H4823" s="1314"/>
      <c r="K4823" s="1192" t="s">
        <v>2902</v>
      </c>
      <c r="V4823" s="1192">
        <v>23</v>
      </c>
    </row>
    <row r="4824" spans="1:22" s="1192" customFormat="1" ht="14.4" x14ac:dyDescent="0.3">
      <c r="A4824" s="1192" t="s">
        <v>203</v>
      </c>
      <c r="E4824" s="2031" t="s">
        <v>2639</v>
      </c>
      <c r="F4824" s="2031"/>
      <c r="G4824" s="1312" t="s">
        <v>19</v>
      </c>
      <c r="H4824" s="1316">
        <v>15</v>
      </c>
      <c r="V4824" s="1192">
        <v>19</v>
      </c>
    </row>
    <row r="4825" spans="1:22" s="1192" customFormat="1" ht="14.4" x14ac:dyDescent="0.3">
      <c r="A4825" s="1192" t="s">
        <v>203</v>
      </c>
      <c r="E4825" s="2031" t="s">
        <v>3663</v>
      </c>
      <c r="F4825" s="2031"/>
      <c r="G4825" s="1312" t="s">
        <v>19</v>
      </c>
      <c r="H4825" s="1316">
        <v>15</v>
      </c>
      <c r="V4825" s="1192">
        <v>15</v>
      </c>
    </row>
    <row r="4826" spans="1:22" s="1192" customFormat="1" ht="14.4" x14ac:dyDescent="0.3">
      <c r="A4826" s="1192" t="s">
        <v>203</v>
      </c>
      <c r="E4826" s="2031" t="s">
        <v>2463</v>
      </c>
      <c r="F4826" s="2031"/>
      <c r="G4826" s="1312" t="s">
        <v>19</v>
      </c>
      <c r="H4826" s="1316">
        <v>15</v>
      </c>
      <c r="V4826" s="1192">
        <v>15</v>
      </c>
    </row>
    <row r="4827" spans="1:22" s="1192" customFormat="1" ht="14.4" x14ac:dyDescent="0.3">
      <c r="A4827" s="1192" t="s">
        <v>203</v>
      </c>
      <c r="E4827" s="2031" t="s">
        <v>4194</v>
      </c>
      <c r="F4827" s="2031"/>
      <c r="G4827" s="1312" t="s">
        <v>19</v>
      </c>
      <c r="H4827" s="1316">
        <v>15</v>
      </c>
      <c r="V4827" s="1192">
        <v>23</v>
      </c>
    </row>
    <row r="4828" spans="1:22" s="1192" customFormat="1" ht="14.4" x14ac:dyDescent="0.3">
      <c r="A4828" s="1192" t="s">
        <v>203</v>
      </c>
      <c r="E4828" s="2031" t="s">
        <v>4189</v>
      </c>
      <c r="F4828" s="2031"/>
      <c r="G4828" s="1312" t="s">
        <v>19</v>
      </c>
      <c r="H4828" s="1316">
        <v>15</v>
      </c>
      <c r="V4828" s="1192">
        <v>39</v>
      </c>
    </row>
    <row r="4829" spans="1:22" s="1192" customFormat="1" ht="14.4" x14ac:dyDescent="0.3">
      <c r="A4829" s="1192" t="s">
        <v>203</v>
      </c>
      <c r="E4829" s="2031" t="s">
        <v>4204</v>
      </c>
      <c r="F4829" s="2031"/>
      <c r="G4829" s="1312" t="s">
        <v>19</v>
      </c>
      <c r="H4829" s="1316">
        <v>15</v>
      </c>
      <c r="V4829" s="1192">
        <v>42</v>
      </c>
    </row>
    <row r="4830" spans="1:22" s="1192" customFormat="1" ht="14.4" x14ac:dyDescent="0.3">
      <c r="A4830" s="1192" t="s">
        <v>203</v>
      </c>
      <c r="E4830" s="2031" t="s">
        <v>2467</v>
      </c>
      <c r="F4830" s="2031"/>
      <c r="G4830" s="1312" t="s">
        <v>19</v>
      </c>
      <c r="H4830" s="1316">
        <v>15</v>
      </c>
      <c r="V4830" s="1192">
        <v>19</v>
      </c>
    </row>
    <row r="4831" spans="1:22" s="1192" customFormat="1" ht="14.4" x14ac:dyDescent="0.3">
      <c r="A4831" s="1192" t="s">
        <v>203</v>
      </c>
      <c r="E4831" s="2031" t="s">
        <v>84</v>
      </c>
      <c r="F4831" s="2031"/>
      <c r="G4831" s="1312" t="s">
        <v>19</v>
      </c>
      <c r="H4831" s="1316">
        <v>30</v>
      </c>
      <c r="V4831" s="1192">
        <v>89</v>
      </c>
    </row>
    <row r="4832" spans="1:22" s="1192" customFormat="1" ht="14.4" x14ac:dyDescent="0.3">
      <c r="A4832" s="1192" t="s">
        <v>203</v>
      </c>
      <c r="E4832" s="2031" t="s">
        <v>90</v>
      </c>
      <c r="F4832" s="2031"/>
      <c r="G4832" s="1312" t="s">
        <v>19</v>
      </c>
      <c r="H4832" s="1316">
        <v>30</v>
      </c>
      <c r="V4832" s="1192">
        <v>19</v>
      </c>
    </row>
    <row r="4833" spans="1:22" s="1192" customFormat="1" ht="14.4" x14ac:dyDescent="0.3">
      <c r="A4833" s="1192" t="s">
        <v>203</v>
      </c>
      <c r="E4833" s="2031" t="s">
        <v>88</v>
      </c>
      <c r="F4833" s="2031"/>
      <c r="G4833" s="1312" t="s">
        <v>19</v>
      </c>
      <c r="H4833" s="1316">
        <v>30</v>
      </c>
      <c r="V4833" s="1192">
        <v>74</v>
      </c>
    </row>
    <row r="4834" spans="1:22" s="1192" customFormat="1" ht="14.4" x14ac:dyDescent="0.3">
      <c r="A4834" s="1192" t="s">
        <v>203</v>
      </c>
      <c r="E4834" s="1315" t="s">
        <v>2468</v>
      </c>
      <c r="F4834" s="1309"/>
      <c r="G4834" s="1317"/>
      <c r="H4834" s="1318"/>
      <c r="K4834" s="1192" t="s">
        <v>2903</v>
      </c>
      <c r="V4834" s="1192">
        <v>22</v>
      </c>
    </row>
    <row r="4835" spans="1:22" s="1192" customFormat="1" ht="14.4" x14ac:dyDescent="0.3">
      <c r="A4835" s="1192" t="s">
        <v>203</v>
      </c>
      <c r="E4835" s="1942" t="s">
        <v>5940</v>
      </c>
      <c r="F4835" s="1942"/>
      <c r="G4835" s="1277" t="s">
        <v>82</v>
      </c>
      <c r="H4835" s="1218">
        <v>1.5</v>
      </c>
      <c r="V4835" s="1192">
        <v>99</v>
      </c>
    </row>
    <row r="4836" spans="1:22" s="1192" customFormat="1" ht="14.4" x14ac:dyDescent="0.3">
      <c r="A4836" s="1192" t="s">
        <v>203</v>
      </c>
      <c r="E4836" s="1942" t="s">
        <v>6106</v>
      </c>
      <c r="F4836" s="1942"/>
      <c r="G4836" s="1277" t="s">
        <v>19</v>
      </c>
      <c r="H4836" s="1218">
        <v>65</v>
      </c>
      <c r="V4836" s="1192">
        <v>44</v>
      </c>
    </row>
    <row r="4837" spans="1:22" s="1192" customFormat="1" ht="14.4" x14ac:dyDescent="0.3">
      <c r="A4837" s="1192" t="s">
        <v>203</v>
      </c>
      <c r="E4837" s="1942" t="s">
        <v>6107</v>
      </c>
      <c r="F4837" s="1942"/>
      <c r="G4837" s="1277" t="s">
        <v>19</v>
      </c>
      <c r="H4837" s="1218">
        <v>185</v>
      </c>
      <c r="V4837" s="1192">
        <v>43</v>
      </c>
    </row>
    <row r="4838" spans="1:22" s="1192" customFormat="1" ht="14.4" x14ac:dyDescent="0.3">
      <c r="A4838" s="1192" t="s">
        <v>203</v>
      </c>
      <c r="E4838" s="1942" t="s">
        <v>6108</v>
      </c>
      <c r="F4838" s="1942"/>
      <c r="G4838" s="1277" t="s">
        <v>19</v>
      </c>
      <c r="H4838" s="1218">
        <v>185</v>
      </c>
      <c r="V4838" s="1192">
        <v>43</v>
      </c>
    </row>
    <row r="4839" spans="1:22" s="1192" customFormat="1" ht="14.4" x14ac:dyDescent="0.3">
      <c r="A4839" s="1192" t="s">
        <v>203</v>
      </c>
      <c r="E4839" s="1942" t="s">
        <v>6115</v>
      </c>
      <c r="F4839" s="1942"/>
      <c r="G4839" s="1277" t="s">
        <v>19</v>
      </c>
      <c r="H4839" s="1218">
        <v>415</v>
      </c>
      <c r="V4839" s="1192">
        <v>42</v>
      </c>
    </row>
    <row r="4840" spans="1:22" s="1192" customFormat="1" ht="14.4" x14ac:dyDescent="0.3">
      <c r="A4840" s="1192" t="s">
        <v>203</v>
      </c>
      <c r="E4840" s="1315" t="s">
        <v>2474</v>
      </c>
      <c r="F4840" s="1309"/>
      <c r="G4840" s="1317"/>
      <c r="H4840" s="1318"/>
      <c r="V4840" s="1192">
        <v>5</v>
      </c>
    </row>
    <row r="4841" spans="1:22" s="1192" customFormat="1" ht="14.4" x14ac:dyDescent="0.3">
      <c r="A4841" s="1192" t="s">
        <v>203</v>
      </c>
      <c r="E4841" s="2031" t="s">
        <v>2760</v>
      </c>
      <c r="F4841" s="2031"/>
      <c r="G4841" s="1312" t="s">
        <v>19</v>
      </c>
      <c r="H4841" s="1316">
        <v>44.5</v>
      </c>
      <c r="V4841" s="1192">
        <v>59</v>
      </c>
    </row>
    <row r="4842" spans="1:22" s="1192" customFormat="1" ht="17.399999999999999" x14ac:dyDescent="0.3">
      <c r="A4842" s="1192" t="s">
        <v>203</v>
      </c>
      <c r="E4842" s="1308" t="s">
        <v>73</v>
      </c>
      <c r="F4842" s="1309"/>
      <c r="G4842" s="1309"/>
      <c r="H4842" s="1314"/>
      <c r="K4842" s="1192" t="s">
        <v>2904</v>
      </c>
      <c r="V4842" s="1192">
        <v>38</v>
      </c>
    </row>
    <row r="4843" spans="1:22" s="1192" customFormat="1" ht="14.4" x14ac:dyDescent="0.3">
      <c r="A4843" s="1192" t="s">
        <v>203</v>
      </c>
      <c r="E4843" s="2058" t="s">
        <v>2391</v>
      </c>
      <c r="F4843" s="2058"/>
      <c r="G4843" s="2058"/>
      <c r="H4843" s="2166"/>
      <c r="V4843" s="1192">
        <v>280</v>
      </c>
    </row>
    <row r="4844" spans="1:22" s="1192" customFormat="1" ht="14.4" x14ac:dyDescent="0.3">
      <c r="A4844" s="1192" t="s">
        <v>203</v>
      </c>
      <c r="E4844" s="2058" t="s">
        <v>2392</v>
      </c>
      <c r="F4844" s="2058"/>
      <c r="G4844" s="2058"/>
      <c r="H4844" s="2166"/>
      <c r="V4844" s="1192">
        <v>411</v>
      </c>
    </row>
    <row r="4845" spans="1:22" s="1192" customFormat="1" ht="14.4" x14ac:dyDescent="0.3">
      <c r="A4845" s="1192" t="s">
        <v>203</v>
      </c>
      <c r="E4845" s="2058" t="s">
        <v>2445</v>
      </c>
      <c r="F4845" s="2058"/>
      <c r="G4845" s="2058"/>
      <c r="H4845" s="2166"/>
      <c r="V4845" s="1192">
        <v>211</v>
      </c>
    </row>
    <row r="4846" spans="1:22" s="1192" customFormat="1" ht="14.4" x14ac:dyDescent="0.3">
      <c r="A4846" s="1192" t="s">
        <v>203</v>
      </c>
      <c r="E4846" s="2023" t="s">
        <v>2986</v>
      </c>
      <c r="F4846" s="2023"/>
      <c r="G4846" s="2023"/>
      <c r="H4846" s="2029"/>
      <c r="V4846" s="1192">
        <v>246</v>
      </c>
    </row>
    <row r="4847" spans="1:22" s="1192" customFormat="1" ht="14.4" x14ac:dyDescent="0.3">
      <c r="A4847" s="1192" t="s">
        <v>203</v>
      </c>
      <c r="E4847" s="2058" t="s">
        <v>2595</v>
      </c>
      <c r="F4847" s="2058"/>
      <c r="G4847" s="2058"/>
      <c r="H4847" s="2166"/>
      <c r="V4847" s="1192">
        <v>142</v>
      </c>
    </row>
    <row r="4848" spans="1:22" s="1192" customFormat="1" ht="14.4" x14ac:dyDescent="0.3">
      <c r="A4848" s="1192" t="s">
        <v>203</v>
      </c>
      <c r="E4848" s="2026" t="s">
        <v>2485</v>
      </c>
      <c r="F4848" s="2026"/>
      <c r="G4848" s="1319" t="s">
        <v>19</v>
      </c>
      <c r="H4848" s="1320">
        <v>102</v>
      </c>
      <c r="V4848" s="1192">
        <v>106</v>
      </c>
    </row>
    <row r="4849" spans="1:22" s="1192" customFormat="1" ht="14.4" x14ac:dyDescent="0.3">
      <c r="A4849" s="1192" t="s">
        <v>203</v>
      </c>
      <c r="E4849" s="2026" t="s">
        <v>3919</v>
      </c>
      <c r="F4849" s="2026"/>
      <c r="G4849" s="1319" t="s">
        <v>19</v>
      </c>
      <c r="H4849" s="1320">
        <v>40.799999999999997</v>
      </c>
      <c r="V4849" s="1192">
        <v>34</v>
      </c>
    </row>
    <row r="4850" spans="1:22" s="1192" customFormat="1" ht="14.4" x14ac:dyDescent="0.3">
      <c r="A4850" s="1192" t="s">
        <v>203</v>
      </c>
      <c r="E4850" s="2026" t="s">
        <v>3920</v>
      </c>
      <c r="F4850" s="2026"/>
      <c r="G4850" s="1319" t="s">
        <v>2488</v>
      </c>
      <c r="H4850" s="1320">
        <v>1.02</v>
      </c>
      <c r="V4850" s="1192">
        <v>51</v>
      </c>
    </row>
    <row r="4851" spans="1:22" s="1192" customFormat="1" ht="14.4" x14ac:dyDescent="0.3">
      <c r="A4851" s="1192" t="s">
        <v>203</v>
      </c>
      <c r="E4851" s="2026" t="s">
        <v>2489</v>
      </c>
      <c r="F4851" s="2026"/>
      <c r="G4851" s="1319" t="s">
        <v>2488</v>
      </c>
      <c r="H4851" s="1320">
        <v>0.61</v>
      </c>
      <c r="V4851" s="1192">
        <v>75</v>
      </c>
    </row>
    <row r="4852" spans="1:22" s="1192" customFormat="1" ht="14.4" x14ac:dyDescent="0.3">
      <c r="A4852" s="1192" t="s">
        <v>203</v>
      </c>
      <c r="E4852" s="2026" t="s">
        <v>2490</v>
      </c>
      <c r="F4852" s="2026"/>
      <c r="G4852" s="1319" t="s">
        <v>2488</v>
      </c>
      <c r="H4852" s="1320">
        <v>-0.61</v>
      </c>
      <c r="V4852" s="1192">
        <v>72</v>
      </c>
    </row>
    <row r="4853" spans="1:22" s="1192" customFormat="1" ht="14.4" x14ac:dyDescent="0.3">
      <c r="A4853" s="1192" t="s">
        <v>203</v>
      </c>
      <c r="E4853" s="2026" t="s">
        <v>2491</v>
      </c>
      <c r="F4853" s="2026"/>
      <c r="G4853" s="1321"/>
      <c r="H4853" s="951"/>
      <c r="V4853" s="1192">
        <v>35</v>
      </c>
    </row>
    <row r="4854" spans="1:22" s="1192" customFormat="1" ht="14.4" x14ac:dyDescent="0.3">
      <c r="A4854" s="1192" t="s">
        <v>203</v>
      </c>
      <c r="E4854" s="2063" t="s">
        <v>2492</v>
      </c>
      <c r="F4854" s="2063"/>
      <c r="G4854" s="1319" t="s">
        <v>19</v>
      </c>
      <c r="H4854" s="1320">
        <v>0.51</v>
      </c>
      <c r="V4854" s="1192">
        <v>57</v>
      </c>
    </row>
    <row r="4855" spans="1:22" s="1192" customFormat="1" ht="14.4" x14ac:dyDescent="0.3">
      <c r="A4855" s="1192" t="s">
        <v>203</v>
      </c>
      <c r="E4855" s="2063" t="s">
        <v>2493</v>
      </c>
      <c r="F4855" s="2063"/>
      <c r="G4855" s="1319" t="s">
        <v>19</v>
      </c>
      <c r="H4855" s="1320">
        <v>1.02</v>
      </c>
      <c r="V4855" s="1192">
        <v>60</v>
      </c>
    </row>
    <row r="4856" spans="1:22" s="1192" customFormat="1" ht="14.4" x14ac:dyDescent="0.3">
      <c r="A4856" s="1192" t="s">
        <v>203</v>
      </c>
      <c r="E4856" s="2026" t="s">
        <v>2494</v>
      </c>
      <c r="F4856" s="2026"/>
      <c r="G4856" s="1321"/>
      <c r="H4856" s="951"/>
      <c r="V4856" s="1192">
        <v>91</v>
      </c>
    </row>
    <row r="4857" spans="1:22" s="1192" customFormat="1" ht="14.4" x14ac:dyDescent="0.3">
      <c r="A4857" s="1192" t="s">
        <v>203</v>
      </c>
      <c r="E4857" s="2026" t="s">
        <v>2495</v>
      </c>
      <c r="F4857" s="2026"/>
      <c r="G4857" s="1321"/>
      <c r="H4857" s="951"/>
      <c r="V4857" s="1192">
        <v>96</v>
      </c>
    </row>
    <row r="4858" spans="1:22" s="1192" customFormat="1" ht="14.4" x14ac:dyDescent="0.3">
      <c r="A4858" s="1192" t="s">
        <v>203</v>
      </c>
      <c r="E4858" s="2026" t="s">
        <v>2496</v>
      </c>
      <c r="F4858" s="2026"/>
      <c r="G4858" s="1321"/>
      <c r="H4858" s="951"/>
      <c r="V4858" s="1192">
        <v>78</v>
      </c>
    </row>
    <row r="4859" spans="1:22" s="1192" customFormat="1" ht="14.4" x14ac:dyDescent="0.3">
      <c r="A4859" s="1192" t="s">
        <v>203</v>
      </c>
      <c r="E4859" s="2063" t="s">
        <v>2497</v>
      </c>
      <c r="F4859" s="2063"/>
      <c r="G4859" s="1319" t="s">
        <v>19</v>
      </c>
      <c r="H4859" s="1322" t="s">
        <v>2498</v>
      </c>
      <c r="V4859" s="1192">
        <v>18</v>
      </c>
    </row>
    <row r="4860" spans="1:22" s="1192" customFormat="1" ht="14.4" x14ac:dyDescent="0.3">
      <c r="A4860" s="1192" t="s">
        <v>203</v>
      </c>
      <c r="E4860" s="2063" t="s">
        <v>2499</v>
      </c>
      <c r="F4860" s="2063"/>
      <c r="G4860" s="1319" t="s">
        <v>19</v>
      </c>
      <c r="H4860" s="1320">
        <v>4.08</v>
      </c>
      <c r="V4860" s="1192">
        <v>69</v>
      </c>
    </row>
    <row r="4861" spans="1:22" s="1192" customFormat="1" ht="14.4" x14ac:dyDescent="0.3">
      <c r="A4861" s="1192" t="s">
        <v>203</v>
      </c>
      <c r="E4861" s="2093" t="s">
        <v>4608</v>
      </c>
      <c r="F4861" s="2093"/>
      <c r="G4861" s="1255" t="s">
        <v>19</v>
      </c>
      <c r="H4861" s="595">
        <v>2.04</v>
      </c>
      <c r="V4861" s="1192">
        <v>199</v>
      </c>
    </row>
    <row r="4862" spans="1:22" s="1192" customFormat="1" ht="17.399999999999999" x14ac:dyDescent="0.3">
      <c r="A4862" s="1192" t="s">
        <v>203</v>
      </c>
      <c r="E4862" s="1308" t="s">
        <v>143</v>
      </c>
      <c r="F4862" s="1309"/>
      <c r="G4862" s="1309"/>
      <c r="H4862" s="1314"/>
      <c r="K4862" s="1192" t="s">
        <v>2907</v>
      </c>
      <c r="V4862" s="1192">
        <v>12</v>
      </c>
    </row>
    <row r="4863" spans="1:22" s="1192" customFormat="1" ht="14.4" x14ac:dyDescent="0.3">
      <c r="A4863" s="1192" t="s">
        <v>203</v>
      </c>
      <c r="E4863" s="2064" t="s">
        <v>2501</v>
      </c>
      <c r="F4863" s="2064"/>
      <c r="G4863" s="2064"/>
      <c r="H4863" s="2235"/>
      <c r="V4863" s="1192">
        <v>203</v>
      </c>
    </row>
    <row r="4864" spans="1:22" s="1192" customFormat="1" ht="14.4" x14ac:dyDescent="0.3">
      <c r="A4864" s="1192" t="s">
        <v>203</v>
      </c>
      <c r="E4864" s="2026" t="s">
        <v>17</v>
      </c>
      <c r="F4864" s="2026"/>
      <c r="G4864" s="1312"/>
      <c r="H4864" s="954">
        <v>1.0486</v>
      </c>
      <c r="V4864" s="1192">
        <v>57</v>
      </c>
    </row>
    <row r="4865" spans="1:22" s="1192" customFormat="1" ht="14.4" x14ac:dyDescent="0.3">
      <c r="A4865" s="1192" t="s">
        <v>203</v>
      </c>
      <c r="E4865" s="2026" t="s">
        <v>18</v>
      </c>
      <c r="F4865" s="2026"/>
      <c r="G4865" s="1312"/>
      <c r="H4865" s="954">
        <v>1.0145</v>
      </c>
      <c r="V4865" s="1192">
        <v>57</v>
      </c>
    </row>
    <row r="4866" spans="1:22" s="1192" customFormat="1" ht="14.4" x14ac:dyDescent="0.3">
      <c r="A4866" s="1192" t="s">
        <v>203</v>
      </c>
      <c r="E4866" s="2026" t="s">
        <v>16</v>
      </c>
      <c r="F4866" s="2026"/>
      <c r="G4866" s="1312"/>
      <c r="H4866" s="954">
        <v>1.044</v>
      </c>
      <c r="V4866" s="1192">
        <v>55</v>
      </c>
    </row>
    <row r="4867" spans="1:22" s="1192" customFormat="1" ht="14.4" x14ac:dyDescent="0.3">
      <c r="A4867" s="1192" t="s">
        <v>203</v>
      </c>
      <c r="E4867" s="2026" t="s">
        <v>13</v>
      </c>
      <c r="F4867" s="2026"/>
      <c r="G4867" s="1312"/>
      <c r="H4867" s="954">
        <v>1.0044999999999999</v>
      </c>
      <c r="J4867" s="1192" t="s">
        <v>2908</v>
      </c>
      <c r="V4867" s="1192">
        <v>55</v>
      </c>
    </row>
    <row r="4868" spans="1:22" s="1192" customFormat="1" ht="22.8" x14ac:dyDescent="0.3">
      <c r="A4868" s="1192" t="s">
        <v>189</v>
      </c>
      <c r="C4868" s="1192" t="s">
        <v>2378</v>
      </c>
      <c r="E4868" s="1752" t="s">
        <v>189</v>
      </c>
      <c r="F4868" s="1752"/>
      <c r="G4868" s="1752"/>
      <c r="H4868" s="1752"/>
      <c r="I4868" s="1192" t="s">
        <v>603</v>
      </c>
      <c r="J4868" s="1192" t="s">
        <v>3344</v>
      </c>
      <c r="K4868" s="1192" t="s">
        <v>189</v>
      </c>
      <c r="M4868" s="1192">
        <v>6</v>
      </c>
      <c r="V4868" s="1192">
        <v>18</v>
      </c>
    </row>
    <row r="4869" spans="1:22" s="1192" customFormat="1" ht="17.399999999999999" x14ac:dyDescent="0.3">
      <c r="A4869" s="1192" t="s">
        <v>189</v>
      </c>
      <c r="C4869" s="1192" t="s">
        <v>2380</v>
      </c>
      <c r="E4869" s="1753" t="s">
        <v>2381</v>
      </c>
      <c r="F4869" s="1753"/>
      <c r="G4869" s="1753"/>
      <c r="H4869" s="1753"/>
      <c r="V4869" s="1192">
        <v>27</v>
      </c>
    </row>
    <row r="4870" spans="1:22" s="1192" customFormat="1" ht="15.6" x14ac:dyDescent="0.3">
      <c r="A4870" s="1192" t="s">
        <v>189</v>
      </c>
      <c r="C4870" s="1192" t="s">
        <v>2382</v>
      </c>
      <c r="E4870" s="1754" t="s">
        <v>5937</v>
      </c>
      <c r="F4870" s="1754"/>
      <c r="G4870" s="1754"/>
      <c r="H4870" s="1754"/>
      <c r="S4870" s="1192">
        <v>43831</v>
      </c>
      <c r="V4870" s="1192">
        <v>49</v>
      </c>
    </row>
    <row r="4871" spans="1:22" s="1192" customFormat="1" ht="14.4" x14ac:dyDescent="0.3">
      <c r="A4871" s="1192" t="s">
        <v>189</v>
      </c>
      <c r="C4871" s="1192" t="s">
        <v>2383</v>
      </c>
      <c r="E4871" s="1755" t="s">
        <v>2384</v>
      </c>
      <c r="F4871" s="1755"/>
      <c r="G4871" s="1755"/>
      <c r="H4871" s="1755"/>
      <c r="V4871" s="1192">
        <v>52</v>
      </c>
    </row>
    <row r="4872" spans="1:22" s="1192" customFormat="1" ht="14.4" x14ac:dyDescent="0.3">
      <c r="A4872" s="1192" t="s">
        <v>189</v>
      </c>
      <c r="E4872" s="1755" t="s">
        <v>2385</v>
      </c>
      <c r="F4872" s="1755"/>
      <c r="G4872" s="1755"/>
      <c r="H4872" s="1755"/>
      <c r="V4872" s="1192">
        <v>53</v>
      </c>
    </row>
    <row r="4873" spans="1:22" s="1192" customFormat="1" ht="14.4" x14ac:dyDescent="0.3">
      <c r="A4873" s="1192" t="s">
        <v>189</v>
      </c>
      <c r="E4873" s="1772" t="s">
        <v>6282</v>
      </c>
      <c r="F4873" s="1772"/>
      <c r="G4873" s="1772"/>
      <c r="H4873" s="1772"/>
      <c r="K4873" s="1192" t="s">
        <v>6282</v>
      </c>
      <c r="V4873" s="1192">
        <v>12</v>
      </c>
    </row>
    <row r="4874" spans="1:22" s="1192" customFormat="1" ht="14.4" x14ac:dyDescent="0.3">
      <c r="A4874" s="1192" t="s">
        <v>189</v>
      </c>
      <c r="E4874" s="1746" t="s">
        <v>427</v>
      </c>
      <c r="F4874" s="1743"/>
      <c r="G4874" s="1743"/>
      <c r="H4874" s="1743"/>
      <c r="K4874" s="1192" t="s">
        <v>2506</v>
      </c>
      <c r="V4874" s="1192">
        <v>34</v>
      </c>
    </row>
    <row r="4875" spans="1:22" s="1192" customFormat="1" ht="14.4" x14ac:dyDescent="0.3">
      <c r="A4875" s="1192" t="s">
        <v>189</v>
      </c>
      <c r="E4875" s="1743" t="s">
        <v>3345</v>
      </c>
      <c r="F4875" s="1743"/>
      <c r="G4875" s="1743"/>
      <c r="H4875" s="1743"/>
      <c r="K4875" s="1192" t="s">
        <v>2506</v>
      </c>
      <c r="V4875" s="1192">
        <v>616</v>
      </c>
    </row>
    <row r="4876" spans="1:22" s="1192" customFormat="1" ht="14.4" x14ac:dyDescent="0.3">
      <c r="A4876" s="1192" t="s">
        <v>189</v>
      </c>
      <c r="E4876" s="2018" t="s">
        <v>2389</v>
      </c>
      <c r="F4876" s="1988"/>
      <c r="G4876" s="1988"/>
      <c r="H4876" s="1988"/>
      <c r="K4876" s="1192" t="s">
        <v>2390</v>
      </c>
      <c r="V4876" s="1192">
        <v>11</v>
      </c>
    </row>
    <row r="4877" spans="1:22" s="1192" customFormat="1" ht="14.4" x14ac:dyDescent="0.3">
      <c r="A4877" s="1192" t="s">
        <v>189</v>
      </c>
      <c r="E4877" s="1743" t="s">
        <v>2391</v>
      </c>
      <c r="F4877" s="1743"/>
      <c r="G4877" s="1743"/>
      <c r="H4877" s="1743"/>
      <c r="K4877" s="1192" t="s">
        <v>2506</v>
      </c>
      <c r="V4877" s="1192">
        <v>280</v>
      </c>
    </row>
    <row r="4878" spans="1:22" s="1192" customFormat="1" ht="14.4" x14ac:dyDescent="0.3">
      <c r="A4878" s="1192" t="s">
        <v>189</v>
      </c>
      <c r="E4878" s="1743" t="s">
        <v>3161</v>
      </c>
      <c r="F4878" s="1743"/>
      <c r="G4878" s="1743"/>
      <c r="H4878" s="1743"/>
      <c r="K4878" s="1192" t="s">
        <v>2506</v>
      </c>
      <c r="V4878" s="1192">
        <v>411</v>
      </c>
    </row>
    <row r="4879" spans="1:22" s="1192" customFormat="1" ht="14.4" x14ac:dyDescent="0.3">
      <c r="A4879" s="1192" t="s">
        <v>189</v>
      </c>
      <c r="E4879" s="1743" t="s">
        <v>3146</v>
      </c>
      <c r="F4879" s="1743"/>
      <c r="G4879" s="1743"/>
      <c r="H4879" s="1743"/>
      <c r="K4879" s="1192" t="s">
        <v>2506</v>
      </c>
      <c r="V4879" s="1192">
        <v>390</v>
      </c>
    </row>
    <row r="4880" spans="1:22" s="1192" customFormat="1" ht="14.4" x14ac:dyDescent="0.3">
      <c r="A4880" s="1192" t="s">
        <v>189</v>
      </c>
      <c r="E4880" s="1743" t="s">
        <v>2986</v>
      </c>
      <c r="F4880" s="1743"/>
      <c r="G4880" s="1743"/>
      <c r="H4880" s="1743"/>
      <c r="K4880" s="1192" t="s">
        <v>2506</v>
      </c>
      <c r="V4880" s="1192">
        <v>246</v>
      </c>
    </row>
    <row r="4881" spans="1:22" s="1192" customFormat="1" ht="14.4" x14ac:dyDescent="0.3">
      <c r="A4881" s="1192" t="s">
        <v>189</v>
      </c>
      <c r="E4881" s="2018" t="s">
        <v>2394</v>
      </c>
      <c r="F4881" s="1988"/>
      <c r="G4881" s="1988"/>
      <c r="H4881" s="1988"/>
      <c r="K4881" s="1192" t="s">
        <v>2395</v>
      </c>
      <c r="V4881" s="1192">
        <v>46</v>
      </c>
    </row>
    <row r="4882" spans="1:22" s="1192" customFormat="1" ht="14.4" x14ac:dyDescent="0.3">
      <c r="A4882" s="1192" t="s">
        <v>189</v>
      </c>
      <c r="E4882" s="1741" t="s">
        <v>7</v>
      </c>
      <c r="F4882" s="1741"/>
      <c r="G4882" s="524" t="s">
        <v>19</v>
      </c>
      <c r="H4882" s="1218">
        <v>25.73</v>
      </c>
      <c r="K4882" s="1192" t="s">
        <v>2506</v>
      </c>
      <c r="L4882" s="1192" t="s">
        <v>430</v>
      </c>
      <c r="P4882" s="1192" t="s">
        <v>2510</v>
      </c>
      <c r="V4882" s="1192">
        <v>14</v>
      </c>
    </row>
    <row r="4883" spans="1:22" s="1192" customFormat="1" ht="14.4" x14ac:dyDescent="0.3">
      <c r="A4883" s="1192" t="s">
        <v>189</v>
      </c>
      <c r="E4883" s="1741" t="s">
        <v>3900</v>
      </c>
      <c r="F4883" s="1741"/>
      <c r="G4883" s="524" t="s">
        <v>19</v>
      </c>
      <c r="H4883" s="1218">
        <v>0.56999999999999995</v>
      </c>
      <c r="K4883" s="1192" t="s">
        <v>2506</v>
      </c>
      <c r="L4883" s="1192" t="s">
        <v>431</v>
      </c>
      <c r="P4883" s="1192" t="s">
        <v>2511</v>
      </c>
      <c r="T4883" s="1192">
        <v>44926</v>
      </c>
      <c r="V4883" s="1192">
        <v>64</v>
      </c>
    </row>
    <row r="4884" spans="1:22" s="1192" customFormat="1" ht="14.4" x14ac:dyDescent="0.3">
      <c r="A4884" s="1192" t="s">
        <v>189</v>
      </c>
      <c r="E4884" s="1741" t="s">
        <v>3346</v>
      </c>
      <c r="F4884" s="1741"/>
      <c r="G4884" s="524" t="s">
        <v>19</v>
      </c>
      <c r="H4884" s="1218">
        <v>0.17</v>
      </c>
      <c r="K4884" s="1192" t="s">
        <v>2506</v>
      </c>
      <c r="L4884" s="1192" t="s">
        <v>430</v>
      </c>
      <c r="P4884" s="1192" t="s">
        <v>2646</v>
      </c>
      <c r="T4884" s="1192">
        <v>44196</v>
      </c>
      <c r="V4884" s="1192">
        <v>91</v>
      </c>
    </row>
    <row r="4885" spans="1:22" s="1192" customFormat="1" ht="14.4" x14ac:dyDescent="0.3">
      <c r="A4885" s="1192" t="s">
        <v>189</v>
      </c>
      <c r="E4885" s="1741" t="s">
        <v>4559</v>
      </c>
      <c r="F4885" s="1741"/>
      <c r="G4885" s="524" t="s">
        <v>19</v>
      </c>
      <c r="H4885" s="1218">
        <v>1.42</v>
      </c>
      <c r="K4885" s="1192" t="s">
        <v>2506</v>
      </c>
      <c r="L4885" s="1192" t="s">
        <v>430</v>
      </c>
      <c r="P4885" s="1192" t="s">
        <v>6283</v>
      </c>
      <c r="T4885" s="1192">
        <v>44196</v>
      </c>
      <c r="V4885" s="1192">
        <v>116</v>
      </c>
    </row>
    <row r="4886" spans="1:22" s="1192" customFormat="1" ht="14.4" x14ac:dyDescent="0.3">
      <c r="A4886" s="1192" t="s">
        <v>189</v>
      </c>
      <c r="E4886" s="1741" t="s">
        <v>3347</v>
      </c>
      <c r="F4886" s="1741"/>
      <c r="G4886" s="524" t="s">
        <v>19</v>
      </c>
      <c r="H4886" s="794">
        <v>-1.55</v>
      </c>
      <c r="K4886" s="1192" t="s">
        <v>2506</v>
      </c>
      <c r="L4886" s="1192" t="s">
        <v>430</v>
      </c>
      <c r="P4886" s="1192" t="s">
        <v>6284</v>
      </c>
      <c r="T4886" s="1192">
        <v>44196</v>
      </c>
      <c r="V4886" s="1192">
        <v>85</v>
      </c>
    </row>
    <row r="4887" spans="1:22" s="1192" customFormat="1" ht="14.4" x14ac:dyDescent="0.3">
      <c r="A4887" s="1192" t="s">
        <v>189</v>
      </c>
      <c r="E4887" s="1741" t="s">
        <v>14</v>
      </c>
      <c r="F4887" s="1741"/>
      <c r="G4887" s="524" t="s">
        <v>20</v>
      </c>
      <c r="H4887" s="1219">
        <v>2.2000000000000001E-3</v>
      </c>
      <c r="K4887" s="1192" t="s">
        <v>2506</v>
      </c>
      <c r="L4887" s="1192" t="s">
        <v>431</v>
      </c>
      <c r="P4887" s="1192" t="s">
        <v>2513</v>
      </c>
      <c r="V4887" s="1192">
        <v>24</v>
      </c>
    </row>
    <row r="4888" spans="1:22" s="1192" customFormat="1" ht="14.4" x14ac:dyDescent="0.3">
      <c r="A4888" s="1192" t="s">
        <v>189</v>
      </c>
      <c r="E4888" s="1741" t="s">
        <v>6068</v>
      </c>
      <c r="F4888" s="1998"/>
      <c r="G4888" s="524" t="s">
        <v>20</v>
      </c>
      <c r="H4888" s="1219">
        <v>-2.0999999999999999E-3</v>
      </c>
      <c r="K4888" s="1192" t="s">
        <v>2506</v>
      </c>
      <c r="L4888" s="1192" t="s">
        <v>431</v>
      </c>
      <c r="P4888" s="1192" t="s">
        <v>2514</v>
      </c>
      <c r="T4888" s="1192">
        <v>44196</v>
      </c>
      <c r="V4888" s="1192">
        <v>173</v>
      </c>
    </row>
    <row r="4889" spans="1:22" s="1192" customFormat="1" ht="14.4" x14ac:dyDescent="0.3">
      <c r="A4889" s="1192" t="s">
        <v>189</v>
      </c>
      <c r="E4889" s="1741" t="s">
        <v>6144</v>
      </c>
      <c r="F4889" s="1998"/>
      <c r="G4889" s="524" t="s">
        <v>20</v>
      </c>
      <c r="H4889" s="1219">
        <v>6.9999999999999999E-4</v>
      </c>
      <c r="K4889" s="1192" t="s">
        <v>2506</v>
      </c>
      <c r="L4889" s="1192" t="s">
        <v>430</v>
      </c>
      <c r="P4889" s="1192" t="s">
        <v>2515</v>
      </c>
      <c r="T4889" s="1192">
        <v>44196</v>
      </c>
      <c r="V4889" s="1192">
        <v>138</v>
      </c>
    </row>
    <row r="4890" spans="1:22" s="1192" customFormat="1" ht="14.4" x14ac:dyDescent="0.3">
      <c r="A4890" s="1192" t="s">
        <v>189</v>
      </c>
      <c r="E4890" s="1741" t="s">
        <v>6285</v>
      </c>
      <c r="F4890" s="1998"/>
      <c r="G4890" s="524" t="s">
        <v>20</v>
      </c>
      <c r="H4890" s="1219">
        <v>5.9999999999999995E-4</v>
      </c>
      <c r="K4890" s="1192" t="s">
        <v>2506</v>
      </c>
      <c r="L4890" s="1192" t="s">
        <v>431</v>
      </c>
      <c r="P4890" s="1192" t="s">
        <v>2516</v>
      </c>
      <c r="T4890" s="1192">
        <v>44196</v>
      </c>
      <c r="V4890" s="1192">
        <v>143</v>
      </c>
    </row>
    <row r="4891" spans="1:22" s="1192" customFormat="1" ht="14.4" x14ac:dyDescent="0.3">
      <c r="A4891" s="1192" t="s">
        <v>189</v>
      </c>
      <c r="E4891" s="1741" t="s">
        <v>6076</v>
      </c>
      <c r="F4891" s="1998"/>
      <c r="G4891" s="524" t="s">
        <v>20</v>
      </c>
      <c r="H4891" s="1219">
        <v>-4.0000000000000002E-4</v>
      </c>
      <c r="K4891" s="1192" t="s">
        <v>2506</v>
      </c>
      <c r="L4891" s="1192" t="s">
        <v>431</v>
      </c>
      <c r="P4891" s="1192" t="s">
        <v>3897</v>
      </c>
      <c r="T4891" s="1192">
        <v>44196</v>
      </c>
      <c r="V4891" s="1192">
        <v>178</v>
      </c>
    </row>
    <row r="4892" spans="1:22" s="1192" customFormat="1" ht="14.4" x14ac:dyDescent="0.3">
      <c r="A4892" s="1192" t="s">
        <v>189</v>
      </c>
      <c r="E4892" s="1741" t="s">
        <v>213</v>
      </c>
      <c r="F4892" s="1741"/>
      <c r="G4892" s="524" t="s">
        <v>20</v>
      </c>
      <c r="H4892" s="1219">
        <v>6.4000000000000003E-3</v>
      </c>
      <c r="K4892" s="1192" t="s">
        <v>2506</v>
      </c>
      <c r="L4892" s="1192" t="s">
        <v>432</v>
      </c>
      <c r="P4892" s="1192" t="s">
        <v>2517</v>
      </c>
      <c r="V4892" s="1192">
        <v>47</v>
      </c>
    </row>
    <row r="4893" spans="1:22" s="1192" customFormat="1" ht="14.4" x14ac:dyDescent="0.3">
      <c r="A4893" s="1192" t="s">
        <v>189</v>
      </c>
      <c r="E4893" s="1741" t="s">
        <v>209</v>
      </c>
      <c r="F4893" s="1741"/>
      <c r="G4893" s="524" t="s">
        <v>20</v>
      </c>
      <c r="H4893" s="1219">
        <v>4.4999999999999997E-3</v>
      </c>
      <c r="K4893" s="1192" t="s">
        <v>2506</v>
      </c>
      <c r="L4893" s="1192" t="s">
        <v>432</v>
      </c>
      <c r="P4893" s="1192" t="s">
        <v>2518</v>
      </c>
      <c r="V4893" s="1192">
        <v>74</v>
      </c>
    </row>
    <row r="4894" spans="1:22" s="1192" customFormat="1" ht="14.4" x14ac:dyDescent="0.3">
      <c r="A4894" s="1192" t="s">
        <v>189</v>
      </c>
      <c r="E4894" s="1750" t="s">
        <v>2405</v>
      </c>
      <c r="F4894" s="1741"/>
      <c r="G4894" s="1277"/>
      <c r="H4894" s="896"/>
      <c r="K4894" s="1192" t="s">
        <v>2406</v>
      </c>
      <c r="V4894" s="1192">
        <v>48</v>
      </c>
    </row>
    <row r="4895" spans="1:22" s="1192" customFormat="1" ht="14.4" x14ac:dyDescent="0.3">
      <c r="A4895" s="1192" t="s">
        <v>189</v>
      </c>
      <c r="E4895" s="1741" t="s">
        <v>2033</v>
      </c>
      <c r="F4895" s="1741"/>
      <c r="G4895" s="524" t="s">
        <v>20</v>
      </c>
      <c r="H4895" s="1219">
        <v>3.0000000000000001E-3</v>
      </c>
      <c r="K4895" s="1192" t="s">
        <v>2506</v>
      </c>
      <c r="L4895" s="1192" t="s">
        <v>2374</v>
      </c>
      <c r="P4895" s="1192" t="s">
        <v>2519</v>
      </c>
      <c r="V4895" s="1192">
        <v>55</v>
      </c>
    </row>
    <row r="4896" spans="1:22" s="1192" customFormat="1" ht="14.4" x14ac:dyDescent="0.3">
      <c r="A4896" s="1192" t="s">
        <v>189</v>
      </c>
      <c r="E4896" s="1741" t="s">
        <v>2034</v>
      </c>
      <c r="F4896" s="1741"/>
      <c r="G4896" s="524" t="s">
        <v>20</v>
      </c>
      <c r="H4896" s="1219">
        <v>4.0000000000000002E-4</v>
      </c>
      <c r="K4896" s="1192" t="s">
        <v>2506</v>
      </c>
      <c r="L4896" s="1192" t="s">
        <v>2374</v>
      </c>
      <c r="P4896" s="1192" t="s">
        <v>2519</v>
      </c>
      <c r="V4896" s="1192">
        <v>65</v>
      </c>
    </row>
    <row r="4897" spans="1:22" s="1192" customFormat="1" ht="14.4" x14ac:dyDescent="0.3">
      <c r="A4897" s="1192" t="s">
        <v>189</v>
      </c>
      <c r="E4897" s="1741" t="s">
        <v>428</v>
      </c>
      <c r="F4897" s="1741"/>
      <c r="G4897" s="524" t="s">
        <v>20</v>
      </c>
      <c r="H4897" s="1219">
        <v>5.0000000000000001E-4</v>
      </c>
      <c r="K4897" s="1192" t="s">
        <v>2506</v>
      </c>
      <c r="L4897" s="1192" t="s">
        <v>2374</v>
      </c>
      <c r="P4897" s="1192" t="s">
        <v>2520</v>
      </c>
      <c r="V4897" s="1192">
        <v>57</v>
      </c>
    </row>
    <row r="4898" spans="1:22" s="1192" customFormat="1" ht="14.4" x14ac:dyDescent="0.3">
      <c r="A4898" s="1192" t="s">
        <v>189</v>
      </c>
      <c r="E4898" s="1741" t="s">
        <v>28</v>
      </c>
      <c r="F4898" s="1741"/>
      <c r="G4898" s="524" t="s">
        <v>19</v>
      </c>
      <c r="H4898" s="1218">
        <v>0.25</v>
      </c>
      <c r="K4898" s="1192" t="s">
        <v>2506</v>
      </c>
      <c r="L4898" s="1192" t="s">
        <v>2374</v>
      </c>
      <c r="P4898" s="1192" t="s">
        <v>2521</v>
      </c>
      <c r="V4898" s="1192">
        <v>63</v>
      </c>
    </row>
    <row r="4899" spans="1:22" s="1192" customFormat="1" ht="17.399999999999999" x14ac:dyDescent="0.3">
      <c r="A4899" s="1192" t="s">
        <v>189</v>
      </c>
      <c r="E4899" s="2017" t="s">
        <v>2522</v>
      </c>
      <c r="F4899" s="1987"/>
      <c r="G4899" s="1987"/>
      <c r="H4899" s="1987"/>
      <c r="K4899" s="1192" t="s">
        <v>3901</v>
      </c>
      <c r="V4899" s="1192">
        <v>54</v>
      </c>
    </row>
    <row r="4900" spans="1:22" s="1192" customFormat="1" ht="14.4" x14ac:dyDescent="0.3">
      <c r="A4900" s="1192" t="s">
        <v>189</v>
      </c>
      <c r="E4900" s="1743" t="s">
        <v>3065</v>
      </c>
      <c r="F4900" s="1743"/>
      <c r="G4900" s="1743"/>
      <c r="H4900" s="1743"/>
      <c r="K4900" s="1192" t="s">
        <v>3901</v>
      </c>
      <c r="V4900" s="1192">
        <v>335</v>
      </c>
    </row>
    <row r="4901" spans="1:22" s="1192" customFormat="1" ht="14.4" x14ac:dyDescent="0.3">
      <c r="A4901" s="1192" t="s">
        <v>189</v>
      </c>
      <c r="E4901" s="2018" t="s">
        <v>2389</v>
      </c>
      <c r="F4901" s="1988"/>
      <c r="G4901" s="1988"/>
      <c r="H4901" s="1988"/>
      <c r="K4901" s="1192" t="s">
        <v>2412</v>
      </c>
      <c r="V4901" s="1192">
        <v>11</v>
      </c>
    </row>
    <row r="4902" spans="1:22" s="1192" customFormat="1" ht="14.4" x14ac:dyDescent="0.3">
      <c r="A4902" s="1192" t="s">
        <v>189</v>
      </c>
      <c r="E4902" s="1743" t="s">
        <v>2391</v>
      </c>
      <c r="F4902" s="1743"/>
      <c r="G4902" s="1743"/>
      <c r="H4902" s="1743"/>
      <c r="K4902" s="1192" t="s">
        <v>3901</v>
      </c>
      <c r="V4902" s="1192">
        <v>280</v>
      </c>
    </row>
    <row r="4903" spans="1:22" s="1192" customFormat="1" ht="14.4" x14ac:dyDescent="0.3">
      <c r="A4903" s="1192" t="s">
        <v>189</v>
      </c>
      <c r="E4903" s="1743" t="s">
        <v>2392</v>
      </c>
      <c r="F4903" s="1743"/>
      <c r="G4903" s="1743"/>
      <c r="H4903" s="1743"/>
      <c r="K4903" s="1192" t="s">
        <v>3901</v>
      </c>
      <c r="V4903" s="1192">
        <v>411</v>
      </c>
    </row>
    <row r="4904" spans="1:22" s="1192" customFormat="1" ht="14.4" x14ac:dyDescent="0.3">
      <c r="A4904" s="1192" t="s">
        <v>189</v>
      </c>
      <c r="E4904" s="1743" t="s">
        <v>3146</v>
      </c>
      <c r="F4904" s="1743"/>
      <c r="G4904" s="1743"/>
      <c r="H4904" s="1743"/>
      <c r="K4904" s="1192" t="s">
        <v>3901</v>
      </c>
      <c r="V4904" s="1192">
        <v>390</v>
      </c>
    </row>
    <row r="4905" spans="1:22" s="1192" customFormat="1" ht="14.4" x14ac:dyDescent="0.3">
      <c r="A4905" s="1192" t="s">
        <v>189</v>
      </c>
      <c r="E4905" s="1743" t="s">
        <v>2986</v>
      </c>
      <c r="F4905" s="1743"/>
      <c r="G4905" s="1743"/>
      <c r="H4905" s="1743"/>
      <c r="K4905" s="1192" t="s">
        <v>3901</v>
      </c>
      <c r="V4905" s="1192">
        <v>246</v>
      </c>
    </row>
    <row r="4906" spans="1:22" s="1192" customFormat="1" ht="14.4" x14ac:dyDescent="0.3">
      <c r="A4906" s="1192" t="s">
        <v>189</v>
      </c>
      <c r="E4906" s="2018" t="s">
        <v>2394</v>
      </c>
      <c r="F4906" s="1988"/>
      <c r="G4906" s="1988"/>
      <c r="H4906" s="1988"/>
      <c r="K4906" s="1192" t="s">
        <v>2413</v>
      </c>
      <c r="V4906" s="1192">
        <v>46</v>
      </c>
    </row>
    <row r="4907" spans="1:22" s="1192" customFormat="1" ht="14.4" x14ac:dyDescent="0.3">
      <c r="A4907" s="1192" t="s">
        <v>189</v>
      </c>
      <c r="E4907" s="1741" t="s">
        <v>7</v>
      </c>
      <c r="F4907" s="1741"/>
      <c r="G4907" s="524" t="s">
        <v>19</v>
      </c>
      <c r="H4907" s="1218">
        <v>32.4</v>
      </c>
      <c r="K4907" s="1192" t="s">
        <v>3901</v>
      </c>
      <c r="L4907" s="1192" t="s">
        <v>430</v>
      </c>
      <c r="P4907" s="1192" t="s">
        <v>3902</v>
      </c>
      <c r="V4907" s="1192">
        <v>14</v>
      </c>
    </row>
    <row r="4908" spans="1:22" s="1192" customFormat="1" ht="14.4" x14ac:dyDescent="0.3">
      <c r="A4908" s="1192" t="s">
        <v>189</v>
      </c>
      <c r="E4908" s="1741" t="s">
        <v>3900</v>
      </c>
      <c r="F4908" s="1741"/>
      <c r="G4908" s="524" t="s">
        <v>19</v>
      </c>
      <c r="H4908" s="1218">
        <v>0.56999999999999995</v>
      </c>
      <c r="K4908" s="1192" t="s">
        <v>3901</v>
      </c>
      <c r="L4908" s="1192" t="s">
        <v>431</v>
      </c>
      <c r="P4908" s="1192" t="s">
        <v>3903</v>
      </c>
      <c r="T4908" s="1192">
        <v>44926</v>
      </c>
      <c r="V4908" s="1192">
        <v>64</v>
      </c>
    </row>
    <row r="4909" spans="1:22" s="1192" customFormat="1" ht="14.4" x14ac:dyDescent="0.3">
      <c r="A4909" s="1192" t="s">
        <v>189</v>
      </c>
      <c r="E4909" s="1741" t="s">
        <v>3346</v>
      </c>
      <c r="F4909" s="1741"/>
      <c r="G4909" s="524" t="s">
        <v>19</v>
      </c>
      <c r="H4909" s="1218">
        <v>0.3</v>
      </c>
      <c r="K4909" s="1192" t="s">
        <v>3901</v>
      </c>
      <c r="L4909" s="1192" t="s">
        <v>430</v>
      </c>
      <c r="P4909" s="1192" t="s">
        <v>4060</v>
      </c>
      <c r="T4909" s="1192">
        <v>44196</v>
      </c>
      <c r="V4909" s="1192">
        <v>91</v>
      </c>
    </row>
    <row r="4910" spans="1:22" s="1192" customFormat="1" ht="14.4" x14ac:dyDescent="0.3">
      <c r="A4910" s="1192" t="s">
        <v>189</v>
      </c>
      <c r="E4910" s="1741" t="s">
        <v>4559</v>
      </c>
      <c r="F4910" s="1741"/>
      <c r="G4910" s="524" t="s">
        <v>19</v>
      </c>
      <c r="H4910" s="1218">
        <v>3.1</v>
      </c>
      <c r="K4910" s="1192" t="s">
        <v>3901</v>
      </c>
      <c r="L4910" s="1192" t="s">
        <v>430</v>
      </c>
      <c r="P4910" s="1192" t="s">
        <v>6286</v>
      </c>
      <c r="T4910" s="1192">
        <v>44196</v>
      </c>
      <c r="V4910" s="1192">
        <v>116</v>
      </c>
    </row>
    <row r="4911" spans="1:22" s="1192" customFormat="1" ht="14.4" x14ac:dyDescent="0.3">
      <c r="A4911" s="1192" t="s">
        <v>189</v>
      </c>
      <c r="E4911" s="1741" t="s">
        <v>80</v>
      </c>
      <c r="F4911" s="1741"/>
      <c r="G4911" s="524" t="s">
        <v>20</v>
      </c>
      <c r="H4911" s="1219">
        <v>1.5900000000000001E-2</v>
      </c>
      <c r="K4911" s="1192" t="s">
        <v>3901</v>
      </c>
      <c r="L4911" s="1192" t="s">
        <v>430</v>
      </c>
      <c r="P4911" s="1192" t="s">
        <v>3904</v>
      </c>
      <c r="V4911" s="1192">
        <v>28</v>
      </c>
    </row>
    <row r="4912" spans="1:22" s="1192" customFormat="1" ht="14.4" x14ac:dyDescent="0.3">
      <c r="A4912" s="1192" t="s">
        <v>189</v>
      </c>
      <c r="E4912" s="1741" t="s">
        <v>14</v>
      </c>
      <c r="F4912" s="1741"/>
      <c r="G4912" s="524" t="s">
        <v>20</v>
      </c>
      <c r="H4912" s="1219">
        <v>2E-3</v>
      </c>
      <c r="K4912" s="1192" t="s">
        <v>3901</v>
      </c>
      <c r="L4912" s="1192" t="s">
        <v>431</v>
      </c>
      <c r="P4912" s="1192" t="s">
        <v>3905</v>
      </c>
      <c r="V4912" s="1192">
        <v>24</v>
      </c>
    </row>
    <row r="4913" spans="1:22" s="1192" customFormat="1" ht="14.4" x14ac:dyDescent="0.3">
      <c r="A4913" s="1192" t="s">
        <v>189</v>
      </c>
      <c r="E4913" s="1741" t="s">
        <v>6068</v>
      </c>
      <c r="F4913" s="1998"/>
      <c r="G4913" s="524" t="s">
        <v>20</v>
      </c>
      <c r="H4913" s="1219">
        <v>-2.0999999999999999E-3</v>
      </c>
      <c r="K4913" s="1192" t="s">
        <v>3901</v>
      </c>
      <c r="L4913" s="1192" t="s">
        <v>431</v>
      </c>
      <c r="P4913" s="1192" t="s">
        <v>3700</v>
      </c>
      <c r="T4913" s="1192">
        <v>44196</v>
      </c>
      <c r="V4913" s="1192">
        <v>173</v>
      </c>
    </row>
    <row r="4914" spans="1:22" s="1192" customFormat="1" ht="14.4" x14ac:dyDescent="0.3">
      <c r="A4914" s="1192" t="s">
        <v>189</v>
      </c>
      <c r="E4914" s="1741" t="s">
        <v>6144</v>
      </c>
      <c r="F4914" s="1998"/>
      <c r="G4914" s="524" t="s">
        <v>20</v>
      </c>
      <c r="H4914" s="1219">
        <v>-2.0000000000000001E-4</v>
      </c>
      <c r="K4914" s="1192" t="s">
        <v>3901</v>
      </c>
      <c r="L4914" s="1192" t="s">
        <v>430</v>
      </c>
      <c r="P4914" s="1192" t="s">
        <v>4000</v>
      </c>
      <c r="T4914" s="1192">
        <v>44196</v>
      </c>
      <c r="V4914" s="1192">
        <v>138</v>
      </c>
    </row>
    <row r="4915" spans="1:22" s="1192" customFormat="1" ht="14.4" x14ac:dyDescent="0.3">
      <c r="A4915" s="1192" t="s">
        <v>189</v>
      </c>
      <c r="E4915" s="1741" t="s">
        <v>6287</v>
      </c>
      <c r="F4915" s="1998"/>
      <c r="G4915" s="524" t="s">
        <v>20</v>
      </c>
      <c r="H4915" s="1219">
        <v>6.9999999999999999E-4</v>
      </c>
      <c r="K4915" s="1192" t="s">
        <v>3901</v>
      </c>
      <c r="L4915" s="1192" t="s">
        <v>431</v>
      </c>
      <c r="P4915" s="1192" t="s">
        <v>3911</v>
      </c>
      <c r="T4915" s="1192">
        <v>44196</v>
      </c>
      <c r="V4915" s="1192">
        <v>137</v>
      </c>
    </row>
    <row r="4916" spans="1:22" s="1192" customFormat="1" ht="14.4" x14ac:dyDescent="0.3">
      <c r="A4916" s="1192" t="s">
        <v>189</v>
      </c>
      <c r="E4916" s="1741" t="s">
        <v>6076</v>
      </c>
      <c r="F4916" s="1998"/>
      <c r="G4916" s="524" t="s">
        <v>20</v>
      </c>
      <c r="H4916" s="1219">
        <v>-4.0000000000000002E-4</v>
      </c>
      <c r="K4916" s="1192" t="s">
        <v>3901</v>
      </c>
      <c r="L4916" s="1192" t="s">
        <v>431</v>
      </c>
      <c r="P4916" s="1192" t="s">
        <v>4001</v>
      </c>
      <c r="T4916" s="1192">
        <v>44196</v>
      </c>
      <c r="V4916" s="1192">
        <v>178</v>
      </c>
    </row>
    <row r="4917" spans="1:22" s="1192" customFormat="1" ht="14.4" x14ac:dyDescent="0.3">
      <c r="A4917" s="1192" t="s">
        <v>189</v>
      </c>
      <c r="E4917" s="1741" t="s">
        <v>3347</v>
      </c>
      <c r="F4917" s="1741"/>
      <c r="G4917" s="524" t="s">
        <v>20</v>
      </c>
      <c r="H4917" s="795">
        <v>-2.3999999999999998E-3</v>
      </c>
      <c r="K4917" s="1192" t="s">
        <v>3901</v>
      </c>
      <c r="L4917" s="1192" t="s">
        <v>430</v>
      </c>
      <c r="P4917" s="1192" t="s">
        <v>6288</v>
      </c>
      <c r="T4917" s="1192">
        <v>44196</v>
      </c>
      <c r="V4917" s="1192">
        <v>85</v>
      </c>
    </row>
    <row r="4918" spans="1:22" s="1192" customFormat="1" ht="14.4" x14ac:dyDescent="0.3">
      <c r="A4918" s="1192" t="s">
        <v>189</v>
      </c>
      <c r="E4918" s="1741" t="s">
        <v>213</v>
      </c>
      <c r="F4918" s="1741"/>
      <c r="G4918" s="524" t="s">
        <v>20</v>
      </c>
      <c r="H4918" s="1219">
        <v>5.7999999999999996E-3</v>
      </c>
      <c r="K4918" s="1192" t="s">
        <v>3901</v>
      </c>
      <c r="L4918" s="1192" t="s">
        <v>432</v>
      </c>
      <c r="P4918" s="1192" t="s">
        <v>3906</v>
      </c>
      <c r="V4918" s="1192">
        <v>47</v>
      </c>
    </row>
    <row r="4919" spans="1:22" s="1192" customFormat="1" ht="14.4" x14ac:dyDescent="0.3">
      <c r="A4919" s="1192" t="s">
        <v>189</v>
      </c>
      <c r="E4919" s="1741" t="s">
        <v>209</v>
      </c>
      <c r="F4919" s="1741"/>
      <c r="G4919" s="524" t="s">
        <v>20</v>
      </c>
      <c r="H4919" s="1219">
        <v>4.1000000000000003E-3</v>
      </c>
      <c r="K4919" s="1192" t="s">
        <v>3901</v>
      </c>
      <c r="L4919" s="1192" t="s">
        <v>432</v>
      </c>
      <c r="P4919" s="1192" t="s">
        <v>3907</v>
      </c>
      <c r="V4919" s="1192">
        <v>74</v>
      </c>
    </row>
    <row r="4920" spans="1:22" s="1192" customFormat="1" ht="14.4" x14ac:dyDescent="0.3">
      <c r="A4920" s="1192" t="s">
        <v>189</v>
      </c>
      <c r="E4920" s="1750" t="s">
        <v>2405</v>
      </c>
      <c r="F4920" s="1741"/>
      <c r="G4920" s="1277"/>
      <c r="H4920" s="896"/>
      <c r="K4920" s="1192" t="s">
        <v>2418</v>
      </c>
      <c r="V4920" s="1192">
        <v>48</v>
      </c>
    </row>
    <row r="4921" spans="1:22" s="1192" customFormat="1" ht="14.4" x14ac:dyDescent="0.3">
      <c r="A4921" s="1192" t="s">
        <v>189</v>
      </c>
      <c r="E4921" s="1741" t="s">
        <v>2033</v>
      </c>
      <c r="F4921" s="1741"/>
      <c r="G4921" s="524" t="s">
        <v>20</v>
      </c>
      <c r="H4921" s="1219">
        <v>3.0000000000000001E-3</v>
      </c>
      <c r="K4921" s="1192" t="s">
        <v>3901</v>
      </c>
      <c r="L4921" s="1192" t="s">
        <v>2374</v>
      </c>
      <c r="P4921" s="1192" t="s">
        <v>3908</v>
      </c>
      <c r="V4921" s="1192">
        <v>55</v>
      </c>
    </row>
    <row r="4922" spans="1:22" s="1192" customFormat="1" ht="14.4" x14ac:dyDescent="0.3">
      <c r="A4922" s="1192" t="s">
        <v>189</v>
      </c>
      <c r="E4922" s="1741" t="s">
        <v>2034</v>
      </c>
      <c r="F4922" s="1741"/>
      <c r="G4922" s="524" t="s">
        <v>20</v>
      </c>
      <c r="H4922" s="1219">
        <v>4.0000000000000002E-4</v>
      </c>
      <c r="K4922" s="1192" t="s">
        <v>3901</v>
      </c>
      <c r="L4922" s="1192" t="s">
        <v>2374</v>
      </c>
      <c r="P4922" s="1192" t="s">
        <v>3908</v>
      </c>
      <c r="V4922" s="1192">
        <v>65</v>
      </c>
    </row>
    <row r="4923" spans="1:22" s="1192" customFormat="1" ht="14.4" x14ac:dyDescent="0.3">
      <c r="A4923" s="1192" t="s">
        <v>189</v>
      </c>
      <c r="E4923" s="1741" t="s">
        <v>428</v>
      </c>
      <c r="F4923" s="1741"/>
      <c r="G4923" s="524" t="s">
        <v>20</v>
      </c>
      <c r="H4923" s="1219">
        <v>5.0000000000000001E-4</v>
      </c>
      <c r="K4923" s="1192" t="s">
        <v>3901</v>
      </c>
      <c r="L4923" s="1192" t="s">
        <v>2374</v>
      </c>
      <c r="P4923" s="1192" t="s">
        <v>3909</v>
      </c>
      <c r="V4923" s="1192">
        <v>57</v>
      </c>
    </row>
    <row r="4924" spans="1:22" s="1192" customFormat="1" ht="14.4" x14ac:dyDescent="0.3">
      <c r="A4924" s="1192" t="s">
        <v>189</v>
      </c>
      <c r="E4924" s="1741" t="s">
        <v>28</v>
      </c>
      <c r="F4924" s="1741"/>
      <c r="G4924" s="524" t="s">
        <v>19</v>
      </c>
      <c r="H4924" s="1218">
        <v>0.25</v>
      </c>
      <c r="K4924" s="1192" t="s">
        <v>3901</v>
      </c>
      <c r="L4924" s="1192" t="s">
        <v>2374</v>
      </c>
      <c r="P4924" s="1192" t="s">
        <v>3910</v>
      </c>
      <c r="V4924" s="1192">
        <v>63</v>
      </c>
    </row>
    <row r="4925" spans="1:22" s="1192" customFormat="1" ht="17.399999999999999" x14ac:dyDescent="0.3">
      <c r="A4925" s="1192" t="s">
        <v>189</v>
      </c>
      <c r="E4925" s="2017" t="s">
        <v>591</v>
      </c>
      <c r="F4925" s="1987"/>
      <c r="G4925" s="1987"/>
      <c r="H4925" s="1987"/>
      <c r="K4925" s="1192" t="s">
        <v>4388</v>
      </c>
      <c r="V4925" s="1192">
        <v>53</v>
      </c>
    </row>
    <row r="4926" spans="1:22" s="1192" customFormat="1" ht="14.4" x14ac:dyDescent="0.3">
      <c r="A4926" s="1192" t="s">
        <v>189</v>
      </c>
      <c r="E4926" s="1743" t="s">
        <v>3066</v>
      </c>
      <c r="F4926" s="1743"/>
      <c r="G4926" s="1743"/>
      <c r="H4926" s="1743"/>
      <c r="K4926" s="1192" t="s">
        <v>4388</v>
      </c>
      <c r="V4926" s="1192">
        <v>386</v>
      </c>
    </row>
    <row r="4927" spans="1:22" s="1192" customFormat="1" ht="14.4" x14ac:dyDescent="0.3">
      <c r="A4927" s="1192" t="s">
        <v>189</v>
      </c>
      <c r="E4927" s="2018" t="s">
        <v>2389</v>
      </c>
      <c r="F4927" s="1988"/>
      <c r="G4927" s="1988"/>
      <c r="H4927" s="1988"/>
      <c r="K4927" s="1192" t="s">
        <v>2422</v>
      </c>
      <c r="V4927" s="1192">
        <v>11</v>
      </c>
    </row>
    <row r="4928" spans="1:22" s="1192" customFormat="1" ht="14.4" x14ac:dyDescent="0.3">
      <c r="A4928" s="1192" t="s">
        <v>189</v>
      </c>
      <c r="E4928" s="1743" t="s">
        <v>2391</v>
      </c>
      <c r="F4928" s="1743"/>
      <c r="G4928" s="1743"/>
      <c r="H4928" s="1743"/>
      <c r="K4928" s="1192" t="s">
        <v>4388</v>
      </c>
      <c r="V4928" s="1192">
        <v>280</v>
      </c>
    </row>
    <row r="4929" spans="1:22" s="1192" customFormat="1" ht="14.4" x14ac:dyDescent="0.3">
      <c r="A4929" s="1192" t="s">
        <v>189</v>
      </c>
      <c r="E4929" s="1743" t="s">
        <v>2392</v>
      </c>
      <c r="F4929" s="1743"/>
      <c r="G4929" s="1743"/>
      <c r="H4929" s="1743"/>
      <c r="K4929" s="1192" t="s">
        <v>4388</v>
      </c>
      <c r="V4929" s="1192">
        <v>411</v>
      </c>
    </row>
    <row r="4930" spans="1:22" s="1192" customFormat="1" ht="14.4" x14ac:dyDescent="0.3">
      <c r="A4930" s="1192" t="s">
        <v>189</v>
      </c>
      <c r="E4930" s="1743" t="s">
        <v>3146</v>
      </c>
      <c r="F4930" s="1743"/>
      <c r="G4930" s="1743"/>
      <c r="H4930" s="1743"/>
      <c r="K4930" s="1192" t="s">
        <v>4388</v>
      </c>
      <c r="V4930" s="1192">
        <v>390</v>
      </c>
    </row>
    <row r="4931" spans="1:22" s="1192" customFormat="1" ht="14.4" x14ac:dyDescent="0.3">
      <c r="A4931" s="1192" t="s">
        <v>189</v>
      </c>
      <c r="E4931" s="1743" t="s">
        <v>4503</v>
      </c>
      <c r="F4931" s="1743"/>
      <c r="G4931" s="1743"/>
      <c r="H4931" s="1743"/>
      <c r="K4931" s="1192" t="s">
        <v>4388</v>
      </c>
      <c r="V4931" s="1192">
        <v>677</v>
      </c>
    </row>
    <row r="4932" spans="1:22" s="1192" customFormat="1" ht="14.4" x14ac:dyDescent="0.3">
      <c r="A4932" s="1192" t="s">
        <v>189</v>
      </c>
      <c r="E4932" s="1743" t="s">
        <v>4644</v>
      </c>
      <c r="F4932" s="1743"/>
      <c r="G4932" s="1743"/>
      <c r="H4932" s="1743"/>
      <c r="K4932" s="1192" t="s">
        <v>4388</v>
      </c>
      <c r="V4932" s="1192">
        <v>693</v>
      </c>
    </row>
    <row r="4933" spans="1:22" s="1192" customFormat="1" ht="14.4" x14ac:dyDescent="0.3">
      <c r="A4933" s="1192" t="s">
        <v>189</v>
      </c>
      <c r="E4933" s="1743" t="s">
        <v>2986</v>
      </c>
      <c r="F4933" s="1743"/>
      <c r="G4933" s="1743"/>
      <c r="H4933" s="1743"/>
      <c r="K4933" s="1192" t="s">
        <v>4388</v>
      </c>
      <c r="V4933" s="1192">
        <v>246</v>
      </c>
    </row>
    <row r="4934" spans="1:22" s="1192" customFormat="1" ht="14.4" x14ac:dyDescent="0.3">
      <c r="A4934" s="1192" t="s">
        <v>189</v>
      </c>
      <c r="E4934" s="2018" t="s">
        <v>2394</v>
      </c>
      <c r="F4934" s="1988"/>
      <c r="G4934" s="1988"/>
      <c r="H4934" s="1988"/>
      <c r="K4934" s="1192" t="s">
        <v>2423</v>
      </c>
      <c r="V4934" s="1192">
        <v>46</v>
      </c>
    </row>
    <row r="4935" spans="1:22" s="1192" customFormat="1" ht="14.4" x14ac:dyDescent="0.3">
      <c r="A4935" s="1192" t="s">
        <v>189</v>
      </c>
      <c r="E4935" s="1741" t="s">
        <v>7</v>
      </c>
      <c r="F4935" s="1741"/>
      <c r="G4935" s="524" t="s">
        <v>19</v>
      </c>
      <c r="H4935" s="1218">
        <v>205.66</v>
      </c>
      <c r="K4935" s="1192" t="s">
        <v>4388</v>
      </c>
      <c r="L4935" s="1192" t="s">
        <v>430</v>
      </c>
      <c r="P4935" s="1192" t="s">
        <v>4389</v>
      </c>
      <c r="V4935" s="1192">
        <v>14</v>
      </c>
    </row>
    <row r="4936" spans="1:22" s="1192" customFormat="1" ht="14.4" x14ac:dyDescent="0.3">
      <c r="A4936" s="1192" t="s">
        <v>189</v>
      </c>
      <c r="E4936" s="1741" t="s">
        <v>3346</v>
      </c>
      <c r="F4936" s="1741"/>
      <c r="G4936" s="524" t="s">
        <v>19</v>
      </c>
      <c r="H4936" s="1218">
        <v>6.03</v>
      </c>
      <c r="K4936" s="1192" t="s">
        <v>4388</v>
      </c>
      <c r="L4936" s="1192" t="s">
        <v>430</v>
      </c>
      <c r="P4936" s="1192" t="s">
        <v>4399</v>
      </c>
      <c r="T4936" s="1192">
        <v>44196</v>
      </c>
      <c r="V4936" s="1192">
        <v>91</v>
      </c>
    </row>
    <row r="4937" spans="1:22" s="1192" customFormat="1" ht="14.4" x14ac:dyDescent="0.3">
      <c r="A4937" s="1192" t="s">
        <v>189</v>
      </c>
      <c r="E4937" s="1741" t="s">
        <v>4559</v>
      </c>
      <c r="F4937" s="1741"/>
      <c r="G4937" s="524" t="s">
        <v>19</v>
      </c>
      <c r="H4937" s="1218">
        <v>11.6</v>
      </c>
      <c r="K4937" s="1192" t="s">
        <v>4388</v>
      </c>
      <c r="L4937" s="1192" t="s">
        <v>430</v>
      </c>
      <c r="P4937" s="1192" t="s">
        <v>6289</v>
      </c>
      <c r="T4937" s="1192">
        <v>44196</v>
      </c>
      <c r="V4937" s="1192">
        <v>116</v>
      </c>
    </row>
    <row r="4938" spans="1:22" s="1192" customFormat="1" ht="14.4" x14ac:dyDescent="0.3">
      <c r="A4938" s="1192" t="s">
        <v>189</v>
      </c>
      <c r="E4938" s="1741" t="s">
        <v>80</v>
      </c>
      <c r="F4938" s="1741"/>
      <c r="G4938" s="524" t="s">
        <v>29</v>
      </c>
      <c r="H4938" s="1219">
        <v>3.1114999999999999</v>
      </c>
      <c r="K4938" s="1192" t="s">
        <v>4388</v>
      </c>
      <c r="L4938" s="1192" t="s">
        <v>430</v>
      </c>
      <c r="P4938" s="1192" t="s">
        <v>4390</v>
      </c>
      <c r="V4938" s="1192">
        <v>28</v>
      </c>
    </row>
    <row r="4939" spans="1:22" s="1192" customFormat="1" ht="14.4" x14ac:dyDescent="0.3">
      <c r="A4939" s="1192" t="s">
        <v>189</v>
      </c>
      <c r="E4939" s="1741" t="s">
        <v>14</v>
      </c>
      <c r="F4939" s="1741"/>
      <c r="G4939" s="524" t="s">
        <v>29</v>
      </c>
      <c r="H4939" s="1219">
        <v>0.75870000000000004</v>
      </c>
      <c r="K4939" s="1192" t="s">
        <v>4388</v>
      </c>
      <c r="L4939" s="1192" t="s">
        <v>431</v>
      </c>
      <c r="P4939" s="1192" t="s">
        <v>4391</v>
      </c>
      <c r="V4939" s="1192">
        <v>24</v>
      </c>
    </row>
    <row r="4940" spans="1:22" s="1192" customFormat="1" ht="14.4" x14ac:dyDescent="0.3">
      <c r="A4940" s="1192" t="s">
        <v>189</v>
      </c>
      <c r="E4940" s="1741" t="s">
        <v>6068</v>
      </c>
      <c r="F4940" s="1998"/>
      <c r="G4940" s="524" t="s">
        <v>20</v>
      </c>
      <c r="H4940" s="1219">
        <v>-2.0999999999999999E-3</v>
      </c>
      <c r="K4940" s="1192" t="s">
        <v>4388</v>
      </c>
      <c r="L4940" s="1192" t="s">
        <v>431</v>
      </c>
      <c r="P4940" s="1192" t="s">
        <v>4397</v>
      </c>
      <c r="T4940" s="1192">
        <v>44196</v>
      </c>
      <c r="V4940" s="1192">
        <v>173</v>
      </c>
    </row>
    <row r="4941" spans="1:22" s="1192" customFormat="1" ht="14.4" x14ac:dyDescent="0.3">
      <c r="A4941" s="1192" t="s">
        <v>189</v>
      </c>
      <c r="E4941" s="1741" t="s">
        <v>6145</v>
      </c>
      <c r="F4941" s="1998"/>
      <c r="G4941" s="524" t="s">
        <v>29</v>
      </c>
      <c r="H4941" s="1219">
        <v>-2.2000000000000001E-3</v>
      </c>
      <c r="K4941" s="1192" t="s">
        <v>4388</v>
      </c>
      <c r="L4941" s="1192" t="s">
        <v>430</v>
      </c>
      <c r="P4941" s="1192" t="s">
        <v>4400</v>
      </c>
      <c r="T4941" s="1192">
        <v>44196</v>
      </c>
      <c r="V4941" s="1192">
        <v>139</v>
      </c>
    </row>
    <row r="4942" spans="1:22" s="1192" customFormat="1" ht="14.4" x14ac:dyDescent="0.3">
      <c r="A4942" s="1192" t="s">
        <v>189</v>
      </c>
      <c r="E4942" s="1741" t="s">
        <v>6290</v>
      </c>
      <c r="F4942" s="1998"/>
      <c r="G4942" s="524" t="s">
        <v>29</v>
      </c>
      <c r="H4942" s="1219">
        <v>0.42020000000000002</v>
      </c>
      <c r="K4942" s="1192" t="s">
        <v>4388</v>
      </c>
      <c r="L4942" s="1192" t="s">
        <v>431</v>
      </c>
      <c r="P4942" s="1192" t="s">
        <v>4398</v>
      </c>
      <c r="T4942" s="1192">
        <v>44196</v>
      </c>
      <c r="V4942" s="1192">
        <v>137</v>
      </c>
    </row>
    <row r="4943" spans="1:22" s="1192" customFormat="1" ht="14.4" x14ac:dyDescent="0.3">
      <c r="A4943" s="1192" t="s">
        <v>189</v>
      </c>
      <c r="E4943" s="1741" t="s">
        <v>6291</v>
      </c>
      <c r="F4943" s="1998"/>
      <c r="G4943" s="524" t="s">
        <v>29</v>
      </c>
      <c r="H4943" s="1219">
        <v>-0.14269999999999999</v>
      </c>
      <c r="K4943" s="1192" t="s">
        <v>4388</v>
      </c>
      <c r="L4943" s="1192" t="s">
        <v>431</v>
      </c>
      <c r="P4943" s="1192" t="s">
        <v>4401</v>
      </c>
      <c r="T4943" s="1192">
        <v>44196</v>
      </c>
      <c r="V4943" s="1192">
        <v>180</v>
      </c>
    </row>
    <row r="4944" spans="1:22" s="1192" customFormat="1" ht="14.4" x14ac:dyDescent="0.3">
      <c r="A4944" s="1192" t="s">
        <v>189</v>
      </c>
      <c r="E4944" s="1741" t="s">
        <v>3347</v>
      </c>
      <c r="F4944" s="1741"/>
      <c r="G4944" s="524" t="s">
        <v>29</v>
      </c>
      <c r="H4944" s="795">
        <v>-0.87250000000000005</v>
      </c>
      <c r="K4944" s="1192" t="s">
        <v>4388</v>
      </c>
      <c r="L4944" s="1192" t="s">
        <v>430</v>
      </c>
      <c r="P4944" s="1192" t="s">
        <v>6292</v>
      </c>
      <c r="T4944" s="1192">
        <v>44196</v>
      </c>
      <c r="V4944" s="1192">
        <v>85</v>
      </c>
    </row>
    <row r="4945" spans="1:22" s="1192" customFormat="1" ht="14.4" x14ac:dyDescent="0.3">
      <c r="A4945" s="1192" t="s">
        <v>189</v>
      </c>
      <c r="E4945" s="1741" t="s">
        <v>213</v>
      </c>
      <c r="F4945" s="1741"/>
      <c r="G4945" s="524" t="s">
        <v>29</v>
      </c>
      <c r="H4945" s="1219">
        <v>2.3834</v>
      </c>
      <c r="K4945" s="1192" t="s">
        <v>4388</v>
      </c>
      <c r="L4945" s="1192" t="s">
        <v>432</v>
      </c>
      <c r="P4945" s="1192" t="s">
        <v>4392</v>
      </c>
      <c r="V4945" s="1192">
        <v>47</v>
      </c>
    </row>
    <row r="4946" spans="1:22" s="1192" customFormat="1" ht="14.4" x14ac:dyDescent="0.3">
      <c r="A4946" s="1192" t="s">
        <v>189</v>
      </c>
      <c r="E4946" s="1741" t="s">
        <v>209</v>
      </c>
      <c r="F4946" s="1741"/>
      <c r="G4946" s="524" t="s">
        <v>29</v>
      </c>
      <c r="H4946" s="1219">
        <v>1.5621</v>
      </c>
      <c r="K4946" s="1192" t="s">
        <v>4388</v>
      </c>
      <c r="L4946" s="1192" t="s">
        <v>432</v>
      </c>
      <c r="P4946" s="1192" t="s">
        <v>4393</v>
      </c>
      <c r="V4946" s="1192">
        <v>74</v>
      </c>
    </row>
    <row r="4947" spans="1:22" s="1192" customFormat="1" ht="14.4" x14ac:dyDescent="0.3">
      <c r="A4947" s="1192" t="s">
        <v>189</v>
      </c>
      <c r="E4947" s="1750" t="s">
        <v>2405</v>
      </c>
      <c r="F4947" s="1741"/>
      <c r="G4947" s="1277"/>
      <c r="H4947" s="896"/>
      <c r="K4947" s="1192" t="s">
        <v>2526</v>
      </c>
      <c r="V4947" s="1192">
        <v>48</v>
      </c>
    </row>
    <row r="4948" spans="1:22" s="1192" customFormat="1" ht="14.4" x14ac:dyDescent="0.3">
      <c r="A4948" s="1192" t="s">
        <v>189</v>
      </c>
      <c r="E4948" s="1741" t="s">
        <v>2033</v>
      </c>
      <c r="F4948" s="1741"/>
      <c r="G4948" s="524" t="s">
        <v>20</v>
      </c>
      <c r="H4948" s="1219">
        <v>3.0000000000000001E-3</v>
      </c>
      <c r="K4948" s="1192" t="s">
        <v>4388</v>
      </c>
      <c r="L4948" s="1192" t="s">
        <v>2374</v>
      </c>
      <c r="P4948" s="1192" t="s">
        <v>4394</v>
      </c>
      <c r="V4948" s="1192">
        <v>55</v>
      </c>
    </row>
    <row r="4949" spans="1:22" s="1192" customFormat="1" ht="14.4" x14ac:dyDescent="0.3">
      <c r="A4949" s="1192" t="s">
        <v>189</v>
      </c>
      <c r="E4949" s="1741" t="s">
        <v>2034</v>
      </c>
      <c r="F4949" s="1741"/>
      <c r="G4949" s="524" t="s">
        <v>20</v>
      </c>
      <c r="H4949" s="1219">
        <v>4.0000000000000002E-4</v>
      </c>
      <c r="K4949" s="1192" t="s">
        <v>4388</v>
      </c>
      <c r="L4949" s="1192" t="s">
        <v>2374</v>
      </c>
      <c r="P4949" s="1192" t="s">
        <v>4394</v>
      </c>
      <c r="V4949" s="1192">
        <v>65</v>
      </c>
    </row>
    <row r="4950" spans="1:22" s="1192" customFormat="1" ht="14.4" x14ac:dyDescent="0.3">
      <c r="A4950" s="1192" t="s">
        <v>189</v>
      </c>
      <c r="E4950" s="1741" t="s">
        <v>428</v>
      </c>
      <c r="F4950" s="1741"/>
      <c r="G4950" s="524" t="s">
        <v>20</v>
      </c>
      <c r="H4950" s="1219">
        <v>5.0000000000000001E-4</v>
      </c>
      <c r="K4950" s="1192" t="s">
        <v>4388</v>
      </c>
      <c r="L4950" s="1192" t="s">
        <v>2374</v>
      </c>
      <c r="P4950" s="1192" t="s">
        <v>4395</v>
      </c>
      <c r="V4950" s="1192">
        <v>57</v>
      </c>
    </row>
    <row r="4951" spans="1:22" s="1192" customFormat="1" ht="14.4" x14ac:dyDescent="0.3">
      <c r="A4951" s="1192" t="s">
        <v>189</v>
      </c>
      <c r="E4951" s="1741" t="s">
        <v>28</v>
      </c>
      <c r="F4951" s="1741"/>
      <c r="G4951" s="524" t="s">
        <v>19</v>
      </c>
      <c r="H4951" s="1218">
        <v>0.25</v>
      </c>
      <c r="K4951" s="1192" t="s">
        <v>4388</v>
      </c>
      <c r="L4951" s="1192" t="s">
        <v>2374</v>
      </c>
      <c r="P4951" s="1192" t="s">
        <v>4396</v>
      </c>
      <c r="V4951" s="1192">
        <v>63</v>
      </c>
    </row>
    <row r="4952" spans="1:22" s="1192" customFormat="1" ht="17.399999999999999" x14ac:dyDescent="0.3">
      <c r="A4952" s="1192" t="s">
        <v>189</v>
      </c>
      <c r="E4952" s="2017" t="s">
        <v>592</v>
      </c>
      <c r="F4952" s="1987"/>
      <c r="G4952" s="1987"/>
      <c r="H4952" s="1987"/>
      <c r="K4952" s="1192" t="s">
        <v>2676</v>
      </c>
      <c r="V4952" s="1192">
        <v>47</v>
      </c>
    </row>
    <row r="4953" spans="1:22" s="1192" customFormat="1" ht="14.4" x14ac:dyDescent="0.3">
      <c r="A4953" s="1192" t="s">
        <v>189</v>
      </c>
      <c r="E4953" s="1743" t="s">
        <v>3348</v>
      </c>
      <c r="F4953" s="1743"/>
      <c r="G4953" s="1743"/>
      <c r="H4953" s="1743"/>
      <c r="K4953" s="1192" t="s">
        <v>2676</v>
      </c>
      <c r="V4953" s="1192">
        <v>609</v>
      </c>
    </row>
    <row r="4954" spans="1:22" s="1192" customFormat="1" ht="14.4" x14ac:dyDescent="0.3">
      <c r="A4954" s="1192" t="s">
        <v>189</v>
      </c>
      <c r="E4954" s="2018" t="s">
        <v>2389</v>
      </c>
      <c r="F4954" s="1988"/>
      <c r="G4954" s="1988"/>
      <c r="H4954" s="1988"/>
      <c r="K4954" s="1192" t="s">
        <v>2529</v>
      </c>
      <c r="V4954" s="1192">
        <v>11</v>
      </c>
    </row>
    <row r="4955" spans="1:22" s="1192" customFormat="1" ht="14.4" x14ac:dyDescent="0.3">
      <c r="A4955" s="1192" t="s">
        <v>189</v>
      </c>
      <c r="E4955" s="1743" t="s">
        <v>2391</v>
      </c>
      <c r="F4955" s="1743"/>
      <c r="G4955" s="1743"/>
      <c r="H4955" s="1743"/>
      <c r="K4955" s="1192" t="s">
        <v>2676</v>
      </c>
      <c r="V4955" s="1192">
        <v>280</v>
      </c>
    </row>
    <row r="4956" spans="1:22" s="1192" customFormat="1" ht="14.4" x14ac:dyDescent="0.3">
      <c r="A4956" s="1192" t="s">
        <v>189</v>
      </c>
      <c r="E4956" s="1743" t="s">
        <v>2392</v>
      </c>
      <c r="F4956" s="1743"/>
      <c r="G4956" s="1743"/>
      <c r="H4956" s="1743"/>
      <c r="K4956" s="1192" t="s">
        <v>2676</v>
      </c>
      <c r="V4956" s="1192">
        <v>411</v>
      </c>
    </row>
    <row r="4957" spans="1:22" s="1192" customFormat="1" ht="14.4" x14ac:dyDescent="0.3">
      <c r="A4957" s="1192" t="s">
        <v>189</v>
      </c>
      <c r="E4957" s="1743" t="s">
        <v>3146</v>
      </c>
      <c r="F4957" s="1743"/>
      <c r="G4957" s="1743"/>
      <c r="H4957" s="1743"/>
      <c r="K4957" s="1192" t="s">
        <v>2676</v>
      </c>
      <c r="V4957" s="1192">
        <v>390</v>
      </c>
    </row>
    <row r="4958" spans="1:22" s="1192" customFormat="1" ht="14.4" x14ac:dyDescent="0.3">
      <c r="A4958" s="1192" t="s">
        <v>189</v>
      </c>
      <c r="E4958" s="1743" t="s">
        <v>2986</v>
      </c>
      <c r="F4958" s="1743"/>
      <c r="G4958" s="1743"/>
      <c r="H4958" s="1743"/>
      <c r="K4958" s="1192" t="s">
        <v>2676</v>
      </c>
      <c r="V4958" s="1192">
        <v>246</v>
      </c>
    </row>
    <row r="4959" spans="1:22" s="1192" customFormat="1" ht="14.4" x14ac:dyDescent="0.3">
      <c r="A4959" s="1192" t="s">
        <v>189</v>
      </c>
      <c r="E4959" s="2018" t="s">
        <v>2394</v>
      </c>
      <c r="F4959" s="1988"/>
      <c r="G4959" s="1988"/>
      <c r="H4959" s="1988"/>
      <c r="K4959" s="1192" t="s">
        <v>2531</v>
      </c>
      <c r="V4959" s="1192">
        <v>46</v>
      </c>
    </row>
    <row r="4960" spans="1:22" s="1192" customFormat="1" ht="14.4" x14ac:dyDescent="0.3">
      <c r="A4960" s="1192" t="s">
        <v>189</v>
      </c>
      <c r="E4960" s="1741" t="s">
        <v>9</v>
      </c>
      <c r="F4960" s="1741"/>
      <c r="G4960" s="524" t="s">
        <v>19</v>
      </c>
      <c r="H4960" s="1218">
        <v>21.6</v>
      </c>
      <c r="K4960" s="1192" t="s">
        <v>2676</v>
      </c>
      <c r="L4960" s="1192" t="s">
        <v>430</v>
      </c>
      <c r="P4960" s="1192" t="s">
        <v>2678</v>
      </c>
      <c r="V4960" s="1192">
        <v>29</v>
      </c>
    </row>
    <row r="4961" spans="1:22" s="1192" customFormat="1" ht="14.4" x14ac:dyDescent="0.3">
      <c r="A4961" s="1192" t="s">
        <v>189</v>
      </c>
      <c r="E4961" s="1741" t="s">
        <v>80</v>
      </c>
      <c r="F4961" s="1741"/>
      <c r="G4961" s="524" t="s">
        <v>20</v>
      </c>
      <c r="H4961" s="1219">
        <v>1.6000000000000001E-3</v>
      </c>
      <c r="K4961" s="1192" t="s">
        <v>2676</v>
      </c>
      <c r="L4961" s="1192" t="s">
        <v>430</v>
      </c>
      <c r="P4961" s="1192" t="s">
        <v>2679</v>
      </c>
      <c r="V4961" s="1192">
        <v>28</v>
      </c>
    </row>
    <row r="4962" spans="1:22" s="1192" customFormat="1" ht="14.4" x14ac:dyDescent="0.3">
      <c r="A4962" s="1192" t="s">
        <v>189</v>
      </c>
      <c r="E4962" s="1741" t="s">
        <v>14</v>
      </c>
      <c r="F4962" s="1741"/>
      <c r="G4962" s="524" t="s">
        <v>20</v>
      </c>
      <c r="H4962" s="1219">
        <v>2E-3</v>
      </c>
      <c r="K4962" s="1192" t="s">
        <v>2676</v>
      </c>
      <c r="L4962" s="1192" t="s">
        <v>431</v>
      </c>
      <c r="P4962" s="1192" t="s">
        <v>2809</v>
      </c>
      <c r="V4962" s="1192">
        <v>24</v>
      </c>
    </row>
    <row r="4963" spans="1:22" s="1192" customFormat="1" ht="14.4" x14ac:dyDescent="0.3">
      <c r="A4963" s="1192" t="s">
        <v>189</v>
      </c>
      <c r="E4963" s="1741" t="s">
        <v>6068</v>
      </c>
      <c r="F4963" s="1998"/>
      <c r="G4963" s="524" t="s">
        <v>20</v>
      </c>
      <c r="H4963" s="1219">
        <v>-2.0999999999999999E-3</v>
      </c>
      <c r="K4963" s="1192" t="s">
        <v>2676</v>
      </c>
      <c r="L4963" s="1192" t="s">
        <v>431</v>
      </c>
      <c r="P4963" s="1192" t="s">
        <v>2810</v>
      </c>
      <c r="T4963" s="1192">
        <v>44196</v>
      </c>
      <c r="V4963" s="1192">
        <v>173</v>
      </c>
    </row>
    <row r="4964" spans="1:22" s="1192" customFormat="1" ht="14.4" x14ac:dyDescent="0.3">
      <c r="A4964" s="1192" t="s">
        <v>189</v>
      </c>
      <c r="E4964" s="1741" t="s">
        <v>6145</v>
      </c>
      <c r="F4964" s="1998"/>
      <c r="G4964" s="524" t="s">
        <v>20</v>
      </c>
      <c r="H4964" s="1219">
        <v>-1E-4</v>
      </c>
      <c r="K4964" s="1192" t="s">
        <v>2676</v>
      </c>
      <c r="L4964" s="1192" t="s">
        <v>430</v>
      </c>
      <c r="P4964" s="1192" t="s">
        <v>2680</v>
      </c>
      <c r="T4964" s="1192">
        <v>44196</v>
      </c>
      <c r="V4964" s="1192">
        <v>139</v>
      </c>
    </row>
    <row r="4965" spans="1:22" s="1192" customFormat="1" ht="14.4" x14ac:dyDescent="0.3">
      <c r="A4965" s="1192" t="s">
        <v>189</v>
      </c>
      <c r="E4965" s="1741" t="s">
        <v>6290</v>
      </c>
      <c r="F4965" s="1998"/>
      <c r="G4965" s="524" t="s">
        <v>20</v>
      </c>
      <c r="H4965" s="1219">
        <v>1E-3</v>
      </c>
      <c r="K4965" s="1192" t="s">
        <v>2676</v>
      </c>
      <c r="L4965" s="1192" t="s">
        <v>431</v>
      </c>
      <c r="P4965" s="1192" t="s">
        <v>2681</v>
      </c>
      <c r="T4965" s="1192">
        <v>44196</v>
      </c>
      <c r="V4965" s="1192">
        <v>137</v>
      </c>
    </row>
    <row r="4966" spans="1:22" s="1192" customFormat="1" ht="14.4" x14ac:dyDescent="0.3">
      <c r="A4966" s="1192" t="s">
        <v>189</v>
      </c>
      <c r="E4966" s="1741" t="s">
        <v>6291</v>
      </c>
      <c r="F4966" s="1998"/>
      <c r="G4966" s="524" t="s">
        <v>20</v>
      </c>
      <c r="H4966" s="1219">
        <v>-4.0000000000000002E-4</v>
      </c>
      <c r="K4966" s="1192" t="s">
        <v>2676</v>
      </c>
      <c r="L4966" s="1192" t="s">
        <v>431</v>
      </c>
      <c r="P4966" s="1192" t="s">
        <v>3898</v>
      </c>
      <c r="T4966" s="1192">
        <v>44196</v>
      </c>
      <c r="V4966" s="1192">
        <v>180</v>
      </c>
    </row>
    <row r="4967" spans="1:22" s="1192" customFormat="1" ht="14.4" x14ac:dyDescent="0.3">
      <c r="A4967" s="1192" t="s">
        <v>189</v>
      </c>
      <c r="E4967" s="1741" t="s">
        <v>3347</v>
      </c>
      <c r="F4967" s="1741"/>
      <c r="G4967" s="524" t="s">
        <v>20</v>
      </c>
      <c r="H4967" s="795">
        <v>-2.3999999999999998E-3</v>
      </c>
      <c r="K4967" s="1192" t="s">
        <v>2676</v>
      </c>
      <c r="L4967" s="1192" t="s">
        <v>430</v>
      </c>
      <c r="P4967" s="1192" t="s">
        <v>6293</v>
      </c>
      <c r="T4967" s="1192">
        <v>44196</v>
      </c>
      <c r="V4967" s="1192">
        <v>85</v>
      </c>
    </row>
    <row r="4968" spans="1:22" s="1192" customFormat="1" ht="14.4" x14ac:dyDescent="0.3">
      <c r="A4968" s="1192" t="s">
        <v>189</v>
      </c>
      <c r="E4968" s="1741" t="s">
        <v>213</v>
      </c>
      <c r="F4968" s="1741"/>
      <c r="G4968" s="524" t="s">
        <v>20</v>
      </c>
      <c r="H4968" s="1219">
        <v>5.7999999999999996E-3</v>
      </c>
      <c r="K4968" s="1192" t="s">
        <v>2676</v>
      </c>
      <c r="L4968" s="1192" t="s">
        <v>432</v>
      </c>
      <c r="P4968" s="1192" t="s">
        <v>2682</v>
      </c>
      <c r="V4968" s="1192">
        <v>47</v>
      </c>
    </row>
    <row r="4969" spans="1:22" s="1192" customFormat="1" ht="14.4" x14ac:dyDescent="0.3">
      <c r="A4969" s="1192" t="s">
        <v>189</v>
      </c>
      <c r="E4969" s="1741" t="s">
        <v>209</v>
      </c>
      <c r="F4969" s="1741"/>
      <c r="G4969" s="524" t="s">
        <v>20</v>
      </c>
      <c r="H4969" s="1219">
        <v>4.1000000000000003E-3</v>
      </c>
      <c r="K4969" s="1192" t="s">
        <v>2676</v>
      </c>
      <c r="L4969" s="1192" t="s">
        <v>432</v>
      </c>
      <c r="P4969" s="1192" t="s">
        <v>2683</v>
      </c>
      <c r="V4969" s="1192">
        <v>74</v>
      </c>
    </row>
    <row r="4970" spans="1:22" s="1192" customFormat="1" ht="14.4" x14ac:dyDescent="0.3">
      <c r="A4970" s="1192" t="s">
        <v>189</v>
      </c>
      <c r="E4970" s="1750" t="s">
        <v>2405</v>
      </c>
      <c r="F4970" s="1741"/>
      <c r="G4970" s="1277"/>
      <c r="H4970" s="896"/>
      <c r="K4970" s="1192" t="s">
        <v>2532</v>
      </c>
      <c r="V4970" s="1192">
        <v>48</v>
      </c>
    </row>
    <row r="4971" spans="1:22" s="1192" customFormat="1" ht="14.4" x14ac:dyDescent="0.3">
      <c r="A4971" s="1192" t="s">
        <v>189</v>
      </c>
      <c r="E4971" s="1741" t="s">
        <v>2033</v>
      </c>
      <c r="F4971" s="1741"/>
      <c r="G4971" s="524" t="s">
        <v>20</v>
      </c>
      <c r="H4971" s="1219">
        <v>3.0000000000000001E-3</v>
      </c>
      <c r="K4971" s="1192" t="s">
        <v>2676</v>
      </c>
      <c r="L4971" s="1192" t="s">
        <v>2374</v>
      </c>
      <c r="P4971" s="1192" t="s">
        <v>2684</v>
      </c>
      <c r="V4971" s="1192">
        <v>55</v>
      </c>
    </row>
    <row r="4972" spans="1:22" s="1192" customFormat="1" ht="14.4" x14ac:dyDescent="0.3">
      <c r="A4972" s="1192" t="s">
        <v>189</v>
      </c>
      <c r="E4972" s="1741" t="s">
        <v>2034</v>
      </c>
      <c r="F4972" s="1741"/>
      <c r="G4972" s="524" t="s">
        <v>20</v>
      </c>
      <c r="H4972" s="1219">
        <v>4.0000000000000002E-4</v>
      </c>
      <c r="K4972" s="1192" t="s">
        <v>2676</v>
      </c>
      <c r="L4972" s="1192" t="s">
        <v>2374</v>
      </c>
      <c r="P4972" s="1192" t="s">
        <v>2684</v>
      </c>
      <c r="V4972" s="1192">
        <v>65</v>
      </c>
    </row>
    <row r="4973" spans="1:22" s="1192" customFormat="1" ht="14.4" x14ac:dyDescent="0.3">
      <c r="A4973" s="1192" t="s">
        <v>189</v>
      </c>
      <c r="E4973" s="1741" t="s">
        <v>428</v>
      </c>
      <c r="F4973" s="1741"/>
      <c r="G4973" s="524" t="s">
        <v>20</v>
      </c>
      <c r="H4973" s="1219">
        <v>5.0000000000000001E-4</v>
      </c>
      <c r="K4973" s="1192" t="s">
        <v>2676</v>
      </c>
      <c r="L4973" s="1192" t="s">
        <v>2374</v>
      </c>
      <c r="P4973" s="1192" t="s">
        <v>2685</v>
      </c>
      <c r="V4973" s="1192">
        <v>57</v>
      </c>
    </row>
    <row r="4974" spans="1:22" s="1192" customFormat="1" ht="14.4" x14ac:dyDescent="0.3">
      <c r="A4974" s="1192" t="s">
        <v>189</v>
      </c>
      <c r="E4974" s="1741" t="s">
        <v>28</v>
      </c>
      <c r="F4974" s="1741"/>
      <c r="G4974" s="524" t="s">
        <v>19</v>
      </c>
      <c r="H4974" s="1218">
        <v>0.25</v>
      </c>
      <c r="K4974" s="1192" t="s">
        <v>2676</v>
      </c>
      <c r="L4974" s="1192" t="s">
        <v>2374</v>
      </c>
      <c r="P4974" s="1192" t="s">
        <v>2686</v>
      </c>
      <c r="V4974" s="1192">
        <v>63</v>
      </c>
    </row>
    <row r="4975" spans="1:22" s="1192" customFormat="1" ht="17.399999999999999" x14ac:dyDescent="0.3">
      <c r="A4975" s="1192" t="s">
        <v>189</v>
      </c>
      <c r="E4975" s="2017" t="s">
        <v>590</v>
      </c>
      <c r="F4975" s="1987"/>
      <c r="G4975" s="1987"/>
      <c r="H4975" s="1987"/>
      <c r="K4975" s="1192" t="s">
        <v>2687</v>
      </c>
      <c r="V4975" s="1192">
        <v>38</v>
      </c>
    </row>
    <row r="4976" spans="1:22" s="1192" customFormat="1" ht="14.4" x14ac:dyDescent="0.3">
      <c r="A4976" s="1192" t="s">
        <v>189</v>
      </c>
      <c r="E4976" s="1743" t="s">
        <v>3069</v>
      </c>
      <c r="F4976" s="1743"/>
      <c r="G4976" s="1743"/>
      <c r="H4976" s="1743"/>
      <c r="K4976" s="1192" t="s">
        <v>2687</v>
      </c>
      <c r="V4976" s="1192">
        <v>543</v>
      </c>
    </row>
    <row r="4977" spans="1:22" s="1192" customFormat="1" ht="14.4" x14ac:dyDescent="0.3">
      <c r="A4977" s="1192" t="s">
        <v>189</v>
      </c>
      <c r="E4977" s="2018" t="s">
        <v>2389</v>
      </c>
      <c r="F4977" s="1988"/>
      <c r="G4977" s="1988"/>
      <c r="H4977" s="1988"/>
      <c r="K4977" s="1192" t="s">
        <v>2424</v>
      </c>
      <c r="V4977" s="1192">
        <v>11</v>
      </c>
    </row>
    <row r="4978" spans="1:22" s="1192" customFormat="1" ht="14.4" x14ac:dyDescent="0.3">
      <c r="A4978" s="1192" t="s">
        <v>189</v>
      </c>
      <c r="E4978" s="1743" t="s">
        <v>2391</v>
      </c>
      <c r="F4978" s="1743"/>
      <c r="G4978" s="1743"/>
      <c r="H4978" s="1743"/>
      <c r="K4978" s="1192" t="s">
        <v>2687</v>
      </c>
      <c r="V4978" s="1192">
        <v>280</v>
      </c>
    </row>
    <row r="4979" spans="1:22" s="1192" customFormat="1" ht="14.4" x14ac:dyDescent="0.3">
      <c r="A4979" s="1192" t="s">
        <v>189</v>
      </c>
      <c r="E4979" s="1743" t="s">
        <v>2392</v>
      </c>
      <c r="F4979" s="1743"/>
      <c r="G4979" s="1743"/>
      <c r="H4979" s="1743"/>
      <c r="K4979" s="1192" t="s">
        <v>2687</v>
      </c>
      <c r="V4979" s="1192">
        <v>411</v>
      </c>
    </row>
    <row r="4980" spans="1:22" s="1192" customFormat="1" ht="14.4" x14ac:dyDescent="0.3">
      <c r="A4980" s="1192" t="s">
        <v>189</v>
      </c>
      <c r="E4980" s="1743" t="s">
        <v>3146</v>
      </c>
      <c r="F4980" s="1743"/>
      <c r="G4980" s="1743"/>
      <c r="H4980" s="1743"/>
      <c r="K4980" s="1192" t="s">
        <v>2687</v>
      </c>
      <c r="V4980" s="1192">
        <v>390</v>
      </c>
    </row>
    <row r="4981" spans="1:22" s="1192" customFormat="1" ht="14.4" x14ac:dyDescent="0.3">
      <c r="A4981" s="1192" t="s">
        <v>189</v>
      </c>
      <c r="E4981" s="1743" t="s">
        <v>2986</v>
      </c>
      <c r="F4981" s="1743"/>
      <c r="G4981" s="1743"/>
      <c r="H4981" s="1743"/>
      <c r="K4981" s="1192" t="s">
        <v>2687</v>
      </c>
      <c r="V4981" s="1192">
        <v>246</v>
      </c>
    </row>
    <row r="4982" spans="1:22" s="1192" customFormat="1" ht="14.4" x14ac:dyDescent="0.3">
      <c r="A4982" s="1192" t="s">
        <v>189</v>
      </c>
      <c r="E4982" s="2018" t="s">
        <v>2394</v>
      </c>
      <c r="F4982" s="1988"/>
      <c r="G4982" s="1988"/>
      <c r="H4982" s="1988"/>
      <c r="K4982" s="1192" t="s">
        <v>2425</v>
      </c>
      <c r="V4982" s="1192">
        <v>46</v>
      </c>
    </row>
    <row r="4983" spans="1:22" s="1192" customFormat="1" ht="14.4" x14ac:dyDescent="0.3">
      <c r="A4983" s="1192" t="s">
        <v>189</v>
      </c>
      <c r="E4983" s="1741" t="s">
        <v>8</v>
      </c>
      <c r="F4983" s="1741"/>
      <c r="G4983" s="524" t="s">
        <v>19</v>
      </c>
      <c r="H4983" s="1218">
        <v>2.0299999999999998</v>
      </c>
      <c r="K4983" s="1192" t="s">
        <v>2687</v>
      </c>
      <c r="L4983" s="1192" t="s">
        <v>430</v>
      </c>
      <c r="P4983" s="1192" t="s">
        <v>2689</v>
      </c>
      <c r="V4983" s="1192">
        <v>31</v>
      </c>
    </row>
    <row r="4984" spans="1:22" s="1192" customFormat="1" ht="14.4" x14ac:dyDescent="0.3">
      <c r="A4984" s="1192" t="s">
        <v>189</v>
      </c>
      <c r="E4984" s="1741" t="s">
        <v>80</v>
      </c>
      <c r="F4984" s="1741"/>
      <c r="G4984" s="524" t="s">
        <v>29</v>
      </c>
      <c r="H4984" s="1219">
        <v>4.2866</v>
      </c>
      <c r="K4984" s="1192" t="s">
        <v>2687</v>
      </c>
      <c r="L4984" s="1192" t="s">
        <v>430</v>
      </c>
      <c r="P4984" s="1192" t="s">
        <v>2690</v>
      </c>
      <c r="V4984" s="1192">
        <v>28</v>
      </c>
    </row>
    <row r="4985" spans="1:22" s="1192" customFormat="1" ht="14.4" x14ac:dyDescent="0.3">
      <c r="A4985" s="1192" t="s">
        <v>189</v>
      </c>
      <c r="E4985" s="1741" t="s">
        <v>14</v>
      </c>
      <c r="F4985" s="1741"/>
      <c r="G4985" s="524" t="s">
        <v>29</v>
      </c>
      <c r="H4985" s="1219">
        <v>0.58650000000000002</v>
      </c>
      <c r="K4985" s="1192" t="s">
        <v>2687</v>
      </c>
      <c r="L4985" s="1192" t="s">
        <v>431</v>
      </c>
      <c r="P4985" s="1192" t="s">
        <v>2812</v>
      </c>
      <c r="V4985" s="1192">
        <v>24</v>
      </c>
    </row>
    <row r="4986" spans="1:22" s="1192" customFormat="1" ht="14.4" x14ac:dyDescent="0.3">
      <c r="A4986" s="1192" t="s">
        <v>189</v>
      </c>
      <c r="E4986" s="1741" t="s">
        <v>6068</v>
      </c>
      <c r="F4986" s="1998"/>
      <c r="G4986" s="524" t="s">
        <v>20</v>
      </c>
      <c r="H4986" s="1219">
        <v>-2.0999999999999999E-3</v>
      </c>
      <c r="K4986" s="1192" t="s">
        <v>2687</v>
      </c>
      <c r="L4986" s="1192" t="s">
        <v>431</v>
      </c>
      <c r="P4986" s="1192" t="s">
        <v>2691</v>
      </c>
      <c r="T4986" s="1192">
        <v>44196</v>
      </c>
      <c r="V4986" s="1192">
        <v>173</v>
      </c>
    </row>
    <row r="4987" spans="1:22" s="1192" customFormat="1" ht="14.4" x14ac:dyDescent="0.3">
      <c r="A4987" s="1192" t="s">
        <v>189</v>
      </c>
      <c r="E4987" s="1741" t="s">
        <v>6145</v>
      </c>
      <c r="F4987" s="1998"/>
      <c r="G4987" s="524" t="s">
        <v>29</v>
      </c>
      <c r="H4987" s="1219">
        <v>-0.1308</v>
      </c>
      <c r="K4987" s="1192" t="s">
        <v>2687</v>
      </c>
      <c r="L4987" s="1192" t="s">
        <v>430</v>
      </c>
      <c r="P4987" s="1192" t="s">
        <v>2692</v>
      </c>
      <c r="T4987" s="1192">
        <v>44196</v>
      </c>
      <c r="V4987" s="1192">
        <v>139</v>
      </c>
    </row>
    <row r="4988" spans="1:22" s="1192" customFormat="1" ht="14.4" x14ac:dyDescent="0.3">
      <c r="A4988" s="1192" t="s">
        <v>189</v>
      </c>
      <c r="E4988" s="1741" t="s">
        <v>6290</v>
      </c>
      <c r="F4988" s="1998"/>
      <c r="G4988" s="524" t="s">
        <v>29</v>
      </c>
      <c r="H4988" s="1219">
        <v>0.36620000000000003</v>
      </c>
      <c r="K4988" s="1192" t="s">
        <v>2687</v>
      </c>
      <c r="L4988" s="1192" t="s">
        <v>431</v>
      </c>
      <c r="P4988" s="1192" t="s">
        <v>2693</v>
      </c>
      <c r="T4988" s="1192">
        <v>44196</v>
      </c>
      <c r="V4988" s="1192">
        <v>137</v>
      </c>
    </row>
    <row r="4989" spans="1:22" s="1192" customFormat="1" ht="14.4" x14ac:dyDescent="0.3">
      <c r="A4989" s="1192" t="s">
        <v>189</v>
      </c>
      <c r="E4989" s="1741" t="s">
        <v>6294</v>
      </c>
      <c r="F4989" s="1998"/>
      <c r="G4989" s="524" t="s">
        <v>29</v>
      </c>
      <c r="H4989" s="1219">
        <v>-0.1336</v>
      </c>
      <c r="K4989" s="1192" t="s">
        <v>2687</v>
      </c>
      <c r="L4989" s="1192" t="s">
        <v>431</v>
      </c>
      <c r="P4989" s="1192" t="s">
        <v>3899</v>
      </c>
      <c r="T4989" s="1192">
        <v>44196</v>
      </c>
      <c r="V4989" s="1192">
        <v>179</v>
      </c>
    </row>
    <row r="4990" spans="1:22" s="1192" customFormat="1" ht="14.4" x14ac:dyDescent="0.3">
      <c r="A4990" s="1192" t="s">
        <v>189</v>
      </c>
      <c r="E4990" s="1741" t="s">
        <v>3347</v>
      </c>
      <c r="F4990" s="1741"/>
      <c r="G4990" s="524" t="s">
        <v>29</v>
      </c>
      <c r="H4990" s="795">
        <v>-0.85319999999999996</v>
      </c>
      <c r="K4990" s="1192" t="s">
        <v>2687</v>
      </c>
      <c r="L4990" s="1192" t="s">
        <v>430</v>
      </c>
      <c r="P4990" s="1192" t="s">
        <v>6295</v>
      </c>
      <c r="T4990" s="1192">
        <v>44196</v>
      </c>
      <c r="V4990" s="1192">
        <v>85</v>
      </c>
    </row>
    <row r="4991" spans="1:22" s="1192" customFormat="1" ht="14.4" x14ac:dyDescent="0.3">
      <c r="A4991" s="1192" t="s">
        <v>189</v>
      </c>
      <c r="E4991" s="1741" t="s">
        <v>213</v>
      </c>
      <c r="F4991" s="1741"/>
      <c r="G4991" s="524" t="s">
        <v>29</v>
      </c>
      <c r="H4991" s="1219">
        <v>1.7975000000000001</v>
      </c>
      <c r="K4991" s="1192" t="s">
        <v>2687</v>
      </c>
      <c r="L4991" s="1192" t="s">
        <v>432</v>
      </c>
      <c r="P4991" s="1192" t="s">
        <v>2694</v>
      </c>
      <c r="V4991" s="1192">
        <v>47</v>
      </c>
    </row>
    <row r="4992" spans="1:22" s="1192" customFormat="1" ht="14.4" x14ac:dyDescent="0.3">
      <c r="A4992" s="1192" t="s">
        <v>189</v>
      </c>
      <c r="E4992" s="1741" t="s">
        <v>209</v>
      </c>
      <c r="F4992" s="1741"/>
      <c r="G4992" s="524" t="s">
        <v>29</v>
      </c>
      <c r="H4992" s="1219">
        <v>1.2077</v>
      </c>
      <c r="K4992" s="1192" t="s">
        <v>2687</v>
      </c>
      <c r="L4992" s="1192" t="s">
        <v>432</v>
      </c>
      <c r="P4992" s="1192" t="s">
        <v>2813</v>
      </c>
      <c r="V4992" s="1192">
        <v>74</v>
      </c>
    </row>
    <row r="4993" spans="1:22" s="1192" customFormat="1" ht="14.4" x14ac:dyDescent="0.3">
      <c r="A4993" s="1192" t="s">
        <v>189</v>
      </c>
      <c r="E4993" s="1750" t="s">
        <v>2405</v>
      </c>
      <c r="F4993" s="1741"/>
      <c r="G4993" s="1277"/>
      <c r="H4993" s="896"/>
      <c r="K4993" s="1192" t="s">
        <v>2427</v>
      </c>
      <c r="V4993" s="1192">
        <v>48</v>
      </c>
    </row>
    <row r="4994" spans="1:22" s="1192" customFormat="1" ht="14.4" x14ac:dyDescent="0.3">
      <c r="A4994" s="1192" t="s">
        <v>189</v>
      </c>
      <c r="E4994" s="1741" t="s">
        <v>2033</v>
      </c>
      <c r="F4994" s="1741"/>
      <c r="G4994" s="524" t="s">
        <v>20</v>
      </c>
      <c r="H4994" s="1219">
        <v>3.0000000000000001E-3</v>
      </c>
      <c r="K4994" s="1192" t="s">
        <v>2687</v>
      </c>
      <c r="L4994" s="1192" t="s">
        <v>2374</v>
      </c>
      <c r="P4994" s="1192" t="s">
        <v>2696</v>
      </c>
      <c r="V4994" s="1192">
        <v>55</v>
      </c>
    </row>
    <row r="4995" spans="1:22" s="1192" customFormat="1" ht="14.4" x14ac:dyDescent="0.3">
      <c r="A4995" s="1192" t="s">
        <v>189</v>
      </c>
      <c r="E4995" s="1741" t="s">
        <v>2034</v>
      </c>
      <c r="F4995" s="1741"/>
      <c r="G4995" s="524" t="s">
        <v>20</v>
      </c>
      <c r="H4995" s="1219">
        <v>4.0000000000000002E-4</v>
      </c>
      <c r="K4995" s="1192" t="s">
        <v>2687</v>
      </c>
      <c r="L4995" s="1192" t="s">
        <v>2374</v>
      </c>
      <c r="P4995" s="1192" t="s">
        <v>2696</v>
      </c>
      <c r="V4995" s="1192">
        <v>65</v>
      </c>
    </row>
    <row r="4996" spans="1:22" s="1192" customFormat="1" ht="14.4" x14ac:dyDescent="0.3">
      <c r="A4996" s="1192" t="s">
        <v>189</v>
      </c>
      <c r="E4996" s="1741" t="s">
        <v>428</v>
      </c>
      <c r="F4996" s="1741"/>
      <c r="G4996" s="524" t="s">
        <v>20</v>
      </c>
      <c r="H4996" s="1219">
        <v>5.0000000000000001E-4</v>
      </c>
      <c r="K4996" s="1192" t="s">
        <v>2687</v>
      </c>
      <c r="L4996" s="1192" t="s">
        <v>2374</v>
      </c>
      <c r="P4996" s="1192" t="s">
        <v>2697</v>
      </c>
      <c r="V4996" s="1192">
        <v>57</v>
      </c>
    </row>
    <row r="4997" spans="1:22" s="1192" customFormat="1" ht="14.4" x14ac:dyDescent="0.3">
      <c r="A4997" s="1192" t="s">
        <v>189</v>
      </c>
      <c r="E4997" s="1741" t="s">
        <v>28</v>
      </c>
      <c r="F4997" s="1741"/>
      <c r="G4997" s="524" t="s">
        <v>19</v>
      </c>
      <c r="H4997" s="1218">
        <v>0.25</v>
      </c>
      <c r="K4997" s="1192" t="s">
        <v>2687</v>
      </c>
      <c r="L4997" s="1192" t="s">
        <v>2374</v>
      </c>
      <c r="P4997" s="1192" t="s">
        <v>2698</v>
      </c>
      <c r="V4997" s="1192">
        <v>63</v>
      </c>
    </row>
    <row r="4998" spans="1:22" s="1192" customFormat="1" ht="17.399999999999999" x14ac:dyDescent="0.3">
      <c r="A4998" s="1192" t="s">
        <v>189</v>
      </c>
      <c r="E4998" s="2017" t="s">
        <v>593</v>
      </c>
      <c r="F4998" s="1987"/>
      <c r="G4998" s="1987"/>
      <c r="H4998" s="1987"/>
      <c r="K4998" s="1192" t="s">
        <v>2651</v>
      </c>
      <c r="V4998" s="1192">
        <v>31</v>
      </c>
    </row>
    <row r="4999" spans="1:22" s="1192" customFormat="1" ht="14.4" x14ac:dyDescent="0.3">
      <c r="A4999" s="1192" t="s">
        <v>189</v>
      </c>
      <c r="E4999" s="1743" t="s">
        <v>2443</v>
      </c>
      <c r="F4999" s="1743"/>
      <c r="G4999" s="1743"/>
      <c r="H4999" s="1743"/>
      <c r="K4999" s="1192" t="s">
        <v>2651</v>
      </c>
      <c r="V4999" s="1192">
        <v>286</v>
      </c>
    </row>
    <row r="5000" spans="1:22" s="1192" customFormat="1" ht="14.4" x14ac:dyDescent="0.3">
      <c r="A5000" s="1192" t="s">
        <v>189</v>
      </c>
      <c r="E5000" s="2018" t="s">
        <v>2389</v>
      </c>
      <c r="F5000" s="1988"/>
      <c r="G5000" s="1988"/>
      <c r="H5000" s="1988"/>
      <c r="K5000" s="1192" t="s">
        <v>2430</v>
      </c>
      <c r="V5000" s="1192">
        <v>11</v>
      </c>
    </row>
    <row r="5001" spans="1:22" s="1192" customFormat="1" ht="14.4" x14ac:dyDescent="0.3">
      <c r="A5001" s="1192" t="s">
        <v>189</v>
      </c>
      <c r="E5001" s="1743" t="s">
        <v>2391</v>
      </c>
      <c r="F5001" s="1743"/>
      <c r="G5001" s="1743"/>
      <c r="H5001" s="1743"/>
      <c r="K5001" s="1192" t="s">
        <v>2651</v>
      </c>
      <c r="V5001" s="1192">
        <v>280</v>
      </c>
    </row>
    <row r="5002" spans="1:22" s="1192" customFormat="1" ht="14.4" x14ac:dyDescent="0.3">
      <c r="A5002" s="1192" t="s">
        <v>189</v>
      </c>
      <c r="E5002" s="1743" t="s">
        <v>2392</v>
      </c>
      <c r="F5002" s="1743"/>
      <c r="G5002" s="1743"/>
      <c r="H5002" s="1743"/>
      <c r="K5002" s="1192" t="s">
        <v>2651</v>
      </c>
      <c r="V5002" s="1192">
        <v>411</v>
      </c>
    </row>
    <row r="5003" spans="1:22" s="1192" customFormat="1" ht="14.4" x14ac:dyDescent="0.3">
      <c r="A5003" s="1192" t="s">
        <v>189</v>
      </c>
      <c r="E5003" s="1743" t="s">
        <v>3349</v>
      </c>
      <c r="F5003" s="1743"/>
      <c r="G5003" s="1743"/>
      <c r="H5003" s="1743"/>
      <c r="K5003" s="1192" t="s">
        <v>2651</v>
      </c>
      <c r="V5003" s="1192">
        <v>212</v>
      </c>
    </row>
    <row r="5004" spans="1:22" s="1192" customFormat="1" ht="14.4" x14ac:dyDescent="0.3">
      <c r="A5004" s="1192" t="s">
        <v>189</v>
      </c>
      <c r="E5004" s="1743" t="s">
        <v>2986</v>
      </c>
      <c r="F5004" s="1743"/>
      <c r="G5004" s="1743"/>
      <c r="H5004" s="1743"/>
      <c r="K5004" s="1192" t="s">
        <v>2651</v>
      </c>
      <c r="V5004" s="1192">
        <v>246</v>
      </c>
    </row>
    <row r="5005" spans="1:22" s="1192" customFormat="1" ht="14.4" x14ac:dyDescent="0.3">
      <c r="A5005" s="1192" t="s">
        <v>189</v>
      </c>
      <c r="E5005" s="2018" t="s">
        <v>2394</v>
      </c>
      <c r="F5005" s="1988"/>
      <c r="G5005" s="1988"/>
      <c r="H5005" s="1988"/>
      <c r="K5005" s="1192" t="s">
        <v>2431</v>
      </c>
      <c r="V5005" s="1192">
        <v>46</v>
      </c>
    </row>
    <row r="5006" spans="1:22" s="1192" customFormat="1" ht="14.4" x14ac:dyDescent="0.3">
      <c r="A5006" s="1192" t="s">
        <v>189</v>
      </c>
      <c r="E5006" s="1741" t="s">
        <v>7</v>
      </c>
      <c r="F5006" s="1741"/>
      <c r="G5006" s="524" t="s">
        <v>19</v>
      </c>
      <c r="H5006" s="1218">
        <v>10</v>
      </c>
      <c r="K5006" s="1192" t="s">
        <v>2651</v>
      </c>
      <c r="L5006" s="1192" t="s">
        <v>430</v>
      </c>
      <c r="P5006" s="1192" t="s">
        <v>2653</v>
      </c>
      <c r="V5006" s="1192">
        <v>14</v>
      </c>
    </row>
    <row r="5007" spans="1:22" s="1192" customFormat="1" x14ac:dyDescent="0.35">
      <c r="A5007" s="1192" t="s">
        <v>189</v>
      </c>
      <c r="E5007" s="1269" t="s">
        <v>81</v>
      </c>
      <c r="F5007" s="550"/>
      <c r="G5007" s="550"/>
      <c r="H5007" s="918"/>
      <c r="K5007" s="1192" t="s">
        <v>3350</v>
      </c>
      <c r="V5007" s="1192">
        <v>10</v>
      </c>
    </row>
    <row r="5008" spans="1:22" s="1192" customFormat="1" ht="14.4" x14ac:dyDescent="0.3">
      <c r="A5008" s="1192" t="s">
        <v>189</v>
      </c>
      <c r="E5008" s="1741" t="s">
        <v>2449</v>
      </c>
      <c r="F5008" s="1741"/>
      <c r="G5008" s="1277" t="s">
        <v>29</v>
      </c>
      <c r="H5008" s="1219">
        <v>-0.6</v>
      </c>
      <c r="V5008" s="1192">
        <v>68</v>
      </c>
    </row>
    <row r="5009" spans="1:22" s="1192" customFormat="1" ht="14.4" x14ac:dyDescent="0.3">
      <c r="A5009" s="1192" t="s">
        <v>189</v>
      </c>
      <c r="E5009" s="1741" t="s">
        <v>2450</v>
      </c>
      <c r="F5009" s="1741"/>
      <c r="G5009" s="1277" t="s">
        <v>82</v>
      </c>
      <c r="H5009" s="1218">
        <v>-1</v>
      </c>
      <c r="V5009" s="1192">
        <v>87</v>
      </c>
    </row>
    <row r="5010" spans="1:22" s="1192" customFormat="1" x14ac:dyDescent="0.35">
      <c r="A5010" s="1192" t="s">
        <v>189</v>
      </c>
      <c r="E5010" s="1269" t="s">
        <v>83</v>
      </c>
      <c r="F5010" s="550"/>
      <c r="G5010" s="550"/>
      <c r="H5010" s="918"/>
      <c r="K5010" s="1192" t="s">
        <v>3351</v>
      </c>
      <c r="V5010" s="1192">
        <v>24</v>
      </c>
    </row>
    <row r="5011" spans="1:22" s="1192" customFormat="1" ht="14.4" x14ac:dyDescent="0.3">
      <c r="A5011" s="1192" t="s">
        <v>189</v>
      </c>
      <c r="E5011" s="1743" t="s">
        <v>2391</v>
      </c>
      <c r="F5011" s="1743"/>
      <c r="G5011" s="1743"/>
      <c r="H5011" s="1743"/>
      <c r="V5011" s="1192">
        <v>280</v>
      </c>
    </row>
    <row r="5012" spans="1:22" s="1192" customFormat="1" ht="14.4" x14ac:dyDescent="0.3">
      <c r="A5012" s="1192" t="s">
        <v>189</v>
      </c>
      <c r="E5012" s="1743" t="s">
        <v>3238</v>
      </c>
      <c r="F5012" s="1743"/>
      <c r="G5012" s="1743"/>
      <c r="H5012" s="1743"/>
      <c r="V5012" s="1192">
        <v>355</v>
      </c>
    </row>
    <row r="5013" spans="1:22" s="1192" customFormat="1" ht="14.4" x14ac:dyDescent="0.3">
      <c r="A5013" s="1192" t="s">
        <v>189</v>
      </c>
      <c r="E5013" s="1743" t="s">
        <v>4500</v>
      </c>
      <c r="F5013" s="1743"/>
      <c r="G5013" s="1743"/>
      <c r="H5013" s="1743"/>
      <c r="V5013" s="1192">
        <v>247</v>
      </c>
    </row>
    <row r="5014" spans="1:22" s="1192" customFormat="1" ht="14.4" x14ac:dyDescent="0.3">
      <c r="A5014" s="1192" t="s">
        <v>189</v>
      </c>
      <c r="E5014" s="1270" t="s">
        <v>2453</v>
      </c>
      <c r="F5014" s="3"/>
      <c r="G5014" s="3"/>
      <c r="H5014" s="919"/>
      <c r="K5014" s="1192" t="s">
        <v>3352</v>
      </c>
      <c r="V5014" s="1192">
        <v>23</v>
      </c>
    </row>
    <row r="5015" spans="1:22" s="1192" customFormat="1" ht="14.4" x14ac:dyDescent="0.3">
      <c r="A5015" s="1192" t="s">
        <v>189</v>
      </c>
      <c r="E5015" s="1942" t="s">
        <v>3663</v>
      </c>
      <c r="F5015" s="1942"/>
      <c r="G5015" s="1277" t="s">
        <v>19</v>
      </c>
      <c r="H5015" s="1218">
        <v>15</v>
      </c>
      <c r="V5015" s="1192">
        <v>15</v>
      </c>
    </row>
    <row r="5016" spans="1:22" s="1192" customFormat="1" ht="14.4" x14ac:dyDescent="0.3">
      <c r="A5016" s="1192" t="s">
        <v>189</v>
      </c>
      <c r="E5016" s="1942" t="s">
        <v>2463</v>
      </c>
      <c r="F5016" s="1942"/>
      <c r="G5016" s="1277" t="s">
        <v>19</v>
      </c>
      <c r="H5016" s="1218">
        <v>15</v>
      </c>
      <c r="V5016" s="1192">
        <v>15</v>
      </c>
    </row>
    <row r="5017" spans="1:22" s="1192" customFormat="1" ht="14.4" x14ac:dyDescent="0.3">
      <c r="A5017" s="1192" t="s">
        <v>189</v>
      </c>
      <c r="E5017" s="1942" t="s">
        <v>2639</v>
      </c>
      <c r="F5017" s="1942"/>
      <c r="G5017" s="1277" t="s">
        <v>19</v>
      </c>
      <c r="H5017" s="1218">
        <v>15</v>
      </c>
      <c r="V5017" s="1192">
        <v>19</v>
      </c>
    </row>
    <row r="5018" spans="1:22" s="1192" customFormat="1" ht="14.4" x14ac:dyDescent="0.3">
      <c r="A5018" s="1192" t="s">
        <v>189</v>
      </c>
      <c r="E5018" s="1942" t="s">
        <v>84</v>
      </c>
      <c r="F5018" s="1942"/>
      <c r="G5018" s="1277" t="s">
        <v>19</v>
      </c>
      <c r="H5018" s="1218">
        <v>30</v>
      </c>
      <c r="V5018" s="1192">
        <v>89</v>
      </c>
    </row>
    <row r="5019" spans="1:22" s="1192" customFormat="1" ht="14.4" x14ac:dyDescent="0.3">
      <c r="A5019" s="1192" t="s">
        <v>189</v>
      </c>
      <c r="E5019" s="1942" t="s">
        <v>119</v>
      </c>
      <c r="F5019" s="1942"/>
      <c r="G5019" s="1277" t="s">
        <v>19</v>
      </c>
      <c r="H5019" s="1218">
        <v>15</v>
      </c>
      <c r="V5019" s="1192">
        <v>35</v>
      </c>
    </row>
    <row r="5020" spans="1:22" s="1192" customFormat="1" ht="14.4" x14ac:dyDescent="0.3">
      <c r="A5020" s="1192" t="s">
        <v>189</v>
      </c>
      <c r="E5020" s="1270" t="s">
        <v>2468</v>
      </c>
      <c r="F5020" s="3"/>
      <c r="G5020" s="3"/>
      <c r="H5020" s="919"/>
      <c r="K5020" s="1192" t="s">
        <v>3353</v>
      </c>
      <c r="V5020" s="1192">
        <v>22</v>
      </c>
    </row>
    <row r="5021" spans="1:22" s="1192" customFormat="1" ht="14.4" x14ac:dyDescent="0.3">
      <c r="A5021" s="1192" t="s">
        <v>189</v>
      </c>
      <c r="E5021" s="1942" t="s">
        <v>5940</v>
      </c>
      <c r="F5021" s="1942"/>
      <c r="G5021" s="1277" t="s">
        <v>82</v>
      </c>
      <c r="H5021" s="1218">
        <v>1.5</v>
      </c>
      <c r="V5021" s="1192">
        <v>99</v>
      </c>
    </row>
    <row r="5022" spans="1:22" s="1192" customFormat="1" ht="14.4" x14ac:dyDescent="0.3">
      <c r="A5022" s="1192" t="s">
        <v>189</v>
      </c>
      <c r="E5022" s="1942" t="s">
        <v>6106</v>
      </c>
      <c r="F5022" s="1942"/>
      <c r="G5022" s="1277" t="s">
        <v>19</v>
      </c>
      <c r="H5022" s="1218">
        <v>65</v>
      </c>
      <c r="V5022" s="1192">
        <v>44</v>
      </c>
    </row>
    <row r="5023" spans="1:22" s="1192" customFormat="1" ht="14.4" x14ac:dyDescent="0.3">
      <c r="A5023" s="1192" t="s">
        <v>189</v>
      </c>
      <c r="E5023" s="1270" t="s">
        <v>2474</v>
      </c>
      <c r="F5023" s="3"/>
      <c r="G5023" s="3"/>
      <c r="H5023" s="919"/>
      <c r="V5023" s="1192">
        <v>5</v>
      </c>
    </row>
    <row r="5024" spans="1:22" s="1192" customFormat="1" ht="14.4" x14ac:dyDescent="0.3">
      <c r="A5024" s="1192" t="s">
        <v>189</v>
      </c>
      <c r="E5024" s="1942" t="s">
        <v>2768</v>
      </c>
      <c r="F5024" s="1942"/>
      <c r="G5024" s="1277" t="s">
        <v>19</v>
      </c>
      <c r="H5024" s="1218">
        <v>44.5</v>
      </c>
      <c r="V5024" s="1192">
        <v>104</v>
      </c>
    </row>
    <row r="5025" spans="1:22" s="1192" customFormat="1" x14ac:dyDescent="0.35">
      <c r="A5025" s="1192" t="s">
        <v>189</v>
      </c>
      <c r="E5025" s="1269" t="s">
        <v>73</v>
      </c>
      <c r="F5025" s="550"/>
      <c r="G5025" s="550"/>
      <c r="H5025" s="918"/>
      <c r="K5025" s="1192" t="s">
        <v>3354</v>
      </c>
      <c r="V5025" s="1192">
        <v>38</v>
      </c>
    </row>
    <row r="5026" spans="1:22" s="1192" customFormat="1" ht="14.4" x14ac:dyDescent="0.3">
      <c r="A5026" s="1192" t="s">
        <v>189</v>
      </c>
      <c r="E5026" s="1743" t="s">
        <v>3244</v>
      </c>
      <c r="F5026" s="1743"/>
      <c r="G5026" s="1743"/>
      <c r="H5026" s="1743"/>
      <c r="V5026" s="1192">
        <v>281</v>
      </c>
    </row>
    <row r="5027" spans="1:22" s="1192" customFormat="1" ht="14.4" x14ac:dyDescent="0.3">
      <c r="A5027" s="1192" t="s">
        <v>189</v>
      </c>
      <c r="E5027" s="1743" t="s">
        <v>3245</v>
      </c>
      <c r="F5027" s="1743"/>
      <c r="G5027" s="1743"/>
      <c r="H5027" s="1743"/>
      <c r="V5027" s="1192">
        <v>414</v>
      </c>
    </row>
    <row r="5028" spans="1:22" s="1192" customFormat="1" ht="14.4" x14ac:dyDescent="0.3">
      <c r="A5028" s="1192" t="s">
        <v>189</v>
      </c>
      <c r="E5028" s="1743" t="s">
        <v>2445</v>
      </c>
      <c r="F5028" s="1743"/>
      <c r="G5028" s="1743"/>
      <c r="H5028" s="1743"/>
      <c r="V5028" s="1192">
        <v>211</v>
      </c>
    </row>
    <row r="5029" spans="1:22" s="1192" customFormat="1" ht="14.4" x14ac:dyDescent="0.3">
      <c r="A5029" s="1192" t="s">
        <v>189</v>
      </c>
      <c r="E5029" s="1743" t="s">
        <v>4707</v>
      </c>
      <c r="F5029" s="1743"/>
      <c r="G5029" s="1743"/>
      <c r="H5029" s="1743"/>
      <c r="V5029" s="1192">
        <v>249</v>
      </c>
    </row>
    <row r="5030" spans="1:22" s="1192" customFormat="1" ht="14.4" x14ac:dyDescent="0.3">
      <c r="A5030" s="1192" t="s">
        <v>189</v>
      </c>
      <c r="E5030" s="1743" t="s">
        <v>2595</v>
      </c>
      <c r="F5030" s="1743"/>
      <c r="G5030" s="1743"/>
      <c r="H5030" s="1743"/>
      <c r="V5030" s="1192">
        <v>142</v>
      </c>
    </row>
    <row r="5031" spans="1:22" s="1192" customFormat="1" ht="14.4" x14ac:dyDescent="0.3">
      <c r="A5031" s="1192" t="s">
        <v>189</v>
      </c>
      <c r="E5031" s="1741" t="s">
        <v>2485</v>
      </c>
      <c r="F5031" s="1741"/>
      <c r="G5031" s="360" t="s">
        <v>19</v>
      </c>
      <c r="H5031" s="1218">
        <v>102</v>
      </c>
      <c r="V5031" s="1192">
        <v>106</v>
      </c>
    </row>
    <row r="5032" spans="1:22" s="1192" customFormat="1" ht="14.4" x14ac:dyDescent="0.3">
      <c r="A5032" s="1192" t="s">
        <v>189</v>
      </c>
      <c r="E5032" s="1741" t="s">
        <v>3919</v>
      </c>
      <c r="F5032" s="1741"/>
      <c r="G5032" s="360" t="s">
        <v>19</v>
      </c>
      <c r="H5032" s="1218">
        <v>40.799999999999997</v>
      </c>
      <c r="V5032" s="1192">
        <v>34</v>
      </c>
    </row>
    <row r="5033" spans="1:22" s="1192" customFormat="1" ht="14.4" x14ac:dyDescent="0.3">
      <c r="A5033" s="1192" t="s">
        <v>189</v>
      </c>
      <c r="E5033" s="1741" t="s">
        <v>3920</v>
      </c>
      <c r="F5033" s="1741"/>
      <c r="G5033" s="360" t="s">
        <v>2488</v>
      </c>
      <c r="H5033" s="1218">
        <v>1.02</v>
      </c>
      <c r="V5033" s="1192">
        <v>51</v>
      </c>
    </row>
    <row r="5034" spans="1:22" s="1192" customFormat="1" ht="14.4" x14ac:dyDescent="0.3">
      <c r="A5034" s="1192" t="s">
        <v>189</v>
      </c>
      <c r="E5034" s="1741" t="s">
        <v>2489</v>
      </c>
      <c r="F5034" s="1741"/>
      <c r="G5034" s="360" t="s">
        <v>2488</v>
      </c>
      <c r="H5034" s="1218">
        <v>0.61</v>
      </c>
      <c r="V5034" s="1192">
        <v>75</v>
      </c>
    </row>
    <row r="5035" spans="1:22" s="1192" customFormat="1" ht="14.4" x14ac:dyDescent="0.3">
      <c r="A5035" s="1192" t="s">
        <v>189</v>
      </c>
      <c r="E5035" s="1741" t="s">
        <v>2490</v>
      </c>
      <c r="F5035" s="1741"/>
      <c r="G5035" s="360" t="s">
        <v>2488</v>
      </c>
      <c r="H5035" s="1218">
        <v>-0.61</v>
      </c>
      <c r="V5035" s="1192">
        <v>72</v>
      </c>
    </row>
    <row r="5036" spans="1:22" s="1192" customFormat="1" ht="14.4" x14ac:dyDescent="0.3">
      <c r="A5036" s="1192" t="s">
        <v>189</v>
      </c>
      <c r="E5036" s="1741" t="s">
        <v>2491</v>
      </c>
      <c r="F5036" s="1741"/>
      <c r="G5036" s="360"/>
      <c r="H5036" s="837"/>
      <c r="V5036" s="1192">
        <v>35</v>
      </c>
    </row>
    <row r="5037" spans="1:22" s="1192" customFormat="1" ht="14.4" x14ac:dyDescent="0.3">
      <c r="A5037" s="1192" t="s">
        <v>189</v>
      </c>
      <c r="E5037" s="1941" t="s">
        <v>2492</v>
      </c>
      <c r="F5037" s="1941"/>
      <c r="G5037" s="360" t="s">
        <v>19</v>
      </c>
      <c r="H5037" s="1218">
        <v>0.51</v>
      </c>
      <c r="V5037" s="1192">
        <v>57</v>
      </c>
    </row>
    <row r="5038" spans="1:22" s="1192" customFormat="1" ht="14.4" x14ac:dyDescent="0.3">
      <c r="A5038" s="1192" t="s">
        <v>189</v>
      </c>
      <c r="E5038" s="1941" t="s">
        <v>2493</v>
      </c>
      <c r="F5038" s="1941"/>
      <c r="G5038" s="360" t="s">
        <v>19</v>
      </c>
      <c r="H5038" s="1218">
        <v>1.02</v>
      </c>
      <c r="V5038" s="1192">
        <v>60</v>
      </c>
    </row>
    <row r="5039" spans="1:22" s="1192" customFormat="1" ht="14.4" x14ac:dyDescent="0.3">
      <c r="A5039" s="1192" t="s">
        <v>189</v>
      </c>
      <c r="E5039" s="1741" t="s">
        <v>2494</v>
      </c>
      <c r="F5039" s="1741"/>
      <c r="G5039" s="360"/>
      <c r="H5039" s="837"/>
      <c r="V5039" s="1192">
        <v>91</v>
      </c>
    </row>
    <row r="5040" spans="1:22" s="1192" customFormat="1" ht="14.4" x14ac:dyDescent="0.3">
      <c r="A5040" s="1192" t="s">
        <v>189</v>
      </c>
      <c r="E5040" s="1741" t="s">
        <v>2495</v>
      </c>
      <c r="F5040" s="1741"/>
      <c r="G5040" s="360"/>
      <c r="H5040" s="837"/>
      <c r="V5040" s="1192">
        <v>96</v>
      </c>
    </row>
    <row r="5041" spans="1:22" s="1192" customFormat="1" ht="14.4" x14ac:dyDescent="0.3">
      <c r="A5041" s="1192" t="s">
        <v>189</v>
      </c>
      <c r="E5041" s="1741" t="s">
        <v>2496</v>
      </c>
      <c r="F5041" s="1741"/>
      <c r="G5041" s="360"/>
      <c r="H5041" s="837"/>
      <c r="V5041" s="1192">
        <v>78</v>
      </c>
    </row>
    <row r="5042" spans="1:22" s="1192" customFormat="1" ht="14.4" x14ac:dyDescent="0.3">
      <c r="A5042" s="1192" t="s">
        <v>189</v>
      </c>
      <c r="E5042" s="1941" t="s">
        <v>2497</v>
      </c>
      <c r="F5042" s="1941"/>
      <c r="G5042" s="360" t="s">
        <v>19</v>
      </c>
      <c r="H5042" s="837" t="s">
        <v>2498</v>
      </c>
      <c r="V5042" s="1192">
        <v>18</v>
      </c>
    </row>
    <row r="5043" spans="1:22" s="1192" customFormat="1" ht="14.4" x14ac:dyDescent="0.3">
      <c r="A5043" s="1192" t="s">
        <v>189</v>
      </c>
      <c r="E5043" s="1941" t="s">
        <v>2499</v>
      </c>
      <c r="F5043" s="1941"/>
      <c r="G5043" s="360" t="s">
        <v>19</v>
      </c>
      <c r="H5043" s="1218">
        <v>4.08</v>
      </c>
      <c r="V5043" s="1192">
        <v>69</v>
      </c>
    </row>
    <row r="5044" spans="1:22" s="1192" customFormat="1" ht="14.4" x14ac:dyDescent="0.3">
      <c r="A5044" s="1192" t="s">
        <v>189</v>
      </c>
      <c r="E5044" s="2093" t="s">
        <v>4608</v>
      </c>
      <c r="F5044" s="2093"/>
      <c r="G5044" s="1255" t="s">
        <v>19</v>
      </c>
      <c r="H5044" s="595">
        <v>2.04</v>
      </c>
      <c r="V5044" s="1192">
        <v>199</v>
      </c>
    </row>
    <row r="5045" spans="1:22" s="1192" customFormat="1" x14ac:dyDescent="0.35">
      <c r="A5045" s="1192" t="s">
        <v>189</v>
      </c>
      <c r="E5045" s="1269" t="s">
        <v>143</v>
      </c>
      <c r="F5045" s="550"/>
      <c r="G5045" s="550"/>
      <c r="H5045" s="918"/>
      <c r="K5045" s="1192" t="s">
        <v>3355</v>
      </c>
      <c r="V5045" s="1192">
        <v>12</v>
      </c>
    </row>
    <row r="5046" spans="1:22" s="1192" customFormat="1" ht="14.4" x14ac:dyDescent="0.3">
      <c r="A5046" s="1192" t="s">
        <v>189</v>
      </c>
      <c r="E5046" s="1741" t="s">
        <v>2501</v>
      </c>
      <c r="F5046" s="1741"/>
      <c r="G5046" s="1741"/>
      <c r="H5046" s="1741"/>
      <c r="V5046" s="1192">
        <v>203</v>
      </c>
    </row>
    <row r="5047" spans="1:22" s="1192" customFormat="1" ht="14.4" x14ac:dyDescent="0.3">
      <c r="A5047" s="1192" t="s">
        <v>189</v>
      </c>
      <c r="E5047" s="1741" t="s">
        <v>2599</v>
      </c>
      <c r="F5047" s="1741"/>
      <c r="G5047" s="1277"/>
      <c r="H5047" s="837">
        <v>1.081</v>
      </c>
      <c r="V5047" s="1192">
        <v>57</v>
      </c>
    </row>
    <row r="5048" spans="1:22" s="1192" customFormat="1" ht="14.4" x14ac:dyDescent="0.3">
      <c r="A5048" s="1192" t="s">
        <v>189</v>
      </c>
      <c r="E5048" s="1741" t="s">
        <v>2601</v>
      </c>
      <c r="F5048" s="1741"/>
      <c r="G5048" s="1277"/>
      <c r="H5048" s="837">
        <v>1.0702</v>
      </c>
      <c r="J5048" s="1192" t="s">
        <v>3356</v>
      </c>
      <c r="V5048" s="1192">
        <v>55</v>
      </c>
    </row>
    <row r="5049" spans="1:22" s="1192" customFormat="1" ht="22.8" x14ac:dyDescent="0.3">
      <c r="A5049" s="1192" t="s">
        <v>3744</v>
      </c>
      <c r="B5049" s="1192" t="s">
        <v>3955</v>
      </c>
      <c r="C5049" s="1192" t="s">
        <v>2378</v>
      </c>
      <c r="E5049" s="2074" t="s">
        <v>3744</v>
      </c>
      <c r="F5049" s="2074"/>
      <c r="G5049" s="2074"/>
      <c r="H5049" s="2074"/>
      <c r="I5049" s="1192" t="s">
        <v>603</v>
      </c>
      <c r="J5049" s="1192" t="s">
        <v>3956</v>
      </c>
      <c r="K5049" s="1192" t="s">
        <v>3744</v>
      </c>
      <c r="M5049" s="1192">
        <v>12</v>
      </c>
      <c r="V5049" s="1192">
        <v>29</v>
      </c>
    </row>
    <row r="5050" spans="1:22" s="1192" customFormat="1" ht="22.8" x14ac:dyDescent="0.3">
      <c r="A5050" s="1192" t="s">
        <v>3744</v>
      </c>
      <c r="B5050" s="1192" t="s">
        <v>3955</v>
      </c>
      <c r="C5050" s="1192" t="s">
        <v>2380</v>
      </c>
      <c r="E5050" s="2074" t="s">
        <v>3894</v>
      </c>
      <c r="F5050" s="2074"/>
      <c r="G5050" s="2074"/>
      <c r="H5050" s="2074"/>
      <c r="V5050" s="1192">
        <v>18</v>
      </c>
    </row>
    <row r="5051" spans="1:22" s="1192" customFormat="1" ht="17.399999999999999" x14ac:dyDescent="0.3">
      <c r="A5051" s="1192" t="s">
        <v>3744</v>
      </c>
      <c r="B5051" s="1192" t="s">
        <v>3955</v>
      </c>
      <c r="C5051" s="1192" t="s">
        <v>2382</v>
      </c>
      <c r="E5051" s="2076" t="s">
        <v>2381</v>
      </c>
      <c r="F5051" s="2076"/>
      <c r="G5051" s="2076"/>
      <c r="H5051" s="2076"/>
      <c r="V5051" s="1192">
        <v>27</v>
      </c>
    </row>
    <row r="5052" spans="1:22" s="1192" customFormat="1" ht="15.6" x14ac:dyDescent="0.3">
      <c r="A5052" s="1192" t="s">
        <v>3744</v>
      </c>
      <c r="B5052" s="1192" t="s">
        <v>3955</v>
      </c>
      <c r="C5052" s="1192" t="s">
        <v>2383</v>
      </c>
      <c r="E5052" s="2077" t="s">
        <v>5937</v>
      </c>
      <c r="F5052" s="2077"/>
      <c r="G5052" s="2077"/>
      <c r="H5052" s="2077"/>
      <c r="S5052" s="1192">
        <v>43831</v>
      </c>
      <c r="V5052" s="1192">
        <v>49</v>
      </c>
    </row>
    <row r="5053" spans="1:22" s="1192" customFormat="1" ht="14.4" x14ac:dyDescent="0.3">
      <c r="A5053" s="1192" t="s">
        <v>3744</v>
      </c>
      <c r="B5053" s="1192" t="s">
        <v>3955</v>
      </c>
      <c r="E5053" s="2078" t="s">
        <v>2842</v>
      </c>
      <c r="F5053" s="2078"/>
      <c r="G5053" s="2078"/>
      <c r="H5053" s="2078"/>
      <c r="V5053" s="1192">
        <v>53</v>
      </c>
    </row>
    <row r="5054" spans="1:22" s="1192" customFormat="1" ht="14.4" x14ac:dyDescent="0.3">
      <c r="A5054" s="1192" t="s">
        <v>3744</v>
      </c>
      <c r="B5054" s="1192" t="s">
        <v>3955</v>
      </c>
      <c r="E5054" s="2078" t="s">
        <v>2385</v>
      </c>
      <c r="F5054" s="2078"/>
      <c r="G5054" s="2078"/>
      <c r="H5054" s="2078"/>
      <c r="V5054" s="1192">
        <v>53</v>
      </c>
    </row>
    <row r="5055" spans="1:22" s="1192" customFormat="1" ht="14.4" x14ac:dyDescent="0.3">
      <c r="A5055" s="1192" t="s">
        <v>3744</v>
      </c>
      <c r="B5055" s="1192" t="s">
        <v>3955</v>
      </c>
      <c r="E5055" s="2073" t="s">
        <v>6296</v>
      </c>
      <c r="F5055" s="2073"/>
      <c r="G5055" s="2073"/>
      <c r="H5055" s="2073"/>
      <c r="K5055" s="1192" t="s">
        <v>6296</v>
      </c>
      <c r="V5055" s="1192">
        <v>12</v>
      </c>
    </row>
    <row r="5056" spans="1:22" s="1192" customFormat="1" ht="17.399999999999999" x14ac:dyDescent="0.3">
      <c r="A5056" s="1192" t="s">
        <v>3744</v>
      </c>
      <c r="B5056" s="1192" t="s">
        <v>3955</v>
      </c>
      <c r="E5056" s="2082" t="s">
        <v>427</v>
      </c>
      <c r="F5056" s="1747"/>
      <c r="G5056" s="1747"/>
      <c r="H5056" s="1747"/>
      <c r="K5056" s="1192" t="s">
        <v>2506</v>
      </c>
      <c r="V5056" s="1192">
        <v>34</v>
      </c>
    </row>
    <row r="5057" spans="1:22" s="1192" customFormat="1" ht="14.4" x14ac:dyDescent="0.3">
      <c r="A5057" s="1192" t="s">
        <v>3744</v>
      </c>
      <c r="B5057" s="1192" t="s">
        <v>3955</v>
      </c>
      <c r="E5057" s="2067" t="s">
        <v>2604</v>
      </c>
      <c r="F5057" s="2067"/>
      <c r="G5057" s="2067"/>
      <c r="H5057" s="2067"/>
      <c r="K5057" s="1192" t="s">
        <v>2506</v>
      </c>
      <c r="V5057" s="1192">
        <v>579</v>
      </c>
    </row>
    <row r="5058" spans="1:22" s="1192" customFormat="1" ht="14.4" x14ac:dyDescent="0.3">
      <c r="A5058" s="1192" t="s">
        <v>3744</v>
      </c>
      <c r="B5058" s="1192" t="s">
        <v>3955</v>
      </c>
      <c r="E5058" s="2060" t="s">
        <v>2389</v>
      </c>
      <c r="F5058" s="1743"/>
      <c r="G5058" s="1743"/>
      <c r="H5058" s="1743"/>
      <c r="K5058" s="1192" t="s">
        <v>2390</v>
      </c>
      <c r="V5058" s="1192">
        <v>11</v>
      </c>
    </row>
    <row r="5059" spans="1:22" s="1192" customFormat="1" ht="14.4" x14ac:dyDescent="0.3">
      <c r="A5059" s="1192" t="s">
        <v>3744</v>
      </c>
      <c r="B5059" s="1192" t="s">
        <v>3955</v>
      </c>
      <c r="E5059" s="2067" t="s">
        <v>2391</v>
      </c>
      <c r="F5059" s="2067"/>
      <c r="G5059" s="2067"/>
      <c r="H5059" s="2067"/>
      <c r="K5059" s="1192" t="s">
        <v>2506</v>
      </c>
      <c r="V5059" s="1192">
        <v>280</v>
      </c>
    </row>
    <row r="5060" spans="1:22" s="1192" customFormat="1" ht="14.4" x14ac:dyDescent="0.3">
      <c r="A5060" s="1192" t="s">
        <v>3744</v>
      </c>
      <c r="B5060" s="1192" t="s">
        <v>3955</v>
      </c>
      <c r="E5060" s="2067" t="s">
        <v>2605</v>
      </c>
      <c r="F5060" s="2067"/>
      <c r="G5060" s="2067"/>
      <c r="H5060" s="2067"/>
      <c r="K5060" s="1192" t="s">
        <v>2506</v>
      </c>
      <c r="V5060" s="1192">
        <v>426</v>
      </c>
    </row>
    <row r="5061" spans="1:22" s="1192" customFormat="1" ht="14.4" x14ac:dyDescent="0.3">
      <c r="A5061" s="1192" t="s">
        <v>3744</v>
      </c>
      <c r="B5061" s="1192" t="s">
        <v>3955</v>
      </c>
      <c r="E5061" s="2067" t="s">
        <v>2508</v>
      </c>
      <c r="F5061" s="2067"/>
      <c r="G5061" s="2067"/>
      <c r="H5061" s="2067"/>
      <c r="K5061" s="1192" t="s">
        <v>2506</v>
      </c>
      <c r="V5061" s="1192">
        <v>386</v>
      </c>
    </row>
    <row r="5062" spans="1:22" s="1192" customFormat="1" ht="14.4" x14ac:dyDescent="0.3">
      <c r="A5062" s="1192" t="s">
        <v>3744</v>
      </c>
      <c r="B5062" s="1192" t="s">
        <v>3955</v>
      </c>
      <c r="E5062" s="2067" t="s">
        <v>4500</v>
      </c>
      <c r="F5062" s="2067"/>
      <c r="G5062" s="2067"/>
      <c r="H5062" s="2067"/>
      <c r="K5062" s="1192" t="s">
        <v>2506</v>
      </c>
      <c r="V5062" s="1192">
        <v>247</v>
      </c>
    </row>
    <row r="5063" spans="1:22" s="1192" customFormat="1" ht="14.4" x14ac:dyDescent="0.3">
      <c r="A5063" s="1192" t="s">
        <v>3744</v>
      </c>
      <c r="B5063" s="1192" t="s">
        <v>3955</v>
      </c>
      <c r="E5063" s="2060" t="s">
        <v>2394</v>
      </c>
      <c r="F5063" s="1743"/>
      <c r="G5063" s="1743"/>
      <c r="H5063" s="1743"/>
      <c r="K5063" s="1192" t="s">
        <v>2395</v>
      </c>
      <c r="V5063" s="1192">
        <v>46</v>
      </c>
    </row>
    <row r="5064" spans="1:22" s="1192" customFormat="1" ht="14.4" x14ac:dyDescent="0.3">
      <c r="A5064" s="1192" t="s">
        <v>3744</v>
      </c>
      <c r="B5064" s="1192" t="s">
        <v>3955</v>
      </c>
      <c r="E5064" s="2062" t="s">
        <v>7</v>
      </c>
      <c r="F5064" s="1740"/>
      <c r="G5064" s="1277" t="s">
        <v>19</v>
      </c>
      <c r="H5064" s="837">
        <v>24.71</v>
      </c>
      <c r="K5064" s="1192" t="s">
        <v>2506</v>
      </c>
      <c r="L5064" s="1192" t="s">
        <v>430</v>
      </c>
      <c r="P5064" s="1192" t="s">
        <v>2510</v>
      </c>
      <c r="V5064" s="1192">
        <v>14</v>
      </c>
    </row>
    <row r="5065" spans="1:22" s="1192" customFormat="1" ht="14.4" x14ac:dyDescent="0.3">
      <c r="A5065" s="1192" t="s">
        <v>3744</v>
      </c>
      <c r="B5065" s="1192" t="s">
        <v>3955</v>
      </c>
      <c r="E5065" s="2062" t="s">
        <v>3900</v>
      </c>
      <c r="F5065" s="1740"/>
      <c r="G5065" s="1277" t="s">
        <v>19</v>
      </c>
      <c r="H5065" s="837">
        <v>0.56999999999999995</v>
      </c>
      <c r="K5065" s="1192" t="s">
        <v>2506</v>
      </c>
      <c r="L5065" s="1192" t="s">
        <v>431</v>
      </c>
      <c r="P5065" s="1192" t="s">
        <v>2511</v>
      </c>
      <c r="T5065" s="1192">
        <v>44926</v>
      </c>
      <c r="V5065" s="1192">
        <v>64</v>
      </c>
    </row>
    <row r="5066" spans="1:22" s="1192" customFormat="1" ht="14.4" x14ac:dyDescent="0.3">
      <c r="A5066" s="1192" t="s">
        <v>3744</v>
      </c>
      <c r="B5066" s="1192" t="s">
        <v>3955</v>
      </c>
      <c r="E5066" s="2062" t="s">
        <v>4501</v>
      </c>
      <c r="F5066" s="1740"/>
      <c r="G5066" s="1277" t="s">
        <v>19</v>
      </c>
      <c r="H5066" s="837">
        <v>0.23</v>
      </c>
      <c r="K5066" s="1192" t="s">
        <v>2506</v>
      </c>
      <c r="L5066" s="1192" t="s">
        <v>430</v>
      </c>
      <c r="P5066" s="1192" t="s">
        <v>4531</v>
      </c>
      <c r="V5066" s="1192">
        <v>135</v>
      </c>
    </row>
    <row r="5067" spans="1:22" s="1192" customFormat="1" ht="14.4" x14ac:dyDescent="0.3">
      <c r="A5067" s="1192" t="s">
        <v>3744</v>
      </c>
      <c r="B5067" s="1192" t="s">
        <v>3955</v>
      </c>
      <c r="E5067" s="2062" t="s">
        <v>6103</v>
      </c>
      <c r="F5067" s="1989"/>
      <c r="G5067" s="1277" t="s">
        <v>20</v>
      </c>
      <c r="H5067" s="837">
        <v>4.0000000000000002E-4</v>
      </c>
      <c r="K5067" s="1192" t="s">
        <v>2506</v>
      </c>
      <c r="L5067" s="1192" t="s">
        <v>430</v>
      </c>
      <c r="P5067" s="1192" t="s">
        <v>2515</v>
      </c>
      <c r="T5067" s="1192">
        <v>44196</v>
      </c>
      <c r="V5067" s="1192">
        <v>137</v>
      </c>
    </row>
    <row r="5068" spans="1:22" s="1192" customFormat="1" ht="14.4" x14ac:dyDescent="0.3">
      <c r="A5068" s="1192" t="s">
        <v>3744</v>
      </c>
      <c r="B5068" s="1192" t="s">
        <v>3955</v>
      </c>
      <c r="E5068" s="2062" t="s">
        <v>213</v>
      </c>
      <c r="F5068" s="1740"/>
      <c r="G5068" s="1277" t="s">
        <v>20</v>
      </c>
      <c r="H5068" s="837">
        <v>7.7999999999999996E-3</v>
      </c>
      <c r="K5068" s="1192" t="s">
        <v>2506</v>
      </c>
      <c r="L5068" s="1192" t="s">
        <v>432</v>
      </c>
      <c r="P5068" s="1192" t="s">
        <v>2517</v>
      </c>
      <c r="V5068" s="1192">
        <v>47</v>
      </c>
    </row>
    <row r="5069" spans="1:22" s="1192" customFormat="1" ht="14.4" x14ac:dyDescent="0.3">
      <c r="A5069" s="1192" t="s">
        <v>3744</v>
      </c>
      <c r="B5069" s="1192" t="s">
        <v>3955</v>
      </c>
      <c r="E5069" s="2062" t="s">
        <v>209</v>
      </c>
      <c r="F5069" s="1740"/>
      <c r="G5069" s="1277" t="s">
        <v>20</v>
      </c>
      <c r="H5069" s="837">
        <v>6.4000000000000003E-3</v>
      </c>
      <c r="K5069" s="1192" t="s">
        <v>2506</v>
      </c>
      <c r="L5069" s="1192" t="s">
        <v>432</v>
      </c>
      <c r="P5069" s="1192" t="s">
        <v>2518</v>
      </c>
      <c r="V5069" s="1192">
        <v>74</v>
      </c>
    </row>
    <row r="5070" spans="1:22" s="1192" customFormat="1" ht="14.4" x14ac:dyDescent="0.3">
      <c r="A5070" s="1192" t="s">
        <v>3744</v>
      </c>
      <c r="B5070" s="1192" t="s">
        <v>3955</v>
      </c>
      <c r="E5070" s="2060" t="s">
        <v>2405</v>
      </c>
      <c r="F5070" s="1741"/>
      <c r="G5070" s="1277"/>
      <c r="H5070" s="896"/>
      <c r="K5070" s="1192" t="s">
        <v>2406</v>
      </c>
      <c r="V5070" s="1192">
        <v>48</v>
      </c>
    </row>
    <row r="5071" spans="1:22" s="1192" customFormat="1" ht="14.4" x14ac:dyDescent="0.3">
      <c r="A5071" s="1192" t="s">
        <v>3744</v>
      </c>
      <c r="B5071" s="1192" t="s">
        <v>3955</v>
      </c>
      <c r="E5071" s="2062" t="s">
        <v>2033</v>
      </c>
      <c r="F5071" s="1740"/>
      <c r="G5071" s="1277" t="s">
        <v>20</v>
      </c>
      <c r="H5071" s="1219">
        <v>3.0000000000000001E-3</v>
      </c>
      <c r="K5071" s="1192" t="s">
        <v>2506</v>
      </c>
      <c r="L5071" s="1192" t="s">
        <v>2374</v>
      </c>
      <c r="P5071" s="1192" t="s">
        <v>2519</v>
      </c>
      <c r="V5071" s="1192">
        <v>55</v>
      </c>
    </row>
    <row r="5072" spans="1:22" s="1192" customFormat="1" ht="14.4" x14ac:dyDescent="0.3">
      <c r="A5072" s="1192" t="s">
        <v>3744</v>
      </c>
      <c r="B5072" s="1192" t="s">
        <v>3955</v>
      </c>
      <c r="E5072" s="2062" t="s">
        <v>2034</v>
      </c>
      <c r="F5072" s="1740"/>
      <c r="G5072" s="1277" t="s">
        <v>20</v>
      </c>
      <c r="H5072" s="837">
        <v>4.0000000000000002E-4</v>
      </c>
      <c r="K5072" s="1192" t="s">
        <v>2506</v>
      </c>
      <c r="L5072" s="1192" t="s">
        <v>2374</v>
      </c>
      <c r="P5072" s="1192" t="s">
        <v>2519</v>
      </c>
      <c r="V5072" s="1192">
        <v>65</v>
      </c>
    </row>
    <row r="5073" spans="1:22" s="1192" customFormat="1" ht="14.4" x14ac:dyDescent="0.3">
      <c r="A5073" s="1192" t="s">
        <v>3744</v>
      </c>
      <c r="B5073" s="1192" t="s">
        <v>3955</v>
      </c>
      <c r="E5073" s="2062" t="s">
        <v>428</v>
      </c>
      <c r="F5073" s="1740"/>
      <c r="G5073" s="1277" t="s">
        <v>20</v>
      </c>
      <c r="H5073" s="837">
        <v>5.0000000000000001E-4</v>
      </c>
      <c r="K5073" s="1192" t="s">
        <v>2506</v>
      </c>
      <c r="L5073" s="1192" t="s">
        <v>2374</v>
      </c>
      <c r="P5073" s="1192" t="s">
        <v>2520</v>
      </c>
      <c r="V5073" s="1192">
        <v>57</v>
      </c>
    </row>
    <row r="5074" spans="1:22" s="1192" customFormat="1" ht="14.4" x14ac:dyDescent="0.3">
      <c r="A5074" s="1192" t="s">
        <v>3744</v>
      </c>
      <c r="B5074" s="1192" t="s">
        <v>3955</v>
      </c>
      <c r="E5074" s="2062" t="s">
        <v>28</v>
      </c>
      <c r="F5074" s="1740"/>
      <c r="G5074" s="1277" t="s">
        <v>19</v>
      </c>
      <c r="H5074" s="837">
        <v>0.25</v>
      </c>
      <c r="K5074" s="1192" t="s">
        <v>2506</v>
      </c>
      <c r="L5074" s="1192" t="s">
        <v>2374</v>
      </c>
      <c r="P5074" s="1192" t="s">
        <v>2521</v>
      </c>
      <c r="V5074" s="1192">
        <v>63</v>
      </c>
    </row>
    <row r="5075" spans="1:22" s="1192" customFormat="1" ht="17.399999999999999" x14ac:dyDescent="0.3">
      <c r="A5075" s="1192" t="s">
        <v>3744</v>
      </c>
      <c r="B5075" s="1192" t="s">
        <v>3955</v>
      </c>
      <c r="E5075" s="2082" t="s">
        <v>2522</v>
      </c>
      <c r="F5075" s="1747"/>
      <c r="G5075" s="1747"/>
      <c r="H5075" s="1747"/>
      <c r="K5075" s="1192" t="s">
        <v>3901</v>
      </c>
      <c r="V5075" s="1192">
        <v>54</v>
      </c>
    </row>
    <row r="5076" spans="1:22" s="1192" customFormat="1" ht="14.4" x14ac:dyDescent="0.3">
      <c r="A5076" s="1192" t="s">
        <v>3744</v>
      </c>
      <c r="B5076" s="1192" t="s">
        <v>3955</v>
      </c>
      <c r="E5076" s="2067" t="s">
        <v>2607</v>
      </c>
      <c r="F5076" s="2067"/>
      <c r="G5076" s="2067"/>
      <c r="H5076" s="2067"/>
      <c r="K5076" s="1192" t="s">
        <v>3901</v>
      </c>
      <c r="V5076" s="1192">
        <v>704</v>
      </c>
    </row>
    <row r="5077" spans="1:22" s="1192" customFormat="1" ht="14.4" x14ac:dyDescent="0.3">
      <c r="A5077" s="1192" t="s">
        <v>3744</v>
      </c>
      <c r="B5077" s="1192" t="s">
        <v>3955</v>
      </c>
      <c r="E5077" s="2060" t="s">
        <v>2389</v>
      </c>
      <c r="F5077" s="1743"/>
      <c r="G5077" s="1743"/>
      <c r="H5077" s="1743"/>
      <c r="K5077" s="1192" t="s">
        <v>2412</v>
      </c>
      <c r="V5077" s="1192">
        <v>11</v>
      </c>
    </row>
    <row r="5078" spans="1:22" s="1192" customFormat="1" ht="14.4" x14ac:dyDescent="0.3">
      <c r="A5078" s="1192" t="s">
        <v>3744</v>
      </c>
      <c r="B5078" s="1192" t="s">
        <v>3955</v>
      </c>
      <c r="E5078" s="2067" t="s">
        <v>2391</v>
      </c>
      <c r="F5078" s="2067"/>
      <c r="G5078" s="2067"/>
      <c r="H5078" s="2067"/>
      <c r="K5078" s="1192" t="s">
        <v>3901</v>
      </c>
      <c r="V5078" s="1192">
        <v>280</v>
      </c>
    </row>
    <row r="5079" spans="1:22" s="1192" customFormat="1" ht="14.4" x14ac:dyDescent="0.3">
      <c r="A5079" s="1192" t="s">
        <v>3744</v>
      </c>
      <c r="B5079" s="1192" t="s">
        <v>3955</v>
      </c>
      <c r="E5079" s="2067" t="s">
        <v>2392</v>
      </c>
      <c r="F5079" s="2067"/>
      <c r="G5079" s="2067"/>
      <c r="H5079" s="2067"/>
      <c r="K5079" s="1192" t="s">
        <v>3901</v>
      </c>
      <c r="V5079" s="1192">
        <v>411</v>
      </c>
    </row>
    <row r="5080" spans="1:22" s="1192" customFormat="1" ht="14.4" x14ac:dyDescent="0.3">
      <c r="A5080" s="1192" t="s">
        <v>3744</v>
      </c>
      <c r="B5080" s="1192" t="s">
        <v>3955</v>
      </c>
      <c r="E5080" s="2067" t="s">
        <v>2508</v>
      </c>
      <c r="F5080" s="2067"/>
      <c r="G5080" s="2067"/>
      <c r="H5080" s="2067"/>
      <c r="K5080" s="1192" t="s">
        <v>3901</v>
      </c>
      <c r="V5080" s="1192">
        <v>386</v>
      </c>
    </row>
    <row r="5081" spans="1:22" s="1192" customFormat="1" ht="14.4" x14ac:dyDescent="0.3">
      <c r="A5081" s="1192" t="s">
        <v>3744</v>
      </c>
      <c r="B5081" s="1192" t="s">
        <v>3955</v>
      </c>
      <c r="E5081" s="2067" t="s">
        <v>4500</v>
      </c>
      <c r="F5081" s="2067"/>
      <c r="G5081" s="2067"/>
      <c r="H5081" s="2067"/>
      <c r="K5081" s="1192" t="s">
        <v>3901</v>
      </c>
      <c r="V5081" s="1192">
        <v>247</v>
      </c>
    </row>
    <row r="5082" spans="1:22" s="1192" customFormat="1" ht="14.4" x14ac:dyDescent="0.3">
      <c r="A5082" s="1192" t="s">
        <v>3744</v>
      </c>
      <c r="B5082" s="1192" t="s">
        <v>3955</v>
      </c>
      <c r="E5082" s="2060" t="s">
        <v>2394</v>
      </c>
      <c r="F5082" s="1743"/>
      <c r="G5082" s="1743"/>
      <c r="H5082" s="1743"/>
      <c r="K5082" s="1192" t="s">
        <v>2413</v>
      </c>
      <c r="V5082" s="1192">
        <v>46</v>
      </c>
    </row>
    <row r="5083" spans="1:22" s="1192" customFormat="1" ht="14.4" x14ac:dyDescent="0.3">
      <c r="A5083" s="1192" t="s">
        <v>3744</v>
      </c>
      <c r="B5083" s="1192" t="s">
        <v>3955</v>
      </c>
      <c r="E5083" s="2062" t="s">
        <v>7</v>
      </c>
      <c r="F5083" s="1740"/>
      <c r="G5083" s="1277" t="s">
        <v>19</v>
      </c>
      <c r="H5083" s="837">
        <v>26.09</v>
      </c>
      <c r="K5083" s="1192" t="s">
        <v>3901</v>
      </c>
      <c r="L5083" s="1192" t="s">
        <v>430</v>
      </c>
      <c r="P5083" s="1192" t="s">
        <v>3902</v>
      </c>
      <c r="V5083" s="1192">
        <v>14</v>
      </c>
    </row>
    <row r="5084" spans="1:22" s="1192" customFormat="1" ht="14.4" x14ac:dyDescent="0.3">
      <c r="A5084" s="1192" t="s">
        <v>3744</v>
      </c>
      <c r="B5084" s="1192" t="s">
        <v>3955</v>
      </c>
      <c r="E5084" s="2062" t="s">
        <v>3900</v>
      </c>
      <c r="F5084" s="1740"/>
      <c r="G5084" s="1277" t="s">
        <v>19</v>
      </c>
      <c r="H5084" s="837">
        <v>0.56999999999999995</v>
      </c>
      <c r="K5084" s="1192" t="s">
        <v>3901</v>
      </c>
      <c r="L5084" s="1192" t="s">
        <v>431</v>
      </c>
      <c r="P5084" s="1192" t="s">
        <v>3903</v>
      </c>
      <c r="T5084" s="1192">
        <v>44926</v>
      </c>
      <c r="V5084" s="1192">
        <v>64</v>
      </c>
    </row>
    <row r="5085" spans="1:22" s="1192" customFormat="1" ht="14.4" x14ac:dyDescent="0.3">
      <c r="A5085" s="1192" t="s">
        <v>3744</v>
      </c>
      <c r="B5085" s="1192" t="s">
        <v>3955</v>
      </c>
      <c r="E5085" s="2062" t="s">
        <v>4501</v>
      </c>
      <c r="F5085" s="1740"/>
      <c r="G5085" s="1277" t="s">
        <v>19</v>
      </c>
      <c r="H5085" s="837">
        <v>0.24</v>
      </c>
      <c r="K5085" s="1192" t="s">
        <v>3901</v>
      </c>
      <c r="L5085" s="1192" t="s">
        <v>430</v>
      </c>
      <c r="P5085" s="1192" t="s">
        <v>6297</v>
      </c>
      <c r="V5085" s="1192">
        <v>135</v>
      </c>
    </row>
    <row r="5086" spans="1:22" s="1192" customFormat="1" ht="14.4" x14ac:dyDescent="0.3">
      <c r="A5086" s="1192" t="s">
        <v>3744</v>
      </c>
      <c r="B5086" s="1192" t="s">
        <v>3955</v>
      </c>
      <c r="E5086" s="2062" t="s">
        <v>80</v>
      </c>
      <c r="F5086" s="1740"/>
      <c r="G5086" s="1277" t="s">
        <v>20</v>
      </c>
      <c r="H5086" s="837">
        <v>1.7399999999999999E-2</v>
      </c>
      <c r="K5086" s="1192" t="s">
        <v>3901</v>
      </c>
      <c r="L5086" s="1192" t="s">
        <v>430</v>
      </c>
      <c r="P5086" s="1192" t="s">
        <v>3904</v>
      </c>
      <c r="V5086" s="1192">
        <v>28</v>
      </c>
    </row>
    <row r="5087" spans="1:22" s="1192" customFormat="1" ht="14.4" x14ac:dyDescent="0.3">
      <c r="A5087" s="1192" t="s">
        <v>3744</v>
      </c>
      <c r="B5087" s="1192" t="s">
        <v>3955</v>
      </c>
      <c r="E5087" s="2062" t="s">
        <v>6103</v>
      </c>
      <c r="F5087" s="1989"/>
      <c r="G5087" s="1277" t="s">
        <v>20</v>
      </c>
      <c r="H5087" s="837">
        <v>1.1999999999999999E-3</v>
      </c>
      <c r="K5087" s="1192" t="s">
        <v>3901</v>
      </c>
      <c r="L5087" s="1192" t="s">
        <v>430</v>
      </c>
      <c r="P5087" s="1192" t="s">
        <v>4000</v>
      </c>
      <c r="T5087" s="1192">
        <v>44196</v>
      </c>
      <c r="V5087" s="1192">
        <v>137</v>
      </c>
    </row>
    <row r="5088" spans="1:22" s="1192" customFormat="1" ht="14.4" x14ac:dyDescent="0.3">
      <c r="A5088" s="1192" t="s">
        <v>3744</v>
      </c>
      <c r="B5088" s="1192" t="s">
        <v>3955</v>
      </c>
      <c r="E5088" s="2062" t="s">
        <v>4501</v>
      </c>
      <c r="F5088" s="1740"/>
      <c r="G5088" s="1277" t="s">
        <v>20</v>
      </c>
      <c r="H5088" s="837">
        <v>2.0000000000000001E-4</v>
      </c>
      <c r="K5088" s="1192" t="s">
        <v>3901</v>
      </c>
      <c r="L5088" s="1192" t="s">
        <v>430</v>
      </c>
      <c r="P5088" s="1192" t="s">
        <v>6298</v>
      </c>
      <c r="V5088" s="1192">
        <v>135</v>
      </c>
    </row>
    <row r="5089" spans="1:22" s="1192" customFormat="1" ht="14.4" x14ac:dyDescent="0.3">
      <c r="A5089" s="1192" t="s">
        <v>3744</v>
      </c>
      <c r="B5089" s="1192" t="s">
        <v>3955</v>
      </c>
      <c r="E5089" s="2062" t="s">
        <v>213</v>
      </c>
      <c r="F5089" s="1740"/>
      <c r="G5089" s="1277" t="s">
        <v>20</v>
      </c>
      <c r="H5089" s="837">
        <v>6.8999999999999999E-3</v>
      </c>
      <c r="K5089" s="1192" t="s">
        <v>3901</v>
      </c>
      <c r="L5089" s="1192" t="s">
        <v>432</v>
      </c>
      <c r="P5089" s="1192" t="s">
        <v>3906</v>
      </c>
      <c r="V5089" s="1192">
        <v>47</v>
      </c>
    </row>
    <row r="5090" spans="1:22" s="1192" customFormat="1" ht="14.4" x14ac:dyDescent="0.3">
      <c r="A5090" s="1192" t="s">
        <v>3744</v>
      </c>
      <c r="B5090" s="1192" t="s">
        <v>3955</v>
      </c>
      <c r="E5090" s="2062" t="s">
        <v>209</v>
      </c>
      <c r="F5090" s="1740"/>
      <c r="G5090" s="1277" t="s">
        <v>20</v>
      </c>
      <c r="H5090" s="837">
        <v>5.4000000000000003E-3</v>
      </c>
      <c r="K5090" s="1192" t="s">
        <v>3901</v>
      </c>
      <c r="L5090" s="1192" t="s">
        <v>432</v>
      </c>
      <c r="P5090" s="1192" t="s">
        <v>3907</v>
      </c>
      <c r="V5090" s="1192">
        <v>74</v>
      </c>
    </row>
    <row r="5091" spans="1:22" s="1192" customFormat="1" ht="14.4" x14ac:dyDescent="0.3">
      <c r="A5091" s="1192" t="s">
        <v>3744</v>
      </c>
      <c r="B5091" s="1192" t="s">
        <v>3955</v>
      </c>
      <c r="E5091" s="2060" t="s">
        <v>2405</v>
      </c>
      <c r="F5091" s="1741"/>
      <c r="G5091" s="1277"/>
      <c r="H5091" s="896"/>
      <c r="K5091" s="1192" t="s">
        <v>2418</v>
      </c>
      <c r="V5091" s="1192">
        <v>48</v>
      </c>
    </row>
    <row r="5092" spans="1:22" s="1192" customFormat="1" ht="14.4" x14ac:dyDescent="0.3">
      <c r="A5092" s="1192" t="s">
        <v>3744</v>
      </c>
      <c r="B5092" s="1192" t="s">
        <v>3955</v>
      </c>
      <c r="E5092" s="2062" t="s">
        <v>2033</v>
      </c>
      <c r="F5092" s="1740"/>
      <c r="G5092" s="1277" t="s">
        <v>20</v>
      </c>
      <c r="H5092" s="1219">
        <v>3.0000000000000001E-3</v>
      </c>
      <c r="K5092" s="1192" t="s">
        <v>3901</v>
      </c>
      <c r="L5092" s="1192" t="s">
        <v>2374</v>
      </c>
      <c r="P5092" s="1192" t="s">
        <v>3908</v>
      </c>
      <c r="V5092" s="1192">
        <v>55</v>
      </c>
    </row>
    <row r="5093" spans="1:22" s="1192" customFormat="1" ht="14.4" x14ac:dyDescent="0.3">
      <c r="A5093" s="1192" t="s">
        <v>3744</v>
      </c>
      <c r="B5093" s="1192" t="s">
        <v>3955</v>
      </c>
      <c r="E5093" s="2062" t="s">
        <v>2034</v>
      </c>
      <c r="F5093" s="1740"/>
      <c r="G5093" s="1277" t="s">
        <v>20</v>
      </c>
      <c r="H5093" s="837">
        <v>4.0000000000000002E-4</v>
      </c>
      <c r="K5093" s="1192" t="s">
        <v>3901</v>
      </c>
      <c r="L5093" s="1192" t="s">
        <v>2374</v>
      </c>
      <c r="P5093" s="1192" t="s">
        <v>3908</v>
      </c>
      <c r="V5093" s="1192">
        <v>65</v>
      </c>
    </row>
    <row r="5094" spans="1:22" s="1192" customFormat="1" ht="14.4" x14ac:dyDescent="0.3">
      <c r="A5094" s="1192" t="s">
        <v>3744</v>
      </c>
      <c r="B5094" s="1192" t="s">
        <v>3955</v>
      </c>
      <c r="E5094" s="2062" t="s">
        <v>428</v>
      </c>
      <c r="F5094" s="1740"/>
      <c r="G5094" s="1277" t="s">
        <v>20</v>
      </c>
      <c r="H5094" s="837">
        <v>5.0000000000000001E-4</v>
      </c>
      <c r="K5094" s="1192" t="s">
        <v>3901</v>
      </c>
      <c r="L5094" s="1192" t="s">
        <v>2374</v>
      </c>
      <c r="P5094" s="1192" t="s">
        <v>3909</v>
      </c>
      <c r="V5094" s="1192">
        <v>57</v>
      </c>
    </row>
    <row r="5095" spans="1:22" s="1192" customFormat="1" ht="14.4" x14ac:dyDescent="0.3">
      <c r="A5095" s="1192" t="s">
        <v>3744</v>
      </c>
      <c r="B5095" s="1192" t="s">
        <v>3955</v>
      </c>
      <c r="E5095" s="2062" t="s">
        <v>28</v>
      </c>
      <c r="F5095" s="1740"/>
      <c r="G5095" s="1277" t="s">
        <v>19</v>
      </c>
      <c r="H5095" s="837">
        <v>0.25</v>
      </c>
      <c r="K5095" s="1192" t="s">
        <v>3901</v>
      </c>
      <c r="L5095" s="1192" t="s">
        <v>2374</v>
      </c>
      <c r="P5095" s="1192" t="s">
        <v>3910</v>
      </c>
      <c r="V5095" s="1192">
        <v>63</v>
      </c>
    </row>
    <row r="5096" spans="1:22" s="1192" customFormat="1" ht="17.399999999999999" x14ac:dyDescent="0.3">
      <c r="A5096" s="1192" t="s">
        <v>3744</v>
      </c>
      <c r="B5096" s="1192" t="s">
        <v>3955</v>
      </c>
      <c r="E5096" s="2082" t="s">
        <v>1490</v>
      </c>
      <c r="F5096" s="1747"/>
      <c r="G5096" s="1747"/>
      <c r="H5096" s="1747"/>
      <c r="K5096" s="1192" t="s">
        <v>3958</v>
      </c>
      <c r="V5096" s="1192">
        <v>51</v>
      </c>
    </row>
    <row r="5097" spans="1:22" s="1192" customFormat="1" ht="14.4" x14ac:dyDescent="0.3">
      <c r="A5097" s="1192" t="s">
        <v>3744</v>
      </c>
      <c r="B5097" s="1192" t="s">
        <v>3955</v>
      </c>
      <c r="E5097" s="2067" t="s">
        <v>3959</v>
      </c>
      <c r="F5097" s="2067"/>
      <c r="G5097" s="2067"/>
      <c r="H5097" s="2067"/>
      <c r="K5097" s="1192" t="s">
        <v>3958</v>
      </c>
      <c r="V5097" s="1192">
        <v>373</v>
      </c>
    </row>
    <row r="5098" spans="1:22" s="1192" customFormat="1" ht="14.4" x14ac:dyDescent="0.3">
      <c r="A5098" s="1192" t="s">
        <v>3744</v>
      </c>
      <c r="B5098" s="1192" t="s">
        <v>3955</v>
      </c>
      <c r="E5098" s="2060" t="s">
        <v>2389</v>
      </c>
      <c r="F5098" s="1743"/>
      <c r="G5098" s="1743"/>
      <c r="H5098" s="1743"/>
      <c r="K5098" s="1192" t="s">
        <v>2422</v>
      </c>
      <c r="V5098" s="1192">
        <v>11</v>
      </c>
    </row>
    <row r="5099" spans="1:22" s="1192" customFormat="1" ht="14.4" x14ac:dyDescent="0.3">
      <c r="A5099" s="1192" t="s">
        <v>3744</v>
      </c>
      <c r="B5099" s="1192" t="s">
        <v>3955</v>
      </c>
      <c r="E5099" s="2067" t="s">
        <v>2391</v>
      </c>
      <c r="F5099" s="2067"/>
      <c r="G5099" s="2067"/>
      <c r="H5099" s="2067"/>
      <c r="K5099" s="1192" t="s">
        <v>3958</v>
      </c>
      <c r="V5099" s="1192">
        <v>280</v>
      </c>
    </row>
    <row r="5100" spans="1:22" s="1192" customFormat="1" ht="14.4" x14ac:dyDescent="0.3">
      <c r="A5100" s="1192" t="s">
        <v>3744</v>
      </c>
      <c r="B5100" s="1192" t="s">
        <v>3955</v>
      </c>
      <c r="E5100" s="2067" t="s">
        <v>2392</v>
      </c>
      <c r="F5100" s="2067"/>
      <c r="G5100" s="2067"/>
      <c r="H5100" s="2067"/>
      <c r="K5100" s="1192" t="s">
        <v>3958</v>
      </c>
      <c r="V5100" s="1192">
        <v>411</v>
      </c>
    </row>
    <row r="5101" spans="1:22" s="1192" customFormat="1" ht="14.4" x14ac:dyDescent="0.3">
      <c r="A5101" s="1192" t="s">
        <v>3744</v>
      </c>
      <c r="B5101" s="1192" t="s">
        <v>3955</v>
      </c>
      <c r="E5101" s="2067" t="s">
        <v>2508</v>
      </c>
      <c r="F5101" s="2067"/>
      <c r="G5101" s="2067"/>
      <c r="H5101" s="2067"/>
      <c r="K5101" s="1192" t="s">
        <v>3958</v>
      </c>
      <c r="V5101" s="1192">
        <v>386</v>
      </c>
    </row>
    <row r="5102" spans="1:22" s="1192" customFormat="1" ht="14.4" x14ac:dyDescent="0.3">
      <c r="A5102" s="1192" t="s">
        <v>3744</v>
      </c>
      <c r="B5102" s="1192" t="s">
        <v>3955</v>
      </c>
      <c r="E5102" s="2067" t="s">
        <v>4503</v>
      </c>
      <c r="F5102" s="2067"/>
      <c r="G5102" s="2067"/>
      <c r="H5102" s="2067"/>
      <c r="K5102" s="1192" t="s">
        <v>3958</v>
      </c>
      <c r="V5102" s="1192">
        <v>677</v>
      </c>
    </row>
    <row r="5103" spans="1:22" s="1192" customFormat="1" ht="14.4" x14ac:dyDescent="0.3">
      <c r="A5103" s="1192" t="s">
        <v>3744</v>
      </c>
      <c r="B5103" s="1192" t="s">
        <v>3955</v>
      </c>
      <c r="E5103" s="2067" t="s">
        <v>4504</v>
      </c>
      <c r="F5103" s="2067"/>
      <c r="G5103" s="2067"/>
      <c r="H5103" s="2067"/>
      <c r="K5103" s="1192" t="s">
        <v>3958</v>
      </c>
      <c r="V5103" s="1192">
        <v>725</v>
      </c>
    </row>
    <row r="5104" spans="1:22" s="1192" customFormat="1" ht="14.4" x14ac:dyDescent="0.3">
      <c r="A5104" s="1192" t="s">
        <v>3744</v>
      </c>
      <c r="B5104" s="1192" t="s">
        <v>3955</v>
      </c>
      <c r="E5104" s="2067" t="s">
        <v>4500</v>
      </c>
      <c r="F5104" s="2067"/>
      <c r="G5104" s="2067"/>
      <c r="H5104" s="2067"/>
      <c r="K5104" s="1192" t="s">
        <v>3958</v>
      </c>
      <c r="V5104" s="1192">
        <v>247</v>
      </c>
    </row>
    <row r="5105" spans="1:22" s="1192" customFormat="1" ht="14.4" x14ac:dyDescent="0.3">
      <c r="A5105" s="1192" t="s">
        <v>3744</v>
      </c>
      <c r="B5105" s="1192" t="s">
        <v>3955</v>
      </c>
      <c r="E5105" s="2060" t="s">
        <v>2394</v>
      </c>
      <c r="F5105" s="1743"/>
      <c r="G5105" s="1743"/>
      <c r="H5105" s="1743"/>
      <c r="K5105" s="1192" t="s">
        <v>2423</v>
      </c>
      <c r="V5105" s="1192">
        <v>46</v>
      </c>
    </row>
    <row r="5106" spans="1:22" s="1192" customFormat="1" ht="14.4" x14ac:dyDescent="0.3">
      <c r="A5106" s="1192" t="s">
        <v>3744</v>
      </c>
      <c r="B5106" s="1192" t="s">
        <v>3955</v>
      </c>
      <c r="E5106" s="2062" t="s">
        <v>7</v>
      </c>
      <c r="F5106" s="1740"/>
      <c r="G5106" s="1277" t="s">
        <v>19</v>
      </c>
      <c r="H5106" s="837">
        <v>130.16</v>
      </c>
      <c r="K5106" s="1192" t="s">
        <v>3958</v>
      </c>
      <c r="L5106" s="1192" t="s">
        <v>430</v>
      </c>
      <c r="P5106" s="1192" t="s">
        <v>3960</v>
      </c>
      <c r="V5106" s="1192">
        <v>14</v>
      </c>
    </row>
    <row r="5107" spans="1:22" s="1192" customFormat="1" ht="14.4" x14ac:dyDescent="0.3">
      <c r="A5107" s="1192" t="s">
        <v>3744</v>
      </c>
      <c r="B5107" s="1192" t="s">
        <v>3955</v>
      </c>
      <c r="E5107" s="2062" t="s">
        <v>4501</v>
      </c>
      <c r="F5107" s="1740"/>
      <c r="G5107" s="1277" t="s">
        <v>19</v>
      </c>
      <c r="H5107" s="837">
        <v>1.21</v>
      </c>
      <c r="K5107" s="1192" t="s">
        <v>3958</v>
      </c>
      <c r="L5107" s="1192" t="s">
        <v>430</v>
      </c>
      <c r="P5107" s="1192" t="s">
        <v>6299</v>
      </c>
      <c r="V5107" s="1192">
        <v>135</v>
      </c>
    </row>
    <row r="5108" spans="1:22" s="1192" customFormat="1" ht="14.4" x14ac:dyDescent="0.3">
      <c r="A5108" s="1192" t="s">
        <v>3744</v>
      </c>
      <c r="B5108" s="1192" t="s">
        <v>3955</v>
      </c>
      <c r="E5108" s="2062" t="s">
        <v>80</v>
      </c>
      <c r="F5108" s="1740"/>
      <c r="G5108" s="1277" t="s">
        <v>29</v>
      </c>
      <c r="H5108" s="837">
        <v>2.9479000000000002</v>
      </c>
      <c r="K5108" s="1192" t="s">
        <v>3958</v>
      </c>
      <c r="L5108" s="1192" t="s">
        <v>430</v>
      </c>
      <c r="P5108" s="1192" t="s">
        <v>3961</v>
      </c>
      <c r="V5108" s="1192">
        <v>28</v>
      </c>
    </row>
    <row r="5109" spans="1:22" s="1192" customFormat="1" ht="14.4" x14ac:dyDescent="0.3">
      <c r="A5109" s="1192" t="s">
        <v>3744</v>
      </c>
      <c r="B5109" s="1192" t="s">
        <v>3955</v>
      </c>
      <c r="E5109" s="2062" t="s">
        <v>6103</v>
      </c>
      <c r="F5109" s="1989"/>
      <c r="G5109" s="1277" t="s">
        <v>29</v>
      </c>
      <c r="H5109" s="837">
        <v>5.6500000000000002E-2</v>
      </c>
      <c r="K5109" s="1192" t="s">
        <v>3958</v>
      </c>
      <c r="L5109" s="1192" t="s">
        <v>430</v>
      </c>
      <c r="P5109" s="1192" t="s">
        <v>4505</v>
      </c>
      <c r="T5109" s="1192">
        <v>44196</v>
      </c>
      <c r="V5109" s="1192">
        <v>137</v>
      </c>
    </row>
    <row r="5110" spans="1:22" s="1192" customFormat="1" ht="14.4" x14ac:dyDescent="0.3">
      <c r="A5110" s="1192" t="s">
        <v>3744</v>
      </c>
      <c r="B5110" s="1192" t="s">
        <v>3955</v>
      </c>
      <c r="E5110" s="2062" t="s">
        <v>4501</v>
      </c>
      <c r="F5110" s="1740"/>
      <c r="G5110" s="1277" t="s">
        <v>29</v>
      </c>
      <c r="H5110" s="837">
        <v>2.7300000000000001E-2</v>
      </c>
      <c r="K5110" s="1192" t="s">
        <v>3958</v>
      </c>
      <c r="L5110" s="1192" t="s">
        <v>430</v>
      </c>
      <c r="P5110" s="1192" t="s">
        <v>6300</v>
      </c>
      <c r="V5110" s="1192">
        <v>135</v>
      </c>
    </row>
    <row r="5111" spans="1:22" s="1192" customFormat="1" ht="14.4" x14ac:dyDescent="0.3">
      <c r="A5111" s="1192" t="s">
        <v>3744</v>
      </c>
      <c r="B5111" s="1192" t="s">
        <v>3955</v>
      </c>
      <c r="E5111" s="2062" t="s">
        <v>213</v>
      </c>
      <c r="F5111" s="1740"/>
      <c r="G5111" s="1277" t="s">
        <v>29</v>
      </c>
      <c r="H5111" s="837">
        <v>2.7094</v>
      </c>
      <c r="K5111" s="1192" t="s">
        <v>3958</v>
      </c>
      <c r="L5111" s="1192" t="s">
        <v>432</v>
      </c>
      <c r="P5111" s="1192" t="s">
        <v>3962</v>
      </c>
      <c r="V5111" s="1192">
        <v>47</v>
      </c>
    </row>
    <row r="5112" spans="1:22" s="1192" customFormat="1" ht="14.4" x14ac:dyDescent="0.3">
      <c r="A5112" s="1192" t="s">
        <v>3744</v>
      </c>
      <c r="B5112" s="1192" t="s">
        <v>3955</v>
      </c>
      <c r="E5112" s="2062" t="s">
        <v>209</v>
      </c>
      <c r="F5112" s="1740"/>
      <c r="G5112" s="1277" t="s">
        <v>29</v>
      </c>
      <c r="H5112" s="837">
        <v>2.1684999999999999</v>
      </c>
      <c r="K5112" s="1192" t="s">
        <v>3958</v>
      </c>
      <c r="L5112" s="1192" t="s">
        <v>432</v>
      </c>
      <c r="P5112" s="1192" t="s">
        <v>3963</v>
      </c>
      <c r="V5112" s="1192">
        <v>74</v>
      </c>
    </row>
    <row r="5113" spans="1:22" s="1192" customFormat="1" ht="14.4" x14ac:dyDescent="0.3">
      <c r="A5113" s="1192" t="s">
        <v>3744</v>
      </c>
      <c r="B5113" s="1192" t="s">
        <v>3955</v>
      </c>
      <c r="E5113" s="2060" t="s">
        <v>2405</v>
      </c>
      <c r="F5113" s="1741"/>
      <c r="G5113" s="1277"/>
      <c r="H5113" s="896"/>
      <c r="K5113" s="1192" t="s">
        <v>2526</v>
      </c>
      <c r="V5113" s="1192">
        <v>48</v>
      </c>
    </row>
    <row r="5114" spans="1:22" s="1192" customFormat="1" ht="14.4" x14ac:dyDescent="0.3">
      <c r="A5114" s="1192" t="s">
        <v>3744</v>
      </c>
      <c r="B5114" s="1192" t="s">
        <v>3955</v>
      </c>
      <c r="E5114" s="2062" t="s">
        <v>2033</v>
      </c>
      <c r="F5114" s="1740"/>
      <c r="G5114" s="1277" t="s">
        <v>20</v>
      </c>
      <c r="H5114" s="1219">
        <v>3.0000000000000001E-3</v>
      </c>
      <c r="K5114" s="1192" t="s">
        <v>3958</v>
      </c>
      <c r="L5114" s="1192" t="s">
        <v>2374</v>
      </c>
      <c r="P5114" s="1192" t="s">
        <v>3964</v>
      </c>
      <c r="V5114" s="1192">
        <v>55</v>
      </c>
    </row>
    <row r="5115" spans="1:22" s="1192" customFormat="1" ht="14.4" x14ac:dyDescent="0.3">
      <c r="A5115" s="1192" t="s">
        <v>3744</v>
      </c>
      <c r="B5115" s="1192" t="s">
        <v>3955</v>
      </c>
      <c r="E5115" s="2062" t="s">
        <v>2034</v>
      </c>
      <c r="F5115" s="1740"/>
      <c r="G5115" s="1277" t="s">
        <v>20</v>
      </c>
      <c r="H5115" s="837">
        <v>4.0000000000000002E-4</v>
      </c>
      <c r="K5115" s="1192" t="s">
        <v>3958</v>
      </c>
      <c r="L5115" s="1192" t="s">
        <v>2374</v>
      </c>
      <c r="P5115" s="1192" t="s">
        <v>3964</v>
      </c>
      <c r="V5115" s="1192">
        <v>65</v>
      </c>
    </row>
    <row r="5116" spans="1:22" s="1192" customFormat="1" ht="14.4" x14ac:dyDescent="0.3">
      <c r="A5116" s="1192" t="s">
        <v>3744</v>
      </c>
      <c r="B5116" s="1192" t="s">
        <v>3955</v>
      </c>
      <c r="E5116" s="2062" t="s">
        <v>428</v>
      </c>
      <c r="F5116" s="1740"/>
      <c r="G5116" s="1277" t="s">
        <v>20</v>
      </c>
      <c r="H5116" s="837">
        <v>5.0000000000000001E-4</v>
      </c>
      <c r="K5116" s="1192" t="s">
        <v>3958</v>
      </c>
      <c r="L5116" s="1192" t="s">
        <v>2374</v>
      </c>
      <c r="P5116" s="1192" t="s">
        <v>3965</v>
      </c>
      <c r="V5116" s="1192">
        <v>57</v>
      </c>
    </row>
    <row r="5117" spans="1:22" s="1192" customFormat="1" ht="14.4" x14ac:dyDescent="0.3">
      <c r="A5117" s="1192" t="s">
        <v>3744</v>
      </c>
      <c r="B5117" s="1192" t="s">
        <v>3955</v>
      </c>
      <c r="E5117" s="2062" t="s">
        <v>28</v>
      </c>
      <c r="F5117" s="1740"/>
      <c r="G5117" s="1277" t="s">
        <v>19</v>
      </c>
      <c r="H5117" s="837">
        <v>0.25</v>
      </c>
      <c r="K5117" s="1192" t="s">
        <v>3958</v>
      </c>
      <c r="L5117" s="1192" t="s">
        <v>2374</v>
      </c>
      <c r="P5117" s="1192" t="s">
        <v>3966</v>
      </c>
      <c r="V5117" s="1192">
        <v>63</v>
      </c>
    </row>
    <row r="5118" spans="1:22" s="1192" customFormat="1" ht="17.399999999999999" x14ac:dyDescent="0.3">
      <c r="A5118" s="1192" t="s">
        <v>3744</v>
      </c>
      <c r="B5118" s="1192" t="s">
        <v>3955</v>
      </c>
      <c r="E5118" s="2082" t="s">
        <v>1491</v>
      </c>
      <c r="F5118" s="1747"/>
      <c r="G5118" s="1747"/>
      <c r="H5118" s="1747"/>
      <c r="K5118" s="1192" t="s">
        <v>3967</v>
      </c>
      <c r="V5118" s="1192">
        <v>54</v>
      </c>
    </row>
    <row r="5119" spans="1:22" s="1192" customFormat="1" ht="14.4" x14ac:dyDescent="0.3">
      <c r="A5119" s="1192" t="s">
        <v>3744</v>
      </c>
      <c r="B5119" s="1192" t="s">
        <v>3955</v>
      </c>
      <c r="E5119" s="2067" t="s">
        <v>3968</v>
      </c>
      <c r="F5119" s="2067"/>
      <c r="G5119" s="2067"/>
      <c r="H5119" s="2067"/>
      <c r="K5119" s="1192" t="s">
        <v>3967</v>
      </c>
      <c r="V5119" s="1192">
        <v>388</v>
      </c>
    </row>
    <row r="5120" spans="1:22" s="1192" customFormat="1" ht="14.4" x14ac:dyDescent="0.3">
      <c r="A5120" s="1192" t="s">
        <v>3744</v>
      </c>
      <c r="B5120" s="1192" t="s">
        <v>3955</v>
      </c>
      <c r="E5120" s="2060" t="s">
        <v>2389</v>
      </c>
      <c r="F5120" s="1743"/>
      <c r="G5120" s="1743"/>
      <c r="H5120" s="1743"/>
      <c r="K5120" s="1192" t="s">
        <v>2529</v>
      </c>
      <c r="V5120" s="1192">
        <v>11</v>
      </c>
    </row>
    <row r="5121" spans="1:22" s="1192" customFormat="1" ht="14.4" x14ac:dyDescent="0.3">
      <c r="A5121" s="1192" t="s">
        <v>3744</v>
      </c>
      <c r="B5121" s="1192" t="s">
        <v>3955</v>
      </c>
      <c r="E5121" s="2067" t="s">
        <v>2391</v>
      </c>
      <c r="F5121" s="2067"/>
      <c r="G5121" s="2067"/>
      <c r="H5121" s="2067"/>
      <c r="K5121" s="1192" t="s">
        <v>3967</v>
      </c>
      <c r="V5121" s="1192">
        <v>280</v>
      </c>
    </row>
    <row r="5122" spans="1:22" s="1192" customFormat="1" ht="14.4" x14ac:dyDescent="0.3">
      <c r="A5122" s="1192" t="s">
        <v>3744</v>
      </c>
      <c r="B5122" s="1192" t="s">
        <v>3955</v>
      </c>
      <c r="E5122" s="2067" t="s">
        <v>2392</v>
      </c>
      <c r="F5122" s="2067"/>
      <c r="G5122" s="2067"/>
      <c r="H5122" s="2067"/>
      <c r="K5122" s="1192" t="s">
        <v>3967</v>
      </c>
      <c r="V5122" s="1192">
        <v>411</v>
      </c>
    </row>
    <row r="5123" spans="1:22" s="1192" customFormat="1" ht="14.4" x14ac:dyDescent="0.3">
      <c r="A5123" s="1192" t="s">
        <v>3744</v>
      </c>
      <c r="B5123" s="1192" t="s">
        <v>3955</v>
      </c>
      <c r="E5123" s="2067" t="s">
        <v>2508</v>
      </c>
      <c r="F5123" s="2067"/>
      <c r="G5123" s="2067"/>
      <c r="H5123" s="2067"/>
      <c r="K5123" s="1192" t="s">
        <v>3967</v>
      </c>
      <c r="V5123" s="1192">
        <v>386</v>
      </c>
    </row>
    <row r="5124" spans="1:22" s="1192" customFormat="1" ht="14.4" x14ac:dyDescent="0.3">
      <c r="A5124" s="1192" t="s">
        <v>3744</v>
      </c>
      <c r="B5124" s="1192" t="s">
        <v>3955</v>
      </c>
      <c r="E5124" s="2067" t="s">
        <v>4503</v>
      </c>
      <c r="F5124" s="2067"/>
      <c r="G5124" s="2067"/>
      <c r="H5124" s="2067"/>
      <c r="K5124" s="1192" t="s">
        <v>3967</v>
      </c>
      <c r="V5124" s="1192">
        <v>677</v>
      </c>
    </row>
    <row r="5125" spans="1:22" s="1192" customFormat="1" ht="14.4" x14ac:dyDescent="0.3">
      <c r="A5125" s="1192" t="s">
        <v>3744</v>
      </c>
      <c r="B5125" s="1192" t="s">
        <v>3955</v>
      </c>
      <c r="E5125" s="2067" t="s">
        <v>4504</v>
      </c>
      <c r="F5125" s="2067"/>
      <c r="G5125" s="2067"/>
      <c r="H5125" s="2067"/>
      <c r="K5125" s="1192" t="s">
        <v>3967</v>
      </c>
      <c r="V5125" s="1192">
        <v>725</v>
      </c>
    </row>
    <row r="5126" spans="1:22" s="1192" customFormat="1" ht="14.4" x14ac:dyDescent="0.3">
      <c r="A5126" s="1192" t="s">
        <v>3744</v>
      </c>
      <c r="B5126" s="1192" t="s">
        <v>3955</v>
      </c>
      <c r="E5126" s="2067" t="s">
        <v>4500</v>
      </c>
      <c r="F5126" s="2067"/>
      <c r="G5126" s="2067"/>
      <c r="H5126" s="2067"/>
      <c r="K5126" s="1192" t="s">
        <v>3967</v>
      </c>
      <c r="V5126" s="1192">
        <v>247</v>
      </c>
    </row>
    <row r="5127" spans="1:22" s="1192" customFormat="1" ht="14.4" x14ac:dyDescent="0.3">
      <c r="A5127" s="1192" t="s">
        <v>3744</v>
      </c>
      <c r="B5127" s="1192" t="s">
        <v>3955</v>
      </c>
      <c r="E5127" s="2060" t="s">
        <v>2394</v>
      </c>
      <c r="F5127" s="1743"/>
      <c r="G5127" s="1743"/>
      <c r="H5127" s="1743"/>
      <c r="K5127" s="1192" t="s">
        <v>2531</v>
      </c>
      <c r="V5127" s="1192">
        <v>46</v>
      </c>
    </row>
    <row r="5128" spans="1:22" s="1192" customFormat="1" ht="14.4" x14ac:dyDescent="0.3">
      <c r="A5128" s="1192" t="s">
        <v>3744</v>
      </c>
      <c r="B5128" s="1192" t="s">
        <v>3955</v>
      </c>
      <c r="E5128" s="2062" t="s">
        <v>7</v>
      </c>
      <c r="F5128" s="1740"/>
      <c r="G5128" s="1277" t="s">
        <v>19</v>
      </c>
      <c r="H5128" s="837">
        <v>1174.3399999999999</v>
      </c>
      <c r="K5128" s="1192" t="s">
        <v>3967</v>
      </c>
      <c r="L5128" s="1192" t="s">
        <v>430</v>
      </c>
      <c r="P5128" s="1192" t="s">
        <v>3969</v>
      </c>
      <c r="V5128" s="1192">
        <v>14</v>
      </c>
    </row>
    <row r="5129" spans="1:22" s="1192" customFormat="1" ht="14.4" x14ac:dyDescent="0.3">
      <c r="A5129" s="1192" t="s">
        <v>3744</v>
      </c>
      <c r="B5129" s="1192" t="s">
        <v>3955</v>
      </c>
      <c r="E5129" s="2062" t="s">
        <v>4501</v>
      </c>
      <c r="F5129" s="1740"/>
      <c r="G5129" s="1277" t="s">
        <v>19</v>
      </c>
      <c r="H5129" s="837">
        <v>10.89</v>
      </c>
      <c r="K5129" s="1192" t="s">
        <v>3967</v>
      </c>
      <c r="L5129" s="1192" t="s">
        <v>430</v>
      </c>
      <c r="P5129" s="1192" t="s">
        <v>6301</v>
      </c>
      <c r="V5129" s="1192">
        <v>135</v>
      </c>
    </row>
    <row r="5130" spans="1:22" s="1192" customFormat="1" ht="14.4" x14ac:dyDescent="0.3">
      <c r="A5130" s="1192" t="s">
        <v>3744</v>
      </c>
      <c r="B5130" s="1192" t="s">
        <v>3955</v>
      </c>
      <c r="E5130" s="2062" t="s">
        <v>80</v>
      </c>
      <c r="F5130" s="1740"/>
      <c r="G5130" s="1277" t="s">
        <v>29</v>
      </c>
      <c r="H5130" s="837">
        <v>3.4220999999999999</v>
      </c>
      <c r="K5130" s="1192" t="s">
        <v>3967</v>
      </c>
      <c r="L5130" s="1192" t="s">
        <v>430</v>
      </c>
      <c r="P5130" s="1192" t="s">
        <v>3970</v>
      </c>
      <c r="V5130" s="1192">
        <v>28</v>
      </c>
    </row>
    <row r="5131" spans="1:22" s="1192" customFormat="1" ht="14.4" x14ac:dyDescent="0.3">
      <c r="A5131" s="1192" t="s">
        <v>3744</v>
      </c>
      <c r="B5131" s="1192" t="s">
        <v>3955</v>
      </c>
      <c r="E5131" s="2062" t="s">
        <v>6103</v>
      </c>
      <c r="F5131" s="1989"/>
      <c r="G5131" s="1277" t="s">
        <v>29</v>
      </c>
      <c r="H5131" s="837">
        <v>4.5900000000000003E-2</v>
      </c>
      <c r="K5131" s="1192" t="s">
        <v>3967</v>
      </c>
      <c r="L5131" s="1192" t="s">
        <v>430</v>
      </c>
      <c r="P5131" s="1192" t="s">
        <v>4506</v>
      </c>
      <c r="T5131" s="1192">
        <v>44196</v>
      </c>
      <c r="V5131" s="1192">
        <v>137</v>
      </c>
    </row>
    <row r="5132" spans="1:22" s="1192" customFormat="1" ht="14.4" x14ac:dyDescent="0.3">
      <c r="A5132" s="1192" t="s">
        <v>3744</v>
      </c>
      <c r="B5132" s="1192" t="s">
        <v>3955</v>
      </c>
      <c r="E5132" s="2062" t="s">
        <v>4501</v>
      </c>
      <c r="F5132" s="1740"/>
      <c r="G5132" s="1277" t="s">
        <v>29</v>
      </c>
      <c r="H5132" s="837">
        <v>3.1699999999999999E-2</v>
      </c>
      <c r="K5132" s="1192" t="s">
        <v>3967</v>
      </c>
      <c r="L5132" s="1192" t="s">
        <v>430</v>
      </c>
      <c r="P5132" s="1192" t="s">
        <v>6302</v>
      </c>
      <c r="V5132" s="1192">
        <v>135</v>
      </c>
    </row>
    <row r="5133" spans="1:22" s="1192" customFormat="1" ht="14.4" x14ac:dyDescent="0.3">
      <c r="A5133" s="1192" t="s">
        <v>3744</v>
      </c>
      <c r="B5133" s="1192" t="s">
        <v>3955</v>
      </c>
      <c r="E5133" s="2062" t="s">
        <v>213</v>
      </c>
      <c r="F5133" s="1740"/>
      <c r="G5133" s="1277" t="s">
        <v>29</v>
      </c>
      <c r="H5133" s="837">
        <v>3.0385</v>
      </c>
      <c r="K5133" s="1192" t="s">
        <v>3967</v>
      </c>
      <c r="L5133" s="1192" t="s">
        <v>432</v>
      </c>
      <c r="P5133" s="1192" t="s">
        <v>3971</v>
      </c>
      <c r="V5133" s="1192">
        <v>47</v>
      </c>
    </row>
    <row r="5134" spans="1:22" s="1192" customFormat="1" ht="14.4" x14ac:dyDescent="0.3">
      <c r="A5134" s="1192" t="s">
        <v>3744</v>
      </c>
      <c r="B5134" s="1192" t="s">
        <v>3955</v>
      </c>
      <c r="E5134" s="2062" t="s">
        <v>209</v>
      </c>
      <c r="F5134" s="1740"/>
      <c r="G5134" s="1277" t="s">
        <v>29</v>
      </c>
      <c r="H5134" s="837">
        <v>2.3309000000000002</v>
      </c>
      <c r="K5134" s="1192" t="s">
        <v>3967</v>
      </c>
      <c r="L5134" s="1192" t="s">
        <v>432</v>
      </c>
      <c r="P5134" s="1192" t="s">
        <v>3972</v>
      </c>
      <c r="V5134" s="1192">
        <v>74</v>
      </c>
    </row>
    <row r="5135" spans="1:22" s="1192" customFormat="1" ht="14.4" x14ac:dyDescent="0.3">
      <c r="A5135" s="1192" t="s">
        <v>3744</v>
      </c>
      <c r="B5135" s="1192" t="s">
        <v>3955</v>
      </c>
      <c r="E5135" s="2060" t="s">
        <v>2405</v>
      </c>
      <c r="F5135" s="1741"/>
      <c r="G5135" s="1277"/>
      <c r="H5135" s="896"/>
      <c r="K5135" s="1192" t="s">
        <v>2532</v>
      </c>
      <c r="V5135" s="1192">
        <v>48</v>
      </c>
    </row>
    <row r="5136" spans="1:22" s="1192" customFormat="1" ht="14.4" x14ac:dyDescent="0.3">
      <c r="A5136" s="1192" t="s">
        <v>3744</v>
      </c>
      <c r="B5136" s="1192" t="s">
        <v>3955</v>
      </c>
      <c r="E5136" s="2062" t="s">
        <v>2033</v>
      </c>
      <c r="F5136" s="1740"/>
      <c r="G5136" s="1277" t="s">
        <v>20</v>
      </c>
      <c r="H5136" s="1219">
        <v>3.0000000000000001E-3</v>
      </c>
      <c r="K5136" s="1192" t="s">
        <v>3967</v>
      </c>
      <c r="L5136" s="1192" t="s">
        <v>2374</v>
      </c>
      <c r="P5136" s="1192" t="s">
        <v>3973</v>
      </c>
      <c r="V5136" s="1192">
        <v>55</v>
      </c>
    </row>
    <row r="5137" spans="1:22" s="1192" customFormat="1" ht="14.4" x14ac:dyDescent="0.3">
      <c r="A5137" s="1192" t="s">
        <v>3744</v>
      </c>
      <c r="B5137" s="1192" t="s">
        <v>3955</v>
      </c>
      <c r="E5137" s="2062" t="s">
        <v>2034</v>
      </c>
      <c r="F5137" s="1740"/>
      <c r="G5137" s="1277" t="s">
        <v>20</v>
      </c>
      <c r="H5137" s="837">
        <v>4.0000000000000002E-4</v>
      </c>
      <c r="K5137" s="1192" t="s">
        <v>3967</v>
      </c>
      <c r="L5137" s="1192" t="s">
        <v>2374</v>
      </c>
      <c r="P5137" s="1192" t="s">
        <v>3973</v>
      </c>
      <c r="V5137" s="1192">
        <v>65</v>
      </c>
    </row>
    <row r="5138" spans="1:22" s="1192" customFormat="1" ht="14.4" x14ac:dyDescent="0.3">
      <c r="A5138" s="1192" t="s">
        <v>3744</v>
      </c>
      <c r="B5138" s="1192" t="s">
        <v>3955</v>
      </c>
      <c r="E5138" s="2062" t="s">
        <v>428</v>
      </c>
      <c r="F5138" s="1740"/>
      <c r="G5138" s="1277" t="s">
        <v>20</v>
      </c>
      <c r="H5138" s="837">
        <v>5.0000000000000001E-4</v>
      </c>
      <c r="K5138" s="1192" t="s">
        <v>3967</v>
      </c>
      <c r="L5138" s="1192" t="s">
        <v>2374</v>
      </c>
      <c r="P5138" s="1192" t="s">
        <v>3974</v>
      </c>
      <c r="V5138" s="1192">
        <v>57</v>
      </c>
    </row>
    <row r="5139" spans="1:22" s="1192" customFormat="1" ht="14.4" x14ac:dyDescent="0.3">
      <c r="A5139" s="1192" t="s">
        <v>3744</v>
      </c>
      <c r="B5139" s="1192" t="s">
        <v>3955</v>
      </c>
      <c r="E5139" s="2062" t="s">
        <v>28</v>
      </c>
      <c r="F5139" s="1740"/>
      <c r="G5139" s="1277" t="s">
        <v>19</v>
      </c>
      <c r="H5139" s="837">
        <v>0.25</v>
      </c>
      <c r="K5139" s="1192" t="s">
        <v>3967</v>
      </c>
      <c r="L5139" s="1192" t="s">
        <v>2374</v>
      </c>
      <c r="P5139" s="1192" t="s">
        <v>3975</v>
      </c>
      <c r="V5139" s="1192">
        <v>63</v>
      </c>
    </row>
    <row r="5140" spans="1:22" s="1192" customFormat="1" ht="17.399999999999999" x14ac:dyDescent="0.3">
      <c r="A5140" s="1192" t="s">
        <v>3744</v>
      </c>
      <c r="B5140" s="1192" t="s">
        <v>3955</v>
      </c>
      <c r="E5140" s="2082" t="s">
        <v>596</v>
      </c>
      <c r="F5140" s="1747"/>
      <c r="G5140" s="1747"/>
      <c r="H5140" s="1747"/>
      <c r="K5140" s="1192" t="s">
        <v>2533</v>
      </c>
      <c r="V5140" s="1192">
        <v>32</v>
      </c>
    </row>
    <row r="5141" spans="1:22" s="1192" customFormat="1" ht="14.4" x14ac:dyDescent="0.3">
      <c r="A5141" s="1192" t="s">
        <v>3744</v>
      </c>
      <c r="B5141" s="1192" t="s">
        <v>3955</v>
      </c>
      <c r="E5141" s="2067" t="s">
        <v>3976</v>
      </c>
      <c r="F5141" s="2067"/>
      <c r="G5141" s="2067"/>
      <c r="H5141" s="2067"/>
      <c r="K5141" s="1192" t="s">
        <v>2533</v>
      </c>
      <c r="V5141" s="1192">
        <v>387</v>
      </c>
    </row>
    <row r="5142" spans="1:22" s="1192" customFormat="1" ht="14.4" x14ac:dyDescent="0.3">
      <c r="A5142" s="1192" t="s">
        <v>3744</v>
      </c>
      <c r="B5142" s="1192" t="s">
        <v>3955</v>
      </c>
      <c r="E5142" s="2060" t="s">
        <v>2389</v>
      </c>
      <c r="F5142" s="1743"/>
      <c r="G5142" s="1743"/>
      <c r="H5142" s="1743"/>
      <c r="K5142" s="1192" t="s">
        <v>2424</v>
      </c>
      <c r="V5142" s="1192">
        <v>11</v>
      </c>
    </row>
    <row r="5143" spans="1:22" s="1192" customFormat="1" ht="14.4" x14ac:dyDescent="0.3">
      <c r="A5143" s="1192" t="s">
        <v>3744</v>
      </c>
      <c r="B5143" s="1192" t="s">
        <v>3955</v>
      </c>
      <c r="E5143" s="2067" t="s">
        <v>2391</v>
      </c>
      <c r="F5143" s="2067"/>
      <c r="G5143" s="2067"/>
      <c r="H5143" s="2067"/>
      <c r="K5143" s="1192" t="s">
        <v>2533</v>
      </c>
      <c r="V5143" s="1192">
        <v>280</v>
      </c>
    </row>
    <row r="5144" spans="1:22" s="1192" customFormat="1" ht="14.4" x14ac:dyDescent="0.3">
      <c r="A5144" s="1192" t="s">
        <v>3744</v>
      </c>
      <c r="B5144" s="1192" t="s">
        <v>3955</v>
      </c>
      <c r="E5144" s="2067" t="s">
        <v>2392</v>
      </c>
      <c r="F5144" s="2067"/>
      <c r="G5144" s="2067"/>
      <c r="H5144" s="2067"/>
      <c r="K5144" s="1192" t="s">
        <v>2533</v>
      </c>
      <c r="V5144" s="1192">
        <v>411</v>
      </c>
    </row>
    <row r="5145" spans="1:22" s="1192" customFormat="1" ht="14.4" x14ac:dyDescent="0.3">
      <c r="A5145" s="1192" t="s">
        <v>3744</v>
      </c>
      <c r="B5145" s="1192" t="s">
        <v>3955</v>
      </c>
      <c r="E5145" s="2067" t="s">
        <v>2508</v>
      </c>
      <c r="F5145" s="2067"/>
      <c r="G5145" s="2067"/>
      <c r="H5145" s="2067"/>
      <c r="K5145" s="1192" t="s">
        <v>2533</v>
      </c>
      <c r="V5145" s="1192">
        <v>386</v>
      </c>
    </row>
    <row r="5146" spans="1:22" s="1192" customFormat="1" ht="14.4" x14ac:dyDescent="0.3">
      <c r="A5146" s="1192" t="s">
        <v>3744</v>
      </c>
      <c r="B5146" s="1192" t="s">
        <v>3955</v>
      </c>
      <c r="E5146" s="2067" t="s">
        <v>4503</v>
      </c>
      <c r="F5146" s="2067"/>
      <c r="G5146" s="2067"/>
      <c r="H5146" s="2067"/>
      <c r="K5146" s="1192" t="s">
        <v>2533</v>
      </c>
      <c r="V5146" s="1192">
        <v>677</v>
      </c>
    </row>
    <row r="5147" spans="1:22" s="1192" customFormat="1" ht="14.4" x14ac:dyDescent="0.3">
      <c r="A5147" s="1192" t="s">
        <v>3744</v>
      </c>
      <c r="B5147" s="1192" t="s">
        <v>3955</v>
      </c>
      <c r="E5147" s="2067" t="s">
        <v>4504</v>
      </c>
      <c r="F5147" s="2067"/>
      <c r="G5147" s="2067"/>
      <c r="H5147" s="2067"/>
      <c r="K5147" s="1192" t="s">
        <v>2533</v>
      </c>
      <c r="V5147" s="1192">
        <v>725</v>
      </c>
    </row>
    <row r="5148" spans="1:22" s="1192" customFormat="1" ht="14.4" x14ac:dyDescent="0.3">
      <c r="A5148" s="1192" t="s">
        <v>3744</v>
      </c>
      <c r="B5148" s="1192" t="s">
        <v>3955</v>
      </c>
      <c r="E5148" s="2067" t="s">
        <v>4500</v>
      </c>
      <c r="F5148" s="2067"/>
      <c r="G5148" s="2067"/>
      <c r="H5148" s="2067"/>
      <c r="K5148" s="1192" t="s">
        <v>2533</v>
      </c>
      <c r="V5148" s="1192">
        <v>247</v>
      </c>
    </row>
    <row r="5149" spans="1:22" s="1192" customFormat="1" ht="14.4" x14ac:dyDescent="0.3">
      <c r="A5149" s="1192" t="s">
        <v>3744</v>
      </c>
      <c r="B5149" s="1192" t="s">
        <v>3955</v>
      </c>
      <c r="E5149" s="2060" t="s">
        <v>2394</v>
      </c>
      <c r="F5149" s="1743"/>
      <c r="G5149" s="1743"/>
      <c r="H5149" s="1743"/>
      <c r="K5149" s="1192" t="s">
        <v>2425</v>
      </c>
      <c r="V5149" s="1192">
        <v>46</v>
      </c>
    </row>
    <row r="5150" spans="1:22" s="1192" customFormat="1" ht="14.4" x14ac:dyDescent="0.3">
      <c r="A5150" s="1192" t="s">
        <v>3744</v>
      </c>
      <c r="B5150" s="1192" t="s">
        <v>3955</v>
      </c>
      <c r="E5150" s="2062" t="s">
        <v>7</v>
      </c>
      <c r="F5150" s="1740"/>
      <c r="G5150" s="1277" t="s">
        <v>19</v>
      </c>
      <c r="H5150" s="837">
        <v>4886.67</v>
      </c>
      <c r="K5150" s="1192" t="s">
        <v>2533</v>
      </c>
      <c r="L5150" s="1192" t="s">
        <v>430</v>
      </c>
      <c r="P5150" s="1192" t="s">
        <v>2535</v>
      </c>
      <c r="V5150" s="1192">
        <v>14</v>
      </c>
    </row>
    <row r="5151" spans="1:22" s="1192" customFormat="1" ht="14.4" x14ac:dyDescent="0.3">
      <c r="A5151" s="1192" t="s">
        <v>3744</v>
      </c>
      <c r="B5151" s="1192" t="s">
        <v>3955</v>
      </c>
      <c r="E5151" s="2062" t="s">
        <v>4501</v>
      </c>
      <c r="F5151" s="1740"/>
      <c r="G5151" s="1277" t="s">
        <v>19</v>
      </c>
      <c r="H5151" s="837">
        <v>45.33</v>
      </c>
      <c r="K5151" s="1192" t="s">
        <v>2533</v>
      </c>
      <c r="L5151" s="1192" t="s">
        <v>430</v>
      </c>
      <c r="P5151" s="1192" t="s">
        <v>6303</v>
      </c>
      <c r="V5151" s="1192">
        <v>135</v>
      </c>
    </row>
    <row r="5152" spans="1:22" s="1192" customFormat="1" ht="14.4" x14ac:dyDescent="0.3">
      <c r="A5152" s="1192" t="s">
        <v>3744</v>
      </c>
      <c r="B5152" s="1192" t="s">
        <v>3955</v>
      </c>
      <c r="E5152" s="2062" t="s">
        <v>80</v>
      </c>
      <c r="F5152" s="1740"/>
      <c r="G5152" s="1277" t="s">
        <v>29</v>
      </c>
      <c r="H5152" s="837">
        <v>2.5909</v>
      </c>
      <c r="K5152" s="1192" t="s">
        <v>2533</v>
      </c>
      <c r="L5152" s="1192" t="s">
        <v>430</v>
      </c>
      <c r="P5152" s="1192" t="s">
        <v>2536</v>
      </c>
      <c r="V5152" s="1192">
        <v>28</v>
      </c>
    </row>
    <row r="5153" spans="1:22" s="1192" customFormat="1" ht="14.4" x14ac:dyDescent="0.3">
      <c r="A5153" s="1192" t="s">
        <v>3744</v>
      </c>
      <c r="B5153" s="1192" t="s">
        <v>3955</v>
      </c>
      <c r="E5153" s="2062" t="s">
        <v>6103</v>
      </c>
      <c r="F5153" s="1989"/>
      <c r="G5153" s="1277" t="s">
        <v>29</v>
      </c>
      <c r="H5153" s="837">
        <v>5.8700000000000002E-2</v>
      </c>
      <c r="K5153" s="1192" t="s">
        <v>2533</v>
      </c>
      <c r="L5153" s="1192" t="s">
        <v>430</v>
      </c>
      <c r="P5153" s="1192" t="s">
        <v>2538</v>
      </c>
      <c r="T5153" s="1192">
        <v>44196</v>
      </c>
      <c r="V5153" s="1192">
        <v>137</v>
      </c>
    </row>
    <row r="5154" spans="1:22" s="1192" customFormat="1" ht="14.4" x14ac:dyDescent="0.3">
      <c r="A5154" s="1192" t="s">
        <v>3744</v>
      </c>
      <c r="B5154" s="1192" t="s">
        <v>3955</v>
      </c>
      <c r="E5154" s="2062" t="s">
        <v>4501</v>
      </c>
      <c r="F5154" s="1740"/>
      <c r="G5154" s="1277" t="s">
        <v>29</v>
      </c>
      <c r="H5154" s="837">
        <v>2.4E-2</v>
      </c>
      <c r="K5154" s="1192" t="s">
        <v>2533</v>
      </c>
      <c r="L5154" s="1192" t="s">
        <v>430</v>
      </c>
      <c r="P5154" s="1192" t="s">
        <v>6304</v>
      </c>
      <c r="V5154" s="1192">
        <v>135</v>
      </c>
    </row>
    <row r="5155" spans="1:22" s="1192" customFormat="1" ht="14.4" x14ac:dyDescent="0.3">
      <c r="A5155" s="1192" t="s">
        <v>3744</v>
      </c>
      <c r="B5155" s="1192" t="s">
        <v>3955</v>
      </c>
      <c r="E5155" s="2062" t="s">
        <v>213</v>
      </c>
      <c r="F5155" s="1740"/>
      <c r="G5155" s="1277" t="s">
        <v>29</v>
      </c>
      <c r="H5155" s="837">
        <v>3.4390000000000001</v>
      </c>
      <c r="K5155" s="1192" t="s">
        <v>2533</v>
      </c>
      <c r="L5155" s="1192" t="s">
        <v>432</v>
      </c>
      <c r="P5155" s="1192" t="s">
        <v>2833</v>
      </c>
      <c r="V5155" s="1192">
        <v>47</v>
      </c>
    </row>
    <row r="5156" spans="1:22" s="1192" customFormat="1" ht="14.4" x14ac:dyDescent="0.3">
      <c r="A5156" s="1192" t="s">
        <v>3744</v>
      </c>
      <c r="B5156" s="1192" t="s">
        <v>3955</v>
      </c>
      <c r="E5156" s="2062" t="s">
        <v>209</v>
      </c>
      <c r="F5156" s="1740"/>
      <c r="G5156" s="1277" t="s">
        <v>29</v>
      </c>
      <c r="H5156" s="837">
        <v>2.694</v>
      </c>
      <c r="K5156" s="1192" t="s">
        <v>2533</v>
      </c>
      <c r="L5156" s="1192" t="s">
        <v>432</v>
      </c>
      <c r="P5156" s="1192" t="s">
        <v>2834</v>
      </c>
      <c r="V5156" s="1192">
        <v>74</v>
      </c>
    </row>
    <row r="5157" spans="1:22" s="1192" customFormat="1" ht="14.4" x14ac:dyDescent="0.3">
      <c r="A5157" s="1192" t="s">
        <v>3744</v>
      </c>
      <c r="B5157" s="1192" t="s">
        <v>3955</v>
      </c>
      <c r="E5157" s="2060" t="s">
        <v>2405</v>
      </c>
      <c r="F5157" s="1741"/>
      <c r="G5157" s="1277"/>
      <c r="H5157" s="896"/>
      <c r="K5157" s="1192" t="s">
        <v>2427</v>
      </c>
      <c r="V5157" s="1192">
        <v>48</v>
      </c>
    </row>
    <row r="5158" spans="1:22" s="1192" customFormat="1" ht="14.4" x14ac:dyDescent="0.3">
      <c r="A5158" s="1192" t="s">
        <v>3744</v>
      </c>
      <c r="B5158" s="1192" t="s">
        <v>3955</v>
      </c>
      <c r="E5158" s="2062" t="s">
        <v>2033</v>
      </c>
      <c r="F5158" s="1740"/>
      <c r="G5158" s="1277" t="s">
        <v>20</v>
      </c>
      <c r="H5158" s="1219">
        <v>3.0000000000000001E-3</v>
      </c>
      <c r="K5158" s="1192" t="s">
        <v>2533</v>
      </c>
      <c r="L5158" s="1192" t="s">
        <v>2374</v>
      </c>
      <c r="P5158" s="1192" t="s">
        <v>2540</v>
      </c>
      <c r="V5158" s="1192">
        <v>55</v>
      </c>
    </row>
    <row r="5159" spans="1:22" s="1192" customFormat="1" ht="14.4" x14ac:dyDescent="0.3">
      <c r="A5159" s="1192" t="s">
        <v>3744</v>
      </c>
      <c r="B5159" s="1192" t="s">
        <v>3955</v>
      </c>
      <c r="E5159" s="2062" t="s">
        <v>2034</v>
      </c>
      <c r="F5159" s="1740"/>
      <c r="G5159" s="1277" t="s">
        <v>20</v>
      </c>
      <c r="H5159" s="837">
        <v>4.0000000000000002E-4</v>
      </c>
      <c r="K5159" s="1192" t="s">
        <v>2533</v>
      </c>
      <c r="L5159" s="1192" t="s">
        <v>2374</v>
      </c>
      <c r="P5159" s="1192" t="s">
        <v>2540</v>
      </c>
      <c r="V5159" s="1192">
        <v>65</v>
      </c>
    </row>
    <row r="5160" spans="1:22" s="1192" customFormat="1" ht="14.4" x14ac:dyDescent="0.3">
      <c r="A5160" s="1192" t="s">
        <v>3744</v>
      </c>
      <c r="B5160" s="1192" t="s">
        <v>3955</v>
      </c>
      <c r="E5160" s="2062" t="s">
        <v>428</v>
      </c>
      <c r="F5160" s="1740"/>
      <c r="G5160" s="1277" t="s">
        <v>20</v>
      </c>
      <c r="H5160" s="837">
        <v>5.0000000000000001E-4</v>
      </c>
      <c r="K5160" s="1192" t="s">
        <v>2533</v>
      </c>
      <c r="L5160" s="1192" t="s">
        <v>2374</v>
      </c>
      <c r="P5160" s="1192" t="s">
        <v>2541</v>
      </c>
      <c r="V5160" s="1192">
        <v>57</v>
      </c>
    </row>
    <row r="5161" spans="1:22" s="1192" customFormat="1" ht="14.4" x14ac:dyDescent="0.3">
      <c r="A5161" s="1192" t="s">
        <v>3744</v>
      </c>
      <c r="B5161" s="1192" t="s">
        <v>3955</v>
      </c>
      <c r="E5161" s="2062" t="s">
        <v>28</v>
      </c>
      <c r="F5161" s="1740"/>
      <c r="G5161" s="1277" t="s">
        <v>19</v>
      </c>
      <c r="H5161" s="837">
        <v>0.25</v>
      </c>
      <c r="K5161" s="1192" t="s">
        <v>2533</v>
      </c>
      <c r="L5161" s="1192" t="s">
        <v>2374</v>
      </c>
      <c r="P5161" s="1192" t="s">
        <v>2542</v>
      </c>
      <c r="V5161" s="1192">
        <v>63</v>
      </c>
    </row>
    <row r="5162" spans="1:22" s="1192" customFormat="1" ht="17.399999999999999" x14ac:dyDescent="0.3">
      <c r="A5162" s="1192" t="s">
        <v>3744</v>
      </c>
      <c r="B5162" s="1192" t="s">
        <v>3955</v>
      </c>
      <c r="E5162" s="2082" t="s">
        <v>592</v>
      </c>
      <c r="F5162" s="1747"/>
      <c r="G5162" s="1747"/>
      <c r="H5162" s="1747"/>
      <c r="K5162" s="1192" t="s">
        <v>2543</v>
      </c>
      <c r="V5162" s="1192">
        <v>47</v>
      </c>
    </row>
    <row r="5163" spans="1:22" s="1192" customFormat="1" ht="14.4" x14ac:dyDescent="0.3">
      <c r="A5163" s="1192" t="s">
        <v>3744</v>
      </c>
      <c r="B5163" s="1192" t="s">
        <v>3955</v>
      </c>
      <c r="E5163" s="2067" t="s">
        <v>3977</v>
      </c>
      <c r="F5163" s="2067"/>
      <c r="G5163" s="2067"/>
      <c r="H5163" s="2067"/>
      <c r="K5163" s="1192" t="s">
        <v>2543</v>
      </c>
      <c r="V5163" s="1192">
        <v>681</v>
      </c>
    </row>
    <row r="5164" spans="1:22" s="1192" customFormat="1" ht="14.4" x14ac:dyDescent="0.3">
      <c r="A5164" s="1192" t="s">
        <v>3744</v>
      </c>
      <c r="B5164" s="1192" t="s">
        <v>3955</v>
      </c>
      <c r="E5164" s="2060" t="s">
        <v>2389</v>
      </c>
      <c r="F5164" s="1743"/>
      <c r="G5164" s="1743"/>
      <c r="H5164" s="1743"/>
      <c r="K5164" s="1192" t="s">
        <v>2430</v>
      </c>
      <c r="V5164" s="1192">
        <v>11</v>
      </c>
    </row>
    <row r="5165" spans="1:22" s="1192" customFormat="1" ht="14.4" x14ac:dyDescent="0.3">
      <c r="A5165" s="1192" t="s">
        <v>3744</v>
      </c>
      <c r="B5165" s="1192" t="s">
        <v>3955</v>
      </c>
      <c r="E5165" s="2067" t="s">
        <v>2391</v>
      </c>
      <c r="F5165" s="2067"/>
      <c r="G5165" s="2067"/>
      <c r="H5165" s="2067"/>
      <c r="K5165" s="1192" t="s">
        <v>2543</v>
      </c>
      <c r="V5165" s="1192">
        <v>280</v>
      </c>
    </row>
    <row r="5166" spans="1:22" s="1192" customFormat="1" ht="14.4" x14ac:dyDescent="0.3">
      <c r="A5166" s="1192" t="s">
        <v>3744</v>
      </c>
      <c r="B5166" s="1192" t="s">
        <v>3955</v>
      </c>
      <c r="E5166" s="2067" t="s">
        <v>2392</v>
      </c>
      <c r="F5166" s="2067"/>
      <c r="G5166" s="2067"/>
      <c r="H5166" s="2067"/>
      <c r="K5166" s="1192" t="s">
        <v>2543</v>
      </c>
      <c r="V5166" s="1192">
        <v>411</v>
      </c>
    </row>
    <row r="5167" spans="1:22" s="1192" customFormat="1" ht="14.4" x14ac:dyDescent="0.3">
      <c r="A5167" s="1192" t="s">
        <v>3744</v>
      </c>
      <c r="B5167" s="1192" t="s">
        <v>3955</v>
      </c>
      <c r="E5167" s="2067" t="s">
        <v>2508</v>
      </c>
      <c r="F5167" s="2067"/>
      <c r="G5167" s="2067"/>
      <c r="H5167" s="2067"/>
      <c r="K5167" s="1192" t="s">
        <v>2543</v>
      </c>
      <c r="V5167" s="1192">
        <v>386</v>
      </c>
    </row>
    <row r="5168" spans="1:22" s="1192" customFormat="1" ht="14.4" x14ac:dyDescent="0.3">
      <c r="A5168" s="1192" t="s">
        <v>3744</v>
      </c>
      <c r="B5168" s="1192" t="s">
        <v>3955</v>
      </c>
      <c r="E5168" s="2067" t="s">
        <v>4500</v>
      </c>
      <c r="F5168" s="2067"/>
      <c r="G5168" s="2067"/>
      <c r="H5168" s="2067"/>
      <c r="K5168" s="1192" t="s">
        <v>2543</v>
      </c>
      <c r="V5168" s="1192">
        <v>247</v>
      </c>
    </row>
    <row r="5169" spans="1:22" s="1192" customFormat="1" ht="14.4" x14ac:dyDescent="0.3">
      <c r="A5169" s="1192" t="s">
        <v>3744</v>
      </c>
      <c r="B5169" s="1192" t="s">
        <v>3955</v>
      </c>
      <c r="E5169" s="2060" t="s">
        <v>2394</v>
      </c>
      <c r="F5169" s="1743"/>
      <c r="G5169" s="1743"/>
      <c r="H5169" s="1743"/>
      <c r="K5169" s="1192" t="s">
        <v>2431</v>
      </c>
      <c r="V5169" s="1192">
        <v>46</v>
      </c>
    </row>
    <row r="5170" spans="1:22" s="1192" customFormat="1" ht="14.4" x14ac:dyDescent="0.3">
      <c r="A5170" s="1192" t="s">
        <v>3744</v>
      </c>
      <c r="B5170" s="1192" t="s">
        <v>3955</v>
      </c>
      <c r="E5170" s="2062" t="s">
        <v>7</v>
      </c>
      <c r="F5170" s="1740"/>
      <c r="G5170" s="1277" t="s">
        <v>19</v>
      </c>
      <c r="H5170" s="837">
        <v>1.1299999999999999</v>
      </c>
      <c r="K5170" s="1192" t="s">
        <v>2543</v>
      </c>
      <c r="L5170" s="1192" t="s">
        <v>430</v>
      </c>
      <c r="P5170" s="1192" t="s">
        <v>2545</v>
      </c>
      <c r="V5170" s="1192">
        <v>14</v>
      </c>
    </row>
    <row r="5171" spans="1:22" s="1192" customFormat="1" ht="14.4" x14ac:dyDescent="0.3">
      <c r="A5171" s="1192" t="s">
        <v>3744</v>
      </c>
      <c r="B5171" s="1192" t="s">
        <v>3955</v>
      </c>
      <c r="E5171" s="2062" t="s">
        <v>4501</v>
      </c>
      <c r="F5171" s="1740"/>
      <c r="G5171" s="1277" t="s">
        <v>19</v>
      </c>
      <c r="H5171" s="837">
        <v>0.01</v>
      </c>
      <c r="K5171" s="1192" t="s">
        <v>2543</v>
      </c>
      <c r="L5171" s="1192" t="s">
        <v>430</v>
      </c>
      <c r="P5171" s="1192" t="s">
        <v>6305</v>
      </c>
      <c r="V5171" s="1192">
        <v>135</v>
      </c>
    </row>
    <row r="5172" spans="1:22" s="1192" customFormat="1" ht="14.4" x14ac:dyDescent="0.3">
      <c r="A5172" s="1192" t="s">
        <v>3744</v>
      </c>
      <c r="B5172" s="1192" t="s">
        <v>3955</v>
      </c>
      <c r="E5172" s="2062" t="s">
        <v>80</v>
      </c>
      <c r="F5172" s="1740"/>
      <c r="G5172" s="1277" t="s">
        <v>20</v>
      </c>
      <c r="H5172" s="837">
        <v>2.0500000000000001E-2</v>
      </c>
      <c r="K5172" s="1192" t="s">
        <v>2543</v>
      </c>
      <c r="L5172" s="1192" t="s">
        <v>430</v>
      </c>
      <c r="P5172" s="1192" t="s">
        <v>2546</v>
      </c>
      <c r="V5172" s="1192">
        <v>28</v>
      </c>
    </row>
    <row r="5173" spans="1:22" s="1192" customFormat="1" ht="14.4" x14ac:dyDescent="0.3">
      <c r="A5173" s="1192" t="s">
        <v>3744</v>
      </c>
      <c r="B5173" s="1192" t="s">
        <v>3955</v>
      </c>
      <c r="E5173" s="2062" t="s">
        <v>4501</v>
      </c>
      <c r="F5173" s="1740"/>
      <c r="G5173" s="1277" t="s">
        <v>20</v>
      </c>
      <c r="H5173" s="837">
        <v>2.0000000000000001E-4</v>
      </c>
      <c r="K5173" s="1192" t="s">
        <v>2543</v>
      </c>
      <c r="L5173" s="1192" t="s">
        <v>430</v>
      </c>
      <c r="P5173" s="1192" t="s">
        <v>6306</v>
      </c>
      <c r="V5173" s="1192">
        <v>135</v>
      </c>
    </row>
    <row r="5174" spans="1:22" s="1192" customFormat="1" ht="14.4" x14ac:dyDescent="0.3">
      <c r="A5174" s="1192" t="s">
        <v>3744</v>
      </c>
      <c r="B5174" s="1192" t="s">
        <v>3955</v>
      </c>
      <c r="E5174" s="2062" t="s">
        <v>213</v>
      </c>
      <c r="F5174" s="1740"/>
      <c r="G5174" s="1277" t="s">
        <v>20</v>
      </c>
      <c r="H5174" s="837">
        <v>6.8999999999999999E-3</v>
      </c>
      <c r="K5174" s="1192" t="s">
        <v>2543</v>
      </c>
      <c r="L5174" s="1192" t="s">
        <v>432</v>
      </c>
      <c r="P5174" s="1192" t="s">
        <v>2550</v>
      </c>
      <c r="V5174" s="1192">
        <v>47</v>
      </c>
    </row>
    <row r="5175" spans="1:22" s="1192" customFormat="1" ht="14.4" x14ac:dyDescent="0.3">
      <c r="A5175" s="1192" t="s">
        <v>3744</v>
      </c>
      <c r="B5175" s="1192" t="s">
        <v>3955</v>
      </c>
      <c r="E5175" s="2062" t="s">
        <v>209</v>
      </c>
      <c r="F5175" s="1740"/>
      <c r="G5175" s="1277" t="s">
        <v>20</v>
      </c>
      <c r="H5175" s="837">
        <v>5.4000000000000003E-3</v>
      </c>
      <c r="K5175" s="1192" t="s">
        <v>2543</v>
      </c>
      <c r="L5175" s="1192" t="s">
        <v>432</v>
      </c>
      <c r="P5175" s="1192" t="s">
        <v>2551</v>
      </c>
      <c r="V5175" s="1192">
        <v>74</v>
      </c>
    </row>
    <row r="5176" spans="1:22" s="1192" customFormat="1" ht="14.4" x14ac:dyDescent="0.3">
      <c r="A5176" s="1192" t="s">
        <v>3744</v>
      </c>
      <c r="B5176" s="1192" t="s">
        <v>3955</v>
      </c>
      <c r="E5176" s="2060" t="s">
        <v>2405</v>
      </c>
      <c r="F5176" s="1741"/>
      <c r="G5176" s="1277"/>
      <c r="H5176" s="896"/>
      <c r="K5176" s="1192" t="s">
        <v>2438</v>
      </c>
      <c r="V5176" s="1192">
        <v>48</v>
      </c>
    </row>
    <row r="5177" spans="1:22" s="1192" customFormat="1" ht="14.4" x14ac:dyDescent="0.3">
      <c r="A5177" s="1192" t="s">
        <v>3744</v>
      </c>
      <c r="B5177" s="1192" t="s">
        <v>3955</v>
      </c>
      <c r="E5177" s="2062" t="s">
        <v>2033</v>
      </c>
      <c r="F5177" s="1740"/>
      <c r="G5177" s="1277" t="s">
        <v>20</v>
      </c>
      <c r="H5177" s="1219">
        <v>3.0000000000000001E-3</v>
      </c>
      <c r="K5177" s="1192" t="s">
        <v>2543</v>
      </c>
      <c r="L5177" s="1192" t="s">
        <v>2374</v>
      </c>
      <c r="P5177" s="1192" t="s">
        <v>2552</v>
      </c>
      <c r="V5177" s="1192">
        <v>55</v>
      </c>
    </row>
    <row r="5178" spans="1:22" s="1192" customFormat="1" ht="14.4" x14ac:dyDescent="0.3">
      <c r="A5178" s="1192" t="s">
        <v>3744</v>
      </c>
      <c r="B5178" s="1192" t="s">
        <v>3955</v>
      </c>
      <c r="E5178" s="2062" t="s">
        <v>2034</v>
      </c>
      <c r="F5178" s="1740"/>
      <c r="G5178" s="1277" t="s">
        <v>20</v>
      </c>
      <c r="H5178" s="837">
        <v>4.0000000000000002E-4</v>
      </c>
      <c r="K5178" s="1192" t="s">
        <v>2543</v>
      </c>
      <c r="L5178" s="1192" t="s">
        <v>2374</v>
      </c>
      <c r="P5178" s="1192" t="s">
        <v>2552</v>
      </c>
      <c r="V5178" s="1192">
        <v>65</v>
      </c>
    </row>
    <row r="5179" spans="1:22" s="1192" customFormat="1" ht="14.4" x14ac:dyDescent="0.3">
      <c r="A5179" s="1192" t="s">
        <v>3744</v>
      </c>
      <c r="B5179" s="1192" t="s">
        <v>3955</v>
      </c>
      <c r="E5179" s="2062" t="s">
        <v>428</v>
      </c>
      <c r="F5179" s="1740"/>
      <c r="G5179" s="1277" t="s">
        <v>20</v>
      </c>
      <c r="H5179" s="837">
        <v>5.0000000000000001E-4</v>
      </c>
      <c r="K5179" s="1192" t="s">
        <v>2543</v>
      </c>
      <c r="L5179" s="1192" t="s">
        <v>2374</v>
      </c>
      <c r="P5179" s="1192" t="s">
        <v>2553</v>
      </c>
      <c r="V5179" s="1192">
        <v>57</v>
      </c>
    </row>
    <row r="5180" spans="1:22" s="1192" customFormat="1" ht="14.4" x14ac:dyDescent="0.3">
      <c r="A5180" s="1192" t="s">
        <v>3744</v>
      </c>
      <c r="B5180" s="1192" t="s">
        <v>3955</v>
      </c>
      <c r="E5180" s="2062" t="s">
        <v>28</v>
      </c>
      <c r="F5180" s="1740"/>
      <c r="G5180" s="1277" t="s">
        <v>19</v>
      </c>
      <c r="H5180" s="837">
        <v>0.25</v>
      </c>
      <c r="K5180" s="1192" t="s">
        <v>2543</v>
      </c>
      <c r="L5180" s="1192" t="s">
        <v>2374</v>
      </c>
      <c r="P5180" s="1192" t="s">
        <v>2554</v>
      </c>
      <c r="V5180" s="1192">
        <v>63</v>
      </c>
    </row>
    <row r="5181" spans="1:22" s="1192" customFormat="1" ht="17.399999999999999" x14ac:dyDescent="0.3">
      <c r="A5181" s="1192" t="s">
        <v>3744</v>
      </c>
      <c r="B5181" s="1192" t="s">
        <v>3955</v>
      </c>
      <c r="E5181" s="2082" t="s">
        <v>590</v>
      </c>
      <c r="F5181" s="1747"/>
      <c r="G5181" s="1747"/>
      <c r="H5181" s="1747"/>
      <c r="K5181" s="1192" t="s">
        <v>2746</v>
      </c>
      <c r="V5181" s="1192">
        <v>38</v>
      </c>
    </row>
    <row r="5182" spans="1:22" s="1192" customFormat="1" ht="14.4" x14ac:dyDescent="0.3">
      <c r="A5182" s="1192" t="s">
        <v>3744</v>
      </c>
      <c r="B5182" s="1192" t="s">
        <v>3955</v>
      </c>
      <c r="E5182" s="2067" t="s">
        <v>3978</v>
      </c>
      <c r="F5182" s="2067"/>
      <c r="G5182" s="2067"/>
      <c r="H5182" s="2067"/>
      <c r="K5182" s="1192" t="s">
        <v>2746</v>
      </c>
      <c r="V5182" s="1192">
        <v>542</v>
      </c>
    </row>
    <row r="5183" spans="1:22" s="1192" customFormat="1" ht="14.4" x14ac:dyDescent="0.3">
      <c r="A5183" s="1192" t="s">
        <v>3744</v>
      </c>
      <c r="B5183" s="1192" t="s">
        <v>3955</v>
      </c>
      <c r="E5183" s="2060" t="s">
        <v>2389</v>
      </c>
      <c r="F5183" s="1743"/>
      <c r="G5183" s="1743"/>
      <c r="H5183" s="1743"/>
      <c r="K5183" s="1192" t="s">
        <v>2444</v>
      </c>
      <c r="V5183" s="1192">
        <v>11</v>
      </c>
    </row>
    <row r="5184" spans="1:22" s="1192" customFormat="1" ht="14.4" x14ac:dyDescent="0.3">
      <c r="A5184" s="1192" t="s">
        <v>3744</v>
      </c>
      <c r="B5184" s="1192" t="s">
        <v>3955</v>
      </c>
      <c r="E5184" s="2067" t="s">
        <v>2391</v>
      </c>
      <c r="F5184" s="2067"/>
      <c r="G5184" s="2067"/>
      <c r="H5184" s="2067"/>
      <c r="K5184" s="1192" t="s">
        <v>2746</v>
      </c>
      <c r="V5184" s="1192">
        <v>280</v>
      </c>
    </row>
    <row r="5185" spans="1:22" s="1192" customFormat="1" ht="14.4" x14ac:dyDescent="0.3">
      <c r="A5185" s="1192" t="s">
        <v>3744</v>
      </c>
      <c r="B5185" s="1192" t="s">
        <v>3955</v>
      </c>
      <c r="E5185" s="2067" t="s">
        <v>2392</v>
      </c>
      <c r="F5185" s="2067"/>
      <c r="G5185" s="2067"/>
      <c r="H5185" s="2067"/>
      <c r="K5185" s="1192" t="s">
        <v>2746</v>
      </c>
      <c r="V5185" s="1192">
        <v>411</v>
      </c>
    </row>
    <row r="5186" spans="1:22" s="1192" customFormat="1" ht="14.4" x14ac:dyDescent="0.3">
      <c r="A5186" s="1192" t="s">
        <v>3744</v>
      </c>
      <c r="B5186" s="1192" t="s">
        <v>3955</v>
      </c>
      <c r="E5186" s="2067" t="s">
        <v>2508</v>
      </c>
      <c r="F5186" s="2067"/>
      <c r="G5186" s="2067"/>
      <c r="H5186" s="2067"/>
      <c r="K5186" s="1192" t="s">
        <v>2746</v>
      </c>
      <c r="V5186" s="1192">
        <v>386</v>
      </c>
    </row>
    <row r="5187" spans="1:22" s="1192" customFormat="1" ht="14.4" x14ac:dyDescent="0.3">
      <c r="A5187" s="1192" t="s">
        <v>3744</v>
      </c>
      <c r="B5187" s="1192" t="s">
        <v>3955</v>
      </c>
      <c r="E5187" s="2067" t="s">
        <v>4500</v>
      </c>
      <c r="F5187" s="2067"/>
      <c r="G5187" s="2067"/>
      <c r="H5187" s="2067"/>
      <c r="K5187" s="1192" t="s">
        <v>2746</v>
      </c>
      <c r="V5187" s="1192">
        <v>247</v>
      </c>
    </row>
    <row r="5188" spans="1:22" s="1192" customFormat="1" ht="14.4" x14ac:dyDescent="0.3">
      <c r="A5188" s="1192" t="s">
        <v>3744</v>
      </c>
      <c r="B5188" s="1192" t="s">
        <v>3955</v>
      </c>
      <c r="E5188" s="2060" t="s">
        <v>2394</v>
      </c>
      <c r="F5188" s="1743"/>
      <c r="G5188" s="1743"/>
      <c r="H5188" s="1743"/>
      <c r="K5188" s="1192" t="s">
        <v>2446</v>
      </c>
      <c r="V5188" s="1192">
        <v>46</v>
      </c>
    </row>
    <row r="5189" spans="1:22" s="1192" customFormat="1" ht="14.4" x14ac:dyDescent="0.3">
      <c r="A5189" s="1192" t="s">
        <v>3744</v>
      </c>
      <c r="B5189" s="1192" t="s">
        <v>3955</v>
      </c>
      <c r="E5189" s="2237" t="s">
        <v>8</v>
      </c>
      <c r="F5189" s="1740"/>
      <c r="G5189" s="1277" t="s">
        <v>19</v>
      </c>
      <c r="H5189" s="837">
        <v>2.39</v>
      </c>
      <c r="K5189" s="1192" t="s">
        <v>2746</v>
      </c>
      <c r="L5189" s="1192" t="s">
        <v>430</v>
      </c>
      <c r="P5189" s="1192" t="s">
        <v>2747</v>
      </c>
      <c r="V5189" s="1192">
        <v>31</v>
      </c>
    </row>
    <row r="5190" spans="1:22" s="1192" customFormat="1" ht="14.4" x14ac:dyDescent="0.3">
      <c r="A5190" s="1192" t="s">
        <v>3744</v>
      </c>
      <c r="B5190" s="1192" t="s">
        <v>3955</v>
      </c>
      <c r="E5190" s="2062" t="s">
        <v>4501</v>
      </c>
      <c r="F5190" s="1740"/>
      <c r="G5190" s="1277" t="s">
        <v>19</v>
      </c>
      <c r="H5190" s="837">
        <v>0.02</v>
      </c>
      <c r="K5190" s="1192" t="s">
        <v>2746</v>
      </c>
      <c r="L5190" s="1192" t="s">
        <v>430</v>
      </c>
      <c r="P5190" s="1192" t="s">
        <v>6307</v>
      </c>
      <c r="V5190" s="1192">
        <v>135</v>
      </c>
    </row>
    <row r="5191" spans="1:22" s="1192" customFormat="1" ht="14.4" x14ac:dyDescent="0.3">
      <c r="A5191" s="1192" t="s">
        <v>3744</v>
      </c>
      <c r="B5191" s="1192" t="s">
        <v>3955</v>
      </c>
      <c r="E5191" s="2237" t="s">
        <v>80</v>
      </c>
      <c r="F5191" s="1740"/>
      <c r="G5191" s="1277" t="s">
        <v>29</v>
      </c>
      <c r="H5191" s="837">
        <v>11.9826</v>
      </c>
      <c r="K5191" s="1192" t="s">
        <v>2746</v>
      </c>
      <c r="L5191" s="1192" t="s">
        <v>430</v>
      </c>
      <c r="P5191" s="1192" t="s">
        <v>2748</v>
      </c>
      <c r="V5191" s="1192">
        <v>28</v>
      </c>
    </row>
    <row r="5192" spans="1:22" s="1192" customFormat="1" ht="14.4" x14ac:dyDescent="0.3">
      <c r="A5192" s="1192" t="s">
        <v>3744</v>
      </c>
      <c r="B5192" s="1192" t="s">
        <v>3955</v>
      </c>
      <c r="E5192" s="2062" t="s">
        <v>4501</v>
      </c>
      <c r="F5192" s="1740"/>
      <c r="G5192" s="1277" t="s">
        <v>29</v>
      </c>
      <c r="H5192" s="837">
        <v>0.11119999999999999</v>
      </c>
      <c r="K5192" s="1192" t="s">
        <v>2746</v>
      </c>
      <c r="L5192" s="1192" t="s">
        <v>430</v>
      </c>
      <c r="P5192" s="1192" t="s">
        <v>6308</v>
      </c>
      <c r="V5192" s="1192">
        <v>135</v>
      </c>
    </row>
    <row r="5193" spans="1:22" s="1192" customFormat="1" ht="14.4" x14ac:dyDescent="0.3">
      <c r="A5193" s="1192" t="s">
        <v>3744</v>
      </c>
      <c r="B5193" s="1192" t="s">
        <v>3955</v>
      </c>
      <c r="E5193" s="2062" t="s">
        <v>213</v>
      </c>
      <c r="F5193" s="1740"/>
      <c r="G5193" s="1277" t="s">
        <v>29</v>
      </c>
      <c r="H5193" s="837">
        <v>2.2559999999999998</v>
      </c>
      <c r="K5193" s="1192" t="s">
        <v>2746</v>
      </c>
      <c r="L5193" s="1192" t="s">
        <v>432</v>
      </c>
      <c r="P5193" s="1192" t="s">
        <v>2751</v>
      </c>
      <c r="V5193" s="1192">
        <v>47</v>
      </c>
    </row>
    <row r="5194" spans="1:22" s="1192" customFormat="1" ht="14.4" x14ac:dyDescent="0.3">
      <c r="A5194" s="1192" t="s">
        <v>3744</v>
      </c>
      <c r="B5194" s="1192" t="s">
        <v>3955</v>
      </c>
      <c r="E5194" s="2062" t="s">
        <v>209</v>
      </c>
      <c r="F5194" s="1740"/>
      <c r="G5194" s="1277" t="s">
        <v>29</v>
      </c>
      <c r="H5194" s="837">
        <v>1.8052999999999999</v>
      </c>
      <c r="K5194" s="1192" t="s">
        <v>2746</v>
      </c>
      <c r="L5194" s="1192" t="s">
        <v>432</v>
      </c>
      <c r="P5194" s="1192" t="s">
        <v>2752</v>
      </c>
      <c r="V5194" s="1192">
        <v>74</v>
      </c>
    </row>
    <row r="5195" spans="1:22" s="1192" customFormat="1" ht="14.4" x14ac:dyDescent="0.3">
      <c r="A5195" s="1192" t="s">
        <v>3744</v>
      </c>
      <c r="B5195" s="1192" t="s">
        <v>3955</v>
      </c>
      <c r="E5195" s="2060" t="s">
        <v>2405</v>
      </c>
      <c r="F5195" s="1741"/>
      <c r="G5195" s="1277"/>
      <c r="H5195" s="896"/>
      <c r="K5195" s="1192" t="s">
        <v>2565</v>
      </c>
      <c r="V5195" s="1192">
        <v>48</v>
      </c>
    </row>
    <row r="5196" spans="1:22" s="1192" customFormat="1" ht="14.4" x14ac:dyDescent="0.3">
      <c r="A5196" s="1192" t="s">
        <v>3744</v>
      </c>
      <c r="B5196" s="1192" t="s">
        <v>3955</v>
      </c>
      <c r="E5196" s="2062" t="s">
        <v>2033</v>
      </c>
      <c r="F5196" s="1740"/>
      <c r="G5196" s="1277" t="s">
        <v>20</v>
      </c>
      <c r="H5196" s="1219">
        <v>3.0000000000000001E-3</v>
      </c>
      <c r="K5196" s="1192" t="s">
        <v>2746</v>
      </c>
      <c r="L5196" s="1192" t="s">
        <v>2374</v>
      </c>
      <c r="P5196" s="1192" t="s">
        <v>2753</v>
      </c>
      <c r="V5196" s="1192">
        <v>55</v>
      </c>
    </row>
    <row r="5197" spans="1:22" s="1192" customFormat="1" ht="14.4" x14ac:dyDescent="0.3">
      <c r="A5197" s="1192" t="s">
        <v>3744</v>
      </c>
      <c r="B5197" s="1192" t="s">
        <v>3955</v>
      </c>
      <c r="E5197" s="2062" t="s">
        <v>2034</v>
      </c>
      <c r="F5197" s="1740"/>
      <c r="G5197" s="1277" t="s">
        <v>20</v>
      </c>
      <c r="H5197" s="837">
        <v>4.0000000000000002E-4</v>
      </c>
      <c r="K5197" s="1192" t="s">
        <v>2746</v>
      </c>
      <c r="L5197" s="1192" t="s">
        <v>2374</v>
      </c>
      <c r="P5197" s="1192" t="s">
        <v>2753</v>
      </c>
      <c r="V5197" s="1192">
        <v>65</v>
      </c>
    </row>
    <row r="5198" spans="1:22" s="1192" customFormat="1" ht="14.4" x14ac:dyDescent="0.3">
      <c r="A5198" s="1192" t="s">
        <v>3744</v>
      </c>
      <c r="B5198" s="1192" t="s">
        <v>3955</v>
      </c>
      <c r="E5198" s="2062" t="s">
        <v>428</v>
      </c>
      <c r="F5198" s="1740"/>
      <c r="G5198" s="1277" t="s">
        <v>20</v>
      </c>
      <c r="H5198" s="837">
        <v>5.0000000000000001E-4</v>
      </c>
      <c r="K5198" s="1192" t="s">
        <v>2746</v>
      </c>
      <c r="L5198" s="1192" t="s">
        <v>2374</v>
      </c>
      <c r="P5198" s="1192" t="s">
        <v>2754</v>
      </c>
      <c r="V5198" s="1192">
        <v>57</v>
      </c>
    </row>
    <row r="5199" spans="1:22" s="1192" customFormat="1" ht="14.4" x14ac:dyDescent="0.3">
      <c r="A5199" s="1192" t="s">
        <v>3744</v>
      </c>
      <c r="B5199" s="1192" t="s">
        <v>3955</v>
      </c>
      <c r="E5199" s="2062" t="s">
        <v>28</v>
      </c>
      <c r="F5199" s="1740"/>
      <c r="G5199" s="1277" t="s">
        <v>19</v>
      </c>
      <c r="H5199" s="837">
        <v>0.25</v>
      </c>
      <c r="K5199" s="1192" t="s">
        <v>2746</v>
      </c>
      <c r="L5199" s="1192" t="s">
        <v>2374</v>
      </c>
      <c r="P5199" s="1192" t="s">
        <v>2755</v>
      </c>
      <c r="V5199" s="1192">
        <v>63</v>
      </c>
    </row>
    <row r="5200" spans="1:22" s="1192" customFormat="1" ht="17.399999999999999" x14ac:dyDescent="0.3">
      <c r="A5200" s="1192" t="s">
        <v>3744</v>
      </c>
      <c r="B5200" s="1192" t="s">
        <v>3955</v>
      </c>
      <c r="E5200" s="2082" t="s">
        <v>606</v>
      </c>
      <c r="F5200" s="1747"/>
      <c r="G5200" s="1747"/>
      <c r="H5200" s="1747"/>
      <c r="K5200" s="1192" t="s">
        <v>3116</v>
      </c>
      <c r="V5200" s="1192">
        <v>36</v>
      </c>
    </row>
    <row r="5201" spans="1:22" s="1192" customFormat="1" ht="14.4" x14ac:dyDescent="0.3">
      <c r="A5201" s="1192" t="s">
        <v>3744</v>
      </c>
      <c r="B5201" s="1192" t="s">
        <v>3955</v>
      </c>
      <c r="E5201" s="2067" t="s">
        <v>2627</v>
      </c>
      <c r="F5201" s="2067"/>
      <c r="G5201" s="2067"/>
      <c r="H5201" s="2067"/>
      <c r="K5201" s="1192" t="s">
        <v>3116</v>
      </c>
      <c r="V5201" s="1192">
        <v>219</v>
      </c>
    </row>
    <row r="5202" spans="1:22" s="1192" customFormat="1" ht="14.4" x14ac:dyDescent="0.3">
      <c r="A5202" s="1192" t="s">
        <v>3744</v>
      </c>
      <c r="B5202" s="1192" t="s">
        <v>3955</v>
      </c>
      <c r="E5202" s="2060" t="s">
        <v>2389</v>
      </c>
      <c r="F5202" s="1743"/>
      <c r="G5202" s="1743"/>
      <c r="H5202" s="1743"/>
      <c r="K5202" s="1192" t="s">
        <v>2571</v>
      </c>
      <c r="V5202" s="1192">
        <v>11</v>
      </c>
    </row>
    <row r="5203" spans="1:22" s="1192" customFormat="1" ht="14.4" x14ac:dyDescent="0.3">
      <c r="A5203" s="1192" t="s">
        <v>3744</v>
      </c>
      <c r="B5203" s="1192" t="s">
        <v>3955</v>
      </c>
      <c r="E5203" s="2067" t="s">
        <v>2391</v>
      </c>
      <c r="F5203" s="2067"/>
      <c r="G5203" s="2067"/>
      <c r="H5203" s="2067"/>
      <c r="K5203" s="1192" t="s">
        <v>3116</v>
      </c>
      <c r="V5203" s="1192">
        <v>280</v>
      </c>
    </row>
    <row r="5204" spans="1:22" s="1192" customFormat="1" ht="14.4" x14ac:dyDescent="0.3">
      <c r="A5204" s="1192" t="s">
        <v>3744</v>
      </c>
      <c r="B5204" s="1192" t="s">
        <v>3955</v>
      </c>
      <c r="E5204" s="2067" t="s">
        <v>2392</v>
      </c>
      <c r="F5204" s="2067"/>
      <c r="G5204" s="2067"/>
      <c r="H5204" s="2067"/>
      <c r="K5204" s="1192" t="s">
        <v>3116</v>
      </c>
      <c r="V5204" s="1192">
        <v>411</v>
      </c>
    </row>
    <row r="5205" spans="1:22" s="1192" customFormat="1" ht="14.4" x14ac:dyDescent="0.3">
      <c r="A5205" s="1192" t="s">
        <v>3744</v>
      </c>
      <c r="B5205" s="1192" t="s">
        <v>3955</v>
      </c>
      <c r="E5205" s="2067" t="s">
        <v>2508</v>
      </c>
      <c r="F5205" s="2067"/>
      <c r="G5205" s="2067"/>
      <c r="H5205" s="2067"/>
      <c r="K5205" s="1192" t="s">
        <v>3116</v>
      </c>
      <c r="V5205" s="1192">
        <v>386</v>
      </c>
    </row>
    <row r="5206" spans="1:22" s="1192" customFormat="1" ht="14.4" x14ac:dyDescent="0.3">
      <c r="A5206" s="1192" t="s">
        <v>3744</v>
      </c>
      <c r="B5206" s="1192" t="s">
        <v>3955</v>
      </c>
      <c r="E5206" s="2067" t="s">
        <v>4500</v>
      </c>
      <c r="F5206" s="2067"/>
      <c r="G5206" s="2067"/>
      <c r="H5206" s="2067"/>
      <c r="K5206" s="1192" t="s">
        <v>3116</v>
      </c>
      <c r="V5206" s="1192">
        <v>247</v>
      </c>
    </row>
    <row r="5207" spans="1:22" s="1192" customFormat="1" ht="14.4" x14ac:dyDescent="0.3">
      <c r="A5207" s="1192" t="s">
        <v>3744</v>
      </c>
      <c r="B5207" s="1192" t="s">
        <v>3955</v>
      </c>
      <c r="E5207" s="2060" t="s">
        <v>2628</v>
      </c>
      <c r="F5207" s="1743"/>
      <c r="G5207" s="1743"/>
      <c r="H5207" s="1743"/>
      <c r="K5207" s="1192" t="s">
        <v>2572</v>
      </c>
      <c r="V5207" s="1192">
        <v>77</v>
      </c>
    </row>
    <row r="5208" spans="1:22" s="1192" customFormat="1" ht="14.4" x14ac:dyDescent="0.3">
      <c r="A5208" s="1192" t="s">
        <v>3744</v>
      </c>
      <c r="B5208" s="1192" t="s">
        <v>3955</v>
      </c>
      <c r="E5208" s="2059" t="s">
        <v>80</v>
      </c>
      <c r="F5208" s="1741"/>
      <c r="G5208" s="1277" t="s">
        <v>29</v>
      </c>
      <c r="H5208" s="837">
        <v>1.7424999999999999</v>
      </c>
      <c r="K5208" s="1192" t="s">
        <v>3116</v>
      </c>
      <c r="L5208" s="1192" t="s">
        <v>430</v>
      </c>
      <c r="P5208" s="1192" t="s">
        <v>3119</v>
      </c>
      <c r="V5208" s="1192">
        <v>28</v>
      </c>
    </row>
    <row r="5209" spans="1:22" s="1192" customFormat="1" ht="17.399999999999999" x14ac:dyDescent="0.3">
      <c r="A5209" s="1192" t="s">
        <v>3744</v>
      </c>
      <c r="B5209" s="1192" t="s">
        <v>3955</v>
      </c>
      <c r="E5209" s="2082" t="s">
        <v>597</v>
      </c>
      <c r="F5209" s="1747"/>
      <c r="G5209" s="1747"/>
      <c r="H5209" s="1747"/>
      <c r="K5209" s="1192" t="s">
        <v>2881</v>
      </c>
      <c r="V5209" s="1192">
        <v>43</v>
      </c>
    </row>
    <row r="5210" spans="1:22" s="1192" customFormat="1" ht="14.4" x14ac:dyDescent="0.3">
      <c r="A5210" s="1192" t="s">
        <v>3744</v>
      </c>
      <c r="B5210" s="1192" t="s">
        <v>3955</v>
      </c>
      <c r="E5210" s="2067" t="s">
        <v>3979</v>
      </c>
      <c r="F5210" s="2067"/>
      <c r="G5210" s="2067"/>
      <c r="H5210" s="2067"/>
      <c r="K5210" s="1192" t="s">
        <v>2881</v>
      </c>
      <c r="V5210" s="1192">
        <v>317</v>
      </c>
    </row>
    <row r="5211" spans="1:22" s="1192" customFormat="1" ht="14.4" x14ac:dyDescent="0.3">
      <c r="A5211" s="1192" t="s">
        <v>3744</v>
      </c>
      <c r="B5211" s="1192" t="s">
        <v>3955</v>
      </c>
      <c r="E5211" s="2060" t="s">
        <v>2389</v>
      </c>
      <c r="F5211" s="1743"/>
      <c r="G5211" s="1743"/>
      <c r="H5211" s="1743"/>
      <c r="K5211" s="1192" t="s">
        <v>2586</v>
      </c>
      <c r="V5211" s="1192">
        <v>11</v>
      </c>
    </row>
    <row r="5212" spans="1:22" s="1192" customFormat="1" ht="14.4" x14ac:dyDescent="0.3">
      <c r="A5212" s="1192" t="s">
        <v>3744</v>
      </c>
      <c r="B5212" s="1192" t="s">
        <v>3955</v>
      </c>
      <c r="E5212" s="2067" t="s">
        <v>2391</v>
      </c>
      <c r="F5212" s="2067"/>
      <c r="G5212" s="2067"/>
      <c r="H5212" s="2067"/>
      <c r="K5212" s="1192" t="s">
        <v>2881</v>
      </c>
      <c r="V5212" s="1192">
        <v>280</v>
      </c>
    </row>
    <row r="5213" spans="1:22" s="1192" customFormat="1" ht="14.4" x14ac:dyDescent="0.3">
      <c r="A5213" s="1192" t="s">
        <v>3744</v>
      </c>
      <c r="B5213" s="1192" t="s">
        <v>3955</v>
      </c>
      <c r="E5213" s="2067" t="s">
        <v>2392</v>
      </c>
      <c r="F5213" s="2067"/>
      <c r="G5213" s="2067"/>
      <c r="H5213" s="2067"/>
      <c r="K5213" s="1192" t="s">
        <v>2881</v>
      </c>
      <c r="V5213" s="1192">
        <v>411</v>
      </c>
    </row>
    <row r="5214" spans="1:22" s="1192" customFormat="1" ht="14.4" x14ac:dyDescent="0.3">
      <c r="A5214" s="1192" t="s">
        <v>3744</v>
      </c>
      <c r="B5214" s="1192" t="s">
        <v>3955</v>
      </c>
      <c r="E5214" s="2067" t="s">
        <v>2508</v>
      </c>
      <c r="F5214" s="2067"/>
      <c r="G5214" s="2067"/>
      <c r="H5214" s="2067"/>
      <c r="K5214" s="1192" t="s">
        <v>2881</v>
      </c>
      <c r="V5214" s="1192">
        <v>386</v>
      </c>
    </row>
    <row r="5215" spans="1:22" s="1192" customFormat="1" ht="14.4" x14ac:dyDescent="0.3">
      <c r="A5215" s="1192" t="s">
        <v>3744</v>
      </c>
      <c r="B5215" s="1192" t="s">
        <v>3955</v>
      </c>
      <c r="E5215" s="2067" t="s">
        <v>4500</v>
      </c>
      <c r="F5215" s="2067"/>
      <c r="G5215" s="2067"/>
      <c r="H5215" s="2067"/>
      <c r="K5215" s="1192" t="s">
        <v>2881</v>
      </c>
      <c r="V5215" s="1192">
        <v>247</v>
      </c>
    </row>
    <row r="5216" spans="1:22" s="1192" customFormat="1" ht="14.4" x14ac:dyDescent="0.3">
      <c r="A5216" s="1192" t="s">
        <v>3744</v>
      </c>
      <c r="B5216" s="1192" t="s">
        <v>3955</v>
      </c>
      <c r="E5216" s="2060" t="s">
        <v>2394</v>
      </c>
      <c r="F5216" s="1743"/>
      <c r="G5216" s="1743"/>
      <c r="H5216" s="1743"/>
      <c r="K5216" s="1192" t="s">
        <v>2587</v>
      </c>
      <c r="V5216" s="1192">
        <v>46</v>
      </c>
    </row>
    <row r="5217" spans="1:22" s="1192" customFormat="1" ht="14.4" x14ac:dyDescent="0.3">
      <c r="A5217" s="1192" t="s">
        <v>3744</v>
      </c>
      <c r="B5217" s="1192" t="s">
        <v>3955</v>
      </c>
      <c r="E5217" s="2062" t="s">
        <v>7</v>
      </c>
      <c r="F5217" s="1740"/>
      <c r="G5217" s="1277" t="s">
        <v>19</v>
      </c>
      <c r="H5217" s="837">
        <v>4319.84</v>
      </c>
      <c r="K5217" s="1192" t="s">
        <v>2881</v>
      </c>
      <c r="L5217" s="1192" t="s">
        <v>430</v>
      </c>
      <c r="P5217" s="1192" t="s">
        <v>2882</v>
      </c>
      <c r="V5217" s="1192">
        <v>14</v>
      </c>
    </row>
    <row r="5218" spans="1:22" s="1192" customFormat="1" ht="14.4" x14ac:dyDescent="0.3">
      <c r="A5218" s="1192" t="s">
        <v>3744</v>
      </c>
      <c r="B5218" s="1192" t="s">
        <v>3955</v>
      </c>
      <c r="E5218" s="2062" t="s">
        <v>4501</v>
      </c>
      <c r="F5218" s="1740"/>
      <c r="G5218" s="1277" t="s">
        <v>19</v>
      </c>
      <c r="H5218" s="837">
        <v>40.07</v>
      </c>
      <c r="K5218" s="1192" t="s">
        <v>2881</v>
      </c>
      <c r="L5218" s="1192" t="s">
        <v>430</v>
      </c>
      <c r="P5218" s="1192" t="s">
        <v>6309</v>
      </c>
      <c r="V5218" s="1192">
        <v>135</v>
      </c>
    </row>
    <row r="5219" spans="1:22" s="1192" customFormat="1" ht="14.4" x14ac:dyDescent="0.3">
      <c r="A5219" s="1192" t="s">
        <v>3744</v>
      </c>
      <c r="B5219" s="1192" t="s">
        <v>3955</v>
      </c>
      <c r="E5219" s="2062" t="s">
        <v>213</v>
      </c>
      <c r="F5219" s="1740"/>
      <c r="G5219" s="1277" t="s">
        <v>29</v>
      </c>
      <c r="H5219" s="837">
        <v>3.0385</v>
      </c>
      <c r="K5219" s="1192" t="s">
        <v>2881</v>
      </c>
      <c r="L5219" s="1192" t="s">
        <v>432</v>
      </c>
      <c r="P5219" s="1192" t="s">
        <v>2883</v>
      </c>
      <c r="V5219" s="1192">
        <v>47</v>
      </c>
    </row>
    <row r="5220" spans="1:22" s="1192" customFormat="1" ht="14.4" x14ac:dyDescent="0.3">
      <c r="A5220" s="1192" t="s">
        <v>3744</v>
      </c>
      <c r="B5220" s="1192" t="s">
        <v>3955</v>
      </c>
      <c r="E5220" s="2062" t="s">
        <v>209</v>
      </c>
      <c r="F5220" s="1740"/>
      <c r="G5220" s="1277" t="s">
        <v>29</v>
      </c>
      <c r="H5220" s="837">
        <v>2.3309000000000002</v>
      </c>
      <c r="K5220" s="1192" t="s">
        <v>2881</v>
      </c>
      <c r="L5220" s="1192" t="s">
        <v>432</v>
      </c>
      <c r="P5220" s="1192" t="s">
        <v>2884</v>
      </c>
      <c r="V5220" s="1192">
        <v>74</v>
      </c>
    </row>
    <row r="5221" spans="1:22" s="1192" customFormat="1" ht="14.4" x14ac:dyDescent="0.3">
      <c r="A5221" s="1192" t="s">
        <v>3744</v>
      </c>
      <c r="B5221" s="1192" t="s">
        <v>3955</v>
      </c>
      <c r="E5221" s="2236" t="s">
        <v>2405</v>
      </c>
      <c r="F5221" s="1741"/>
      <c r="G5221" s="1277"/>
      <c r="H5221" s="896"/>
      <c r="K5221" s="1192" t="s">
        <v>2657</v>
      </c>
      <c r="V5221" s="1192">
        <v>48</v>
      </c>
    </row>
    <row r="5222" spans="1:22" s="1192" customFormat="1" ht="14.4" x14ac:dyDescent="0.3">
      <c r="A5222" s="1192" t="s">
        <v>3744</v>
      </c>
      <c r="B5222" s="1192" t="s">
        <v>3955</v>
      </c>
      <c r="E5222" s="2062" t="s">
        <v>2033</v>
      </c>
      <c r="F5222" s="1740"/>
      <c r="G5222" s="1277" t="s">
        <v>20</v>
      </c>
      <c r="H5222" s="1219">
        <v>3.0000000000000001E-3</v>
      </c>
      <c r="K5222" s="1192" t="s">
        <v>2881</v>
      </c>
      <c r="L5222" s="1192" t="s">
        <v>2374</v>
      </c>
      <c r="P5222" s="1192" t="s">
        <v>2885</v>
      </c>
      <c r="V5222" s="1192">
        <v>55</v>
      </c>
    </row>
    <row r="5223" spans="1:22" s="1192" customFormat="1" ht="14.4" x14ac:dyDescent="0.3">
      <c r="A5223" s="1192" t="s">
        <v>3744</v>
      </c>
      <c r="B5223" s="1192" t="s">
        <v>3955</v>
      </c>
      <c r="E5223" s="2062" t="s">
        <v>2034</v>
      </c>
      <c r="F5223" s="1740"/>
      <c r="G5223" s="1277" t="s">
        <v>20</v>
      </c>
      <c r="H5223" s="837">
        <v>4.0000000000000002E-4</v>
      </c>
      <c r="K5223" s="1192" t="s">
        <v>2881</v>
      </c>
      <c r="L5223" s="1192" t="s">
        <v>2374</v>
      </c>
      <c r="P5223" s="1192" t="s">
        <v>2885</v>
      </c>
      <c r="V5223" s="1192">
        <v>65</v>
      </c>
    </row>
    <row r="5224" spans="1:22" s="1192" customFormat="1" ht="14.4" x14ac:dyDescent="0.3">
      <c r="A5224" s="1192" t="s">
        <v>3744</v>
      </c>
      <c r="B5224" s="1192" t="s">
        <v>3955</v>
      </c>
      <c r="E5224" s="2237" t="s">
        <v>428</v>
      </c>
      <c r="F5224" s="1740"/>
      <c r="G5224" s="1277" t="s">
        <v>20</v>
      </c>
      <c r="H5224" s="837">
        <v>5.0000000000000001E-4</v>
      </c>
      <c r="K5224" s="1192" t="s">
        <v>2881</v>
      </c>
      <c r="L5224" s="1192" t="s">
        <v>2374</v>
      </c>
      <c r="P5224" s="1192" t="s">
        <v>2886</v>
      </c>
      <c r="V5224" s="1192">
        <v>57</v>
      </c>
    </row>
    <row r="5225" spans="1:22" s="1192" customFormat="1" ht="14.4" x14ac:dyDescent="0.3">
      <c r="A5225" s="1192" t="s">
        <v>3744</v>
      </c>
      <c r="B5225" s="1192" t="s">
        <v>3955</v>
      </c>
      <c r="E5225" s="2237" t="s">
        <v>28</v>
      </c>
      <c r="F5225" s="1740"/>
      <c r="G5225" s="1277" t="s">
        <v>19</v>
      </c>
      <c r="H5225" s="837">
        <v>0.25</v>
      </c>
      <c r="K5225" s="1192" t="s">
        <v>2881</v>
      </c>
      <c r="L5225" s="1192" t="s">
        <v>2374</v>
      </c>
      <c r="P5225" s="1192" t="s">
        <v>2887</v>
      </c>
      <c r="V5225" s="1192">
        <v>63</v>
      </c>
    </row>
    <row r="5226" spans="1:22" s="1192" customFormat="1" ht="17.399999999999999" x14ac:dyDescent="0.3">
      <c r="A5226" s="1192" t="s">
        <v>3744</v>
      </c>
      <c r="B5226" s="1192" t="s">
        <v>3955</v>
      </c>
      <c r="E5226" s="2082" t="s">
        <v>1487</v>
      </c>
      <c r="F5226" s="1747"/>
      <c r="G5226" s="1747"/>
      <c r="H5226" s="1747"/>
      <c r="K5226" s="1192" t="s">
        <v>3980</v>
      </c>
      <c r="V5226" s="1192">
        <v>52</v>
      </c>
    </row>
    <row r="5227" spans="1:22" s="1192" customFormat="1" ht="14.4" x14ac:dyDescent="0.3">
      <c r="A5227" s="1192" t="s">
        <v>3744</v>
      </c>
      <c r="B5227" s="1192" t="s">
        <v>3955</v>
      </c>
      <c r="E5227" s="2067" t="s">
        <v>3981</v>
      </c>
      <c r="F5227" s="2067"/>
      <c r="G5227" s="2067"/>
      <c r="H5227" s="2067"/>
      <c r="K5227" s="1192" t="s">
        <v>3980</v>
      </c>
      <c r="V5227" s="1192">
        <v>317</v>
      </c>
    </row>
    <row r="5228" spans="1:22" s="1192" customFormat="1" ht="14.4" x14ac:dyDescent="0.3">
      <c r="A5228" s="1192" t="s">
        <v>3744</v>
      </c>
      <c r="B5228" s="1192" t="s">
        <v>3955</v>
      </c>
      <c r="E5228" s="2060" t="s">
        <v>2389</v>
      </c>
      <c r="F5228" s="1743"/>
      <c r="G5228" s="1743"/>
      <c r="H5228" s="1743"/>
      <c r="K5228" s="1192" t="s">
        <v>2629</v>
      </c>
      <c r="V5228" s="1192">
        <v>11</v>
      </c>
    </row>
    <row r="5229" spans="1:22" s="1192" customFormat="1" ht="14.4" x14ac:dyDescent="0.3">
      <c r="A5229" s="1192" t="s">
        <v>3744</v>
      </c>
      <c r="B5229" s="1192" t="s">
        <v>3955</v>
      </c>
      <c r="E5229" s="2067" t="s">
        <v>2391</v>
      </c>
      <c r="F5229" s="2067"/>
      <c r="G5229" s="2067"/>
      <c r="H5229" s="2067"/>
      <c r="K5229" s="1192" t="s">
        <v>3980</v>
      </c>
      <c r="V5229" s="1192">
        <v>280</v>
      </c>
    </row>
    <row r="5230" spans="1:22" s="1192" customFormat="1" ht="14.4" x14ac:dyDescent="0.3">
      <c r="A5230" s="1192" t="s">
        <v>3744</v>
      </c>
      <c r="B5230" s="1192" t="s">
        <v>3955</v>
      </c>
      <c r="E5230" s="2067" t="s">
        <v>2392</v>
      </c>
      <c r="F5230" s="2067"/>
      <c r="G5230" s="2067"/>
      <c r="H5230" s="2067"/>
      <c r="K5230" s="1192" t="s">
        <v>3980</v>
      </c>
      <c r="V5230" s="1192">
        <v>411</v>
      </c>
    </row>
    <row r="5231" spans="1:22" s="1192" customFormat="1" ht="14.4" x14ac:dyDescent="0.3">
      <c r="A5231" s="1192" t="s">
        <v>3744</v>
      </c>
      <c r="B5231" s="1192" t="s">
        <v>3955</v>
      </c>
      <c r="E5231" s="2067" t="s">
        <v>2508</v>
      </c>
      <c r="F5231" s="2067"/>
      <c r="G5231" s="2067"/>
      <c r="H5231" s="2067"/>
      <c r="K5231" s="1192" t="s">
        <v>3980</v>
      </c>
      <c r="V5231" s="1192">
        <v>386</v>
      </c>
    </row>
    <row r="5232" spans="1:22" s="1192" customFormat="1" ht="14.4" x14ac:dyDescent="0.3">
      <c r="A5232" s="1192" t="s">
        <v>3744</v>
      </c>
      <c r="B5232" s="1192" t="s">
        <v>3955</v>
      </c>
      <c r="E5232" s="2067" t="s">
        <v>4500</v>
      </c>
      <c r="F5232" s="2067"/>
      <c r="G5232" s="2067"/>
      <c r="H5232" s="2067"/>
      <c r="K5232" s="1192" t="s">
        <v>3980</v>
      </c>
      <c r="V5232" s="1192">
        <v>247</v>
      </c>
    </row>
    <row r="5233" spans="1:22" s="1192" customFormat="1" ht="14.4" x14ac:dyDescent="0.3">
      <c r="A5233" s="1192" t="s">
        <v>3744</v>
      </c>
      <c r="B5233" s="1192" t="s">
        <v>3955</v>
      </c>
      <c r="E5233" s="2060" t="s">
        <v>2394</v>
      </c>
      <c r="F5233" s="1743"/>
      <c r="G5233" s="1743"/>
      <c r="H5233" s="1743"/>
      <c r="K5233" s="1192" t="s">
        <v>2630</v>
      </c>
      <c r="V5233" s="1192">
        <v>46</v>
      </c>
    </row>
    <row r="5234" spans="1:22" s="1192" customFormat="1" ht="14.4" x14ac:dyDescent="0.3">
      <c r="A5234" s="1192" t="s">
        <v>3744</v>
      </c>
      <c r="B5234" s="1192" t="s">
        <v>3955</v>
      </c>
      <c r="E5234" s="2062" t="s">
        <v>7</v>
      </c>
      <c r="F5234" s="1740"/>
      <c r="G5234" s="1277" t="s">
        <v>19</v>
      </c>
      <c r="H5234" s="837">
        <v>107.97</v>
      </c>
      <c r="K5234" s="1192" t="s">
        <v>3980</v>
      </c>
      <c r="L5234" s="1192" t="s">
        <v>430</v>
      </c>
      <c r="P5234" s="1192" t="s">
        <v>3982</v>
      </c>
      <c r="V5234" s="1192">
        <v>14</v>
      </c>
    </row>
    <row r="5235" spans="1:22" s="1192" customFormat="1" ht="14.4" x14ac:dyDescent="0.3">
      <c r="A5235" s="1192" t="s">
        <v>3744</v>
      </c>
      <c r="B5235" s="1192" t="s">
        <v>3955</v>
      </c>
      <c r="E5235" s="2062" t="s">
        <v>4501</v>
      </c>
      <c r="F5235" s="1740"/>
      <c r="G5235" s="1277" t="s">
        <v>19</v>
      </c>
      <c r="H5235" s="509">
        <v>1</v>
      </c>
      <c r="K5235" s="1192" t="s">
        <v>3980</v>
      </c>
      <c r="L5235" s="1192" t="s">
        <v>430</v>
      </c>
      <c r="P5235" s="1192" t="s">
        <v>6310</v>
      </c>
      <c r="V5235" s="1192">
        <v>135</v>
      </c>
    </row>
    <row r="5236" spans="1:22" s="1192" customFormat="1" ht="14.4" x14ac:dyDescent="0.3">
      <c r="A5236" s="1192" t="s">
        <v>3744</v>
      </c>
      <c r="B5236" s="1192" t="s">
        <v>3955</v>
      </c>
      <c r="E5236" s="2062" t="s">
        <v>213</v>
      </c>
      <c r="F5236" s="1740"/>
      <c r="G5236" s="1277" t="s">
        <v>20</v>
      </c>
      <c r="H5236" s="837">
        <v>6.8999999999999999E-3</v>
      </c>
      <c r="K5236" s="1192" t="s">
        <v>3980</v>
      </c>
      <c r="L5236" s="1192" t="s">
        <v>432</v>
      </c>
      <c r="P5236" s="1192" t="s">
        <v>3983</v>
      </c>
      <c r="V5236" s="1192">
        <v>47</v>
      </c>
    </row>
    <row r="5237" spans="1:22" s="1192" customFormat="1" ht="14.4" x14ac:dyDescent="0.3">
      <c r="A5237" s="1192" t="s">
        <v>3744</v>
      </c>
      <c r="B5237" s="1192" t="s">
        <v>3955</v>
      </c>
      <c r="E5237" s="2062" t="s">
        <v>209</v>
      </c>
      <c r="F5237" s="1740"/>
      <c r="G5237" s="1277" t="s">
        <v>20</v>
      </c>
      <c r="H5237" s="837">
        <v>5.4000000000000003E-3</v>
      </c>
      <c r="K5237" s="1192" t="s">
        <v>3980</v>
      </c>
      <c r="L5237" s="1192" t="s">
        <v>432</v>
      </c>
      <c r="P5237" s="1192" t="s">
        <v>3984</v>
      </c>
      <c r="V5237" s="1192">
        <v>74</v>
      </c>
    </row>
    <row r="5238" spans="1:22" s="1192" customFormat="1" ht="14.4" x14ac:dyDescent="0.3">
      <c r="A5238" s="1192" t="s">
        <v>3744</v>
      </c>
      <c r="B5238" s="1192" t="s">
        <v>3955</v>
      </c>
      <c r="E5238" s="2060" t="s">
        <v>2405</v>
      </c>
      <c r="F5238" s="1741"/>
      <c r="G5238" s="1277"/>
      <c r="H5238" s="896"/>
      <c r="K5238" s="1192" t="s">
        <v>2631</v>
      </c>
      <c r="V5238" s="1192">
        <v>48</v>
      </c>
    </row>
    <row r="5239" spans="1:22" s="1192" customFormat="1" ht="14.4" x14ac:dyDescent="0.3">
      <c r="A5239" s="1192" t="s">
        <v>3744</v>
      </c>
      <c r="B5239" s="1192" t="s">
        <v>3955</v>
      </c>
      <c r="E5239" s="2062" t="s">
        <v>2033</v>
      </c>
      <c r="F5239" s="1740"/>
      <c r="G5239" s="1277" t="s">
        <v>20</v>
      </c>
      <c r="H5239" s="837">
        <v>3.0000000000000001E-3</v>
      </c>
      <c r="K5239" s="1192" t="s">
        <v>3980</v>
      </c>
      <c r="L5239" s="1192" t="s">
        <v>2374</v>
      </c>
      <c r="P5239" s="1192" t="s">
        <v>3985</v>
      </c>
      <c r="V5239" s="1192">
        <v>55</v>
      </c>
    </row>
    <row r="5240" spans="1:22" s="1192" customFormat="1" ht="14.4" x14ac:dyDescent="0.3">
      <c r="A5240" s="1192" t="s">
        <v>3744</v>
      </c>
      <c r="B5240" s="1192" t="s">
        <v>3955</v>
      </c>
      <c r="E5240" s="2062" t="s">
        <v>2034</v>
      </c>
      <c r="F5240" s="1740"/>
      <c r="G5240" s="1277" t="s">
        <v>20</v>
      </c>
      <c r="H5240" s="837">
        <v>4.0000000000000002E-4</v>
      </c>
      <c r="K5240" s="1192" t="s">
        <v>3980</v>
      </c>
      <c r="L5240" s="1192" t="s">
        <v>2374</v>
      </c>
      <c r="P5240" s="1192" t="s">
        <v>3985</v>
      </c>
      <c r="V5240" s="1192">
        <v>65</v>
      </c>
    </row>
    <row r="5241" spans="1:22" s="1192" customFormat="1" ht="14.4" x14ac:dyDescent="0.3">
      <c r="A5241" s="1192" t="s">
        <v>3744</v>
      </c>
      <c r="B5241" s="1192" t="s">
        <v>3955</v>
      </c>
      <c r="E5241" s="2062" t="s">
        <v>428</v>
      </c>
      <c r="F5241" s="1740"/>
      <c r="G5241" s="1277" t="s">
        <v>20</v>
      </c>
      <c r="H5241" s="837">
        <v>5.0000000000000001E-4</v>
      </c>
      <c r="K5241" s="1192" t="s">
        <v>3980</v>
      </c>
      <c r="L5241" s="1192" t="s">
        <v>2374</v>
      </c>
      <c r="P5241" s="1192" t="s">
        <v>3986</v>
      </c>
      <c r="V5241" s="1192">
        <v>57</v>
      </c>
    </row>
    <row r="5242" spans="1:22" s="1192" customFormat="1" ht="14.4" x14ac:dyDescent="0.3">
      <c r="A5242" s="1192" t="s">
        <v>3744</v>
      </c>
      <c r="B5242" s="1192" t="s">
        <v>3955</v>
      </c>
      <c r="E5242" s="2062" t="s">
        <v>28</v>
      </c>
      <c r="F5242" s="1740"/>
      <c r="G5242" s="1277" t="s">
        <v>19</v>
      </c>
      <c r="H5242" s="837">
        <v>0.25</v>
      </c>
      <c r="K5242" s="1192" t="s">
        <v>3980</v>
      </c>
      <c r="L5242" s="1192" t="s">
        <v>2374</v>
      </c>
      <c r="P5242" s="1192" t="s">
        <v>3987</v>
      </c>
      <c r="V5242" s="1192">
        <v>63</v>
      </c>
    </row>
    <row r="5243" spans="1:22" s="1192" customFormat="1" ht="17.399999999999999" x14ac:dyDescent="0.3">
      <c r="A5243" s="1192" t="s">
        <v>3744</v>
      </c>
      <c r="B5243" s="1192" t="s">
        <v>3955</v>
      </c>
      <c r="E5243" s="2082" t="s">
        <v>620</v>
      </c>
      <c r="F5243" s="1747"/>
      <c r="G5243" s="1747"/>
      <c r="H5243" s="1747"/>
      <c r="K5243" s="1192" t="s">
        <v>3988</v>
      </c>
      <c r="V5243" s="1192">
        <v>40</v>
      </c>
    </row>
    <row r="5244" spans="1:22" s="1192" customFormat="1" ht="14.4" x14ac:dyDescent="0.3">
      <c r="A5244" s="1192" t="s">
        <v>3744</v>
      </c>
      <c r="B5244" s="1192" t="s">
        <v>3955</v>
      </c>
      <c r="E5244" s="2067" t="s">
        <v>2634</v>
      </c>
      <c r="F5244" s="2067"/>
      <c r="G5244" s="2067"/>
      <c r="H5244" s="2067"/>
      <c r="K5244" s="1192" t="s">
        <v>3988</v>
      </c>
      <c r="V5244" s="1192">
        <v>327</v>
      </c>
    </row>
    <row r="5245" spans="1:22" s="1192" customFormat="1" ht="14.4" x14ac:dyDescent="0.3">
      <c r="A5245" s="1192" t="s">
        <v>3744</v>
      </c>
      <c r="B5245" s="1192" t="s">
        <v>3955</v>
      </c>
      <c r="E5245" s="2060" t="s">
        <v>2389</v>
      </c>
      <c r="F5245" s="1743"/>
      <c r="G5245" s="1743"/>
      <c r="H5245" s="1743"/>
      <c r="K5245" s="1192" t="s">
        <v>2632</v>
      </c>
      <c r="V5245" s="1192">
        <v>11</v>
      </c>
    </row>
    <row r="5246" spans="1:22" s="1192" customFormat="1" ht="14.4" x14ac:dyDescent="0.3">
      <c r="A5246" s="1192" t="s">
        <v>3744</v>
      </c>
      <c r="B5246" s="1192" t="s">
        <v>3955</v>
      </c>
      <c r="E5246" s="2067" t="s">
        <v>2391</v>
      </c>
      <c r="F5246" s="2067"/>
      <c r="G5246" s="2067"/>
      <c r="H5246" s="2067"/>
      <c r="K5246" s="1192" t="s">
        <v>3988</v>
      </c>
      <c r="V5246" s="1192">
        <v>280</v>
      </c>
    </row>
    <row r="5247" spans="1:22" s="1192" customFormat="1" ht="14.4" x14ac:dyDescent="0.3">
      <c r="A5247" s="1192" t="s">
        <v>3744</v>
      </c>
      <c r="B5247" s="1192" t="s">
        <v>3955</v>
      </c>
      <c r="E5247" s="2067" t="s">
        <v>2392</v>
      </c>
      <c r="F5247" s="2067"/>
      <c r="G5247" s="2067"/>
      <c r="H5247" s="2067"/>
      <c r="K5247" s="1192" t="s">
        <v>3988</v>
      </c>
      <c r="V5247" s="1192">
        <v>411</v>
      </c>
    </row>
    <row r="5248" spans="1:22" s="1192" customFormat="1" ht="14.4" x14ac:dyDescent="0.3">
      <c r="A5248" s="1192" t="s">
        <v>3744</v>
      </c>
      <c r="B5248" s="1192" t="s">
        <v>3955</v>
      </c>
      <c r="E5248" s="2067" t="s">
        <v>2508</v>
      </c>
      <c r="F5248" s="2067"/>
      <c r="G5248" s="2067"/>
      <c r="H5248" s="2067"/>
      <c r="K5248" s="1192" t="s">
        <v>3988</v>
      </c>
      <c r="V5248" s="1192">
        <v>386</v>
      </c>
    </row>
    <row r="5249" spans="1:22" s="1192" customFormat="1" ht="14.4" x14ac:dyDescent="0.3">
      <c r="A5249" s="1192" t="s">
        <v>3744</v>
      </c>
      <c r="B5249" s="1192" t="s">
        <v>3955</v>
      </c>
      <c r="E5249" s="2067" t="s">
        <v>4500</v>
      </c>
      <c r="F5249" s="2067"/>
      <c r="G5249" s="2067"/>
      <c r="H5249" s="2067"/>
      <c r="K5249" s="1192" t="s">
        <v>3988</v>
      </c>
      <c r="V5249" s="1192">
        <v>247</v>
      </c>
    </row>
    <row r="5250" spans="1:22" s="1192" customFormat="1" ht="14.4" x14ac:dyDescent="0.3">
      <c r="A5250" s="1192" t="s">
        <v>3744</v>
      </c>
      <c r="B5250" s="1192" t="s">
        <v>3955</v>
      </c>
      <c r="E5250" s="2060" t="s">
        <v>2394</v>
      </c>
      <c r="F5250" s="1743"/>
      <c r="G5250" s="1743"/>
      <c r="H5250" s="1743"/>
      <c r="K5250" s="1192" t="s">
        <v>2633</v>
      </c>
      <c r="V5250" s="1192">
        <v>46</v>
      </c>
    </row>
    <row r="5251" spans="1:22" s="1192" customFormat="1" ht="14.4" x14ac:dyDescent="0.3">
      <c r="A5251" s="1192" t="s">
        <v>3744</v>
      </c>
      <c r="B5251" s="1192" t="s">
        <v>3955</v>
      </c>
      <c r="E5251" s="2059" t="s">
        <v>7</v>
      </c>
      <c r="F5251" s="1741"/>
      <c r="G5251" s="1277" t="s">
        <v>19</v>
      </c>
      <c r="H5251" s="837">
        <v>65.52</v>
      </c>
      <c r="K5251" s="1192" t="s">
        <v>3988</v>
      </c>
      <c r="L5251" s="1192" t="s">
        <v>430</v>
      </c>
      <c r="P5251" s="1192" t="s">
        <v>3989</v>
      </c>
      <c r="V5251" s="1192">
        <v>14</v>
      </c>
    </row>
    <row r="5252" spans="1:22" s="1192" customFormat="1" ht="17.399999999999999" x14ac:dyDescent="0.3">
      <c r="A5252" s="1192" t="s">
        <v>3744</v>
      </c>
      <c r="B5252" s="1192" t="s">
        <v>3955</v>
      </c>
      <c r="E5252" s="2082" t="s">
        <v>593</v>
      </c>
      <c r="F5252" s="1747"/>
      <c r="G5252" s="1747"/>
      <c r="H5252" s="1747"/>
      <c r="K5252" s="1192" t="s">
        <v>3211</v>
      </c>
      <c r="V5252" s="1192">
        <v>31</v>
      </c>
    </row>
    <row r="5253" spans="1:22" s="1192" customFormat="1" ht="14.4" x14ac:dyDescent="0.3">
      <c r="A5253" s="1192" t="s">
        <v>3744</v>
      </c>
      <c r="B5253" s="1192" t="s">
        <v>3955</v>
      </c>
      <c r="E5253" s="2067" t="s">
        <v>2637</v>
      </c>
      <c r="F5253" s="2067"/>
      <c r="G5253" s="2067"/>
      <c r="H5253" s="2067"/>
      <c r="K5253" s="1192" t="s">
        <v>3211</v>
      </c>
      <c r="V5253" s="1192">
        <v>285</v>
      </c>
    </row>
    <row r="5254" spans="1:22" s="1192" customFormat="1" ht="14.4" x14ac:dyDescent="0.3">
      <c r="A5254" s="1192" t="s">
        <v>3744</v>
      </c>
      <c r="B5254" s="1192" t="s">
        <v>3955</v>
      </c>
      <c r="E5254" s="2060" t="s">
        <v>2389</v>
      </c>
      <c r="F5254" s="1743"/>
      <c r="G5254" s="1743"/>
      <c r="H5254" s="1743"/>
      <c r="K5254" s="1192" t="s">
        <v>2635</v>
      </c>
      <c r="V5254" s="1192">
        <v>11</v>
      </c>
    </row>
    <row r="5255" spans="1:22" s="1192" customFormat="1" ht="14.4" x14ac:dyDescent="0.3">
      <c r="A5255" s="1192" t="s">
        <v>3744</v>
      </c>
      <c r="B5255" s="1192" t="s">
        <v>3955</v>
      </c>
      <c r="E5255" s="2067" t="s">
        <v>2391</v>
      </c>
      <c r="F5255" s="2067"/>
      <c r="G5255" s="2067"/>
      <c r="H5255" s="2067"/>
      <c r="K5255" s="1192" t="s">
        <v>3211</v>
      </c>
      <c r="V5255" s="1192">
        <v>280</v>
      </c>
    </row>
    <row r="5256" spans="1:22" s="1192" customFormat="1" ht="14.4" x14ac:dyDescent="0.3">
      <c r="A5256" s="1192" t="s">
        <v>3744</v>
      </c>
      <c r="B5256" s="1192" t="s">
        <v>3955</v>
      </c>
      <c r="E5256" s="2067" t="s">
        <v>2392</v>
      </c>
      <c r="F5256" s="2067"/>
      <c r="G5256" s="2067"/>
      <c r="H5256" s="2067"/>
      <c r="K5256" s="1192" t="s">
        <v>3211</v>
      </c>
      <c r="V5256" s="1192">
        <v>411</v>
      </c>
    </row>
    <row r="5257" spans="1:22" s="1192" customFormat="1" ht="14.4" x14ac:dyDescent="0.3">
      <c r="A5257" s="1192" t="s">
        <v>3744</v>
      </c>
      <c r="B5257" s="1192" t="s">
        <v>3955</v>
      </c>
      <c r="E5257" s="2067" t="s">
        <v>2508</v>
      </c>
      <c r="F5257" s="2067"/>
      <c r="G5257" s="2067"/>
      <c r="H5257" s="2067"/>
      <c r="K5257" s="1192" t="s">
        <v>3211</v>
      </c>
      <c r="V5257" s="1192">
        <v>386</v>
      </c>
    </row>
    <row r="5258" spans="1:22" s="1192" customFormat="1" ht="14.4" x14ac:dyDescent="0.3">
      <c r="A5258" s="1192" t="s">
        <v>3744</v>
      </c>
      <c r="B5258" s="1192" t="s">
        <v>3955</v>
      </c>
      <c r="E5258" s="2067" t="s">
        <v>4500</v>
      </c>
      <c r="F5258" s="2067"/>
      <c r="G5258" s="2067"/>
      <c r="H5258" s="2067"/>
      <c r="K5258" s="1192" t="s">
        <v>3211</v>
      </c>
      <c r="V5258" s="1192">
        <v>247</v>
      </c>
    </row>
    <row r="5259" spans="1:22" s="1192" customFormat="1" ht="14.4" x14ac:dyDescent="0.3">
      <c r="A5259" s="1192" t="s">
        <v>3744</v>
      </c>
      <c r="B5259" s="1192" t="s">
        <v>3955</v>
      </c>
      <c r="E5259" s="2060" t="s">
        <v>2394</v>
      </c>
      <c r="F5259" s="1743"/>
      <c r="G5259" s="1743"/>
      <c r="H5259" s="1743"/>
      <c r="K5259" s="1192" t="s">
        <v>2636</v>
      </c>
      <c r="V5259" s="1192">
        <v>46</v>
      </c>
    </row>
    <row r="5260" spans="1:22" s="1192" customFormat="1" ht="14.4" x14ac:dyDescent="0.3">
      <c r="A5260" s="1192" t="s">
        <v>3744</v>
      </c>
      <c r="B5260" s="1192" t="s">
        <v>3955</v>
      </c>
      <c r="E5260" s="2062" t="s">
        <v>7</v>
      </c>
      <c r="F5260" s="1740"/>
      <c r="G5260" s="1277" t="s">
        <v>19</v>
      </c>
      <c r="H5260" s="509">
        <v>5.4</v>
      </c>
      <c r="K5260" s="1192" t="s">
        <v>3211</v>
      </c>
      <c r="L5260" s="1192" t="s">
        <v>430</v>
      </c>
      <c r="P5260" s="1192" t="s">
        <v>3214</v>
      </c>
      <c r="V5260" s="1192">
        <v>14</v>
      </c>
    </row>
    <row r="5261" spans="1:22" s="1192" customFormat="1" ht="17.399999999999999" x14ac:dyDescent="0.3">
      <c r="A5261" s="1192" t="s">
        <v>3744</v>
      </c>
      <c r="B5261" s="1192" t="s">
        <v>3955</v>
      </c>
      <c r="E5261" s="1323" t="s">
        <v>81</v>
      </c>
      <c r="F5261" s="1287"/>
      <c r="G5261" s="1280"/>
      <c r="H5261" s="846"/>
      <c r="K5261" s="1192" t="s">
        <v>3990</v>
      </c>
      <c r="V5261" s="1192">
        <v>10</v>
      </c>
    </row>
    <row r="5262" spans="1:22" s="1192" customFormat="1" ht="14.4" x14ac:dyDescent="0.3">
      <c r="A5262" s="1192" t="s">
        <v>3744</v>
      </c>
      <c r="B5262" s="1192" t="s">
        <v>3955</v>
      </c>
      <c r="E5262" s="2084" t="s">
        <v>2449</v>
      </c>
      <c r="F5262" s="1740"/>
      <c r="G5262" s="1277"/>
      <c r="H5262" s="837"/>
      <c r="V5262" s="1192">
        <v>68</v>
      </c>
    </row>
    <row r="5263" spans="1:22" s="1192" customFormat="1" ht="14.4" x14ac:dyDescent="0.3">
      <c r="A5263" s="1192" t="s">
        <v>3744</v>
      </c>
      <c r="B5263" s="1192" t="s">
        <v>3955</v>
      </c>
      <c r="E5263" s="2084" t="s">
        <v>2638</v>
      </c>
      <c r="F5263" s="1740"/>
      <c r="G5263" s="1277" t="s">
        <v>20</v>
      </c>
      <c r="H5263" s="1219">
        <v>-3.2000000000000002E-3</v>
      </c>
      <c r="V5263" s="1192">
        <v>49</v>
      </c>
    </row>
    <row r="5264" spans="1:22" s="1192" customFormat="1" ht="14.4" x14ac:dyDescent="0.3">
      <c r="A5264" s="1192" t="s">
        <v>3744</v>
      </c>
      <c r="B5264" s="1192" t="s">
        <v>3955</v>
      </c>
      <c r="E5264" s="2084" t="s">
        <v>3991</v>
      </c>
      <c r="F5264" s="1740"/>
      <c r="G5264" s="1277" t="s">
        <v>29</v>
      </c>
      <c r="H5264" s="1219">
        <v>-0.68400000000000005</v>
      </c>
      <c r="V5264" s="1192">
        <v>46</v>
      </c>
    </row>
    <row r="5265" spans="1:22" s="1192" customFormat="1" ht="14.4" x14ac:dyDescent="0.3">
      <c r="A5265" s="1192" t="s">
        <v>3744</v>
      </c>
      <c r="B5265" s="1192" t="s">
        <v>3955</v>
      </c>
      <c r="E5265" s="2084" t="s">
        <v>3992</v>
      </c>
      <c r="F5265" s="1740"/>
      <c r="G5265" s="1277" t="s">
        <v>29</v>
      </c>
      <c r="H5265" s="1219">
        <v>-0.85150000000000003</v>
      </c>
      <c r="V5265" s="1192">
        <v>49</v>
      </c>
    </row>
    <row r="5266" spans="1:22" s="1192" customFormat="1" ht="14.4" x14ac:dyDescent="0.3">
      <c r="A5266" s="1192" t="s">
        <v>3744</v>
      </c>
      <c r="B5266" s="1192" t="s">
        <v>3955</v>
      </c>
      <c r="E5266" s="2084" t="s">
        <v>3993</v>
      </c>
      <c r="F5266" s="1740"/>
      <c r="G5266" s="1277" t="s">
        <v>82</v>
      </c>
      <c r="H5266" s="509">
        <v>-1</v>
      </c>
      <c r="V5266" s="1192">
        <v>89</v>
      </c>
    </row>
    <row r="5267" spans="1:22" s="1192" customFormat="1" ht="17.399999999999999" x14ac:dyDescent="0.3">
      <c r="A5267" s="1192" t="s">
        <v>3744</v>
      </c>
      <c r="B5267" s="1192" t="s">
        <v>3955</v>
      </c>
      <c r="E5267" s="1323" t="s">
        <v>83</v>
      </c>
      <c r="F5267" s="3"/>
      <c r="G5267" s="360"/>
      <c r="H5267" s="844"/>
      <c r="K5267" s="1192" t="s">
        <v>3994</v>
      </c>
      <c r="V5267" s="1192">
        <v>24</v>
      </c>
    </row>
    <row r="5268" spans="1:22" s="1192" customFormat="1" ht="14.4" x14ac:dyDescent="0.3">
      <c r="A5268" s="1192" t="s">
        <v>3744</v>
      </c>
      <c r="B5268" s="1192" t="s">
        <v>3955</v>
      </c>
      <c r="E5268" s="2088" t="s">
        <v>2389</v>
      </c>
      <c r="F5268" s="1743"/>
      <c r="G5268" s="1743"/>
      <c r="H5268" s="1743"/>
      <c r="V5268" s="1192">
        <v>11</v>
      </c>
    </row>
    <row r="5269" spans="1:22" s="1192" customFormat="1" ht="14.4" x14ac:dyDescent="0.3">
      <c r="A5269" s="1192" t="s">
        <v>3744</v>
      </c>
      <c r="B5269" s="1192" t="s">
        <v>3955</v>
      </c>
      <c r="E5269" s="2067" t="s">
        <v>2391</v>
      </c>
      <c r="F5269" s="2067"/>
      <c r="G5269" s="2067"/>
      <c r="H5269" s="2067"/>
      <c r="V5269" s="1192">
        <v>280</v>
      </c>
    </row>
    <row r="5270" spans="1:22" s="1192" customFormat="1" ht="14.4" x14ac:dyDescent="0.3">
      <c r="A5270" s="1192" t="s">
        <v>3744</v>
      </c>
      <c r="B5270" s="1192" t="s">
        <v>3955</v>
      </c>
      <c r="E5270" s="2067" t="s">
        <v>2452</v>
      </c>
      <c r="F5270" s="2067"/>
      <c r="G5270" s="2067"/>
      <c r="H5270" s="2067"/>
      <c r="V5270" s="1192">
        <v>353</v>
      </c>
    </row>
    <row r="5271" spans="1:22" s="1192" customFormat="1" ht="14.4" x14ac:dyDescent="0.3">
      <c r="A5271" s="1192" t="s">
        <v>3744</v>
      </c>
      <c r="B5271" s="1192" t="s">
        <v>3955</v>
      </c>
      <c r="E5271" s="2067" t="s">
        <v>4500</v>
      </c>
      <c r="F5271" s="2067"/>
      <c r="G5271" s="2067"/>
      <c r="H5271" s="2067"/>
      <c r="V5271" s="1192">
        <v>247</v>
      </c>
    </row>
    <row r="5272" spans="1:22" s="1192" customFormat="1" ht="14.4" x14ac:dyDescent="0.3">
      <c r="A5272" s="1192" t="s">
        <v>3744</v>
      </c>
      <c r="B5272" s="1192" t="s">
        <v>3955</v>
      </c>
      <c r="E5272" s="1324" t="s">
        <v>2453</v>
      </c>
      <c r="F5272" s="3"/>
      <c r="G5272" s="360"/>
      <c r="H5272" s="844"/>
      <c r="K5272" s="1192" t="s">
        <v>3995</v>
      </c>
      <c r="V5272" s="1192">
        <v>23</v>
      </c>
    </row>
    <row r="5273" spans="1:22" s="1192" customFormat="1" ht="14.4" x14ac:dyDescent="0.3">
      <c r="A5273" s="1192" t="s">
        <v>3744</v>
      </c>
      <c r="B5273" s="1192" t="s">
        <v>3955</v>
      </c>
      <c r="E5273" s="2092" t="s">
        <v>2639</v>
      </c>
      <c r="F5273" s="1745"/>
      <c r="G5273" s="1277" t="s">
        <v>19</v>
      </c>
      <c r="H5273" s="509">
        <v>15</v>
      </c>
      <c r="V5273" s="1192">
        <v>19</v>
      </c>
    </row>
    <row r="5274" spans="1:22" s="1192" customFormat="1" ht="14.4" x14ac:dyDescent="0.3">
      <c r="A5274" s="1192" t="s">
        <v>3744</v>
      </c>
      <c r="B5274" s="1192" t="s">
        <v>3955</v>
      </c>
      <c r="E5274" s="2085" t="s">
        <v>2457</v>
      </c>
      <c r="F5274" s="1745"/>
      <c r="G5274" s="1277" t="s">
        <v>19</v>
      </c>
      <c r="H5274" s="509">
        <v>15</v>
      </c>
      <c r="V5274" s="1192">
        <v>26</v>
      </c>
    </row>
    <row r="5275" spans="1:22" s="1192" customFormat="1" ht="14.4" x14ac:dyDescent="0.3">
      <c r="A5275" s="1192" t="s">
        <v>3744</v>
      </c>
      <c r="B5275" s="1192" t="s">
        <v>3955</v>
      </c>
      <c r="E5275" s="2086" t="s">
        <v>2458</v>
      </c>
      <c r="F5275" s="1745"/>
      <c r="G5275" s="1277" t="s">
        <v>19</v>
      </c>
      <c r="H5275" s="509">
        <v>15</v>
      </c>
      <c r="V5275" s="1192">
        <v>39</v>
      </c>
    </row>
    <row r="5276" spans="1:22" s="1192" customFormat="1" ht="14.4" x14ac:dyDescent="0.3">
      <c r="A5276" s="1192" t="s">
        <v>3744</v>
      </c>
      <c r="B5276" s="1192" t="s">
        <v>3955</v>
      </c>
      <c r="E5276" s="2086" t="s">
        <v>2459</v>
      </c>
      <c r="F5276" s="1745"/>
      <c r="G5276" s="1277" t="s">
        <v>19</v>
      </c>
      <c r="H5276" s="509">
        <v>15</v>
      </c>
      <c r="V5276" s="1192">
        <v>37</v>
      </c>
    </row>
    <row r="5277" spans="1:22" s="1192" customFormat="1" ht="14.4" x14ac:dyDescent="0.3">
      <c r="A5277" s="1192" t="s">
        <v>3744</v>
      </c>
      <c r="B5277" s="1192" t="s">
        <v>3955</v>
      </c>
      <c r="E5277" s="2086" t="s">
        <v>3663</v>
      </c>
      <c r="F5277" s="1745"/>
      <c r="G5277" s="1277" t="s">
        <v>19</v>
      </c>
      <c r="H5277" s="509">
        <v>15</v>
      </c>
      <c r="V5277" s="1192">
        <v>15</v>
      </c>
    </row>
    <row r="5278" spans="1:22" s="1192" customFormat="1" ht="14.4" x14ac:dyDescent="0.3">
      <c r="A5278" s="1192" t="s">
        <v>3744</v>
      </c>
      <c r="B5278" s="1192" t="s">
        <v>3955</v>
      </c>
      <c r="E5278" s="2086" t="s">
        <v>2461</v>
      </c>
      <c r="F5278" s="1745"/>
      <c r="G5278" s="1277" t="s">
        <v>19</v>
      </c>
      <c r="H5278" s="509">
        <v>15</v>
      </c>
      <c r="V5278" s="1192">
        <v>17</v>
      </c>
    </row>
    <row r="5279" spans="1:22" s="1192" customFormat="1" ht="14.4" x14ac:dyDescent="0.3">
      <c r="A5279" s="1192" t="s">
        <v>3744</v>
      </c>
      <c r="B5279" s="1192" t="s">
        <v>3955</v>
      </c>
      <c r="E5279" s="2086" t="s">
        <v>2463</v>
      </c>
      <c r="F5279" s="1745"/>
      <c r="G5279" s="1277" t="s">
        <v>19</v>
      </c>
      <c r="H5279" s="509">
        <v>15</v>
      </c>
      <c r="V5279" s="1192">
        <v>15</v>
      </c>
    </row>
    <row r="5280" spans="1:22" s="1192" customFormat="1" ht="14.4" x14ac:dyDescent="0.3">
      <c r="A5280" s="1192" t="s">
        <v>3744</v>
      </c>
      <c r="B5280" s="1192" t="s">
        <v>3955</v>
      </c>
      <c r="E5280" s="2086" t="s">
        <v>2464</v>
      </c>
      <c r="F5280" s="1745"/>
      <c r="G5280" s="1277" t="s">
        <v>19</v>
      </c>
      <c r="H5280" s="509">
        <v>15</v>
      </c>
      <c r="V5280" s="1192">
        <v>56</v>
      </c>
    </row>
    <row r="5281" spans="1:22" s="1192" customFormat="1" ht="14.4" x14ac:dyDescent="0.3">
      <c r="A5281" s="1192" t="s">
        <v>3744</v>
      </c>
      <c r="B5281" s="1192" t="s">
        <v>3955</v>
      </c>
      <c r="E5281" s="2086" t="s">
        <v>119</v>
      </c>
      <c r="F5281" s="1745"/>
      <c r="G5281" s="1277" t="s">
        <v>19</v>
      </c>
      <c r="H5281" s="509">
        <v>15</v>
      </c>
      <c r="V5281" s="1192">
        <v>35</v>
      </c>
    </row>
    <row r="5282" spans="1:22" s="1192" customFormat="1" ht="14.4" x14ac:dyDescent="0.3">
      <c r="A5282" s="1192" t="s">
        <v>3744</v>
      </c>
      <c r="B5282" s="1192" t="s">
        <v>3955</v>
      </c>
      <c r="E5282" s="2086" t="s">
        <v>2467</v>
      </c>
      <c r="F5282" s="1745"/>
      <c r="G5282" s="1277" t="s">
        <v>19</v>
      </c>
      <c r="H5282" s="509">
        <v>15</v>
      </c>
      <c r="V5282" s="1192">
        <v>19</v>
      </c>
    </row>
    <row r="5283" spans="1:22" s="1192" customFormat="1" ht="14.4" x14ac:dyDescent="0.3">
      <c r="A5283" s="1192" t="s">
        <v>3744</v>
      </c>
      <c r="B5283" s="1192" t="s">
        <v>3955</v>
      </c>
      <c r="E5283" s="2086" t="s">
        <v>84</v>
      </c>
      <c r="F5283" s="1745"/>
      <c r="G5283" s="1277" t="s">
        <v>19</v>
      </c>
      <c r="H5283" s="509">
        <v>30</v>
      </c>
      <c r="V5283" s="1192">
        <v>89</v>
      </c>
    </row>
    <row r="5284" spans="1:22" s="1192" customFormat="1" ht="14.4" x14ac:dyDescent="0.3">
      <c r="A5284" s="1192" t="s">
        <v>3744</v>
      </c>
      <c r="B5284" s="1192" t="s">
        <v>3955</v>
      </c>
      <c r="E5284" s="2086" t="s">
        <v>90</v>
      </c>
      <c r="F5284" s="1745"/>
      <c r="G5284" s="1277" t="s">
        <v>19</v>
      </c>
      <c r="H5284" s="509">
        <v>30</v>
      </c>
      <c r="V5284" s="1192">
        <v>19</v>
      </c>
    </row>
    <row r="5285" spans="1:22" s="1192" customFormat="1" ht="14.4" x14ac:dyDescent="0.3">
      <c r="A5285" s="1192" t="s">
        <v>3744</v>
      </c>
      <c r="B5285" s="1192" t="s">
        <v>3955</v>
      </c>
      <c r="E5285" s="2086" t="s">
        <v>2640</v>
      </c>
      <c r="F5285" s="1745"/>
      <c r="G5285" s="1277" t="s">
        <v>19</v>
      </c>
      <c r="H5285" s="509">
        <v>125</v>
      </c>
      <c r="V5285" s="1192">
        <v>37</v>
      </c>
    </row>
    <row r="5286" spans="1:22" s="1192" customFormat="1" ht="14.4" x14ac:dyDescent="0.3">
      <c r="A5286" s="1192" t="s">
        <v>3744</v>
      </c>
      <c r="B5286" s="1192" t="s">
        <v>3955</v>
      </c>
      <c r="E5286" s="2086" t="s">
        <v>2641</v>
      </c>
      <c r="F5286" s="1745"/>
      <c r="G5286" s="1277" t="s">
        <v>19</v>
      </c>
      <c r="H5286" s="509">
        <v>25</v>
      </c>
      <c r="V5286" s="1192">
        <v>55</v>
      </c>
    </row>
    <row r="5287" spans="1:22" s="1192" customFormat="1" ht="14.4" x14ac:dyDescent="0.3">
      <c r="A5287" s="1192" t="s">
        <v>3744</v>
      </c>
      <c r="B5287" s="1192" t="s">
        <v>3955</v>
      </c>
      <c r="E5287" s="1324" t="s">
        <v>2468</v>
      </c>
      <c r="F5287" s="3"/>
      <c r="G5287" s="360"/>
      <c r="H5287" s="844"/>
      <c r="K5287" s="1192" t="s">
        <v>3996</v>
      </c>
      <c r="V5287" s="1192">
        <v>22</v>
      </c>
    </row>
    <row r="5288" spans="1:22" s="1192" customFormat="1" ht="14.4" x14ac:dyDescent="0.3">
      <c r="A5288" s="1192" t="s">
        <v>3744</v>
      </c>
      <c r="B5288" s="1192" t="s">
        <v>3955</v>
      </c>
      <c r="E5288" s="2086" t="s">
        <v>5940</v>
      </c>
      <c r="F5288" s="1745"/>
      <c r="G5288" s="1277" t="s">
        <v>82</v>
      </c>
      <c r="H5288" s="509">
        <v>1.5</v>
      </c>
      <c r="V5288" s="1192">
        <v>99</v>
      </c>
    </row>
    <row r="5289" spans="1:22" s="1192" customFormat="1" ht="14.4" x14ac:dyDescent="0.3">
      <c r="A5289" s="1192" t="s">
        <v>3744</v>
      </c>
      <c r="B5289" s="1192" t="s">
        <v>3955</v>
      </c>
      <c r="E5289" s="2086" t="s">
        <v>6106</v>
      </c>
      <c r="F5289" s="1745"/>
      <c r="G5289" s="1277" t="s">
        <v>19</v>
      </c>
      <c r="H5289" s="509">
        <v>65</v>
      </c>
      <c r="V5289" s="1192">
        <v>44</v>
      </c>
    </row>
    <row r="5290" spans="1:22" s="1192" customFormat="1" ht="14.4" x14ac:dyDescent="0.3">
      <c r="A5290" s="1192" t="s">
        <v>3744</v>
      </c>
      <c r="B5290" s="1192" t="s">
        <v>3955</v>
      </c>
      <c r="E5290" s="2086" t="s">
        <v>6107</v>
      </c>
      <c r="F5290" s="1745"/>
      <c r="G5290" s="1277" t="s">
        <v>19</v>
      </c>
      <c r="H5290" s="509">
        <v>185</v>
      </c>
      <c r="V5290" s="1192">
        <v>43</v>
      </c>
    </row>
    <row r="5291" spans="1:22" s="1192" customFormat="1" ht="14.4" x14ac:dyDescent="0.3">
      <c r="A5291" s="1192" t="s">
        <v>3744</v>
      </c>
      <c r="B5291" s="1192" t="s">
        <v>3955</v>
      </c>
      <c r="E5291" s="2086" t="s">
        <v>6108</v>
      </c>
      <c r="F5291" s="1745"/>
      <c r="G5291" s="1277" t="s">
        <v>19</v>
      </c>
      <c r="H5291" s="509">
        <v>185</v>
      </c>
      <c r="V5291" s="1192">
        <v>43</v>
      </c>
    </row>
    <row r="5292" spans="1:22" s="1192" customFormat="1" ht="14.4" x14ac:dyDescent="0.3">
      <c r="A5292" s="1192" t="s">
        <v>3744</v>
      </c>
      <c r="B5292" s="1192" t="s">
        <v>3955</v>
      </c>
      <c r="E5292" s="2086" t="s">
        <v>6115</v>
      </c>
      <c r="F5292" s="1745"/>
      <c r="G5292" s="1277" t="s">
        <v>19</v>
      </c>
      <c r="H5292" s="509">
        <v>415</v>
      </c>
      <c r="V5292" s="1192">
        <v>42</v>
      </c>
    </row>
    <row r="5293" spans="1:22" s="1192" customFormat="1" ht="14.4" x14ac:dyDescent="0.3">
      <c r="A5293" s="1192" t="s">
        <v>3744</v>
      </c>
      <c r="B5293" s="1192" t="s">
        <v>3955</v>
      </c>
      <c r="E5293" s="2086" t="s">
        <v>6311</v>
      </c>
      <c r="F5293" s="1745"/>
      <c r="G5293" s="1277" t="s">
        <v>19</v>
      </c>
      <c r="H5293" s="509">
        <v>60</v>
      </c>
      <c r="V5293" s="1192">
        <v>50</v>
      </c>
    </row>
    <row r="5294" spans="1:22" s="1192" customFormat="1" ht="14.4" x14ac:dyDescent="0.3">
      <c r="A5294" s="1192" t="s">
        <v>3744</v>
      </c>
      <c r="B5294" s="1192" t="s">
        <v>3955</v>
      </c>
      <c r="E5294" s="2086" t="s">
        <v>6312</v>
      </c>
      <c r="F5294" s="1745"/>
      <c r="G5294" s="1277" t="s">
        <v>19</v>
      </c>
      <c r="H5294" s="509">
        <v>155</v>
      </c>
      <c r="V5294" s="1192">
        <v>49</v>
      </c>
    </row>
    <row r="5295" spans="1:22" s="1192" customFormat="1" ht="14.4" x14ac:dyDescent="0.3">
      <c r="A5295" s="1192" t="s">
        <v>3744</v>
      </c>
      <c r="B5295" s="1192" t="s">
        <v>3955</v>
      </c>
      <c r="E5295" s="1324" t="s">
        <v>2474</v>
      </c>
      <c r="F5295" s="3"/>
      <c r="G5295" s="360"/>
      <c r="H5295" s="844"/>
      <c r="V5295" s="1192">
        <v>5</v>
      </c>
    </row>
    <row r="5296" spans="1:22" s="1192" customFormat="1" ht="14.4" x14ac:dyDescent="0.3">
      <c r="A5296" s="1192" t="s">
        <v>3744</v>
      </c>
      <c r="B5296" s="1192" t="s">
        <v>3955</v>
      </c>
      <c r="E5296" s="2090" t="s">
        <v>2642</v>
      </c>
      <c r="F5296" s="1745"/>
      <c r="G5296" s="1277" t="s">
        <v>19</v>
      </c>
      <c r="H5296" s="509">
        <v>120</v>
      </c>
      <c r="V5296" s="1192">
        <v>65</v>
      </c>
    </row>
    <row r="5297" spans="1:22" s="1192" customFormat="1" ht="14.4" x14ac:dyDescent="0.3">
      <c r="A5297" s="1192" t="s">
        <v>3744</v>
      </c>
      <c r="B5297" s="1192" t="s">
        <v>3955</v>
      </c>
      <c r="E5297" s="2090" t="s">
        <v>2643</v>
      </c>
      <c r="F5297" s="1745"/>
      <c r="G5297" s="1277" t="s">
        <v>19</v>
      </c>
      <c r="H5297" s="509">
        <v>155</v>
      </c>
      <c r="V5297" s="1192">
        <v>64</v>
      </c>
    </row>
    <row r="5298" spans="1:22" s="1192" customFormat="1" ht="14.4" x14ac:dyDescent="0.3">
      <c r="A5298" s="1192" t="s">
        <v>3744</v>
      </c>
      <c r="B5298" s="1192" t="s">
        <v>3955</v>
      </c>
      <c r="E5298" s="2086" t="s">
        <v>6313</v>
      </c>
      <c r="F5298" s="1745"/>
      <c r="G5298" s="1277" t="s">
        <v>19</v>
      </c>
      <c r="H5298" s="509">
        <v>44.5</v>
      </c>
      <c r="V5298" s="1192">
        <v>104</v>
      </c>
    </row>
    <row r="5299" spans="1:22" s="1192" customFormat="1" ht="34.799999999999997" x14ac:dyDescent="0.3">
      <c r="A5299" s="1192" t="s">
        <v>3744</v>
      </c>
      <c r="B5299" s="1192" t="s">
        <v>3955</v>
      </c>
      <c r="E5299" s="1323" t="s">
        <v>73</v>
      </c>
      <c r="F5299" s="3"/>
      <c r="G5299" s="360"/>
      <c r="H5299" s="844"/>
      <c r="K5299" s="1192" t="s">
        <v>3997</v>
      </c>
      <c r="V5299" s="1192">
        <v>38</v>
      </c>
    </row>
    <row r="5300" spans="1:22" s="1192" customFormat="1" ht="14.4" x14ac:dyDescent="0.3">
      <c r="A5300" s="1192" t="s">
        <v>3744</v>
      </c>
      <c r="B5300" s="1192" t="s">
        <v>3955</v>
      </c>
      <c r="E5300" s="2067" t="s">
        <v>2391</v>
      </c>
      <c r="F5300" s="2067"/>
      <c r="G5300" s="2067"/>
      <c r="H5300" s="2067"/>
      <c r="V5300" s="1192">
        <v>280</v>
      </c>
    </row>
    <row r="5301" spans="1:22" s="1192" customFormat="1" ht="14.4" x14ac:dyDescent="0.3">
      <c r="A5301" s="1192" t="s">
        <v>3744</v>
      </c>
      <c r="B5301" s="1192" t="s">
        <v>3955</v>
      </c>
      <c r="E5301" s="2067" t="s">
        <v>2392</v>
      </c>
      <c r="F5301" s="2067"/>
      <c r="G5301" s="2067"/>
      <c r="H5301" s="2067"/>
      <c r="V5301" s="1192">
        <v>411</v>
      </c>
    </row>
    <row r="5302" spans="1:22" s="1192" customFormat="1" ht="14.4" x14ac:dyDescent="0.3">
      <c r="A5302" s="1192" t="s">
        <v>3744</v>
      </c>
      <c r="B5302" s="1192" t="s">
        <v>3955</v>
      </c>
      <c r="E5302" s="2067" t="s">
        <v>2445</v>
      </c>
      <c r="F5302" s="2067"/>
      <c r="G5302" s="2067"/>
      <c r="H5302" s="2067"/>
      <c r="V5302" s="1192">
        <v>211</v>
      </c>
    </row>
    <row r="5303" spans="1:22" s="1192" customFormat="1" ht="14.4" x14ac:dyDescent="0.3">
      <c r="A5303" s="1192" t="s">
        <v>3744</v>
      </c>
      <c r="B5303" s="1192" t="s">
        <v>3955</v>
      </c>
      <c r="E5303" s="2067" t="s">
        <v>4500</v>
      </c>
      <c r="F5303" s="2067"/>
      <c r="G5303" s="2067"/>
      <c r="H5303" s="2067"/>
      <c r="V5303" s="1192">
        <v>247</v>
      </c>
    </row>
    <row r="5304" spans="1:22" s="1192" customFormat="1" ht="14.4" x14ac:dyDescent="0.3">
      <c r="A5304" s="1192" t="s">
        <v>3744</v>
      </c>
      <c r="B5304" s="1192" t="s">
        <v>3955</v>
      </c>
      <c r="E5304" s="2067" t="s">
        <v>2595</v>
      </c>
      <c r="F5304" s="1743"/>
      <c r="G5304" s="1743"/>
      <c r="H5304" s="1743"/>
      <c r="V5304" s="1192">
        <v>142</v>
      </c>
    </row>
    <row r="5305" spans="1:22" s="1192" customFormat="1" ht="14.4" x14ac:dyDescent="0.3">
      <c r="A5305" s="1192" t="s">
        <v>3744</v>
      </c>
      <c r="B5305" s="1192" t="s">
        <v>3955</v>
      </c>
      <c r="E5305" s="2062" t="s">
        <v>2485</v>
      </c>
      <c r="F5305" s="1740"/>
      <c r="G5305" s="360" t="s">
        <v>19</v>
      </c>
      <c r="H5305" s="509">
        <v>102</v>
      </c>
      <c r="V5305" s="1192">
        <v>106</v>
      </c>
    </row>
    <row r="5306" spans="1:22" s="1192" customFormat="1" ht="14.4" x14ac:dyDescent="0.3">
      <c r="A5306" s="1192" t="s">
        <v>3744</v>
      </c>
      <c r="B5306" s="1192" t="s">
        <v>3955</v>
      </c>
      <c r="E5306" s="2084" t="s">
        <v>3919</v>
      </c>
      <c r="F5306" s="1740"/>
      <c r="G5306" s="360" t="s">
        <v>19</v>
      </c>
      <c r="H5306" s="509">
        <v>40.799999999999997</v>
      </c>
      <c r="V5306" s="1192">
        <v>34</v>
      </c>
    </row>
    <row r="5307" spans="1:22" s="1192" customFormat="1" ht="14.4" x14ac:dyDescent="0.3">
      <c r="A5307" s="1192" t="s">
        <v>3744</v>
      </c>
      <c r="B5307" s="1192" t="s">
        <v>3955</v>
      </c>
      <c r="E5307" s="2084" t="s">
        <v>3920</v>
      </c>
      <c r="F5307" s="1740"/>
      <c r="G5307" s="360" t="s">
        <v>2488</v>
      </c>
      <c r="H5307" s="509">
        <v>1.02</v>
      </c>
      <c r="V5307" s="1192">
        <v>51</v>
      </c>
    </row>
    <row r="5308" spans="1:22" s="1192" customFormat="1" ht="14.4" x14ac:dyDescent="0.3">
      <c r="A5308" s="1192" t="s">
        <v>3744</v>
      </c>
      <c r="B5308" s="1192" t="s">
        <v>3955</v>
      </c>
      <c r="E5308" s="2084" t="s">
        <v>2489</v>
      </c>
      <c r="F5308" s="1740"/>
      <c r="G5308" s="360" t="s">
        <v>2488</v>
      </c>
      <c r="H5308" s="509">
        <v>0.61</v>
      </c>
      <c r="V5308" s="1192">
        <v>75</v>
      </c>
    </row>
    <row r="5309" spans="1:22" s="1192" customFormat="1" ht="14.4" x14ac:dyDescent="0.3">
      <c r="A5309" s="1192" t="s">
        <v>3744</v>
      </c>
      <c r="B5309" s="1192" t="s">
        <v>3955</v>
      </c>
      <c r="E5309" s="2084" t="s">
        <v>2490</v>
      </c>
      <c r="F5309" s="1740"/>
      <c r="G5309" s="360" t="s">
        <v>2488</v>
      </c>
      <c r="H5309" s="509">
        <v>-0.61</v>
      </c>
      <c r="V5309" s="1192">
        <v>72</v>
      </c>
    </row>
    <row r="5310" spans="1:22" s="1192" customFormat="1" ht="14.4" x14ac:dyDescent="0.3">
      <c r="A5310" s="1192" t="s">
        <v>3744</v>
      </c>
      <c r="B5310" s="1192" t="s">
        <v>3955</v>
      </c>
      <c r="E5310" s="2084" t="s">
        <v>2596</v>
      </c>
      <c r="F5310" s="1740"/>
      <c r="G5310" s="360"/>
      <c r="H5310" s="837"/>
      <c r="V5310" s="1192">
        <v>34</v>
      </c>
    </row>
    <row r="5311" spans="1:22" s="1192" customFormat="1" ht="14.4" x14ac:dyDescent="0.3">
      <c r="A5311" s="1192" t="s">
        <v>3744</v>
      </c>
      <c r="B5311" s="1192" t="s">
        <v>3955</v>
      </c>
      <c r="E5311" s="2238" t="s">
        <v>2492</v>
      </c>
      <c r="F5311" s="1742"/>
      <c r="G5311" s="360" t="s">
        <v>19</v>
      </c>
      <c r="H5311" s="509">
        <v>0.51</v>
      </c>
      <c r="V5311" s="1192">
        <v>57</v>
      </c>
    </row>
    <row r="5312" spans="1:22" s="1192" customFormat="1" ht="14.4" x14ac:dyDescent="0.3">
      <c r="A5312" s="1192" t="s">
        <v>3744</v>
      </c>
      <c r="B5312" s="1192" t="s">
        <v>3955</v>
      </c>
      <c r="E5312" s="2238" t="s">
        <v>2493</v>
      </c>
      <c r="F5312" s="1742"/>
      <c r="G5312" s="360" t="s">
        <v>19</v>
      </c>
      <c r="H5312" s="837">
        <v>1.02</v>
      </c>
      <c r="V5312" s="1192">
        <v>60</v>
      </c>
    </row>
    <row r="5313" spans="1:22" s="1192" customFormat="1" ht="14.4" x14ac:dyDescent="0.3">
      <c r="A5313" s="1192" t="s">
        <v>3744</v>
      </c>
      <c r="B5313" s="1192" t="s">
        <v>3955</v>
      </c>
      <c r="E5313" s="2084" t="s">
        <v>2494</v>
      </c>
      <c r="F5313" s="1740"/>
      <c r="G5313" s="360"/>
      <c r="H5313" s="844"/>
      <c r="V5313" s="1192">
        <v>91</v>
      </c>
    </row>
    <row r="5314" spans="1:22" s="1192" customFormat="1" ht="14.4" x14ac:dyDescent="0.3">
      <c r="A5314" s="1192" t="s">
        <v>3744</v>
      </c>
      <c r="B5314" s="1192" t="s">
        <v>3955</v>
      </c>
      <c r="E5314" s="2084" t="s">
        <v>2495</v>
      </c>
      <c r="F5314" s="1740"/>
      <c r="G5314" s="360"/>
      <c r="H5314" s="844"/>
      <c r="V5314" s="1192">
        <v>96</v>
      </c>
    </row>
    <row r="5315" spans="1:22" s="1192" customFormat="1" ht="14.4" x14ac:dyDescent="0.3">
      <c r="A5315" s="1192" t="s">
        <v>3744</v>
      </c>
      <c r="B5315" s="1192" t="s">
        <v>3955</v>
      </c>
      <c r="E5315" s="2084" t="s">
        <v>2597</v>
      </c>
      <c r="F5315" s="1740"/>
      <c r="G5315" s="360"/>
      <c r="H5315" s="844"/>
      <c r="V5315" s="1192">
        <v>77</v>
      </c>
    </row>
    <row r="5316" spans="1:22" s="1192" customFormat="1" ht="14.4" x14ac:dyDescent="0.3">
      <c r="A5316" s="1192" t="s">
        <v>3744</v>
      </c>
      <c r="B5316" s="1192" t="s">
        <v>3955</v>
      </c>
      <c r="E5316" s="2238" t="s">
        <v>2497</v>
      </c>
      <c r="F5316" s="1742"/>
      <c r="G5316" s="360" t="s">
        <v>19</v>
      </c>
      <c r="H5316" s="837" t="s">
        <v>2498</v>
      </c>
      <c r="V5316" s="1192">
        <v>18</v>
      </c>
    </row>
    <row r="5317" spans="1:22" s="1192" customFormat="1" ht="14.4" x14ac:dyDescent="0.3">
      <c r="A5317" s="1192" t="s">
        <v>3744</v>
      </c>
      <c r="B5317" s="1192" t="s">
        <v>3955</v>
      </c>
      <c r="E5317" s="2238" t="s">
        <v>2499</v>
      </c>
      <c r="F5317" s="1742"/>
      <c r="G5317" s="360" t="s">
        <v>19</v>
      </c>
      <c r="H5317" s="837">
        <v>4.08</v>
      </c>
      <c r="V5317" s="1192">
        <v>69</v>
      </c>
    </row>
    <row r="5318" spans="1:22" s="1192" customFormat="1" ht="14.4" x14ac:dyDescent="0.3">
      <c r="A5318" s="1192" t="s">
        <v>3744</v>
      </c>
      <c r="B5318" s="1192" t="s">
        <v>3955</v>
      </c>
      <c r="E5318" s="2084" t="s">
        <v>4608</v>
      </c>
      <c r="F5318" s="2084"/>
      <c r="G5318" s="360" t="s">
        <v>19</v>
      </c>
      <c r="H5318" s="837">
        <v>2.04</v>
      </c>
      <c r="V5318" s="1192">
        <v>199</v>
      </c>
    </row>
    <row r="5319" spans="1:22" s="1192" customFormat="1" ht="17.399999999999999" x14ac:dyDescent="0.3">
      <c r="A5319" s="1192" t="s">
        <v>3744</v>
      </c>
      <c r="B5319" s="1192" t="s">
        <v>3955</v>
      </c>
      <c r="E5319" s="1323" t="s">
        <v>143</v>
      </c>
      <c r="F5319" s="3"/>
      <c r="G5319" s="360"/>
      <c r="H5319" s="844"/>
      <c r="K5319" s="1192" t="s">
        <v>3998</v>
      </c>
      <c r="V5319" s="1192">
        <v>12</v>
      </c>
    </row>
    <row r="5320" spans="1:22" s="1192" customFormat="1" ht="14.4" x14ac:dyDescent="0.3">
      <c r="A5320" s="1192" t="s">
        <v>3744</v>
      </c>
      <c r="B5320" s="1192" t="s">
        <v>3955</v>
      </c>
      <c r="E5320" s="2059" t="s">
        <v>2501</v>
      </c>
      <c r="F5320" s="1741"/>
      <c r="G5320" s="1741"/>
      <c r="H5320" s="1741"/>
      <c r="V5320" s="1192">
        <v>203</v>
      </c>
    </row>
    <row r="5321" spans="1:22" s="1192" customFormat="1" ht="14.4" x14ac:dyDescent="0.3">
      <c r="A5321" s="1192" t="s">
        <v>3744</v>
      </c>
      <c r="B5321" s="1192" t="s">
        <v>3955</v>
      </c>
      <c r="E5321" s="2007" t="s">
        <v>2599</v>
      </c>
      <c r="F5321" s="1741"/>
      <c r="G5321" s="1277"/>
      <c r="H5321" s="837">
        <v>1.0341</v>
      </c>
      <c r="V5321" s="1192">
        <v>57</v>
      </c>
    </row>
    <row r="5322" spans="1:22" s="1192" customFormat="1" ht="14.4" x14ac:dyDescent="0.3">
      <c r="A5322" s="1192" t="s">
        <v>3744</v>
      </c>
      <c r="B5322" s="1192" t="s">
        <v>3955</v>
      </c>
      <c r="E5322" s="2007" t="s">
        <v>2600</v>
      </c>
      <c r="F5322" s="1741"/>
      <c r="G5322" s="1277"/>
      <c r="H5322" s="837">
        <v>1.0145</v>
      </c>
      <c r="V5322" s="1192">
        <v>57</v>
      </c>
    </row>
    <row r="5323" spans="1:22" s="1192" customFormat="1" ht="14.4" x14ac:dyDescent="0.3">
      <c r="A5323" s="1192" t="s">
        <v>3744</v>
      </c>
      <c r="B5323" s="1192" t="s">
        <v>3955</v>
      </c>
      <c r="E5323" s="2007" t="s">
        <v>2601</v>
      </c>
      <c r="F5323" s="1741"/>
      <c r="G5323" s="1277"/>
      <c r="H5323" s="837">
        <v>1.0239</v>
      </c>
      <c r="V5323" s="1192">
        <v>55</v>
      </c>
    </row>
    <row r="5324" spans="1:22" s="1192" customFormat="1" ht="14.4" x14ac:dyDescent="0.3">
      <c r="A5324" s="1192" t="s">
        <v>3744</v>
      </c>
      <c r="B5324" s="1192" t="s">
        <v>3955</v>
      </c>
      <c r="E5324" s="2007" t="s">
        <v>2602</v>
      </c>
      <c r="F5324" s="1741"/>
      <c r="G5324" s="1277"/>
      <c r="H5324" s="837">
        <v>1.0044999999999999</v>
      </c>
      <c r="J5324" s="1192" t="s">
        <v>3999</v>
      </c>
      <c r="V5324" s="1192">
        <v>55</v>
      </c>
    </row>
    <row r="5325" spans="1:22" s="1192" customFormat="1" ht="22.8" x14ac:dyDescent="0.3">
      <c r="A5325" s="1192" t="s">
        <v>3744</v>
      </c>
      <c r="B5325" s="1192" t="s">
        <v>4013</v>
      </c>
      <c r="C5325" s="1192" t="s">
        <v>2378</v>
      </c>
      <c r="E5325" s="2074" t="s">
        <v>3744</v>
      </c>
      <c r="F5325" s="2074"/>
      <c r="G5325" s="2074"/>
      <c r="H5325" s="2074"/>
      <c r="I5325" s="1192" t="s">
        <v>603</v>
      </c>
      <c r="J5325" s="1192" t="s">
        <v>4014</v>
      </c>
      <c r="K5325" s="1192" t="s">
        <v>3744</v>
      </c>
      <c r="M5325" s="1192">
        <v>9</v>
      </c>
      <c r="V5325" s="1192">
        <v>29</v>
      </c>
    </row>
    <row r="5326" spans="1:22" s="1192" customFormat="1" ht="22.8" x14ac:dyDescent="0.3">
      <c r="A5326" s="1192" t="s">
        <v>3744</v>
      </c>
      <c r="B5326" s="1192" t="s">
        <v>4013</v>
      </c>
      <c r="C5326" s="1192" t="s">
        <v>2380</v>
      </c>
      <c r="E5326" s="2091" t="s">
        <v>3895</v>
      </c>
      <c r="F5326" s="2091"/>
      <c r="G5326" s="2091"/>
      <c r="H5326" s="2091"/>
      <c r="V5326" s="1192">
        <v>20</v>
      </c>
    </row>
    <row r="5327" spans="1:22" s="1192" customFormat="1" ht="17.399999999999999" x14ac:dyDescent="0.3">
      <c r="A5327" s="1192" t="s">
        <v>3744</v>
      </c>
      <c r="B5327" s="1192" t="s">
        <v>4013</v>
      </c>
      <c r="C5327" s="1192" t="s">
        <v>2382</v>
      </c>
      <c r="E5327" s="2076" t="s">
        <v>2381</v>
      </c>
      <c r="F5327" s="2076"/>
      <c r="G5327" s="2076"/>
      <c r="H5327" s="2076"/>
      <c r="V5327" s="1192">
        <v>27</v>
      </c>
    </row>
    <row r="5328" spans="1:22" s="1192" customFormat="1" ht="15.6" x14ac:dyDescent="0.3">
      <c r="A5328" s="1192" t="s">
        <v>3744</v>
      </c>
      <c r="B5328" s="1192" t="s">
        <v>4013</v>
      </c>
      <c r="C5328" s="1192" t="s">
        <v>2383</v>
      </c>
      <c r="E5328" s="2077" t="s">
        <v>5937</v>
      </c>
      <c r="F5328" s="2077"/>
      <c r="G5328" s="2077"/>
      <c r="H5328" s="2077"/>
      <c r="S5328" s="1192">
        <v>43831</v>
      </c>
      <c r="V5328" s="1192">
        <v>49</v>
      </c>
    </row>
    <row r="5329" spans="1:22" s="1192" customFormat="1" ht="14.4" x14ac:dyDescent="0.3">
      <c r="A5329" s="1192" t="s">
        <v>3744</v>
      </c>
      <c r="B5329" s="1192" t="s">
        <v>4013</v>
      </c>
      <c r="E5329" s="2078" t="s">
        <v>2842</v>
      </c>
      <c r="F5329" s="2078"/>
      <c r="G5329" s="2078"/>
      <c r="H5329" s="2078"/>
      <c r="V5329" s="1192">
        <v>53</v>
      </c>
    </row>
    <row r="5330" spans="1:22" s="1192" customFormat="1" ht="14.4" x14ac:dyDescent="0.3">
      <c r="A5330" s="1192" t="s">
        <v>3744</v>
      </c>
      <c r="B5330" s="1192" t="s">
        <v>4013</v>
      </c>
      <c r="E5330" s="2078" t="s">
        <v>2385</v>
      </c>
      <c r="F5330" s="2078"/>
      <c r="G5330" s="2078"/>
      <c r="H5330" s="2078"/>
      <c r="V5330" s="1192">
        <v>53</v>
      </c>
    </row>
    <row r="5331" spans="1:22" s="1192" customFormat="1" ht="14.4" x14ac:dyDescent="0.3">
      <c r="A5331" s="1192" t="s">
        <v>3744</v>
      </c>
      <c r="B5331" s="1192" t="s">
        <v>4013</v>
      </c>
      <c r="E5331" s="2073" t="s">
        <v>6296</v>
      </c>
      <c r="F5331" s="2073"/>
      <c r="G5331" s="2073"/>
      <c r="H5331" s="2073"/>
      <c r="K5331" s="1192" t="s">
        <v>6296</v>
      </c>
      <c r="V5331" s="1192">
        <v>12</v>
      </c>
    </row>
    <row r="5332" spans="1:22" s="1192" customFormat="1" ht="17.399999999999999" x14ac:dyDescent="0.3">
      <c r="A5332" s="1192" t="s">
        <v>3744</v>
      </c>
      <c r="B5332" s="1192" t="s">
        <v>4013</v>
      </c>
      <c r="E5332" s="2082" t="s">
        <v>427</v>
      </c>
      <c r="F5332" s="2082"/>
      <c r="G5332" s="2083"/>
      <c r="H5332" s="2083"/>
      <c r="K5332" s="1192" t="s">
        <v>2506</v>
      </c>
      <c r="V5332" s="1192">
        <v>34</v>
      </c>
    </row>
    <row r="5333" spans="1:22" s="1192" customFormat="1" ht="14.4" x14ac:dyDescent="0.3">
      <c r="A5333" s="1192" t="s">
        <v>3744</v>
      </c>
      <c r="B5333" s="1192" t="s">
        <v>4013</v>
      </c>
      <c r="E5333" s="2067" t="s">
        <v>4015</v>
      </c>
      <c r="F5333" s="2067"/>
      <c r="G5333" s="2067"/>
      <c r="H5333" s="2067"/>
      <c r="K5333" s="1192" t="s">
        <v>2506</v>
      </c>
      <c r="V5333" s="1192">
        <v>515</v>
      </c>
    </row>
    <row r="5334" spans="1:22" s="1192" customFormat="1" ht="14.4" x14ac:dyDescent="0.3">
      <c r="A5334" s="1192" t="s">
        <v>3744</v>
      </c>
      <c r="B5334" s="1192" t="s">
        <v>4013</v>
      </c>
      <c r="E5334" s="2060" t="s">
        <v>2389</v>
      </c>
      <c r="F5334" s="2068"/>
      <c r="G5334" s="2067"/>
      <c r="H5334" s="2067"/>
      <c r="K5334" s="1192" t="s">
        <v>2390</v>
      </c>
      <c r="V5334" s="1192">
        <v>11</v>
      </c>
    </row>
    <row r="5335" spans="1:22" s="1192" customFormat="1" ht="14.4" x14ac:dyDescent="0.3">
      <c r="A5335" s="1192" t="s">
        <v>3744</v>
      </c>
      <c r="B5335" s="1192" t="s">
        <v>4013</v>
      </c>
      <c r="E5335" s="2067" t="s">
        <v>2391</v>
      </c>
      <c r="F5335" s="2067"/>
      <c r="G5335" s="2067"/>
      <c r="H5335" s="2067"/>
      <c r="K5335" s="1192" t="s">
        <v>2506</v>
      </c>
      <c r="V5335" s="1192">
        <v>280</v>
      </c>
    </row>
    <row r="5336" spans="1:22" s="1192" customFormat="1" ht="14.4" x14ac:dyDescent="0.3">
      <c r="A5336" s="1192" t="s">
        <v>3744</v>
      </c>
      <c r="B5336" s="1192" t="s">
        <v>4013</v>
      </c>
      <c r="E5336" s="2067" t="s">
        <v>2605</v>
      </c>
      <c r="F5336" s="2067"/>
      <c r="G5336" s="2067"/>
      <c r="H5336" s="2067"/>
      <c r="K5336" s="1192" t="s">
        <v>2506</v>
      </c>
      <c r="V5336" s="1192">
        <v>426</v>
      </c>
    </row>
    <row r="5337" spans="1:22" s="1192" customFormat="1" ht="14.4" x14ac:dyDescent="0.3">
      <c r="A5337" s="1192" t="s">
        <v>3744</v>
      </c>
      <c r="B5337" s="1192" t="s">
        <v>4013</v>
      </c>
      <c r="E5337" s="2067" t="s">
        <v>2508</v>
      </c>
      <c r="F5337" s="2067"/>
      <c r="G5337" s="2067"/>
      <c r="H5337" s="2067"/>
      <c r="K5337" s="1192" t="s">
        <v>2506</v>
      </c>
      <c r="V5337" s="1192">
        <v>386</v>
      </c>
    </row>
    <row r="5338" spans="1:22" s="1192" customFormat="1" ht="14.4" x14ac:dyDescent="0.3">
      <c r="A5338" s="1192" t="s">
        <v>3744</v>
      </c>
      <c r="B5338" s="1192" t="s">
        <v>4013</v>
      </c>
      <c r="E5338" s="2067" t="s">
        <v>4500</v>
      </c>
      <c r="F5338" s="2067"/>
      <c r="G5338" s="2067"/>
      <c r="H5338" s="2067"/>
      <c r="K5338" s="1192" t="s">
        <v>2506</v>
      </c>
      <c r="V5338" s="1192">
        <v>247</v>
      </c>
    </row>
    <row r="5339" spans="1:22" s="1192" customFormat="1" ht="14.4" x14ac:dyDescent="0.3">
      <c r="A5339" s="1192" t="s">
        <v>3744</v>
      </c>
      <c r="B5339" s="1192" t="s">
        <v>4013</v>
      </c>
      <c r="E5339" s="2060" t="s">
        <v>2394</v>
      </c>
      <c r="F5339" s="2068"/>
      <c r="G5339" s="2067"/>
      <c r="H5339" s="2067"/>
      <c r="K5339" s="1192" t="s">
        <v>2395</v>
      </c>
      <c r="V5339" s="1192">
        <v>46</v>
      </c>
    </row>
    <row r="5340" spans="1:22" s="1192" customFormat="1" ht="14.4" x14ac:dyDescent="0.3">
      <c r="A5340" s="1192" t="s">
        <v>3744</v>
      </c>
      <c r="B5340" s="1192" t="s">
        <v>4013</v>
      </c>
      <c r="E5340" s="2081" t="s">
        <v>7</v>
      </c>
      <c r="F5340" s="1740"/>
      <c r="G5340" s="799" t="s">
        <v>19</v>
      </c>
      <c r="H5340" s="837">
        <v>24.66</v>
      </c>
      <c r="K5340" s="1192" t="s">
        <v>2506</v>
      </c>
      <c r="L5340" s="1192" t="s">
        <v>430</v>
      </c>
      <c r="P5340" s="1192" t="s">
        <v>2510</v>
      </c>
      <c r="V5340" s="1192">
        <v>14</v>
      </c>
    </row>
    <row r="5341" spans="1:22" s="1192" customFormat="1" ht="14.4" x14ac:dyDescent="0.3">
      <c r="A5341" s="1192" t="s">
        <v>3744</v>
      </c>
      <c r="B5341" s="1192" t="s">
        <v>4013</v>
      </c>
      <c r="E5341" s="2062" t="s">
        <v>4508</v>
      </c>
      <c r="F5341" s="1740"/>
      <c r="G5341" s="799" t="s">
        <v>19</v>
      </c>
      <c r="H5341" s="837">
        <v>0.12</v>
      </c>
      <c r="K5341" s="1192" t="s">
        <v>2506</v>
      </c>
      <c r="L5341" s="1192" t="s">
        <v>430</v>
      </c>
      <c r="P5341" s="1192" t="s">
        <v>4727</v>
      </c>
      <c r="V5341" s="1192">
        <v>154</v>
      </c>
    </row>
    <row r="5342" spans="1:22" s="1192" customFormat="1" ht="14.4" x14ac:dyDescent="0.3">
      <c r="A5342" s="1192" t="s">
        <v>3744</v>
      </c>
      <c r="B5342" s="1192" t="s">
        <v>4013</v>
      </c>
      <c r="E5342" s="2062" t="s">
        <v>4501</v>
      </c>
      <c r="F5342" s="1740"/>
      <c r="G5342" s="799" t="s">
        <v>19</v>
      </c>
      <c r="H5342" s="837">
        <v>0.16</v>
      </c>
      <c r="K5342" s="1192" t="s">
        <v>2506</v>
      </c>
      <c r="L5342" s="1192" t="s">
        <v>430</v>
      </c>
      <c r="P5342" s="1192" t="s">
        <v>6314</v>
      </c>
      <c r="V5342" s="1192">
        <v>135</v>
      </c>
    </row>
    <row r="5343" spans="1:22" s="1192" customFormat="1" ht="14.4" x14ac:dyDescent="0.3">
      <c r="A5343" s="1192" t="s">
        <v>3744</v>
      </c>
      <c r="B5343" s="1192" t="s">
        <v>4013</v>
      </c>
      <c r="E5343" s="2081" t="s">
        <v>4016</v>
      </c>
      <c r="F5343" s="1740"/>
      <c r="G5343" s="799" t="s">
        <v>19</v>
      </c>
      <c r="H5343" s="509">
        <v>0.6</v>
      </c>
      <c r="K5343" s="1192" t="s">
        <v>2506</v>
      </c>
      <c r="L5343" s="1192" t="s">
        <v>430</v>
      </c>
      <c r="P5343" s="1192" t="s">
        <v>6315</v>
      </c>
      <c r="V5343" s="1192">
        <v>135</v>
      </c>
    </row>
    <row r="5344" spans="1:22" s="1192" customFormat="1" ht="14.4" x14ac:dyDescent="0.3">
      <c r="A5344" s="1192" t="s">
        <v>3744</v>
      </c>
      <c r="B5344" s="1192" t="s">
        <v>4013</v>
      </c>
      <c r="E5344" s="2081" t="s">
        <v>3900</v>
      </c>
      <c r="F5344" s="1740"/>
      <c r="G5344" s="799" t="s">
        <v>19</v>
      </c>
      <c r="H5344" s="837">
        <v>0.56999999999999995</v>
      </c>
      <c r="K5344" s="1192" t="s">
        <v>2506</v>
      </c>
      <c r="L5344" s="1192" t="s">
        <v>431</v>
      </c>
      <c r="P5344" s="1192" t="s">
        <v>2511</v>
      </c>
      <c r="T5344" s="1192">
        <v>44926</v>
      </c>
      <c r="V5344" s="1192">
        <v>64</v>
      </c>
    </row>
    <row r="5345" spans="1:22" s="1192" customFormat="1" ht="14.4" x14ac:dyDescent="0.3">
      <c r="A5345" s="1192" t="s">
        <v>3744</v>
      </c>
      <c r="B5345" s="1192" t="s">
        <v>4013</v>
      </c>
      <c r="E5345" s="2081" t="s">
        <v>3698</v>
      </c>
      <c r="F5345" s="1740"/>
      <c r="G5345" s="799" t="s">
        <v>20</v>
      </c>
      <c r="H5345" s="836">
        <v>2.0000000000000001E-4</v>
      </c>
      <c r="K5345" s="1192" t="s">
        <v>2506</v>
      </c>
      <c r="L5345" s="1192" t="s">
        <v>431</v>
      </c>
      <c r="P5345" s="1192" t="s">
        <v>2513</v>
      </c>
      <c r="V5345" s="1192">
        <v>25</v>
      </c>
    </row>
    <row r="5346" spans="1:22" s="1192" customFormat="1" ht="14.4" x14ac:dyDescent="0.3">
      <c r="A5346" s="1192" t="s">
        <v>3744</v>
      </c>
      <c r="B5346" s="1192" t="s">
        <v>4013</v>
      </c>
      <c r="E5346" s="2081" t="s">
        <v>6090</v>
      </c>
      <c r="F5346" s="1989"/>
      <c r="G5346" s="799" t="s">
        <v>20</v>
      </c>
      <c r="H5346" s="1219">
        <v>-3.3E-3</v>
      </c>
      <c r="K5346" s="1192" t="s">
        <v>2506</v>
      </c>
      <c r="L5346" s="1192" t="s">
        <v>431</v>
      </c>
      <c r="P5346" s="1192" t="s">
        <v>2514</v>
      </c>
      <c r="T5346" s="1192">
        <v>44196</v>
      </c>
      <c r="V5346" s="1192">
        <v>142</v>
      </c>
    </row>
    <row r="5347" spans="1:22" s="1192" customFormat="1" ht="14.4" x14ac:dyDescent="0.3">
      <c r="A5347" s="1192" t="s">
        <v>3744</v>
      </c>
      <c r="B5347" s="1192" t="s">
        <v>4013</v>
      </c>
      <c r="E5347" s="2081" t="s">
        <v>6123</v>
      </c>
      <c r="F5347" s="1989"/>
      <c r="G5347" s="799" t="s">
        <v>20</v>
      </c>
      <c r="H5347" s="836">
        <v>2.9999999999999997E-4</v>
      </c>
      <c r="K5347" s="1192" t="s">
        <v>2506</v>
      </c>
      <c r="L5347" s="1192" t="s">
        <v>430</v>
      </c>
      <c r="P5347" s="1192" t="s">
        <v>2515</v>
      </c>
      <c r="T5347" s="1192">
        <v>44196</v>
      </c>
      <c r="V5347" s="1192">
        <v>132</v>
      </c>
    </row>
    <row r="5348" spans="1:22" s="1192" customFormat="1" ht="14.4" x14ac:dyDescent="0.3">
      <c r="A5348" s="1192" t="s">
        <v>3744</v>
      </c>
      <c r="B5348" s="1192" t="s">
        <v>4013</v>
      </c>
      <c r="E5348" s="2081" t="s">
        <v>6087</v>
      </c>
      <c r="F5348" s="1989"/>
      <c r="G5348" s="799" t="s">
        <v>20</v>
      </c>
      <c r="H5348" s="836">
        <v>2.0000000000000001E-4</v>
      </c>
      <c r="K5348" s="1192" t="s">
        <v>2506</v>
      </c>
      <c r="L5348" s="1192" t="s">
        <v>431</v>
      </c>
      <c r="P5348" s="1192" t="s">
        <v>2516</v>
      </c>
      <c r="T5348" s="1192">
        <v>44196</v>
      </c>
      <c r="V5348" s="1192">
        <v>99</v>
      </c>
    </row>
    <row r="5349" spans="1:22" s="1192" customFormat="1" ht="14.4" x14ac:dyDescent="0.3">
      <c r="A5349" s="1192" t="s">
        <v>3744</v>
      </c>
      <c r="B5349" s="1192" t="s">
        <v>4013</v>
      </c>
      <c r="E5349" s="2081" t="s">
        <v>6316</v>
      </c>
      <c r="F5349" s="1989"/>
      <c r="G5349" s="799" t="s">
        <v>20</v>
      </c>
      <c r="H5349" s="1219">
        <v>-1E-4</v>
      </c>
      <c r="K5349" s="1192" t="s">
        <v>2506</v>
      </c>
      <c r="L5349" s="1192" t="s">
        <v>431</v>
      </c>
      <c r="P5349" s="1192" t="s">
        <v>3897</v>
      </c>
      <c r="T5349" s="1192">
        <v>44196</v>
      </c>
      <c r="V5349" s="1192">
        <v>142</v>
      </c>
    </row>
    <row r="5350" spans="1:22" s="1192" customFormat="1" ht="14.4" x14ac:dyDescent="0.3">
      <c r="A5350" s="1192" t="s">
        <v>3744</v>
      </c>
      <c r="B5350" s="1192" t="s">
        <v>4013</v>
      </c>
      <c r="E5350" s="2081" t="s">
        <v>213</v>
      </c>
      <c r="F5350" s="1740"/>
      <c r="G5350" s="799" t="s">
        <v>20</v>
      </c>
      <c r="H5350" s="837">
        <v>8.2000000000000007E-3</v>
      </c>
      <c r="K5350" s="1192" t="s">
        <v>2506</v>
      </c>
      <c r="L5350" s="1192" t="s">
        <v>432</v>
      </c>
      <c r="P5350" s="1192" t="s">
        <v>2517</v>
      </c>
      <c r="V5350" s="1192">
        <v>47</v>
      </c>
    </row>
    <row r="5351" spans="1:22" s="1192" customFormat="1" ht="14.4" x14ac:dyDescent="0.3">
      <c r="A5351" s="1192" t="s">
        <v>3744</v>
      </c>
      <c r="B5351" s="1192" t="s">
        <v>4013</v>
      </c>
      <c r="E5351" s="2081" t="s">
        <v>209</v>
      </c>
      <c r="F5351" s="1740"/>
      <c r="G5351" s="799" t="s">
        <v>20</v>
      </c>
      <c r="H5351" s="837">
        <v>7.4000000000000003E-3</v>
      </c>
      <c r="K5351" s="1192" t="s">
        <v>2506</v>
      </c>
      <c r="L5351" s="1192" t="s">
        <v>432</v>
      </c>
      <c r="P5351" s="1192" t="s">
        <v>2518</v>
      </c>
      <c r="V5351" s="1192">
        <v>74</v>
      </c>
    </row>
    <row r="5352" spans="1:22" s="1192" customFormat="1" ht="14.4" x14ac:dyDescent="0.3">
      <c r="A5352" s="1192" t="s">
        <v>3744</v>
      </c>
      <c r="B5352" s="1192" t="s">
        <v>4013</v>
      </c>
      <c r="E5352" s="2060" t="s">
        <v>2405</v>
      </c>
      <c r="F5352" s="1741"/>
      <c r="G5352" s="1282"/>
      <c r="H5352" s="1325"/>
      <c r="K5352" s="1192" t="s">
        <v>2406</v>
      </c>
      <c r="V5352" s="1192">
        <v>48</v>
      </c>
    </row>
    <row r="5353" spans="1:22" s="1192" customFormat="1" ht="14.4" x14ac:dyDescent="0.3">
      <c r="A5353" s="1192" t="s">
        <v>3744</v>
      </c>
      <c r="B5353" s="1192" t="s">
        <v>4013</v>
      </c>
      <c r="E5353" s="1740" t="s">
        <v>2033</v>
      </c>
      <c r="F5353" s="1740"/>
      <c r="G5353" s="1282" t="s">
        <v>20</v>
      </c>
      <c r="H5353" s="1219">
        <v>3.0000000000000001E-3</v>
      </c>
      <c r="K5353" s="1192" t="s">
        <v>2506</v>
      </c>
      <c r="L5353" s="1192" t="s">
        <v>2374</v>
      </c>
      <c r="P5353" s="1192" t="s">
        <v>2519</v>
      </c>
      <c r="V5353" s="1192">
        <v>55</v>
      </c>
    </row>
    <row r="5354" spans="1:22" s="1192" customFormat="1" ht="14.4" x14ac:dyDescent="0.3">
      <c r="A5354" s="1192" t="s">
        <v>3744</v>
      </c>
      <c r="B5354" s="1192" t="s">
        <v>4013</v>
      </c>
      <c r="E5354" s="2081" t="s">
        <v>2034</v>
      </c>
      <c r="F5354" s="1740"/>
      <c r="G5354" s="1282" t="s">
        <v>20</v>
      </c>
      <c r="H5354" s="836">
        <v>4.0000000000000002E-4</v>
      </c>
      <c r="K5354" s="1192" t="s">
        <v>2506</v>
      </c>
      <c r="L5354" s="1192" t="s">
        <v>2374</v>
      </c>
      <c r="P5354" s="1192" t="s">
        <v>2519</v>
      </c>
      <c r="V5354" s="1192">
        <v>65</v>
      </c>
    </row>
    <row r="5355" spans="1:22" s="1192" customFormat="1" ht="14.4" x14ac:dyDescent="0.3">
      <c r="A5355" s="1192" t="s">
        <v>3744</v>
      </c>
      <c r="B5355" s="1192" t="s">
        <v>4013</v>
      </c>
      <c r="E5355" s="2062" t="s">
        <v>428</v>
      </c>
      <c r="F5355" s="1740"/>
      <c r="G5355" s="1282" t="s">
        <v>20</v>
      </c>
      <c r="H5355" s="836">
        <v>5.0000000000000001E-4</v>
      </c>
      <c r="K5355" s="1192" t="s">
        <v>2506</v>
      </c>
      <c r="L5355" s="1192" t="s">
        <v>2374</v>
      </c>
      <c r="P5355" s="1192" t="s">
        <v>2520</v>
      </c>
      <c r="V5355" s="1192">
        <v>57</v>
      </c>
    </row>
    <row r="5356" spans="1:22" s="1192" customFormat="1" ht="14.4" x14ac:dyDescent="0.3">
      <c r="A5356" s="1192" t="s">
        <v>3744</v>
      </c>
      <c r="B5356" s="1192" t="s">
        <v>4013</v>
      </c>
      <c r="E5356" s="2062" t="s">
        <v>28</v>
      </c>
      <c r="F5356" s="1740"/>
      <c r="G5356" s="1282" t="s">
        <v>19</v>
      </c>
      <c r="H5356" s="836">
        <v>0.25</v>
      </c>
      <c r="K5356" s="1192" t="s">
        <v>2506</v>
      </c>
      <c r="L5356" s="1192" t="s">
        <v>2374</v>
      </c>
      <c r="P5356" s="1192" t="s">
        <v>2521</v>
      </c>
      <c r="V5356" s="1192">
        <v>63</v>
      </c>
    </row>
    <row r="5357" spans="1:22" s="1192" customFormat="1" ht="17.399999999999999" x14ac:dyDescent="0.3">
      <c r="A5357" s="1192" t="s">
        <v>3744</v>
      </c>
      <c r="B5357" s="1192" t="s">
        <v>4013</v>
      </c>
      <c r="E5357" s="2082" t="s">
        <v>2522</v>
      </c>
      <c r="F5357" s="2082"/>
      <c r="G5357" s="2083"/>
      <c r="H5357" s="2083"/>
      <c r="K5357" s="1192" t="s">
        <v>3901</v>
      </c>
      <c r="V5357" s="1192">
        <v>54</v>
      </c>
    </row>
    <row r="5358" spans="1:22" s="1192" customFormat="1" ht="14.4" x14ac:dyDescent="0.3">
      <c r="A5358" s="1192" t="s">
        <v>3744</v>
      </c>
      <c r="B5358" s="1192" t="s">
        <v>4013</v>
      </c>
      <c r="E5358" s="2067" t="s">
        <v>4017</v>
      </c>
      <c r="F5358" s="2067"/>
      <c r="G5358" s="2067"/>
      <c r="H5358" s="2067"/>
      <c r="K5358" s="1192" t="s">
        <v>3901</v>
      </c>
      <c r="V5358" s="1192">
        <v>293</v>
      </c>
    </row>
    <row r="5359" spans="1:22" s="1192" customFormat="1" ht="14.4" x14ac:dyDescent="0.3">
      <c r="A5359" s="1192" t="s">
        <v>3744</v>
      </c>
      <c r="B5359" s="1192" t="s">
        <v>4013</v>
      </c>
      <c r="E5359" s="2060" t="s">
        <v>2389</v>
      </c>
      <c r="F5359" s="2068"/>
      <c r="G5359" s="2067"/>
      <c r="H5359" s="2067"/>
      <c r="K5359" s="1192" t="s">
        <v>2412</v>
      </c>
      <c r="V5359" s="1192">
        <v>11</v>
      </c>
    </row>
    <row r="5360" spans="1:22" s="1192" customFormat="1" ht="14.4" x14ac:dyDescent="0.3">
      <c r="A5360" s="1192" t="s">
        <v>3744</v>
      </c>
      <c r="B5360" s="1192" t="s">
        <v>4013</v>
      </c>
      <c r="E5360" s="2067" t="s">
        <v>2391</v>
      </c>
      <c r="F5360" s="2067"/>
      <c r="G5360" s="2067"/>
      <c r="H5360" s="2067"/>
      <c r="K5360" s="1192" t="s">
        <v>3901</v>
      </c>
      <c r="V5360" s="1192">
        <v>280</v>
      </c>
    </row>
    <row r="5361" spans="1:22" s="1192" customFormat="1" ht="14.4" x14ac:dyDescent="0.3">
      <c r="A5361" s="1192" t="s">
        <v>3744</v>
      </c>
      <c r="B5361" s="1192" t="s">
        <v>4013</v>
      </c>
      <c r="E5361" s="2067" t="s">
        <v>2392</v>
      </c>
      <c r="F5361" s="2067"/>
      <c r="G5361" s="2067"/>
      <c r="H5361" s="2067"/>
      <c r="K5361" s="1192" t="s">
        <v>3901</v>
      </c>
      <c r="V5361" s="1192">
        <v>411</v>
      </c>
    </row>
    <row r="5362" spans="1:22" s="1192" customFormat="1" ht="14.4" x14ac:dyDescent="0.3">
      <c r="A5362" s="1192" t="s">
        <v>3744</v>
      </c>
      <c r="B5362" s="1192" t="s">
        <v>4013</v>
      </c>
      <c r="E5362" s="2067" t="s">
        <v>2508</v>
      </c>
      <c r="F5362" s="2067"/>
      <c r="G5362" s="2067"/>
      <c r="H5362" s="2067"/>
      <c r="K5362" s="1192" t="s">
        <v>3901</v>
      </c>
      <c r="V5362" s="1192">
        <v>386</v>
      </c>
    </row>
    <row r="5363" spans="1:22" s="1192" customFormat="1" ht="14.4" x14ac:dyDescent="0.3">
      <c r="A5363" s="1192" t="s">
        <v>3744</v>
      </c>
      <c r="B5363" s="1192" t="s">
        <v>4013</v>
      </c>
      <c r="E5363" s="2067" t="s">
        <v>4500</v>
      </c>
      <c r="F5363" s="2067"/>
      <c r="G5363" s="2067"/>
      <c r="H5363" s="2067"/>
      <c r="K5363" s="1192" t="s">
        <v>3901</v>
      </c>
      <c r="V5363" s="1192">
        <v>247</v>
      </c>
    </row>
    <row r="5364" spans="1:22" s="1192" customFormat="1" ht="14.4" x14ac:dyDescent="0.3">
      <c r="A5364" s="1192" t="s">
        <v>3744</v>
      </c>
      <c r="B5364" s="1192" t="s">
        <v>4013</v>
      </c>
      <c r="E5364" s="2060" t="s">
        <v>2394</v>
      </c>
      <c r="F5364" s="2068"/>
      <c r="G5364" s="2067"/>
      <c r="H5364" s="2067"/>
      <c r="K5364" s="1192" t="s">
        <v>2413</v>
      </c>
      <c r="V5364" s="1192">
        <v>46</v>
      </c>
    </row>
    <row r="5365" spans="1:22" s="1192" customFormat="1" ht="14.4" x14ac:dyDescent="0.3">
      <c r="A5365" s="1192" t="s">
        <v>3744</v>
      </c>
      <c r="B5365" s="1192" t="s">
        <v>4013</v>
      </c>
      <c r="E5365" s="2081" t="s">
        <v>7</v>
      </c>
      <c r="F5365" s="1740"/>
      <c r="G5365" s="799" t="s">
        <v>19</v>
      </c>
      <c r="H5365" s="837">
        <v>45.28</v>
      </c>
      <c r="K5365" s="1192" t="s">
        <v>3901</v>
      </c>
      <c r="L5365" s="1192" t="s">
        <v>430</v>
      </c>
      <c r="P5365" s="1192" t="s">
        <v>3902</v>
      </c>
      <c r="V5365" s="1192">
        <v>14</v>
      </c>
    </row>
    <row r="5366" spans="1:22" s="1192" customFormat="1" ht="14.4" x14ac:dyDescent="0.3">
      <c r="A5366" s="1192" t="s">
        <v>3744</v>
      </c>
      <c r="B5366" s="1192" t="s">
        <v>4013</v>
      </c>
      <c r="E5366" s="2062" t="s">
        <v>4508</v>
      </c>
      <c r="F5366" s="1740"/>
      <c r="G5366" s="799" t="s">
        <v>19</v>
      </c>
      <c r="H5366" s="837">
        <v>0.21</v>
      </c>
      <c r="K5366" s="1192" t="s">
        <v>3901</v>
      </c>
      <c r="L5366" s="1192" t="s">
        <v>430</v>
      </c>
      <c r="P5366" s="1192" t="s">
        <v>6317</v>
      </c>
      <c r="V5366" s="1192">
        <v>154</v>
      </c>
    </row>
    <row r="5367" spans="1:22" s="1192" customFormat="1" ht="14.4" x14ac:dyDescent="0.3">
      <c r="A5367" s="1192" t="s">
        <v>3744</v>
      </c>
      <c r="B5367" s="1192" t="s">
        <v>4013</v>
      </c>
      <c r="E5367" s="2062" t="s">
        <v>4501</v>
      </c>
      <c r="F5367" s="1740"/>
      <c r="G5367" s="799" t="s">
        <v>19</v>
      </c>
      <c r="H5367" s="837">
        <v>0.28999999999999998</v>
      </c>
      <c r="K5367" s="1192" t="s">
        <v>3901</v>
      </c>
      <c r="L5367" s="1192" t="s">
        <v>430</v>
      </c>
      <c r="P5367" s="1192" t="s">
        <v>6318</v>
      </c>
      <c r="V5367" s="1192">
        <v>135</v>
      </c>
    </row>
    <row r="5368" spans="1:22" s="1192" customFormat="1" ht="14.4" x14ac:dyDescent="0.3">
      <c r="A5368" s="1192" t="s">
        <v>3744</v>
      </c>
      <c r="B5368" s="1192" t="s">
        <v>4013</v>
      </c>
      <c r="E5368" s="2081" t="s">
        <v>4016</v>
      </c>
      <c r="F5368" s="1740"/>
      <c r="G5368" s="799" t="s">
        <v>19</v>
      </c>
      <c r="H5368" s="509">
        <v>1.1000000000000001</v>
      </c>
      <c r="K5368" s="1192" t="s">
        <v>3901</v>
      </c>
      <c r="L5368" s="1192" t="s">
        <v>430</v>
      </c>
      <c r="P5368" s="1192" t="s">
        <v>6319</v>
      </c>
      <c r="V5368" s="1192">
        <v>135</v>
      </c>
    </row>
    <row r="5369" spans="1:22" s="1192" customFormat="1" ht="14.4" x14ac:dyDescent="0.3">
      <c r="A5369" s="1192" t="s">
        <v>3744</v>
      </c>
      <c r="B5369" s="1192" t="s">
        <v>4013</v>
      </c>
      <c r="E5369" s="2081" t="s">
        <v>3900</v>
      </c>
      <c r="F5369" s="1740"/>
      <c r="G5369" s="799" t="s">
        <v>19</v>
      </c>
      <c r="H5369" s="837">
        <v>0.56999999999999995</v>
      </c>
      <c r="K5369" s="1192" t="s">
        <v>3901</v>
      </c>
      <c r="L5369" s="1192" t="s">
        <v>431</v>
      </c>
      <c r="P5369" s="1192" t="s">
        <v>3903</v>
      </c>
      <c r="T5369" s="1192">
        <v>44926</v>
      </c>
      <c r="V5369" s="1192">
        <v>64</v>
      </c>
    </row>
    <row r="5370" spans="1:22" s="1192" customFormat="1" ht="14.4" x14ac:dyDescent="0.3">
      <c r="A5370" s="1192" t="s">
        <v>3744</v>
      </c>
      <c r="B5370" s="1192" t="s">
        <v>4013</v>
      </c>
      <c r="E5370" s="2081" t="s">
        <v>80</v>
      </c>
      <c r="F5370" s="1740"/>
      <c r="G5370" s="799" t="s">
        <v>20</v>
      </c>
      <c r="H5370" s="837">
        <v>1.32E-2</v>
      </c>
      <c r="K5370" s="1192" t="s">
        <v>3901</v>
      </c>
      <c r="L5370" s="1192" t="s">
        <v>430</v>
      </c>
      <c r="P5370" s="1192" t="s">
        <v>3904</v>
      </c>
      <c r="V5370" s="1192">
        <v>28</v>
      </c>
    </row>
    <row r="5371" spans="1:22" s="1192" customFormat="1" ht="14.4" x14ac:dyDescent="0.3">
      <c r="A5371" s="1192" t="s">
        <v>3744</v>
      </c>
      <c r="B5371" s="1192" t="s">
        <v>4013</v>
      </c>
      <c r="E5371" s="2081" t="s">
        <v>3698</v>
      </c>
      <c r="F5371" s="1740"/>
      <c r="G5371" s="799" t="s">
        <v>20</v>
      </c>
      <c r="H5371" s="837">
        <v>2.0000000000000001E-4</v>
      </c>
      <c r="K5371" s="1192" t="s">
        <v>3901</v>
      </c>
      <c r="L5371" s="1192" t="s">
        <v>431</v>
      </c>
      <c r="P5371" s="1192" t="s">
        <v>3905</v>
      </c>
      <c r="V5371" s="1192">
        <v>25</v>
      </c>
    </row>
    <row r="5372" spans="1:22" s="1192" customFormat="1" ht="14.4" x14ac:dyDescent="0.3">
      <c r="A5372" s="1192" t="s">
        <v>3744</v>
      </c>
      <c r="B5372" s="1192" t="s">
        <v>4013</v>
      </c>
      <c r="E5372" s="2081" t="s">
        <v>6090</v>
      </c>
      <c r="F5372" s="1989"/>
      <c r="G5372" s="799" t="s">
        <v>20</v>
      </c>
      <c r="H5372" s="1219">
        <v>-3.3E-3</v>
      </c>
      <c r="K5372" s="1192" t="s">
        <v>3901</v>
      </c>
      <c r="L5372" s="1192" t="s">
        <v>431</v>
      </c>
      <c r="P5372" s="1192" t="s">
        <v>3700</v>
      </c>
      <c r="T5372" s="1192">
        <v>44196</v>
      </c>
      <c r="V5372" s="1192">
        <v>142</v>
      </c>
    </row>
    <row r="5373" spans="1:22" s="1192" customFormat="1" ht="14.4" x14ac:dyDescent="0.3">
      <c r="A5373" s="1192" t="s">
        <v>3744</v>
      </c>
      <c r="B5373" s="1192" t="s">
        <v>4013</v>
      </c>
      <c r="E5373" s="2081" t="s">
        <v>6123</v>
      </c>
      <c r="F5373" s="1989"/>
      <c r="G5373" s="799" t="s">
        <v>20</v>
      </c>
      <c r="H5373" s="836">
        <v>1E-4</v>
      </c>
      <c r="K5373" s="1192" t="s">
        <v>3901</v>
      </c>
      <c r="L5373" s="1192" t="s">
        <v>430</v>
      </c>
      <c r="P5373" s="1192" t="s">
        <v>4000</v>
      </c>
      <c r="T5373" s="1192">
        <v>44196</v>
      </c>
      <c r="V5373" s="1192">
        <v>132</v>
      </c>
    </row>
    <row r="5374" spans="1:22" s="1192" customFormat="1" ht="14.4" x14ac:dyDescent="0.3">
      <c r="A5374" s="1192" t="s">
        <v>3744</v>
      </c>
      <c r="B5374" s="1192" t="s">
        <v>4013</v>
      </c>
      <c r="E5374" s="2081" t="s">
        <v>6087</v>
      </c>
      <c r="F5374" s="1989"/>
      <c r="G5374" s="799" t="s">
        <v>20</v>
      </c>
      <c r="H5374" s="836">
        <v>2.9999999999999997E-4</v>
      </c>
      <c r="K5374" s="1192" t="s">
        <v>3901</v>
      </c>
      <c r="L5374" s="1192" t="s">
        <v>431</v>
      </c>
      <c r="P5374" s="1192" t="s">
        <v>3911</v>
      </c>
      <c r="T5374" s="1192">
        <v>44196</v>
      </c>
      <c r="V5374" s="1192">
        <v>99</v>
      </c>
    </row>
    <row r="5375" spans="1:22" s="1192" customFormat="1" ht="14.4" x14ac:dyDescent="0.3">
      <c r="A5375" s="1192" t="s">
        <v>3744</v>
      </c>
      <c r="B5375" s="1192" t="s">
        <v>4013</v>
      </c>
      <c r="E5375" s="2081" t="s">
        <v>6316</v>
      </c>
      <c r="F5375" s="1989"/>
      <c r="G5375" s="799" t="s">
        <v>20</v>
      </c>
      <c r="H5375" s="1219">
        <v>-1E-4</v>
      </c>
      <c r="K5375" s="1192" t="s">
        <v>3901</v>
      </c>
      <c r="L5375" s="1192" t="s">
        <v>431</v>
      </c>
      <c r="P5375" s="1192" t="s">
        <v>4001</v>
      </c>
      <c r="T5375" s="1192">
        <v>44196</v>
      </c>
      <c r="V5375" s="1192">
        <v>142</v>
      </c>
    </row>
    <row r="5376" spans="1:22" s="1192" customFormat="1" ht="14.4" x14ac:dyDescent="0.3">
      <c r="A5376" s="1192" t="s">
        <v>3744</v>
      </c>
      <c r="B5376" s="1192" t="s">
        <v>4013</v>
      </c>
      <c r="E5376" s="2062" t="s">
        <v>4508</v>
      </c>
      <c r="F5376" s="1740"/>
      <c r="G5376" s="799" t="s">
        <v>20</v>
      </c>
      <c r="H5376" s="837">
        <v>1E-4</v>
      </c>
      <c r="K5376" s="1192" t="s">
        <v>3901</v>
      </c>
      <c r="L5376" s="1192" t="s">
        <v>430</v>
      </c>
      <c r="P5376" s="1192" t="s">
        <v>6320</v>
      </c>
      <c r="V5376" s="1192">
        <v>154</v>
      </c>
    </row>
    <row r="5377" spans="1:22" s="1192" customFormat="1" ht="14.4" x14ac:dyDescent="0.3">
      <c r="A5377" s="1192" t="s">
        <v>3744</v>
      </c>
      <c r="B5377" s="1192" t="s">
        <v>4013</v>
      </c>
      <c r="E5377" s="2062" t="s">
        <v>4501</v>
      </c>
      <c r="F5377" s="1740"/>
      <c r="G5377" s="799" t="s">
        <v>20</v>
      </c>
      <c r="H5377" s="837">
        <v>1E-4</v>
      </c>
      <c r="K5377" s="1192" t="s">
        <v>3901</v>
      </c>
      <c r="L5377" s="1192" t="s">
        <v>430</v>
      </c>
      <c r="P5377" s="1192" t="s">
        <v>6321</v>
      </c>
      <c r="V5377" s="1192">
        <v>135</v>
      </c>
    </row>
    <row r="5378" spans="1:22" s="1192" customFormat="1" ht="14.4" x14ac:dyDescent="0.3">
      <c r="A5378" s="1192" t="s">
        <v>3744</v>
      </c>
      <c r="B5378" s="1192" t="s">
        <v>4013</v>
      </c>
      <c r="E5378" s="2081" t="s">
        <v>4016</v>
      </c>
      <c r="F5378" s="1740"/>
      <c r="G5378" s="799" t="s">
        <v>20</v>
      </c>
      <c r="H5378" s="837">
        <v>2.9999999999999997E-4</v>
      </c>
      <c r="K5378" s="1192" t="s">
        <v>3901</v>
      </c>
      <c r="L5378" s="1192" t="s">
        <v>430</v>
      </c>
      <c r="P5378" s="1192" t="s">
        <v>6322</v>
      </c>
      <c r="V5378" s="1192">
        <v>135</v>
      </c>
    </row>
    <row r="5379" spans="1:22" s="1192" customFormat="1" ht="14.4" x14ac:dyDescent="0.3">
      <c r="A5379" s="1192" t="s">
        <v>3744</v>
      </c>
      <c r="B5379" s="1192" t="s">
        <v>4013</v>
      </c>
      <c r="E5379" s="2081" t="s">
        <v>213</v>
      </c>
      <c r="F5379" s="1740"/>
      <c r="G5379" s="799" t="s">
        <v>20</v>
      </c>
      <c r="H5379" s="837">
        <v>7.7000000000000002E-3</v>
      </c>
      <c r="K5379" s="1192" t="s">
        <v>3901</v>
      </c>
      <c r="L5379" s="1192" t="s">
        <v>432</v>
      </c>
      <c r="P5379" s="1192" t="s">
        <v>3906</v>
      </c>
      <c r="V5379" s="1192">
        <v>47</v>
      </c>
    </row>
    <row r="5380" spans="1:22" s="1192" customFormat="1" ht="14.4" x14ac:dyDescent="0.3">
      <c r="A5380" s="1192" t="s">
        <v>3744</v>
      </c>
      <c r="B5380" s="1192" t="s">
        <v>4013</v>
      </c>
      <c r="E5380" s="2081" t="s">
        <v>209</v>
      </c>
      <c r="F5380" s="1740"/>
      <c r="G5380" s="799" t="s">
        <v>20</v>
      </c>
      <c r="H5380" s="837">
        <v>6.6E-3</v>
      </c>
      <c r="K5380" s="1192" t="s">
        <v>3901</v>
      </c>
      <c r="L5380" s="1192" t="s">
        <v>432</v>
      </c>
      <c r="P5380" s="1192" t="s">
        <v>3907</v>
      </c>
      <c r="V5380" s="1192">
        <v>74</v>
      </c>
    </row>
    <row r="5381" spans="1:22" s="1192" customFormat="1" ht="14.4" x14ac:dyDescent="0.3">
      <c r="A5381" s="1192" t="s">
        <v>3744</v>
      </c>
      <c r="B5381" s="1192" t="s">
        <v>4013</v>
      </c>
      <c r="E5381" s="2060" t="s">
        <v>2405</v>
      </c>
      <c r="F5381" s="1741"/>
      <c r="G5381" s="1282"/>
      <c r="H5381" s="1325"/>
      <c r="K5381" s="1192" t="s">
        <v>2418</v>
      </c>
      <c r="V5381" s="1192">
        <v>48</v>
      </c>
    </row>
    <row r="5382" spans="1:22" s="1192" customFormat="1" ht="14.4" x14ac:dyDescent="0.3">
      <c r="A5382" s="1192" t="s">
        <v>3744</v>
      </c>
      <c r="B5382" s="1192" t="s">
        <v>4013</v>
      </c>
      <c r="E5382" s="1740" t="s">
        <v>2033</v>
      </c>
      <c r="F5382" s="1740"/>
      <c r="G5382" s="1282" t="s">
        <v>20</v>
      </c>
      <c r="H5382" s="836">
        <v>3.0000000000000001E-3</v>
      </c>
      <c r="K5382" s="1192" t="s">
        <v>3901</v>
      </c>
      <c r="L5382" s="1192" t="s">
        <v>2374</v>
      </c>
      <c r="P5382" s="1192" t="s">
        <v>3908</v>
      </c>
      <c r="V5382" s="1192">
        <v>55</v>
      </c>
    </row>
    <row r="5383" spans="1:22" s="1192" customFormat="1" ht="14.4" x14ac:dyDescent="0.3">
      <c r="A5383" s="1192" t="s">
        <v>3744</v>
      </c>
      <c r="B5383" s="1192" t="s">
        <v>4013</v>
      </c>
      <c r="E5383" s="2081" t="s">
        <v>2034</v>
      </c>
      <c r="F5383" s="1740"/>
      <c r="G5383" s="1282" t="s">
        <v>20</v>
      </c>
      <c r="H5383" s="836">
        <v>4.0000000000000002E-4</v>
      </c>
      <c r="K5383" s="1192" t="s">
        <v>3901</v>
      </c>
      <c r="L5383" s="1192" t="s">
        <v>2374</v>
      </c>
      <c r="P5383" s="1192" t="s">
        <v>3908</v>
      </c>
      <c r="V5383" s="1192">
        <v>65</v>
      </c>
    </row>
    <row r="5384" spans="1:22" s="1192" customFormat="1" ht="14.4" x14ac:dyDescent="0.3">
      <c r="A5384" s="1192" t="s">
        <v>3744</v>
      </c>
      <c r="B5384" s="1192" t="s">
        <v>4013</v>
      </c>
      <c r="E5384" s="2062" t="s">
        <v>428</v>
      </c>
      <c r="F5384" s="1740"/>
      <c r="G5384" s="1282" t="s">
        <v>20</v>
      </c>
      <c r="H5384" s="836">
        <v>5.0000000000000001E-4</v>
      </c>
      <c r="K5384" s="1192" t="s">
        <v>3901</v>
      </c>
      <c r="L5384" s="1192" t="s">
        <v>2374</v>
      </c>
      <c r="P5384" s="1192" t="s">
        <v>3909</v>
      </c>
      <c r="V5384" s="1192">
        <v>57</v>
      </c>
    </row>
    <row r="5385" spans="1:22" s="1192" customFormat="1" ht="14.4" x14ac:dyDescent="0.3">
      <c r="A5385" s="1192" t="s">
        <v>3744</v>
      </c>
      <c r="B5385" s="1192" t="s">
        <v>4013</v>
      </c>
      <c r="E5385" s="2062" t="s">
        <v>28</v>
      </c>
      <c r="F5385" s="1740"/>
      <c r="G5385" s="1282" t="s">
        <v>19</v>
      </c>
      <c r="H5385" s="836">
        <v>0.25</v>
      </c>
      <c r="K5385" s="1192" t="s">
        <v>3901</v>
      </c>
      <c r="L5385" s="1192" t="s">
        <v>2374</v>
      </c>
      <c r="P5385" s="1192" t="s">
        <v>3910</v>
      </c>
      <c r="V5385" s="1192">
        <v>63</v>
      </c>
    </row>
    <row r="5386" spans="1:22" s="1192" customFormat="1" ht="17.399999999999999" x14ac:dyDescent="0.3">
      <c r="A5386" s="1192" t="s">
        <v>3744</v>
      </c>
      <c r="B5386" s="1192" t="s">
        <v>4013</v>
      </c>
      <c r="E5386" s="2082" t="s">
        <v>2843</v>
      </c>
      <c r="F5386" s="2082"/>
      <c r="G5386" s="2083"/>
      <c r="H5386" s="2083"/>
      <c r="K5386" s="1192" t="s">
        <v>4018</v>
      </c>
      <c r="V5386" s="1192">
        <v>51</v>
      </c>
    </row>
    <row r="5387" spans="1:22" s="1192" customFormat="1" ht="14.4" x14ac:dyDescent="0.3">
      <c r="A5387" s="1192" t="s">
        <v>3744</v>
      </c>
      <c r="B5387" s="1192" t="s">
        <v>4013</v>
      </c>
      <c r="E5387" s="2067" t="s">
        <v>4019</v>
      </c>
      <c r="F5387" s="2067"/>
      <c r="G5387" s="2067"/>
      <c r="H5387" s="2067"/>
      <c r="K5387" s="1192" t="s">
        <v>4018</v>
      </c>
      <c r="V5387" s="1192">
        <v>344</v>
      </c>
    </row>
    <row r="5388" spans="1:22" s="1192" customFormat="1" ht="14.4" x14ac:dyDescent="0.3">
      <c r="A5388" s="1192" t="s">
        <v>3744</v>
      </c>
      <c r="B5388" s="1192" t="s">
        <v>4013</v>
      </c>
      <c r="E5388" s="2060" t="s">
        <v>2389</v>
      </c>
      <c r="F5388" s="2068"/>
      <c r="G5388" s="2067"/>
      <c r="H5388" s="2067"/>
      <c r="K5388" s="1192" t="s">
        <v>2422</v>
      </c>
      <c r="V5388" s="1192">
        <v>11</v>
      </c>
    </row>
    <row r="5389" spans="1:22" s="1192" customFormat="1" ht="14.4" x14ac:dyDescent="0.3">
      <c r="A5389" s="1192" t="s">
        <v>3744</v>
      </c>
      <c r="B5389" s="1192" t="s">
        <v>4013</v>
      </c>
      <c r="E5389" s="2067" t="s">
        <v>2391</v>
      </c>
      <c r="F5389" s="2067"/>
      <c r="G5389" s="2067"/>
      <c r="H5389" s="2067"/>
      <c r="K5389" s="1192" t="s">
        <v>4018</v>
      </c>
      <c r="V5389" s="1192">
        <v>280</v>
      </c>
    </row>
    <row r="5390" spans="1:22" s="1192" customFormat="1" ht="14.4" x14ac:dyDescent="0.3">
      <c r="A5390" s="1192" t="s">
        <v>3744</v>
      </c>
      <c r="B5390" s="1192" t="s">
        <v>4013</v>
      </c>
      <c r="E5390" s="2067" t="s">
        <v>2392</v>
      </c>
      <c r="F5390" s="2067"/>
      <c r="G5390" s="2067"/>
      <c r="H5390" s="2067"/>
      <c r="K5390" s="1192" t="s">
        <v>4018</v>
      </c>
      <c r="V5390" s="1192">
        <v>411</v>
      </c>
    </row>
    <row r="5391" spans="1:22" s="1192" customFormat="1" ht="14.4" x14ac:dyDescent="0.3">
      <c r="A5391" s="1192" t="s">
        <v>3744</v>
      </c>
      <c r="B5391" s="1192" t="s">
        <v>4013</v>
      </c>
      <c r="E5391" s="2067" t="s">
        <v>2508</v>
      </c>
      <c r="F5391" s="2067"/>
      <c r="G5391" s="2067"/>
      <c r="H5391" s="2067"/>
      <c r="K5391" s="1192" t="s">
        <v>4018</v>
      </c>
      <c r="V5391" s="1192">
        <v>386</v>
      </c>
    </row>
    <row r="5392" spans="1:22" s="1192" customFormat="1" ht="14.4" x14ac:dyDescent="0.3">
      <c r="A5392" s="1192" t="s">
        <v>3744</v>
      </c>
      <c r="B5392" s="1192" t="s">
        <v>4013</v>
      </c>
      <c r="E5392" s="2067" t="s">
        <v>4500</v>
      </c>
      <c r="F5392" s="2067"/>
      <c r="G5392" s="2067"/>
      <c r="H5392" s="2067"/>
      <c r="K5392" s="1192" t="s">
        <v>4018</v>
      </c>
      <c r="V5392" s="1192">
        <v>247</v>
      </c>
    </row>
    <row r="5393" spans="1:22" s="1192" customFormat="1" ht="14.4" x14ac:dyDescent="0.3">
      <c r="A5393" s="1192" t="s">
        <v>3744</v>
      </c>
      <c r="B5393" s="1192" t="s">
        <v>4013</v>
      </c>
      <c r="E5393" s="2067" t="s">
        <v>2844</v>
      </c>
      <c r="F5393" s="1743"/>
      <c r="G5393" s="1743"/>
      <c r="H5393" s="1743"/>
      <c r="K5393" s="1192" t="s">
        <v>4018</v>
      </c>
      <c r="V5393" s="1192">
        <v>92</v>
      </c>
    </row>
    <row r="5394" spans="1:22" s="1192" customFormat="1" ht="14.4" x14ac:dyDescent="0.3">
      <c r="A5394" s="1192" t="s">
        <v>3744</v>
      </c>
      <c r="B5394" s="1192" t="s">
        <v>4013</v>
      </c>
      <c r="E5394" s="2060" t="s">
        <v>2394</v>
      </c>
      <c r="F5394" s="2068"/>
      <c r="G5394" s="2067"/>
      <c r="H5394" s="2067"/>
      <c r="K5394" s="1192" t="s">
        <v>2423</v>
      </c>
      <c r="V5394" s="1192">
        <v>46</v>
      </c>
    </row>
    <row r="5395" spans="1:22" s="1192" customFormat="1" ht="14.4" x14ac:dyDescent="0.3">
      <c r="A5395" s="1192" t="s">
        <v>3744</v>
      </c>
      <c r="B5395" s="1192" t="s">
        <v>4013</v>
      </c>
      <c r="E5395" s="2081" t="s">
        <v>7</v>
      </c>
      <c r="F5395" s="1740"/>
      <c r="G5395" s="799" t="s">
        <v>19</v>
      </c>
      <c r="H5395" s="837">
        <v>79.739999999999995</v>
      </c>
      <c r="K5395" s="1192" t="s">
        <v>4018</v>
      </c>
      <c r="L5395" s="1192" t="s">
        <v>430</v>
      </c>
      <c r="P5395" s="1192" t="s">
        <v>4020</v>
      </c>
      <c r="V5395" s="1192">
        <v>14</v>
      </c>
    </row>
    <row r="5396" spans="1:22" s="1192" customFormat="1" ht="14.4" x14ac:dyDescent="0.3">
      <c r="A5396" s="1192" t="s">
        <v>3744</v>
      </c>
      <c r="B5396" s="1192" t="s">
        <v>4013</v>
      </c>
      <c r="E5396" s="2062" t="s">
        <v>4508</v>
      </c>
      <c r="F5396" s="1740"/>
      <c r="G5396" s="799" t="s">
        <v>19</v>
      </c>
      <c r="H5396" s="836">
        <v>0.38</v>
      </c>
      <c r="K5396" s="1192" t="s">
        <v>4018</v>
      </c>
      <c r="L5396" s="1192" t="s">
        <v>430</v>
      </c>
      <c r="P5396" s="1192" t="s">
        <v>6323</v>
      </c>
      <c r="V5396" s="1192">
        <v>154</v>
      </c>
    </row>
    <row r="5397" spans="1:22" s="1192" customFormat="1" ht="14.4" x14ac:dyDescent="0.3">
      <c r="A5397" s="1192" t="s">
        <v>3744</v>
      </c>
      <c r="B5397" s="1192" t="s">
        <v>4013</v>
      </c>
      <c r="E5397" s="2062" t="s">
        <v>4501</v>
      </c>
      <c r="F5397" s="1740"/>
      <c r="G5397" s="799" t="s">
        <v>19</v>
      </c>
      <c r="H5397" s="836">
        <v>0.51</v>
      </c>
      <c r="K5397" s="1192" t="s">
        <v>4018</v>
      </c>
      <c r="L5397" s="1192" t="s">
        <v>430</v>
      </c>
      <c r="P5397" s="1192" t="s">
        <v>6324</v>
      </c>
      <c r="V5397" s="1192">
        <v>135</v>
      </c>
    </row>
    <row r="5398" spans="1:22" s="1192" customFormat="1" ht="14.4" x14ac:dyDescent="0.3">
      <c r="A5398" s="1192" t="s">
        <v>3744</v>
      </c>
      <c r="B5398" s="1192" t="s">
        <v>4013</v>
      </c>
      <c r="E5398" s="2081" t="s">
        <v>4016</v>
      </c>
      <c r="F5398" s="1740"/>
      <c r="G5398" s="799" t="s">
        <v>19</v>
      </c>
      <c r="H5398" s="836">
        <v>1.93</v>
      </c>
      <c r="K5398" s="1192" t="s">
        <v>4018</v>
      </c>
      <c r="L5398" s="1192" t="s">
        <v>430</v>
      </c>
      <c r="P5398" s="1192" t="s">
        <v>6325</v>
      </c>
      <c r="V5398" s="1192">
        <v>135</v>
      </c>
    </row>
    <row r="5399" spans="1:22" s="1192" customFormat="1" ht="14.4" x14ac:dyDescent="0.3">
      <c r="A5399" s="1192" t="s">
        <v>3744</v>
      </c>
      <c r="B5399" s="1192" t="s">
        <v>4013</v>
      </c>
      <c r="E5399" s="2081" t="s">
        <v>80</v>
      </c>
      <c r="F5399" s="1740"/>
      <c r="G5399" s="799" t="s">
        <v>29</v>
      </c>
      <c r="H5399" s="837">
        <v>4.7991000000000001</v>
      </c>
      <c r="K5399" s="1192" t="s">
        <v>4018</v>
      </c>
      <c r="L5399" s="1192" t="s">
        <v>430</v>
      </c>
      <c r="P5399" s="1192" t="s">
        <v>4021</v>
      </c>
      <c r="V5399" s="1192">
        <v>28</v>
      </c>
    </row>
    <row r="5400" spans="1:22" s="1192" customFormat="1" ht="14.4" x14ac:dyDescent="0.3">
      <c r="A5400" s="1192" t="s">
        <v>3744</v>
      </c>
      <c r="B5400" s="1192" t="s">
        <v>4013</v>
      </c>
      <c r="E5400" s="2081" t="s">
        <v>3698</v>
      </c>
      <c r="F5400" s="1740"/>
      <c r="G5400" s="799" t="s">
        <v>29</v>
      </c>
      <c r="H5400" s="837">
        <v>8.0199999999999994E-2</v>
      </c>
      <c r="K5400" s="1192" t="s">
        <v>4018</v>
      </c>
      <c r="L5400" s="1192" t="s">
        <v>431</v>
      </c>
      <c r="P5400" s="1192" t="s">
        <v>4022</v>
      </c>
      <c r="V5400" s="1192">
        <v>25</v>
      </c>
    </row>
    <row r="5401" spans="1:22" s="1192" customFormat="1" ht="14.4" x14ac:dyDescent="0.3">
      <c r="A5401" s="1192" t="s">
        <v>3744</v>
      </c>
      <c r="B5401" s="1192" t="s">
        <v>4013</v>
      </c>
      <c r="E5401" s="2081" t="s">
        <v>6090</v>
      </c>
      <c r="F5401" s="1989"/>
      <c r="G5401" s="799" t="s">
        <v>20</v>
      </c>
      <c r="H5401" s="1219">
        <v>-3.3E-3</v>
      </c>
      <c r="K5401" s="1192" t="s">
        <v>4018</v>
      </c>
      <c r="L5401" s="1192" t="s">
        <v>431</v>
      </c>
      <c r="P5401" s="1192" t="s">
        <v>4023</v>
      </c>
      <c r="T5401" s="1192">
        <v>44196</v>
      </c>
      <c r="V5401" s="1192">
        <v>142</v>
      </c>
    </row>
    <row r="5402" spans="1:22" s="1192" customFormat="1" ht="14.4" x14ac:dyDescent="0.3">
      <c r="A5402" s="1192" t="s">
        <v>3744</v>
      </c>
      <c r="B5402" s="1192" t="s">
        <v>4013</v>
      </c>
      <c r="E5402" s="2081" t="s">
        <v>6123</v>
      </c>
      <c r="F5402" s="1989"/>
      <c r="G5402" s="799" t="s">
        <v>29</v>
      </c>
      <c r="H5402" s="836">
        <v>0.27710000000000001</v>
      </c>
      <c r="K5402" s="1192" t="s">
        <v>4018</v>
      </c>
      <c r="L5402" s="1192" t="s">
        <v>430</v>
      </c>
      <c r="P5402" s="1192" t="s">
        <v>4026</v>
      </c>
      <c r="T5402" s="1192">
        <v>44196</v>
      </c>
      <c r="V5402" s="1192">
        <v>132</v>
      </c>
    </row>
    <row r="5403" spans="1:22" s="1192" customFormat="1" ht="14.4" x14ac:dyDescent="0.3">
      <c r="A5403" s="1192" t="s">
        <v>3744</v>
      </c>
      <c r="B5403" s="1192" t="s">
        <v>4013</v>
      </c>
      <c r="E5403" s="2081" t="s">
        <v>6146</v>
      </c>
      <c r="F5403" s="1989"/>
      <c r="G5403" s="799" t="s">
        <v>29</v>
      </c>
      <c r="H5403" s="1219">
        <v>-0.2152</v>
      </c>
      <c r="K5403" s="1192" t="s">
        <v>4018</v>
      </c>
      <c r="L5403" s="1192" t="s">
        <v>431</v>
      </c>
      <c r="P5403" s="1192" t="s">
        <v>4024</v>
      </c>
      <c r="T5403" s="1192">
        <v>44196</v>
      </c>
      <c r="V5403" s="1192">
        <v>159</v>
      </c>
    </row>
    <row r="5404" spans="1:22" s="1192" customFormat="1" ht="14.4" x14ac:dyDescent="0.3">
      <c r="A5404" s="1192" t="s">
        <v>3744</v>
      </c>
      <c r="B5404" s="1192" t="s">
        <v>4013</v>
      </c>
      <c r="E5404" s="2081" t="s">
        <v>6087</v>
      </c>
      <c r="F5404" s="1989"/>
      <c r="G5404" s="799" t="s">
        <v>29</v>
      </c>
      <c r="H5404" s="836">
        <v>0.33</v>
      </c>
      <c r="K5404" s="1192" t="s">
        <v>4018</v>
      </c>
      <c r="L5404" s="1192" t="s">
        <v>431</v>
      </c>
      <c r="P5404" s="1192" t="s">
        <v>4024</v>
      </c>
      <c r="T5404" s="1192">
        <v>44196</v>
      </c>
      <c r="V5404" s="1192">
        <v>99</v>
      </c>
    </row>
    <row r="5405" spans="1:22" s="1192" customFormat="1" ht="14.4" x14ac:dyDescent="0.3">
      <c r="A5405" s="1192" t="s">
        <v>3744</v>
      </c>
      <c r="B5405" s="1192" t="s">
        <v>4013</v>
      </c>
      <c r="E5405" s="2081" t="s">
        <v>6316</v>
      </c>
      <c r="F5405" s="1989"/>
      <c r="G5405" s="799" t="s">
        <v>29</v>
      </c>
      <c r="H5405" s="1219">
        <v>-3.5200000000000002E-2</v>
      </c>
      <c r="K5405" s="1192" t="s">
        <v>4018</v>
      </c>
      <c r="L5405" s="1192" t="s">
        <v>431</v>
      </c>
      <c r="P5405" s="1192" t="s">
        <v>4025</v>
      </c>
      <c r="T5405" s="1192">
        <v>44196</v>
      </c>
      <c r="V5405" s="1192">
        <v>142</v>
      </c>
    </row>
    <row r="5406" spans="1:22" s="1192" customFormat="1" ht="14.4" x14ac:dyDescent="0.3">
      <c r="A5406" s="1192" t="s">
        <v>3744</v>
      </c>
      <c r="B5406" s="1192" t="s">
        <v>4013</v>
      </c>
      <c r="E5406" s="2062" t="s">
        <v>4508</v>
      </c>
      <c r="F5406" s="1740"/>
      <c r="G5406" s="799" t="s">
        <v>29</v>
      </c>
      <c r="H5406" s="837">
        <v>2.2599999999999999E-2</v>
      </c>
      <c r="K5406" s="1192" t="s">
        <v>4018</v>
      </c>
      <c r="L5406" s="1192" t="s">
        <v>430</v>
      </c>
      <c r="P5406" s="1192" t="s">
        <v>6326</v>
      </c>
      <c r="V5406" s="1192">
        <v>154</v>
      </c>
    </row>
    <row r="5407" spans="1:22" s="1192" customFormat="1" ht="14.4" x14ac:dyDescent="0.3">
      <c r="A5407" s="1192" t="s">
        <v>3744</v>
      </c>
      <c r="B5407" s="1192" t="s">
        <v>4013</v>
      </c>
      <c r="E5407" s="2062" t="s">
        <v>4501</v>
      </c>
      <c r="F5407" s="1740"/>
      <c r="G5407" s="799" t="s">
        <v>29</v>
      </c>
      <c r="H5407" s="837">
        <v>3.0800000000000001E-2</v>
      </c>
      <c r="K5407" s="1192" t="s">
        <v>4018</v>
      </c>
      <c r="L5407" s="1192" t="s">
        <v>430</v>
      </c>
      <c r="P5407" s="1192" t="s">
        <v>6327</v>
      </c>
      <c r="V5407" s="1192">
        <v>135</v>
      </c>
    </row>
    <row r="5408" spans="1:22" s="1192" customFormat="1" ht="14.4" x14ac:dyDescent="0.3">
      <c r="A5408" s="1192" t="s">
        <v>3744</v>
      </c>
      <c r="B5408" s="1192" t="s">
        <v>4013</v>
      </c>
      <c r="E5408" s="2081" t="s">
        <v>4016</v>
      </c>
      <c r="F5408" s="1740"/>
      <c r="G5408" s="799" t="s">
        <v>29</v>
      </c>
      <c r="H5408" s="837">
        <v>0.1163</v>
      </c>
      <c r="K5408" s="1192" t="s">
        <v>4018</v>
      </c>
      <c r="L5408" s="1192" t="s">
        <v>430</v>
      </c>
      <c r="P5408" s="1192" t="s">
        <v>6328</v>
      </c>
      <c r="V5408" s="1192">
        <v>135</v>
      </c>
    </row>
    <row r="5409" spans="1:22" s="1192" customFormat="1" ht="14.4" x14ac:dyDescent="0.3">
      <c r="A5409" s="1192" t="s">
        <v>3744</v>
      </c>
      <c r="B5409" s="1192" t="s">
        <v>4013</v>
      </c>
      <c r="E5409" s="2081" t="s">
        <v>213</v>
      </c>
      <c r="F5409" s="1740"/>
      <c r="G5409" s="799" t="s">
        <v>29</v>
      </c>
      <c r="H5409" s="837">
        <v>2.9527999999999999</v>
      </c>
      <c r="K5409" s="1192" t="s">
        <v>4018</v>
      </c>
      <c r="L5409" s="1192" t="s">
        <v>432</v>
      </c>
      <c r="P5409" s="1192" t="s">
        <v>4027</v>
      </c>
      <c r="V5409" s="1192">
        <v>47</v>
      </c>
    </row>
    <row r="5410" spans="1:22" s="1192" customFormat="1" ht="14.4" x14ac:dyDescent="0.3">
      <c r="A5410" s="1192" t="s">
        <v>3744</v>
      </c>
      <c r="B5410" s="1192" t="s">
        <v>4013</v>
      </c>
      <c r="E5410" s="2081" t="s">
        <v>209</v>
      </c>
      <c r="F5410" s="1740"/>
      <c r="G5410" s="799" t="s">
        <v>29</v>
      </c>
      <c r="H5410" s="837">
        <v>2.6396999999999999</v>
      </c>
      <c r="K5410" s="1192" t="s">
        <v>4018</v>
      </c>
      <c r="L5410" s="1192" t="s">
        <v>432</v>
      </c>
      <c r="P5410" s="1192" t="s">
        <v>4028</v>
      </c>
      <c r="V5410" s="1192">
        <v>74</v>
      </c>
    </row>
    <row r="5411" spans="1:22" s="1192" customFormat="1" ht="14.4" x14ac:dyDescent="0.3">
      <c r="A5411" s="1192" t="s">
        <v>3744</v>
      </c>
      <c r="B5411" s="1192" t="s">
        <v>4013</v>
      </c>
      <c r="E5411" s="2060" t="s">
        <v>2405</v>
      </c>
      <c r="F5411" s="1741"/>
      <c r="G5411" s="1282"/>
      <c r="H5411" s="1325"/>
      <c r="K5411" s="1192" t="s">
        <v>2526</v>
      </c>
      <c r="V5411" s="1192">
        <v>48</v>
      </c>
    </row>
    <row r="5412" spans="1:22" s="1192" customFormat="1" ht="14.4" x14ac:dyDescent="0.3">
      <c r="A5412" s="1192" t="s">
        <v>3744</v>
      </c>
      <c r="B5412" s="1192" t="s">
        <v>4013</v>
      </c>
      <c r="E5412" s="1740" t="s">
        <v>2033</v>
      </c>
      <c r="F5412" s="1740"/>
      <c r="G5412" s="1282" t="s">
        <v>20</v>
      </c>
      <c r="H5412" s="1219">
        <v>3.0000000000000001E-3</v>
      </c>
      <c r="K5412" s="1192" t="s">
        <v>4018</v>
      </c>
      <c r="L5412" s="1192" t="s">
        <v>2374</v>
      </c>
      <c r="P5412" s="1192" t="s">
        <v>4029</v>
      </c>
      <c r="V5412" s="1192">
        <v>55</v>
      </c>
    </row>
    <row r="5413" spans="1:22" s="1192" customFormat="1" ht="14.4" x14ac:dyDescent="0.3">
      <c r="A5413" s="1192" t="s">
        <v>3744</v>
      </c>
      <c r="B5413" s="1192" t="s">
        <v>4013</v>
      </c>
      <c r="E5413" s="2081" t="s">
        <v>2034</v>
      </c>
      <c r="F5413" s="1740"/>
      <c r="G5413" s="1282" t="s">
        <v>20</v>
      </c>
      <c r="H5413" s="836">
        <v>4.0000000000000002E-4</v>
      </c>
      <c r="K5413" s="1192" t="s">
        <v>4018</v>
      </c>
      <c r="L5413" s="1192" t="s">
        <v>2374</v>
      </c>
      <c r="P5413" s="1192" t="s">
        <v>4029</v>
      </c>
      <c r="V5413" s="1192">
        <v>65</v>
      </c>
    </row>
    <row r="5414" spans="1:22" s="1192" customFormat="1" ht="14.4" x14ac:dyDescent="0.3">
      <c r="A5414" s="1192" t="s">
        <v>3744</v>
      </c>
      <c r="B5414" s="1192" t="s">
        <v>4013</v>
      </c>
      <c r="E5414" s="2062" t="s">
        <v>428</v>
      </c>
      <c r="F5414" s="1740"/>
      <c r="G5414" s="1282" t="s">
        <v>20</v>
      </c>
      <c r="H5414" s="836">
        <v>5.0000000000000001E-4</v>
      </c>
      <c r="K5414" s="1192" t="s">
        <v>4018</v>
      </c>
      <c r="L5414" s="1192" t="s">
        <v>2374</v>
      </c>
      <c r="P5414" s="1192" t="s">
        <v>4030</v>
      </c>
      <c r="V5414" s="1192">
        <v>57</v>
      </c>
    </row>
    <row r="5415" spans="1:22" s="1192" customFormat="1" ht="14.4" x14ac:dyDescent="0.3">
      <c r="A5415" s="1192" t="s">
        <v>3744</v>
      </c>
      <c r="B5415" s="1192" t="s">
        <v>4013</v>
      </c>
      <c r="E5415" s="2062" t="s">
        <v>28</v>
      </c>
      <c r="F5415" s="1740"/>
      <c r="G5415" s="1282" t="s">
        <v>19</v>
      </c>
      <c r="H5415" s="836">
        <v>0.25</v>
      </c>
      <c r="K5415" s="1192" t="s">
        <v>4018</v>
      </c>
      <c r="L5415" s="1192" t="s">
        <v>2374</v>
      </c>
      <c r="P5415" s="1192" t="s">
        <v>4031</v>
      </c>
      <c r="V5415" s="1192">
        <v>63</v>
      </c>
    </row>
    <row r="5416" spans="1:22" s="1192" customFormat="1" ht="17.399999999999999" x14ac:dyDescent="0.3">
      <c r="A5416" s="1192" t="s">
        <v>3744</v>
      </c>
      <c r="B5416" s="1192" t="s">
        <v>4013</v>
      </c>
      <c r="E5416" s="2082" t="s">
        <v>2845</v>
      </c>
      <c r="F5416" s="2082"/>
      <c r="G5416" s="2083"/>
      <c r="H5416" s="2083"/>
      <c r="K5416" s="1192" t="s">
        <v>4032</v>
      </c>
      <c r="V5416" s="1192">
        <v>54</v>
      </c>
    </row>
    <row r="5417" spans="1:22" s="1192" customFormat="1" ht="14.4" x14ac:dyDescent="0.3">
      <c r="A5417" s="1192" t="s">
        <v>3744</v>
      </c>
      <c r="B5417" s="1192" t="s">
        <v>4013</v>
      </c>
      <c r="E5417" s="2067" t="s">
        <v>4033</v>
      </c>
      <c r="F5417" s="2067"/>
      <c r="G5417" s="2067"/>
      <c r="H5417" s="2067"/>
      <c r="K5417" s="1192" t="s">
        <v>4032</v>
      </c>
      <c r="V5417" s="1192">
        <v>359</v>
      </c>
    </row>
    <row r="5418" spans="1:22" s="1192" customFormat="1" ht="14.4" x14ac:dyDescent="0.3">
      <c r="A5418" s="1192" t="s">
        <v>3744</v>
      </c>
      <c r="B5418" s="1192" t="s">
        <v>4013</v>
      </c>
      <c r="E5418" s="2060" t="s">
        <v>2389</v>
      </c>
      <c r="F5418" s="2068"/>
      <c r="G5418" s="2067"/>
      <c r="H5418" s="2067"/>
      <c r="K5418" s="1192" t="s">
        <v>2529</v>
      </c>
      <c r="V5418" s="1192">
        <v>11</v>
      </c>
    </row>
    <row r="5419" spans="1:22" s="1192" customFormat="1" ht="14.4" x14ac:dyDescent="0.3">
      <c r="A5419" s="1192" t="s">
        <v>3744</v>
      </c>
      <c r="B5419" s="1192" t="s">
        <v>4013</v>
      </c>
      <c r="E5419" s="2067" t="s">
        <v>2391</v>
      </c>
      <c r="F5419" s="2067"/>
      <c r="G5419" s="2067"/>
      <c r="H5419" s="2067"/>
      <c r="K5419" s="1192" t="s">
        <v>4032</v>
      </c>
      <c r="V5419" s="1192">
        <v>280</v>
      </c>
    </row>
    <row r="5420" spans="1:22" s="1192" customFormat="1" ht="14.4" x14ac:dyDescent="0.3">
      <c r="A5420" s="1192" t="s">
        <v>3744</v>
      </c>
      <c r="B5420" s="1192" t="s">
        <v>4013</v>
      </c>
      <c r="E5420" s="2067" t="s">
        <v>2392</v>
      </c>
      <c r="F5420" s="2067"/>
      <c r="G5420" s="2067"/>
      <c r="H5420" s="2067"/>
      <c r="K5420" s="1192" t="s">
        <v>4032</v>
      </c>
      <c r="V5420" s="1192">
        <v>411</v>
      </c>
    </row>
    <row r="5421" spans="1:22" s="1192" customFormat="1" ht="14.4" x14ac:dyDescent="0.3">
      <c r="A5421" s="1192" t="s">
        <v>3744</v>
      </c>
      <c r="B5421" s="1192" t="s">
        <v>4013</v>
      </c>
      <c r="E5421" s="2067" t="s">
        <v>2508</v>
      </c>
      <c r="F5421" s="2067"/>
      <c r="G5421" s="2067"/>
      <c r="H5421" s="2067"/>
      <c r="K5421" s="1192" t="s">
        <v>4032</v>
      </c>
      <c r="V5421" s="1192">
        <v>386</v>
      </c>
    </row>
    <row r="5422" spans="1:22" s="1192" customFormat="1" ht="14.4" x14ac:dyDescent="0.3">
      <c r="A5422" s="1192" t="s">
        <v>3744</v>
      </c>
      <c r="B5422" s="1192" t="s">
        <v>4013</v>
      </c>
      <c r="E5422" s="2067" t="s">
        <v>4503</v>
      </c>
      <c r="F5422" s="2067"/>
      <c r="G5422" s="2067"/>
      <c r="H5422" s="2067"/>
      <c r="K5422" s="1192" t="s">
        <v>4032</v>
      </c>
      <c r="V5422" s="1192">
        <v>677</v>
      </c>
    </row>
    <row r="5423" spans="1:22" s="1192" customFormat="1" ht="14.4" x14ac:dyDescent="0.3">
      <c r="A5423" s="1192" t="s">
        <v>3744</v>
      </c>
      <c r="B5423" s="1192" t="s">
        <v>4013</v>
      </c>
      <c r="E5423" s="2067" t="s">
        <v>4504</v>
      </c>
      <c r="F5423" s="2067"/>
      <c r="G5423" s="2067"/>
      <c r="H5423" s="2067"/>
      <c r="K5423" s="1192" t="s">
        <v>4032</v>
      </c>
      <c r="V5423" s="1192">
        <v>725</v>
      </c>
    </row>
    <row r="5424" spans="1:22" s="1192" customFormat="1" ht="14.4" x14ac:dyDescent="0.3">
      <c r="A5424" s="1192" t="s">
        <v>3744</v>
      </c>
      <c r="B5424" s="1192" t="s">
        <v>4013</v>
      </c>
      <c r="E5424" s="2067" t="s">
        <v>4500</v>
      </c>
      <c r="F5424" s="2067"/>
      <c r="G5424" s="2067"/>
      <c r="H5424" s="2067"/>
      <c r="K5424" s="1192" t="s">
        <v>4032</v>
      </c>
      <c r="V5424" s="1192">
        <v>247</v>
      </c>
    </row>
    <row r="5425" spans="1:22" s="1192" customFormat="1" ht="14.4" x14ac:dyDescent="0.3">
      <c r="A5425" s="1192" t="s">
        <v>3744</v>
      </c>
      <c r="B5425" s="1192" t="s">
        <v>4013</v>
      </c>
      <c r="E5425" s="2067" t="s">
        <v>2844</v>
      </c>
      <c r="F5425" s="1743"/>
      <c r="G5425" s="1743"/>
      <c r="H5425" s="1743"/>
      <c r="K5425" s="1192" t="s">
        <v>4032</v>
      </c>
      <c r="V5425" s="1192">
        <v>92</v>
      </c>
    </row>
    <row r="5426" spans="1:22" s="1192" customFormat="1" ht="14.4" x14ac:dyDescent="0.3">
      <c r="A5426" s="1192" t="s">
        <v>3744</v>
      </c>
      <c r="B5426" s="1192" t="s">
        <v>4013</v>
      </c>
      <c r="E5426" s="2060" t="s">
        <v>2394</v>
      </c>
      <c r="F5426" s="2068"/>
      <c r="G5426" s="2067"/>
      <c r="H5426" s="2067"/>
      <c r="K5426" s="1192" t="s">
        <v>2531</v>
      </c>
      <c r="V5426" s="1192">
        <v>46</v>
      </c>
    </row>
    <row r="5427" spans="1:22" s="1192" customFormat="1" ht="14.4" x14ac:dyDescent="0.3">
      <c r="A5427" s="1192" t="s">
        <v>3744</v>
      </c>
      <c r="B5427" s="1192" t="s">
        <v>4013</v>
      </c>
      <c r="E5427" s="2081" t="s">
        <v>7</v>
      </c>
      <c r="F5427" s="1740"/>
      <c r="G5427" s="799" t="s">
        <v>19</v>
      </c>
      <c r="H5427" s="837">
        <v>1815.95</v>
      </c>
      <c r="K5427" s="1192" t="s">
        <v>4032</v>
      </c>
      <c r="L5427" s="1192" t="s">
        <v>430</v>
      </c>
      <c r="P5427" s="1192" t="s">
        <v>4034</v>
      </c>
      <c r="V5427" s="1192">
        <v>14</v>
      </c>
    </row>
    <row r="5428" spans="1:22" s="1192" customFormat="1" ht="14.4" x14ac:dyDescent="0.3">
      <c r="A5428" s="1192" t="s">
        <v>3744</v>
      </c>
      <c r="B5428" s="1192" t="s">
        <v>4013</v>
      </c>
      <c r="E5428" s="2062" t="s">
        <v>4508</v>
      </c>
      <c r="F5428" s="1740"/>
      <c r="G5428" s="799" t="s">
        <v>19</v>
      </c>
      <c r="H5428" s="837">
        <v>8.5399999999999991</v>
      </c>
      <c r="K5428" s="1192" t="s">
        <v>4032</v>
      </c>
      <c r="L5428" s="1192" t="s">
        <v>430</v>
      </c>
      <c r="P5428" s="1192" t="s">
        <v>6329</v>
      </c>
      <c r="V5428" s="1192">
        <v>154</v>
      </c>
    </row>
    <row r="5429" spans="1:22" s="1192" customFormat="1" ht="14.4" x14ac:dyDescent="0.3">
      <c r="A5429" s="1192" t="s">
        <v>3744</v>
      </c>
      <c r="B5429" s="1192" t="s">
        <v>4013</v>
      </c>
      <c r="E5429" s="2062" t="s">
        <v>4501</v>
      </c>
      <c r="F5429" s="1740"/>
      <c r="G5429" s="799" t="s">
        <v>19</v>
      </c>
      <c r="H5429" s="837">
        <v>11.65</v>
      </c>
      <c r="K5429" s="1192" t="s">
        <v>4032</v>
      </c>
      <c r="L5429" s="1192" t="s">
        <v>430</v>
      </c>
      <c r="P5429" s="1192" t="s">
        <v>6330</v>
      </c>
      <c r="V5429" s="1192">
        <v>135</v>
      </c>
    </row>
    <row r="5430" spans="1:22" s="1192" customFormat="1" ht="14.4" x14ac:dyDescent="0.3">
      <c r="A5430" s="1192" t="s">
        <v>3744</v>
      </c>
      <c r="B5430" s="1192" t="s">
        <v>4013</v>
      </c>
      <c r="E5430" s="2081" t="s">
        <v>4016</v>
      </c>
      <c r="F5430" s="1740"/>
      <c r="G5430" s="799" t="s">
        <v>19</v>
      </c>
      <c r="H5430" s="509">
        <v>44</v>
      </c>
      <c r="K5430" s="1192" t="s">
        <v>4032</v>
      </c>
      <c r="L5430" s="1192" t="s">
        <v>430</v>
      </c>
      <c r="P5430" s="1192" t="s">
        <v>6331</v>
      </c>
      <c r="V5430" s="1192">
        <v>135</v>
      </c>
    </row>
    <row r="5431" spans="1:22" s="1192" customFormat="1" ht="14.4" x14ac:dyDescent="0.3">
      <c r="A5431" s="1192" t="s">
        <v>3744</v>
      </c>
      <c r="B5431" s="1192" t="s">
        <v>4013</v>
      </c>
      <c r="E5431" s="2081" t="s">
        <v>80</v>
      </c>
      <c r="F5431" s="1740"/>
      <c r="G5431" s="799" t="s">
        <v>29</v>
      </c>
      <c r="H5431" s="837">
        <v>2.4695</v>
      </c>
      <c r="K5431" s="1192" t="s">
        <v>4032</v>
      </c>
      <c r="L5431" s="1192" t="s">
        <v>430</v>
      </c>
      <c r="P5431" s="1192" t="s">
        <v>4035</v>
      </c>
      <c r="V5431" s="1192">
        <v>28</v>
      </c>
    </row>
    <row r="5432" spans="1:22" s="1192" customFormat="1" ht="14.4" x14ac:dyDescent="0.3">
      <c r="A5432" s="1192" t="s">
        <v>3744</v>
      </c>
      <c r="B5432" s="1192" t="s">
        <v>4013</v>
      </c>
      <c r="E5432" s="2081" t="s">
        <v>3698</v>
      </c>
      <c r="F5432" s="1740"/>
      <c r="G5432" s="799" t="s">
        <v>29</v>
      </c>
      <c r="H5432" s="837">
        <v>7.8399999999999997E-2</v>
      </c>
      <c r="K5432" s="1192" t="s">
        <v>4032</v>
      </c>
      <c r="L5432" s="1192" t="s">
        <v>431</v>
      </c>
      <c r="P5432" s="1192" t="s">
        <v>4036</v>
      </c>
      <c r="V5432" s="1192">
        <v>25</v>
      </c>
    </row>
    <row r="5433" spans="1:22" s="1192" customFormat="1" ht="14.4" x14ac:dyDescent="0.3">
      <c r="A5433" s="1192" t="s">
        <v>3744</v>
      </c>
      <c r="B5433" s="1192" t="s">
        <v>4013</v>
      </c>
      <c r="E5433" s="2081" t="s">
        <v>6090</v>
      </c>
      <c r="F5433" s="1989"/>
      <c r="G5433" s="799" t="s">
        <v>20</v>
      </c>
      <c r="H5433" s="1219">
        <v>-3.3E-3</v>
      </c>
      <c r="K5433" s="1192" t="s">
        <v>4032</v>
      </c>
      <c r="L5433" s="1192" t="s">
        <v>431</v>
      </c>
      <c r="P5433" s="1192" t="s">
        <v>4037</v>
      </c>
      <c r="T5433" s="1192">
        <v>44196</v>
      </c>
      <c r="V5433" s="1192">
        <v>142</v>
      </c>
    </row>
    <row r="5434" spans="1:22" s="1192" customFormat="1" ht="14.4" x14ac:dyDescent="0.3">
      <c r="A5434" s="1192" t="s">
        <v>3744</v>
      </c>
      <c r="B5434" s="1192" t="s">
        <v>4013</v>
      </c>
      <c r="E5434" s="2081" t="s">
        <v>6123</v>
      </c>
      <c r="F5434" s="1989"/>
      <c r="G5434" s="799" t="s">
        <v>29</v>
      </c>
      <c r="H5434" s="836">
        <v>0.108</v>
      </c>
      <c r="K5434" s="1192" t="s">
        <v>4032</v>
      </c>
      <c r="L5434" s="1192" t="s">
        <v>430</v>
      </c>
      <c r="P5434" s="1192" t="s">
        <v>4040</v>
      </c>
      <c r="T5434" s="1192">
        <v>44196</v>
      </c>
      <c r="V5434" s="1192">
        <v>132</v>
      </c>
    </row>
    <row r="5435" spans="1:22" s="1192" customFormat="1" ht="14.4" x14ac:dyDescent="0.3">
      <c r="A5435" s="1192" t="s">
        <v>3744</v>
      </c>
      <c r="B5435" s="1192" t="s">
        <v>4013</v>
      </c>
      <c r="E5435" s="2081" t="s">
        <v>6146</v>
      </c>
      <c r="F5435" s="1989"/>
      <c r="G5435" s="799" t="s">
        <v>29</v>
      </c>
      <c r="H5435" s="1219">
        <v>-0.26590000000000003</v>
      </c>
      <c r="K5435" s="1192" t="s">
        <v>4032</v>
      </c>
      <c r="L5435" s="1192" t="s">
        <v>431</v>
      </c>
      <c r="P5435" s="1192" t="s">
        <v>4038</v>
      </c>
      <c r="T5435" s="1192">
        <v>44196</v>
      </c>
      <c r="V5435" s="1192">
        <v>159</v>
      </c>
    </row>
    <row r="5436" spans="1:22" s="1192" customFormat="1" ht="14.4" x14ac:dyDescent="0.3">
      <c r="A5436" s="1192" t="s">
        <v>3744</v>
      </c>
      <c r="B5436" s="1192" t="s">
        <v>4013</v>
      </c>
      <c r="E5436" s="2081" t="s">
        <v>6087</v>
      </c>
      <c r="F5436" s="1989"/>
      <c r="G5436" s="799" t="s">
        <v>29</v>
      </c>
      <c r="H5436" s="836">
        <v>0.40839999999999999</v>
      </c>
      <c r="K5436" s="1192" t="s">
        <v>4032</v>
      </c>
      <c r="L5436" s="1192" t="s">
        <v>431</v>
      </c>
      <c r="P5436" s="1192" t="s">
        <v>4038</v>
      </c>
      <c r="T5436" s="1192">
        <v>44196</v>
      </c>
      <c r="V5436" s="1192">
        <v>99</v>
      </c>
    </row>
    <row r="5437" spans="1:22" s="1192" customFormat="1" ht="14.4" x14ac:dyDescent="0.3">
      <c r="A5437" s="1192" t="s">
        <v>3744</v>
      </c>
      <c r="B5437" s="1192" t="s">
        <v>4013</v>
      </c>
      <c r="E5437" s="2081" t="s">
        <v>6316</v>
      </c>
      <c r="F5437" s="1989"/>
      <c r="G5437" s="799" t="s">
        <v>29</v>
      </c>
      <c r="H5437" s="1219">
        <v>-4.0800000000000003E-2</v>
      </c>
      <c r="K5437" s="1192" t="s">
        <v>4032</v>
      </c>
      <c r="L5437" s="1192" t="s">
        <v>431</v>
      </c>
      <c r="P5437" s="1192" t="s">
        <v>4039</v>
      </c>
      <c r="T5437" s="1192">
        <v>44196</v>
      </c>
      <c r="V5437" s="1192">
        <v>142</v>
      </c>
    </row>
    <row r="5438" spans="1:22" s="1192" customFormat="1" ht="14.4" x14ac:dyDescent="0.3">
      <c r="A5438" s="1192" t="s">
        <v>3744</v>
      </c>
      <c r="B5438" s="1192" t="s">
        <v>4013</v>
      </c>
      <c r="E5438" s="2062" t="s">
        <v>4508</v>
      </c>
      <c r="F5438" s="1740"/>
      <c r="G5438" s="799" t="s">
        <v>29</v>
      </c>
      <c r="H5438" s="837">
        <v>1.1599999999999999E-2</v>
      </c>
      <c r="K5438" s="1192" t="s">
        <v>4032</v>
      </c>
      <c r="L5438" s="1192" t="s">
        <v>430</v>
      </c>
      <c r="P5438" s="1192" t="s">
        <v>6332</v>
      </c>
      <c r="V5438" s="1192">
        <v>154</v>
      </c>
    </row>
    <row r="5439" spans="1:22" s="1192" customFormat="1" ht="14.4" x14ac:dyDescent="0.3">
      <c r="A5439" s="1192" t="s">
        <v>3744</v>
      </c>
      <c r="B5439" s="1192" t="s">
        <v>4013</v>
      </c>
      <c r="E5439" s="2062" t="s">
        <v>4501</v>
      </c>
      <c r="F5439" s="1740"/>
      <c r="G5439" s="799" t="s">
        <v>29</v>
      </c>
      <c r="H5439" s="837">
        <v>1.5800000000000002E-2</v>
      </c>
      <c r="K5439" s="1192" t="s">
        <v>4032</v>
      </c>
      <c r="L5439" s="1192" t="s">
        <v>430</v>
      </c>
      <c r="P5439" s="1192" t="s">
        <v>6333</v>
      </c>
      <c r="V5439" s="1192">
        <v>135</v>
      </c>
    </row>
    <row r="5440" spans="1:22" s="1192" customFormat="1" ht="14.4" x14ac:dyDescent="0.3">
      <c r="A5440" s="1192" t="s">
        <v>3744</v>
      </c>
      <c r="B5440" s="1192" t="s">
        <v>4013</v>
      </c>
      <c r="E5440" s="2081" t="s">
        <v>4016</v>
      </c>
      <c r="F5440" s="1740"/>
      <c r="G5440" s="799" t="s">
        <v>29</v>
      </c>
      <c r="H5440" s="837">
        <v>5.9799999999999999E-2</v>
      </c>
      <c r="K5440" s="1192" t="s">
        <v>4032</v>
      </c>
      <c r="L5440" s="1192" t="s">
        <v>430</v>
      </c>
      <c r="P5440" s="1192" t="s">
        <v>6334</v>
      </c>
      <c r="V5440" s="1192">
        <v>135</v>
      </c>
    </row>
    <row r="5441" spans="1:22" s="1192" customFormat="1" ht="14.4" x14ac:dyDescent="0.3">
      <c r="A5441" s="1192" t="s">
        <v>3744</v>
      </c>
      <c r="B5441" s="1192" t="s">
        <v>4013</v>
      </c>
      <c r="E5441" s="2081" t="s">
        <v>3699</v>
      </c>
      <c r="F5441" s="1740"/>
      <c r="G5441" s="799" t="s">
        <v>29</v>
      </c>
      <c r="H5441" s="837">
        <v>2.8567999999999998</v>
      </c>
      <c r="K5441" s="1192" t="s">
        <v>4032</v>
      </c>
      <c r="L5441" s="1192" t="s">
        <v>432</v>
      </c>
      <c r="P5441" s="1192" t="s">
        <v>4291</v>
      </c>
      <c r="V5441" s="1192">
        <v>48</v>
      </c>
    </row>
    <row r="5442" spans="1:22" s="1192" customFormat="1" ht="14.4" x14ac:dyDescent="0.3">
      <c r="A5442" s="1192" t="s">
        <v>3744</v>
      </c>
      <c r="B5442" s="1192" t="s">
        <v>4013</v>
      </c>
      <c r="E5442" s="2081" t="s">
        <v>2847</v>
      </c>
      <c r="F5442" s="1740"/>
      <c r="G5442" s="799" t="s">
        <v>29</v>
      </c>
      <c r="H5442" s="837">
        <v>2.5831</v>
      </c>
      <c r="K5442" s="1192" t="s">
        <v>4032</v>
      </c>
      <c r="L5442" s="1192" t="s">
        <v>432</v>
      </c>
      <c r="P5442" s="1192" t="s">
        <v>4292</v>
      </c>
      <c r="V5442" s="1192">
        <v>75</v>
      </c>
    </row>
    <row r="5443" spans="1:22" s="1192" customFormat="1" ht="14.4" x14ac:dyDescent="0.3">
      <c r="A5443" s="1192" t="s">
        <v>3744</v>
      </c>
      <c r="B5443" s="1192" t="s">
        <v>4013</v>
      </c>
      <c r="E5443" s="2060" t="s">
        <v>2405</v>
      </c>
      <c r="F5443" s="1741"/>
      <c r="G5443" s="1282"/>
      <c r="H5443" s="1325"/>
      <c r="K5443" s="1192" t="s">
        <v>2532</v>
      </c>
      <c r="V5443" s="1192">
        <v>48</v>
      </c>
    </row>
    <row r="5444" spans="1:22" s="1192" customFormat="1" ht="14.4" x14ac:dyDescent="0.3">
      <c r="A5444" s="1192" t="s">
        <v>3744</v>
      </c>
      <c r="B5444" s="1192" t="s">
        <v>4013</v>
      </c>
      <c r="E5444" s="1740" t="s">
        <v>2033</v>
      </c>
      <c r="F5444" s="1740"/>
      <c r="G5444" s="1282" t="s">
        <v>20</v>
      </c>
      <c r="H5444" s="1219">
        <v>3.0000000000000001E-3</v>
      </c>
      <c r="K5444" s="1192" t="s">
        <v>4032</v>
      </c>
      <c r="L5444" s="1192" t="s">
        <v>2374</v>
      </c>
      <c r="P5444" s="1192" t="s">
        <v>4041</v>
      </c>
      <c r="V5444" s="1192">
        <v>55</v>
      </c>
    </row>
    <row r="5445" spans="1:22" s="1192" customFormat="1" ht="14.4" x14ac:dyDescent="0.3">
      <c r="A5445" s="1192" t="s">
        <v>3744</v>
      </c>
      <c r="B5445" s="1192" t="s">
        <v>4013</v>
      </c>
      <c r="E5445" s="2081" t="s">
        <v>2034</v>
      </c>
      <c r="F5445" s="1740"/>
      <c r="G5445" s="1282" t="s">
        <v>20</v>
      </c>
      <c r="H5445" s="836">
        <v>4.0000000000000002E-4</v>
      </c>
      <c r="K5445" s="1192" t="s">
        <v>4032</v>
      </c>
      <c r="L5445" s="1192" t="s">
        <v>2374</v>
      </c>
      <c r="P5445" s="1192" t="s">
        <v>4041</v>
      </c>
      <c r="V5445" s="1192">
        <v>65</v>
      </c>
    </row>
    <row r="5446" spans="1:22" s="1192" customFormat="1" ht="14.4" x14ac:dyDescent="0.3">
      <c r="A5446" s="1192" t="s">
        <v>3744</v>
      </c>
      <c r="B5446" s="1192" t="s">
        <v>4013</v>
      </c>
      <c r="E5446" s="2062" t="s">
        <v>428</v>
      </c>
      <c r="F5446" s="1740"/>
      <c r="G5446" s="1282" t="s">
        <v>20</v>
      </c>
      <c r="H5446" s="836">
        <v>5.0000000000000001E-4</v>
      </c>
      <c r="K5446" s="1192" t="s">
        <v>4032</v>
      </c>
      <c r="L5446" s="1192" t="s">
        <v>2374</v>
      </c>
      <c r="P5446" s="1192" t="s">
        <v>4042</v>
      </c>
      <c r="V5446" s="1192">
        <v>57</v>
      </c>
    </row>
    <row r="5447" spans="1:22" s="1192" customFormat="1" ht="14.4" x14ac:dyDescent="0.3">
      <c r="A5447" s="1192" t="s">
        <v>3744</v>
      </c>
      <c r="B5447" s="1192" t="s">
        <v>4013</v>
      </c>
      <c r="E5447" s="2062" t="s">
        <v>28</v>
      </c>
      <c r="F5447" s="1740"/>
      <c r="G5447" s="1282" t="s">
        <v>19</v>
      </c>
      <c r="H5447" s="836">
        <v>0.25</v>
      </c>
      <c r="K5447" s="1192" t="s">
        <v>4032</v>
      </c>
      <c r="L5447" s="1192" t="s">
        <v>2374</v>
      </c>
      <c r="P5447" s="1192" t="s">
        <v>4043</v>
      </c>
      <c r="V5447" s="1192">
        <v>63</v>
      </c>
    </row>
    <row r="5448" spans="1:22" s="1192" customFormat="1" ht="17.399999999999999" x14ac:dyDescent="0.3">
      <c r="A5448" s="1192" t="s">
        <v>3744</v>
      </c>
      <c r="B5448" s="1192" t="s">
        <v>4013</v>
      </c>
      <c r="E5448" s="2082" t="s">
        <v>596</v>
      </c>
      <c r="F5448" s="2082"/>
      <c r="G5448" s="2083"/>
      <c r="H5448" s="2083"/>
      <c r="K5448" s="1192" t="s">
        <v>2533</v>
      </c>
      <c r="V5448" s="1192">
        <v>32</v>
      </c>
    </row>
    <row r="5449" spans="1:22" s="1192" customFormat="1" ht="14.4" x14ac:dyDescent="0.3">
      <c r="A5449" s="1192" t="s">
        <v>3744</v>
      </c>
      <c r="B5449" s="1192" t="s">
        <v>4013</v>
      </c>
      <c r="E5449" s="2067" t="s">
        <v>4044</v>
      </c>
      <c r="F5449" s="2067"/>
      <c r="G5449" s="2067"/>
      <c r="H5449" s="2067"/>
      <c r="K5449" s="1192" t="s">
        <v>2533</v>
      </c>
      <c r="V5449" s="1192">
        <v>323</v>
      </c>
    </row>
    <row r="5450" spans="1:22" s="1192" customFormat="1" ht="14.4" x14ac:dyDescent="0.3">
      <c r="A5450" s="1192" t="s">
        <v>3744</v>
      </c>
      <c r="B5450" s="1192" t="s">
        <v>4013</v>
      </c>
      <c r="E5450" s="2060" t="s">
        <v>2389</v>
      </c>
      <c r="F5450" s="2068"/>
      <c r="G5450" s="2067"/>
      <c r="H5450" s="2067"/>
      <c r="K5450" s="1192" t="s">
        <v>2424</v>
      </c>
      <c r="V5450" s="1192">
        <v>11</v>
      </c>
    </row>
    <row r="5451" spans="1:22" s="1192" customFormat="1" ht="14.4" x14ac:dyDescent="0.3">
      <c r="A5451" s="1192" t="s">
        <v>3744</v>
      </c>
      <c r="B5451" s="1192" t="s">
        <v>4013</v>
      </c>
      <c r="E5451" s="2067" t="s">
        <v>2391</v>
      </c>
      <c r="F5451" s="2067"/>
      <c r="G5451" s="2067"/>
      <c r="H5451" s="2067"/>
      <c r="K5451" s="1192" t="s">
        <v>2533</v>
      </c>
      <c r="V5451" s="1192">
        <v>280</v>
      </c>
    </row>
    <row r="5452" spans="1:22" s="1192" customFormat="1" ht="14.4" x14ac:dyDescent="0.3">
      <c r="A5452" s="1192" t="s">
        <v>3744</v>
      </c>
      <c r="B5452" s="1192" t="s">
        <v>4013</v>
      </c>
      <c r="E5452" s="2067" t="s">
        <v>2392</v>
      </c>
      <c r="F5452" s="2067"/>
      <c r="G5452" s="2067"/>
      <c r="H5452" s="2067"/>
      <c r="K5452" s="1192" t="s">
        <v>2533</v>
      </c>
      <c r="V5452" s="1192">
        <v>411</v>
      </c>
    </row>
    <row r="5453" spans="1:22" s="1192" customFormat="1" ht="14.4" x14ac:dyDescent="0.3">
      <c r="A5453" s="1192" t="s">
        <v>3744</v>
      </c>
      <c r="B5453" s="1192" t="s">
        <v>4013</v>
      </c>
      <c r="E5453" s="2067" t="s">
        <v>2508</v>
      </c>
      <c r="F5453" s="2067"/>
      <c r="G5453" s="2067"/>
      <c r="H5453" s="2067"/>
      <c r="K5453" s="1192" t="s">
        <v>2533</v>
      </c>
      <c r="V5453" s="1192">
        <v>386</v>
      </c>
    </row>
    <row r="5454" spans="1:22" s="1192" customFormat="1" ht="14.4" x14ac:dyDescent="0.3">
      <c r="A5454" s="1192" t="s">
        <v>3744</v>
      </c>
      <c r="B5454" s="1192" t="s">
        <v>4013</v>
      </c>
      <c r="E5454" s="2067" t="s">
        <v>4503</v>
      </c>
      <c r="F5454" s="2067"/>
      <c r="G5454" s="2067"/>
      <c r="H5454" s="2067"/>
      <c r="K5454" s="1192" t="s">
        <v>2533</v>
      </c>
      <c r="V5454" s="1192">
        <v>677</v>
      </c>
    </row>
    <row r="5455" spans="1:22" s="1192" customFormat="1" ht="14.4" x14ac:dyDescent="0.3">
      <c r="A5455" s="1192" t="s">
        <v>3744</v>
      </c>
      <c r="B5455" s="1192" t="s">
        <v>4013</v>
      </c>
      <c r="E5455" s="2067" t="s">
        <v>4504</v>
      </c>
      <c r="F5455" s="2067"/>
      <c r="G5455" s="2067"/>
      <c r="H5455" s="2067"/>
      <c r="K5455" s="1192" t="s">
        <v>2533</v>
      </c>
      <c r="V5455" s="1192">
        <v>725</v>
      </c>
    </row>
    <row r="5456" spans="1:22" s="1192" customFormat="1" ht="14.4" x14ac:dyDescent="0.3">
      <c r="A5456" s="1192" t="s">
        <v>3744</v>
      </c>
      <c r="B5456" s="1192" t="s">
        <v>4013</v>
      </c>
      <c r="E5456" s="2067" t="s">
        <v>4500</v>
      </c>
      <c r="F5456" s="2067"/>
      <c r="G5456" s="2067"/>
      <c r="H5456" s="2067"/>
      <c r="K5456" s="1192" t="s">
        <v>2533</v>
      </c>
      <c r="V5456" s="1192">
        <v>247</v>
      </c>
    </row>
    <row r="5457" spans="1:22" s="1192" customFormat="1" ht="14.4" x14ac:dyDescent="0.3">
      <c r="A5457" s="1192" t="s">
        <v>3744</v>
      </c>
      <c r="B5457" s="1192" t="s">
        <v>4013</v>
      </c>
      <c r="E5457" s="2067" t="s">
        <v>2844</v>
      </c>
      <c r="F5457" s="1743"/>
      <c r="G5457" s="1743"/>
      <c r="H5457" s="1743"/>
      <c r="K5457" s="1192" t="s">
        <v>2533</v>
      </c>
      <c r="V5457" s="1192">
        <v>92</v>
      </c>
    </row>
    <row r="5458" spans="1:22" s="1192" customFormat="1" ht="14.4" x14ac:dyDescent="0.3">
      <c r="A5458" s="1192" t="s">
        <v>3744</v>
      </c>
      <c r="B5458" s="1192" t="s">
        <v>4013</v>
      </c>
      <c r="E5458" s="2060" t="s">
        <v>2394</v>
      </c>
      <c r="F5458" s="2068"/>
      <c r="G5458" s="2067"/>
      <c r="H5458" s="2067"/>
      <c r="K5458" s="1192" t="s">
        <v>2425</v>
      </c>
      <c r="V5458" s="1192">
        <v>46</v>
      </c>
    </row>
    <row r="5459" spans="1:22" s="1192" customFormat="1" ht="14.4" x14ac:dyDescent="0.3">
      <c r="A5459" s="1192" t="s">
        <v>3744</v>
      </c>
      <c r="B5459" s="1192" t="s">
        <v>4013</v>
      </c>
      <c r="E5459" s="2081" t="s">
        <v>7</v>
      </c>
      <c r="F5459" s="1740"/>
      <c r="G5459" s="799" t="s">
        <v>19</v>
      </c>
      <c r="H5459" s="837">
        <v>14318.01</v>
      </c>
      <c r="K5459" s="1192" t="s">
        <v>2533</v>
      </c>
      <c r="L5459" s="1192" t="s">
        <v>430</v>
      </c>
      <c r="P5459" s="1192" t="s">
        <v>2535</v>
      </c>
      <c r="V5459" s="1192">
        <v>14</v>
      </c>
    </row>
    <row r="5460" spans="1:22" s="1192" customFormat="1" ht="14.4" x14ac:dyDescent="0.3">
      <c r="A5460" s="1192" t="s">
        <v>3744</v>
      </c>
      <c r="B5460" s="1192" t="s">
        <v>4013</v>
      </c>
      <c r="E5460" s="2062" t="s">
        <v>4508</v>
      </c>
      <c r="F5460" s="1740"/>
      <c r="G5460" s="799" t="s">
        <v>19</v>
      </c>
      <c r="H5460" s="837">
        <v>67.349999999999994</v>
      </c>
      <c r="K5460" s="1192" t="s">
        <v>2533</v>
      </c>
      <c r="L5460" s="1192" t="s">
        <v>430</v>
      </c>
      <c r="P5460" s="1192" t="s">
        <v>6335</v>
      </c>
      <c r="V5460" s="1192">
        <v>154</v>
      </c>
    </row>
    <row r="5461" spans="1:22" s="1192" customFormat="1" ht="14.4" x14ac:dyDescent="0.3">
      <c r="A5461" s="1192" t="s">
        <v>3744</v>
      </c>
      <c r="B5461" s="1192" t="s">
        <v>4013</v>
      </c>
      <c r="E5461" s="2062" t="s">
        <v>4501</v>
      </c>
      <c r="F5461" s="1740"/>
      <c r="G5461" s="799" t="s">
        <v>19</v>
      </c>
      <c r="H5461" s="837">
        <v>91.89</v>
      </c>
      <c r="K5461" s="1192" t="s">
        <v>2533</v>
      </c>
      <c r="L5461" s="1192" t="s">
        <v>430</v>
      </c>
      <c r="P5461" s="1192" t="s">
        <v>6336</v>
      </c>
      <c r="V5461" s="1192">
        <v>135</v>
      </c>
    </row>
    <row r="5462" spans="1:22" s="1192" customFormat="1" ht="14.4" x14ac:dyDescent="0.3">
      <c r="A5462" s="1192" t="s">
        <v>3744</v>
      </c>
      <c r="B5462" s="1192" t="s">
        <v>4013</v>
      </c>
      <c r="E5462" s="2081" t="s">
        <v>4016</v>
      </c>
      <c r="F5462" s="1740"/>
      <c r="G5462" s="799" t="s">
        <v>19</v>
      </c>
      <c r="H5462" s="837">
        <v>346.9</v>
      </c>
      <c r="K5462" s="1192" t="s">
        <v>2533</v>
      </c>
      <c r="L5462" s="1192" t="s">
        <v>430</v>
      </c>
      <c r="P5462" s="1192" t="s">
        <v>6337</v>
      </c>
      <c r="V5462" s="1192">
        <v>135</v>
      </c>
    </row>
    <row r="5463" spans="1:22" s="1192" customFormat="1" ht="14.4" x14ac:dyDescent="0.3">
      <c r="A5463" s="1192" t="s">
        <v>3744</v>
      </c>
      <c r="B5463" s="1192" t="s">
        <v>4013</v>
      </c>
      <c r="E5463" s="2081" t="s">
        <v>80</v>
      </c>
      <c r="F5463" s="1740"/>
      <c r="G5463" s="799" t="s">
        <v>29</v>
      </c>
      <c r="H5463" s="837">
        <v>3.0651000000000002</v>
      </c>
      <c r="K5463" s="1192" t="s">
        <v>2533</v>
      </c>
      <c r="L5463" s="1192" t="s">
        <v>430</v>
      </c>
      <c r="P5463" s="1192" t="s">
        <v>2536</v>
      </c>
      <c r="V5463" s="1192">
        <v>28</v>
      </c>
    </row>
    <row r="5464" spans="1:22" s="1192" customFormat="1" ht="14.4" x14ac:dyDescent="0.3">
      <c r="A5464" s="1192" t="s">
        <v>3744</v>
      </c>
      <c r="B5464" s="1192" t="s">
        <v>4013</v>
      </c>
      <c r="E5464" s="2081" t="s">
        <v>3698</v>
      </c>
      <c r="F5464" s="1740"/>
      <c r="G5464" s="799" t="s">
        <v>29</v>
      </c>
      <c r="H5464" s="837">
        <v>8.3799999999999999E-2</v>
      </c>
      <c r="K5464" s="1192" t="s">
        <v>2533</v>
      </c>
      <c r="L5464" s="1192" t="s">
        <v>431</v>
      </c>
      <c r="P5464" s="1192" t="s">
        <v>2537</v>
      </c>
      <c r="V5464" s="1192">
        <v>25</v>
      </c>
    </row>
    <row r="5465" spans="1:22" s="1192" customFormat="1" ht="14.4" x14ac:dyDescent="0.3">
      <c r="A5465" s="1192" t="s">
        <v>3744</v>
      </c>
      <c r="B5465" s="1192" t="s">
        <v>4013</v>
      </c>
      <c r="E5465" s="2081" t="s">
        <v>6123</v>
      </c>
      <c r="F5465" s="1989"/>
      <c r="G5465" s="799" t="s">
        <v>29</v>
      </c>
      <c r="H5465" s="836">
        <v>9.7600000000000006E-2</v>
      </c>
      <c r="K5465" s="1192" t="s">
        <v>2533</v>
      </c>
      <c r="L5465" s="1192" t="s">
        <v>430</v>
      </c>
      <c r="P5465" s="1192" t="s">
        <v>2538</v>
      </c>
      <c r="T5465" s="1192">
        <v>44196</v>
      </c>
      <c r="V5465" s="1192">
        <v>132</v>
      </c>
    </row>
    <row r="5466" spans="1:22" s="1192" customFormat="1" ht="14.4" x14ac:dyDescent="0.3">
      <c r="A5466" s="1192" t="s">
        <v>3744</v>
      </c>
      <c r="B5466" s="1192" t="s">
        <v>4013</v>
      </c>
      <c r="E5466" s="2081" t="s">
        <v>6087</v>
      </c>
      <c r="F5466" s="1989"/>
      <c r="G5466" s="799" t="s">
        <v>29</v>
      </c>
      <c r="H5466" s="836">
        <v>0.1787</v>
      </c>
      <c r="K5466" s="1192" t="s">
        <v>2533</v>
      </c>
      <c r="L5466" s="1192" t="s">
        <v>431</v>
      </c>
      <c r="P5466" s="1192" t="s">
        <v>2539</v>
      </c>
      <c r="T5466" s="1192">
        <v>44196</v>
      </c>
      <c r="V5466" s="1192">
        <v>99</v>
      </c>
    </row>
    <row r="5467" spans="1:22" s="1192" customFormat="1" ht="14.4" x14ac:dyDescent="0.3">
      <c r="A5467" s="1192" t="s">
        <v>3744</v>
      </c>
      <c r="B5467" s="1192" t="s">
        <v>4013</v>
      </c>
      <c r="E5467" s="2062" t="s">
        <v>4508</v>
      </c>
      <c r="F5467" s="1740"/>
      <c r="G5467" s="799" t="s">
        <v>29</v>
      </c>
      <c r="H5467" s="837">
        <v>1.44E-2</v>
      </c>
      <c r="K5467" s="1192" t="s">
        <v>2533</v>
      </c>
      <c r="L5467" s="1192" t="s">
        <v>430</v>
      </c>
      <c r="P5467" s="1192" t="s">
        <v>6338</v>
      </c>
      <c r="V5467" s="1192">
        <v>154</v>
      </c>
    </row>
    <row r="5468" spans="1:22" s="1192" customFormat="1" ht="14.4" x14ac:dyDescent="0.3">
      <c r="A5468" s="1192" t="s">
        <v>3744</v>
      </c>
      <c r="B5468" s="1192" t="s">
        <v>4013</v>
      </c>
      <c r="E5468" s="2062" t="s">
        <v>4501</v>
      </c>
      <c r="F5468" s="1740"/>
      <c r="G5468" s="799" t="s">
        <v>29</v>
      </c>
      <c r="H5468" s="837">
        <v>1.9699999999999999E-2</v>
      </c>
      <c r="K5468" s="1192" t="s">
        <v>2533</v>
      </c>
      <c r="L5468" s="1192" t="s">
        <v>430</v>
      </c>
      <c r="P5468" s="1192" t="s">
        <v>6339</v>
      </c>
      <c r="V5468" s="1192">
        <v>135</v>
      </c>
    </row>
    <row r="5469" spans="1:22" s="1192" customFormat="1" ht="14.4" x14ac:dyDescent="0.3">
      <c r="A5469" s="1192" t="s">
        <v>3744</v>
      </c>
      <c r="B5469" s="1192" t="s">
        <v>4013</v>
      </c>
      <c r="E5469" s="2081" t="s">
        <v>4016</v>
      </c>
      <c r="F5469" s="1740"/>
      <c r="G5469" s="799" t="s">
        <v>29</v>
      </c>
      <c r="H5469" s="837">
        <v>7.4300000000000005E-2</v>
      </c>
      <c r="K5469" s="1192" t="s">
        <v>2533</v>
      </c>
      <c r="L5469" s="1192" t="s">
        <v>430</v>
      </c>
      <c r="P5469" s="1192" t="s">
        <v>6340</v>
      </c>
      <c r="V5469" s="1192">
        <v>135</v>
      </c>
    </row>
    <row r="5470" spans="1:22" s="1192" customFormat="1" ht="14.4" x14ac:dyDescent="0.3">
      <c r="A5470" s="1192" t="s">
        <v>3744</v>
      </c>
      <c r="B5470" s="1192" t="s">
        <v>4013</v>
      </c>
      <c r="E5470" s="2081" t="s">
        <v>4045</v>
      </c>
      <c r="F5470" s="1740"/>
      <c r="G5470" s="799" t="s">
        <v>29</v>
      </c>
      <c r="H5470" s="837">
        <v>3.0485000000000002</v>
      </c>
      <c r="K5470" s="1192" t="s">
        <v>2533</v>
      </c>
      <c r="L5470" s="1192" t="s">
        <v>432</v>
      </c>
      <c r="P5470" s="1192" t="s">
        <v>2833</v>
      </c>
      <c r="V5470" s="1192">
        <v>66</v>
      </c>
    </row>
    <row r="5471" spans="1:22" s="1192" customFormat="1" ht="14.4" x14ac:dyDescent="0.3">
      <c r="A5471" s="1192" t="s">
        <v>3744</v>
      </c>
      <c r="B5471" s="1192" t="s">
        <v>4013</v>
      </c>
      <c r="E5471" s="2081" t="s">
        <v>4046</v>
      </c>
      <c r="F5471" s="1740"/>
      <c r="G5471" s="799" t="s">
        <v>29</v>
      </c>
      <c r="H5471" s="837">
        <v>2.7589000000000001</v>
      </c>
      <c r="K5471" s="1192" t="s">
        <v>2533</v>
      </c>
      <c r="L5471" s="1192" t="s">
        <v>432</v>
      </c>
      <c r="P5471" s="1192" t="s">
        <v>2834</v>
      </c>
      <c r="V5471" s="1192">
        <v>94</v>
      </c>
    </row>
    <row r="5472" spans="1:22" s="1192" customFormat="1" ht="14.4" x14ac:dyDescent="0.3">
      <c r="A5472" s="1192" t="s">
        <v>3744</v>
      </c>
      <c r="B5472" s="1192" t="s">
        <v>4013</v>
      </c>
      <c r="E5472" s="2060" t="s">
        <v>2405</v>
      </c>
      <c r="F5472" s="1741"/>
      <c r="G5472" s="1282"/>
      <c r="H5472" s="1325"/>
      <c r="K5472" s="1192" t="s">
        <v>2427</v>
      </c>
      <c r="V5472" s="1192">
        <v>48</v>
      </c>
    </row>
    <row r="5473" spans="1:22" s="1192" customFormat="1" ht="14.4" x14ac:dyDescent="0.3">
      <c r="A5473" s="1192" t="s">
        <v>3744</v>
      </c>
      <c r="B5473" s="1192" t="s">
        <v>4013</v>
      </c>
      <c r="E5473" s="1740" t="s">
        <v>2033</v>
      </c>
      <c r="F5473" s="1740"/>
      <c r="G5473" s="1282" t="s">
        <v>20</v>
      </c>
      <c r="H5473" s="1219">
        <v>3.0000000000000001E-3</v>
      </c>
      <c r="K5473" s="1192" t="s">
        <v>2533</v>
      </c>
      <c r="L5473" s="1192" t="s">
        <v>2374</v>
      </c>
      <c r="P5473" s="1192" t="s">
        <v>2540</v>
      </c>
      <c r="V5473" s="1192">
        <v>55</v>
      </c>
    </row>
    <row r="5474" spans="1:22" s="1192" customFormat="1" ht="14.4" x14ac:dyDescent="0.3">
      <c r="A5474" s="1192" t="s">
        <v>3744</v>
      </c>
      <c r="B5474" s="1192" t="s">
        <v>4013</v>
      </c>
      <c r="E5474" s="2081" t="s">
        <v>2034</v>
      </c>
      <c r="F5474" s="1740"/>
      <c r="G5474" s="1282" t="s">
        <v>20</v>
      </c>
      <c r="H5474" s="836">
        <v>4.0000000000000002E-4</v>
      </c>
      <c r="K5474" s="1192" t="s">
        <v>2533</v>
      </c>
      <c r="L5474" s="1192" t="s">
        <v>2374</v>
      </c>
      <c r="P5474" s="1192" t="s">
        <v>2540</v>
      </c>
      <c r="V5474" s="1192">
        <v>65</v>
      </c>
    </row>
    <row r="5475" spans="1:22" s="1192" customFormat="1" ht="14.4" x14ac:dyDescent="0.3">
      <c r="A5475" s="1192" t="s">
        <v>3744</v>
      </c>
      <c r="B5475" s="1192" t="s">
        <v>4013</v>
      </c>
      <c r="E5475" s="2062" t="s">
        <v>428</v>
      </c>
      <c r="F5475" s="1740"/>
      <c r="G5475" s="1282" t="s">
        <v>20</v>
      </c>
      <c r="H5475" s="836">
        <v>5.0000000000000001E-4</v>
      </c>
      <c r="K5475" s="1192" t="s">
        <v>2533</v>
      </c>
      <c r="L5475" s="1192" t="s">
        <v>2374</v>
      </c>
      <c r="P5475" s="1192" t="s">
        <v>2541</v>
      </c>
      <c r="V5475" s="1192">
        <v>57</v>
      </c>
    </row>
    <row r="5476" spans="1:22" s="1192" customFormat="1" ht="14.4" x14ac:dyDescent="0.3">
      <c r="A5476" s="1192" t="s">
        <v>3744</v>
      </c>
      <c r="B5476" s="1192" t="s">
        <v>4013</v>
      </c>
      <c r="E5476" s="2062" t="s">
        <v>28</v>
      </c>
      <c r="F5476" s="1740"/>
      <c r="G5476" s="1282" t="s">
        <v>19</v>
      </c>
      <c r="H5476" s="836">
        <v>0.25</v>
      </c>
      <c r="K5476" s="1192" t="s">
        <v>2533</v>
      </c>
      <c r="L5476" s="1192" t="s">
        <v>2374</v>
      </c>
      <c r="P5476" s="1192" t="s">
        <v>2542</v>
      </c>
      <c r="V5476" s="1192">
        <v>63</v>
      </c>
    </row>
    <row r="5477" spans="1:22" s="1192" customFormat="1" ht="17.399999999999999" x14ac:dyDescent="0.3">
      <c r="A5477" s="1192" t="s">
        <v>3744</v>
      </c>
      <c r="B5477" s="1192" t="s">
        <v>4013</v>
      </c>
      <c r="E5477" s="2082" t="s">
        <v>592</v>
      </c>
      <c r="F5477" s="2082"/>
      <c r="G5477" s="2083"/>
      <c r="H5477" s="2083"/>
      <c r="K5477" s="1192" t="s">
        <v>2543</v>
      </c>
      <c r="V5477" s="1192">
        <v>47</v>
      </c>
    </row>
    <row r="5478" spans="1:22" s="1192" customFormat="1" ht="14.4" x14ac:dyDescent="0.3">
      <c r="A5478" s="1192" t="s">
        <v>3744</v>
      </c>
      <c r="B5478" s="1192" t="s">
        <v>4013</v>
      </c>
      <c r="E5478" s="2067" t="s">
        <v>4047</v>
      </c>
      <c r="F5478" s="2067"/>
      <c r="G5478" s="2067"/>
      <c r="H5478" s="2067"/>
      <c r="K5478" s="1192" t="s">
        <v>2543</v>
      </c>
      <c r="V5478" s="1192">
        <v>760</v>
      </c>
    </row>
    <row r="5479" spans="1:22" s="1192" customFormat="1" ht="14.4" x14ac:dyDescent="0.3">
      <c r="A5479" s="1192" t="s">
        <v>3744</v>
      </c>
      <c r="B5479" s="1192" t="s">
        <v>4013</v>
      </c>
      <c r="E5479" s="2060" t="s">
        <v>2389</v>
      </c>
      <c r="F5479" s="2068"/>
      <c r="G5479" s="2067"/>
      <c r="H5479" s="2067"/>
      <c r="K5479" s="1192" t="s">
        <v>2430</v>
      </c>
      <c r="V5479" s="1192">
        <v>11</v>
      </c>
    </row>
    <row r="5480" spans="1:22" s="1192" customFormat="1" ht="14.4" x14ac:dyDescent="0.3">
      <c r="A5480" s="1192" t="s">
        <v>3744</v>
      </c>
      <c r="B5480" s="1192" t="s">
        <v>4013</v>
      </c>
      <c r="E5480" s="2067" t="s">
        <v>2391</v>
      </c>
      <c r="F5480" s="2067"/>
      <c r="G5480" s="2067"/>
      <c r="H5480" s="2067"/>
      <c r="K5480" s="1192" t="s">
        <v>2543</v>
      </c>
      <c r="V5480" s="1192">
        <v>280</v>
      </c>
    </row>
    <row r="5481" spans="1:22" s="1192" customFormat="1" ht="14.4" x14ac:dyDescent="0.3">
      <c r="A5481" s="1192" t="s">
        <v>3744</v>
      </c>
      <c r="B5481" s="1192" t="s">
        <v>4013</v>
      </c>
      <c r="E5481" s="2067" t="s">
        <v>2392</v>
      </c>
      <c r="F5481" s="2067"/>
      <c r="G5481" s="2067"/>
      <c r="H5481" s="2067"/>
      <c r="K5481" s="1192" t="s">
        <v>2543</v>
      </c>
      <c r="V5481" s="1192">
        <v>411</v>
      </c>
    </row>
    <row r="5482" spans="1:22" s="1192" customFormat="1" ht="14.4" x14ac:dyDescent="0.3">
      <c r="A5482" s="1192" t="s">
        <v>3744</v>
      </c>
      <c r="B5482" s="1192" t="s">
        <v>4013</v>
      </c>
      <c r="E5482" s="2067" t="s">
        <v>2508</v>
      </c>
      <c r="F5482" s="2067"/>
      <c r="G5482" s="2067"/>
      <c r="H5482" s="2067"/>
      <c r="K5482" s="1192" t="s">
        <v>2543</v>
      </c>
      <c r="V5482" s="1192">
        <v>386</v>
      </c>
    </row>
    <row r="5483" spans="1:22" s="1192" customFormat="1" ht="14.4" x14ac:dyDescent="0.3">
      <c r="A5483" s="1192" t="s">
        <v>3744</v>
      </c>
      <c r="B5483" s="1192" t="s">
        <v>4013</v>
      </c>
      <c r="E5483" s="2067" t="s">
        <v>4500</v>
      </c>
      <c r="F5483" s="2067"/>
      <c r="G5483" s="2067"/>
      <c r="H5483" s="2067"/>
      <c r="K5483" s="1192" t="s">
        <v>2543</v>
      </c>
      <c r="V5483" s="1192">
        <v>247</v>
      </c>
    </row>
    <row r="5484" spans="1:22" s="1192" customFormat="1" ht="14.4" x14ac:dyDescent="0.3">
      <c r="A5484" s="1192" t="s">
        <v>3744</v>
      </c>
      <c r="B5484" s="1192" t="s">
        <v>4013</v>
      </c>
      <c r="E5484" s="2060" t="s">
        <v>2394</v>
      </c>
      <c r="F5484" s="2068"/>
      <c r="G5484" s="2067"/>
      <c r="H5484" s="2067"/>
      <c r="K5484" s="1192" t="s">
        <v>2431</v>
      </c>
      <c r="V5484" s="1192">
        <v>46</v>
      </c>
    </row>
    <row r="5485" spans="1:22" s="1192" customFormat="1" ht="14.4" x14ac:dyDescent="0.3">
      <c r="A5485" s="1192" t="s">
        <v>3744</v>
      </c>
      <c r="B5485" s="1192" t="s">
        <v>4013</v>
      </c>
      <c r="E5485" s="2081" t="s">
        <v>8</v>
      </c>
      <c r="F5485" s="1740"/>
      <c r="G5485" s="799" t="s">
        <v>19</v>
      </c>
      <c r="H5485" s="837">
        <v>9.35</v>
      </c>
      <c r="K5485" s="1192" t="s">
        <v>2543</v>
      </c>
      <c r="L5485" s="1192" t="s">
        <v>430</v>
      </c>
      <c r="P5485" s="1192" t="s">
        <v>2545</v>
      </c>
      <c r="V5485" s="1192">
        <v>31</v>
      </c>
    </row>
    <row r="5486" spans="1:22" s="1192" customFormat="1" ht="14.4" x14ac:dyDescent="0.3">
      <c r="A5486" s="1192" t="s">
        <v>3744</v>
      </c>
      <c r="B5486" s="1192" t="s">
        <v>4013</v>
      </c>
      <c r="E5486" s="2062" t="s">
        <v>4508</v>
      </c>
      <c r="F5486" s="1740"/>
      <c r="G5486" s="799" t="s">
        <v>19</v>
      </c>
      <c r="H5486" s="836">
        <v>0.04</v>
      </c>
      <c r="K5486" s="1192" t="s">
        <v>2543</v>
      </c>
      <c r="L5486" s="1192" t="s">
        <v>430</v>
      </c>
      <c r="P5486" s="1192" t="s">
        <v>6341</v>
      </c>
      <c r="V5486" s="1192">
        <v>154</v>
      </c>
    </row>
    <row r="5487" spans="1:22" s="1192" customFormat="1" ht="14.4" x14ac:dyDescent="0.3">
      <c r="A5487" s="1192" t="s">
        <v>3744</v>
      </c>
      <c r="B5487" s="1192" t="s">
        <v>4013</v>
      </c>
      <c r="E5487" s="2062" t="s">
        <v>4501</v>
      </c>
      <c r="F5487" s="1740"/>
      <c r="G5487" s="799" t="s">
        <v>19</v>
      </c>
      <c r="H5487" s="836">
        <v>0.06</v>
      </c>
      <c r="K5487" s="1192" t="s">
        <v>2543</v>
      </c>
      <c r="L5487" s="1192" t="s">
        <v>430</v>
      </c>
      <c r="P5487" s="1192" t="s">
        <v>6342</v>
      </c>
      <c r="V5487" s="1192">
        <v>135</v>
      </c>
    </row>
    <row r="5488" spans="1:22" s="1192" customFormat="1" ht="14.4" x14ac:dyDescent="0.3">
      <c r="A5488" s="1192" t="s">
        <v>3744</v>
      </c>
      <c r="B5488" s="1192" t="s">
        <v>4013</v>
      </c>
      <c r="E5488" s="2081" t="s">
        <v>4016</v>
      </c>
      <c r="F5488" s="1740"/>
      <c r="G5488" s="799" t="s">
        <v>19</v>
      </c>
      <c r="H5488" s="836">
        <v>0.23</v>
      </c>
      <c r="K5488" s="1192" t="s">
        <v>2543</v>
      </c>
      <c r="L5488" s="1192" t="s">
        <v>430</v>
      </c>
      <c r="P5488" s="1192" t="s">
        <v>6343</v>
      </c>
      <c r="V5488" s="1192">
        <v>135</v>
      </c>
    </row>
    <row r="5489" spans="1:22" s="1192" customFormat="1" ht="14.4" x14ac:dyDescent="0.3">
      <c r="A5489" s="1192" t="s">
        <v>3744</v>
      </c>
      <c r="B5489" s="1192" t="s">
        <v>4013</v>
      </c>
      <c r="E5489" s="2081" t="s">
        <v>80</v>
      </c>
      <c r="F5489" s="1740"/>
      <c r="G5489" s="799" t="s">
        <v>20</v>
      </c>
      <c r="H5489" s="837">
        <v>1.7000000000000001E-2</v>
      </c>
      <c r="K5489" s="1192" t="s">
        <v>2543</v>
      </c>
      <c r="L5489" s="1192" t="s">
        <v>430</v>
      </c>
      <c r="P5489" s="1192" t="s">
        <v>2546</v>
      </c>
      <c r="V5489" s="1192">
        <v>28</v>
      </c>
    </row>
    <row r="5490" spans="1:22" s="1192" customFormat="1" ht="14.4" x14ac:dyDescent="0.3">
      <c r="A5490" s="1192" t="s">
        <v>3744</v>
      </c>
      <c r="B5490" s="1192" t="s">
        <v>4013</v>
      </c>
      <c r="E5490" s="2081" t="s">
        <v>3698</v>
      </c>
      <c r="F5490" s="1740"/>
      <c r="G5490" s="799" t="s">
        <v>20</v>
      </c>
      <c r="H5490" s="837">
        <v>2.0000000000000001E-4</v>
      </c>
      <c r="K5490" s="1192" t="s">
        <v>2543</v>
      </c>
      <c r="L5490" s="1192" t="s">
        <v>431</v>
      </c>
      <c r="P5490" s="1192" t="s">
        <v>2547</v>
      </c>
      <c r="V5490" s="1192">
        <v>25</v>
      </c>
    </row>
    <row r="5491" spans="1:22" s="1192" customFormat="1" ht="14.4" x14ac:dyDescent="0.3">
      <c r="A5491" s="1192" t="s">
        <v>3744</v>
      </c>
      <c r="B5491" s="1192" t="s">
        <v>4013</v>
      </c>
      <c r="E5491" s="2081" t="s">
        <v>6090</v>
      </c>
      <c r="F5491" s="1989"/>
      <c r="G5491" s="799" t="s">
        <v>20</v>
      </c>
      <c r="H5491" s="1219">
        <v>-3.3E-3</v>
      </c>
      <c r="K5491" s="1192" t="s">
        <v>2543</v>
      </c>
      <c r="L5491" s="1192" t="s">
        <v>431</v>
      </c>
      <c r="P5491" s="1192" t="s">
        <v>2880</v>
      </c>
      <c r="T5491" s="1192">
        <v>44196</v>
      </c>
      <c r="V5491" s="1192">
        <v>142</v>
      </c>
    </row>
    <row r="5492" spans="1:22" s="1192" customFormat="1" ht="14.4" x14ac:dyDescent="0.3">
      <c r="A5492" s="1192" t="s">
        <v>3744</v>
      </c>
      <c r="B5492" s="1192" t="s">
        <v>4013</v>
      </c>
      <c r="E5492" s="2081" t="s">
        <v>6087</v>
      </c>
      <c r="F5492" s="1989"/>
      <c r="G5492" s="799" t="s">
        <v>20</v>
      </c>
      <c r="H5492" s="836">
        <v>2.9999999999999997E-4</v>
      </c>
      <c r="K5492" s="1192" t="s">
        <v>2543</v>
      </c>
      <c r="L5492" s="1192" t="s">
        <v>431</v>
      </c>
      <c r="P5492" s="1192" t="s">
        <v>2549</v>
      </c>
      <c r="T5492" s="1192">
        <v>44196</v>
      </c>
      <c r="V5492" s="1192">
        <v>99</v>
      </c>
    </row>
    <row r="5493" spans="1:22" s="1192" customFormat="1" ht="14.4" x14ac:dyDescent="0.3">
      <c r="A5493" s="1192" t="s">
        <v>3744</v>
      </c>
      <c r="B5493" s="1192" t="s">
        <v>4013</v>
      </c>
      <c r="E5493" s="2081" t="s">
        <v>6316</v>
      </c>
      <c r="F5493" s="1989"/>
      <c r="G5493" s="799" t="s">
        <v>20</v>
      </c>
      <c r="H5493" s="1219">
        <v>-1E-4</v>
      </c>
      <c r="K5493" s="1192" t="s">
        <v>2543</v>
      </c>
      <c r="L5493" s="1192" t="s">
        <v>431</v>
      </c>
      <c r="P5493" s="1192" t="s">
        <v>4048</v>
      </c>
      <c r="T5493" s="1192">
        <v>44196</v>
      </c>
      <c r="V5493" s="1192">
        <v>142</v>
      </c>
    </row>
    <row r="5494" spans="1:22" s="1192" customFormat="1" ht="14.4" x14ac:dyDescent="0.3">
      <c r="A5494" s="1192" t="s">
        <v>3744</v>
      </c>
      <c r="B5494" s="1192" t="s">
        <v>4013</v>
      </c>
      <c r="E5494" s="2062" t="s">
        <v>4508</v>
      </c>
      <c r="F5494" s="1740"/>
      <c r="G5494" s="799" t="s">
        <v>20</v>
      </c>
      <c r="H5494" s="837">
        <v>1E-4</v>
      </c>
      <c r="K5494" s="1192" t="s">
        <v>2543</v>
      </c>
      <c r="L5494" s="1192" t="s">
        <v>430</v>
      </c>
      <c r="P5494" s="1192" t="s">
        <v>6344</v>
      </c>
      <c r="V5494" s="1192">
        <v>154</v>
      </c>
    </row>
    <row r="5495" spans="1:22" s="1192" customFormat="1" ht="14.4" x14ac:dyDescent="0.3">
      <c r="A5495" s="1192" t="s">
        <v>3744</v>
      </c>
      <c r="B5495" s="1192" t="s">
        <v>4013</v>
      </c>
      <c r="E5495" s="2062" t="s">
        <v>4501</v>
      </c>
      <c r="F5495" s="1740"/>
      <c r="G5495" s="799" t="s">
        <v>20</v>
      </c>
      <c r="H5495" s="837">
        <v>1E-4</v>
      </c>
      <c r="K5495" s="1192" t="s">
        <v>2543</v>
      </c>
      <c r="L5495" s="1192" t="s">
        <v>430</v>
      </c>
      <c r="P5495" s="1192" t="s">
        <v>6345</v>
      </c>
      <c r="V5495" s="1192">
        <v>135</v>
      </c>
    </row>
    <row r="5496" spans="1:22" s="1192" customFormat="1" ht="14.4" x14ac:dyDescent="0.3">
      <c r="A5496" s="1192" t="s">
        <v>3744</v>
      </c>
      <c r="B5496" s="1192" t="s">
        <v>4013</v>
      </c>
      <c r="E5496" s="2081" t="s">
        <v>4016</v>
      </c>
      <c r="F5496" s="1740"/>
      <c r="G5496" s="799" t="s">
        <v>20</v>
      </c>
      <c r="H5496" s="837">
        <v>4.0000000000000002E-4</v>
      </c>
      <c r="K5496" s="1192" t="s">
        <v>2543</v>
      </c>
      <c r="L5496" s="1192" t="s">
        <v>430</v>
      </c>
      <c r="P5496" s="1192" t="s">
        <v>6346</v>
      </c>
      <c r="V5496" s="1192">
        <v>135</v>
      </c>
    </row>
    <row r="5497" spans="1:22" s="1192" customFormat="1" ht="14.4" x14ac:dyDescent="0.3">
      <c r="A5497" s="1192" t="s">
        <v>3744</v>
      </c>
      <c r="B5497" s="1192" t="s">
        <v>4013</v>
      </c>
      <c r="E5497" s="2081" t="s">
        <v>213</v>
      </c>
      <c r="F5497" s="1740"/>
      <c r="G5497" s="799" t="s">
        <v>20</v>
      </c>
      <c r="H5497" s="837">
        <v>7.7000000000000002E-3</v>
      </c>
      <c r="K5497" s="1192" t="s">
        <v>2543</v>
      </c>
      <c r="L5497" s="1192" t="s">
        <v>432</v>
      </c>
      <c r="P5497" s="1192" t="s">
        <v>2550</v>
      </c>
      <c r="V5497" s="1192">
        <v>47</v>
      </c>
    </row>
    <row r="5498" spans="1:22" s="1192" customFormat="1" ht="14.4" x14ac:dyDescent="0.3">
      <c r="A5498" s="1192" t="s">
        <v>3744</v>
      </c>
      <c r="B5498" s="1192" t="s">
        <v>4013</v>
      </c>
      <c r="E5498" s="2081" t="s">
        <v>209</v>
      </c>
      <c r="F5498" s="1740"/>
      <c r="G5498" s="799" t="s">
        <v>20</v>
      </c>
      <c r="H5498" s="837">
        <v>6.6E-3</v>
      </c>
      <c r="K5498" s="1192" t="s">
        <v>2543</v>
      </c>
      <c r="L5498" s="1192" t="s">
        <v>432</v>
      </c>
      <c r="P5498" s="1192" t="s">
        <v>2551</v>
      </c>
      <c r="V5498" s="1192">
        <v>74</v>
      </c>
    </row>
    <row r="5499" spans="1:22" s="1192" customFormat="1" ht="14.4" x14ac:dyDescent="0.3">
      <c r="A5499" s="1192" t="s">
        <v>3744</v>
      </c>
      <c r="B5499" s="1192" t="s">
        <v>4013</v>
      </c>
      <c r="E5499" s="2060" t="s">
        <v>2405</v>
      </c>
      <c r="F5499" s="1741"/>
      <c r="G5499" s="1282"/>
      <c r="H5499" s="1325"/>
      <c r="K5499" s="1192" t="s">
        <v>2438</v>
      </c>
      <c r="V5499" s="1192">
        <v>48</v>
      </c>
    </row>
    <row r="5500" spans="1:22" s="1192" customFormat="1" ht="14.4" x14ac:dyDescent="0.3">
      <c r="A5500" s="1192" t="s">
        <v>3744</v>
      </c>
      <c r="B5500" s="1192" t="s">
        <v>4013</v>
      </c>
      <c r="E5500" s="1740" t="s">
        <v>2033</v>
      </c>
      <c r="F5500" s="1740"/>
      <c r="G5500" s="1282" t="s">
        <v>20</v>
      </c>
      <c r="H5500" s="1219">
        <v>3.0000000000000001E-3</v>
      </c>
      <c r="K5500" s="1192" t="s">
        <v>2543</v>
      </c>
      <c r="L5500" s="1192" t="s">
        <v>2374</v>
      </c>
      <c r="P5500" s="1192" t="s">
        <v>2552</v>
      </c>
      <c r="V5500" s="1192">
        <v>55</v>
      </c>
    </row>
    <row r="5501" spans="1:22" s="1192" customFormat="1" ht="14.4" x14ac:dyDescent="0.3">
      <c r="A5501" s="1192" t="s">
        <v>3744</v>
      </c>
      <c r="B5501" s="1192" t="s">
        <v>4013</v>
      </c>
      <c r="E5501" s="2081" t="s">
        <v>2034</v>
      </c>
      <c r="F5501" s="1740"/>
      <c r="G5501" s="1282" t="s">
        <v>20</v>
      </c>
      <c r="H5501" s="836">
        <v>4.0000000000000002E-4</v>
      </c>
      <c r="K5501" s="1192" t="s">
        <v>2543</v>
      </c>
      <c r="L5501" s="1192" t="s">
        <v>2374</v>
      </c>
      <c r="P5501" s="1192" t="s">
        <v>2552</v>
      </c>
      <c r="V5501" s="1192">
        <v>65</v>
      </c>
    </row>
    <row r="5502" spans="1:22" s="1192" customFormat="1" ht="14.4" x14ac:dyDescent="0.3">
      <c r="A5502" s="1192" t="s">
        <v>3744</v>
      </c>
      <c r="B5502" s="1192" t="s">
        <v>4013</v>
      </c>
      <c r="E5502" s="2062" t="s">
        <v>428</v>
      </c>
      <c r="F5502" s="1740"/>
      <c r="G5502" s="1282" t="s">
        <v>20</v>
      </c>
      <c r="H5502" s="836">
        <v>5.0000000000000001E-4</v>
      </c>
      <c r="K5502" s="1192" t="s">
        <v>2543</v>
      </c>
      <c r="L5502" s="1192" t="s">
        <v>2374</v>
      </c>
      <c r="P5502" s="1192" t="s">
        <v>2553</v>
      </c>
      <c r="V5502" s="1192">
        <v>57</v>
      </c>
    </row>
    <row r="5503" spans="1:22" s="1192" customFormat="1" ht="14.4" x14ac:dyDescent="0.3">
      <c r="A5503" s="1192" t="s">
        <v>3744</v>
      </c>
      <c r="B5503" s="1192" t="s">
        <v>4013</v>
      </c>
      <c r="E5503" s="2062" t="s">
        <v>28</v>
      </c>
      <c r="F5503" s="1740"/>
      <c r="G5503" s="1282" t="s">
        <v>19</v>
      </c>
      <c r="H5503" s="836">
        <v>0.25</v>
      </c>
      <c r="K5503" s="1192" t="s">
        <v>2543</v>
      </c>
      <c r="L5503" s="1192" t="s">
        <v>2374</v>
      </c>
      <c r="P5503" s="1192" t="s">
        <v>2554</v>
      </c>
      <c r="V5503" s="1192">
        <v>63</v>
      </c>
    </row>
    <row r="5504" spans="1:22" s="1192" customFormat="1" ht="17.399999999999999" x14ac:dyDescent="0.3">
      <c r="A5504" s="1192" t="s">
        <v>3744</v>
      </c>
      <c r="B5504" s="1192" t="s">
        <v>4013</v>
      </c>
      <c r="E5504" s="2082" t="s">
        <v>590</v>
      </c>
      <c r="F5504" s="2082"/>
      <c r="G5504" s="2083"/>
      <c r="H5504" s="2083"/>
      <c r="K5504" s="1192" t="s">
        <v>2746</v>
      </c>
      <c r="V5504" s="1192">
        <v>38</v>
      </c>
    </row>
    <row r="5505" spans="1:22" s="1192" customFormat="1" ht="14.4" x14ac:dyDescent="0.3">
      <c r="A5505" s="1192" t="s">
        <v>3744</v>
      </c>
      <c r="B5505" s="1192" t="s">
        <v>4013</v>
      </c>
      <c r="E5505" s="2067" t="s">
        <v>4049</v>
      </c>
      <c r="F5505" s="2067"/>
      <c r="G5505" s="2067"/>
      <c r="H5505" s="2067"/>
      <c r="K5505" s="1192" t="s">
        <v>2746</v>
      </c>
      <c r="V5505" s="1192">
        <v>395</v>
      </c>
    </row>
    <row r="5506" spans="1:22" s="1192" customFormat="1" ht="14.4" x14ac:dyDescent="0.3">
      <c r="A5506" s="1192" t="s">
        <v>3744</v>
      </c>
      <c r="B5506" s="1192" t="s">
        <v>4013</v>
      </c>
      <c r="E5506" s="2060" t="s">
        <v>2389</v>
      </c>
      <c r="F5506" s="2068"/>
      <c r="G5506" s="2067"/>
      <c r="H5506" s="2067"/>
      <c r="K5506" s="1192" t="s">
        <v>2444</v>
      </c>
      <c r="V5506" s="1192">
        <v>11</v>
      </c>
    </row>
    <row r="5507" spans="1:22" s="1192" customFormat="1" ht="14.4" x14ac:dyDescent="0.3">
      <c r="A5507" s="1192" t="s">
        <v>3744</v>
      </c>
      <c r="B5507" s="1192" t="s">
        <v>4013</v>
      </c>
      <c r="E5507" s="2067" t="s">
        <v>2391</v>
      </c>
      <c r="F5507" s="2067"/>
      <c r="G5507" s="2067"/>
      <c r="H5507" s="2067"/>
      <c r="K5507" s="1192" t="s">
        <v>2746</v>
      </c>
      <c r="V5507" s="1192">
        <v>280</v>
      </c>
    </row>
    <row r="5508" spans="1:22" s="1192" customFormat="1" ht="14.4" x14ac:dyDescent="0.3">
      <c r="A5508" s="1192" t="s">
        <v>3744</v>
      </c>
      <c r="B5508" s="1192" t="s">
        <v>4013</v>
      </c>
      <c r="E5508" s="2067" t="s">
        <v>2392</v>
      </c>
      <c r="F5508" s="2067"/>
      <c r="G5508" s="2067"/>
      <c r="H5508" s="2067"/>
      <c r="K5508" s="1192" t="s">
        <v>2746</v>
      </c>
      <c r="V5508" s="1192">
        <v>411</v>
      </c>
    </row>
    <row r="5509" spans="1:22" s="1192" customFormat="1" ht="14.4" x14ac:dyDescent="0.3">
      <c r="A5509" s="1192" t="s">
        <v>3744</v>
      </c>
      <c r="B5509" s="1192" t="s">
        <v>4013</v>
      </c>
      <c r="E5509" s="2067" t="s">
        <v>2508</v>
      </c>
      <c r="F5509" s="2067"/>
      <c r="G5509" s="2067"/>
      <c r="H5509" s="2067"/>
      <c r="K5509" s="1192" t="s">
        <v>2746</v>
      </c>
      <c r="V5509" s="1192">
        <v>386</v>
      </c>
    </row>
    <row r="5510" spans="1:22" s="1192" customFormat="1" ht="14.4" x14ac:dyDescent="0.3">
      <c r="A5510" s="1192" t="s">
        <v>3744</v>
      </c>
      <c r="B5510" s="1192" t="s">
        <v>4013</v>
      </c>
      <c r="E5510" s="2067" t="s">
        <v>4500</v>
      </c>
      <c r="F5510" s="2067"/>
      <c r="G5510" s="2067"/>
      <c r="H5510" s="2067"/>
      <c r="K5510" s="1192" t="s">
        <v>2746</v>
      </c>
      <c r="V5510" s="1192">
        <v>247</v>
      </c>
    </row>
    <row r="5511" spans="1:22" s="1192" customFormat="1" ht="14.4" x14ac:dyDescent="0.3">
      <c r="A5511" s="1192" t="s">
        <v>3744</v>
      </c>
      <c r="B5511" s="1192" t="s">
        <v>4013</v>
      </c>
      <c r="E5511" s="2060" t="s">
        <v>2394</v>
      </c>
      <c r="F5511" s="2068"/>
      <c r="G5511" s="2067"/>
      <c r="H5511" s="2067"/>
      <c r="K5511" s="1192" t="s">
        <v>2446</v>
      </c>
      <c r="V5511" s="1192">
        <v>46</v>
      </c>
    </row>
    <row r="5512" spans="1:22" s="1192" customFormat="1" ht="14.4" x14ac:dyDescent="0.3">
      <c r="A5512" s="1192" t="s">
        <v>3744</v>
      </c>
      <c r="B5512" s="1192" t="s">
        <v>4013</v>
      </c>
      <c r="E5512" s="2081" t="s">
        <v>2862</v>
      </c>
      <c r="F5512" s="1740"/>
      <c r="G5512" s="799" t="s">
        <v>19</v>
      </c>
      <c r="H5512" s="837">
        <v>1.57</v>
      </c>
      <c r="K5512" s="1192" t="s">
        <v>2746</v>
      </c>
      <c r="L5512" s="1192" t="s">
        <v>430</v>
      </c>
      <c r="P5512" s="1192" t="s">
        <v>2747</v>
      </c>
      <c r="V5512" s="1192">
        <v>30</v>
      </c>
    </row>
    <row r="5513" spans="1:22" s="1192" customFormat="1" ht="14.4" x14ac:dyDescent="0.3">
      <c r="A5513" s="1192" t="s">
        <v>3744</v>
      </c>
      <c r="B5513" s="1192" t="s">
        <v>4013</v>
      </c>
      <c r="E5513" s="2062" t="s">
        <v>4508</v>
      </c>
      <c r="F5513" s="1740"/>
      <c r="G5513" s="799" t="s">
        <v>19</v>
      </c>
      <c r="H5513" s="836">
        <v>0.01</v>
      </c>
      <c r="K5513" s="1192" t="s">
        <v>2746</v>
      </c>
      <c r="L5513" s="1192" t="s">
        <v>430</v>
      </c>
      <c r="P5513" s="1192" t="s">
        <v>6347</v>
      </c>
      <c r="V5513" s="1192">
        <v>154</v>
      </c>
    </row>
    <row r="5514" spans="1:22" s="1192" customFormat="1" ht="14.4" x14ac:dyDescent="0.3">
      <c r="A5514" s="1192" t="s">
        <v>3744</v>
      </c>
      <c r="B5514" s="1192" t="s">
        <v>4013</v>
      </c>
      <c r="E5514" s="2062" t="s">
        <v>4501</v>
      </c>
      <c r="F5514" s="1740"/>
      <c r="G5514" s="799" t="s">
        <v>19</v>
      </c>
      <c r="H5514" s="836">
        <v>0.01</v>
      </c>
      <c r="K5514" s="1192" t="s">
        <v>2746</v>
      </c>
      <c r="L5514" s="1192" t="s">
        <v>430</v>
      </c>
      <c r="P5514" s="1192" t="s">
        <v>6348</v>
      </c>
      <c r="V5514" s="1192">
        <v>135</v>
      </c>
    </row>
    <row r="5515" spans="1:22" s="1192" customFormat="1" ht="14.4" x14ac:dyDescent="0.3">
      <c r="A5515" s="1192" t="s">
        <v>3744</v>
      </c>
      <c r="B5515" s="1192" t="s">
        <v>4013</v>
      </c>
      <c r="E5515" s="2081" t="s">
        <v>4016</v>
      </c>
      <c r="F5515" s="1740"/>
      <c r="G5515" s="799" t="s">
        <v>19</v>
      </c>
      <c r="H5515" s="836">
        <v>0.04</v>
      </c>
      <c r="K5515" s="1192" t="s">
        <v>2746</v>
      </c>
      <c r="L5515" s="1192" t="s">
        <v>430</v>
      </c>
      <c r="P5515" s="1192" t="s">
        <v>6349</v>
      </c>
      <c r="V5515" s="1192">
        <v>135</v>
      </c>
    </row>
    <row r="5516" spans="1:22" s="1192" customFormat="1" ht="14.4" x14ac:dyDescent="0.3">
      <c r="A5516" s="1192" t="s">
        <v>3744</v>
      </c>
      <c r="B5516" s="1192" t="s">
        <v>4013</v>
      </c>
      <c r="E5516" s="2081" t="s">
        <v>80</v>
      </c>
      <c r="F5516" s="1740"/>
      <c r="G5516" s="799" t="s">
        <v>29</v>
      </c>
      <c r="H5516" s="837">
        <v>11.990600000000001</v>
      </c>
      <c r="K5516" s="1192" t="s">
        <v>2746</v>
      </c>
      <c r="L5516" s="1192" t="s">
        <v>430</v>
      </c>
      <c r="P5516" s="1192" t="s">
        <v>2748</v>
      </c>
      <c r="V5516" s="1192">
        <v>28</v>
      </c>
    </row>
    <row r="5517" spans="1:22" s="1192" customFormat="1" ht="14.4" x14ac:dyDescent="0.3">
      <c r="A5517" s="1192" t="s">
        <v>3744</v>
      </c>
      <c r="B5517" s="1192" t="s">
        <v>4013</v>
      </c>
      <c r="E5517" s="2081" t="s">
        <v>3698</v>
      </c>
      <c r="F5517" s="1740"/>
      <c r="G5517" s="799" t="s">
        <v>29</v>
      </c>
      <c r="H5517" s="1219">
        <v>5.8000000000000003E-2</v>
      </c>
      <c r="K5517" s="1192" t="s">
        <v>2746</v>
      </c>
      <c r="L5517" s="1192" t="s">
        <v>431</v>
      </c>
      <c r="P5517" s="1192" t="s">
        <v>2749</v>
      </c>
      <c r="V5517" s="1192">
        <v>25</v>
      </c>
    </row>
    <row r="5518" spans="1:22" s="1192" customFormat="1" ht="14.4" x14ac:dyDescent="0.3">
      <c r="A5518" s="1192" t="s">
        <v>3744</v>
      </c>
      <c r="B5518" s="1192" t="s">
        <v>4013</v>
      </c>
      <c r="E5518" s="2081" t="s">
        <v>6090</v>
      </c>
      <c r="F5518" s="1989"/>
      <c r="G5518" s="799" t="s">
        <v>20</v>
      </c>
      <c r="H5518" s="1219">
        <v>-3.3E-3</v>
      </c>
      <c r="K5518" s="1192" t="s">
        <v>2746</v>
      </c>
      <c r="L5518" s="1192" t="s">
        <v>431</v>
      </c>
      <c r="P5518" s="1192" t="s">
        <v>3270</v>
      </c>
      <c r="T5518" s="1192">
        <v>44196</v>
      </c>
      <c r="V5518" s="1192">
        <v>142</v>
      </c>
    </row>
    <row r="5519" spans="1:22" s="1192" customFormat="1" ht="14.4" x14ac:dyDescent="0.3">
      <c r="A5519" s="1192" t="s">
        <v>3744</v>
      </c>
      <c r="B5519" s="1192" t="s">
        <v>4013</v>
      </c>
      <c r="E5519" s="2081" t="s">
        <v>6123</v>
      </c>
      <c r="F5519" s="1989"/>
      <c r="G5519" s="799" t="s">
        <v>29</v>
      </c>
      <c r="H5519" s="1219">
        <v>-2.5840999999999998</v>
      </c>
      <c r="K5519" s="1192" t="s">
        <v>2746</v>
      </c>
      <c r="L5519" s="1192" t="s">
        <v>430</v>
      </c>
      <c r="P5519" s="1192" t="s">
        <v>2750</v>
      </c>
      <c r="T5519" s="1192">
        <v>44196</v>
      </c>
      <c r="V5519" s="1192">
        <v>132</v>
      </c>
    </row>
    <row r="5520" spans="1:22" s="1192" customFormat="1" ht="14.4" x14ac:dyDescent="0.3">
      <c r="A5520" s="1192" t="s">
        <v>3744</v>
      </c>
      <c r="B5520" s="1192" t="s">
        <v>4013</v>
      </c>
      <c r="E5520" s="2081" t="s">
        <v>6087</v>
      </c>
      <c r="F5520" s="1989"/>
      <c r="G5520" s="799" t="s">
        <v>29</v>
      </c>
      <c r="H5520" s="836">
        <v>0.1021</v>
      </c>
      <c r="K5520" s="1192" t="s">
        <v>2746</v>
      </c>
      <c r="L5520" s="1192" t="s">
        <v>431</v>
      </c>
      <c r="P5520" s="1192" t="s">
        <v>3036</v>
      </c>
      <c r="T5520" s="1192">
        <v>44196</v>
      </c>
      <c r="V5520" s="1192">
        <v>99</v>
      </c>
    </row>
    <row r="5521" spans="1:22" s="1192" customFormat="1" ht="14.4" x14ac:dyDescent="0.3">
      <c r="A5521" s="1192" t="s">
        <v>3744</v>
      </c>
      <c r="B5521" s="1192" t="s">
        <v>4013</v>
      </c>
      <c r="E5521" s="2081" t="s">
        <v>6316</v>
      </c>
      <c r="F5521" s="1989"/>
      <c r="G5521" s="799" t="s">
        <v>29</v>
      </c>
      <c r="H5521" s="1219">
        <v>-3.2099999999999997E-2</v>
      </c>
      <c r="K5521" s="1192" t="s">
        <v>2746</v>
      </c>
      <c r="L5521" s="1192" t="s">
        <v>431</v>
      </c>
      <c r="P5521" s="1192" t="s">
        <v>4050</v>
      </c>
      <c r="T5521" s="1192">
        <v>44196</v>
      </c>
      <c r="V5521" s="1192">
        <v>142</v>
      </c>
    </row>
    <row r="5522" spans="1:22" s="1192" customFormat="1" ht="14.4" x14ac:dyDescent="0.3">
      <c r="A5522" s="1192" t="s">
        <v>3744</v>
      </c>
      <c r="B5522" s="1192" t="s">
        <v>4013</v>
      </c>
      <c r="E5522" s="2062" t="s">
        <v>4508</v>
      </c>
      <c r="F5522" s="1740"/>
      <c r="G5522" s="799" t="s">
        <v>29</v>
      </c>
      <c r="H5522" s="837">
        <v>5.6399999999999999E-2</v>
      </c>
      <c r="K5522" s="1192" t="s">
        <v>2746</v>
      </c>
      <c r="L5522" s="1192" t="s">
        <v>430</v>
      </c>
      <c r="P5522" s="1192" t="s">
        <v>6350</v>
      </c>
      <c r="V5522" s="1192">
        <v>154</v>
      </c>
    </row>
    <row r="5523" spans="1:22" s="1192" customFormat="1" ht="14.4" x14ac:dyDescent="0.3">
      <c r="A5523" s="1192" t="s">
        <v>3744</v>
      </c>
      <c r="B5523" s="1192" t="s">
        <v>4013</v>
      </c>
      <c r="E5523" s="2062" t="s">
        <v>4501</v>
      </c>
      <c r="F5523" s="1740"/>
      <c r="G5523" s="799" t="s">
        <v>29</v>
      </c>
      <c r="H5523" s="1219">
        <v>7.6999999999999999E-2</v>
      </c>
      <c r="K5523" s="1192" t="s">
        <v>2746</v>
      </c>
      <c r="L5523" s="1192" t="s">
        <v>430</v>
      </c>
      <c r="P5523" s="1192" t="s">
        <v>6351</v>
      </c>
      <c r="V5523" s="1192">
        <v>135</v>
      </c>
    </row>
    <row r="5524" spans="1:22" s="1192" customFormat="1" ht="14.4" x14ac:dyDescent="0.3">
      <c r="A5524" s="1192" t="s">
        <v>3744</v>
      </c>
      <c r="B5524" s="1192" t="s">
        <v>4013</v>
      </c>
      <c r="E5524" s="2081" t="s">
        <v>4016</v>
      </c>
      <c r="F5524" s="1740"/>
      <c r="G5524" s="799" t="s">
        <v>29</v>
      </c>
      <c r="H5524" s="837">
        <v>0.29049999999999998</v>
      </c>
      <c r="K5524" s="1192" t="s">
        <v>2746</v>
      </c>
      <c r="L5524" s="1192" t="s">
        <v>430</v>
      </c>
      <c r="P5524" s="1192" t="s">
        <v>6352</v>
      </c>
      <c r="V5524" s="1192">
        <v>135</v>
      </c>
    </row>
    <row r="5525" spans="1:22" s="1192" customFormat="1" ht="14.4" x14ac:dyDescent="0.3">
      <c r="A5525" s="1192" t="s">
        <v>3744</v>
      </c>
      <c r="B5525" s="1192" t="s">
        <v>4013</v>
      </c>
      <c r="E5525" s="2081" t="s">
        <v>213</v>
      </c>
      <c r="F5525" s="1740"/>
      <c r="G5525" s="799" t="s">
        <v>29</v>
      </c>
      <c r="H5525" s="837">
        <v>2.0449000000000002</v>
      </c>
      <c r="K5525" s="1192" t="s">
        <v>2746</v>
      </c>
      <c r="L5525" s="1192" t="s">
        <v>432</v>
      </c>
      <c r="P5525" s="1192" t="s">
        <v>2751</v>
      </c>
      <c r="V5525" s="1192">
        <v>47</v>
      </c>
    </row>
    <row r="5526" spans="1:22" s="1192" customFormat="1" ht="14.4" x14ac:dyDescent="0.3">
      <c r="A5526" s="1192" t="s">
        <v>3744</v>
      </c>
      <c r="B5526" s="1192" t="s">
        <v>4013</v>
      </c>
      <c r="E5526" s="2081" t="s">
        <v>209</v>
      </c>
      <c r="F5526" s="1740"/>
      <c r="G5526" s="799" t="s">
        <v>29</v>
      </c>
      <c r="H5526" s="837">
        <v>1.9089</v>
      </c>
      <c r="K5526" s="1192" t="s">
        <v>2746</v>
      </c>
      <c r="L5526" s="1192" t="s">
        <v>432</v>
      </c>
      <c r="P5526" s="1192" t="s">
        <v>2752</v>
      </c>
      <c r="V5526" s="1192">
        <v>74</v>
      </c>
    </row>
    <row r="5527" spans="1:22" s="1192" customFormat="1" ht="14.4" x14ac:dyDescent="0.3">
      <c r="A5527" s="1192" t="s">
        <v>3744</v>
      </c>
      <c r="B5527" s="1192" t="s">
        <v>4013</v>
      </c>
      <c r="E5527" s="2060" t="s">
        <v>2405</v>
      </c>
      <c r="F5527" s="1741"/>
      <c r="G5527" s="1282"/>
      <c r="H5527" s="1325"/>
      <c r="K5527" s="1192" t="s">
        <v>2565</v>
      </c>
      <c r="V5527" s="1192">
        <v>48</v>
      </c>
    </row>
    <row r="5528" spans="1:22" s="1192" customFormat="1" ht="14.4" x14ac:dyDescent="0.3">
      <c r="A5528" s="1192" t="s">
        <v>3744</v>
      </c>
      <c r="B5528" s="1192" t="s">
        <v>4013</v>
      </c>
      <c r="E5528" s="1740" t="s">
        <v>2033</v>
      </c>
      <c r="F5528" s="1740"/>
      <c r="G5528" s="1282" t="s">
        <v>20</v>
      </c>
      <c r="H5528" s="1219">
        <v>3.0000000000000001E-3</v>
      </c>
      <c r="K5528" s="1192" t="s">
        <v>2746</v>
      </c>
      <c r="L5528" s="1192" t="s">
        <v>2374</v>
      </c>
      <c r="P5528" s="1192" t="s">
        <v>2753</v>
      </c>
      <c r="V5528" s="1192">
        <v>55</v>
      </c>
    </row>
    <row r="5529" spans="1:22" s="1192" customFormat="1" ht="14.4" x14ac:dyDescent="0.3">
      <c r="A5529" s="1192" t="s">
        <v>3744</v>
      </c>
      <c r="B5529" s="1192" t="s">
        <v>4013</v>
      </c>
      <c r="E5529" s="2081" t="s">
        <v>2034</v>
      </c>
      <c r="F5529" s="1740"/>
      <c r="G5529" s="1282" t="s">
        <v>20</v>
      </c>
      <c r="H5529" s="836">
        <v>4.0000000000000002E-4</v>
      </c>
      <c r="K5529" s="1192" t="s">
        <v>2746</v>
      </c>
      <c r="L5529" s="1192" t="s">
        <v>2374</v>
      </c>
      <c r="P5529" s="1192" t="s">
        <v>2753</v>
      </c>
      <c r="V5529" s="1192">
        <v>65</v>
      </c>
    </row>
    <row r="5530" spans="1:22" s="1192" customFormat="1" ht="14.4" x14ac:dyDescent="0.3">
      <c r="A5530" s="1192" t="s">
        <v>3744</v>
      </c>
      <c r="B5530" s="1192" t="s">
        <v>4013</v>
      </c>
      <c r="E5530" s="2062" t="s">
        <v>428</v>
      </c>
      <c r="F5530" s="1740"/>
      <c r="G5530" s="1282" t="s">
        <v>20</v>
      </c>
      <c r="H5530" s="836">
        <v>5.0000000000000001E-4</v>
      </c>
      <c r="K5530" s="1192" t="s">
        <v>2746</v>
      </c>
      <c r="L5530" s="1192" t="s">
        <v>2374</v>
      </c>
      <c r="P5530" s="1192" t="s">
        <v>2754</v>
      </c>
      <c r="V5530" s="1192">
        <v>57</v>
      </c>
    </row>
    <row r="5531" spans="1:22" s="1192" customFormat="1" ht="14.4" x14ac:dyDescent="0.3">
      <c r="A5531" s="1192" t="s">
        <v>3744</v>
      </c>
      <c r="B5531" s="1192" t="s">
        <v>4013</v>
      </c>
      <c r="E5531" s="2062" t="s">
        <v>28</v>
      </c>
      <c r="F5531" s="1740"/>
      <c r="G5531" s="1282" t="s">
        <v>19</v>
      </c>
      <c r="H5531" s="836">
        <v>0.25</v>
      </c>
      <c r="K5531" s="1192" t="s">
        <v>2746</v>
      </c>
      <c r="L5531" s="1192" t="s">
        <v>2374</v>
      </c>
      <c r="P5531" s="1192" t="s">
        <v>2755</v>
      </c>
      <c r="V5531" s="1192">
        <v>63</v>
      </c>
    </row>
    <row r="5532" spans="1:22" s="1192" customFormat="1" ht="17.399999999999999" x14ac:dyDescent="0.3">
      <c r="A5532" s="1192" t="s">
        <v>3744</v>
      </c>
      <c r="B5532" s="1192" t="s">
        <v>4013</v>
      </c>
      <c r="E5532" s="2082" t="s">
        <v>606</v>
      </c>
      <c r="F5532" s="2082"/>
      <c r="G5532" s="2083"/>
      <c r="H5532" s="2083"/>
      <c r="K5532" s="1192" t="s">
        <v>3116</v>
      </c>
      <c r="V5532" s="1192">
        <v>36</v>
      </c>
    </row>
    <row r="5533" spans="1:22" s="1192" customFormat="1" ht="14.4" x14ac:dyDescent="0.3">
      <c r="A5533" s="1192" t="s">
        <v>3744</v>
      </c>
      <c r="B5533" s="1192" t="s">
        <v>4013</v>
      </c>
      <c r="E5533" s="2067" t="s">
        <v>4051</v>
      </c>
      <c r="F5533" s="2067"/>
      <c r="G5533" s="2067"/>
      <c r="H5533" s="2067"/>
      <c r="K5533" s="1192" t="s">
        <v>3116</v>
      </c>
      <c r="V5533" s="1192">
        <v>253</v>
      </c>
    </row>
    <row r="5534" spans="1:22" s="1192" customFormat="1" ht="14.4" x14ac:dyDescent="0.3">
      <c r="A5534" s="1192" t="s">
        <v>3744</v>
      </c>
      <c r="B5534" s="1192" t="s">
        <v>4013</v>
      </c>
      <c r="E5534" s="2060" t="s">
        <v>2389</v>
      </c>
      <c r="F5534" s="2068"/>
      <c r="G5534" s="2067"/>
      <c r="H5534" s="2067"/>
      <c r="K5534" s="1192" t="s">
        <v>2571</v>
      </c>
      <c r="V5534" s="1192">
        <v>11</v>
      </c>
    </row>
    <row r="5535" spans="1:22" s="1192" customFormat="1" ht="14.4" x14ac:dyDescent="0.3">
      <c r="A5535" s="1192" t="s">
        <v>3744</v>
      </c>
      <c r="B5535" s="1192" t="s">
        <v>4013</v>
      </c>
      <c r="E5535" s="2067" t="s">
        <v>2391</v>
      </c>
      <c r="F5535" s="2067"/>
      <c r="G5535" s="2067"/>
      <c r="H5535" s="2067"/>
      <c r="K5535" s="1192" t="s">
        <v>3116</v>
      </c>
      <c r="V5535" s="1192">
        <v>280</v>
      </c>
    </row>
    <row r="5536" spans="1:22" s="1192" customFormat="1" ht="14.4" x14ac:dyDescent="0.3">
      <c r="A5536" s="1192" t="s">
        <v>3744</v>
      </c>
      <c r="B5536" s="1192" t="s">
        <v>4013</v>
      </c>
      <c r="E5536" s="2067" t="s">
        <v>2392</v>
      </c>
      <c r="F5536" s="2067"/>
      <c r="G5536" s="2067"/>
      <c r="H5536" s="2067"/>
      <c r="K5536" s="1192" t="s">
        <v>3116</v>
      </c>
      <c r="V5536" s="1192">
        <v>411</v>
      </c>
    </row>
    <row r="5537" spans="1:22" s="1192" customFormat="1" ht="14.4" x14ac:dyDescent="0.3">
      <c r="A5537" s="1192" t="s">
        <v>3744</v>
      </c>
      <c r="B5537" s="1192" t="s">
        <v>4013</v>
      </c>
      <c r="E5537" s="2067" t="s">
        <v>2445</v>
      </c>
      <c r="F5537" s="2067"/>
      <c r="G5537" s="2067"/>
      <c r="H5537" s="2067"/>
      <c r="K5537" s="1192" t="s">
        <v>3116</v>
      </c>
      <c r="V5537" s="1192">
        <v>211</v>
      </c>
    </row>
    <row r="5538" spans="1:22" s="1192" customFormat="1" ht="14.4" x14ac:dyDescent="0.3">
      <c r="A5538" s="1192" t="s">
        <v>3744</v>
      </c>
      <c r="B5538" s="1192" t="s">
        <v>4013</v>
      </c>
      <c r="E5538" s="2067" t="s">
        <v>2986</v>
      </c>
      <c r="F5538" s="2067"/>
      <c r="G5538" s="2067"/>
      <c r="H5538" s="2067"/>
      <c r="K5538" s="1192" t="s">
        <v>3116</v>
      </c>
      <c r="V5538" s="1192">
        <v>246</v>
      </c>
    </row>
    <row r="5539" spans="1:22" s="1192" customFormat="1" ht="14.4" x14ac:dyDescent="0.3">
      <c r="A5539" s="1192" t="s">
        <v>3744</v>
      </c>
      <c r="B5539" s="1192" t="s">
        <v>4013</v>
      </c>
      <c r="E5539" s="2060" t="s">
        <v>4052</v>
      </c>
      <c r="F5539" s="2068"/>
      <c r="G5539" s="2067"/>
      <c r="H5539" s="2067"/>
      <c r="K5539" s="1192" t="s">
        <v>2572</v>
      </c>
      <c r="V5539" s="1192">
        <v>47</v>
      </c>
    </row>
    <row r="5540" spans="1:22" s="1192" customFormat="1" ht="14.4" x14ac:dyDescent="0.3">
      <c r="A5540" s="1192" t="s">
        <v>3744</v>
      </c>
      <c r="B5540" s="1192" t="s">
        <v>4013</v>
      </c>
      <c r="E5540" s="2059" t="s">
        <v>2850</v>
      </c>
      <c r="F5540" s="2059"/>
      <c r="G5540" s="2059"/>
      <c r="H5540" s="2059"/>
      <c r="K5540" s="1192" t="s">
        <v>3116</v>
      </c>
      <c r="V5540" s="1192">
        <v>414</v>
      </c>
    </row>
    <row r="5541" spans="1:22" s="1192" customFormat="1" ht="14.4" x14ac:dyDescent="0.3">
      <c r="A5541" s="1192" t="s">
        <v>3744</v>
      </c>
      <c r="B5541" s="1192" t="s">
        <v>4013</v>
      </c>
      <c r="E5541" s="1740" t="s">
        <v>4509</v>
      </c>
      <c r="F5541" s="1740"/>
      <c r="G5541" s="799" t="s">
        <v>29</v>
      </c>
      <c r="H5541" s="837">
        <v>4.7991000000000001</v>
      </c>
      <c r="K5541" s="1192" t="s">
        <v>3116</v>
      </c>
      <c r="L5541" s="1192" t="s">
        <v>430</v>
      </c>
      <c r="P5541" s="1192" t="s">
        <v>6353</v>
      </c>
      <c r="V5541" s="1192">
        <v>323</v>
      </c>
    </row>
    <row r="5542" spans="1:22" s="1192" customFormat="1" ht="14.4" x14ac:dyDescent="0.3">
      <c r="A5542" s="1192" t="s">
        <v>3744</v>
      </c>
      <c r="B5542" s="1192" t="s">
        <v>4013</v>
      </c>
      <c r="E5542" s="1740" t="s">
        <v>4510</v>
      </c>
      <c r="F5542" s="1740"/>
      <c r="G5542" s="799" t="s">
        <v>29</v>
      </c>
      <c r="H5542" s="837">
        <v>2.4695</v>
      </c>
      <c r="K5542" s="1192" t="s">
        <v>3116</v>
      </c>
      <c r="L5542" s="1192" t="s">
        <v>430</v>
      </c>
      <c r="P5542" s="1192" t="s">
        <v>6353</v>
      </c>
      <c r="V5542" s="1192">
        <v>326</v>
      </c>
    </row>
    <row r="5543" spans="1:22" s="1192" customFormat="1" ht="14.4" x14ac:dyDescent="0.3">
      <c r="A5543" s="1192" t="s">
        <v>3744</v>
      </c>
      <c r="B5543" s="1192" t="s">
        <v>4013</v>
      </c>
      <c r="E5543" s="1740" t="s">
        <v>4511</v>
      </c>
      <c r="F5543" s="1740"/>
      <c r="G5543" s="799" t="s">
        <v>29</v>
      </c>
      <c r="H5543" s="837">
        <v>3.0651000000000002</v>
      </c>
      <c r="K5543" s="1192" t="s">
        <v>3116</v>
      </c>
      <c r="L5543" s="1192" t="s">
        <v>430</v>
      </c>
      <c r="P5543" s="1192" t="s">
        <v>6353</v>
      </c>
      <c r="V5543" s="1192">
        <v>304</v>
      </c>
    </row>
    <row r="5544" spans="1:22" s="1192" customFormat="1" ht="17.399999999999999" x14ac:dyDescent="0.3">
      <c r="A5544" s="1192" t="s">
        <v>3744</v>
      </c>
      <c r="B5544" s="1192" t="s">
        <v>4013</v>
      </c>
      <c r="E5544" s="2082" t="s">
        <v>593</v>
      </c>
      <c r="F5544" s="2082"/>
      <c r="G5544" s="2083"/>
      <c r="H5544" s="2083"/>
      <c r="K5544" s="1192" t="s">
        <v>2585</v>
      </c>
      <c r="V5544" s="1192">
        <v>31</v>
      </c>
    </row>
    <row r="5545" spans="1:22" s="1192" customFormat="1" ht="14.4" x14ac:dyDescent="0.3">
      <c r="A5545" s="1192" t="s">
        <v>3744</v>
      </c>
      <c r="B5545" s="1192" t="s">
        <v>4013</v>
      </c>
      <c r="E5545" s="2067" t="s">
        <v>2443</v>
      </c>
      <c r="F5545" s="2067"/>
      <c r="G5545" s="2067"/>
      <c r="H5545" s="2067"/>
      <c r="K5545" s="1192" t="s">
        <v>2585</v>
      </c>
      <c r="V5545" s="1192">
        <v>286</v>
      </c>
    </row>
    <row r="5546" spans="1:22" s="1192" customFormat="1" ht="14.4" x14ac:dyDescent="0.3">
      <c r="A5546" s="1192" t="s">
        <v>3744</v>
      </c>
      <c r="B5546" s="1192" t="s">
        <v>4013</v>
      </c>
      <c r="E5546" s="2060" t="s">
        <v>2389</v>
      </c>
      <c r="F5546" s="2068"/>
      <c r="G5546" s="2067"/>
      <c r="H5546" s="2067"/>
      <c r="K5546" s="1192" t="s">
        <v>2586</v>
      </c>
      <c r="V5546" s="1192">
        <v>11</v>
      </c>
    </row>
    <row r="5547" spans="1:22" s="1192" customFormat="1" ht="14.4" x14ac:dyDescent="0.3">
      <c r="A5547" s="1192" t="s">
        <v>3744</v>
      </c>
      <c r="B5547" s="1192" t="s">
        <v>4013</v>
      </c>
      <c r="E5547" s="2067" t="s">
        <v>2391</v>
      </c>
      <c r="F5547" s="2067"/>
      <c r="G5547" s="2067"/>
      <c r="H5547" s="2067"/>
      <c r="K5547" s="1192" t="s">
        <v>2585</v>
      </c>
      <c r="V5547" s="1192">
        <v>280</v>
      </c>
    </row>
    <row r="5548" spans="1:22" s="1192" customFormat="1" ht="14.4" x14ac:dyDescent="0.3">
      <c r="A5548" s="1192" t="s">
        <v>3744</v>
      </c>
      <c r="B5548" s="1192" t="s">
        <v>4013</v>
      </c>
      <c r="E5548" s="2067" t="s">
        <v>2392</v>
      </c>
      <c r="F5548" s="2067"/>
      <c r="G5548" s="2067"/>
      <c r="H5548" s="2067"/>
      <c r="K5548" s="1192" t="s">
        <v>2585</v>
      </c>
      <c r="V5548" s="1192">
        <v>411</v>
      </c>
    </row>
    <row r="5549" spans="1:22" s="1192" customFormat="1" ht="14.4" x14ac:dyDescent="0.3">
      <c r="A5549" s="1192" t="s">
        <v>3744</v>
      </c>
      <c r="B5549" s="1192" t="s">
        <v>4013</v>
      </c>
      <c r="E5549" s="2067" t="s">
        <v>2508</v>
      </c>
      <c r="F5549" s="2067"/>
      <c r="G5549" s="2067"/>
      <c r="H5549" s="2067"/>
      <c r="K5549" s="1192" t="s">
        <v>2585</v>
      </c>
      <c r="V5549" s="1192">
        <v>386</v>
      </c>
    </row>
    <row r="5550" spans="1:22" s="1192" customFormat="1" ht="14.4" x14ac:dyDescent="0.3">
      <c r="A5550" s="1192" t="s">
        <v>3744</v>
      </c>
      <c r="B5550" s="1192" t="s">
        <v>4013</v>
      </c>
      <c r="E5550" s="2067" t="s">
        <v>4500</v>
      </c>
      <c r="F5550" s="2067"/>
      <c r="G5550" s="2067"/>
      <c r="H5550" s="2067"/>
      <c r="K5550" s="1192" t="s">
        <v>2585</v>
      </c>
      <c r="V5550" s="1192">
        <v>247</v>
      </c>
    </row>
    <row r="5551" spans="1:22" s="1192" customFormat="1" ht="14.4" x14ac:dyDescent="0.3">
      <c r="A5551" s="1192" t="s">
        <v>3744</v>
      </c>
      <c r="B5551" s="1192" t="s">
        <v>4013</v>
      </c>
      <c r="E5551" s="2060" t="s">
        <v>2394</v>
      </c>
      <c r="F5551" s="2068"/>
      <c r="G5551" s="2067"/>
      <c r="H5551" s="2067"/>
      <c r="K5551" s="1192" t="s">
        <v>2587</v>
      </c>
      <c r="V5551" s="1192">
        <v>46</v>
      </c>
    </row>
    <row r="5552" spans="1:22" s="1192" customFormat="1" ht="14.4" x14ac:dyDescent="0.3">
      <c r="A5552" s="1192" t="s">
        <v>3744</v>
      </c>
      <c r="B5552" s="1192" t="s">
        <v>4013</v>
      </c>
      <c r="E5552" s="2062" t="s">
        <v>7</v>
      </c>
      <c r="F5552" s="1740"/>
      <c r="G5552" s="1282" t="s">
        <v>19</v>
      </c>
      <c r="H5552" s="509">
        <v>5.4</v>
      </c>
      <c r="K5552" s="1192" t="s">
        <v>2585</v>
      </c>
      <c r="L5552" s="1192" t="s">
        <v>430</v>
      </c>
      <c r="P5552" s="1192" t="s">
        <v>2588</v>
      </c>
      <c r="V5552" s="1192">
        <v>14</v>
      </c>
    </row>
    <row r="5553" spans="1:22" s="1192" customFormat="1" ht="22.8" x14ac:dyDescent="0.3">
      <c r="A5553" s="1192" t="s">
        <v>3744</v>
      </c>
      <c r="B5553" s="1192" t="s">
        <v>4013</v>
      </c>
      <c r="E5553" s="1323" t="s">
        <v>81</v>
      </c>
      <c r="F5553" s="849"/>
      <c r="G5553" s="850"/>
      <c r="H5553" s="851"/>
      <c r="K5553" s="1192" t="s">
        <v>3990</v>
      </c>
      <c r="V5553" s="1192">
        <v>10</v>
      </c>
    </row>
    <row r="5554" spans="1:22" s="1192" customFormat="1" ht="14.4" x14ac:dyDescent="0.3">
      <c r="A5554" s="1192" t="s">
        <v>3744</v>
      </c>
      <c r="B5554" s="1192" t="s">
        <v>4013</v>
      </c>
      <c r="E5554" s="2084" t="s">
        <v>2449</v>
      </c>
      <c r="F5554" s="1740"/>
      <c r="G5554" s="582" t="s">
        <v>29</v>
      </c>
      <c r="H5554" s="509">
        <v>-0.4</v>
      </c>
      <c r="V5554" s="1192">
        <v>68</v>
      </c>
    </row>
    <row r="5555" spans="1:22" s="1192" customFormat="1" ht="14.4" x14ac:dyDescent="0.3">
      <c r="A5555" s="1192" t="s">
        <v>3744</v>
      </c>
      <c r="B5555" s="1192" t="s">
        <v>4013</v>
      </c>
      <c r="E5555" s="2087" t="s">
        <v>3993</v>
      </c>
      <c r="F5555" s="1741"/>
      <c r="G5555" s="582" t="s">
        <v>82</v>
      </c>
      <c r="H5555" s="509">
        <v>-1</v>
      </c>
      <c r="V5555" s="1192">
        <v>89</v>
      </c>
    </row>
    <row r="5556" spans="1:22" s="1192" customFormat="1" x14ac:dyDescent="0.3">
      <c r="A5556" s="1192" t="s">
        <v>3744</v>
      </c>
      <c r="B5556" s="1192" t="s">
        <v>4013</v>
      </c>
      <c r="E5556" s="1323" t="s">
        <v>83</v>
      </c>
      <c r="F5556" s="847"/>
      <c r="G5556" s="850"/>
      <c r="H5556" s="851"/>
      <c r="K5556" s="1192" t="s">
        <v>3994</v>
      </c>
      <c r="V5556" s="1192">
        <v>24</v>
      </c>
    </row>
    <row r="5557" spans="1:22" s="1192" customFormat="1" ht="14.4" x14ac:dyDescent="0.3">
      <c r="A5557" s="1192" t="s">
        <v>3744</v>
      </c>
      <c r="B5557" s="1192" t="s">
        <v>4013</v>
      </c>
      <c r="E5557" s="2088" t="s">
        <v>2389</v>
      </c>
      <c r="F5557" s="2088"/>
      <c r="G5557" s="2067"/>
      <c r="H5557" s="2067"/>
      <c r="V5557" s="1192">
        <v>11</v>
      </c>
    </row>
    <row r="5558" spans="1:22" s="1192" customFormat="1" ht="14.4" x14ac:dyDescent="0.3">
      <c r="A5558" s="1192" t="s">
        <v>3744</v>
      </c>
      <c r="B5558" s="1192" t="s">
        <v>4013</v>
      </c>
      <c r="E5558" s="2067" t="s">
        <v>2391</v>
      </c>
      <c r="F5558" s="2067"/>
      <c r="G5558" s="2067"/>
      <c r="H5558" s="2067"/>
      <c r="V5558" s="1192">
        <v>280</v>
      </c>
    </row>
    <row r="5559" spans="1:22" s="1192" customFormat="1" ht="14.4" x14ac:dyDescent="0.3">
      <c r="A5559" s="1192" t="s">
        <v>3744</v>
      </c>
      <c r="B5559" s="1192" t="s">
        <v>4013</v>
      </c>
      <c r="E5559" s="2067" t="s">
        <v>2452</v>
      </c>
      <c r="F5559" s="2067"/>
      <c r="G5559" s="2067"/>
      <c r="H5559" s="2067"/>
      <c r="V5559" s="1192">
        <v>353</v>
      </c>
    </row>
    <row r="5560" spans="1:22" s="1192" customFormat="1" ht="14.4" x14ac:dyDescent="0.3">
      <c r="A5560" s="1192" t="s">
        <v>3744</v>
      </c>
      <c r="B5560" s="1192" t="s">
        <v>4013</v>
      </c>
      <c r="E5560" s="2089" t="s">
        <v>2986</v>
      </c>
      <c r="F5560" s="2089"/>
      <c r="G5560" s="2089"/>
      <c r="H5560" s="2089"/>
      <c r="V5560" s="1192">
        <v>246</v>
      </c>
    </row>
    <row r="5561" spans="1:22" s="1192" customFormat="1" ht="14.4" x14ac:dyDescent="0.3">
      <c r="A5561" s="1192" t="s">
        <v>3744</v>
      </c>
      <c r="B5561" s="1192" t="s">
        <v>4013</v>
      </c>
      <c r="E5561" s="1324" t="s">
        <v>2453</v>
      </c>
      <c r="F5561" s="848"/>
      <c r="G5561" s="852"/>
      <c r="H5561" s="853"/>
      <c r="K5561" s="1192" t="s">
        <v>3995</v>
      </c>
      <c r="V5561" s="1192">
        <v>23</v>
      </c>
    </row>
    <row r="5562" spans="1:22" s="1192" customFormat="1" ht="14.4" x14ac:dyDescent="0.3">
      <c r="A5562" s="1192" t="s">
        <v>3744</v>
      </c>
      <c r="B5562" s="1192" t="s">
        <v>4013</v>
      </c>
      <c r="E5562" s="2085" t="s">
        <v>2639</v>
      </c>
      <c r="F5562" s="1745"/>
      <c r="G5562" s="1282" t="s">
        <v>19</v>
      </c>
      <c r="H5562" s="509">
        <v>15</v>
      </c>
      <c r="V5562" s="1192">
        <v>19</v>
      </c>
    </row>
    <row r="5563" spans="1:22" s="1192" customFormat="1" ht="14.4" x14ac:dyDescent="0.3">
      <c r="A5563" s="1192" t="s">
        <v>3744</v>
      </c>
      <c r="B5563" s="1192" t="s">
        <v>4013</v>
      </c>
      <c r="E5563" s="2085" t="s">
        <v>2459</v>
      </c>
      <c r="F5563" s="1745"/>
      <c r="G5563" s="1282" t="s">
        <v>19</v>
      </c>
      <c r="H5563" s="509">
        <v>15</v>
      </c>
      <c r="V5563" s="1192">
        <v>37</v>
      </c>
    </row>
    <row r="5564" spans="1:22" s="1192" customFormat="1" ht="14.4" x14ac:dyDescent="0.3">
      <c r="A5564" s="1192" t="s">
        <v>3744</v>
      </c>
      <c r="B5564" s="1192" t="s">
        <v>4013</v>
      </c>
      <c r="E5564" s="2085" t="s">
        <v>2464</v>
      </c>
      <c r="F5564" s="1745"/>
      <c r="G5564" s="1282" t="s">
        <v>19</v>
      </c>
      <c r="H5564" s="509">
        <v>15</v>
      </c>
      <c r="V5564" s="1192">
        <v>56</v>
      </c>
    </row>
    <row r="5565" spans="1:22" s="1192" customFormat="1" ht="14.4" x14ac:dyDescent="0.3">
      <c r="A5565" s="1192" t="s">
        <v>3744</v>
      </c>
      <c r="B5565" s="1192" t="s">
        <v>4013</v>
      </c>
      <c r="E5565" s="2085" t="s">
        <v>4053</v>
      </c>
      <c r="F5565" s="1745"/>
      <c r="G5565" s="1282" t="s">
        <v>19</v>
      </c>
      <c r="H5565" s="509">
        <v>25</v>
      </c>
      <c r="V5565" s="1192">
        <v>74</v>
      </c>
    </row>
    <row r="5566" spans="1:22" s="1192" customFormat="1" ht="14.4" x14ac:dyDescent="0.3">
      <c r="A5566" s="1192" t="s">
        <v>3744</v>
      </c>
      <c r="B5566" s="1192" t="s">
        <v>4013</v>
      </c>
      <c r="E5566" s="2085" t="s">
        <v>2461</v>
      </c>
      <c r="F5566" s="1745"/>
      <c r="G5566" s="1282" t="s">
        <v>19</v>
      </c>
      <c r="H5566" s="509">
        <v>15</v>
      </c>
      <c r="V5566" s="1192">
        <v>17</v>
      </c>
    </row>
    <row r="5567" spans="1:22" s="1192" customFormat="1" ht="14.4" x14ac:dyDescent="0.3">
      <c r="A5567" s="1192" t="s">
        <v>3744</v>
      </c>
      <c r="B5567" s="1192" t="s">
        <v>4013</v>
      </c>
      <c r="E5567" s="2085" t="s">
        <v>119</v>
      </c>
      <c r="F5567" s="1745"/>
      <c r="G5567" s="1282" t="s">
        <v>19</v>
      </c>
      <c r="H5567" s="509">
        <v>12.5</v>
      </c>
      <c r="V5567" s="1192">
        <v>35</v>
      </c>
    </row>
    <row r="5568" spans="1:22" s="1192" customFormat="1" ht="14.4" x14ac:dyDescent="0.3">
      <c r="A5568" s="1192" t="s">
        <v>3744</v>
      </c>
      <c r="B5568" s="1192" t="s">
        <v>4013</v>
      </c>
      <c r="E5568" s="2085" t="s">
        <v>84</v>
      </c>
      <c r="F5568" s="1745"/>
      <c r="G5568" s="1282" t="s">
        <v>19</v>
      </c>
      <c r="H5568" s="509">
        <v>30</v>
      </c>
      <c r="V5568" s="1192">
        <v>89</v>
      </c>
    </row>
    <row r="5569" spans="1:22" s="1192" customFormat="1" ht="14.4" x14ac:dyDescent="0.3">
      <c r="A5569" s="1192" t="s">
        <v>3744</v>
      </c>
      <c r="B5569" s="1192" t="s">
        <v>4013</v>
      </c>
      <c r="E5569" s="2085" t="s">
        <v>4054</v>
      </c>
      <c r="F5569" s="1745"/>
      <c r="G5569" s="1282" t="s">
        <v>19</v>
      </c>
      <c r="H5569" s="509">
        <v>20</v>
      </c>
      <c r="V5569" s="1192">
        <v>103</v>
      </c>
    </row>
    <row r="5570" spans="1:22" s="1192" customFormat="1" ht="14.4" x14ac:dyDescent="0.3">
      <c r="A5570" s="1192" t="s">
        <v>3744</v>
      </c>
      <c r="B5570" s="1192" t="s">
        <v>4013</v>
      </c>
      <c r="E5570" s="2085" t="s">
        <v>88</v>
      </c>
      <c r="F5570" s="1745"/>
      <c r="G5570" s="1282" t="s">
        <v>19</v>
      </c>
      <c r="H5570" s="509">
        <v>10</v>
      </c>
      <c r="V5570" s="1192">
        <v>74</v>
      </c>
    </row>
    <row r="5571" spans="1:22" s="1192" customFormat="1" ht="14.4" x14ac:dyDescent="0.3">
      <c r="A5571" s="1192" t="s">
        <v>3744</v>
      </c>
      <c r="B5571" s="1192" t="s">
        <v>4013</v>
      </c>
      <c r="E5571" s="2085" t="s">
        <v>90</v>
      </c>
      <c r="F5571" s="1745"/>
      <c r="G5571" s="1282" t="s">
        <v>19</v>
      </c>
      <c r="H5571" s="509">
        <v>30</v>
      </c>
      <c r="V5571" s="1192">
        <v>19</v>
      </c>
    </row>
    <row r="5572" spans="1:22" s="1192" customFormat="1" ht="14.4" x14ac:dyDescent="0.3">
      <c r="A5572" s="1192" t="s">
        <v>3744</v>
      </c>
      <c r="B5572" s="1192" t="s">
        <v>4013</v>
      </c>
      <c r="E5572" s="2085" t="s">
        <v>87</v>
      </c>
      <c r="F5572" s="1745"/>
      <c r="G5572" s="1282" t="s">
        <v>19</v>
      </c>
      <c r="H5572" s="509">
        <v>40</v>
      </c>
      <c r="V5572" s="1192">
        <v>29</v>
      </c>
    </row>
    <row r="5573" spans="1:22" s="1192" customFormat="1" ht="14.4" x14ac:dyDescent="0.3">
      <c r="A5573" s="1192" t="s">
        <v>3744</v>
      </c>
      <c r="B5573" s="1192" t="s">
        <v>4013</v>
      </c>
      <c r="E5573" s="1324" t="s">
        <v>2468</v>
      </c>
      <c r="F5573" s="848"/>
      <c r="G5573" s="852"/>
      <c r="H5573" s="853"/>
      <c r="K5573" s="1192" t="s">
        <v>3996</v>
      </c>
      <c r="V5573" s="1192">
        <v>22</v>
      </c>
    </row>
    <row r="5574" spans="1:22" s="1192" customFormat="1" ht="14.4" x14ac:dyDescent="0.3">
      <c r="A5574" s="1192" t="s">
        <v>3744</v>
      </c>
      <c r="B5574" s="1192" t="s">
        <v>4013</v>
      </c>
      <c r="E5574" s="2085" t="s">
        <v>5940</v>
      </c>
      <c r="F5574" s="1745"/>
      <c r="G5574" s="1282" t="s">
        <v>82</v>
      </c>
      <c r="H5574" s="509">
        <v>1.5</v>
      </c>
      <c r="V5574" s="1192">
        <v>99</v>
      </c>
    </row>
    <row r="5575" spans="1:22" s="1192" customFormat="1" ht="14.4" x14ac:dyDescent="0.3">
      <c r="A5575" s="1192" t="s">
        <v>3744</v>
      </c>
      <c r="B5575" s="1192" t="s">
        <v>4013</v>
      </c>
      <c r="E5575" s="2085" t="s">
        <v>6106</v>
      </c>
      <c r="F5575" s="1745"/>
      <c r="G5575" s="1282" t="s">
        <v>19</v>
      </c>
      <c r="H5575" s="509">
        <v>20</v>
      </c>
      <c r="V5575" s="1192">
        <v>44</v>
      </c>
    </row>
    <row r="5576" spans="1:22" s="1192" customFormat="1" ht="14.4" x14ac:dyDescent="0.3">
      <c r="A5576" s="1192" t="s">
        <v>3744</v>
      </c>
      <c r="B5576" s="1192" t="s">
        <v>4013</v>
      </c>
      <c r="E5576" s="2085" t="s">
        <v>6108</v>
      </c>
      <c r="F5576" s="1745"/>
      <c r="G5576" s="1282" t="s">
        <v>19</v>
      </c>
      <c r="H5576" s="509">
        <v>185</v>
      </c>
      <c r="V5576" s="1192">
        <v>43</v>
      </c>
    </row>
    <row r="5577" spans="1:22" s="1192" customFormat="1" ht="14.4" x14ac:dyDescent="0.3">
      <c r="A5577" s="1192" t="s">
        <v>3744</v>
      </c>
      <c r="B5577" s="1192" t="s">
        <v>4013</v>
      </c>
      <c r="E5577" s="2085" t="s">
        <v>6115</v>
      </c>
      <c r="F5577" s="1745"/>
      <c r="G5577" s="1282" t="s">
        <v>19</v>
      </c>
      <c r="H5577" s="509">
        <v>415</v>
      </c>
      <c r="V5577" s="1192">
        <v>42</v>
      </c>
    </row>
    <row r="5578" spans="1:22" s="1192" customFormat="1" ht="14.4" x14ac:dyDescent="0.3">
      <c r="A5578" s="1192" t="s">
        <v>3744</v>
      </c>
      <c r="B5578" s="1192" t="s">
        <v>4013</v>
      </c>
      <c r="E5578" s="1324" t="s">
        <v>2474</v>
      </c>
      <c r="F5578" s="848"/>
      <c r="G5578" s="852"/>
      <c r="H5578" s="853"/>
      <c r="V5578" s="1192">
        <v>5</v>
      </c>
    </row>
    <row r="5579" spans="1:22" s="1192" customFormat="1" ht="14.4" x14ac:dyDescent="0.3">
      <c r="A5579" s="1192" t="s">
        <v>3744</v>
      </c>
      <c r="B5579" s="1192" t="s">
        <v>4013</v>
      </c>
      <c r="E5579" s="2086" t="s">
        <v>4055</v>
      </c>
      <c r="F5579" s="1745"/>
      <c r="G5579" s="1326" t="s">
        <v>19</v>
      </c>
      <c r="H5579" s="509">
        <v>400</v>
      </c>
      <c r="V5579" s="1192">
        <v>64</v>
      </c>
    </row>
    <row r="5580" spans="1:22" s="1192" customFormat="1" ht="14.4" x14ac:dyDescent="0.3">
      <c r="A5580" s="1192" t="s">
        <v>3744</v>
      </c>
      <c r="B5580" s="1192" t="s">
        <v>4013</v>
      </c>
      <c r="E5580" s="2086" t="s">
        <v>6354</v>
      </c>
      <c r="F5580" s="1745"/>
      <c r="G5580" s="1312" t="s">
        <v>19</v>
      </c>
      <c r="H5580" s="509">
        <v>44.5</v>
      </c>
      <c r="V5580" s="1192">
        <v>105</v>
      </c>
    </row>
    <row r="5581" spans="1:22" s="1192" customFormat="1" ht="34.799999999999997" x14ac:dyDescent="0.3">
      <c r="A5581" s="1192" t="s">
        <v>3744</v>
      </c>
      <c r="B5581" s="1192" t="s">
        <v>4013</v>
      </c>
      <c r="E5581" s="1323" t="s">
        <v>73</v>
      </c>
      <c r="F5581" s="847"/>
      <c r="G5581" s="850"/>
      <c r="H5581" s="851"/>
      <c r="K5581" s="1192" t="s">
        <v>3997</v>
      </c>
      <c r="V5581" s="1192">
        <v>38</v>
      </c>
    </row>
    <row r="5582" spans="1:22" s="1192" customFormat="1" ht="14.4" x14ac:dyDescent="0.3">
      <c r="A5582" s="1192" t="s">
        <v>3744</v>
      </c>
      <c r="B5582" s="1192" t="s">
        <v>4013</v>
      </c>
      <c r="E5582" s="2067" t="s">
        <v>2391</v>
      </c>
      <c r="F5582" s="2067"/>
      <c r="G5582" s="2067"/>
      <c r="H5582" s="2067"/>
      <c r="V5582" s="1192">
        <v>280</v>
      </c>
    </row>
    <row r="5583" spans="1:22" s="1192" customFormat="1" ht="14.4" x14ac:dyDescent="0.3">
      <c r="A5583" s="1192" t="s">
        <v>3744</v>
      </c>
      <c r="B5583" s="1192" t="s">
        <v>4013</v>
      </c>
      <c r="E5583" s="2067" t="s">
        <v>2392</v>
      </c>
      <c r="F5583" s="2067"/>
      <c r="G5583" s="2067"/>
      <c r="H5583" s="2067"/>
      <c r="V5583" s="1192">
        <v>411</v>
      </c>
    </row>
    <row r="5584" spans="1:22" s="1192" customFormat="1" ht="14.4" x14ac:dyDescent="0.3">
      <c r="A5584" s="1192" t="s">
        <v>3744</v>
      </c>
      <c r="B5584" s="1192" t="s">
        <v>4013</v>
      </c>
      <c r="E5584" s="2067" t="s">
        <v>2445</v>
      </c>
      <c r="F5584" s="2067"/>
      <c r="G5584" s="2067"/>
      <c r="H5584" s="2067"/>
      <c r="V5584" s="1192">
        <v>211</v>
      </c>
    </row>
    <row r="5585" spans="1:22" s="1192" customFormat="1" ht="14.4" x14ac:dyDescent="0.3">
      <c r="A5585" s="1192" t="s">
        <v>3744</v>
      </c>
      <c r="B5585" s="1192" t="s">
        <v>4013</v>
      </c>
      <c r="E5585" s="2067" t="s">
        <v>4500</v>
      </c>
      <c r="F5585" s="2067"/>
      <c r="G5585" s="2067"/>
      <c r="H5585" s="2067"/>
      <c r="V5585" s="1192">
        <v>247</v>
      </c>
    </row>
    <row r="5586" spans="1:22" s="1192" customFormat="1" ht="14.4" x14ac:dyDescent="0.3">
      <c r="A5586" s="1192" t="s">
        <v>3744</v>
      </c>
      <c r="B5586" s="1192" t="s">
        <v>4013</v>
      </c>
      <c r="E5586" s="2067" t="s">
        <v>2595</v>
      </c>
      <c r="F5586" s="2067"/>
      <c r="G5586" s="2067"/>
      <c r="H5586" s="2067"/>
      <c r="V5586" s="1192">
        <v>142</v>
      </c>
    </row>
    <row r="5587" spans="1:22" s="1192" customFormat="1" ht="14.4" x14ac:dyDescent="0.3">
      <c r="A5587" s="1192" t="s">
        <v>3744</v>
      </c>
      <c r="B5587" s="1192" t="s">
        <v>4013</v>
      </c>
      <c r="E5587" s="2062" t="s">
        <v>2485</v>
      </c>
      <c r="F5587" s="1740"/>
      <c r="G5587" s="957" t="s">
        <v>19</v>
      </c>
      <c r="H5587" s="509">
        <v>102</v>
      </c>
      <c r="V5587" s="1192">
        <v>106</v>
      </c>
    </row>
    <row r="5588" spans="1:22" s="1192" customFormat="1" ht="14.4" x14ac:dyDescent="0.3">
      <c r="A5588" s="1192" t="s">
        <v>3744</v>
      </c>
      <c r="B5588" s="1192" t="s">
        <v>4013</v>
      </c>
      <c r="E5588" s="2084" t="s">
        <v>3919</v>
      </c>
      <c r="F5588" s="1740"/>
      <c r="G5588" s="957" t="s">
        <v>19</v>
      </c>
      <c r="H5588" s="509">
        <v>40.799999999999997</v>
      </c>
      <c r="V5588" s="1192">
        <v>34</v>
      </c>
    </row>
    <row r="5589" spans="1:22" s="1192" customFormat="1" ht="14.4" x14ac:dyDescent="0.3">
      <c r="A5589" s="1192" t="s">
        <v>3744</v>
      </c>
      <c r="B5589" s="1192" t="s">
        <v>4013</v>
      </c>
      <c r="E5589" s="2084" t="s">
        <v>3920</v>
      </c>
      <c r="F5589" s="1740"/>
      <c r="G5589" s="957" t="s">
        <v>2488</v>
      </c>
      <c r="H5589" s="905">
        <v>1.02</v>
      </c>
      <c r="V5589" s="1192">
        <v>51</v>
      </c>
    </row>
    <row r="5590" spans="1:22" s="1192" customFormat="1" ht="14.4" x14ac:dyDescent="0.3">
      <c r="A5590" s="1192" t="s">
        <v>3744</v>
      </c>
      <c r="B5590" s="1192" t="s">
        <v>4013</v>
      </c>
      <c r="E5590" s="2084" t="s">
        <v>2489</v>
      </c>
      <c r="F5590" s="1740"/>
      <c r="G5590" s="957" t="s">
        <v>2488</v>
      </c>
      <c r="H5590" s="905">
        <v>0.61</v>
      </c>
      <c r="V5590" s="1192">
        <v>75</v>
      </c>
    </row>
    <row r="5591" spans="1:22" s="1192" customFormat="1" ht="14.4" x14ac:dyDescent="0.3">
      <c r="A5591" s="1192" t="s">
        <v>3744</v>
      </c>
      <c r="B5591" s="1192" t="s">
        <v>4013</v>
      </c>
      <c r="E5591" s="2084" t="s">
        <v>2490</v>
      </c>
      <c r="F5591" s="1740"/>
      <c r="G5591" s="957" t="s">
        <v>2488</v>
      </c>
      <c r="H5591" s="509">
        <v>-0.61</v>
      </c>
      <c r="V5591" s="1192">
        <v>72</v>
      </c>
    </row>
    <row r="5592" spans="1:22" s="1192" customFormat="1" ht="14.4" x14ac:dyDescent="0.3">
      <c r="A5592" s="1192" t="s">
        <v>3744</v>
      </c>
      <c r="B5592" s="1192" t="s">
        <v>4013</v>
      </c>
      <c r="E5592" s="2084" t="s">
        <v>2596</v>
      </c>
      <c r="F5592" s="1740"/>
      <c r="G5592" s="1327"/>
      <c r="H5592" s="1328"/>
      <c r="V5592" s="1192">
        <v>34</v>
      </c>
    </row>
    <row r="5593" spans="1:22" s="1192" customFormat="1" ht="14.4" x14ac:dyDescent="0.3">
      <c r="A5593" s="1192" t="s">
        <v>3744</v>
      </c>
      <c r="B5593" s="1192" t="s">
        <v>4013</v>
      </c>
      <c r="E5593" s="2238" t="s">
        <v>2492</v>
      </c>
      <c r="F5593" s="1742"/>
      <c r="G5593" s="957" t="s">
        <v>19</v>
      </c>
      <c r="H5593" s="905">
        <v>0.51</v>
      </c>
      <c r="V5593" s="1192">
        <v>57</v>
      </c>
    </row>
    <row r="5594" spans="1:22" s="1192" customFormat="1" ht="14.4" x14ac:dyDescent="0.3">
      <c r="A5594" s="1192" t="s">
        <v>3744</v>
      </c>
      <c r="B5594" s="1192" t="s">
        <v>4013</v>
      </c>
      <c r="E5594" s="2238" t="s">
        <v>2493</v>
      </c>
      <c r="F5594" s="1742"/>
      <c r="G5594" s="957" t="s">
        <v>19</v>
      </c>
      <c r="H5594" s="905">
        <v>1.02</v>
      </c>
      <c r="V5594" s="1192">
        <v>60</v>
      </c>
    </row>
    <row r="5595" spans="1:22" s="1192" customFormat="1" ht="14.4" x14ac:dyDescent="0.3">
      <c r="A5595" s="1192" t="s">
        <v>3744</v>
      </c>
      <c r="B5595" s="1192" t="s">
        <v>4013</v>
      </c>
      <c r="E5595" s="2084" t="s">
        <v>2494</v>
      </c>
      <c r="F5595" s="1740"/>
      <c r="G5595" s="1327"/>
      <c r="H5595" s="1328"/>
      <c r="V5595" s="1192">
        <v>91</v>
      </c>
    </row>
    <row r="5596" spans="1:22" s="1192" customFormat="1" ht="14.4" x14ac:dyDescent="0.3">
      <c r="A5596" s="1192" t="s">
        <v>3744</v>
      </c>
      <c r="B5596" s="1192" t="s">
        <v>4013</v>
      </c>
      <c r="E5596" s="2084" t="s">
        <v>2495</v>
      </c>
      <c r="F5596" s="1740"/>
      <c r="G5596" s="1327"/>
      <c r="H5596" s="1328"/>
      <c r="V5596" s="1192">
        <v>96</v>
      </c>
    </row>
    <row r="5597" spans="1:22" s="1192" customFormat="1" ht="14.4" x14ac:dyDescent="0.3">
      <c r="A5597" s="1192" t="s">
        <v>3744</v>
      </c>
      <c r="B5597" s="1192" t="s">
        <v>4013</v>
      </c>
      <c r="E5597" s="2084" t="s">
        <v>2597</v>
      </c>
      <c r="F5597" s="1740"/>
      <c r="G5597" s="1327"/>
      <c r="H5597" s="1328"/>
      <c r="V5597" s="1192">
        <v>77</v>
      </c>
    </row>
    <row r="5598" spans="1:22" s="1192" customFormat="1" ht="14.4" x14ac:dyDescent="0.3">
      <c r="A5598" s="1192" t="s">
        <v>3744</v>
      </c>
      <c r="B5598" s="1192" t="s">
        <v>4013</v>
      </c>
      <c r="E5598" s="2238" t="s">
        <v>2497</v>
      </c>
      <c r="F5598" s="1742"/>
      <c r="G5598" s="957" t="s">
        <v>19</v>
      </c>
      <c r="H5598" s="905" t="s">
        <v>2498</v>
      </c>
      <c r="V5598" s="1192">
        <v>18</v>
      </c>
    </row>
    <row r="5599" spans="1:22" s="1192" customFormat="1" ht="14.4" x14ac:dyDescent="0.3">
      <c r="A5599" s="1192" t="s">
        <v>3744</v>
      </c>
      <c r="B5599" s="1192" t="s">
        <v>4013</v>
      </c>
      <c r="E5599" s="2238" t="s">
        <v>2499</v>
      </c>
      <c r="F5599" s="1742"/>
      <c r="G5599" s="957" t="s">
        <v>19</v>
      </c>
      <c r="H5599" s="905">
        <v>4.08</v>
      </c>
      <c r="V5599" s="1192">
        <v>69</v>
      </c>
    </row>
    <row r="5600" spans="1:22" s="1192" customFormat="1" ht="14.4" x14ac:dyDescent="0.3">
      <c r="A5600" s="1192" t="s">
        <v>3744</v>
      </c>
      <c r="B5600" s="1192" t="s">
        <v>4013</v>
      </c>
      <c r="E5600" s="2084" t="s">
        <v>4608</v>
      </c>
      <c r="F5600" s="2084"/>
      <c r="G5600" s="957" t="s">
        <v>19</v>
      </c>
      <c r="H5600" s="905">
        <v>2.04</v>
      </c>
      <c r="V5600" s="1192">
        <v>199</v>
      </c>
    </row>
    <row r="5601" spans="1:22" s="1192" customFormat="1" ht="22.8" x14ac:dyDescent="0.3">
      <c r="A5601" s="1192" t="s">
        <v>3744</v>
      </c>
      <c r="B5601" s="1192" t="s">
        <v>4013</v>
      </c>
      <c r="E5601" s="1323" t="s">
        <v>143</v>
      </c>
      <c r="F5601" s="849"/>
      <c r="G5601" s="850"/>
      <c r="H5601" s="851"/>
      <c r="K5601" s="1192" t="s">
        <v>3998</v>
      </c>
      <c r="V5601" s="1192">
        <v>12</v>
      </c>
    </row>
    <row r="5602" spans="1:22" s="1192" customFormat="1" ht="14.4" x14ac:dyDescent="0.3">
      <c r="A5602" s="1192" t="s">
        <v>3744</v>
      </c>
      <c r="B5602" s="1192" t="s">
        <v>4013</v>
      </c>
      <c r="E5602" s="2059" t="s">
        <v>2501</v>
      </c>
      <c r="F5602" s="2059"/>
      <c r="G5602" s="2059"/>
      <c r="H5602" s="2059"/>
      <c r="V5602" s="1192">
        <v>203</v>
      </c>
    </row>
    <row r="5603" spans="1:22" s="1192" customFormat="1" ht="14.4" x14ac:dyDescent="0.3">
      <c r="A5603" s="1192" t="s">
        <v>3744</v>
      </c>
      <c r="B5603" s="1192" t="s">
        <v>4013</v>
      </c>
      <c r="E5603" s="2101" t="s">
        <v>2599</v>
      </c>
      <c r="F5603" s="1740"/>
      <c r="G5603" s="1273"/>
      <c r="H5603" s="906">
        <v>1.036</v>
      </c>
      <c r="V5603" s="1192">
        <v>57</v>
      </c>
    </row>
    <row r="5604" spans="1:22" s="1192" customFormat="1" ht="14.4" x14ac:dyDescent="0.3">
      <c r="A5604" s="1192" t="s">
        <v>3744</v>
      </c>
      <c r="B5604" s="1192" t="s">
        <v>4013</v>
      </c>
      <c r="E5604" s="2101" t="s">
        <v>2600</v>
      </c>
      <c r="F5604" s="1740"/>
      <c r="G5604" s="1273"/>
      <c r="H5604" s="906">
        <v>1.0145</v>
      </c>
      <c r="V5604" s="1192">
        <v>57</v>
      </c>
    </row>
    <row r="5605" spans="1:22" s="1192" customFormat="1" ht="14.4" x14ac:dyDescent="0.3">
      <c r="A5605" s="1192" t="s">
        <v>3744</v>
      </c>
      <c r="B5605" s="1192" t="s">
        <v>4013</v>
      </c>
      <c r="E5605" s="2101" t="s">
        <v>2601</v>
      </c>
      <c r="F5605" s="1740"/>
      <c r="G5605" s="1273"/>
      <c r="H5605" s="906">
        <v>1.0256000000000001</v>
      </c>
      <c r="V5605" s="1192">
        <v>55</v>
      </c>
    </row>
    <row r="5606" spans="1:22" s="1192" customFormat="1" ht="14.4" x14ac:dyDescent="0.3">
      <c r="A5606" s="1192" t="s">
        <v>3744</v>
      </c>
      <c r="B5606" s="1192" t="s">
        <v>4013</v>
      </c>
      <c r="E5606" s="2101" t="s">
        <v>2602</v>
      </c>
      <c r="F5606" s="1740"/>
      <c r="G5606" s="957"/>
      <c r="H5606" s="905">
        <v>1.0044999999999999</v>
      </c>
      <c r="J5606" s="1192" t="s">
        <v>4056</v>
      </c>
      <c r="V5606" s="1192">
        <v>55</v>
      </c>
    </row>
    <row r="5607" spans="1:22" s="1192" customFormat="1" ht="22.8" x14ac:dyDescent="0.3">
      <c r="A5607" s="1192" t="s">
        <v>3744</v>
      </c>
      <c r="B5607" s="1192" t="s">
        <v>5678</v>
      </c>
      <c r="C5607" s="1192" t="s">
        <v>2378</v>
      </c>
      <c r="E5607" s="2156" t="s">
        <v>3744</v>
      </c>
      <c r="F5607" s="2156"/>
      <c r="G5607" s="2156"/>
      <c r="H5607" s="2156"/>
      <c r="I5607" s="1192" t="s">
        <v>603</v>
      </c>
      <c r="J5607" s="1192" t="s">
        <v>5680</v>
      </c>
      <c r="K5607" s="1192" t="s">
        <v>3744</v>
      </c>
      <c r="M5607" s="1192">
        <v>10</v>
      </c>
      <c r="V5607" s="1192">
        <v>29</v>
      </c>
    </row>
    <row r="5608" spans="1:22" s="1192" customFormat="1" ht="22.8" x14ac:dyDescent="0.3">
      <c r="A5608" s="1192" t="s">
        <v>3744</v>
      </c>
      <c r="B5608" s="1192" t="s">
        <v>5678</v>
      </c>
      <c r="C5608" s="1192" t="s">
        <v>2380</v>
      </c>
      <c r="E5608" s="2239" t="s">
        <v>5679</v>
      </c>
      <c r="F5608" s="2239"/>
      <c r="G5608" s="2239"/>
      <c r="H5608" s="2239"/>
      <c r="V5608" s="1192">
        <v>16</v>
      </c>
    </row>
    <row r="5609" spans="1:22" s="1192" customFormat="1" ht="17.399999999999999" x14ac:dyDescent="0.3">
      <c r="A5609" s="1192" t="s">
        <v>3744</v>
      </c>
      <c r="B5609" s="1192" t="s">
        <v>5678</v>
      </c>
      <c r="C5609" s="1192" t="s">
        <v>2382</v>
      </c>
      <c r="E5609" s="2240" t="s">
        <v>2381</v>
      </c>
      <c r="F5609" s="2240"/>
      <c r="G5609" s="2240"/>
      <c r="H5609" s="2240"/>
      <c r="V5609" s="1192">
        <v>27</v>
      </c>
    </row>
    <row r="5610" spans="1:22" s="1192" customFormat="1" ht="15.6" x14ac:dyDescent="0.3">
      <c r="A5610" s="1192" t="s">
        <v>3744</v>
      </c>
      <c r="B5610" s="1192" t="s">
        <v>5678</v>
      </c>
      <c r="C5610" s="1192" t="s">
        <v>2383</v>
      </c>
      <c r="E5610" s="1754" t="s">
        <v>5937</v>
      </c>
      <c r="F5610" s="1754"/>
      <c r="G5610" s="1754"/>
      <c r="H5610" s="1754"/>
      <c r="S5610" s="1192">
        <v>43831</v>
      </c>
      <c r="V5610" s="1192">
        <v>49</v>
      </c>
    </row>
    <row r="5611" spans="1:22" s="1192" customFormat="1" ht="14.4" x14ac:dyDescent="0.3">
      <c r="A5611" s="1192" t="s">
        <v>3744</v>
      </c>
      <c r="B5611" s="1192" t="s">
        <v>5678</v>
      </c>
      <c r="E5611" s="1755" t="s">
        <v>2842</v>
      </c>
      <c r="F5611" s="1755"/>
      <c r="G5611" s="1755"/>
      <c r="H5611" s="1755"/>
      <c r="V5611" s="1192">
        <v>53</v>
      </c>
    </row>
    <row r="5612" spans="1:22" s="1192" customFormat="1" ht="14.4" x14ac:dyDescent="0.3">
      <c r="A5612" s="1192" t="s">
        <v>3744</v>
      </c>
      <c r="B5612" s="1192" t="s">
        <v>5678</v>
      </c>
      <c r="E5612" s="1755" t="s">
        <v>2385</v>
      </c>
      <c r="F5612" s="1755"/>
      <c r="G5612" s="1755"/>
      <c r="H5612" s="1755"/>
      <c r="V5612" s="1192">
        <v>53</v>
      </c>
    </row>
    <row r="5613" spans="1:22" s="1192" customFormat="1" ht="14.4" x14ac:dyDescent="0.3">
      <c r="A5613" s="1192" t="s">
        <v>3744</v>
      </c>
      <c r="B5613" s="1192" t="s">
        <v>5678</v>
      </c>
      <c r="E5613" s="1772" t="s">
        <v>6296</v>
      </c>
      <c r="F5613" s="1772"/>
      <c r="G5613" s="1772"/>
      <c r="H5613" s="1772"/>
      <c r="K5613" s="1192" t="s">
        <v>6296</v>
      </c>
      <c r="V5613" s="1192">
        <v>12</v>
      </c>
    </row>
    <row r="5614" spans="1:22" s="1192" customFormat="1" ht="14.4" x14ac:dyDescent="0.3">
      <c r="A5614" s="1192" t="s">
        <v>3744</v>
      </c>
      <c r="B5614" s="1192" t="s">
        <v>5678</v>
      </c>
      <c r="E5614" s="2045" t="s">
        <v>427</v>
      </c>
      <c r="F5614" s="1743"/>
      <c r="G5614" s="1743"/>
      <c r="H5614" s="1743"/>
      <c r="K5614" s="1192" t="s">
        <v>2506</v>
      </c>
      <c r="V5614" s="1192">
        <v>34</v>
      </c>
    </row>
    <row r="5615" spans="1:22" s="1192" customFormat="1" ht="14.4" x14ac:dyDescent="0.3">
      <c r="A5615" s="1192" t="s">
        <v>3744</v>
      </c>
      <c r="B5615" s="1192" t="s">
        <v>5678</v>
      </c>
      <c r="E5615" s="1743" t="s">
        <v>3451</v>
      </c>
      <c r="F5615" s="1743"/>
      <c r="G5615" s="1743"/>
      <c r="H5615" s="1743"/>
      <c r="K5615" s="1192" t="s">
        <v>2506</v>
      </c>
      <c r="V5615" s="1192">
        <v>618</v>
      </c>
    </row>
    <row r="5616" spans="1:22" s="1192" customFormat="1" ht="14.4" x14ac:dyDescent="0.3">
      <c r="A5616" s="1192" t="s">
        <v>3744</v>
      </c>
      <c r="B5616" s="1192" t="s">
        <v>5678</v>
      </c>
      <c r="E5616" s="1750" t="s">
        <v>2389</v>
      </c>
      <c r="F5616" s="1743"/>
      <c r="G5616" s="1743"/>
      <c r="H5616" s="1743"/>
      <c r="K5616" s="1192" t="s">
        <v>2390</v>
      </c>
      <c r="V5616" s="1192">
        <v>11</v>
      </c>
    </row>
    <row r="5617" spans="1:22" s="1192" customFormat="1" ht="14.4" x14ac:dyDescent="0.3">
      <c r="A5617" s="1192" t="s">
        <v>3744</v>
      </c>
      <c r="B5617" s="1192" t="s">
        <v>5678</v>
      </c>
      <c r="E5617" s="1743" t="s">
        <v>2391</v>
      </c>
      <c r="F5617" s="1743"/>
      <c r="G5617" s="1743"/>
      <c r="H5617" s="1743"/>
      <c r="K5617" s="1192" t="s">
        <v>2506</v>
      </c>
      <c r="V5617" s="1192">
        <v>280</v>
      </c>
    </row>
    <row r="5618" spans="1:22" s="1192" customFormat="1" ht="14.4" x14ac:dyDescent="0.3">
      <c r="A5618" s="1192" t="s">
        <v>3744</v>
      </c>
      <c r="B5618" s="1192" t="s">
        <v>5678</v>
      </c>
      <c r="E5618" s="1743" t="s">
        <v>2392</v>
      </c>
      <c r="F5618" s="1743"/>
      <c r="G5618" s="1743"/>
      <c r="H5618" s="1743"/>
      <c r="K5618" s="1192" t="s">
        <v>2506</v>
      </c>
      <c r="V5618" s="1192">
        <v>411</v>
      </c>
    </row>
    <row r="5619" spans="1:22" s="1192" customFormat="1" ht="14.4" x14ac:dyDescent="0.3">
      <c r="A5619" s="1192" t="s">
        <v>3744</v>
      </c>
      <c r="B5619" s="1192" t="s">
        <v>5678</v>
      </c>
      <c r="E5619" s="1743" t="s">
        <v>2393</v>
      </c>
      <c r="F5619" s="1743"/>
      <c r="G5619" s="1743"/>
      <c r="H5619" s="1743"/>
      <c r="K5619" s="1192" t="s">
        <v>2506</v>
      </c>
      <c r="V5619" s="1192">
        <v>387</v>
      </c>
    </row>
    <row r="5620" spans="1:22" s="1192" customFormat="1" ht="14.4" x14ac:dyDescent="0.3">
      <c r="A5620" s="1192" t="s">
        <v>3744</v>
      </c>
      <c r="B5620" s="1192" t="s">
        <v>5678</v>
      </c>
      <c r="E5620" s="1743" t="s">
        <v>2986</v>
      </c>
      <c r="F5620" s="1743"/>
      <c r="G5620" s="1743"/>
      <c r="H5620" s="1743"/>
      <c r="K5620" s="1192" t="s">
        <v>2506</v>
      </c>
      <c r="V5620" s="1192">
        <v>246</v>
      </c>
    </row>
    <row r="5621" spans="1:22" s="1192" customFormat="1" ht="14.4" x14ac:dyDescent="0.3">
      <c r="A5621" s="1192" t="s">
        <v>3744</v>
      </c>
      <c r="B5621" s="1192" t="s">
        <v>5678</v>
      </c>
      <c r="E5621" s="1750" t="s">
        <v>2394</v>
      </c>
      <c r="F5621" s="1743"/>
      <c r="G5621" s="1743"/>
      <c r="H5621" s="1743"/>
      <c r="K5621" s="1192" t="s">
        <v>2395</v>
      </c>
      <c r="V5621" s="1192">
        <v>46</v>
      </c>
    </row>
    <row r="5622" spans="1:22" s="1192" customFormat="1" ht="14.4" x14ac:dyDescent="0.3">
      <c r="A5622" s="1192" t="s">
        <v>3744</v>
      </c>
      <c r="B5622" s="1192" t="s">
        <v>5678</v>
      </c>
      <c r="E5622" s="2114" t="s">
        <v>7</v>
      </c>
      <c r="F5622" s="1740"/>
      <c r="G5622" s="574" t="s">
        <v>19</v>
      </c>
      <c r="H5622" s="837">
        <v>29.72</v>
      </c>
      <c r="K5622" s="1192" t="s">
        <v>2506</v>
      </c>
      <c r="L5622" s="1192" t="s">
        <v>430</v>
      </c>
      <c r="P5622" s="1192" t="s">
        <v>2510</v>
      </c>
      <c r="V5622" s="1192">
        <v>14</v>
      </c>
    </row>
    <row r="5623" spans="1:22" s="1192" customFormat="1" ht="14.4" x14ac:dyDescent="0.3">
      <c r="A5623" s="1192" t="s">
        <v>3744</v>
      </c>
      <c r="B5623" s="1192" t="s">
        <v>5678</v>
      </c>
      <c r="E5623" s="2114" t="s">
        <v>389</v>
      </c>
      <c r="F5623" s="1740"/>
      <c r="G5623" s="574" t="s">
        <v>19</v>
      </c>
      <c r="H5623" s="509">
        <v>-0.18</v>
      </c>
      <c r="K5623" s="1192" t="s">
        <v>2506</v>
      </c>
      <c r="L5623" s="1192" t="s">
        <v>430</v>
      </c>
      <c r="P5623" s="1192" t="s">
        <v>4128</v>
      </c>
      <c r="T5623" s="1192">
        <v>45747</v>
      </c>
      <c r="V5623" s="1192">
        <v>93</v>
      </c>
    </row>
    <row r="5624" spans="1:22" s="1192" customFormat="1" ht="14.4" x14ac:dyDescent="0.3">
      <c r="A5624" s="1192" t="s">
        <v>3744</v>
      </c>
      <c r="B5624" s="1192" t="s">
        <v>5678</v>
      </c>
      <c r="E5624" s="2114" t="s">
        <v>3900</v>
      </c>
      <c r="F5624" s="1740"/>
      <c r="G5624" s="574" t="s">
        <v>19</v>
      </c>
      <c r="H5624" s="1329">
        <v>0.56999999999999995</v>
      </c>
      <c r="K5624" s="1192" t="s">
        <v>2506</v>
      </c>
      <c r="L5624" s="1192" t="s">
        <v>431</v>
      </c>
      <c r="P5624" s="1192" t="s">
        <v>2511</v>
      </c>
      <c r="T5624" s="1192">
        <v>44926</v>
      </c>
      <c r="V5624" s="1192">
        <v>64</v>
      </c>
    </row>
    <row r="5625" spans="1:22" s="1192" customFormat="1" ht="14.4" x14ac:dyDescent="0.3">
      <c r="A5625" s="1192" t="s">
        <v>3744</v>
      </c>
      <c r="B5625" s="1192" t="s">
        <v>5678</v>
      </c>
      <c r="E5625" s="2114" t="s">
        <v>213</v>
      </c>
      <c r="F5625" s="1740"/>
      <c r="G5625" s="574" t="s">
        <v>20</v>
      </c>
      <c r="H5625" s="837">
        <v>7.1000000000000004E-3</v>
      </c>
      <c r="K5625" s="1192" t="s">
        <v>2506</v>
      </c>
      <c r="L5625" s="1192" t="s">
        <v>432</v>
      </c>
      <c r="P5625" s="1192" t="s">
        <v>2517</v>
      </c>
      <c r="V5625" s="1192">
        <v>47</v>
      </c>
    </row>
    <row r="5626" spans="1:22" s="1192" customFormat="1" ht="14.4" x14ac:dyDescent="0.3">
      <c r="A5626" s="1192" t="s">
        <v>3744</v>
      </c>
      <c r="B5626" s="1192" t="s">
        <v>5678</v>
      </c>
      <c r="E5626" s="2114" t="s">
        <v>209</v>
      </c>
      <c r="F5626" s="1740"/>
      <c r="G5626" s="574" t="s">
        <v>20</v>
      </c>
      <c r="H5626" s="837">
        <v>6.1000000000000004E-3</v>
      </c>
      <c r="K5626" s="1192" t="s">
        <v>2506</v>
      </c>
      <c r="L5626" s="1192" t="s">
        <v>432</v>
      </c>
      <c r="P5626" s="1192" t="s">
        <v>2518</v>
      </c>
      <c r="V5626" s="1192">
        <v>74</v>
      </c>
    </row>
    <row r="5627" spans="1:22" s="1192" customFormat="1" ht="14.4" x14ac:dyDescent="0.3">
      <c r="A5627" s="1192" t="s">
        <v>3744</v>
      </c>
      <c r="B5627" s="1192" t="s">
        <v>5678</v>
      </c>
      <c r="E5627" s="1750" t="s">
        <v>2405</v>
      </c>
      <c r="F5627" s="1741"/>
      <c r="G5627" s="1741"/>
      <c r="H5627" s="1741"/>
      <c r="K5627" s="1192" t="s">
        <v>2406</v>
      </c>
      <c r="V5627" s="1192">
        <v>48</v>
      </c>
    </row>
    <row r="5628" spans="1:22" s="1192" customFormat="1" ht="14.4" x14ac:dyDescent="0.3">
      <c r="A5628" s="1192" t="s">
        <v>3744</v>
      </c>
      <c r="B5628" s="1192" t="s">
        <v>5678</v>
      </c>
      <c r="E5628" s="2114" t="s">
        <v>2033</v>
      </c>
      <c r="F5628" s="1740"/>
      <c r="G5628" s="574" t="s">
        <v>20</v>
      </c>
      <c r="H5628" s="1219">
        <v>3.0000000000000001E-3</v>
      </c>
      <c r="K5628" s="1192" t="s">
        <v>2506</v>
      </c>
      <c r="L5628" s="1192" t="s">
        <v>2374</v>
      </c>
      <c r="P5628" s="1192" t="s">
        <v>2519</v>
      </c>
      <c r="V5628" s="1192">
        <v>55</v>
      </c>
    </row>
    <row r="5629" spans="1:22" s="1192" customFormat="1" ht="14.4" x14ac:dyDescent="0.3">
      <c r="A5629" s="1192" t="s">
        <v>3744</v>
      </c>
      <c r="B5629" s="1192" t="s">
        <v>5678</v>
      </c>
      <c r="E5629" s="2114" t="s">
        <v>2034</v>
      </c>
      <c r="F5629" s="1740"/>
      <c r="G5629" s="574" t="s">
        <v>20</v>
      </c>
      <c r="H5629" s="1329">
        <v>4.0000000000000002E-4</v>
      </c>
      <c r="K5629" s="1192" t="s">
        <v>2506</v>
      </c>
      <c r="L5629" s="1192" t="s">
        <v>2374</v>
      </c>
      <c r="P5629" s="1192" t="s">
        <v>2519</v>
      </c>
      <c r="V5629" s="1192">
        <v>65</v>
      </c>
    </row>
    <row r="5630" spans="1:22" s="1192" customFormat="1" ht="14.4" x14ac:dyDescent="0.3">
      <c r="A5630" s="1192" t="s">
        <v>3744</v>
      </c>
      <c r="B5630" s="1192" t="s">
        <v>5678</v>
      </c>
      <c r="E5630" s="2114" t="s">
        <v>428</v>
      </c>
      <c r="F5630" s="1740"/>
      <c r="G5630" s="574" t="s">
        <v>20</v>
      </c>
      <c r="H5630" s="1329">
        <v>5.0000000000000001E-4</v>
      </c>
      <c r="K5630" s="1192" t="s">
        <v>2506</v>
      </c>
      <c r="L5630" s="1192" t="s">
        <v>2374</v>
      </c>
      <c r="P5630" s="1192" t="s">
        <v>2520</v>
      </c>
      <c r="V5630" s="1192">
        <v>57</v>
      </c>
    </row>
    <row r="5631" spans="1:22" s="1192" customFormat="1" ht="14.4" x14ac:dyDescent="0.3">
      <c r="A5631" s="1192" t="s">
        <v>3744</v>
      </c>
      <c r="B5631" s="1192" t="s">
        <v>5678</v>
      </c>
      <c r="E5631" s="2114" t="s">
        <v>28</v>
      </c>
      <c r="F5631" s="1740"/>
      <c r="G5631" s="574" t="s">
        <v>19</v>
      </c>
      <c r="H5631" s="1329">
        <v>0.25</v>
      </c>
      <c r="K5631" s="1192" t="s">
        <v>2506</v>
      </c>
      <c r="L5631" s="1192" t="s">
        <v>2374</v>
      </c>
      <c r="P5631" s="1192" t="s">
        <v>2521</v>
      </c>
      <c r="V5631" s="1192">
        <v>63</v>
      </c>
    </row>
    <row r="5632" spans="1:22" s="1192" customFormat="1" ht="17.399999999999999" x14ac:dyDescent="0.3">
      <c r="A5632" s="1192" t="s">
        <v>3744</v>
      </c>
      <c r="B5632" s="1192" t="s">
        <v>5678</v>
      </c>
      <c r="E5632" s="2045" t="s">
        <v>2522</v>
      </c>
      <c r="F5632" s="1747"/>
      <c r="G5632" s="1747"/>
      <c r="H5632" s="1747"/>
      <c r="K5632" s="1192" t="s">
        <v>3901</v>
      </c>
      <c r="V5632" s="1192">
        <v>54</v>
      </c>
    </row>
    <row r="5633" spans="1:22" s="1192" customFormat="1" ht="14.4" x14ac:dyDescent="0.3">
      <c r="A5633" s="1192" t="s">
        <v>3744</v>
      </c>
      <c r="B5633" s="1192" t="s">
        <v>5678</v>
      </c>
      <c r="E5633" s="1743" t="s">
        <v>3452</v>
      </c>
      <c r="F5633" s="1743"/>
      <c r="G5633" s="1743"/>
      <c r="H5633" s="1743"/>
      <c r="K5633" s="1192" t="s">
        <v>3901</v>
      </c>
      <c r="V5633" s="1192">
        <v>331</v>
      </c>
    </row>
    <row r="5634" spans="1:22" s="1192" customFormat="1" ht="14.4" x14ac:dyDescent="0.3">
      <c r="A5634" s="1192" t="s">
        <v>3744</v>
      </c>
      <c r="B5634" s="1192" t="s">
        <v>5678</v>
      </c>
      <c r="E5634" s="1750" t="s">
        <v>2389</v>
      </c>
      <c r="F5634" s="1743"/>
      <c r="G5634" s="1743"/>
      <c r="H5634" s="1743"/>
      <c r="K5634" s="1192" t="s">
        <v>2412</v>
      </c>
      <c r="V5634" s="1192">
        <v>11</v>
      </c>
    </row>
    <row r="5635" spans="1:22" s="1192" customFormat="1" ht="14.4" x14ac:dyDescent="0.3">
      <c r="A5635" s="1192" t="s">
        <v>3744</v>
      </c>
      <c r="B5635" s="1192" t="s">
        <v>5678</v>
      </c>
      <c r="E5635" s="1743" t="s">
        <v>2391</v>
      </c>
      <c r="F5635" s="1743"/>
      <c r="G5635" s="1743"/>
      <c r="H5635" s="1743"/>
      <c r="K5635" s="1192" t="s">
        <v>3901</v>
      </c>
      <c r="V5635" s="1192">
        <v>280</v>
      </c>
    </row>
    <row r="5636" spans="1:22" s="1192" customFormat="1" ht="14.4" x14ac:dyDescent="0.3">
      <c r="A5636" s="1192" t="s">
        <v>3744</v>
      </c>
      <c r="B5636" s="1192" t="s">
        <v>5678</v>
      </c>
      <c r="E5636" s="1743" t="s">
        <v>2392</v>
      </c>
      <c r="F5636" s="1743"/>
      <c r="G5636" s="1743"/>
      <c r="H5636" s="1743"/>
      <c r="K5636" s="1192" t="s">
        <v>3901</v>
      </c>
      <c r="V5636" s="1192">
        <v>411</v>
      </c>
    </row>
    <row r="5637" spans="1:22" s="1192" customFormat="1" ht="14.4" x14ac:dyDescent="0.3">
      <c r="A5637" s="1192" t="s">
        <v>3744</v>
      </c>
      <c r="B5637" s="1192" t="s">
        <v>5678</v>
      </c>
      <c r="E5637" s="1743" t="s">
        <v>2393</v>
      </c>
      <c r="F5637" s="1743"/>
      <c r="G5637" s="1743"/>
      <c r="H5637" s="1743"/>
      <c r="K5637" s="1192" t="s">
        <v>3901</v>
      </c>
      <c r="V5637" s="1192">
        <v>387</v>
      </c>
    </row>
    <row r="5638" spans="1:22" s="1192" customFormat="1" ht="14.4" x14ac:dyDescent="0.3">
      <c r="A5638" s="1192" t="s">
        <v>3744</v>
      </c>
      <c r="B5638" s="1192" t="s">
        <v>5678</v>
      </c>
      <c r="E5638" s="1743" t="s">
        <v>2986</v>
      </c>
      <c r="F5638" s="1743"/>
      <c r="G5638" s="1743"/>
      <c r="H5638" s="1743"/>
      <c r="K5638" s="1192" t="s">
        <v>3901</v>
      </c>
      <c r="V5638" s="1192">
        <v>246</v>
      </c>
    </row>
    <row r="5639" spans="1:22" s="1192" customFormat="1" ht="14.4" x14ac:dyDescent="0.3">
      <c r="A5639" s="1192" t="s">
        <v>3744</v>
      </c>
      <c r="B5639" s="1192" t="s">
        <v>5678</v>
      </c>
      <c r="E5639" s="1750" t="s">
        <v>2394</v>
      </c>
      <c r="F5639" s="1743"/>
      <c r="G5639" s="1743"/>
      <c r="H5639" s="1743"/>
      <c r="K5639" s="1192" t="s">
        <v>2413</v>
      </c>
      <c r="V5639" s="1192">
        <v>46</v>
      </c>
    </row>
    <row r="5640" spans="1:22" s="1192" customFormat="1" ht="14.4" x14ac:dyDescent="0.3">
      <c r="A5640" s="1192" t="s">
        <v>3744</v>
      </c>
      <c r="B5640" s="1192" t="s">
        <v>5678</v>
      </c>
      <c r="E5640" s="2114" t="s">
        <v>7</v>
      </c>
      <c r="F5640" s="1740"/>
      <c r="G5640" s="574" t="s">
        <v>19</v>
      </c>
      <c r="H5640" s="837">
        <v>17.23</v>
      </c>
      <c r="K5640" s="1192" t="s">
        <v>3901</v>
      </c>
      <c r="L5640" s="1192" t="s">
        <v>430</v>
      </c>
      <c r="P5640" s="1192" t="s">
        <v>3902</v>
      </c>
      <c r="V5640" s="1192">
        <v>14</v>
      </c>
    </row>
    <row r="5641" spans="1:22" s="1192" customFormat="1" ht="14.4" x14ac:dyDescent="0.3">
      <c r="A5641" s="1192" t="s">
        <v>3744</v>
      </c>
      <c r="B5641" s="1192" t="s">
        <v>5678</v>
      </c>
      <c r="E5641" s="2114" t="s">
        <v>389</v>
      </c>
      <c r="F5641" s="1740"/>
      <c r="G5641" s="1262" t="s">
        <v>19</v>
      </c>
      <c r="H5641" s="509">
        <v>-0.5</v>
      </c>
      <c r="K5641" s="1192" t="s">
        <v>3901</v>
      </c>
      <c r="L5641" s="1192" t="s">
        <v>430</v>
      </c>
      <c r="P5641" s="1192" t="s">
        <v>6355</v>
      </c>
      <c r="T5641" s="1192">
        <v>45747</v>
      </c>
      <c r="V5641" s="1192">
        <v>93</v>
      </c>
    </row>
    <row r="5642" spans="1:22" s="1192" customFormat="1" ht="14.4" x14ac:dyDescent="0.3">
      <c r="A5642" s="1192" t="s">
        <v>3744</v>
      </c>
      <c r="B5642" s="1192" t="s">
        <v>5678</v>
      </c>
      <c r="E5642" s="2114" t="s">
        <v>3900</v>
      </c>
      <c r="F5642" s="1740"/>
      <c r="G5642" s="574" t="s">
        <v>19</v>
      </c>
      <c r="H5642" s="1329">
        <v>0.56999999999999995</v>
      </c>
      <c r="K5642" s="1192" t="s">
        <v>3901</v>
      </c>
      <c r="L5642" s="1192" t="s">
        <v>431</v>
      </c>
      <c r="P5642" s="1192" t="s">
        <v>3903</v>
      </c>
      <c r="T5642" s="1192">
        <v>44926</v>
      </c>
      <c r="V5642" s="1192">
        <v>64</v>
      </c>
    </row>
    <row r="5643" spans="1:22" s="1192" customFormat="1" ht="14.4" x14ac:dyDescent="0.3">
      <c r="A5643" s="1192" t="s">
        <v>3744</v>
      </c>
      <c r="B5643" s="1192" t="s">
        <v>5678</v>
      </c>
      <c r="E5643" s="2114" t="s">
        <v>80</v>
      </c>
      <c r="F5643" s="1740"/>
      <c r="G5643" s="574" t="s">
        <v>20</v>
      </c>
      <c r="H5643" s="837">
        <v>1.44E-2</v>
      </c>
      <c r="K5643" s="1192" t="s">
        <v>3901</v>
      </c>
      <c r="L5643" s="1192" t="s">
        <v>430</v>
      </c>
      <c r="P5643" s="1192" t="s">
        <v>3904</v>
      </c>
      <c r="V5643" s="1192">
        <v>28</v>
      </c>
    </row>
    <row r="5644" spans="1:22" s="1192" customFormat="1" ht="14.4" x14ac:dyDescent="0.3">
      <c r="A5644" s="1192" t="s">
        <v>3744</v>
      </c>
      <c r="B5644" s="1192" t="s">
        <v>5678</v>
      </c>
      <c r="E5644" s="2114" t="s">
        <v>213</v>
      </c>
      <c r="F5644" s="1740"/>
      <c r="G5644" s="574" t="s">
        <v>20</v>
      </c>
      <c r="H5644" s="837">
        <v>6.4999999999999997E-3</v>
      </c>
      <c r="K5644" s="1192" t="s">
        <v>3901</v>
      </c>
      <c r="L5644" s="1192" t="s">
        <v>432</v>
      </c>
      <c r="P5644" s="1192" t="s">
        <v>3906</v>
      </c>
      <c r="V5644" s="1192">
        <v>47</v>
      </c>
    </row>
    <row r="5645" spans="1:22" s="1192" customFormat="1" ht="14.4" x14ac:dyDescent="0.3">
      <c r="A5645" s="1192" t="s">
        <v>3744</v>
      </c>
      <c r="B5645" s="1192" t="s">
        <v>5678</v>
      </c>
      <c r="E5645" s="2114" t="s">
        <v>209</v>
      </c>
      <c r="F5645" s="1740"/>
      <c r="G5645" s="574" t="s">
        <v>20</v>
      </c>
      <c r="H5645" s="837">
        <v>5.4000000000000003E-3</v>
      </c>
      <c r="K5645" s="1192" t="s">
        <v>3901</v>
      </c>
      <c r="L5645" s="1192" t="s">
        <v>432</v>
      </c>
      <c r="P5645" s="1192" t="s">
        <v>3907</v>
      </c>
      <c r="V5645" s="1192">
        <v>74</v>
      </c>
    </row>
    <row r="5646" spans="1:22" s="1192" customFormat="1" ht="14.4" x14ac:dyDescent="0.3">
      <c r="A5646" s="1192" t="s">
        <v>3744</v>
      </c>
      <c r="B5646" s="1192" t="s">
        <v>5678</v>
      </c>
      <c r="E5646" s="1750" t="s">
        <v>2405</v>
      </c>
      <c r="F5646" s="1741"/>
      <c r="G5646" s="1741"/>
      <c r="H5646" s="1741"/>
      <c r="K5646" s="1192" t="s">
        <v>2418</v>
      </c>
      <c r="V5646" s="1192">
        <v>48</v>
      </c>
    </row>
    <row r="5647" spans="1:22" s="1192" customFormat="1" ht="14.4" x14ac:dyDescent="0.3">
      <c r="A5647" s="1192" t="s">
        <v>3744</v>
      </c>
      <c r="B5647" s="1192" t="s">
        <v>5678</v>
      </c>
      <c r="E5647" s="2114" t="s">
        <v>2033</v>
      </c>
      <c r="F5647" s="1740"/>
      <c r="G5647" s="574" t="s">
        <v>20</v>
      </c>
      <c r="H5647" s="1219">
        <v>3.0000000000000001E-3</v>
      </c>
      <c r="K5647" s="1192" t="s">
        <v>3901</v>
      </c>
      <c r="L5647" s="1192" t="s">
        <v>2374</v>
      </c>
      <c r="P5647" s="1192" t="s">
        <v>3908</v>
      </c>
      <c r="V5647" s="1192">
        <v>55</v>
      </c>
    </row>
    <row r="5648" spans="1:22" s="1192" customFormat="1" ht="14.4" x14ac:dyDescent="0.3">
      <c r="A5648" s="1192" t="s">
        <v>3744</v>
      </c>
      <c r="B5648" s="1192" t="s">
        <v>5678</v>
      </c>
      <c r="E5648" s="2114" t="s">
        <v>2034</v>
      </c>
      <c r="F5648" s="1740"/>
      <c r="G5648" s="574" t="s">
        <v>20</v>
      </c>
      <c r="H5648" s="1329">
        <v>4.0000000000000002E-4</v>
      </c>
      <c r="K5648" s="1192" t="s">
        <v>3901</v>
      </c>
      <c r="L5648" s="1192" t="s">
        <v>2374</v>
      </c>
      <c r="P5648" s="1192" t="s">
        <v>3908</v>
      </c>
      <c r="V5648" s="1192">
        <v>65</v>
      </c>
    </row>
    <row r="5649" spans="1:22" s="1192" customFormat="1" ht="14.4" x14ac:dyDescent="0.3">
      <c r="A5649" s="1192" t="s">
        <v>3744</v>
      </c>
      <c r="B5649" s="1192" t="s">
        <v>5678</v>
      </c>
      <c r="E5649" s="2114" t="s">
        <v>428</v>
      </c>
      <c r="F5649" s="1740"/>
      <c r="G5649" s="574" t="s">
        <v>20</v>
      </c>
      <c r="H5649" s="1329">
        <v>5.0000000000000001E-4</v>
      </c>
      <c r="K5649" s="1192" t="s">
        <v>3901</v>
      </c>
      <c r="L5649" s="1192" t="s">
        <v>2374</v>
      </c>
      <c r="P5649" s="1192" t="s">
        <v>3909</v>
      </c>
      <c r="V5649" s="1192">
        <v>57</v>
      </c>
    </row>
    <row r="5650" spans="1:22" s="1192" customFormat="1" ht="14.4" x14ac:dyDescent="0.3">
      <c r="A5650" s="1192" t="s">
        <v>3744</v>
      </c>
      <c r="B5650" s="1192" t="s">
        <v>5678</v>
      </c>
      <c r="E5650" s="2114" t="s">
        <v>28</v>
      </c>
      <c r="F5650" s="1740"/>
      <c r="G5650" s="574" t="s">
        <v>19</v>
      </c>
      <c r="H5650" s="1329">
        <v>0.25</v>
      </c>
      <c r="K5650" s="1192" t="s">
        <v>3901</v>
      </c>
      <c r="L5650" s="1192" t="s">
        <v>2374</v>
      </c>
      <c r="P5650" s="1192" t="s">
        <v>3910</v>
      </c>
      <c r="V5650" s="1192">
        <v>63</v>
      </c>
    </row>
    <row r="5651" spans="1:22" s="1192" customFormat="1" ht="17.399999999999999" x14ac:dyDescent="0.3">
      <c r="A5651" s="1192" t="s">
        <v>3744</v>
      </c>
      <c r="B5651" s="1192" t="s">
        <v>5678</v>
      </c>
      <c r="E5651" s="2045" t="s">
        <v>2524</v>
      </c>
      <c r="F5651" s="1747"/>
      <c r="G5651" s="1747"/>
      <c r="H5651" s="1747"/>
      <c r="K5651" s="1192" t="s">
        <v>3937</v>
      </c>
      <c r="V5651" s="1192">
        <v>51</v>
      </c>
    </row>
    <row r="5652" spans="1:22" s="1192" customFormat="1" ht="14.4" x14ac:dyDescent="0.3">
      <c r="A5652" s="1192" t="s">
        <v>3744</v>
      </c>
      <c r="B5652" s="1192" t="s">
        <v>5678</v>
      </c>
      <c r="E5652" s="1743" t="s">
        <v>3453</v>
      </c>
      <c r="F5652" s="1743"/>
      <c r="G5652" s="1743"/>
      <c r="H5652" s="1743"/>
      <c r="K5652" s="1192" t="s">
        <v>3937</v>
      </c>
      <c r="V5652" s="1192">
        <v>656</v>
      </c>
    </row>
    <row r="5653" spans="1:22" s="1192" customFormat="1" ht="14.4" x14ac:dyDescent="0.3">
      <c r="A5653" s="1192" t="s">
        <v>3744</v>
      </c>
      <c r="B5653" s="1192" t="s">
        <v>5678</v>
      </c>
      <c r="E5653" s="1750" t="s">
        <v>2389</v>
      </c>
      <c r="F5653" s="1743"/>
      <c r="G5653" s="1743"/>
      <c r="H5653" s="1743"/>
      <c r="K5653" s="1192" t="s">
        <v>2422</v>
      </c>
      <c r="V5653" s="1192">
        <v>11</v>
      </c>
    </row>
    <row r="5654" spans="1:22" s="1192" customFormat="1" ht="14.4" x14ac:dyDescent="0.3">
      <c r="A5654" s="1192" t="s">
        <v>3744</v>
      </c>
      <c r="B5654" s="1192" t="s">
        <v>5678</v>
      </c>
      <c r="E5654" s="1743" t="s">
        <v>2391</v>
      </c>
      <c r="F5654" s="1743"/>
      <c r="G5654" s="1743"/>
      <c r="H5654" s="1743"/>
      <c r="K5654" s="1192" t="s">
        <v>3937</v>
      </c>
      <c r="V5654" s="1192">
        <v>280</v>
      </c>
    </row>
    <row r="5655" spans="1:22" s="1192" customFormat="1" ht="14.4" x14ac:dyDescent="0.3">
      <c r="A5655" s="1192" t="s">
        <v>3744</v>
      </c>
      <c r="B5655" s="1192" t="s">
        <v>5678</v>
      </c>
      <c r="E5655" s="1743" t="s">
        <v>2392</v>
      </c>
      <c r="F5655" s="1743"/>
      <c r="G5655" s="1743"/>
      <c r="H5655" s="1743"/>
      <c r="K5655" s="1192" t="s">
        <v>3937</v>
      </c>
      <c r="V5655" s="1192">
        <v>411</v>
      </c>
    </row>
    <row r="5656" spans="1:22" s="1192" customFormat="1" ht="14.4" x14ac:dyDescent="0.3">
      <c r="A5656" s="1192" t="s">
        <v>3744</v>
      </c>
      <c r="B5656" s="1192" t="s">
        <v>5678</v>
      </c>
      <c r="E5656" s="1743" t="s">
        <v>2393</v>
      </c>
      <c r="F5656" s="1743"/>
      <c r="G5656" s="1743"/>
      <c r="H5656" s="1743"/>
      <c r="K5656" s="1192" t="s">
        <v>3937</v>
      </c>
      <c r="V5656" s="1192">
        <v>387</v>
      </c>
    </row>
    <row r="5657" spans="1:22" s="1192" customFormat="1" ht="14.4" x14ac:dyDescent="0.3">
      <c r="A5657" s="1192" t="s">
        <v>3744</v>
      </c>
      <c r="B5657" s="1192" t="s">
        <v>5678</v>
      </c>
      <c r="E5657" s="1743" t="s">
        <v>4503</v>
      </c>
      <c r="F5657" s="1743"/>
      <c r="G5657" s="1743"/>
      <c r="H5657" s="1743"/>
      <c r="K5657" s="1192" t="s">
        <v>3937</v>
      </c>
      <c r="V5657" s="1192">
        <v>677</v>
      </c>
    </row>
    <row r="5658" spans="1:22" s="1192" customFormat="1" ht="14.4" x14ac:dyDescent="0.3">
      <c r="A5658" s="1192" t="s">
        <v>3744</v>
      </c>
      <c r="B5658" s="1192" t="s">
        <v>5678</v>
      </c>
      <c r="E5658" s="1743" t="s">
        <v>4504</v>
      </c>
      <c r="F5658" s="1743"/>
      <c r="G5658" s="1743"/>
      <c r="H5658" s="1743"/>
      <c r="K5658" s="1192" t="s">
        <v>3937</v>
      </c>
      <c r="V5658" s="1192">
        <v>725</v>
      </c>
    </row>
    <row r="5659" spans="1:22" s="1192" customFormat="1" ht="14.4" x14ac:dyDescent="0.3">
      <c r="A5659" s="1192" t="s">
        <v>3744</v>
      </c>
      <c r="B5659" s="1192" t="s">
        <v>5678</v>
      </c>
      <c r="E5659" s="1743" t="s">
        <v>2986</v>
      </c>
      <c r="F5659" s="1743"/>
      <c r="G5659" s="1743"/>
      <c r="H5659" s="1743"/>
      <c r="K5659" s="1192" t="s">
        <v>3937</v>
      </c>
      <c r="V5659" s="1192">
        <v>246</v>
      </c>
    </row>
    <row r="5660" spans="1:22" s="1192" customFormat="1" ht="14.4" x14ac:dyDescent="0.3">
      <c r="A5660" s="1192" t="s">
        <v>3744</v>
      </c>
      <c r="B5660" s="1192" t="s">
        <v>5678</v>
      </c>
      <c r="E5660" s="1750" t="s">
        <v>2394</v>
      </c>
      <c r="F5660" s="1743"/>
      <c r="G5660" s="1743"/>
      <c r="H5660" s="1743"/>
      <c r="K5660" s="1192" t="s">
        <v>2423</v>
      </c>
      <c r="V5660" s="1192">
        <v>46</v>
      </c>
    </row>
    <row r="5661" spans="1:22" s="1192" customFormat="1" ht="14.4" x14ac:dyDescent="0.3">
      <c r="A5661" s="1192" t="s">
        <v>3744</v>
      </c>
      <c r="B5661" s="1192" t="s">
        <v>5678</v>
      </c>
      <c r="E5661" s="2114" t="s">
        <v>7</v>
      </c>
      <c r="F5661" s="1740"/>
      <c r="G5661" s="574" t="s">
        <v>19</v>
      </c>
      <c r="H5661" s="837">
        <v>186.78</v>
      </c>
      <c r="K5661" s="1192" t="s">
        <v>3937</v>
      </c>
      <c r="L5661" s="1192" t="s">
        <v>430</v>
      </c>
      <c r="P5661" s="1192" t="s">
        <v>3938</v>
      </c>
      <c r="V5661" s="1192">
        <v>14</v>
      </c>
    </row>
    <row r="5662" spans="1:22" s="1192" customFormat="1" ht="14.4" x14ac:dyDescent="0.3">
      <c r="A5662" s="1192" t="s">
        <v>3744</v>
      </c>
      <c r="B5662" s="1192" t="s">
        <v>5678</v>
      </c>
      <c r="E5662" s="2114" t="s">
        <v>389</v>
      </c>
      <c r="F5662" s="1740"/>
      <c r="G5662" s="1262" t="s">
        <v>19</v>
      </c>
      <c r="H5662" s="509">
        <v>-3.8</v>
      </c>
      <c r="K5662" s="1192" t="s">
        <v>3937</v>
      </c>
      <c r="L5662" s="1192" t="s">
        <v>430</v>
      </c>
      <c r="P5662" s="1192" t="s">
        <v>6356</v>
      </c>
      <c r="T5662" s="1192">
        <v>45747</v>
      </c>
      <c r="V5662" s="1192">
        <v>93</v>
      </c>
    </row>
    <row r="5663" spans="1:22" s="1192" customFormat="1" ht="14.4" x14ac:dyDescent="0.3">
      <c r="A5663" s="1192" t="s">
        <v>3744</v>
      </c>
      <c r="B5663" s="1192" t="s">
        <v>5678</v>
      </c>
      <c r="E5663" s="2114" t="s">
        <v>80</v>
      </c>
      <c r="F5663" s="1740"/>
      <c r="G5663" s="574" t="s">
        <v>29</v>
      </c>
      <c r="H5663" s="837">
        <v>2.8458000000000001</v>
      </c>
      <c r="K5663" s="1192" t="s">
        <v>3937</v>
      </c>
      <c r="L5663" s="1192" t="s">
        <v>430</v>
      </c>
      <c r="P5663" s="1192" t="s">
        <v>3939</v>
      </c>
      <c r="V5663" s="1192">
        <v>28</v>
      </c>
    </row>
    <row r="5664" spans="1:22" s="1192" customFormat="1" ht="14.4" x14ac:dyDescent="0.3">
      <c r="A5664" s="1192" t="s">
        <v>3744</v>
      </c>
      <c r="B5664" s="1192" t="s">
        <v>5678</v>
      </c>
      <c r="E5664" s="2114" t="s">
        <v>14</v>
      </c>
      <c r="F5664" s="2114"/>
      <c r="G5664" s="574" t="s">
        <v>29</v>
      </c>
      <c r="H5664" s="1329">
        <v>1.21E-2</v>
      </c>
      <c r="K5664" s="1192" t="s">
        <v>3937</v>
      </c>
      <c r="L5664" s="1192" t="s">
        <v>431</v>
      </c>
      <c r="P5664" s="1192" t="s">
        <v>3940</v>
      </c>
      <c r="V5664" s="1192">
        <v>24</v>
      </c>
    </row>
    <row r="5665" spans="1:22" s="1192" customFormat="1" ht="14.4" x14ac:dyDescent="0.3">
      <c r="A5665" s="1192" t="s">
        <v>3744</v>
      </c>
      <c r="B5665" s="1192" t="s">
        <v>5678</v>
      </c>
      <c r="E5665" s="2114" t="s">
        <v>213</v>
      </c>
      <c r="F5665" s="1740"/>
      <c r="G5665" s="574" t="s">
        <v>29</v>
      </c>
      <c r="H5665" s="837">
        <v>2.7309999999999999</v>
      </c>
      <c r="K5665" s="1192" t="s">
        <v>3937</v>
      </c>
      <c r="L5665" s="1192" t="s">
        <v>432</v>
      </c>
      <c r="P5665" s="1192" t="s">
        <v>3941</v>
      </c>
      <c r="V5665" s="1192">
        <v>47</v>
      </c>
    </row>
    <row r="5666" spans="1:22" s="1192" customFormat="1" ht="14.4" x14ac:dyDescent="0.3">
      <c r="A5666" s="1192" t="s">
        <v>3744</v>
      </c>
      <c r="B5666" s="1192" t="s">
        <v>5678</v>
      </c>
      <c r="E5666" s="2114" t="s">
        <v>215</v>
      </c>
      <c r="F5666" s="1740"/>
      <c r="G5666" s="574" t="s">
        <v>29</v>
      </c>
      <c r="H5666" s="837">
        <v>2.8328000000000002</v>
      </c>
      <c r="K5666" s="1192" t="s">
        <v>3937</v>
      </c>
      <c r="L5666" s="1192" t="s">
        <v>432</v>
      </c>
      <c r="P5666" s="1192" t="s">
        <v>3941</v>
      </c>
      <c r="V5666" s="1192">
        <v>66</v>
      </c>
    </row>
    <row r="5667" spans="1:22" s="1192" customFormat="1" ht="14.4" x14ac:dyDescent="0.3">
      <c r="A5667" s="1192" t="s">
        <v>3744</v>
      </c>
      <c r="B5667" s="1192" t="s">
        <v>5678</v>
      </c>
      <c r="E5667" s="2114" t="s">
        <v>209</v>
      </c>
      <c r="F5667" s="1740"/>
      <c r="G5667" s="574" t="s">
        <v>29</v>
      </c>
      <c r="H5667" s="837">
        <v>2.2677</v>
      </c>
      <c r="K5667" s="1192" t="s">
        <v>3937</v>
      </c>
      <c r="L5667" s="1192" t="s">
        <v>432</v>
      </c>
      <c r="P5667" s="1192" t="s">
        <v>3942</v>
      </c>
      <c r="V5667" s="1192">
        <v>74</v>
      </c>
    </row>
    <row r="5668" spans="1:22" s="1192" customFormat="1" ht="14.4" x14ac:dyDescent="0.3">
      <c r="A5668" s="1192" t="s">
        <v>3744</v>
      </c>
      <c r="B5668" s="1192" t="s">
        <v>5678</v>
      </c>
      <c r="E5668" s="2114" t="s">
        <v>211</v>
      </c>
      <c r="F5668" s="1740"/>
      <c r="G5668" s="574" t="s">
        <v>29</v>
      </c>
      <c r="H5668" s="837">
        <v>2.3527999999999998</v>
      </c>
      <c r="K5668" s="1192" t="s">
        <v>3937</v>
      </c>
      <c r="L5668" s="1192" t="s">
        <v>432</v>
      </c>
      <c r="P5668" s="1192" t="s">
        <v>3942</v>
      </c>
      <c r="V5668" s="1192">
        <v>93</v>
      </c>
    </row>
    <row r="5669" spans="1:22" s="1192" customFormat="1" ht="14.4" x14ac:dyDescent="0.3">
      <c r="A5669" s="1192" t="s">
        <v>3744</v>
      </c>
      <c r="B5669" s="1192" t="s">
        <v>5678</v>
      </c>
      <c r="E5669" s="1750" t="s">
        <v>2405</v>
      </c>
      <c r="F5669" s="1741"/>
      <c r="G5669" s="1741"/>
      <c r="H5669" s="1741"/>
      <c r="K5669" s="1192" t="s">
        <v>2526</v>
      </c>
      <c r="V5669" s="1192">
        <v>48</v>
      </c>
    </row>
    <row r="5670" spans="1:22" s="1192" customFormat="1" ht="14.4" x14ac:dyDescent="0.3">
      <c r="A5670" s="1192" t="s">
        <v>3744</v>
      </c>
      <c r="B5670" s="1192" t="s">
        <v>5678</v>
      </c>
      <c r="E5670" s="2114" t="s">
        <v>2033</v>
      </c>
      <c r="F5670" s="1740"/>
      <c r="G5670" s="574" t="s">
        <v>20</v>
      </c>
      <c r="H5670" s="1219">
        <v>3.0000000000000001E-3</v>
      </c>
      <c r="K5670" s="1192" t="s">
        <v>3937</v>
      </c>
      <c r="L5670" s="1192" t="s">
        <v>2374</v>
      </c>
      <c r="P5670" s="1192" t="s">
        <v>3943</v>
      </c>
      <c r="V5670" s="1192">
        <v>55</v>
      </c>
    </row>
    <row r="5671" spans="1:22" s="1192" customFormat="1" ht="14.4" x14ac:dyDescent="0.3">
      <c r="A5671" s="1192" t="s">
        <v>3744</v>
      </c>
      <c r="B5671" s="1192" t="s">
        <v>5678</v>
      </c>
      <c r="E5671" s="2114" t="s">
        <v>2034</v>
      </c>
      <c r="F5671" s="1740"/>
      <c r="G5671" s="574" t="s">
        <v>20</v>
      </c>
      <c r="H5671" s="1329">
        <v>4.0000000000000002E-4</v>
      </c>
      <c r="K5671" s="1192" t="s">
        <v>3937</v>
      </c>
      <c r="L5671" s="1192" t="s">
        <v>2374</v>
      </c>
      <c r="P5671" s="1192" t="s">
        <v>3943</v>
      </c>
      <c r="V5671" s="1192">
        <v>65</v>
      </c>
    </row>
    <row r="5672" spans="1:22" s="1192" customFormat="1" ht="14.4" x14ac:dyDescent="0.3">
      <c r="A5672" s="1192" t="s">
        <v>3744</v>
      </c>
      <c r="B5672" s="1192" t="s">
        <v>5678</v>
      </c>
      <c r="E5672" s="2114" t="s">
        <v>428</v>
      </c>
      <c r="F5672" s="1740"/>
      <c r="G5672" s="574" t="s">
        <v>20</v>
      </c>
      <c r="H5672" s="1329">
        <v>5.0000000000000001E-4</v>
      </c>
      <c r="K5672" s="1192" t="s">
        <v>3937</v>
      </c>
      <c r="L5672" s="1192" t="s">
        <v>2374</v>
      </c>
      <c r="P5672" s="1192" t="s">
        <v>3944</v>
      </c>
      <c r="V5672" s="1192">
        <v>57</v>
      </c>
    </row>
    <row r="5673" spans="1:22" s="1192" customFormat="1" ht="14.4" x14ac:dyDescent="0.3">
      <c r="A5673" s="1192" t="s">
        <v>3744</v>
      </c>
      <c r="B5673" s="1192" t="s">
        <v>5678</v>
      </c>
      <c r="E5673" s="2114" t="s">
        <v>28</v>
      </c>
      <c r="F5673" s="1740"/>
      <c r="G5673" s="574" t="s">
        <v>19</v>
      </c>
      <c r="H5673" s="1329">
        <v>0.25</v>
      </c>
      <c r="K5673" s="1192" t="s">
        <v>3937</v>
      </c>
      <c r="L5673" s="1192" t="s">
        <v>2374</v>
      </c>
      <c r="P5673" s="1192" t="s">
        <v>3945</v>
      </c>
      <c r="V5673" s="1192">
        <v>63</v>
      </c>
    </row>
    <row r="5674" spans="1:22" s="1192" customFormat="1" ht="17.399999999999999" x14ac:dyDescent="0.3">
      <c r="A5674" s="1192" t="s">
        <v>3744</v>
      </c>
      <c r="B5674" s="1192" t="s">
        <v>5678</v>
      </c>
      <c r="E5674" s="2045" t="s">
        <v>2527</v>
      </c>
      <c r="F5674" s="1747"/>
      <c r="G5674" s="1747"/>
      <c r="H5674" s="1747"/>
      <c r="K5674" s="1192" t="s">
        <v>3946</v>
      </c>
      <c r="V5674" s="1192">
        <v>56</v>
      </c>
    </row>
    <row r="5675" spans="1:22" s="1192" customFormat="1" ht="14.4" x14ac:dyDescent="0.3">
      <c r="A5675" s="1192" t="s">
        <v>3744</v>
      </c>
      <c r="B5675" s="1192" t="s">
        <v>5678</v>
      </c>
      <c r="E5675" s="1743" t="s">
        <v>3454</v>
      </c>
      <c r="F5675" s="1743"/>
      <c r="G5675" s="1743"/>
      <c r="H5675" s="1743"/>
      <c r="K5675" s="1192" t="s">
        <v>3946</v>
      </c>
      <c r="V5675" s="1192">
        <v>358</v>
      </c>
    </row>
    <row r="5676" spans="1:22" s="1192" customFormat="1" ht="14.4" x14ac:dyDescent="0.3">
      <c r="A5676" s="1192" t="s">
        <v>3744</v>
      </c>
      <c r="B5676" s="1192" t="s">
        <v>5678</v>
      </c>
      <c r="E5676" s="1750" t="s">
        <v>2389</v>
      </c>
      <c r="F5676" s="1743"/>
      <c r="G5676" s="1743"/>
      <c r="H5676" s="1743"/>
      <c r="K5676" s="1192" t="s">
        <v>2529</v>
      </c>
      <c r="V5676" s="1192">
        <v>11</v>
      </c>
    </row>
    <row r="5677" spans="1:22" s="1192" customFormat="1" ht="14.4" x14ac:dyDescent="0.3">
      <c r="A5677" s="1192" t="s">
        <v>3744</v>
      </c>
      <c r="B5677" s="1192" t="s">
        <v>5678</v>
      </c>
      <c r="E5677" s="1743" t="s">
        <v>2391</v>
      </c>
      <c r="F5677" s="1743"/>
      <c r="G5677" s="1743"/>
      <c r="H5677" s="1743"/>
      <c r="K5677" s="1192" t="s">
        <v>3946</v>
      </c>
      <c r="V5677" s="1192">
        <v>280</v>
      </c>
    </row>
    <row r="5678" spans="1:22" s="1192" customFormat="1" ht="14.4" x14ac:dyDescent="0.3">
      <c r="A5678" s="1192" t="s">
        <v>3744</v>
      </c>
      <c r="B5678" s="1192" t="s">
        <v>5678</v>
      </c>
      <c r="E5678" s="1743" t="s">
        <v>2392</v>
      </c>
      <c r="F5678" s="1743"/>
      <c r="G5678" s="1743"/>
      <c r="H5678" s="1743"/>
      <c r="K5678" s="1192" t="s">
        <v>3946</v>
      </c>
      <c r="V5678" s="1192">
        <v>411</v>
      </c>
    </row>
    <row r="5679" spans="1:22" s="1192" customFormat="1" ht="14.4" x14ac:dyDescent="0.3">
      <c r="A5679" s="1192" t="s">
        <v>3744</v>
      </c>
      <c r="B5679" s="1192" t="s">
        <v>5678</v>
      </c>
      <c r="E5679" s="1743" t="s">
        <v>2393</v>
      </c>
      <c r="F5679" s="1743"/>
      <c r="G5679" s="1743"/>
      <c r="H5679" s="1743"/>
      <c r="K5679" s="1192" t="s">
        <v>3946</v>
      </c>
      <c r="V5679" s="1192">
        <v>387</v>
      </c>
    </row>
    <row r="5680" spans="1:22" s="1192" customFormat="1" ht="14.4" x14ac:dyDescent="0.3">
      <c r="A5680" s="1192" t="s">
        <v>3744</v>
      </c>
      <c r="B5680" s="1192" t="s">
        <v>5678</v>
      </c>
      <c r="E5680" s="1743" t="s">
        <v>4503</v>
      </c>
      <c r="F5680" s="1743"/>
      <c r="G5680" s="1743"/>
      <c r="H5680" s="1743"/>
      <c r="K5680" s="1192" t="s">
        <v>3946</v>
      </c>
      <c r="V5680" s="1192">
        <v>677</v>
      </c>
    </row>
    <row r="5681" spans="1:22" s="1192" customFormat="1" ht="14.4" x14ac:dyDescent="0.3">
      <c r="A5681" s="1192" t="s">
        <v>3744</v>
      </c>
      <c r="B5681" s="1192" t="s">
        <v>5678</v>
      </c>
      <c r="E5681" s="1743" t="s">
        <v>4504</v>
      </c>
      <c r="F5681" s="1743"/>
      <c r="G5681" s="1743"/>
      <c r="H5681" s="1743"/>
      <c r="K5681" s="1192" t="s">
        <v>3946</v>
      </c>
      <c r="V5681" s="1192">
        <v>725</v>
      </c>
    </row>
    <row r="5682" spans="1:22" s="1192" customFormat="1" ht="14.4" x14ac:dyDescent="0.3">
      <c r="A5682" s="1192" t="s">
        <v>3744</v>
      </c>
      <c r="B5682" s="1192" t="s">
        <v>5678</v>
      </c>
      <c r="E5682" s="1743" t="s">
        <v>2986</v>
      </c>
      <c r="F5682" s="1743"/>
      <c r="G5682" s="1743"/>
      <c r="H5682" s="1743"/>
      <c r="K5682" s="1192" t="s">
        <v>3946</v>
      </c>
      <c r="V5682" s="1192">
        <v>246</v>
      </c>
    </row>
    <row r="5683" spans="1:22" s="1192" customFormat="1" ht="14.4" x14ac:dyDescent="0.3">
      <c r="A5683" s="1192" t="s">
        <v>3744</v>
      </c>
      <c r="B5683" s="1192" t="s">
        <v>5678</v>
      </c>
      <c r="E5683" s="1750" t="s">
        <v>2394</v>
      </c>
      <c r="F5683" s="1743"/>
      <c r="G5683" s="1743"/>
      <c r="H5683" s="1743"/>
      <c r="K5683" s="1192" t="s">
        <v>2531</v>
      </c>
      <c r="V5683" s="1192">
        <v>46</v>
      </c>
    </row>
    <row r="5684" spans="1:22" s="1192" customFormat="1" ht="14.4" x14ac:dyDescent="0.3">
      <c r="A5684" s="1192" t="s">
        <v>3744</v>
      </c>
      <c r="B5684" s="1192" t="s">
        <v>5678</v>
      </c>
      <c r="E5684" s="2114" t="s">
        <v>7</v>
      </c>
      <c r="F5684" s="1740"/>
      <c r="G5684" s="574" t="s">
        <v>19</v>
      </c>
      <c r="H5684" s="837">
        <v>590.85</v>
      </c>
      <c r="K5684" s="1192" t="s">
        <v>3946</v>
      </c>
      <c r="L5684" s="1192" t="s">
        <v>430</v>
      </c>
      <c r="P5684" s="1192" t="s">
        <v>3947</v>
      </c>
      <c r="V5684" s="1192">
        <v>14</v>
      </c>
    </row>
    <row r="5685" spans="1:22" s="1192" customFormat="1" ht="14.4" x14ac:dyDescent="0.3">
      <c r="A5685" s="1192" t="s">
        <v>3744</v>
      </c>
      <c r="B5685" s="1192" t="s">
        <v>5678</v>
      </c>
      <c r="E5685" s="2114" t="s">
        <v>389</v>
      </c>
      <c r="F5685" s="1740"/>
      <c r="G5685" s="1262" t="s">
        <v>19</v>
      </c>
      <c r="H5685" s="509">
        <v>-46.33</v>
      </c>
      <c r="K5685" s="1192" t="s">
        <v>3946</v>
      </c>
      <c r="L5685" s="1192" t="s">
        <v>430</v>
      </c>
      <c r="P5685" s="1192" t="s">
        <v>6357</v>
      </c>
      <c r="T5685" s="1192">
        <v>45747</v>
      </c>
      <c r="V5685" s="1192">
        <v>93</v>
      </c>
    </row>
    <row r="5686" spans="1:22" s="1192" customFormat="1" ht="14.4" x14ac:dyDescent="0.3">
      <c r="A5686" s="1192" t="s">
        <v>3744</v>
      </c>
      <c r="B5686" s="1192" t="s">
        <v>5678</v>
      </c>
      <c r="E5686" s="2114" t="s">
        <v>80</v>
      </c>
      <c r="F5686" s="1740"/>
      <c r="G5686" s="574" t="s">
        <v>29</v>
      </c>
      <c r="H5686" s="837">
        <v>3.1591</v>
      </c>
      <c r="K5686" s="1192" t="s">
        <v>3946</v>
      </c>
      <c r="L5686" s="1192" t="s">
        <v>430</v>
      </c>
      <c r="P5686" s="1192" t="s">
        <v>3948</v>
      </c>
      <c r="V5686" s="1192">
        <v>28</v>
      </c>
    </row>
    <row r="5687" spans="1:22" s="1192" customFormat="1" ht="14.4" x14ac:dyDescent="0.3">
      <c r="A5687" s="1192" t="s">
        <v>3744</v>
      </c>
      <c r="B5687" s="1192" t="s">
        <v>5678</v>
      </c>
      <c r="E5687" s="2114" t="s">
        <v>215</v>
      </c>
      <c r="F5687" s="1740"/>
      <c r="G5687" s="574" t="s">
        <v>29</v>
      </c>
      <c r="H5687" s="837">
        <v>2.8328000000000002</v>
      </c>
      <c r="K5687" s="1192" t="s">
        <v>3946</v>
      </c>
      <c r="L5687" s="1192" t="s">
        <v>432</v>
      </c>
      <c r="P5687" s="1192" t="s">
        <v>3950</v>
      </c>
      <c r="V5687" s="1192">
        <v>66</v>
      </c>
    </row>
    <row r="5688" spans="1:22" s="1192" customFormat="1" ht="14.4" x14ac:dyDescent="0.3">
      <c r="A5688" s="1192" t="s">
        <v>3744</v>
      </c>
      <c r="B5688" s="1192" t="s">
        <v>5678</v>
      </c>
      <c r="E5688" s="2114" t="s">
        <v>211</v>
      </c>
      <c r="F5688" s="1740"/>
      <c r="G5688" s="574" t="s">
        <v>29</v>
      </c>
      <c r="H5688" s="837">
        <v>2.3527999999999998</v>
      </c>
      <c r="K5688" s="1192" t="s">
        <v>3946</v>
      </c>
      <c r="L5688" s="1192" t="s">
        <v>432</v>
      </c>
      <c r="P5688" s="1192" t="s">
        <v>3951</v>
      </c>
      <c r="V5688" s="1192">
        <v>93</v>
      </c>
    </row>
    <row r="5689" spans="1:22" s="1192" customFormat="1" ht="14.4" x14ac:dyDescent="0.3">
      <c r="A5689" s="1192" t="s">
        <v>3744</v>
      </c>
      <c r="B5689" s="1192" t="s">
        <v>5678</v>
      </c>
      <c r="E5689" s="1750" t="s">
        <v>2405</v>
      </c>
      <c r="F5689" s="1741"/>
      <c r="G5689" s="1741"/>
      <c r="H5689" s="1741"/>
      <c r="K5689" s="1192" t="s">
        <v>2532</v>
      </c>
      <c r="V5689" s="1192">
        <v>48</v>
      </c>
    </row>
    <row r="5690" spans="1:22" s="1192" customFormat="1" ht="14.4" x14ac:dyDescent="0.3">
      <c r="A5690" s="1192" t="s">
        <v>3744</v>
      </c>
      <c r="B5690" s="1192" t="s">
        <v>5678</v>
      </c>
      <c r="E5690" s="2114" t="s">
        <v>2033</v>
      </c>
      <c r="F5690" s="1740"/>
      <c r="G5690" s="574" t="s">
        <v>20</v>
      </c>
      <c r="H5690" s="1329">
        <v>3.0000000000000001E-3</v>
      </c>
      <c r="K5690" s="1192" t="s">
        <v>3946</v>
      </c>
      <c r="L5690" s="1192" t="s">
        <v>2374</v>
      </c>
      <c r="P5690" s="1192" t="s">
        <v>3952</v>
      </c>
      <c r="V5690" s="1192">
        <v>55</v>
      </c>
    </row>
    <row r="5691" spans="1:22" s="1192" customFormat="1" ht="14.4" x14ac:dyDescent="0.3">
      <c r="A5691" s="1192" t="s">
        <v>3744</v>
      </c>
      <c r="B5691" s="1192" t="s">
        <v>5678</v>
      </c>
      <c r="E5691" s="2114" t="s">
        <v>2034</v>
      </c>
      <c r="F5691" s="1740"/>
      <c r="G5691" s="574" t="s">
        <v>20</v>
      </c>
      <c r="H5691" s="1329">
        <v>4.0000000000000002E-4</v>
      </c>
      <c r="K5691" s="1192" t="s">
        <v>3946</v>
      </c>
      <c r="L5691" s="1192" t="s">
        <v>2374</v>
      </c>
      <c r="P5691" s="1192" t="s">
        <v>3952</v>
      </c>
      <c r="V5691" s="1192">
        <v>65</v>
      </c>
    </row>
    <row r="5692" spans="1:22" s="1192" customFormat="1" ht="14.4" x14ac:dyDescent="0.3">
      <c r="A5692" s="1192" t="s">
        <v>3744</v>
      </c>
      <c r="B5692" s="1192" t="s">
        <v>5678</v>
      </c>
      <c r="E5692" s="2114" t="s">
        <v>428</v>
      </c>
      <c r="F5692" s="1740"/>
      <c r="G5692" s="574" t="s">
        <v>20</v>
      </c>
      <c r="H5692" s="1329">
        <v>5.0000000000000001E-4</v>
      </c>
      <c r="K5692" s="1192" t="s">
        <v>3946</v>
      </c>
      <c r="L5692" s="1192" t="s">
        <v>2374</v>
      </c>
      <c r="P5692" s="1192" t="s">
        <v>3953</v>
      </c>
      <c r="V5692" s="1192">
        <v>57</v>
      </c>
    </row>
    <row r="5693" spans="1:22" s="1192" customFormat="1" ht="14.4" x14ac:dyDescent="0.3">
      <c r="A5693" s="1192" t="s">
        <v>3744</v>
      </c>
      <c r="B5693" s="1192" t="s">
        <v>5678</v>
      </c>
      <c r="E5693" s="2114" t="s">
        <v>28</v>
      </c>
      <c r="F5693" s="1740"/>
      <c r="G5693" s="574" t="s">
        <v>19</v>
      </c>
      <c r="H5693" s="1329">
        <v>0.25</v>
      </c>
      <c r="K5693" s="1192" t="s">
        <v>3946</v>
      </c>
      <c r="L5693" s="1192" t="s">
        <v>2374</v>
      </c>
      <c r="P5693" s="1192" t="s">
        <v>3954</v>
      </c>
      <c r="V5693" s="1192">
        <v>63</v>
      </c>
    </row>
    <row r="5694" spans="1:22" s="1192" customFormat="1" ht="17.399999999999999" x14ac:dyDescent="0.3">
      <c r="A5694" s="1192" t="s">
        <v>3744</v>
      </c>
      <c r="B5694" s="1192" t="s">
        <v>5678</v>
      </c>
      <c r="E5694" s="2045" t="s">
        <v>596</v>
      </c>
      <c r="F5694" s="1747"/>
      <c r="G5694" s="1747"/>
      <c r="H5694" s="1747"/>
      <c r="K5694" s="1192" t="s">
        <v>2533</v>
      </c>
      <c r="V5694" s="1192">
        <v>32</v>
      </c>
    </row>
    <row r="5695" spans="1:22" s="1192" customFormat="1" ht="14.4" x14ac:dyDescent="0.3">
      <c r="A5695" s="1192" t="s">
        <v>3744</v>
      </c>
      <c r="B5695" s="1192" t="s">
        <v>5678</v>
      </c>
      <c r="E5695" s="1743" t="s">
        <v>3455</v>
      </c>
      <c r="F5695" s="1743"/>
      <c r="G5695" s="1743"/>
      <c r="H5695" s="1743"/>
      <c r="K5695" s="1192" t="s">
        <v>2533</v>
      </c>
      <c r="V5695" s="1192">
        <v>323</v>
      </c>
    </row>
    <row r="5696" spans="1:22" s="1192" customFormat="1" ht="14.4" x14ac:dyDescent="0.3">
      <c r="A5696" s="1192" t="s">
        <v>3744</v>
      </c>
      <c r="B5696" s="1192" t="s">
        <v>5678</v>
      </c>
      <c r="E5696" s="1750" t="s">
        <v>2389</v>
      </c>
      <c r="F5696" s="1743"/>
      <c r="G5696" s="1743"/>
      <c r="H5696" s="1743"/>
      <c r="K5696" s="1192" t="s">
        <v>2424</v>
      </c>
      <c r="V5696" s="1192">
        <v>11</v>
      </c>
    </row>
    <row r="5697" spans="1:22" s="1192" customFormat="1" ht="14.4" x14ac:dyDescent="0.3">
      <c r="A5697" s="1192" t="s">
        <v>3744</v>
      </c>
      <c r="B5697" s="1192" t="s">
        <v>5678</v>
      </c>
      <c r="E5697" s="1743" t="s">
        <v>2391</v>
      </c>
      <c r="F5697" s="1743"/>
      <c r="G5697" s="1743"/>
      <c r="H5697" s="1743"/>
      <c r="K5697" s="1192" t="s">
        <v>2533</v>
      </c>
      <c r="V5697" s="1192">
        <v>280</v>
      </c>
    </row>
    <row r="5698" spans="1:22" s="1192" customFormat="1" ht="14.4" x14ac:dyDescent="0.3">
      <c r="A5698" s="1192" t="s">
        <v>3744</v>
      </c>
      <c r="B5698" s="1192" t="s">
        <v>5678</v>
      </c>
      <c r="E5698" s="1743" t="s">
        <v>2392</v>
      </c>
      <c r="F5698" s="1743"/>
      <c r="G5698" s="1743"/>
      <c r="H5698" s="1743"/>
      <c r="K5698" s="1192" t="s">
        <v>2533</v>
      </c>
      <c r="V5698" s="1192">
        <v>411</v>
      </c>
    </row>
    <row r="5699" spans="1:22" s="1192" customFormat="1" ht="14.4" x14ac:dyDescent="0.3">
      <c r="A5699" s="1192" t="s">
        <v>3744</v>
      </c>
      <c r="B5699" s="1192" t="s">
        <v>5678</v>
      </c>
      <c r="E5699" s="1743" t="s">
        <v>2393</v>
      </c>
      <c r="F5699" s="1743"/>
      <c r="G5699" s="1743"/>
      <c r="H5699" s="1743"/>
      <c r="K5699" s="1192" t="s">
        <v>2533</v>
      </c>
      <c r="V5699" s="1192">
        <v>387</v>
      </c>
    </row>
    <row r="5700" spans="1:22" s="1192" customFormat="1" ht="14.4" x14ac:dyDescent="0.3">
      <c r="A5700" s="1192" t="s">
        <v>3744</v>
      </c>
      <c r="B5700" s="1192" t="s">
        <v>5678</v>
      </c>
      <c r="E5700" s="1743" t="s">
        <v>4503</v>
      </c>
      <c r="F5700" s="1743"/>
      <c r="G5700" s="1743"/>
      <c r="H5700" s="1743"/>
      <c r="K5700" s="1192" t="s">
        <v>2533</v>
      </c>
      <c r="V5700" s="1192">
        <v>677</v>
      </c>
    </row>
    <row r="5701" spans="1:22" s="1192" customFormat="1" ht="14.4" x14ac:dyDescent="0.3">
      <c r="A5701" s="1192" t="s">
        <v>3744</v>
      </c>
      <c r="B5701" s="1192" t="s">
        <v>5678</v>
      </c>
      <c r="E5701" s="1743" t="s">
        <v>4504</v>
      </c>
      <c r="F5701" s="1743"/>
      <c r="G5701" s="1743"/>
      <c r="H5701" s="1743"/>
      <c r="K5701" s="1192" t="s">
        <v>2533</v>
      </c>
      <c r="V5701" s="1192">
        <v>725</v>
      </c>
    </row>
    <row r="5702" spans="1:22" s="1192" customFormat="1" ht="14.4" x14ac:dyDescent="0.3">
      <c r="A5702" s="1192" t="s">
        <v>3744</v>
      </c>
      <c r="B5702" s="1192" t="s">
        <v>5678</v>
      </c>
      <c r="E5702" s="1743" t="s">
        <v>2986</v>
      </c>
      <c r="F5702" s="1743"/>
      <c r="G5702" s="1743"/>
      <c r="H5702" s="1743"/>
      <c r="K5702" s="1192" t="s">
        <v>2533</v>
      </c>
      <c r="V5702" s="1192">
        <v>246</v>
      </c>
    </row>
    <row r="5703" spans="1:22" s="1192" customFormat="1" ht="14.4" x14ac:dyDescent="0.3">
      <c r="A5703" s="1192" t="s">
        <v>3744</v>
      </c>
      <c r="B5703" s="1192" t="s">
        <v>5678</v>
      </c>
      <c r="E5703" s="1750" t="s">
        <v>2394</v>
      </c>
      <c r="F5703" s="1743"/>
      <c r="G5703" s="1743"/>
      <c r="H5703" s="1743"/>
      <c r="K5703" s="1192" t="s">
        <v>2425</v>
      </c>
      <c r="V5703" s="1192">
        <v>46</v>
      </c>
    </row>
    <row r="5704" spans="1:22" s="1192" customFormat="1" ht="14.4" x14ac:dyDescent="0.3">
      <c r="A5704" s="1192" t="s">
        <v>3744</v>
      </c>
      <c r="B5704" s="1192" t="s">
        <v>5678</v>
      </c>
      <c r="E5704" s="2114" t="s">
        <v>7</v>
      </c>
      <c r="F5704" s="1740"/>
      <c r="G5704" s="574" t="s">
        <v>19</v>
      </c>
      <c r="H5704" s="837">
        <v>1135.82</v>
      </c>
      <c r="K5704" s="1192" t="s">
        <v>2533</v>
      </c>
      <c r="L5704" s="1192" t="s">
        <v>430</v>
      </c>
      <c r="P5704" s="1192" t="s">
        <v>2535</v>
      </c>
      <c r="V5704" s="1192">
        <v>14</v>
      </c>
    </row>
    <row r="5705" spans="1:22" s="1192" customFormat="1" ht="14.4" x14ac:dyDescent="0.3">
      <c r="A5705" s="1192" t="s">
        <v>3744</v>
      </c>
      <c r="B5705" s="1192" t="s">
        <v>5678</v>
      </c>
      <c r="E5705" s="2114" t="s">
        <v>389</v>
      </c>
      <c r="F5705" s="1740"/>
      <c r="G5705" s="574" t="s">
        <v>19</v>
      </c>
      <c r="H5705" s="509">
        <v>-151.18</v>
      </c>
      <c r="K5705" s="1192" t="s">
        <v>2533</v>
      </c>
      <c r="L5705" s="1192" t="s">
        <v>430</v>
      </c>
      <c r="P5705" s="1192" t="s">
        <v>6358</v>
      </c>
      <c r="T5705" s="1192">
        <v>45747</v>
      </c>
      <c r="V5705" s="1192">
        <v>93</v>
      </c>
    </row>
    <row r="5706" spans="1:22" s="1192" customFormat="1" ht="14.4" x14ac:dyDescent="0.3">
      <c r="A5706" s="1192" t="s">
        <v>3744</v>
      </c>
      <c r="B5706" s="1192" t="s">
        <v>5678</v>
      </c>
      <c r="E5706" s="2114" t="s">
        <v>80</v>
      </c>
      <c r="F5706" s="1740"/>
      <c r="G5706" s="574" t="s">
        <v>29</v>
      </c>
      <c r="H5706" s="837">
        <v>2.8382000000000001</v>
      </c>
      <c r="K5706" s="1192" t="s">
        <v>2533</v>
      </c>
      <c r="L5706" s="1192" t="s">
        <v>430</v>
      </c>
      <c r="P5706" s="1192" t="s">
        <v>2536</v>
      </c>
      <c r="V5706" s="1192">
        <v>28</v>
      </c>
    </row>
    <row r="5707" spans="1:22" s="1192" customFormat="1" ht="14.4" x14ac:dyDescent="0.3">
      <c r="A5707" s="1192" t="s">
        <v>3744</v>
      </c>
      <c r="B5707" s="1192" t="s">
        <v>5678</v>
      </c>
      <c r="E5707" s="2114" t="s">
        <v>215</v>
      </c>
      <c r="F5707" s="1740"/>
      <c r="G5707" s="574" t="s">
        <v>29</v>
      </c>
      <c r="H5707" s="1219">
        <v>3.4209999999999998</v>
      </c>
      <c r="K5707" s="1192" t="s">
        <v>2533</v>
      </c>
      <c r="L5707" s="1192" t="s">
        <v>432</v>
      </c>
      <c r="P5707" s="1192" t="s">
        <v>2833</v>
      </c>
      <c r="V5707" s="1192">
        <v>66</v>
      </c>
    </row>
    <row r="5708" spans="1:22" s="1192" customFormat="1" ht="14.4" x14ac:dyDescent="0.3">
      <c r="A5708" s="1192" t="s">
        <v>3744</v>
      </c>
      <c r="B5708" s="1192" t="s">
        <v>5678</v>
      </c>
      <c r="E5708" s="2114" t="s">
        <v>211</v>
      </c>
      <c r="F5708" s="1740"/>
      <c r="G5708" s="574" t="s">
        <v>29</v>
      </c>
      <c r="H5708" s="837">
        <v>2.8409</v>
      </c>
      <c r="K5708" s="1192" t="s">
        <v>2533</v>
      </c>
      <c r="L5708" s="1192" t="s">
        <v>432</v>
      </c>
      <c r="P5708" s="1192" t="s">
        <v>2834</v>
      </c>
      <c r="V5708" s="1192">
        <v>93</v>
      </c>
    </row>
    <row r="5709" spans="1:22" s="1192" customFormat="1" ht="14.4" x14ac:dyDescent="0.3">
      <c r="A5709" s="1192" t="s">
        <v>3744</v>
      </c>
      <c r="B5709" s="1192" t="s">
        <v>5678</v>
      </c>
      <c r="E5709" s="1750" t="s">
        <v>2405</v>
      </c>
      <c r="F5709" s="1741"/>
      <c r="G5709" s="1741"/>
      <c r="H5709" s="1741"/>
      <c r="K5709" s="1192" t="s">
        <v>2427</v>
      </c>
      <c r="V5709" s="1192">
        <v>48</v>
      </c>
    </row>
    <row r="5710" spans="1:22" s="1192" customFormat="1" ht="14.4" x14ac:dyDescent="0.3">
      <c r="A5710" s="1192" t="s">
        <v>3744</v>
      </c>
      <c r="B5710" s="1192" t="s">
        <v>5678</v>
      </c>
      <c r="E5710" s="2114" t="s">
        <v>2033</v>
      </c>
      <c r="F5710" s="1740"/>
      <c r="G5710" s="574" t="s">
        <v>20</v>
      </c>
      <c r="H5710" s="1219">
        <v>3.0000000000000001E-3</v>
      </c>
      <c r="K5710" s="1192" t="s">
        <v>2533</v>
      </c>
      <c r="L5710" s="1192" t="s">
        <v>2374</v>
      </c>
      <c r="P5710" s="1192" t="s">
        <v>2540</v>
      </c>
      <c r="V5710" s="1192">
        <v>55</v>
      </c>
    </row>
    <row r="5711" spans="1:22" s="1192" customFormat="1" ht="14.4" x14ac:dyDescent="0.3">
      <c r="A5711" s="1192" t="s">
        <v>3744</v>
      </c>
      <c r="B5711" s="1192" t="s">
        <v>5678</v>
      </c>
      <c r="E5711" s="2114" t="s">
        <v>2034</v>
      </c>
      <c r="F5711" s="1740"/>
      <c r="G5711" s="574" t="s">
        <v>20</v>
      </c>
      <c r="H5711" s="1329">
        <v>4.0000000000000002E-4</v>
      </c>
      <c r="K5711" s="1192" t="s">
        <v>2533</v>
      </c>
      <c r="L5711" s="1192" t="s">
        <v>2374</v>
      </c>
      <c r="P5711" s="1192" t="s">
        <v>2540</v>
      </c>
      <c r="V5711" s="1192">
        <v>65</v>
      </c>
    </row>
    <row r="5712" spans="1:22" s="1192" customFormat="1" ht="14.4" x14ac:dyDescent="0.3">
      <c r="A5712" s="1192" t="s">
        <v>3744</v>
      </c>
      <c r="B5712" s="1192" t="s">
        <v>5678</v>
      </c>
      <c r="E5712" s="2114" t="s">
        <v>428</v>
      </c>
      <c r="F5712" s="1740"/>
      <c r="G5712" s="574" t="s">
        <v>20</v>
      </c>
      <c r="H5712" s="1329">
        <v>5.0000000000000001E-4</v>
      </c>
      <c r="K5712" s="1192" t="s">
        <v>2533</v>
      </c>
      <c r="L5712" s="1192" t="s">
        <v>2374</v>
      </c>
      <c r="P5712" s="1192" t="s">
        <v>2541</v>
      </c>
      <c r="V5712" s="1192">
        <v>57</v>
      </c>
    </row>
    <row r="5713" spans="1:22" s="1192" customFormat="1" ht="14.4" x14ac:dyDescent="0.3">
      <c r="A5713" s="1192" t="s">
        <v>3744</v>
      </c>
      <c r="B5713" s="1192" t="s">
        <v>5678</v>
      </c>
      <c r="E5713" s="2114" t="s">
        <v>28</v>
      </c>
      <c r="F5713" s="1740"/>
      <c r="G5713" s="574" t="s">
        <v>19</v>
      </c>
      <c r="H5713" s="1329">
        <v>0.25</v>
      </c>
      <c r="K5713" s="1192" t="s">
        <v>2533</v>
      </c>
      <c r="L5713" s="1192" t="s">
        <v>2374</v>
      </c>
      <c r="P5713" s="1192" t="s">
        <v>2542</v>
      </c>
      <c r="V5713" s="1192">
        <v>63</v>
      </c>
    </row>
    <row r="5714" spans="1:22" s="1192" customFormat="1" ht="17.399999999999999" x14ac:dyDescent="0.3">
      <c r="A5714" s="1192" t="s">
        <v>3744</v>
      </c>
      <c r="B5714" s="1192" t="s">
        <v>5678</v>
      </c>
      <c r="E5714" s="2045" t="s">
        <v>592</v>
      </c>
      <c r="F5714" s="1747"/>
      <c r="G5714" s="1747"/>
      <c r="H5714" s="1747"/>
      <c r="K5714" s="1192" t="s">
        <v>2543</v>
      </c>
      <c r="V5714" s="1192">
        <v>47</v>
      </c>
    </row>
    <row r="5715" spans="1:22" s="1192" customFormat="1" ht="14.4" x14ac:dyDescent="0.3">
      <c r="A5715" s="1192" t="s">
        <v>3744</v>
      </c>
      <c r="B5715" s="1192" t="s">
        <v>5678</v>
      </c>
      <c r="E5715" s="1743" t="s">
        <v>3456</v>
      </c>
      <c r="F5715" s="1743"/>
      <c r="G5715" s="1743"/>
      <c r="H5715" s="1743"/>
      <c r="K5715" s="1192" t="s">
        <v>2543</v>
      </c>
      <c r="V5715" s="1192">
        <v>607</v>
      </c>
    </row>
    <row r="5716" spans="1:22" s="1192" customFormat="1" ht="14.4" x14ac:dyDescent="0.3">
      <c r="A5716" s="1192" t="s">
        <v>3744</v>
      </c>
      <c r="B5716" s="1192" t="s">
        <v>5678</v>
      </c>
      <c r="E5716" s="1750" t="s">
        <v>2389</v>
      </c>
      <c r="F5716" s="1743"/>
      <c r="G5716" s="1743"/>
      <c r="H5716" s="1743"/>
      <c r="K5716" s="1192" t="s">
        <v>2430</v>
      </c>
      <c r="V5716" s="1192">
        <v>11</v>
      </c>
    </row>
    <row r="5717" spans="1:22" s="1192" customFormat="1" ht="14.4" x14ac:dyDescent="0.3">
      <c r="A5717" s="1192" t="s">
        <v>3744</v>
      </c>
      <c r="B5717" s="1192" t="s">
        <v>5678</v>
      </c>
      <c r="E5717" s="1743" t="s">
        <v>2391</v>
      </c>
      <c r="F5717" s="1743"/>
      <c r="G5717" s="1743"/>
      <c r="H5717" s="1743"/>
      <c r="K5717" s="1192" t="s">
        <v>2543</v>
      </c>
      <c r="V5717" s="1192">
        <v>280</v>
      </c>
    </row>
    <row r="5718" spans="1:22" s="1192" customFormat="1" ht="14.4" x14ac:dyDescent="0.3">
      <c r="A5718" s="1192" t="s">
        <v>3744</v>
      </c>
      <c r="B5718" s="1192" t="s">
        <v>5678</v>
      </c>
      <c r="E5718" s="1743" t="s">
        <v>2392</v>
      </c>
      <c r="F5718" s="1743"/>
      <c r="G5718" s="1743"/>
      <c r="H5718" s="1743"/>
      <c r="K5718" s="1192" t="s">
        <v>2543</v>
      </c>
      <c r="V5718" s="1192">
        <v>411</v>
      </c>
    </row>
    <row r="5719" spans="1:22" s="1192" customFormat="1" ht="14.4" x14ac:dyDescent="0.3">
      <c r="A5719" s="1192" t="s">
        <v>3744</v>
      </c>
      <c r="B5719" s="1192" t="s">
        <v>5678</v>
      </c>
      <c r="E5719" s="1743" t="s">
        <v>2393</v>
      </c>
      <c r="F5719" s="1743"/>
      <c r="G5719" s="1743"/>
      <c r="H5719" s="1743"/>
      <c r="K5719" s="1192" t="s">
        <v>2543</v>
      </c>
      <c r="V5719" s="1192">
        <v>387</v>
      </c>
    </row>
    <row r="5720" spans="1:22" s="1192" customFormat="1" ht="14.4" x14ac:dyDescent="0.3">
      <c r="A5720" s="1192" t="s">
        <v>3744</v>
      </c>
      <c r="B5720" s="1192" t="s">
        <v>5678</v>
      </c>
      <c r="E5720" s="1743" t="s">
        <v>2986</v>
      </c>
      <c r="F5720" s="1743"/>
      <c r="G5720" s="1743"/>
      <c r="H5720" s="1743"/>
      <c r="K5720" s="1192" t="s">
        <v>2543</v>
      </c>
      <c r="V5720" s="1192">
        <v>246</v>
      </c>
    </row>
    <row r="5721" spans="1:22" s="1192" customFormat="1" ht="14.4" x14ac:dyDescent="0.3">
      <c r="A5721" s="1192" t="s">
        <v>3744</v>
      </c>
      <c r="B5721" s="1192" t="s">
        <v>5678</v>
      </c>
      <c r="E5721" s="1750" t="s">
        <v>2394</v>
      </c>
      <c r="F5721" s="1743"/>
      <c r="G5721" s="1743"/>
      <c r="H5721" s="1743"/>
      <c r="K5721" s="1192" t="s">
        <v>2431</v>
      </c>
      <c r="V5721" s="1192">
        <v>46</v>
      </c>
    </row>
    <row r="5722" spans="1:22" s="1192" customFormat="1" ht="14.4" x14ac:dyDescent="0.3">
      <c r="A5722" s="1192" t="s">
        <v>3744</v>
      </c>
      <c r="B5722" s="1192" t="s">
        <v>5678</v>
      </c>
      <c r="E5722" s="2114" t="s">
        <v>8</v>
      </c>
      <c r="F5722" s="1740"/>
      <c r="G5722" s="574" t="s">
        <v>19</v>
      </c>
      <c r="H5722" s="837">
        <v>5.04</v>
      </c>
      <c r="K5722" s="1192" t="s">
        <v>2543</v>
      </c>
      <c r="L5722" s="1192" t="s">
        <v>430</v>
      </c>
      <c r="P5722" s="1192" t="s">
        <v>2545</v>
      </c>
      <c r="V5722" s="1192">
        <v>31</v>
      </c>
    </row>
    <row r="5723" spans="1:22" s="1192" customFormat="1" ht="14.4" x14ac:dyDescent="0.3">
      <c r="A5723" s="1192" t="s">
        <v>3744</v>
      </c>
      <c r="B5723" s="1192" t="s">
        <v>5678</v>
      </c>
      <c r="E5723" s="2114" t="s">
        <v>389</v>
      </c>
      <c r="F5723" s="1740"/>
      <c r="G5723" s="574" t="s">
        <v>19</v>
      </c>
      <c r="H5723" s="509">
        <v>-0.05</v>
      </c>
      <c r="K5723" s="1192" t="s">
        <v>2543</v>
      </c>
      <c r="L5723" s="1192" t="s">
        <v>430</v>
      </c>
      <c r="P5723" s="1192" t="s">
        <v>6359</v>
      </c>
      <c r="T5723" s="1192">
        <v>45747</v>
      </c>
      <c r="V5723" s="1192">
        <v>93</v>
      </c>
    </row>
    <row r="5724" spans="1:22" s="1192" customFormat="1" ht="14.4" x14ac:dyDescent="0.3">
      <c r="A5724" s="1192" t="s">
        <v>3744</v>
      </c>
      <c r="B5724" s="1192" t="s">
        <v>5678</v>
      </c>
      <c r="E5724" s="2114" t="s">
        <v>80</v>
      </c>
      <c r="F5724" s="1740"/>
      <c r="G5724" s="574" t="s">
        <v>20</v>
      </c>
      <c r="H5724" s="1219">
        <v>2.3E-2</v>
      </c>
      <c r="K5724" s="1192" t="s">
        <v>2543</v>
      </c>
      <c r="L5724" s="1192" t="s">
        <v>430</v>
      </c>
      <c r="P5724" s="1192" t="s">
        <v>2546</v>
      </c>
      <c r="V5724" s="1192">
        <v>28</v>
      </c>
    </row>
    <row r="5725" spans="1:22" s="1192" customFormat="1" ht="14.4" x14ac:dyDescent="0.3">
      <c r="A5725" s="1192" t="s">
        <v>3744</v>
      </c>
      <c r="B5725" s="1192" t="s">
        <v>5678</v>
      </c>
      <c r="E5725" s="2114" t="s">
        <v>213</v>
      </c>
      <c r="F5725" s="1740"/>
      <c r="G5725" s="574" t="s">
        <v>20</v>
      </c>
      <c r="H5725" s="837">
        <v>6.4999999999999997E-3</v>
      </c>
      <c r="K5725" s="1192" t="s">
        <v>2543</v>
      </c>
      <c r="L5725" s="1192" t="s">
        <v>432</v>
      </c>
      <c r="P5725" s="1192" t="s">
        <v>2550</v>
      </c>
      <c r="V5725" s="1192">
        <v>47</v>
      </c>
    </row>
    <row r="5726" spans="1:22" s="1192" customFormat="1" ht="14.4" x14ac:dyDescent="0.3">
      <c r="A5726" s="1192" t="s">
        <v>3744</v>
      </c>
      <c r="B5726" s="1192" t="s">
        <v>5678</v>
      </c>
      <c r="E5726" s="2114" t="s">
        <v>209</v>
      </c>
      <c r="F5726" s="1740"/>
      <c r="G5726" s="574" t="s">
        <v>20</v>
      </c>
      <c r="H5726" s="837">
        <v>5.4000000000000003E-3</v>
      </c>
      <c r="K5726" s="1192" t="s">
        <v>2543</v>
      </c>
      <c r="L5726" s="1192" t="s">
        <v>432</v>
      </c>
      <c r="P5726" s="1192" t="s">
        <v>2551</v>
      </c>
      <c r="V5726" s="1192">
        <v>74</v>
      </c>
    </row>
    <row r="5727" spans="1:22" s="1192" customFormat="1" ht="14.4" x14ac:dyDescent="0.3">
      <c r="A5727" s="1192" t="s">
        <v>3744</v>
      </c>
      <c r="B5727" s="1192" t="s">
        <v>5678</v>
      </c>
      <c r="E5727" s="1750" t="s">
        <v>2405</v>
      </c>
      <c r="F5727" s="1741"/>
      <c r="G5727" s="1741"/>
      <c r="H5727" s="1741"/>
      <c r="K5727" s="1192" t="s">
        <v>2438</v>
      </c>
      <c r="V5727" s="1192">
        <v>48</v>
      </c>
    </row>
    <row r="5728" spans="1:22" s="1192" customFormat="1" ht="14.4" x14ac:dyDescent="0.3">
      <c r="A5728" s="1192" t="s">
        <v>3744</v>
      </c>
      <c r="B5728" s="1192" t="s">
        <v>5678</v>
      </c>
      <c r="E5728" s="2114" t="s">
        <v>2033</v>
      </c>
      <c r="F5728" s="1740"/>
      <c r="G5728" s="574" t="s">
        <v>20</v>
      </c>
      <c r="H5728" s="1219">
        <v>3.0000000000000001E-3</v>
      </c>
      <c r="K5728" s="1192" t="s">
        <v>2543</v>
      </c>
      <c r="L5728" s="1192" t="s">
        <v>2374</v>
      </c>
      <c r="P5728" s="1192" t="s">
        <v>2552</v>
      </c>
      <c r="V5728" s="1192">
        <v>55</v>
      </c>
    </row>
    <row r="5729" spans="1:22" s="1192" customFormat="1" ht="14.4" x14ac:dyDescent="0.3">
      <c r="A5729" s="1192" t="s">
        <v>3744</v>
      </c>
      <c r="B5729" s="1192" t="s">
        <v>5678</v>
      </c>
      <c r="E5729" s="2114" t="s">
        <v>2034</v>
      </c>
      <c r="F5729" s="1740"/>
      <c r="G5729" s="574" t="s">
        <v>20</v>
      </c>
      <c r="H5729" s="1329">
        <v>4.0000000000000002E-4</v>
      </c>
      <c r="K5729" s="1192" t="s">
        <v>2543</v>
      </c>
      <c r="L5729" s="1192" t="s">
        <v>2374</v>
      </c>
      <c r="P5729" s="1192" t="s">
        <v>2552</v>
      </c>
      <c r="V5729" s="1192">
        <v>65</v>
      </c>
    </row>
    <row r="5730" spans="1:22" s="1192" customFormat="1" ht="14.4" x14ac:dyDescent="0.3">
      <c r="A5730" s="1192" t="s">
        <v>3744</v>
      </c>
      <c r="B5730" s="1192" t="s">
        <v>5678</v>
      </c>
      <c r="E5730" s="2114" t="s">
        <v>428</v>
      </c>
      <c r="F5730" s="1740"/>
      <c r="G5730" s="574" t="s">
        <v>20</v>
      </c>
      <c r="H5730" s="1329">
        <v>5.0000000000000001E-4</v>
      </c>
      <c r="K5730" s="1192" t="s">
        <v>2543</v>
      </c>
      <c r="L5730" s="1192" t="s">
        <v>2374</v>
      </c>
      <c r="P5730" s="1192" t="s">
        <v>2553</v>
      </c>
      <c r="V5730" s="1192">
        <v>57</v>
      </c>
    </row>
    <row r="5731" spans="1:22" s="1192" customFormat="1" ht="14.4" x14ac:dyDescent="0.3">
      <c r="A5731" s="1192" t="s">
        <v>3744</v>
      </c>
      <c r="B5731" s="1192" t="s">
        <v>5678</v>
      </c>
      <c r="E5731" s="2114" t="s">
        <v>28</v>
      </c>
      <c r="F5731" s="1740"/>
      <c r="G5731" s="574" t="s">
        <v>19</v>
      </c>
      <c r="H5731" s="1329">
        <v>0.25</v>
      </c>
      <c r="K5731" s="1192" t="s">
        <v>2543</v>
      </c>
      <c r="L5731" s="1192" t="s">
        <v>2374</v>
      </c>
      <c r="P5731" s="1192" t="s">
        <v>2554</v>
      </c>
      <c r="V5731" s="1192">
        <v>63</v>
      </c>
    </row>
    <row r="5732" spans="1:22" s="1192" customFormat="1" ht="17.399999999999999" x14ac:dyDescent="0.3">
      <c r="A5732" s="1192" t="s">
        <v>3744</v>
      </c>
      <c r="B5732" s="1192" t="s">
        <v>5678</v>
      </c>
      <c r="E5732" s="2045" t="s">
        <v>1492</v>
      </c>
      <c r="F5732" s="1747"/>
      <c r="G5732" s="1747"/>
      <c r="H5732" s="1747"/>
      <c r="K5732" s="1192" t="s">
        <v>3672</v>
      </c>
      <c r="V5732" s="1192">
        <v>37</v>
      </c>
    </row>
    <row r="5733" spans="1:22" s="1192" customFormat="1" ht="14.4" x14ac:dyDescent="0.3">
      <c r="A5733" s="1192" t="s">
        <v>3744</v>
      </c>
      <c r="B5733" s="1192" t="s">
        <v>5678</v>
      </c>
      <c r="E5733" s="1743" t="s">
        <v>3070</v>
      </c>
      <c r="F5733" s="1743"/>
      <c r="G5733" s="1743"/>
      <c r="H5733" s="1743"/>
      <c r="K5733" s="1192" t="s">
        <v>3672</v>
      </c>
      <c r="V5733" s="1192">
        <v>220</v>
      </c>
    </row>
    <row r="5734" spans="1:22" s="1192" customFormat="1" ht="14.4" x14ac:dyDescent="0.3">
      <c r="A5734" s="1192" t="s">
        <v>3744</v>
      </c>
      <c r="B5734" s="1192" t="s">
        <v>5678</v>
      </c>
      <c r="E5734" s="1750" t="s">
        <v>2389</v>
      </c>
      <c r="F5734" s="1743"/>
      <c r="G5734" s="1743"/>
      <c r="H5734" s="1743"/>
      <c r="K5734" s="1192" t="s">
        <v>2444</v>
      </c>
      <c r="V5734" s="1192">
        <v>11</v>
      </c>
    </row>
    <row r="5735" spans="1:22" s="1192" customFormat="1" ht="14.4" x14ac:dyDescent="0.3">
      <c r="A5735" s="1192" t="s">
        <v>3744</v>
      </c>
      <c r="B5735" s="1192" t="s">
        <v>5678</v>
      </c>
      <c r="E5735" s="1743" t="s">
        <v>2391</v>
      </c>
      <c r="F5735" s="1743"/>
      <c r="G5735" s="1743"/>
      <c r="H5735" s="1743"/>
      <c r="K5735" s="1192" t="s">
        <v>3672</v>
      </c>
      <c r="V5735" s="1192">
        <v>280</v>
      </c>
    </row>
    <row r="5736" spans="1:22" s="1192" customFormat="1" ht="14.4" x14ac:dyDescent="0.3">
      <c r="A5736" s="1192" t="s">
        <v>3744</v>
      </c>
      <c r="B5736" s="1192" t="s">
        <v>5678</v>
      </c>
      <c r="E5736" s="1743" t="s">
        <v>2392</v>
      </c>
      <c r="F5736" s="1743"/>
      <c r="G5736" s="1743"/>
      <c r="H5736" s="1743"/>
      <c r="K5736" s="1192" t="s">
        <v>3672</v>
      </c>
      <c r="V5736" s="1192">
        <v>411</v>
      </c>
    </row>
    <row r="5737" spans="1:22" s="1192" customFormat="1" ht="14.4" x14ac:dyDescent="0.3">
      <c r="A5737" s="1192" t="s">
        <v>3744</v>
      </c>
      <c r="B5737" s="1192" t="s">
        <v>5678</v>
      </c>
      <c r="E5737" s="1743" t="s">
        <v>2445</v>
      </c>
      <c r="F5737" s="1743"/>
      <c r="G5737" s="1743"/>
      <c r="H5737" s="1743"/>
      <c r="K5737" s="1192" t="s">
        <v>3672</v>
      </c>
      <c r="V5737" s="1192">
        <v>211</v>
      </c>
    </row>
    <row r="5738" spans="1:22" s="1192" customFormat="1" ht="14.4" x14ac:dyDescent="0.3">
      <c r="A5738" s="1192" t="s">
        <v>3744</v>
      </c>
      <c r="B5738" s="1192" t="s">
        <v>5678</v>
      </c>
      <c r="E5738" s="1743" t="s">
        <v>2986</v>
      </c>
      <c r="F5738" s="1743"/>
      <c r="G5738" s="1743"/>
      <c r="H5738" s="1743"/>
      <c r="K5738" s="1192" t="s">
        <v>3672</v>
      </c>
      <c r="V5738" s="1192">
        <v>246</v>
      </c>
    </row>
    <row r="5739" spans="1:22" s="1192" customFormat="1" ht="14.4" x14ac:dyDescent="0.3">
      <c r="A5739" s="1192" t="s">
        <v>3744</v>
      </c>
      <c r="B5739" s="1192" t="s">
        <v>5678</v>
      </c>
      <c r="E5739" s="1750" t="s">
        <v>2793</v>
      </c>
      <c r="F5739" s="1743"/>
      <c r="G5739" s="1743"/>
      <c r="H5739" s="1743"/>
      <c r="K5739" s="1192" t="s">
        <v>2446</v>
      </c>
      <c r="V5739" s="1192">
        <v>56</v>
      </c>
    </row>
    <row r="5740" spans="1:22" s="1192" customFormat="1" ht="14.4" x14ac:dyDescent="0.3">
      <c r="A5740" s="1192" t="s">
        <v>3744</v>
      </c>
      <c r="B5740" s="1192" t="s">
        <v>5678</v>
      </c>
      <c r="E5740" s="1741" t="s">
        <v>3457</v>
      </c>
      <c r="F5740" s="1741"/>
      <c r="G5740" s="1741"/>
      <c r="H5740" s="1741"/>
      <c r="K5740" s="1192" t="s">
        <v>3672</v>
      </c>
      <c r="V5740" s="1192">
        <v>318</v>
      </c>
    </row>
    <row r="5741" spans="1:22" s="1192" customFormat="1" ht="17.399999999999999" x14ac:dyDescent="0.3">
      <c r="A5741" s="1192" t="s">
        <v>3744</v>
      </c>
      <c r="B5741" s="1192" t="s">
        <v>5678</v>
      </c>
      <c r="E5741" s="2045" t="s">
        <v>604</v>
      </c>
      <c r="F5741" s="1747"/>
      <c r="G5741" s="1747"/>
      <c r="H5741" s="1747"/>
      <c r="K5741" s="1192" t="s">
        <v>2953</v>
      </c>
      <c r="V5741" s="1192">
        <v>40</v>
      </c>
    </row>
    <row r="5742" spans="1:22" s="1192" customFormat="1" ht="14.4" x14ac:dyDescent="0.3">
      <c r="A5742" s="1192" t="s">
        <v>3744</v>
      </c>
      <c r="B5742" s="1192" t="s">
        <v>5678</v>
      </c>
      <c r="E5742" s="1743" t="s">
        <v>3458</v>
      </c>
      <c r="F5742" s="1743"/>
      <c r="G5742" s="1743"/>
      <c r="H5742" s="1743"/>
      <c r="K5742" s="1192" t="s">
        <v>2953</v>
      </c>
      <c r="V5742" s="1192">
        <v>255</v>
      </c>
    </row>
    <row r="5743" spans="1:22" s="1192" customFormat="1" ht="14.4" x14ac:dyDescent="0.3">
      <c r="A5743" s="1192" t="s">
        <v>3744</v>
      </c>
      <c r="B5743" s="1192" t="s">
        <v>5678</v>
      </c>
      <c r="E5743" s="1750" t="s">
        <v>2389</v>
      </c>
      <c r="F5743" s="1743"/>
      <c r="G5743" s="1743"/>
      <c r="H5743" s="1743"/>
      <c r="K5743" s="1192" t="s">
        <v>2571</v>
      </c>
      <c r="V5743" s="1192">
        <v>11</v>
      </c>
    </row>
    <row r="5744" spans="1:22" s="1192" customFormat="1" ht="14.4" x14ac:dyDescent="0.3">
      <c r="A5744" s="1192" t="s">
        <v>3744</v>
      </c>
      <c r="B5744" s="1192" t="s">
        <v>5678</v>
      </c>
      <c r="E5744" s="1743" t="s">
        <v>2391</v>
      </c>
      <c r="F5744" s="1743"/>
      <c r="G5744" s="1743"/>
      <c r="H5744" s="1743"/>
      <c r="K5744" s="1192" t="s">
        <v>2953</v>
      </c>
      <c r="V5744" s="1192">
        <v>280</v>
      </c>
    </row>
    <row r="5745" spans="1:22" s="1192" customFormat="1" ht="14.4" x14ac:dyDescent="0.3">
      <c r="A5745" s="1192" t="s">
        <v>3744</v>
      </c>
      <c r="B5745" s="1192" t="s">
        <v>5678</v>
      </c>
      <c r="E5745" s="1743" t="s">
        <v>2392</v>
      </c>
      <c r="F5745" s="1743"/>
      <c r="G5745" s="1743"/>
      <c r="H5745" s="1743"/>
      <c r="K5745" s="1192" t="s">
        <v>2953</v>
      </c>
      <c r="V5745" s="1192">
        <v>411</v>
      </c>
    </row>
    <row r="5746" spans="1:22" s="1192" customFormat="1" ht="14.4" x14ac:dyDescent="0.3">
      <c r="A5746" s="1192" t="s">
        <v>3744</v>
      </c>
      <c r="B5746" s="1192" t="s">
        <v>5678</v>
      </c>
      <c r="E5746" s="1743" t="s">
        <v>2393</v>
      </c>
      <c r="F5746" s="1743"/>
      <c r="G5746" s="1743"/>
      <c r="H5746" s="1743"/>
      <c r="K5746" s="1192" t="s">
        <v>2953</v>
      </c>
      <c r="V5746" s="1192">
        <v>387</v>
      </c>
    </row>
    <row r="5747" spans="1:22" s="1192" customFormat="1" ht="14.4" x14ac:dyDescent="0.3">
      <c r="A5747" s="1192" t="s">
        <v>3744</v>
      </c>
      <c r="B5747" s="1192" t="s">
        <v>5678</v>
      </c>
      <c r="E5747" s="1743" t="s">
        <v>2986</v>
      </c>
      <c r="F5747" s="1743"/>
      <c r="G5747" s="1743"/>
      <c r="H5747" s="1743"/>
      <c r="K5747" s="1192" t="s">
        <v>2953</v>
      </c>
      <c r="V5747" s="1192">
        <v>246</v>
      </c>
    </row>
    <row r="5748" spans="1:22" s="1192" customFormat="1" ht="14.4" x14ac:dyDescent="0.3">
      <c r="A5748" s="1192" t="s">
        <v>3744</v>
      </c>
      <c r="B5748" s="1192" t="s">
        <v>5678</v>
      </c>
      <c r="E5748" s="1750" t="s">
        <v>2394</v>
      </c>
      <c r="F5748" s="1743"/>
      <c r="G5748" s="1743"/>
      <c r="H5748" s="1743"/>
      <c r="K5748" s="1192" t="s">
        <v>2572</v>
      </c>
      <c r="V5748" s="1192">
        <v>46</v>
      </c>
    </row>
    <row r="5749" spans="1:22" s="1192" customFormat="1" ht="14.4" x14ac:dyDescent="0.3">
      <c r="A5749" s="1192" t="s">
        <v>3744</v>
      </c>
      <c r="B5749" s="1192" t="s">
        <v>5678</v>
      </c>
      <c r="E5749" s="2114" t="s">
        <v>8</v>
      </c>
      <c r="F5749" s="1740"/>
      <c r="G5749" s="574" t="s">
        <v>19</v>
      </c>
      <c r="H5749" s="509">
        <v>7.8</v>
      </c>
      <c r="K5749" s="1192" t="s">
        <v>2953</v>
      </c>
      <c r="L5749" s="1192" t="s">
        <v>430</v>
      </c>
      <c r="P5749" s="1192" t="s">
        <v>2955</v>
      </c>
      <c r="V5749" s="1192">
        <v>31</v>
      </c>
    </row>
    <row r="5750" spans="1:22" s="1192" customFormat="1" ht="14.4" x14ac:dyDescent="0.3">
      <c r="A5750" s="1192" t="s">
        <v>3744</v>
      </c>
      <c r="B5750" s="1192" t="s">
        <v>5678</v>
      </c>
      <c r="E5750" s="2114" t="s">
        <v>389</v>
      </c>
      <c r="F5750" s="1740"/>
      <c r="G5750" s="574" t="s">
        <v>19</v>
      </c>
      <c r="H5750" s="509">
        <v>-0.11</v>
      </c>
      <c r="K5750" s="1192" t="s">
        <v>2953</v>
      </c>
      <c r="L5750" s="1192" t="s">
        <v>430</v>
      </c>
      <c r="P5750" s="1192" t="s">
        <v>6360</v>
      </c>
      <c r="T5750" s="1192">
        <v>45747</v>
      </c>
      <c r="V5750" s="1192">
        <v>93</v>
      </c>
    </row>
    <row r="5751" spans="1:22" s="1192" customFormat="1" ht="14.4" x14ac:dyDescent="0.3">
      <c r="A5751" s="1192" t="s">
        <v>3744</v>
      </c>
      <c r="B5751" s="1192" t="s">
        <v>5678</v>
      </c>
      <c r="E5751" s="2114" t="s">
        <v>80</v>
      </c>
      <c r="F5751" s="1740"/>
      <c r="G5751" s="574" t="s">
        <v>29</v>
      </c>
      <c r="H5751" s="837">
        <v>8.6335999999999995</v>
      </c>
      <c r="K5751" s="1192" t="s">
        <v>2953</v>
      </c>
      <c r="L5751" s="1192" t="s">
        <v>430</v>
      </c>
      <c r="P5751" s="1192" t="s">
        <v>2956</v>
      </c>
      <c r="V5751" s="1192">
        <v>28</v>
      </c>
    </row>
    <row r="5752" spans="1:22" s="1192" customFormat="1" ht="14.4" x14ac:dyDescent="0.3">
      <c r="A5752" s="1192" t="s">
        <v>3744</v>
      </c>
      <c r="B5752" s="1192" t="s">
        <v>5678</v>
      </c>
      <c r="E5752" s="2114" t="s">
        <v>14</v>
      </c>
      <c r="F5752" s="1740"/>
      <c r="G5752" s="574" t="s">
        <v>29</v>
      </c>
      <c r="H5752" s="1329">
        <v>8.8999999999999999E-3</v>
      </c>
      <c r="K5752" s="1192" t="s">
        <v>2953</v>
      </c>
      <c r="L5752" s="1192" t="s">
        <v>431</v>
      </c>
      <c r="P5752" s="1192" t="s">
        <v>2957</v>
      </c>
      <c r="V5752" s="1192">
        <v>24</v>
      </c>
    </row>
    <row r="5753" spans="1:22" s="1192" customFormat="1" ht="14.4" x14ac:dyDescent="0.3">
      <c r="A5753" s="1192" t="s">
        <v>3744</v>
      </c>
      <c r="B5753" s="1192" t="s">
        <v>5678</v>
      </c>
      <c r="E5753" s="2114" t="s">
        <v>213</v>
      </c>
      <c r="F5753" s="1740"/>
      <c r="G5753" s="574" t="s">
        <v>29</v>
      </c>
      <c r="H5753" s="837">
        <v>2.0908000000000002</v>
      </c>
      <c r="K5753" s="1192" t="s">
        <v>2953</v>
      </c>
      <c r="L5753" s="1192" t="s">
        <v>432</v>
      </c>
      <c r="P5753" s="1192" t="s">
        <v>2959</v>
      </c>
      <c r="V5753" s="1192">
        <v>47</v>
      </c>
    </row>
    <row r="5754" spans="1:22" s="1192" customFormat="1" ht="14.4" x14ac:dyDescent="0.3">
      <c r="A5754" s="1192" t="s">
        <v>3744</v>
      </c>
      <c r="B5754" s="1192" t="s">
        <v>5678</v>
      </c>
      <c r="E5754" s="2114" t="s">
        <v>209</v>
      </c>
      <c r="F5754" s="1740"/>
      <c r="G5754" s="574" t="s">
        <v>29</v>
      </c>
      <c r="H5754" s="837">
        <v>1.7362</v>
      </c>
      <c r="K5754" s="1192" t="s">
        <v>2953</v>
      </c>
      <c r="L5754" s="1192" t="s">
        <v>432</v>
      </c>
      <c r="P5754" s="1192" t="s">
        <v>2960</v>
      </c>
      <c r="V5754" s="1192">
        <v>74</v>
      </c>
    </row>
    <row r="5755" spans="1:22" s="1192" customFormat="1" ht="14.4" x14ac:dyDescent="0.3">
      <c r="A5755" s="1192" t="s">
        <v>3744</v>
      </c>
      <c r="B5755" s="1192" t="s">
        <v>5678</v>
      </c>
      <c r="E5755" s="1750" t="s">
        <v>2405</v>
      </c>
      <c r="F5755" s="1741"/>
      <c r="G5755" s="1741"/>
      <c r="H5755" s="1741"/>
      <c r="K5755" s="1192" t="s">
        <v>2581</v>
      </c>
      <c r="V5755" s="1192">
        <v>48</v>
      </c>
    </row>
    <row r="5756" spans="1:22" s="1192" customFormat="1" ht="14.4" x14ac:dyDescent="0.3">
      <c r="A5756" s="1192" t="s">
        <v>3744</v>
      </c>
      <c r="B5756" s="1192" t="s">
        <v>5678</v>
      </c>
      <c r="E5756" s="2114" t="s">
        <v>2033</v>
      </c>
      <c r="F5756" s="1740"/>
      <c r="G5756" s="574" t="s">
        <v>20</v>
      </c>
      <c r="H5756" s="1219">
        <v>3.0000000000000001E-3</v>
      </c>
      <c r="K5756" s="1192" t="s">
        <v>2953</v>
      </c>
      <c r="L5756" s="1192" t="s">
        <v>2374</v>
      </c>
      <c r="P5756" s="1192" t="s">
        <v>2961</v>
      </c>
      <c r="V5756" s="1192">
        <v>55</v>
      </c>
    </row>
    <row r="5757" spans="1:22" s="1192" customFormat="1" ht="14.4" x14ac:dyDescent="0.3">
      <c r="A5757" s="1192" t="s">
        <v>3744</v>
      </c>
      <c r="B5757" s="1192" t="s">
        <v>5678</v>
      </c>
      <c r="E5757" s="2114" t="s">
        <v>2034</v>
      </c>
      <c r="F5757" s="1740"/>
      <c r="G5757" s="574" t="s">
        <v>20</v>
      </c>
      <c r="H5757" s="1329">
        <v>4.0000000000000002E-4</v>
      </c>
      <c r="K5757" s="1192" t="s">
        <v>2953</v>
      </c>
      <c r="L5757" s="1192" t="s">
        <v>2374</v>
      </c>
      <c r="P5757" s="1192" t="s">
        <v>2961</v>
      </c>
      <c r="V5757" s="1192">
        <v>65</v>
      </c>
    </row>
    <row r="5758" spans="1:22" s="1192" customFormat="1" ht="14.4" x14ac:dyDescent="0.3">
      <c r="A5758" s="1192" t="s">
        <v>3744</v>
      </c>
      <c r="B5758" s="1192" t="s">
        <v>5678</v>
      </c>
      <c r="E5758" s="2114" t="s">
        <v>428</v>
      </c>
      <c r="F5758" s="1740"/>
      <c r="G5758" s="574" t="s">
        <v>20</v>
      </c>
      <c r="H5758" s="1329">
        <v>5.0000000000000001E-4</v>
      </c>
      <c r="K5758" s="1192" t="s">
        <v>2953</v>
      </c>
      <c r="L5758" s="1192" t="s">
        <v>2374</v>
      </c>
      <c r="P5758" s="1192" t="s">
        <v>2962</v>
      </c>
      <c r="V5758" s="1192">
        <v>57</v>
      </c>
    </row>
    <row r="5759" spans="1:22" s="1192" customFormat="1" ht="14.4" x14ac:dyDescent="0.3">
      <c r="A5759" s="1192" t="s">
        <v>3744</v>
      </c>
      <c r="B5759" s="1192" t="s">
        <v>5678</v>
      </c>
      <c r="E5759" s="2114" t="s">
        <v>28</v>
      </c>
      <c r="F5759" s="1740"/>
      <c r="G5759" s="574" t="s">
        <v>19</v>
      </c>
      <c r="H5759" s="1329">
        <v>0.25</v>
      </c>
      <c r="K5759" s="1192" t="s">
        <v>2953</v>
      </c>
      <c r="L5759" s="1192" t="s">
        <v>2374</v>
      </c>
      <c r="P5759" s="1192" t="s">
        <v>2963</v>
      </c>
      <c r="V5759" s="1192">
        <v>63</v>
      </c>
    </row>
    <row r="5760" spans="1:22" s="1192" customFormat="1" ht="17.399999999999999" x14ac:dyDescent="0.3">
      <c r="A5760" s="1192" t="s">
        <v>3744</v>
      </c>
      <c r="B5760" s="1192" t="s">
        <v>5678</v>
      </c>
      <c r="E5760" s="2045" t="s">
        <v>590</v>
      </c>
      <c r="F5760" s="1747"/>
      <c r="G5760" s="1747"/>
      <c r="H5760" s="1747"/>
      <c r="K5760" s="1192" t="s">
        <v>2861</v>
      </c>
      <c r="V5760" s="1192">
        <v>38</v>
      </c>
    </row>
    <row r="5761" spans="1:22" s="1192" customFormat="1" ht="14.4" x14ac:dyDescent="0.3">
      <c r="A5761" s="1192" t="s">
        <v>3744</v>
      </c>
      <c r="B5761" s="1192" t="s">
        <v>5678</v>
      </c>
      <c r="E5761" s="1743" t="s">
        <v>3459</v>
      </c>
      <c r="F5761" s="1743"/>
      <c r="G5761" s="1743"/>
      <c r="H5761" s="1743"/>
      <c r="K5761" s="1192" t="s">
        <v>2861</v>
      </c>
      <c r="V5761" s="1192">
        <v>414</v>
      </c>
    </row>
    <row r="5762" spans="1:22" s="1192" customFormat="1" ht="14.4" x14ac:dyDescent="0.3">
      <c r="A5762" s="1192" t="s">
        <v>3744</v>
      </c>
      <c r="B5762" s="1192" t="s">
        <v>5678</v>
      </c>
      <c r="E5762" s="1750" t="s">
        <v>2389</v>
      </c>
      <c r="F5762" s="1743"/>
      <c r="G5762" s="1743"/>
      <c r="H5762" s="1743"/>
      <c r="K5762" s="1192" t="s">
        <v>2586</v>
      </c>
      <c r="V5762" s="1192">
        <v>11</v>
      </c>
    </row>
    <row r="5763" spans="1:22" s="1192" customFormat="1" ht="14.4" x14ac:dyDescent="0.3">
      <c r="A5763" s="1192" t="s">
        <v>3744</v>
      </c>
      <c r="B5763" s="1192" t="s">
        <v>5678</v>
      </c>
      <c r="E5763" s="1743" t="s">
        <v>2391</v>
      </c>
      <c r="F5763" s="1743"/>
      <c r="G5763" s="1743"/>
      <c r="H5763" s="1743"/>
      <c r="K5763" s="1192" t="s">
        <v>2861</v>
      </c>
      <c r="V5763" s="1192">
        <v>280</v>
      </c>
    </row>
    <row r="5764" spans="1:22" s="1192" customFormat="1" ht="14.4" x14ac:dyDescent="0.3">
      <c r="A5764" s="1192" t="s">
        <v>3744</v>
      </c>
      <c r="B5764" s="1192" t="s">
        <v>5678</v>
      </c>
      <c r="E5764" s="1743" t="s">
        <v>2392</v>
      </c>
      <c r="F5764" s="1743"/>
      <c r="G5764" s="1743"/>
      <c r="H5764" s="1743"/>
      <c r="K5764" s="1192" t="s">
        <v>2861</v>
      </c>
      <c r="V5764" s="1192">
        <v>411</v>
      </c>
    </row>
    <row r="5765" spans="1:22" s="1192" customFormat="1" ht="14.4" x14ac:dyDescent="0.3">
      <c r="A5765" s="1192" t="s">
        <v>3744</v>
      </c>
      <c r="B5765" s="1192" t="s">
        <v>5678</v>
      </c>
      <c r="E5765" s="1743" t="s">
        <v>2393</v>
      </c>
      <c r="F5765" s="1743"/>
      <c r="G5765" s="1743"/>
      <c r="H5765" s="1743"/>
      <c r="K5765" s="1192" t="s">
        <v>2861</v>
      </c>
      <c r="V5765" s="1192">
        <v>387</v>
      </c>
    </row>
    <row r="5766" spans="1:22" s="1192" customFormat="1" ht="14.4" x14ac:dyDescent="0.3">
      <c r="A5766" s="1192" t="s">
        <v>3744</v>
      </c>
      <c r="B5766" s="1192" t="s">
        <v>5678</v>
      </c>
      <c r="E5766" s="1743" t="s">
        <v>2986</v>
      </c>
      <c r="F5766" s="1743"/>
      <c r="G5766" s="1743"/>
      <c r="H5766" s="1743"/>
      <c r="K5766" s="1192" t="s">
        <v>2861</v>
      </c>
      <c r="V5766" s="1192">
        <v>246</v>
      </c>
    </row>
    <row r="5767" spans="1:22" s="1192" customFormat="1" ht="14.4" x14ac:dyDescent="0.3">
      <c r="A5767" s="1192" t="s">
        <v>3744</v>
      </c>
      <c r="B5767" s="1192" t="s">
        <v>5678</v>
      </c>
      <c r="E5767" s="1750" t="s">
        <v>2394</v>
      </c>
      <c r="F5767" s="1743"/>
      <c r="G5767" s="1743"/>
      <c r="H5767" s="1743"/>
      <c r="K5767" s="1192" t="s">
        <v>2587</v>
      </c>
      <c r="V5767" s="1192">
        <v>46</v>
      </c>
    </row>
    <row r="5768" spans="1:22" s="1192" customFormat="1" ht="14.4" x14ac:dyDescent="0.3">
      <c r="A5768" s="1192" t="s">
        <v>3744</v>
      </c>
      <c r="B5768" s="1192" t="s">
        <v>5678</v>
      </c>
      <c r="E5768" s="2114" t="s">
        <v>8</v>
      </c>
      <c r="F5768" s="1740"/>
      <c r="G5768" s="574" t="s">
        <v>19</v>
      </c>
      <c r="H5768" s="837">
        <v>0.45</v>
      </c>
      <c r="K5768" s="1192" t="s">
        <v>2861</v>
      </c>
      <c r="L5768" s="1192" t="s">
        <v>430</v>
      </c>
      <c r="P5768" s="1192" t="s">
        <v>2863</v>
      </c>
      <c r="V5768" s="1192">
        <v>31</v>
      </c>
    </row>
    <row r="5769" spans="1:22" s="1192" customFormat="1" ht="14.4" x14ac:dyDescent="0.3">
      <c r="A5769" s="1192" t="s">
        <v>3744</v>
      </c>
      <c r="B5769" s="1192" t="s">
        <v>5678</v>
      </c>
      <c r="E5769" s="2114" t="s">
        <v>389</v>
      </c>
      <c r="F5769" s="1740"/>
      <c r="G5769" s="574" t="s">
        <v>19</v>
      </c>
      <c r="H5769" s="509">
        <v>-0.01</v>
      </c>
      <c r="K5769" s="1192" t="s">
        <v>2861</v>
      </c>
      <c r="L5769" s="1192" t="s">
        <v>430</v>
      </c>
      <c r="P5769" s="1192" t="s">
        <v>6361</v>
      </c>
      <c r="T5769" s="1192">
        <v>45747</v>
      </c>
      <c r="V5769" s="1192">
        <v>93</v>
      </c>
    </row>
    <row r="5770" spans="1:22" s="1192" customFormat="1" ht="14.4" x14ac:dyDescent="0.3">
      <c r="A5770" s="1192" t="s">
        <v>3744</v>
      </c>
      <c r="B5770" s="1192" t="s">
        <v>5678</v>
      </c>
      <c r="E5770" s="2114" t="s">
        <v>80</v>
      </c>
      <c r="F5770" s="1740"/>
      <c r="G5770" s="574" t="s">
        <v>29</v>
      </c>
      <c r="H5770" s="837">
        <v>10.584899999999999</v>
      </c>
      <c r="K5770" s="1192" t="s">
        <v>2861</v>
      </c>
      <c r="L5770" s="1192" t="s">
        <v>430</v>
      </c>
      <c r="P5770" s="1192" t="s">
        <v>2864</v>
      </c>
      <c r="V5770" s="1192">
        <v>28</v>
      </c>
    </row>
    <row r="5771" spans="1:22" s="1192" customFormat="1" ht="14.4" x14ac:dyDescent="0.3">
      <c r="A5771" s="1192" t="s">
        <v>3744</v>
      </c>
      <c r="B5771" s="1192" t="s">
        <v>5678</v>
      </c>
      <c r="E5771" s="2114" t="s">
        <v>14</v>
      </c>
      <c r="F5771" s="1740"/>
      <c r="G5771" s="574" t="s">
        <v>29</v>
      </c>
      <c r="H5771" s="1329">
        <v>1.0699999999999999E-2</v>
      </c>
      <c r="K5771" s="1192" t="s">
        <v>2861</v>
      </c>
      <c r="L5771" s="1192" t="s">
        <v>431</v>
      </c>
      <c r="P5771" s="1192" t="s">
        <v>2865</v>
      </c>
      <c r="V5771" s="1192">
        <v>24</v>
      </c>
    </row>
    <row r="5772" spans="1:22" s="1192" customFormat="1" ht="14.4" x14ac:dyDescent="0.3">
      <c r="A5772" s="1192" t="s">
        <v>3744</v>
      </c>
      <c r="B5772" s="1192" t="s">
        <v>5678</v>
      </c>
      <c r="E5772" s="2114" t="s">
        <v>213</v>
      </c>
      <c r="F5772" s="1740"/>
      <c r="G5772" s="574" t="s">
        <v>29</v>
      </c>
      <c r="H5772" s="1219">
        <v>2.516</v>
      </c>
      <c r="K5772" s="1192" t="s">
        <v>2861</v>
      </c>
      <c r="L5772" s="1192" t="s">
        <v>432</v>
      </c>
      <c r="P5772" s="1192" t="s">
        <v>2868</v>
      </c>
      <c r="V5772" s="1192">
        <v>47</v>
      </c>
    </row>
    <row r="5773" spans="1:22" s="1192" customFormat="1" ht="14.4" x14ac:dyDescent="0.3">
      <c r="A5773" s="1192" t="s">
        <v>3744</v>
      </c>
      <c r="B5773" s="1192" t="s">
        <v>5678</v>
      </c>
      <c r="E5773" s="2114" t="s">
        <v>209</v>
      </c>
      <c r="F5773" s="1740"/>
      <c r="G5773" s="574" t="s">
        <v>29</v>
      </c>
      <c r="H5773" s="837">
        <v>2.0891999999999999</v>
      </c>
      <c r="K5773" s="1192" t="s">
        <v>2861</v>
      </c>
      <c r="L5773" s="1192" t="s">
        <v>432</v>
      </c>
      <c r="P5773" s="1192" t="s">
        <v>2869</v>
      </c>
      <c r="V5773" s="1192">
        <v>74</v>
      </c>
    </row>
    <row r="5774" spans="1:22" s="1192" customFormat="1" ht="14.4" x14ac:dyDescent="0.3">
      <c r="A5774" s="1192" t="s">
        <v>3744</v>
      </c>
      <c r="B5774" s="1192" t="s">
        <v>5678</v>
      </c>
      <c r="E5774" s="1750" t="s">
        <v>2405</v>
      </c>
      <c r="F5774" s="1741"/>
      <c r="G5774" s="1741"/>
      <c r="H5774" s="1741"/>
      <c r="K5774" s="1192" t="s">
        <v>2657</v>
      </c>
      <c r="V5774" s="1192">
        <v>48</v>
      </c>
    </row>
    <row r="5775" spans="1:22" s="1192" customFormat="1" ht="14.4" x14ac:dyDescent="0.3">
      <c r="A5775" s="1192" t="s">
        <v>3744</v>
      </c>
      <c r="B5775" s="1192" t="s">
        <v>5678</v>
      </c>
      <c r="E5775" s="2114" t="s">
        <v>2033</v>
      </c>
      <c r="F5775" s="1740"/>
      <c r="G5775" s="574" t="s">
        <v>20</v>
      </c>
      <c r="H5775" s="1219">
        <v>3.0000000000000001E-3</v>
      </c>
      <c r="K5775" s="1192" t="s">
        <v>2861</v>
      </c>
      <c r="L5775" s="1192" t="s">
        <v>2374</v>
      </c>
      <c r="P5775" s="1192" t="s">
        <v>2870</v>
      </c>
      <c r="V5775" s="1192">
        <v>55</v>
      </c>
    </row>
    <row r="5776" spans="1:22" s="1192" customFormat="1" ht="14.4" x14ac:dyDescent="0.3">
      <c r="A5776" s="1192" t="s">
        <v>3744</v>
      </c>
      <c r="B5776" s="1192" t="s">
        <v>5678</v>
      </c>
      <c r="E5776" s="2114" t="s">
        <v>2034</v>
      </c>
      <c r="F5776" s="1740"/>
      <c r="G5776" s="574" t="s">
        <v>20</v>
      </c>
      <c r="H5776" s="1329">
        <v>4.0000000000000002E-4</v>
      </c>
      <c r="K5776" s="1192" t="s">
        <v>2861</v>
      </c>
      <c r="L5776" s="1192" t="s">
        <v>2374</v>
      </c>
      <c r="P5776" s="1192" t="s">
        <v>2870</v>
      </c>
      <c r="V5776" s="1192">
        <v>65</v>
      </c>
    </row>
    <row r="5777" spans="1:22" s="1192" customFormat="1" ht="14.4" x14ac:dyDescent="0.3">
      <c r="A5777" s="1192" t="s">
        <v>3744</v>
      </c>
      <c r="B5777" s="1192" t="s">
        <v>5678</v>
      </c>
      <c r="E5777" s="2114" t="s">
        <v>428</v>
      </c>
      <c r="F5777" s="1740"/>
      <c r="G5777" s="574" t="s">
        <v>20</v>
      </c>
      <c r="H5777" s="1329">
        <v>5.0000000000000001E-4</v>
      </c>
      <c r="K5777" s="1192" t="s">
        <v>2861</v>
      </c>
      <c r="L5777" s="1192" t="s">
        <v>2374</v>
      </c>
      <c r="P5777" s="1192" t="s">
        <v>2871</v>
      </c>
      <c r="V5777" s="1192">
        <v>57</v>
      </c>
    </row>
    <row r="5778" spans="1:22" s="1192" customFormat="1" ht="14.4" x14ac:dyDescent="0.3">
      <c r="A5778" s="1192" t="s">
        <v>3744</v>
      </c>
      <c r="B5778" s="1192" t="s">
        <v>5678</v>
      </c>
      <c r="E5778" s="2114" t="s">
        <v>28</v>
      </c>
      <c r="F5778" s="1740"/>
      <c r="G5778" s="574" t="s">
        <v>19</v>
      </c>
      <c r="H5778" s="509">
        <v>0.25</v>
      </c>
      <c r="K5778" s="1192" t="s">
        <v>2861</v>
      </c>
      <c r="L5778" s="1192" t="s">
        <v>2374</v>
      </c>
      <c r="P5778" s="1192" t="s">
        <v>2872</v>
      </c>
      <c r="V5778" s="1192">
        <v>63</v>
      </c>
    </row>
    <row r="5779" spans="1:22" s="1192" customFormat="1" ht="17.399999999999999" x14ac:dyDescent="0.3">
      <c r="A5779" s="1192" t="s">
        <v>3744</v>
      </c>
      <c r="B5779" s="1192" t="s">
        <v>5678</v>
      </c>
      <c r="E5779" s="1746" t="s">
        <v>593</v>
      </c>
      <c r="F5779" s="1747"/>
      <c r="G5779" s="1747"/>
      <c r="H5779" s="1747"/>
      <c r="K5779" s="1192" t="s">
        <v>2873</v>
      </c>
      <c r="V5779" s="1192">
        <v>31</v>
      </c>
    </row>
    <row r="5780" spans="1:22" s="1192" customFormat="1" ht="14.4" x14ac:dyDescent="0.3">
      <c r="A5780" s="1192" t="s">
        <v>3744</v>
      </c>
      <c r="B5780" s="1192" t="s">
        <v>5678</v>
      </c>
      <c r="E5780" s="1743" t="s">
        <v>2443</v>
      </c>
      <c r="F5780" s="1743"/>
      <c r="G5780" s="1743"/>
      <c r="H5780" s="1743"/>
      <c r="K5780" s="1192" t="s">
        <v>2873</v>
      </c>
      <c r="V5780" s="1192">
        <v>286</v>
      </c>
    </row>
    <row r="5781" spans="1:22" s="1192" customFormat="1" ht="14.4" x14ac:dyDescent="0.3">
      <c r="A5781" s="1192" t="s">
        <v>3744</v>
      </c>
      <c r="B5781" s="1192" t="s">
        <v>5678</v>
      </c>
      <c r="E5781" s="1750" t="s">
        <v>2389</v>
      </c>
      <c r="F5781" s="1743"/>
      <c r="G5781" s="1743"/>
      <c r="H5781" s="1743"/>
      <c r="K5781" s="1192" t="s">
        <v>2629</v>
      </c>
      <c r="V5781" s="1192">
        <v>11</v>
      </c>
    </row>
    <row r="5782" spans="1:22" s="1192" customFormat="1" ht="14.4" x14ac:dyDescent="0.3">
      <c r="A5782" s="1192" t="s">
        <v>3744</v>
      </c>
      <c r="B5782" s="1192" t="s">
        <v>5678</v>
      </c>
      <c r="E5782" s="1743" t="s">
        <v>2391</v>
      </c>
      <c r="F5782" s="1743"/>
      <c r="G5782" s="1743"/>
      <c r="H5782" s="1743"/>
      <c r="K5782" s="1192" t="s">
        <v>2873</v>
      </c>
      <c r="V5782" s="1192">
        <v>280</v>
      </c>
    </row>
    <row r="5783" spans="1:22" s="1192" customFormat="1" ht="14.4" x14ac:dyDescent="0.3">
      <c r="A5783" s="1192" t="s">
        <v>3744</v>
      </c>
      <c r="B5783" s="1192" t="s">
        <v>5678</v>
      </c>
      <c r="E5783" s="1743" t="s">
        <v>2392</v>
      </c>
      <c r="F5783" s="1743"/>
      <c r="G5783" s="1743"/>
      <c r="H5783" s="1743"/>
      <c r="K5783" s="1192" t="s">
        <v>2873</v>
      </c>
      <c r="V5783" s="1192">
        <v>411</v>
      </c>
    </row>
    <row r="5784" spans="1:22" s="1192" customFormat="1" ht="14.4" x14ac:dyDescent="0.3">
      <c r="A5784" s="1192" t="s">
        <v>3744</v>
      </c>
      <c r="B5784" s="1192" t="s">
        <v>5678</v>
      </c>
      <c r="E5784" s="1743" t="s">
        <v>2445</v>
      </c>
      <c r="F5784" s="1743"/>
      <c r="G5784" s="1743"/>
      <c r="H5784" s="1743"/>
      <c r="K5784" s="1192" t="s">
        <v>2873</v>
      </c>
      <c r="V5784" s="1192">
        <v>211</v>
      </c>
    </row>
    <row r="5785" spans="1:22" s="1192" customFormat="1" ht="14.4" x14ac:dyDescent="0.3">
      <c r="A5785" s="1192" t="s">
        <v>3744</v>
      </c>
      <c r="B5785" s="1192" t="s">
        <v>5678</v>
      </c>
      <c r="E5785" s="1743" t="s">
        <v>4519</v>
      </c>
      <c r="F5785" s="1743"/>
      <c r="G5785" s="1743"/>
      <c r="H5785" s="1743"/>
      <c r="K5785" s="1192" t="s">
        <v>2873</v>
      </c>
      <c r="V5785" s="1192">
        <v>247</v>
      </c>
    </row>
    <row r="5786" spans="1:22" s="1192" customFormat="1" ht="14.4" x14ac:dyDescent="0.3">
      <c r="A5786" s="1192" t="s">
        <v>3744</v>
      </c>
      <c r="B5786" s="1192" t="s">
        <v>5678</v>
      </c>
      <c r="E5786" s="1750" t="s">
        <v>2849</v>
      </c>
      <c r="F5786" s="1743"/>
      <c r="G5786" s="1743"/>
      <c r="H5786" s="1743"/>
      <c r="K5786" s="1192" t="s">
        <v>2630</v>
      </c>
      <c r="V5786" s="1192">
        <v>47</v>
      </c>
    </row>
    <row r="5787" spans="1:22" s="1192" customFormat="1" ht="14.4" x14ac:dyDescent="0.3">
      <c r="A5787" s="1192" t="s">
        <v>3744</v>
      </c>
      <c r="B5787" s="1192" t="s">
        <v>5678</v>
      </c>
      <c r="E5787" s="2114" t="s">
        <v>7</v>
      </c>
      <c r="F5787" s="1740"/>
      <c r="G5787" s="574" t="s">
        <v>19</v>
      </c>
      <c r="H5787" s="509">
        <v>5.4</v>
      </c>
      <c r="K5787" s="1192" t="s">
        <v>2873</v>
      </c>
      <c r="L5787" s="1192" t="s">
        <v>430</v>
      </c>
      <c r="P5787" s="1192" t="s">
        <v>2874</v>
      </c>
      <c r="V5787" s="1192">
        <v>14</v>
      </c>
    </row>
    <row r="5788" spans="1:22" s="1192" customFormat="1" x14ac:dyDescent="0.3">
      <c r="A5788" s="1192" t="s">
        <v>3744</v>
      </c>
      <c r="B5788" s="1192" t="s">
        <v>5678</v>
      </c>
      <c r="E5788" s="1746" t="s">
        <v>81</v>
      </c>
      <c r="F5788" s="1999"/>
      <c r="G5788" s="1999"/>
      <c r="H5788" s="1999"/>
      <c r="K5788" s="1192" t="s">
        <v>3990</v>
      </c>
      <c r="V5788" s="1192">
        <v>10</v>
      </c>
    </row>
    <row r="5789" spans="1:22" s="1192" customFormat="1" ht="14.4" x14ac:dyDescent="0.3">
      <c r="A5789" s="1192" t="s">
        <v>3744</v>
      </c>
      <c r="B5789" s="1192" t="s">
        <v>5678</v>
      </c>
      <c r="E5789" s="1740" t="s">
        <v>3460</v>
      </c>
      <c r="F5789" s="1740"/>
      <c r="G5789" s="1277" t="s">
        <v>29</v>
      </c>
      <c r="H5789" s="509">
        <v>-0.72</v>
      </c>
      <c r="V5789" s="1192">
        <v>110</v>
      </c>
    </row>
    <row r="5790" spans="1:22" s="1192" customFormat="1" ht="14.4" x14ac:dyDescent="0.3">
      <c r="A5790" s="1192" t="s">
        <v>3744</v>
      </c>
      <c r="B5790" s="1192" t="s">
        <v>5678</v>
      </c>
      <c r="E5790" s="1740" t="s">
        <v>2450</v>
      </c>
      <c r="F5790" s="1740"/>
      <c r="G5790" s="1277" t="s">
        <v>82</v>
      </c>
      <c r="H5790" s="509">
        <v>-1</v>
      </c>
      <c r="V5790" s="1192">
        <v>87</v>
      </c>
    </row>
    <row r="5791" spans="1:22" s="1192" customFormat="1" x14ac:dyDescent="0.3">
      <c r="A5791" s="1192" t="s">
        <v>3744</v>
      </c>
      <c r="B5791" s="1192" t="s">
        <v>5678</v>
      </c>
      <c r="E5791" s="2045" t="s">
        <v>83</v>
      </c>
      <c r="F5791" s="1999"/>
      <c r="G5791" s="1999"/>
      <c r="H5791" s="1999"/>
      <c r="K5791" s="1192" t="s">
        <v>3994</v>
      </c>
      <c r="V5791" s="1192">
        <v>24</v>
      </c>
    </row>
    <row r="5792" spans="1:22" s="1192" customFormat="1" ht="14.4" x14ac:dyDescent="0.3">
      <c r="A5792" s="1192" t="s">
        <v>3744</v>
      </c>
      <c r="B5792" s="1192" t="s">
        <v>5678</v>
      </c>
      <c r="E5792" s="2037" t="s">
        <v>2389</v>
      </c>
      <c r="F5792" s="1743"/>
      <c r="G5792" s="1743"/>
      <c r="H5792" s="1743"/>
      <c r="V5792" s="1192">
        <v>11</v>
      </c>
    </row>
    <row r="5793" spans="1:22" s="1192" customFormat="1" ht="14.4" x14ac:dyDescent="0.3">
      <c r="A5793" s="1192" t="s">
        <v>3744</v>
      </c>
      <c r="B5793" s="1192" t="s">
        <v>5678</v>
      </c>
      <c r="E5793" s="1743" t="s">
        <v>2391</v>
      </c>
      <c r="F5793" s="1743"/>
      <c r="G5793" s="1743"/>
      <c r="H5793" s="1743"/>
      <c r="V5793" s="1192">
        <v>280</v>
      </c>
    </row>
    <row r="5794" spans="1:22" s="1192" customFormat="1" ht="14.4" x14ac:dyDescent="0.3">
      <c r="A5794" s="1192" t="s">
        <v>3744</v>
      </c>
      <c r="B5794" s="1192" t="s">
        <v>5678</v>
      </c>
      <c r="E5794" s="1743" t="s">
        <v>2452</v>
      </c>
      <c r="F5794" s="1743"/>
      <c r="G5794" s="1743"/>
      <c r="H5794" s="1743"/>
      <c r="V5794" s="1192">
        <v>353</v>
      </c>
    </row>
    <row r="5795" spans="1:22" s="1192" customFormat="1" ht="14.4" x14ac:dyDescent="0.3">
      <c r="A5795" s="1192" t="s">
        <v>3744</v>
      </c>
      <c r="B5795" s="1192" t="s">
        <v>5678</v>
      </c>
      <c r="E5795" s="1743" t="s">
        <v>4728</v>
      </c>
      <c r="F5795" s="1998"/>
      <c r="G5795" s="1998"/>
      <c r="H5795" s="1998"/>
      <c r="V5795" s="1192">
        <v>247</v>
      </c>
    </row>
    <row r="5796" spans="1:22" s="1192" customFormat="1" ht="14.4" x14ac:dyDescent="0.3">
      <c r="A5796" s="1192" t="s">
        <v>3744</v>
      </c>
      <c r="B5796" s="1192" t="s">
        <v>5678</v>
      </c>
      <c r="E5796" s="1750" t="s">
        <v>2453</v>
      </c>
      <c r="F5796" s="1998"/>
      <c r="G5796" s="1998"/>
      <c r="H5796" s="1998"/>
      <c r="K5796" s="1192" t="s">
        <v>3995</v>
      </c>
      <c r="V5796" s="1192">
        <v>23</v>
      </c>
    </row>
    <row r="5797" spans="1:22" s="1192" customFormat="1" ht="14.4" x14ac:dyDescent="0.3">
      <c r="A5797" s="1192" t="s">
        <v>3744</v>
      </c>
      <c r="B5797" s="1192" t="s">
        <v>5678</v>
      </c>
      <c r="E5797" s="1745" t="s">
        <v>2639</v>
      </c>
      <c r="F5797" s="1745"/>
      <c r="G5797" s="1277" t="s">
        <v>19</v>
      </c>
      <c r="H5797" s="509">
        <v>15</v>
      </c>
      <c r="V5797" s="1192">
        <v>19</v>
      </c>
    </row>
    <row r="5798" spans="1:22" s="1192" customFormat="1" ht="14.4" x14ac:dyDescent="0.3">
      <c r="A5798" s="1192" t="s">
        <v>3744</v>
      </c>
      <c r="B5798" s="1192" t="s">
        <v>5678</v>
      </c>
      <c r="E5798" s="1745" t="s">
        <v>119</v>
      </c>
      <c r="F5798" s="1745"/>
      <c r="G5798" s="1277" t="s">
        <v>19</v>
      </c>
      <c r="H5798" s="837">
        <v>8.5500000000000007</v>
      </c>
      <c r="V5798" s="1192">
        <v>35</v>
      </c>
    </row>
    <row r="5799" spans="1:22" s="1192" customFormat="1" ht="14.4" x14ac:dyDescent="0.3">
      <c r="A5799" s="1192" t="s">
        <v>3744</v>
      </c>
      <c r="B5799" s="1192" t="s">
        <v>5678</v>
      </c>
      <c r="E5799" s="1745" t="s">
        <v>3461</v>
      </c>
      <c r="F5799" s="1745"/>
      <c r="G5799" s="1277" t="s">
        <v>19</v>
      </c>
      <c r="H5799" s="837">
        <v>8.75</v>
      </c>
      <c r="V5799" s="1192">
        <v>88</v>
      </c>
    </row>
    <row r="5800" spans="1:22" s="1192" customFormat="1" ht="14.4" x14ac:dyDescent="0.3">
      <c r="A5800" s="1192" t="s">
        <v>3744</v>
      </c>
      <c r="B5800" s="1192" t="s">
        <v>5678</v>
      </c>
      <c r="E5800" s="1745" t="s">
        <v>88</v>
      </c>
      <c r="F5800" s="1745"/>
      <c r="G5800" s="1277" t="s">
        <v>19</v>
      </c>
      <c r="H5800" s="509">
        <v>10</v>
      </c>
      <c r="V5800" s="1192">
        <v>74</v>
      </c>
    </row>
    <row r="5801" spans="1:22" s="1192" customFormat="1" ht="14.4" x14ac:dyDescent="0.3">
      <c r="A5801" s="1192" t="s">
        <v>3744</v>
      </c>
      <c r="B5801" s="1192" t="s">
        <v>5678</v>
      </c>
      <c r="E5801" s="1745" t="s">
        <v>3462</v>
      </c>
      <c r="F5801" s="1745"/>
      <c r="G5801" s="1277" t="s">
        <v>19</v>
      </c>
      <c r="H5801" s="509">
        <v>-10</v>
      </c>
      <c r="L5801" s="1192" t="s">
        <v>430</v>
      </c>
      <c r="P5801" s="1192" t="s">
        <v>6277</v>
      </c>
      <c r="V5801" s="1192">
        <v>40</v>
      </c>
    </row>
    <row r="5802" spans="1:22" s="1192" customFormat="1" ht="14.4" x14ac:dyDescent="0.3">
      <c r="A5802" s="1192" t="s">
        <v>3744</v>
      </c>
      <c r="B5802" s="1192" t="s">
        <v>5678</v>
      </c>
      <c r="E5802" s="1750" t="s">
        <v>2468</v>
      </c>
      <c r="F5802" s="1998"/>
      <c r="G5802" s="1998"/>
      <c r="H5802" s="1998"/>
      <c r="K5802" s="1192" t="s">
        <v>3996</v>
      </c>
      <c r="V5802" s="1192">
        <v>22</v>
      </c>
    </row>
    <row r="5803" spans="1:22" s="1192" customFormat="1" ht="14.4" x14ac:dyDescent="0.3">
      <c r="A5803" s="1192" t="s">
        <v>3744</v>
      </c>
      <c r="B5803" s="1192" t="s">
        <v>5678</v>
      </c>
      <c r="E5803" s="1745" t="s">
        <v>5940</v>
      </c>
      <c r="F5803" s="1745"/>
      <c r="G5803" s="1277" t="s">
        <v>82</v>
      </c>
      <c r="H5803" s="509">
        <v>1.5</v>
      </c>
      <c r="V5803" s="1192">
        <v>99</v>
      </c>
    </row>
    <row r="5804" spans="1:22" s="1192" customFormat="1" ht="14.4" x14ac:dyDescent="0.3">
      <c r="A5804" s="1192" t="s">
        <v>3744</v>
      </c>
      <c r="B5804" s="1192" t="s">
        <v>5678</v>
      </c>
      <c r="E5804" s="1745" t="s">
        <v>6106</v>
      </c>
      <c r="F5804" s="1745"/>
      <c r="G5804" s="1277" t="s">
        <v>19</v>
      </c>
      <c r="H5804" s="509">
        <v>20</v>
      </c>
      <c r="V5804" s="1192">
        <v>44</v>
      </c>
    </row>
    <row r="5805" spans="1:22" s="1192" customFormat="1" ht="14.4" x14ac:dyDescent="0.3">
      <c r="A5805" s="1192" t="s">
        <v>3744</v>
      </c>
      <c r="B5805" s="1192" t="s">
        <v>5678</v>
      </c>
      <c r="E5805" s="1745" t="s">
        <v>6107</v>
      </c>
      <c r="F5805" s="1745"/>
      <c r="G5805" s="1277" t="s">
        <v>19</v>
      </c>
      <c r="H5805" s="509">
        <v>50</v>
      </c>
      <c r="V5805" s="1192">
        <v>43</v>
      </c>
    </row>
    <row r="5806" spans="1:22" s="1192" customFormat="1" ht="14.4" x14ac:dyDescent="0.3">
      <c r="A5806" s="1192" t="s">
        <v>3744</v>
      </c>
      <c r="B5806" s="1192" t="s">
        <v>5678</v>
      </c>
      <c r="E5806" s="1745" t="s">
        <v>6108</v>
      </c>
      <c r="F5806" s="1745"/>
      <c r="G5806" s="1277" t="s">
        <v>19</v>
      </c>
      <c r="H5806" s="509">
        <v>50</v>
      </c>
      <c r="V5806" s="1192">
        <v>43</v>
      </c>
    </row>
    <row r="5807" spans="1:22" s="1192" customFormat="1" ht="14.4" x14ac:dyDescent="0.3">
      <c r="A5807" s="1192" t="s">
        <v>3744</v>
      </c>
      <c r="B5807" s="1192" t="s">
        <v>5678</v>
      </c>
      <c r="E5807" s="1745" t="s">
        <v>6115</v>
      </c>
      <c r="F5807" s="1745"/>
      <c r="G5807" s="1277" t="s">
        <v>19</v>
      </c>
      <c r="H5807" s="509">
        <v>95</v>
      </c>
      <c r="V5807" s="1192">
        <v>42</v>
      </c>
    </row>
    <row r="5808" spans="1:22" s="1192" customFormat="1" ht="14.4" x14ac:dyDescent="0.3">
      <c r="A5808" s="1192" t="s">
        <v>3744</v>
      </c>
      <c r="B5808" s="1192" t="s">
        <v>5678</v>
      </c>
      <c r="E5808" s="1750" t="s">
        <v>2474</v>
      </c>
      <c r="F5808" s="1998"/>
      <c r="G5808" s="1998"/>
      <c r="H5808" s="1998"/>
      <c r="V5808" s="1192">
        <v>5</v>
      </c>
    </row>
    <row r="5809" spans="1:22" s="1192" customFormat="1" ht="14.4" x14ac:dyDescent="0.3">
      <c r="A5809" s="1192" t="s">
        <v>3744</v>
      </c>
      <c r="B5809" s="1192" t="s">
        <v>5678</v>
      </c>
      <c r="E5809" s="1745" t="s">
        <v>2477</v>
      </c>
      <c r="F5809" s="1745"/>
      <c r="G5809" s="1277" t="s">
        <v>19</v>
      </c>
      <c r="H5809" s="509">
        <v>17.5</v>
      </c>
      <c r="V5809" s="1192">
        <v>39</v>
      </c>
    </row>
    <row r="5810" spans="1:22" s="1192" customFormat="1" ht="14.4" x14ac:dyDescent="0.3">
      <c r="A5810" s="1192" t="s">
        <v>3744</v>
      </c>
      <c r="B5810" s="1192" t="s">
        <v>5678</v>
      </c>
      <c r="E5810" s="1745" t="s">
        <v>2478</v>
      </c>
      <c r="F5810" s="1745"/>
      <c r="G5810" s="1277" t="s">
        <v>19</v>
      </c>
      <c r="H5810" s="509">
        <v>95</v>
      </c>
      <c r="V5810" s="1192">
        <v>34</v>
      </c>
    </row>
    <row r="5811" spans="1:22" s="1192" customFormat="1" ht="14.4" x14ac:dyDescent="0.3">
      <c r="A5811" s="1192" t="s">
        <v>3744</v>
      </c>
      <c r="B5811" s="1192" t="s">
        <v>5678</v>
      </c>
      <c r="E5811" s="1745" t="s">
        <v>2768</v>
      </c>
      <c r="F5811" s="1745"/>
      <c r="G5811" s="1277" t="s">
        <v>19</v>
      </c>
      <c r="H5811" s="509">
        <v>44.5</v>
      </c>
      <c r="V5811" s="1192">
        <v>104</v>
      </c>
    </row>
    <row r="5812" spans="1:22" s="1192" customFormat="1" ht="14.4" x14ac:dyDescent="0.3">
      <c r="A5812" s="1192" t="s">
        <v>3744</v>
      </c>
      <c r="B5812" s="1192" t="s">
        <v>5678</v>
      </c>
      <c r="E5812" s="1745" t="s">
        <v>3463</v>
      </c>
      <c r="F5812" s="1745"/>
      <c r="G5812" s="1277" t="s">
        <v>19</v>
      </c>
      <c r="H5812" s="509">
        <v>105</v>
      </c>
      <c r="V5812" s="1192">
        <v>41</v>
      </c>
    </row>
    <row r="5813" spans="1:22" s="1192" customFormat="1" ht="14.4" x14ac:dyDescent="0.3">
      <c r="A5813" s="1192" t="s">
        <v>3744</v>
      </c>
      <c r="B5813" s="1192" t="s">
        <v>5678</v>
      </c>
      <c r="E5813" s="1745" t="s">
        <v>3464</v>
      </c>
      <c r="F5813" s="1745"/>
      <c r="G5813" s="1277" t="s">
        <v>19</v>
      </c>
      <c r="H5813" s="509">
        <v>100</v>
      </c>
      <c r="V5813" s="1192">
        <v>44</v>
      </c>
    </row>
    <row r="5814" spans="1:22" s="1192" customFormat="1" x14ac:dyDescent="0.3">
      <c r="A5814" s="1192" t="s">
        <v>3744</v>
      </c>
      <c r="B5814" s="1192" t="s">
        <v>5678</v>
      </c>
      <c r="E5814" s="1746" t="s">
        <v>73</v>
      </c>
      <c r="F5814" s="1999"/>
      <c r="G5814" s="1999"/>
      <c r="H5814" s="1999"/>
      <c r="K5814" s="1192" t="s">
        <v>3997</v>
      </c>
      <c r="V5814" s="1192">
        <v>38</v>
      </c>
    </row>
    <row r="5815" spans="1:22" s="1192" customFormat="1" ht="14.4" x14ac:dyDescent="0.3">
      <c r="A5815" s="1192" t="s">
        <v>3744</v>
      </c>
      <c r="B5815" s="1192" t="s">
        <v>5678</v>
      </c>
      <c r="E5815" s="2037" t="s">
        <v>2389</v>
      </c>
      <c r="F5815" s="1743"/>
      <c r="G5815" s="1743"/>
      <c r="H5815" s="1743"/>
      <c r="K5815" s="1192" t="s">
        <v>2629</v>
      </c>
      <c r="V5815" s="1192">
        <v>11</v>
      </c>
    </row>
    <row r="5816" spans="1:22" s="1192" customFormat="1" ht="14.4" x14ac:dyDescent="0.3">
      <c r="A5816" s="1192" t="s">
        <v>3744</v>
      </c>
      <c r="B5816" s="1192" t="s">
        <v>5678</v>
      </c>
      <c r="E5816" s="1743" t="s">
        <v>2391</v>
      </c>
      <c r="F5816" s="1743"/>
      <c r="G5816" s="1743"/>
      <c r="H5816" s="1743"/>
      <c r="V5816" s="1192">
        <v>280</v>
      </c>
    </row>
    <row r="5817" spans="1:22" s="1192" customFormat="1" ht="14.4" x14ac:dyDescent="0.3">
      <c r="A5817" s="1192" t="s">
        <v>3744</v>
      </c>
      <c r="B5817" s="1192" t="s">
        <v>5678</v>
      </c>
      <c r="E5817" s="1743" t="s">
        <v>2392</v>
      </c>
      <c r="F5817" s="1743"/>
      <c r="G5817" s="1743"/>
      <c r="H5817" s="1743"/>
      <c r="V5817" s="1192">
        <v>411</v>
      </c>
    </row>
    <row r="5818" spans="1:22" s="1192" customFormat="1" ht="14.4" x14ac:dyDescent="0.3">
      <c r="A5818" s="1192" t="s">
        <v>3744</v>
      </c>
      <c r="B5818" s="1192" t="s">
        <v>5678</v>
      </c>
      <c r="E5818" s="1743" t="s">
        <v>2445</v>
      </c>
      <c r="F5818" s="1743"/>
      <c r="G5818" s="1743"/>
      <c r="H5818" s="1743"/>
      <c r="V5818" s="1192">
        <v>211</v>
      </c>
    </row>
    <row r="5819" spans="1:22" s="1192" customFormat="1" ht="14.4" x14ac:dyDescent="0.3">
      <c r="A5819" s="1192" t="s">
        <v>3744</v>
      </c>
      <c r="B5819" s="1192" t="s">
        <v>5678</v>
      </c>
      <c r="E5819" s="1743" t="s">
        <v>4728</v>
      </c>
      <c r="F5819" s="1743"/>
      <c r="G5819" s="1743"/>
      <c r="H5819" s="1743"/>
      <c r="V5819" s="1192">
        <v>247</v>
      </c>
    </row>
    <row r="5820" spans="1:22" s="1192" customFormat="1" ht="14.4" x14ac:dyDescent="0.3">
      <c r="A5820" s="1192" t="s">
        <v>3744</v>
      </c>
      <c r="B5820" s="1192" t="s">
        <v>5678</v>
      </c>
      <c r="E5820" s="1743" t="s">
        <v>2595</v>
      </c>
      <c r="F5820" s="1743"/>
      <c r="G5820" s="2080"/>
      <c r="H5820" s="2080"/>
      <c r="V5820" s="1192">
        <v>142</v>
      </c>
    </row>
    <row r="5821" spans="1:22" s="1192" customFormat="1" ht="14.4" x14ac:dyDescent="0.3">
      <c r="A5821" s="1192" t="s">
        <v>3744</v>
      </c>
      <c r="B5821" s="1192" t="s">
        <v>5678</v>
      </c>
      <c r="E5821" s="1740" t="s">
        <v>2485</v>
      </c>
      <c r="F5821" s="1740"/>
      <c r="G5821" s="1277" t="s">
        <v>19</v>
      </c>
      <c r="H5821" s="509">
        <v>102</v>
      </c>
      <c r="V5821" s="1192">
        <v>106</v>
      </c>
    </row>
    <row r="5822" spans="1:22" s="1192" customFormat="1" ht="14.4" x14ac:dyDescent="0.3">
      <c r="A5822" s="1192" t="s">
        <v>3744</v>
      </c>
      <c r="B5822" s="1192" t="s">
        <v>5678</v>
      </c>
      <c r="E5822" s="1740" t="s">
        <v>6362</v>
      </c>
      <c r="F5822" s="1740"/>
      <c r="G5822" s="1277" t="s">
        <v>19</v>
      </c>
      <c r="H5822" s="509">
        <v>40.799999999999997</v>
      </c>
      <c r="V5822" s="1192">
        <v>34</v>
      </c>
    </row>
    <row r="5823" spans="1:22" s="1192" customFormat="1" ht="14.4" x14ac:dyDescent="0.3">
      <c r="A5823" s="1192" t="s">
        <v>3744</v>
      </c>
      <c r="B5823" s="1192" t="s">
        <v>5678</v>
      </c>
      <c r="E5823" s="1740" t="s">
        <v>6363</v>
      </c>
      <c r="F5823" s="1740"/>
      <c r="G5823" s="1277" t="s">
        <v>2488</v>
      </c>
      <c r="H5823" s="509">
        <v>1.02</v>
      </c>
      <c r="V5823" s="1192">
        <v>51</v>
      </c>
    </row>
    <row r="5824" spans="1:22" s="1192" customFormat="1" ht="14.4" x14ac:dyDescent="0.3">
      <c r="A5824" s="1192" t="s">
        <v>3744</v>
      </c>
      <c r="B5824" s="1192" t="s">
        <v>5678</v>
      </c>
      <c r="E5824" s="1740" t="s">
        <v>2489</v>
      </c>
      <c r="F5824" s="1740"/>
      <c r="G5824" s="1277" t="s">
        <v>2488</v>
      </c>
      <c r="H5824" s="509">
        <v>0.61</v>
      </c>
      <c r="V5824" s="1192">
        <v>75</v>
      </c>
    </row>
    <row r="5825" spans="1:22" s="1192" customFormat="1" ht="14.4" x14ac:dyDescent="0.3">
      <c r="A5825" s="1192" t="s">
        <v>3744</v>
      </c>
      <c r="B5825" s="1192" t="s">
        <v>5678</v>
      </c>
      <c r="E5825" s="1742" t="s">
        <v>2490</v>
      </c>
      <c r="F5825" s="1742"/>
      <c r="G5825" s="1277" t="s">
        <v>2488</v>
      </c>
      <c r="H5825" s="509">
        <v>-0.61</v>
      </c>
      <c r="V5825" s="1192">
        <v>72</v>
      </c>
    </row>
    <row r="5826" spans="1:22" s="1192" customFormat="1" ht="14.4" x14ac:dyDescent="0.3">
      <c r="A5826" s="1192" t="s">
        <v>3744</v>
      </c>
      <c r="B5826" s="1192" t="s">
        <v>5678</v>
      </c>
      <c r="E5826" s="1742" t="s">
        <v>2596</v>
      </c>
      <c r="F5826" s="1742"/>
      <c r="G5826" s="1740"/>
      <c r="H5826" s="1740"/>
      <c r="V5826" s="1192">
        <v>34</v>
      </c>
    </row>
    <row r="5827" spans="1:22" s="1192" customFormat="1" ht="14.4" x14ac:dyDescent="0.3">
      <c r="A5827" s="1192" t="s">
        <v>3744</v>
      </c>
      <c r="B5827" s="1192" t="s">
        <v>5678</v>
      </c>
      <c r="E5827" s="1742" t="s">
        <v>2492</v>
      </c>
      <c r="F5827" s="1742"/>
      <c r="G5827" s="1277" t="s">
        <v>19</v>
      </c>
      <c r="H5827" s="837">
        <v>0.51</v>
      </c>
      <c r="V5827" s="1192">
        <v>57</v>
      </c>
    </row>
    <row r="5828" spans="1:22" s="1192" customFormat="1" ht="14.4" x14ac:dyDescent="0.3">
      <c r="A5828" s="1192" t="s">
        <v>3744</v>
      </c>
      <c r="B5828" s="1192" t="s">
        <v>5678</v>
      </c>
      <c r="E5828" s="1742" t="s">
        <v>2493</v>
      </c>
      <c r="F5828" s="1742"/>
      <c r="G5828" s="1277" t="s">
        <v>19</v>
      </c>
      <c r="H5828" s="837">
        <v>1.02</v>
      </c>
      <c r="V5828" s="1192">
        <v>60</v>
      </c>
    </row>
    <row r="5829" spans="1:22" s="1192" customFormat="1" ht="14.4" x14ac:dyDescent="0.3">
      <c r="A5829" s="1192" t="s">
        <v>3744</v>
      </c>
      <c r="B5829" s="1192" t="s">
        <v>5678</v>
      </c>
      <c r="E5829" s="1740" t="s">
        <v>2905</v>
      </c>
      <c r="F5829" s="1740"/>
      <c r="G5829" s="1275"/>
      <c r="H5829" s="895"/>
      <c r="V5829" s="1192">
        <v>266</v>
      </c>
    </row>
    <row r="5830" spans="1:22" s="1192" customFormat="1" ht="14.4" x14ac:dyDescent="0.3">
      <c r="A5830" s="1192" t="s">
        <v>3744</v>
      </c>
      <c r="B5830" s="1192" t="s">
        <v>5678</v>
      </c>
      <c r="E5830" s="1742" t="s">
        <v>2497</v>
      </c>
      <c r="F5830" s="1742"/>
      <c r="G5830" s="1259"/>
      <c r="H5830" s="839" t="s">
        <v>2498</v>
      </c>
      <c r="V5830" s="1192">
        <v>18</v>
      </c>
    </row>
    <row r="5831" spans="1:22" s="1192" customFormat="1" ht="14.4" x14ac:dyDescent="0.3">
      <c r="A5831" s="1192" t="s">
        <v>3744</v>
      </c>
      <c r="B5831" s="1192" t="s">
        <v>5678</v>
      </c>
      <c r="E5831" s="1742" t="s">
        <v>2499</v>
      </c>
      <c r="F5831" s="1742"/>
      <c r="G5831" s="1277" t="s">
        <v>19</v>
      </c>
      <c r="H5831" s="837">
        <v>4.08</v>
      </c>
      <c r="V5831" s="1192">
        <v>69</v>
      </c>
    </row>
    <row r="5832" spans="1:22" s="1192" customFormat="1" ht="14.4" x14ac:dyDescent="0.3">
      <c r="A5832" s="1192" t="s">
        <v>3744</v>
      </c>
      <c r="B5832" s="1192" t="s">
        <v>5678</v>
      </c>
      <c r="E5832" s="1740" t="s">
        <v>4608</v>
      </c>
      <c r="F5832" s="1740"/>
      <c r="G5832" s="1277" t="s">
        <v>19</v>
      </c>
      <c r="H5832" s="837">
        <v>2.04</v>
      </c>
      <c r="V5832" s="1192">
        <v>199</v>
      </c>
    </row>
    <row r="5833" spans="1:22" s="1192" customFormat="1" x14ac:dyDescent="0.3">
      <c r="A5833" s="1192" t="s">
        <v>3744</v>
      </c>
      <c r="B5833" s="1192" t="s">
        <v>5678</v>
      </c>
      <c r="E5833" s="1746" t="s">
        <v>143</v>
      </c>
      <c r="F5833" s="1999"/>
      <c r="G5833" s="1999"/>
      <c r="H5833" s="1999"/>
      <c r="K5833" s="1192" t="s">
        <v>3998</v>
      </c>
      <c r="V5833" s="1192">
        <v>12</v>
      </c>
    </row>
    <row r="5834" spans="1:22" s="1192" customFormat="1" ht="14.4" x14ac:dyDescent="0.3">
      <c r="A5834" s="1192" t="s">
        <v>3744</v>
      </c>
      <c r="B5834" s="1192" t="s">
        <v>5678</v>
      </c>
      <c r="E5834" s="1741" t="s">
        <v>2501</v>
      </c>
      <c r="F5834" s="1741"/>
      <c r="G5834" s="1741"/>
      <c r="H5834" s="1741"/>
      <c r="V5834" s="1192">
        <v>203</v>
      </c>
    </row>
    <row r="5835" spans="1:22" s="1192" customFormat="1" ht="14.4" x14ac:dyDescent="0.3">
      <c r="A5835" s="1192" t="s">
        <v>3744</v>
      </c>
      <c r="B5835" s="1192" t="s">
        <v>5678</v>
      </c>
      <c r="E5835" s="1741" t="s">
        <v>2599</v>
      </c>
      <c r="F5835" s="1741"/>
      <c r="G5835" s="1277"/>
      <c r="H5835" s="837">
        <v>1.026</v>
      </c>
      <c r="V5835" s="1192">
        <v>57</v>
      </c>
    </row>
    <row r="5836" spans="1:22" s="1192" customFormat="1" ht="14.4" x14ac:dyDescent="0.3">
      <c r="A5836" s="1192" t="s">
        <v>3744</v>
      </c>
      <c r="B5836" s="1192" t="s">
        <v>5678</v>
      </c>
      <c r="E5836" s="1741" t="s">
        <v>2600</v>
      </c>
      <c r="F5836" s="1741"/>
      <c r="G5836" s="1277"/>
      <c r="H5836" s="837">
        <v>1.0137</v>
      </c>
      <c r="V5836" s="1192">
        <v>57</v>
      </c>
    </row>
    <row r="5837" spans="1:22" s="1192" customFormat="1" ht="14.4" x14ac:dyDescent="0.3">
      <c r="A5837" s="1192" t="s">
        <v>3744</v>
      </c>
      <c r="B5837" s="1192" t="s">
        <v>5678</v>
      </c>
      <c r="E5837" s="1741" t="s">
        <v>2601</v>
      </c>
      <c r="F5837" s="1741"/>
      <c r="G5837" s="1277"/>
      <c r="H5837" s="837">
        <v>1.0157</v>
      </c>
      <c r="V5837" s="1192">
        <v>55</v>
      </c>
    </row>
    <row r="5838" spans="1:22" s="1192" customFormat="1" ht="14.4" x14ac:dyDescent="0.3">
      <c r="A5838" s="1192" t="s">
        <v>3744</v>
      </c>
      <c r="B5838" s="1192" t="s">
        <v>5678</v>
      </c>
      <c r="E5838" s="1741" t="s">
        <v>2602</v>
      </c>
      <c r="F5838" s="1741"/>
      <c r="G5838" s="1277"/>
      <c r="H5838" s="837">
        <v>1.0036</v>
      </c>
      <c r="J5838" s="1192" t="s">
        <v>5681</v>
      </c>
      <c r="V5838" s="1192">
        <v>55</v>
      </c>
    </row>
    <row r="5839" spans="1:22" s="1192" customFormat="1" ht="22.8" x14ac:dyDescent="0.3">
      <c r="A5839" s="1192" t="s">
        <v>3744</v>
      </c>
      <c r="B5839" s="1192" t="s">
        <v>4512</v>
      </c>
      <c r="C5839" s="1192" t="s">
        <v>2378</v>
      </c>
      <c r="E5839" s="2074" t="s">
        <v>3744</v>
      </c>
      <c r="F5839" s="2074"/>
      <c r="G5839" s="2074"/>
      <c r="H5839" s="2074"/>
      <c r="I5839" s="1192" t="s">
        <v>603</v>
      </c>
      <c r="J5839" s="1192" t="s">
        <v>4513</v>
      </c>
      <c r="K5839" s="1192" t="s">
        <v>3744</v>
      </c>
      <c r="M5839" s="1192">
        <v>10</v>
      </c>
      <c r="V5839" s="1192">
        <v>29</v>
      </c>
    </row>
    <row r="5840" spans="1:22" s="1192" customFormat="1" ht="22.8" x14ac:dyDescent="0.3">
      <c r="A5840" s="1192" t="s">
        <v>3744</v>
      </c>
      <c r="B5840" s="1192" t="s">
        <v>4512</v>
      </c>
      <c r="C5840" s="1192" t="s">
        <v>2380</v>
      </c>
      <c r="E5840" s="2075" t="s">
        <v>4514</v>
      </c>
      <c r="F5840" s="2075"/>
      <c r="G5840" s="2075"/>
      <c r="H5840" s="2075"/>
      <c r="V5840" s="1192">
        <v>27</v>
      </c>
    </row>
    <row r="5841" spans="1:22" s="1192" customFormat="1" ht="17.399999999999999" x14ac:dyDescent="0.3">
      <c r="A5841" s="1192" t="s">
        <v>3744</v>
      </c>
      <c r="B5841" s="1192" t="s">
        <v>4512</v>
      </c>
      <c r="C5841" s="1192" t="s">
        <v>2382</v>
      </c>
      <c r="E5841" s="2076" t="s">
        <v>2381</v>
      </c>
      <c r="F5841" s="2076"/>
      <c r="G5841" s="2076"/>
      <c r="H5841" s="2076"/>
      <c r="V5841" s="1192">
        <v>27</v>
      </c>
    </row>
    <row r="5842" spans="1:22" s="1192" customFormat="1" ht="15.6" x14ac:dyDescent="0.3">
      <c r="A5842" s="1192" t="s">
        <v>3744</v>
      </c>
      <c r="B5842" s="1192" t="s">
        <v>4512</v>
      </c>
      <c r="C5842" s="1192" t="s">
        <v>2383</v>
      </c>
      <c r="E5842" s="2077" t="s">
        <v>5937</v>
      </c>
      <c r="F5842" s="2077"/>
      <c r="G5842" s="2077"/>
      <c r="H5842" s="2077"/>
      <c r="S5842" s="1192">
        <v>43831</v>
      </c>
      <c r="V5842" s="1192">
        <v>49</v>
      </c>
    </row>
    <row r="5843" spans="1:22" s="1192" customFormat="1" ht="14.4" x14ac:dyDescent="0.3">
      <c r="A5843" s="1192" t="s">
        <v>3744</v>
      </c>
      <c r="B5843" s="1192" t="s">
        <v>4512</v>
      </c>
      <c r="E5843" s="2078" t="s">
        <v>2842</v>
      </c>
      <c r="F5843" s="2078"/>
      <c r="G5843" s="2078"/>
      <c r="H5843" s="2078"/>
      <c r="V5843" s="1192">
        <v>53</v>
      </c>
    </row>
    <row r="5844" spans="1:22" s="1192" customFormat="1" ht="14.4" x14ac:dyDescent="0.3">
      <c r="A5844" s="1192" t="s">
        <v>3744</v>
      </c>
      <c r="B5844" s="1192" t="s">
        <v>4512</v>
      </c>
      <c r="E5844" s="2078" t="s">
        <v>2385</v>
      </c>
      <c r="F5844" s="2078"/>
      <c r="G5844" s="2078"/>
      <c r="H5844" s="2078"/>
      <c r="V5844" s="1192">
        <v>53</v>
      </c>
    </row>
    <row r="5845" spans="1:22" s="1192" customFormat="1" ht="14.4" x14ac:dyDescent="0.3">
      <c r="A5845" s="1192" t="s">
        <v>3744</v>
      </c>
      <c r="B5845" s="1192" t="s">
        <v>4512</v>
      </c>
      <c r="E5845" s="2073" t="s">
        <v>6296</v>
      </c>
      <c r="F5845" s="2073"/>
      <c r="G5845" s="2073"/>
      <c r="H5845" s="2073"/>
      <c r="K5845" s="1192" t="s">
        <v>6296</v>
      </c>
      <c r="V5845" s="1192">
        <v>12</v>
      </c>
    </row>
    <row r="5846" spans="1:22" s="1192" customFormat="1" ht="17.399999999999999" x14ac:dyDescent="0.3">
      <c r="A5846" s="1192" t="s">
        <v>3744</v>
      </c>
      <c r="B5846" s="1192" t="s">
        <v>4512</v>
      </c>
      <c r="E5846" s="2045" t="s">
        <v>427</v>
      </c>
      <c r="F5846" s="2045"/>
      <c r="G5846" s="2045"/>
      <c r="H5846" s="2045"/>
      <c r="K5846" s="1192" t="s">
        <v>2506</v>
      </c>
      <c r="V5846" s="1192">
        <v>34</v>
      </c>
    </row>
    <row r="5847" spans="1:22" s="1192" customFormat="1" ht="14.4" x14ac:dyDescent="0.3">
      <c r="A5847" s="1192" t="s">
        <v>3744</v>
      </c>
      <c r="B5847" s="1192" t="s">
        <v>4512</v>
      </c>
      <c r="E5847" s="2067" t="s">
        <v>4125</v>
      </c>
      <c r="F5847" s="2067"/>
      <c r="G5847" s="2067"/>
      <c r="H5847" s="2067"/>
      <c r="K5847" s="1192" t="s">
        <v>2506</v>
      </c>
      <c r="V5847" s="1192">
        <v>655</v>
      </c>
    </row>
    <row r="5848" spans="1:22" s="1192" customFormat="1" ht="14.4" x14ac:dyDescent="0.3">
      <c r="A5848" s="1192" t="s">
        <v>3744</v>
      </c>
      <c r="B5848" s="1192" t="s">
        <v>4512</v>
      </c>
      <c r="E5848" s="2060" t="s">
        <v>2389</v>
      </c>
      <c r="F5848" s="2068"/>
      <c r="G5848" s="2067"/>
      <c r="H5848" s="2067"/>
      <c r="K5848" s="1192" t="s">
        <v>2390</v>
      </c>
      <c r="V5848" s="1192">
        <v>11</v>
      </c>
    </row>
    <row r="5849" spans="1:22" s="1192" customFormat="1" ht="14.4" x14ac:dyDescent="0.3">
      <c r="A5849" s="1192" t="s">
        <v>3744</v>
      </c>
      <c r="B5849" s="1192" t="s">
        <v>4512</v>
      </c>
      <c r="E5849" s="2067" t="s">
        <v>2391</v>
      </c>
      <c r="F5849" s="2067"/>
      <c r="G5849" s="2067"/>
      <c r="H5849" s="2067"/>
      <c r="K5849" s="1192" t="s">
        <v>2506</v>
      </c>
      <c r="V5849" s="1192">
        <v>280</v>
      </c>
    </row>
    <row r="5850" spans="1:22" s="1192" customFormat="1" ht="14.4" x14ac:dyDescent="0.3">
      <c r="A5850" s="1192" t="s">
        <v>3744</v>
      </c>
      <c r="B5850" s="1192" t="s">
        <v>4512</v>
      </c>
      <c r="E5850" s="2067" t="s">
        <v>2605</v>
      </c>
      <c r="F5850" s="2067"/>
      <c r="G5850" s="2067"/>
      <c r="H5850" s="2067"/>
      <c r="K5850" s="1192" t="s">
        <v>2506</v>
      </c>
      <c r="V5850" s="1192">
        <v>426</v>
      </c>
    </row>
    <row r="5851" spans="1:22" s="1192" customFormat="1" ht="14.4" x14ac:dyDescent="0.3">
      <c r="A5851" s="1192" t="s">
        <v>3744</v>
      </c>
      <c r="B5851" s="1192" t="s">
        <v>4512</v>
      </c>
      <c r="E5851" s="2067" t="s">
        <v>2508</v>
      </c>
      <c r="F5851" s="2067"/>
      <c r="G5851" s="2067"/>
      <c r="H5851" s="2067"/>
      <c r="K5851" s="1192" t="s">
        <v>2506</v>
      </c>
      <c r="V5851" s="1192">
        <v>386</v>
      </c>
    </row>
    <row r="5852" spans="1:22" s="1192" customFormat="1" ht="14.4" x14ac:dyDescent="0.3">
      <c r="A5852" s="1192" t="s">
        <v>3744</v>
      </c>
      <c r="B5852" s="1192" t="s">
        <v>4512</v>
      </c>
      <c r="E5852" s="2067" t="s">
        <v>4500</v>
      </c>
      <c r="F5852" s="2067"/>
      <c r="G5852" s="2067"/>
      <c r="H5852" s="2067"/>
      <c r="K5852" s="1192" t="s">
        <v>2506</v>
      </c>
      <c r="V5852" s="1192">
        <v>247</v>
      </c>
    </row>
    <row r="5853" spans="1:22" s="1192" customFormat="1" ht="14.4" x14ac:dyDescent="0.3">
      <c r="A5853" s="1192" t="s">
        <v>3744</v>
      </c>
      <c r="B5853" s="1192" t="s">
        <v>4512</v>
      </c>
      <c r="E5853" s="2069" t="s">
        <v>4127</v>
      </c>
      <c r="F5853" s="1988"/>
      <c r="G5853" s="1988"/>
      <c r="H5853" s="1988"/>
      <c r="K5853" s="1192" t="s">
        <v>2395</v>
      </c>
      <c r="V5853" s="1192">
        <v>46</v>
      </c>
    </row>
    <row r="5854" spans="1:22" s="1192" customFormat="1" ht="14.4" x14ac:dyDescent="0.3">
      <c r="A5854" s="1192" t="s">
        <v>3744</v>
      </c>
      <c r="B5854" s="1192" t="s">
        <v>4512</v>
      </c>
      <c r="E5854" s="2059" t="s">
        <v>7</v>
      </c>
      <c r="F5854" s="1741"/>
      <c r="G5854" s="1282" t="s">
        <v>19</v>
      </c>
      <c r="H5854" s="837">
        <v>27.15</v>
      </c>
      <c r="K5854" s="1192" t="s">
        <v>2506</v>
      </c>
      <c r="L5854" s="1192" t="s">
        <v>430</v>
      </c>
      <c r="P5854" s="1192" t="s">
        <v>2510</v>
      </c>
      <c r="V5854" s="1192">
        <v>14</v>
      </c>
    </row>
    <row r="5855" spans="1:22" s="1192" customFormat="1" ht="14.4" x14ac:dyDescent="0.3">
      <c r="A5855" s="1192" t="s">
        <v>3744</v>
      </c>
      <c r="B5855" s="1192" t="s">
        <v>4512</v>
      </c>
      <c r="E5855" s="2059" t="s">
        <v>6364</v>
      </c>
      <c r="F5855" s="1741"/>
      <c r="G5855" s="1282" t="s">
        <v>19</v>
      </c>
      <c r="H5855" s="509">
        <v>-0.02</v>
      </c>
      <c r="K5855" s="1192" t="s">
        <v>2506</v>
      </c>
      <c r="L5855" s="1192" t="s">
        <v>430</v>
      </c>
      <c r="P5855" s="1192" t="s">
        <v>6365</v>
      </c>
      <c r="T5855" s="1192">
        <v>44196</v>
      </c>
      <c r="V5855" s="1192">
        <v>93</v>
      </c>
    </row>
    <row r="5856" spans="1:22" s="1192" customFormat="1" ht="14.4" x14ac:dyDescent="0.3">
      <c r="A5856" s="1192" t="s">
        <v>3744</v>
      </c>
      <c r="B5856" s="1192" t="s">
        <v>4512</v>
      </c>
      <c r="E5856" s="2079" t="s">
        <v>3900</v>
      </c>
      <c r="F5856" s="1741"/>
      <c r="G5856" s="1330" t="s">
        <v>19</v>
      </c>
      <c r="H5856" s="859">
        <v>0.56999999999999995</v>
      </c>
      <c r="K5856" s="1192" t="s">
        <v>2506</v>
      </c>
      <c r="L5856" s="1192" t="s">
        <v>431</v>
      </c>
      <c r="P5856" s="1192" t="s">
        <v>2511</v>
      </c>
      <c r="T5856" s="1192">
        <v>44926</v>
      </c>
      <c r="V5856" s="1192">
        <v>64</v>
      </c>
    </row>
    <row r="5857" spans="1:22" s="1192" customFormat="1" ht="14.4" x14ac:dyDescent="0.3">
      <c r="A5857" s="1192" t="s">
        <v>3744</v>
      </c>
      <c r="B5857" s="1192" t="s">
        <v>4512</v>
      </c>
      <c r="E5857" s="1741" t="s">
        <v>14</v>
      </c>
      <c r="F5857" s="1741"/>
      <c r="G5857" s="1277" t="s">
        <v>20</v>
      </c>
      <c r="H5857" s="1329">
        <v>6.0000000000000002E-5</v>
      </c>
      <c r="K5857" s="1192" t="s">
        <v>2506</v>
      </c>
      <c r="L5857" s="1192" t="s">
        <v>431</v>
      </c>
      <c r="P5857" s="1192" t="s">
        <v>2513</v>
      </c>
      <c r="V5857" s="1192">
        <v>24</v>
      </c>
    </row>
    <row r="5858" spans="1:22" s="1192" customFormat="1" ht="14.4" x14ac:dyDescent="0.3">
      <c r="A5858" s="1192" t="s">
        <v>3744</v>
      </c>
      <c r="B5858" s="1192" t="s">
        <v>4512</v>
      </c>
      <c r="E5858" s="1741" t="s">
        <v>6103</v>
      </c>
      <c r="F5858" s="1998"/>
      <c r="G5858" s="1277" t="s">
        <v>20</v>
      </c>
      <c r="H5858" s="1329">
        <v>4.0000000000000002E-4</v>
      </c>
      <c r="K5858" s="1192" t="s">
        <v>2506</v>
      </c>
      <c r="L5858" s="1192" t="s">
        <v>430</v>
      </c>
      <c r="P5858" s="1192" t="s">
        <v>2515</v>
      </c>
      <c r="T5858" s="1192">
        <v>44196</v>
      </c>
      <c r="V5858" s="1192">
        <v>137</v>
      </c>
    </row>
    <row r="5859" spans="1:22" s="1192" customFormat="1" ht="14.4" x14ac:dyDescent="0.3">
      <c r="A5859" s="1192" t="s">
        <v>3744</v>
      </c>
      <c r="B5859" s="1192" t="s">
        <v>4512</v>
      </c>
      <c r="E5859" s="1741" t="s">
        <v>213</v>
      </c>
      <c r="F5859" s="1741"/>
      <c r="G5859" s="1277" t="s">
        <v>20</v>
      </c>
      <c r="H5859" s="837">
        <v>7.9000000000000008E-3</v>
      </c>
      <c r="K5859" s="1192" t="s">
        <v>2506</v>
      </c>
      <c r="L5859" s="1192" t="s">
        <v>432</v>
      </c>
      <c r="P5859" s="1192" t="s">
        <v>2517</v>
      </c>
      <c r="V5859" s="1192">
        <v>47</v>
      </c>
    </row>
    <row r="5860" spans="1:22" s="1192" customFormat="1" ht="14.4" x14ac:dyDescent="0.3">
      <c r="A5860" s="1192" t="s">
        <v>3744</v>
      </c>
      <c r="B5860" s="1192" t="s">
        <v>4512</v>
      </c>
      <c r="E5860" s="1741" t="s">
        <v>209</v>
      </c>
      <c r="F5860" s="1741"/>
      <c r="G5860" s="1277" t="s">
        <v>20</v>
      </c>
      <c r="H5860" s="837">
        <v>6.7999999999999996E-3</v>
      </c>
      <c r="K5860" s="1192" t="s">
        <v>2506</v>
      </c>
      <c r="L5860" s="1192" t="s">
        <v>432</v>
      </c>
      <c r="P5860" s="1192" t="s">
        <v>2518</v>
      </c>
      <c r="V5860" s="1192">
        <v>74</v>
      </c>
    </row>
    <row r="5861" spans="1:22" s="1192" customFormat="1" ht="14.4" x14ac:dyDescent="0.3">
      <c r="A5861" s="1192" t="s">
        <v>3744</v>
      </c>
      <c r="B5861" s="1192" t="s">
        <v>4512</v>
      </c>
      <c r="E5861" s="1750" t="s">
        <v>4129</v>
      </c>
      <c r="F5861" s="1741"/>
      <c r="G5861" s="1277"/>
      <c r="H5861" s="1331"/>
      <c r="K5861" s="1192" t="s">
        <v>2406</v>
      </c>
      <c r="V5861" s="1192">
        <v>48</v>
      </c>
    </row>
    <row r="5862" spans="1:22" s="1192" customFormat="1" ht="14.4" x14ac:dyDescent="0.3">
      <c r="A5862" s="1192" t="s">
        <v>3744</v>
      </c>
      <c r="B5862" s="1192" t="s">
        <v>4512</v>
      </c>
      <c r="E5862" s="2026" t="s">
        <v>2033</v>
      </c>
      <c r="F5862" s="1741"/>
      <c r="G5862" s="953" t="s">
        <v>20</v>
      </c>
      <c r="H5862" s="1219">
        <v>3.0000000000000001E-3</v>
      </c>
      <c r="K5862" s="1192" t="s">
        <v>2506</v>
      </c>
      <c r="L5862" s="1192" t="s">
        <v>2374</v>
      </c>
      <c r="P5862" s="1192" t="s">
        <v>2519</v>
      </c>
      <c r="V5862" s="1192">
        <v>55</v>
      </c>
    </row>
    <row r="5863" spans="1:22" s="1192" customFormat="1" ht="14.4" x14ac:dyDescent="0.3">
      <c r="A5863" s="1192" t="s">
        <v>3744</v>
      </c>
      <c r="B5863" s="1192" t="s">
        <v>4512</v>
      </c>
      <c r="E5863" s="2026" t="s">
        <v>2034</v>
      </c>
      <c r="F5863" s="1741"/>
      <c r="G5863" s="953" t="s">
        <v>20</v>
      </c>
      <c r="H5863" s="1333">
        <v>4.0000000000000002E-4</v>
      </c>
      <c r="K5863" s="1192" t="s">
        <v>2506</v>
      </c>
      <c r="L5863" s="1192" t="s">
        <v>2374</v>
      </c>
      <c r="P5863" s="1192" t="s">
        <v>2519</v>
      </c>
      <c r="V5863" s="1192">
        <v>65</v>
      </c>
    </row>
    <row r="5864" spans="1:22" s="1192" customFormat="1" ht="14.4" x14ac:dyDescent="0.3">
      <c r="A5864" s="1192" t="s">
        <v>3744</v>
      </c>
      <c r="B5864" s="1192" t="s">
        <v>4512</v>
      </c>
      <c r="E5864" s="1741" t="s">
        <v>428</v>
      </c>
      <c r="F5864" s="1741"/>
      <c r="G5864" s="1277" t="s">
        <v>20</v>
      </c>
      <c r="H5864" s="1329">
        <v>5.0000000000000001E-4</v>
      </c>
      <c r="K5864" s="1192" t="s">
        <v>2506</v>
      </c>
      <c r="L5864" s="1192" t="s">
        <v>2374</v>
      </c>
      <c r="P5864" s="1192" t="s">
        <v>2520</v>
      </c>
      <c r="V5864" s="1192">
        <v>57</v>
      </c>
    </row>
    <row r="5865" spans="1:22" s="1192" customFormat="1" ht="14.4" x14ac:dyDescent="0.3">
      <c r="A5865" s="1192" t="s">
        <v>3744</v>
      </c>
      <c r="B5865" s="1192" t="s">
        <v>4512</v>
      </c>
      <c r="E5865" s="2026" t="s">
        <v>28</v>
      </c>
      <c r="F5865" s="1741"/>
      <c r="G5865" s="1277" t="s">
        <v>19</v>
      </c>
      <c r="H5865" s="837">
        <v>0.25</v>
      </c>
      <c r="K5865" s="1192" t="s">
        <v>2506</v>
      </c>
      <c r="L5865" s="1192" t="s">
        <v>2374</v>
      </c>
      <c r="P5865" s="1192" t="s">
        <v>2521</v>
      </c>
      <c r="V5865" s="1192">
        <v>63</v>
      </c>
    </row>
    <row r="5866" spans="1:22" s="1192" customFormat="1" ht="17.399999999999999" x14ac:dyDescent="0.3">
      <c r="A5866" s="1192" t="s">
        <v>3744</v>
      </c>
      <c r="B5866" s="1192" t="s">
        <v>4512</v>
      </c>
      <c r="E5866" s="2045" t="s">
        <v>2522</v>
      </c>
      <c r="F5866" s="1747"/>
      <c r="G5866" s="1747"/>
      <c r="H5866" s="1747"/>
      <c r="K5866" s="1192" t="s">
        <v>3901</v>
      </c>
      <c r="V5866" s="1192">
        <v>54</v>
      </c>
    </row>
    <row r="5867" spans="1:22" s="1192" customFormat="1" ht="14.4" x14ac:dyDescent="0.3">
      <c r="A5867" s="1192" t="s">
        <v>3744</v>
      </c>
      <c r="B5867" s="1192" t="s">
        <v>4512</v>
      </c>
      <c r="E5867" s="2067" t="s">
        <v>4130</v>
      </c>
      <c r="F5867" s="2067"/>
      <c r="G5867" s="2067"/>
      <c r="H5867" s="2067"/>
      <c r="K5867" s="1192" t="s">
        <v>3901</v>
      </c>
      <c r="V5867" s="1192">
        <v>337</v>
      </c>
    </row>
    <row r="5868" spans="1:22" s="1192" customFormat="1" ht="14.4" x14ac:dyDescent="0.3">
      <c r="A5868" s="1192" t="s">
        <v>3744</v>
      </c>
      <c r="B5868" s="1192" t="s">
        <v>4512</v>
      </c>
      <c r="E5868" s="2060" t="s">
        <v>2389</v>
      </c>
      <c r="F5868" s="2068"/>
      <c r="G5868" s="2068"/>
      <c r="H5868" s="2067"/>
      <c r="K5868" s="1192" t="s">
        <v>2412</v>
      </c>
      <c r="V5868" s="1192">
        <v>11</v>
      </c>
    </row>
    <row r="5869" spans="1:22" s="1192" customFormat="1" ht="14.4" x14ac:dyDescent="0.3">
      <c r="A5869" s="1192" t="s">
        <v>3744</v>
      </c>
      <c r="B5869" s="1192" t="s">
        <v>4512</v>
      </c>
      <c r="E5869" s="2067" t="s">
        <v>2391</v>
      </c>
      <c r="F5869" s="2067"/>
      <c r="G5869" s="2067"/>
      <c r="H5869" s="2067"/>
      <c r="K5869" s="1192" t="s">
        <v>3901</v>
      </c>
      <c r="V5869" s="1192">
        <v>280</v>
      </c>
    </row>
    <row r="5870" spans="1:22" s="1192" customFormat="1" ht="14.4" x14ac:dyDescent="0.3">
      <c r="A5870" s="1192" t="s">
        <v>3744</v>
      </c>
      <c r="B5870" s="1192" t="s">
        <v>4512</v>
      </c>
      <c r="E5870" s="2067" t="s">
        <v>2392</v>
      </c>
      <c r="F5870" s="2067"/>
      <c r="G5870" s="2067"/>
      <c r="H5870" s="2067"/>
      <c r="K5870" s="1192" t="s">
        <v>3901</v>
      </c>
      <c r="V5870" s="1192">
        <v>411</v>
      </c>
    </row>
    <row r="5871" spans="1:22" s="1192" customFormat="1" ht="14.4" x14ac:dyDescent="0.3">
      <c r="A5871" s="1192" t="s">
        <v>3744</v>
      </c>
      <c r="B5871" s="1192" t="s">
        <v>4512</v>
      </c>
      <c r="E5871" s="2067" t="s">
        <v>2508</v>
      </c>
      <c r="F5871" s="2067"/>
      <c r="G5871" s="2067"/>
      <c r="H5871" s="2067"/>
      <c r="K5871" s="1192" t="s">
        <v>3901</v>
      </c>
      <c r="V5871" s="1192">
        <v>386</v>
      </c>
    </row>
    <row r="5872" spans="1:22" s="1192" customFormat="1" ht="14.4" x14ac:dyDescent="0.3">
      <c r="A5872" s="1192" t="s">
        <v>3744</v>
      </c>
      <c r="B5872" s="1192" t="s">
        <v>4512</v>
      </c>
      <c r="E5872" s="2067" t="s">
        <v>4500</v>
      </c>
      <c r="F5872" s="2067"/>
      <c r="G5872" s="2067"/>
      <c r="H5872" s="2067"/>
      <c r="K5872" s="1192" t="s">
        <v>3901</v>
      </c>
      <c r="V5872" s="1192">
        <v>247</v>
      </c>
    </row>
    <row r="5873" spans="1:22" s="1192" customFormat="1" ht="14.4" x14ac:dyDescent="0.3">
      <c r="A5873" s="1192" t="s">
        <v>3744</v>
      </c>
      <c r="B5873" s="1192" t="s">
        <v>4512</v>
      </c>
      <c r="E5873" s="2018" t="s">
        <v>4127</v>
      </c>
      <c r="F5873" s="1988"/>
      <c r="G5873" s="1988"/>
      <c r="H5873" s="1988"/>
      <c r="K5873" s="1192" t="s">
        <v>2413</v>
      </c>
      <c r="V5873" s="1192">
        <v>46</v>
      </c>
    </row>
    <row r="5874" spans="1:22" s="1192" customFormat="1" ht="14.4" x14ac:dyDescent="0.3">
      <c r="A5874" s="1192" t="s">
        <v>3744</v>
      </c>
      <c r="B5874" s="1192" t="s">
        <v>4512</v>
      </c>
      <c r="E5874" s="1741" t="s">
        <v>7</v>
      </c>
      <c r="F5874" s="1741"/>
      <c r="G5874" s="1277" t="s">
        <v>19</v>
      </c>
      <c r="H5874" s="837">
        <v>43.01</v>
      </c>
      <c r="K5874" s="1192" t="s">
        <v>3901</v>
      </c>
      <c r="L5874" s="1192" t="s">
        <v>430</v>
      </c>
      <c r="P5874" s="1192" t="s">
        <v>3902</v>
      </c>
      <c r="V5874" s="1192">
        <v>14</v>
      </c>
    </row>
    <row r="5875" spans="1:22" s="1192" customFormat="1" ht="14.4" x14ac:dyDescent="0.3">
      <c r="A5875" s="1192" t="s">
        <v>3744</v>
      </c>
      <c r="B5875" s="1192" t="s">
        <v>4512</v>
      </c>
      <c r="E5875" s="1741" t="s">
        <v>6364</v>
      </c>
      <c r="F5875" s="1741"/>
      <c r="G5875" s="1277" t="s">
        <v>19</v>
      </c>
      <c r="H5875" s="509">
        <v>-0.02</v>
      </c>
      <c r="K5875" s="1192" t="s">
        <v>3901</v>
      </c>
      <c r="L5875" s="1192" t="s">
        <v>430</v>
      </c>
      <c r="P5875" s="1192" t="s">
        <v>6366</v>
      </c>
      <c r="T5875" s="1192">
        <v>44196</v>
      </c>
      <c r="V5875" s="1192">
        <v>93</v>
      </c>
    </row>
    <row r="5876" spans="1:22" s="1192" customFormat="1" ht="14.4" x14ac:dyDescent="0.3">
      <c r="A5876" s="1192" t="s">
        <v>3744</v>
      </c>
      <c r="B5876" s="1192" t="s">
        <v>4512</v>
      </c>
      <c r="E5876" s="2167" t="s">
        <v>3900</v>
      </c>
      <c r="F5876" s="1741"/>
      <c r="G5876" s="1334" t="s">
        <v>19</v>
      </c>
      <c r="H5876" s="1329">
        <v>0.56999999999999995</v>
      </c>
      <c r="K5876" s="1192" t="s">
        <v>3901</v>
      </c>
      <c r="L5876" s="1192" t="s">
        <v>431</v>
      </c>
      <c r="P5876" s="1192" t="s">
        <v>3903</v>
      </c>
      <c r="T5876" s="1192">
        <v>44926</v>
      </c>
      <c r="V5876" s="1192">
        <v>64</v>
      </c>
    </row>
    <row r="5877" spans="1:22" s="1192" customFormat="1" ht="14.4" x14ac:dyDescent="0.3">
      <c r="A5877" s="1192" t="s">
        <v>3744</v>
      </c>
      <c r="B5877" s="1192" t="s">
        <v>4512</v>
      </c>
      <c r="E5877" s="1741" t="s">
        <v>80</v>
      </c>
      <c r="F5877" s="1741"/>
      <c r="G5877" s="1277" t="s">
        <v>20</v>
      </c>
      <c r="H5877" s="837">
        <v>1.11E-2</v>
      </c>
      <c r="K5877" s="1192" t="s">
        <v>3901</v>
      </c>
      <c r="L5877" s="1192" t="s">
        <v>430</v>
      </c>
      <c r="P5877" s="1192" t="s">
        <v>3904</v>
      </c>
      <c r="V5877" s="1192">
        <v>28</v>
      </c>
    </row>
    <row r="5878" spans="1:22" s="1192" customFormat="1" ht="14.4" x14ac:dyDescent="0.3">
      <c r="A5878" s="1192" t="s">
        <v>3744</v>
      </c>
      <c r="B5878" s="1192" t="s">
        <v>4512</v>
      </c>
      <c r="E5878" s="1741" t="s">
        <v>14</v>
      </c>
      <c r="F5878" s="1741"/>
      <c r="G5878" s="1277" t="s">
        <v>20</v>
      </c>
      <c r="H5878" s="1329">
        <v>6.0000000000000002E-5</v>
      </c>
      <c r="K5878" s="1192" t="s">
        <v>3901</v>
      </c>
      <c r="L5878" s="1192" t="s">
        <v>431</v>
      </c>
      <c r="P5878" s="1192" t="s">
        <v>3905</v>
      </c>
      <c r="V5878" s="1192">
        <v>24</v>
      </c>
    </row>
    <row r="5879" spans="1:22" s="1192" customFormat="1" ht="14.4" x14ac:dyDescent="0.3">
      <c r="A5879" s="1192" t="s">
        <v>3744</v>
      </c>
      <c r="B5879" s="1192" t="s">
        <v>4512</v>
      </c>
      <c r="E5879" s="1741" t="s">
        <v>5939</v>
      </c>
      <c r="F5879" s="1998"/>
      <c r="G5879" s="1277" t="s">
        <v>20</v>
      </c>
      <c r="H5879" s="1329">
        <v>5.9999999999999995E-4</v>
      </c>
      <c r="K5879" s="1192" t="s">
        <v>3901</v>
      </c>
      <c r="L5879" s="1192" t="s">
        <v>430</v>
      </c>
      <c r="P5879" s="1192" t="s">
        <v>4000</v>
      </c>
      <c r="T5879" s="1192">
        <v>44196</v>
      </c>
      <c r="V5879" s="1192">
        <v>138</v>
      </c>
    </row>
    <row r="5880" spans="1:22" s="1192" customFormat="1" ht="14.4" x14ac:dyDescent="0.3">
      <c r="A5880" s="1192" t="s">
        <v>3744</v>
      </c>
      <c r="B5880" s="1192" t="s">
        <v>4512</v>
      </c>
      <c r="E5880" s="1741" t="s">
        <v>213</v>
      </c>
      <c r="F5880" s="1741"/>
      <c r="G5880" s="1277" t="s">
        <v>20</v>
      </c>
      <c r="H5880" s="837">
        <v>6.8999999999999999E-3</v>
      </c>
      <c r="K5880" s="1192" t="s">
        <v>3901</v>
      </c>
      <c r="L5880" s="1192" t="s">
        <v>432</v>
      </c>
      <c r="P5880" s="1192" t="s">
        <v>3906</v>
      </c>
      <c r="V5880" s="1192">
        <v>47</v>
      </c>
    </row>
    <row r="5881" spans="1:22" s="1192" customFormat="1" ht="14.4" x14ac:dyDescent="0.3">
      <c r="A5881" s="1192" t="s">
        <v>3744</v>
      </c>
      <c r="B5881" s="1192" t="s">
        <v>4512</v>
      </c>
      <c r="E5881" s="1741" t="s">
        <v>209</v>
      </c>
      <c r="F5881" s="1741"/>
      <c r="G5881" s="1277" t="s">
        <v>20</v>
      </c>
      <c r="H5881" s="837">
        <v>6.1000000000000004E-3</v>
      </c>
      <c r="K5881" s="1192" t="s">
        <v>3901</v>
      </c>
      <c r="L5881" s="1192" t="s">
        <v>432</v>
      </c>
      <c r="P5881" s="1192" t="s">
        <v>3907</v>
      </c>
      <c r="V5881" s="1192">
        <v>74</v>
      </c>
    </row>
    <row r="5882" spans="1:22" s="1192" customFormat="1" ht="14.4" x14ac:dyDescent="0.3">
      <c r="A5882" s="1192" t="s">
        <v>3744</v>
      </c>
      <c r="B5882" s="1192" t="s">
        <v>4512</v>
      </c>
      <c r="E5882" s="1750" t="s">
        <v>4129</v>
      </c>
      <c r="F5882" s="1741"/>
      <c r="G5882" s="1277"/>
      <c r="H5882" s="1331"/>
      <c r="K5882" s="1192" t="s">
        <v>2418</v>
      </c>
      <c r="V5882" s="1192">
        <v>48</v>
      </c>
    </row>
    <row r="5883" spans="1:22" s="1192" customFormat="1" ht="14.4" x14ac:dyDescent="0.3">
      <c r="A5883" s="1192" t="s">
        <v>3744</v>
      </c>
      <c r="B5883" s="1192" t="s">
        <v>4512</v>
      </c>
      <c r="E5883" s="2026" t="s">
        <v>2033</v>
      </c>
      <c r="F5883" s="1741"/>
      <c r="G5883" s="953" t="s">
        <v>20</v>
      </c>
      <c r="H5883" s="1219">
        <v>3.0000000000000001E-3</v>
      </c>
      <c r="K5883" s="1192" t="s">
        <v>3901</v>
      </c>
      <c r="L5883" s="1192" t="s">
        <v>2374</v>
      </c>
      <c r="P5883" s="1192" t="s">
        <v>3908</v>
      </c>
      <c r="V5883" s="1192">
        <v>55</v>
      </c>
    </row>
    <row r="5884" spans="1:22" s="1192" customFormat="1" ht="14.4" x14ac:dyDescent="0.3">
      <c r="A5884" s="1192" t="s">
        <v>3744</v>
      </c>
      <c r="B5884" s="1192" t="s">
        <v>4512</v>
      </c>
      <c r="E5884" s="2026" t="s">
        <v>2034</v>
      </c>
      <c r="F5884" s="1741"/>
      <c r="G5884" s="953" t="s">
        <v>20</v>
      </c>
      <c r="H5884" s="1333">
        <v>4.0000000000000002E-4</v>
      </c>
      <c r="K5884" s="1192" t="s">
        <v>3901</v>
      </c>
      <c r="L5884" s="1192" t="s">
        <v>2374</v>
      </c>
      <c r="P5884" s="1192" t="s">
        <v>3908</v>
      </c>
      <c r="V5884" s="1192">
        <v>65</v>
      </c>
    </row>
    <row r="5885" spans="1:22" s="1192" customFormat="1" ht="14.4" x14ac:dyDescent="0.3">
      <c r="A5885" s="1192" t="s">
        <v>3744</v>
      </c>
      <c r="B5885" s="1192" t="s">
        <v>4512</v>
      </c>
      <c r="E5885" s="1741" t="s">
        <v>428</v>
      </c>
      <c r="F5885" s="1741"/>
      <c r="G5885" s="1277" t="s">
        <v>20</v>
      </c>
      <c r="H5885" s="1329">
        <v>5.0000000000000001E-4</v>
      </c>
      <c r="K5885" s="1192" t="s">
        <v>3901</v>
      </c>
      <c r="L5885" s="1192" t="s">
        <v>2374</v>
      </c>
      <c r="P5885" s="1192" t="s">
        <v>3909</v>
      </c>
      <c r="V5885" s="1192">
        <v>57</v>
      </c>
    </row>
    <row r="5886" spans="1:22" s="1192" customFormat="1" ht="14.4" x14ac:dyDescent="0.3">
      <c r="A5886" s="1192" t="s">
        <v>3744</v>
      </c>
      <c r="B5886" s="1192" t="s">
        <v>4512</v>
      </c>
      <c r="E5886" s="1741" t="s">
        <v>28</v>
      </c>
      <c r="F5886" s="1741"/>
      <c r="G5886" s="1277" t="s">
        <v>19</v>
      </c>
      <c r="H5886" s="837">
        <v>0.25</v>
      </c>
      <c r="K5886" s="1192" t="s">
        <v>3901</v>
      </c>
      <c r="L5886" s="1192" t="s">
        <v>2374</v>
      </c>
      <c r="P5886" s="1192" t="s">
        <v>3910</v>
      </c>
      <c r="V5886" s="1192">
        <v>63</v>
      </c>
    </row>
    <row r="5887" spans="1:22" s="1192" customFormat="1" ht="17.399999999999999" x14ac:dyDescent="0.3">
      <c r="A5887" s="1192" t="s">
        <v>3744</v>
      </c>
      <c r="B5887" s="1192" t="s">
        <v>4512</v>
      </c>
      <c r="E5887" s="2045" t="s">
        <v>591</v>
      </c>
      <c r="F5887" s="1747"/>
      <c r="G5887" s="1747"/>
      <c r="H5887" s="1747"/>
      <c r="K5887" s="1192" t="s">
        <v>4388</v>
      </c>
      <c r="V5887" s="1192">
        <v>53</v>
      </c>
    </row>
    <row r="5888" spans="1:22" s="1192" customFormat="1" ht="14.4" x14ac:dyDescent="0.3">
      <c r="A5888" s="1192" t="s">
        <v>3744</v>
      </c>
      <c r="B5888" s="1192" t="s">
        <v>4512</v>
      </c>
      <c r="E5888" s="2067" t="s">
        <v>4131</v>
      </c>
      <c r="F5888" s="2067"/>
      <c r="G5888" s="2067"/>
      <c r="H5888" s="2067"/>
      <c r="K5888" s="1192" t="s">
        <v>4388</v>
      </c>
      <c r="V5888" s="1192">
        <v>388</v>
      </c>
    </row>
    <row r="5889" spans="1:22" s="1192" customFormat="1" ht="14.4" x14ac:dyDescent="0.3">
      <c r="A5889" s="1192" t="s">
        <v>3744</v>
      </c>
      <c r="B5889" s="1192" t="s">
        <v>4512</v>
      </c>
      <c r="E5889" s="2060" t="s">
        <v>2389</v>
      </c>
      <c r="F5889" s="2068"/>
      <c r="G5889" s="1743"/>
      <c r="H5889" s="1743"/>
      <c r="K5889" s="1192" t="s">
        <v>2422</v>
      </c>
      <c r="V5889" s="1192">
        <v>11</v>
      </c>
    </row>
    <row r="5890" spans="1:22" s="1192" customFormat="1" ht="14.4" x14ac:dyDescent="0.3">
      <c r="A5890" s="1192" t="s">
        <v>3744</v>
      </c>
      <c r="B5890" s="1192" t="s">
        <v>4512</v>
      </c>
      <c r="E5890" s="2067" t="s">
        <v>2391</v>
      </c>
      <c r="F5890" s="2067"/>
      <c r="G5890" s="2067"/>
      <c r="H5890" s="2067"/>
      <c r="K5890" s="1192" t="s">
        <v>4388</v>
      </c>
      <c r="V5890" s="1192">
        <v>280</v>
      </c>
    </row>
    <row r="5891" spans="1:22" s="1192" customFormat="1" ht="14.4" x14ac:dyDescent="0.3">
      <c r="A5891" s="1192" t="s">
        <v>3744</v>
      </c>
      <c r="B5891" s="1192" t="s">
        <v>4512</v>
      </c>
      <c r="E5891" s="2067" t="s">
        <v>2392</v>
      </c>
      <c r="F5891" s="2067"/>
      <c r="G5891" s="2067"/>
      <c r="H5891" s="2067"/>
      <c r="K5891" s="1192" t="s">
        <v>4388</v>
      </c>
      <c r="V5891" s="1192">
        <v>411</v>
      </c>
    </row>
    <row r="5892" spans="1:22" s="1192" customFormat="1" ht="14.4" x14ac:dyDescent="0.3">
      <c r="A5892" s="1192" t="s">
        <v>3744</v>
      </c>
      <c r="B5892" s="1192" t="s">
        <v>4512</v>
      </c>
      <c r="E5892" s="2067" t="s">
        <v>4126</v>
      </c>
      <c r="F5892" s="2067"/>
      <c r="G5892" s="2067"/>
      <c r="H5892" s="2067"/>
      <c r="K5892" s="1192" t="s">
        <v>4388</v>
      </c>
      <c r="V5892" s="1192">
        <v>387</v>
      </c>
    </row>
    <row r="5893" spans="1:22" s="1192" customFormat="1" ht="14.4" x14ac:dyDescent="0.3">
      <c r="A5893" s="1192" t="s">
        <v>3744</v>
      </c>
      <c r="B5893" s="1192" t="s">
        <v>4512</v>
      </c>
      <c r="E5893" s="2067" t="s">
        <v>4503</v>
      </c>
      <c r="F5893" s="2067"/>
      <c r="G5893" s="2067"/>
      <c r="H5893" s="2067"/>
      <c r="K5893" s="1192" t="s">
        <v>4388</v>
      </c>
      <c r="V5893" s="1192">
        <v>677</v>
      </c>
    </row>
    <row r="5894" spans="1:22" s="1192" customFormat="1" ht="14.4" x14ac:dyDescent="0.3">
      <c r="A5894" s="1192" t="s">
        <v>3744</v>
      </c>
      <c r="B5894" s="1192" t="s">
        <v>4512</v>
      </c>
      <c r="E5894" s="2067" t="s">
        <v>4504</v>
      </c>
      <c r="F5894" s="2067"/>
      <c r="G5894" s="2067"/>
      <c r="H5894" s="2067"/>
      <c r="K5894" s="1192" t="s">
        <v>4388</v>
      </c>
      <c r="V5894" s="1192">
        <v>725</v>
      </c>
    </row>
    <row r="5895" spans="1:22" s="1192" customFormat="1" ht="14.4" x14ac:dyDescent="0.3">
      <c r="A5895" s="1192" t="s">
        <v>3744</v>
      </c>
      <c r="B5895" s="1192" t="s">
        <v>4512</v>
      </c>
      <c r="E5895" s="2067" t="s">
        <v>2986</v>
      </c>
      <c r="F5895" s="2067"/>
      <c r="G5895" s="2067"/>
      <c r="H5895" s="2067"/>
      <c r="K5895" s="1192" t="s">
        <v>4388</v>
      </c>
      <c r="V5895" s="1192">
        <v>246</v>
      </c>
    </row>
    <row r="5896" spans="1:22" s="1192" customFormat="1" ht="14.4" x14ac:dyDescent="0.3">
      <c r="A5896" s="1192" t="s">
        <v>3744</v>
      </c>
      <c r="B5896" s="1192" t="s">
        <v>4512</v>
      </c>
      <c r="E5896" s="2018" t="s">
        <v>4127</v>
      </c>
      <c r="F5896" s="1988"/>
      <c r="G5896" s="1988"/>
      <c r="H5896" s="1988"/>
      <c r="K5896" s="1192" t="s">
        <v>2423</v>
      </c>
      <c r="V5896" s="1192">
        <v>46</v>
      </c>
    </row>
    <row r="5897" spans="1:22" s="1192" customFormat="1" ht="14.4" x14ac:dyDescent="0.3">
      <c r="A5897" s="1192" t="s">
        <v>3744</v>
      </c>
      <c r="B5897" s="1192" t="s">
        <v>4512</v>
      </c>
      <c r="E5897" s="1741" t="s">
        <v>7</v>
      </c>
      <c r="F5897" s="1741"/>
      <c r="G5897" s="1277" t="s">
        <v>19</v>
      </c>
      <c r="H5897" s="837">
        <v>396.02</v>
      </c>
      <c r="K5897" s="1192" t="s">
        <v>4388</v>
      </c>
      <c r="L5897" s="1192" t="s">
        <v>430</v>
      </c>
      <c r="P5897" s="1192" t="s">
        <v>4389</v>
      </c>
      <c r="V5897" s="1192">
        <v>14</v>
      </c>
    </row>
    <row r="5898" spans="1:22" s="1192" customFormat="1" ht="14.4" x14ac:dyDescent="0.3">
      <c r="A5898" s="1192" t="s">
        <v>3744</v>
      </c>
      <c r="B5898" s="1192" t="s">
        <v>4512</v>
      </c>
      <c r="E5898" s="1741" t="s">
        <v>6364</v>
      </c>
      <c r="F5898" s="1741"/>
      <c r="G5898" s="1277" t="s">
        <v>19</v>
      </c>
      <c r="H5898" s="509">
        <v>-0.02</v>
      </c>
      <c r="K5898" s="1192" t="s">
        <v>4388</v>
      </c>
      <c r="L5898" s="1192" t="s">
        <v>430</v>
      </c>
      <c r="P5898" s="1192" t="s">
        <v>6367</v>
      </c>
      <c r="T5898" s="1192">
        <v>44196</v>
      </c>
      <c r="V5898" s="1192">
        <v>93</v>
      </c>
    </row>
    <row r="5899" spans="1:22" s="1192" customFormat="1" ht="14.4" x14ac:dyDescent="0.3">
      <c r="A5899" s="1192" t="s">
        <v>3744</v>
      </c>
      <c r="B5899" s="1192" t="s">
        <v>4512</v>
      </c>
      <c r="E5899" s="1741" t="s">
        <v>80</v>
      </c>
      <c r="F5899" s="1741"/>
      <c r="G5899" s="1277" t="s">
        <v>29</v>
      </c>
      <c r="H5899" s="837">
        <v>2.6595</v>
      </c>
      <c r="K5899" s="1192" t="s">
        <v>4388</v>
      </c>
      <c r="L5899" s="1192" t="s">
        <v>430</v>
      </c>
      <c r="P5899" s="1192" t="s">
        <v>4390</v>
      </c>
      <c r="V5899" s="1192">
        <v>28</v>
      </c>
    </row>
    <row r="5900" spans="1:22" s="1192" customFormat="1" ht="14.4" x14ac:dyDescent="0.3">
      <c r="A5900" s="1192" t="s">
        <v>3744</v>
      </c>
      <c r="B5900" s="1192" t="s">
        <v>4512</v>
      </c>
      <c r="E5900" s="1741" t="s">
        <v>14</v>
      </c>
      <c r="F5900" s="1741"/>
      <c r="G5900" s="1277" t="s">
        <v>29</v>
      </c>
      <c r="H5900" s="1329">
        <v>2.1690000000000001E-2</v>
      </c>
      <c r="K5900" s="1192" t="s">
        <v>4388</v>
      </c>
      <c r="L5900" s="1192" t="s">
        <v>431</v>
      </c>
      <c r="P5900" s="1192" t="s">
        <v>4391</v>
      </c>
      <c r="V5900" s="1192">
        <v>24</v>
      </c>
    </row>
    <row r="5901" spans="1:22" s="1192" customFormat="1" ht="14.4" x14ac:dyDescent="0.3">
      <c r="A5901" s="1192" t="s">
        <v>3744</v>
      </c>
      <c r="B5901" s="1192" t="s">
        <v>4512</v>
      </c>
      <c r="E5901" s="1741" t="s">
        <v>5939</v>
      </c>
      <c r="F5901" s="1998"/>
      <c r="G5901" s="1277" t="s">
        <v>29</v>
      </c>
      <c r="H5901" s="1219">
        <v>-1.6500000000000001E-2</v>
      </c>
      <c r="K5901" s="1192" t="s">
        <v>4388</v>
      </c>
      <c r="L5901" s="1192" t="s">
        <v>430</v>
      </c>
      <c r="P5901" s="1192" t="s">
        <v>4400</v>
      </c>
      <c r="T5901" s="1192">
        <v>44196</v>
      </c>
      <c r="V5901" s="1192">
        <v>138</v>
      </c>
    </row>
    <row r="5902" spans="1:22" s="1192" customFormat="1" ht="14.4" x14ac:dyDescent="0.3">
      <c r="A5902" s="1192" t="s">
        <v>3744</v>
      </c>
      <c r="B5902" s="1192" t="s">
        <v>4512</v>
      </c>
      <c r="E5902" s="1741" t="s">
        <v>213</v>
      </c>
      <c r="F5902" s="1741"/>
      <c r="G5902" s="1277" t="s">
        <v>29</v>
      </c>
      <c r="H5902" s="837">
        <v>2.7751000000000001</v>
      </c>
      <c r="K5902" s="1192" t="s">
        <v>4388</v>
      </c>
      <c r="L5902" s="1192" t="s">
        <v>432</v>
      </c>
      <c r="P5902" s="1192" t="s">
        <v>4392</v>
      </c>
      <c r="V5902" s="1192">
        <v>47</v>
      </c>
    </row>
    <row r="5903" spans="1:22" s="1192" customFormat="1" ht="14.4" x14ac:dyDescent="0.3">
      <c r="A5903" s="1192" t="s">
        <v>3744</v>
      </c>
      <c r="B5903" s="1192" t="s">
        <v>4512</v>
      </c>
      <c r="E5903" s="1741" t="s">
        <v>209</v>
      </c>
      <c r="F5903" s="1741"/>
      <c r="G5903" s="1277" t="s">
        <v>29</v>
      </c>
      <c r="H5903" s="837">
        <v>2.4754999999999998</v>
      </c>
      <c r="K5903" s="1192" t="s">
        <v>4388</v>
      </c>
      <c r="L5903" s="1192" t="s">
        <v>432</v>
      </c>
      <c r="P5903" s="1192" t="s">
        <v>4393</v>
      </c>
      <c r="V5903" s="1192">
        <v>74</v>
      </c>
    </row>
    <row r="5904" spans="1:22" s="1192" customFormat="1" ht="14.4" x14ac:dyDescent="0.3">
      <c r="A5904" s="1192" t="s">
        <v>3744</v>
      </c>
      <c r="B5904" s="1192" t="s">
        <v>4512</v>
      </c>
      <c r="E5904" s="1750" t="s">
        <v>4129</v>
      </c>
      <c r="F5904" s="1741"/>
      <c r="G5904" s="1277"/>
      <c r="H5904" s="1331"/>
      <c r="K5904" s="1192" t="s">
        <v>2526</v>
      </c>
      <c r="V5904" s="1192">
        <v>48</v>
      </c>
    </row>
    <row r="5905" spans="1:22" s="1192" customFormat="1" ht="14.4" x14ac:dyDescent="0.3">
      <c r="A5905" s="1192" t="s">
        <v>3744</v>
      </c>
      <c r="B5905" s="1192" t="s">
        <v>4512</v>
      </c>
      <c r="E5905" s="2026" t="s">
        <v>2033</v>
      </c>
      <c r="F5905" s="1741"/>
      <c r="G5905" s="953" t="s">
        <v>20</v>
      </c>
      <c r="H5905" s="1219">
        <v>3.0000000000000001E-3</v>
      </c>
      <c r="K5905" s="1192" t="s">
        <v>4388</v>
      </c>
      <c r="L5905" s="1192" t="s">
        <v>2374</v>
      </c>
      <c r="P5905" s="1192" t="s">
        <v>4394</v>
      </c>
      <c r="V5905" s="1192">
        <v>55</v>
      </c>
    </row>
    <row r="5906" spans="1:22" s="1192" customFormat="1" ht="14.4" x14ac:dyDescent="0.3">
      <c r="A5906" s="1192" t="s">
        <v>3744</v>
      </c>
      <c r="B5906" s="1192" t="s">
        <v>4512</v>
      </c>
      <c r="E5906" s="2026" t="s">
        <v>2034</v>
      </c>
      <c r="F5906" s="1741"/>
      <c r="G5906" s="953" t="s">
        <v>20</v>
      </c>
      <c r="H5906" s="1333">
        <v>4.0000000000000002E-4</v>
      </c>
      <c r="K5906" s="1192" t="s">
        <v>4388</v>
      </c>
      <c r="L5906" s="1192" t="s">
        <v>2374</v>
      </c>
      <c r="P5906" s="1192" t="s">
        <v>4394</v>
      </c>
      <c r="V5906" s="1192">
        <v>65</v>
      </c>
    </row>
    <row r="5907" spans="1:22" s="1192" customFormat="1" ht="14.4" x14ac:dyDescent="0.3">
      <c r="A5907" s="1192" t="s">
        <v>3744</v>
      </c>
      <c r="B5907" s="1192" t="s">
        <v>4512</v>
      </c>
      <c r="E5907" s="1741" t="s">
        <v>428</v>
      </c>
      <c r="F5907" s="1741"/>
      <c r="G5907" s="1277" t="s">
        <v>20</v>
      </c>
      <c r="H5907" s="1329">
        <v>5.0000000000000001E-4</v>
      </c>
      <c r="K5907" s="1192" t="s">
        <v>4388</v>
      </c>
      <c r="L5907" s="1192" t="s">
        <v>2374</v>
      </c>
      <c r="P5907" s="1192" t="s">
        <v>4395</v>
      </c>
      <c r="V5907" s="1192">
        <v>57</v>
      </c>
    </row>
    <row r="5908" spans="1:22" s="1192" customFormat="1" ht="14.4" x14ac:dyDescent="0.3">
      <c r="A5908" s="1192" t="s">
        <v>3744</v>
      </c>
      <c r="B5908" s="1192" t="s">
        <v>4512</v>
      </c>
      <c r="E5908" s="1741" t="s">
        <v>28</v>
      </c>
      <c r="F5908" s="1741"/>
      <c r="G5908" s="1277" t="s">
        <v>19</v>
      </c>
      <c r="H5908" s="837">
        <v>0.25</v>
      </c>
      <c r="K5908" s="1192" t="s">
        <v>4388</v>
      </c>
      <c r="L5908" s="1192" t="s">
        <v>2374</v>
      </c>
      <c r="P5908" s="1192" t="s">
        <v>4396</v>
      </c>
      <c r="V5908" s="1192">
        <v>63</v>
      </c>
    </row>
    <row r="5909" spans="1:22" s="1192" customFormat="1" ht="17.399999999999999" x14ac:dyDescent="0.3">
      <c r="A5909" s="1192" t="s">
        <v>3744</v>
      </c>
      <c r="B5909" s="1192" t="s">
        <v>4512</v>
      </c>
      <c r="E5909" s="2045" t="s">
        <v>596</v>
      </c>
      <c r="F5909" s="1747"/>
      <c r="G5909" s="1747"/>
      <c r="H5909" s="1747"/>
      <c r="K5909" s="1192" t="s">
        <v>3407</v>
      </c>
      <c r="V5909" s="1192">
        <v>32</v>
      </c>
    </row>
    <row r="5910" spans="1:22" s="1192" customFormat="1" ht="14.4" x14ac:dyDescent="0.3">
      <c r="A5910" s="1192" t="s">
        <v>3744</v>
      </c>
      <c r="B5910" s="1192" t="s">
        <v>4512</v>
      </c>
      <c r="E5910" s="2067" t="s">
        <v>3560</v>
      </c>
      <c r="F5910" s="2067"/>
      <c r="G5910" s="2067"/>
      <c r="H5910" s="2067"/>
      <c r="K5910" s="1192" t="s">
        <v>3407</v>
      </c>
      <c r="V5910" s="1192">
        <v>352</v>
      </c>
    </row>
    <row r="5911" spans="1:22" s="1192" customFormat="1" ht="14.4" x14ac:dyDescent="0.3">
      <c r="A5911" s="1192" t="s">
        <v>3744</v>
      </c>
      <c r="B5911" s="1192" t="s">
        <v>4512</v>
      </c>
      <c r="E5911" s="2060" t="s">
        <v>2389</v>
      </c>
      <c r="F5911" s="2068"/>
      <c r="G5911" s="1743"/>
      <c r="H5911" s="1743"/>
      <c r="K5911" s="1192" t="s">
        <v>2529</v>
      </c>
      <c r="V5911" s="1192">
        <v>11</v>
      </c>
    </row>
    <row r="5912" spans="1:22" s="1192" customFormat="1" ht="14.4" x14ac:dyDescent="0.3">
      <c r="A5912" s="1192" t="s">
        <v>3744</v>
      </c>
      <c r="B5912" s="1192" t="s">
        <v>4512</v>
      </c>
      <c r="E5912" s="2067" t="s">
        <v>2391</v>
      </c>
      <c r="F5912" s="2067"/>
      <c r="G5912" s="2067"/>
      <c r="H5912" s="2067"/>
      <c r="K5912" s="1192" t="s">
        <v>3407</v>
      </c>
      <c r="V5912" s="1192">
        <v>280</v>
      </c>
    </row>
    <row r="5913" spans="1:22" s="1192" customFormat="1" ht="14.4" x14ac:dyDescent="0.3">
      <c r="A5913" s="1192" t="s">
        <v>3744</v>
      </c>
      <c r="B5913" s="1192" t="s">
        <v>4512</v>
      </c>
      <c r="E5913" s="2067" t="s">
        <v>2392</v>
      </c>
      <c r="F5913" s="2067"/>
      <c r="G5913" s="2067"/>
      <c r="H5913" s="2067"/>
      <c r="K5913" s="1192" t="s">
        <v>3407</v>
      </c>
      <c r="V5913" s="1192">
        <v>411</v>
      </c>
    </row>
    <row r="5914" spans="1:22" s="1192" customFormat="1" ht="14.4" x14ac:dyDescent="0.3">
      <c r="A5914" s="1192" t="s">
        <v>3744</v>
      </c>
      <c r="B5914" s="1192" t="s">
        <v>4512</v>
      </c>
      <c r="E5914" s="2067" t="s">
        <v>4126</v>
      </c>
      <c r="F5914" s="2067"/>
      <c r="G5914" s="2067"/>
      <c r="H5914" s="2067"/>
      <c r="K5914" s="1192" t="s">
        <v>3407</v>
      </c>
      <c r="V5914" s="1192">
        <v>387</v>
      </c>
    </row>
    <row r="5915" spans="1:22" s="1192" customFormat="1" ht="14.4" x14ac:dyDescent="0.3">
      <c r="A5915" s="1192" t="s">
        <v>3744</v>
      </c>
      <c r="B5915" s="1192" t="s">
        <v>4512</v>
      </c>
      <c r="E5915" s="2067" t="s">
        <v>4503</v>
      </c>
      <c r="F5915" s="2067"/>
      <c r="G5915" s="2067"/>
      <c r="H5915" s="2067"/>
      <c r="K5915" s="1192" t="s">
        <v>3407</v>
      </c>
      <c r="V5915" s="1192">
        <v>677</v>
      </c>
    </row>
    <row r="5916" spans="1:22" s="1192" customFormat="1" ht="14.4" x14ac:dyDescent="0.3">
      <c r="A5916" s="1192" t="s">
        <v>3744</v>
      </c>
      <c r="B5916" s="1192" t="s">
        <v>4512</v>
      </c>
      <c r="E5916" s="2067" t="s">
        <v>4504</v>
      </c>
      <c r="F5916" s="2067"/>
      <c r="G5916" s="2067"/>
      <c r="H5916" s="2067"/>
      <c r="K5916" s="1192" t="s">
        <v>3407</v>
      </c>
      <c r="V5916" s="1192">
        <v>725</v>
      </c>
    </row>
    <row r="5917" spans="1:22" s="1192" customFormat="1" ht="14.4" x14ac:dyDescent="0.3">
      <c r="A5917" s="1192" t="s">
        <v>3744</v>
      </c>
      <c r="B5917" s="1192" t="s">
        <v>4512</v>
      </c>
      <c r="E5917" s="2067" t="s">
        <v>2986</v>
      </c>
      <c r="F5917" s="2067"/>
      <c r="G5917" s="2067"/>
      <c r="H5917" s="2067"/>
      <c r="K5917" s="1192" t="s">
        <v>3407</v>
      </c>
      <c r="V5917" s="1192">
        <v>246</v>
      </c>
    </row>
    <row r="5918" spans="1:22" s="1192" customFormat="1" ht="14.4" x14ac:dyDescent="0.3">
      <c r="A5918" s="1192" t="s">
        <v>3744</v>
      </c>
      <c r="B5918" s="1192" t="s">
        <v>4512</v>
      </c>
      <c r="E5918" s="2018" t="s">
        <v>4127</v>
      </c>
      <c r="F5918" s="1988"/>
      <c r="G5918" s="1988"/>
      <c r="H5918" s="1988"/>
      <c r="K5918" s="1192" t="s">
        <v>2531</v>
      </c>
      <c r="V5918" s="1192">
        <v>46</v>
      </c>
    </row>
    <row r="5919" spans="1:22" s="1192" customFormat="1" ht="14.4" x14ac:dyDescent="0.3">
      <c r="A5919" s="1192" t="s">
        <v>3744</v>
      </c>
      <c r="B5919" s="1192" t="s">
        <v>4512</v>
      </c>
      <c r="E5919" s="1741" t="s">
        <v>7</v>
      </c>
      <c r="F5919" s="1741"/>
      <c r="G5919" s="1277" t="s">
        <v>19</v>
      </c>
      <c r="H5919" s="837">
        <v>24692.12</v>
      </c>
      <c r="K5919" s="1192" t="s">
        <v>3407</v>
      </c>
      <c r="L5919" s="1192" t="s">
        <v>430</v>
      </c>
      <c r="P5919" s="1192" t="s">
        <v>3409</v>
      </c>
      <c r="V5919" s="1192">
        <v>14</v>
      </c>
    </row>
    <row r="5920" spans="1:22" s="1192" customFormat="1" ht="14.4" x14ac:dyDescent="0.3">
      <c r="A5920" s="1192" t="s">
        <v>3744</v>
      </c>
      <c r="B5920" s="1192" t="s">
        <v>4512</v>
      </c>
      <c r="E5920" s="1741" t="s">
        <v>6364</v>
      </c>
      <c r="F5920" s="1741"/>
      <c r="G5920" s="1277" t="s">
        <v>19</v>
      </c>
      <c r="H5920" s="509">
        <v>-0.02</v>
      </c>
      <c r="K5920" s="1192" t="s">
        <v>3407</v>
      </c>
      <c r="L5920" s="1192" t="s">
        <v>430</v>
      </c>
      <c r="P5920" s="1192" t="s">
        <v>6368</v>
      </c>
      <c r="T5920" s="1192">
        <v>44196</v>
      </c>
      <c r="V5920" s="1192">
        <v>93</v>
      </c>
    </row>
    <row r="5921" spans="1:22" s="1192" customFormat="1" ht="14.4" x14ac:dyDescent="0.3">
      <c r="A5921" s="1192" t="s">
        <v>3744</v>
      </c>
      <c r="B5921" s="1192" t="s">
        <v>4512</v>
      </c>
      <c r="E5921" s="1741" t="s">
        <v>80</v>
      </c>
      <c r="F5921" s="1741"/>
      <c r="G5921" s="1277" t="s">
        <v>29</v>
      </c>
      <c r="H5921" s="837">
        <v>1.4569000000000001</v>
      </c>
      <c r="K5921" s="1192" t="s">
        <v>3407</v>
      </c>
      <c r="L5921" s="1192" t="s">
        <v>430</v>
      </c>
      <c r="P5921" s="1192" t="s">
        <v>3410</v>
      </c>
      <c r="V5921" s="1192">
        <v>28</v>
      </c>
    </row>
    <row r="5922" spans="1:22" s="1192" customFormat="1" ht="14.4" x14ac:dyDescent="0.3">
      <c r="A5922" s="1192" t="s">
        <v>3744</v>
      </c>
      <c r="B5922" s="1192" t="s">
        <v>4512</v>
      </c>
      <c r="E5922" s="1741" t="s">
        <v>14</v>
      </c>
      <c r="F5922" s="1741"/>
      <c r="G5922" s="1277" t="s">
        <v>29</v>
      </c>
      <c r="H5922" s="1329">
        <v>2.4920000000000001E-2</v>
      </c>
      <c r="K5922" s="1192" t="s">
        <v>3407</v>
      </c>
      <c r="L5922" s="1192" t="s">
        <v>431</v>
      </c>
      <c r="P5922" s="1192" t="s">
        <v>3411</v>
      </c>
      <c r="V5922" s="1192">
        <v>24</v>
      </c>
    </row>
    <row r="5923" spans="1:22" s="1192" customFormat="1" ht="14.4" x14ac:dyDescent="0.3">
      <c r="A5923" s="1192" t="s">
        <v>3744</v>
      </c>
      <c r="B5923" s="1192" t="s">
        <v>4512</v>
      </c>
      <c r="E5923" s="1741" t="s">
        <v>5939</v>
      </c>
      <c r="F5923" s="1998"/>
      <c r="G5923" s="1277" t="s">
        <v>29</v>
      </c>
      <c r="H5923" s="1329">
        <v>5.8200000000000002E-2</v>
      </c>
      <c r="K5923" s="1192" t="s">
        <v>3407</v>
      </c>
      <c r="L5923" s="1192" t="s">
        <v>430</v>
      </c>
      <c r="P5923" s="1192" t="s">
        <v>3412</v>
      </c>
      <c r="T5923" s="1192">
        <v>44196</v>
      </c>
      <c r="V5923" s="1192">
        <v>138</v>
      </c>
    </row>
    <row r="5924" spans="1:22" s="1192" customFormat="1" ht="14.4" x14ac:dyDescent="0.3">
      <c r="A5924" s="1192" t="s">
        <v>3744</v>
      </c>
      <c r="B5924" s="1192" t="s">
        <v>4512</v>
      </c>
      <c r="E5924" s="1741" t="s">
        <v>213</v>
      </c>
      <c r="F5924" s="1741"/>
      <c r="G5924" s="1277" t="s">
        <v>29</v>
      </c>
      <c r="H5924" s="837">
        <v>3.1701000000000001</v>
      </c>
      <c r="K5924" s="1192" t="s">
        <v>3407</v>
      </c>
      <c r="L5924" s="1192" t="s">
        <v>432</v>
      </c>
      <c r="P5924" s="1192" t="s">
        <v>3414</v>
      </c>
      <c r="V5924" s="1192">
        <v>47</v>
      </c>
    </row>
    <row r="5925" spans="1:22" s="1192" customFormat="1" ht="14.4" x14ac:dyDescent="0.3">
      <c r="A5925" s="1192" t="s">
        <v>3744</v>
      </c>
      <c r="B5925" s="1192" t="s">
        <v>4512</v>
      </c>
      <c r="E5925" s="1741" t="s">
        <v>209</v>
      </c>
      <c r="F5925" s="1741"/>
      <c r="G5925" s="1277" t="s">
        <v>29</v>
      </c>
      <c r="H5925" s="837">
        <v>2.8445999999999998</v>
      </c>
      <c r="K5925" s="1192" t="s">
        <v>3407</v>
      </c>
      <c r="L5925" s="1192" t="s">
        <v>432</v>
      </c>
      <c r="P5925" s="1192" t="s">
        <v>4132</v>
      </c>
      <c r="V5925" s="1192">
        <v>74</v>
      </c>
    </row>
    <row r="5926" spans="1:22" s="1192" customFormat="1" ht="14.4" x14ac:dyDescent="0.3">
      <c r="A5926" s="1192" t="s">
        <v>3744</v>
      </c>
      <c r="B5926" s="1192" t="s">
        <v>4512</v>
      </c>
      <c r="E5926" s="1750" t="s">
        <v>4129</v>
      </c>
      <c r="F5926" s="1741"/>
      <c r="G5926" s="1335"/>
      <c r="H5926" s="1331"/>
      <c r="K5926" s="1192" t="s">
        <v>2532</v>
      </c>
      <c r="V5926" s="1192">
        <v>48</v>
      </c>
    </row>
    <row r="5927" spans="1:22" s="1192" customFormat="1" ht="14.4" x14ac:dyDescent="0.3">
      <c r="A5927" s="1192" t="s">
        <v>3744</v>
      </c>
      <c r="B5927" s="1192" t="s">
        <v>4512</v>
      </c>
      <c r="E5927" s="2026" t="s">
        <v>2033</v>
      </c>
      <c r="F5927" s="1741"/>
      <c r="G5927" s="953" t="s">
        <v>20</v>
      </c>
      <c r="H5927" s="1219">
        <v>3.0000000000000001E-3</v>
      </c>
      <c r="K5927" s="1192" t="s">
        <v>3407</v>
      </c>
      <c r="L5927" s="1192" t="s">
        <v>2374</v>
      </c>
      <c r="P5927" s="1192" t="s">
        <v>3415</v>
      </c>
      <c r="V5927" s="1192">
        <v>55</v>
      </c>
    </row>
    <row r="5928" spans="1:22" s="1192" customFormat="1" ht="14.4" x14ac:dyDescent="0.3">
      <c r="A5928" s="1192" t="s">
        <v>3744</v>
      </c>
      <c r="B5928" s="1192" t="s">
        <v>4512</v>
      </c>
      <c r="E5928" s="2026" t="s">
        <v>2034</v>
      </c>
      <c r="F5928" s="1741"/>
      <c r="G5928" s="953" t="s">
        <v>20</v>
      </c>
      <c r="H5928" s="1333">
        <v>4.0000000000000002E-4</v>
      </c>
      <c r="K5928" s="1192" t="s">
        <v>3407</v>
      </c>
      <c r="L5928" s="1192" t="s">
        <v>2374</v>
      </c>
      <c r="P5928" s="1192" t="s">
        <v>3415</v>
      </c>
      <c r="V5928" s="1192">
        <v>65</v>
      </c>
    </row>
    <row r="5929" spans="1:22" s="1192" customFormat="1" ht="14.4" x14ac:dyDescent="0.3">
      <c r="A5929" s="1192" t="s">
        <v>3744</v>
      </c>
      <c r="B5929" s="1192" t="s">
        <v>4512</v>
      </c>
      <c r="E5929" s="1741" t="s">
        <v>428</v>
      </c>
      <c r="F5929" s="1741"/>
      <c r="G5929" s="1277" t="s">
        <v>20</v>
      </c>
      <c r="H5929" s="1329">
        <v>5.0000000000000001E-4</v>
      </c>
      <c r="K5929" s="1192" t="s">
        <v>3407</v>
      </c>
      <c r="L5929" s="1192" t="s">
        <v>2374</v>
      </c>
      <c r="P5929" s="1192" t="s">
        <v>3416</v>
      </c>
      <c r="V5929" s="1192">
        <v>57</v>
      </c>
    </row>
    <row r="5930" spans="1:22" s="1192" customFormat="1" ht="14.4" x14ac:dyDescent="0.3">
      <c r="A5930" s="1192" t="s">
        <v>3744</v>
      </c>
      <c r="B5930" s="1192" t="s">
        <v>4512</v>
      </c>
      <c r="E5930" s="1741" t="s">
        <v>28</v>
      </c>
      <c r="F5930" s="1741"/>
      <c r="G5930" s="1277" t="s">
        <v>19</v>
      </c>
      <c r="H5930" s="837">
        <v>0.25</v>
      </c>
      <c r="K5930" s="1192" t="s">
        <v>3407</v>
      </c>
      <c r="L5930" s="1192" t="s">
        <v>2374</v>
      </c>
      <c r="P5930" s="1192" t="s">
        <v>3417</v>
      </c>
      <c r="V5930" s="1192">
        <v>63</v>
      </c>
    </row>
    <row r="5931" spans="1:22" s="1192" customFormat="1" ht="17.399999999999999" x14ac:dyDescent="0.3">
      <c r="A5931" s="1192" t="s">
        <v>3744</v>
      </c>
      <c r="B5931" s="1192" t="s">
        <v>4512</v>
      </c>
      <c r="E5931" s="2045" t="s">
        <v>1494</v>
      </c>
      <c r="F5931" s="1747"/>
      <c r="G5931" s="1747"/>
      <c r="H5931" s="1747"/>
      <c r="K5931" s="1192" t="s">
        <v>4133</v>
      </c>
      <c r="V5931" s="1192">
        <v>54</v>
      </c>
    </row>
    <row r="5932" spans="1:22" s="1192" customFormat="1" ht="14.4" x14ac:dyDescent="0.3">
      <c r="A5932" s="1192" t="s">
        <v>3744</v>
      </c>
      <c r="B5932" s="1192" t="s">
        <v>4512</v>
      </c>
      <c r="E5932" s="1743" t="s">
        <v>4134</v>
      </c>
      <c r="F5932" s="1743"/>
      <c r="G5932" s="1743"/>
      <c r="H5932" s="1743"/>
      <c r="K5932" s="1192" t="s">
        <v>4133</v>
      </c>
      <c r="V5932" s="1192">
        <v>380</v>
      </c>
    </row>
    <row r="5933" spans="1:22" s="1192" customFormat="1" ht="14.4" x14ac:dyDescent="0.3">
      <c r="A5933" s="1192" t="s">
        <v>3744</v>
      </c>
      <c r="B5933" s="1192" t="s">
        <v>4512</v>
      </c>
      <c r="E5933" s="1750" t="s">
        <v>2389</v>
      </c>
      <c r="F5933" s="1743"/>
      <c r="G5933" s="1743"/>
      <c r="H5933" s="1743"/>
      <c r="K5933" s="1192" t="s">
        <v>2424</v>
      </c>
      <c r="V5933" s="1192">
        <v>11</v>
      </c>
    </row>
    <row r="5934" spans="1:22" s="1192" customFormat="1" ht="14.4" x14ac:dyDescent="0.3">
      <c r="A5934" s="1192" t="s">
        <v>3744</v>
      </c>
      <c r="B5934" s="1192" t="s">
        <v>4512</v>
      </c>
      <c r="E5934" s="1743" t="s">
        <v>2391</v>
      </c>
      <c r="F5934" s="1743"/>
      <c r="G5934" s="1743"/>
      <c r="H5934" s="1743"/>
      <c r="K5934" s="1192" t="s">
        <v>4133</v>
      </c>
      <c r="V5934" s="1192">
        <v>280</v>
      </c>
    </row>
    <row r="5935" spans="1:22" s="1192" customFormat="1" ht="14.4" x14ac:dyDescent="0.3">
      <c r="A5935" s="1192" t="s">
        <v>3744</v>
      </c>
      <c r="B5935" s="1192" t="s">
        <v>4512</v>
      </c>
      <c r="E5935" s="1743" t="s">
        <v>2392</v>
      </c>
      <c r="F5935" s="1743"/>
      <c r="G5935" s="1743"/>
      <c r="H5935" s="1743"/>
      <c r="K5935" s="1192" t="s">
        <v>4133</v>
      </c>
      <c r="V5935" s="1192">
        <v>411</v>
      </c>
    </row>
    <row r="5936" spans="1:22" s="1192" customFormat="1" ht="14.4" x14ac:dyDescent="0.3">
      <c r="A5936" s="1192" t="s">
        <v>3744</v>
      </c>
      <c r="B5936" s="1192" t="s">
        <v>4512</v>
      </c>
      <c r="E5936" s="1743" t="s">
        <v>4126</v>
      </c>
      <c r="F5936" s="1743"/>
      <c r="G5936" s="1743"/>
      <c r="H5936" s="1743"/>
      <c r="K5936" s="1192" t="s">
        <v>4133</v>
      </c>
      <c r="V5936" s="1192">
        <v>387</v>
      </c>
    </row>
    <row r="5937" spans="1:22" s="1192" customFormat="1" ht="14.4" x14ac:dyDescent="0.3">
      <c r="A5937" s="1192" t="s">
        <v>3744</v>
      </c>
      <c r="B5937" s="1192" t="s">
        <v>4512</v>
      </c>
      <c r="E5937" s="2067" t="s">
        <v>4503</v>
      </c>
      <c r="F5937" s="2067"/>
      <c r="G5937" s="2067"/>
      <c r="H5937" s="2067"/>
      <c r="K5937" s="1192" t="s">
        <v>4133</v>
      </c>
      <c r="V5937" s="1192">
        <v>677</v>
      </c>
    </row>
    <row r="5938" spans="1:22" s="1192" customFormat="1" ht="14.4" x14ac:dyDescent="0.3">
      <c r="A5938" s="1192" t="s">
        <v>3744</v>
      </c>
      <c r="B5938" s="1192" t="s">
        <v>4512</v>
      </c>
      <c r="E5938" s="2067" t="s">
        <v>4504</v>
      </c>
      <c r="F5938" s="2067"/>
      <c r="G5938" s="2067"/>
      <c r="H5938" s="2067"/>
      <c r="K5938" s="1192" t="s">
        <v>4133</v>
      </c>
      <c r="V5938" s="1192">
        <v>725</v>
      </c>
    </row>
    <row r="5939" spans="1:22" s="1192" customFormat="1" ht="14.4" x14ac:dyDescent="0.3">
      <c r="A5939" s="1192" t="s">
        <v>3744</v>
      </c>
      <c r="B5939" s="1192" t="s">
        <v>4512</v>
      </c>
      <c r="E5939" s="1743" t="s">
        <v>2986</v>
      </c>
      <c r="F5939" s="1743"/>
      <c r="G5939" s="1743"/>
      <c r="H5939" s="1743"/>
      <c r="K5939" s="1192" t="s">
        <v>4133</v>
      </c>
      <c r="V5939" s="1192">
        <v>246</v>
      </c>
    </row>
    <row r="5940" spans="1:22" s="1192" customFormat="1" ht="14.4" x14ac:dyDescent="0.3">
      <c r="A5940" s="1192" t="s">
        <v>3744</v>
      </c>
      <c r="B5940" s="1192" t="s">
        <v>4512</v>
      </c>
      <c r="E5940" s="2018" t="s">
        <v>4127</v>
      </c>
      <c r="F5940" s="1988"/>
      <c r="G5940" s="1988"/>
      <c r="H5940" s="1988"/>
      <c r="K5940" s="1192" t="s">
        <v>2425</v>
      </c>
      <c r="V5940" s="1192">
        <v>46</v>
      </c>
    </row>
    <row r="5941" spans="1:22" s="1192" customFormat="1" ht="14.4" x14ac:dyDescent="0.3">
      <c r="A5941" s="1192" t="s">
        <v>3744</v>
      </c>
      <c r="B5941" s="1192" t="s">
        <v>4512</v>
      </c>
      <c r="E5941" s="1741" t="s">
        <v>7</v>
      </c>
      <c r="F5941" s="1741"/>
      <c r="G5941" s="1277" t="s">
        <v>19</v>
      </c>
      <c r="H5941" s="837">
        <v>5853.7</v>
      </c>
      <c r="K5941" s="1192" t="s">
        <v>4133</v>
      </c>
      <c r="L5941" s="1192" t="s">
        <v>430</v>
      </c>
      <c r="P5941" s="1192" t="s">
        <v>4135</v>
      </c>
      <c r="V5941" s="1192">
        <v>14</v>
      </c>
    </row>
    <row r="5942" spans="1:22" s="1192" customFormat="1" ht="14.4" x14ac:dyDescent="0.3">
      <c r="A5942" s="1192" t="s">
        <v>3744</v>
      </c>
      <c r="B5942" s="1192" t="s">
        <v>4512</v>
      </c>
      <c r="E5942" s="1741" t="s">
        <v>6364</v>
      </c>
      <c r="F5942" s="1741"/>
      <c r="G5942" s="1277" t="s">
        <v>19</v>
      </c>
      <c r="H5942" s="509">
        <v>-0.02</v>
      </c>
      <c r="K5942" s="1192" t="s">
        <v>4133</v>
      </c>
      <c r="L5942" s="1192" t="s">
        <v>430</v>
      </c>
      <c r="P5942" s="1192" t="s">
        <v>6369</v>
      </c>
      <c r="T5942" s="1192">
        <v>44196</v>
      </c>
      <c r="V5942" s="1192">
        <v>93</v>
      </c>
    </row>
    <row r="5943" spans="1:22" s="1192" customFormat="1" ht="14.4" x14ac:dyDescent="0.3">
      <c r="A5943" s="1192" t="s">
        <v>3744</v>
      </c>
      <c r="B5943" s="1192" t="s">
        <v>4512</v>
      </c>
      <c r="E5943" s="1741" t="s">
        <v>80</v>
      </c>
      <c r="F5943" s="1741"/>
      <c r="G5943" s="1277" t="s">
        <v>29</v>
      </c>
      <c r="H5943" s="837">
        <v>0.34539999999999998</v>
      </c>
      <c r="K5943" s="1192" t="s">
        <v>4133</v>
      </c>
      <c r="L5943" s="1192" t="s">
        <v>430</v>
      </c>
      <c r="P5943" s="1192" t="s">
        <v>4136</v>
      </c>
      <c r="V5943" s="1192">
        <v>28</v>
      </c>
    </row>
    <row r="5944" spans="1:22" s="1192" customFormat="1" ht="14.4" x14ac:dyDescent="0.3">
      <c r="A5944" s="1192" t="s">
        <v>3744</v>
      </c>
      <c r="B5944" s="1192" t="s">
        <v>4512</v>
      </c>
      <c r="E5944" s="1741" t="s">
        <v>14</v>
      </c>
      <c r="F5944" s="1741"/>
      <c r="G5944" s="1277" t="s">
        <v>29</v>
      </c>
      <c r="H5944" s="1329">
        <v>2.4920000000000001E-2</v>
      </c>
      <c r="K5944" s="1192" t="s">
        <v>4133</v>
      </c>
      <c r="L5944" s="1192" t="s">
        <v>431</v>
      </c>
      <c r="P5944" s="1192" t="s">
        <v>4137</v>
      </c>
      <c r="V5944" s="1192">
        <v>24</v>
      </c>
    </row>
    <row r="5945" spans="1:22" s="1192" customFormat="1" ht="14.4" x14ac:dyDescent="0.3">
      <c r="A5945" s="1192" t="s">
        <v>3744</v>
      </c>
      <c r="B5945" s="1192" t="s">
        <v>4512</v>
      </c>
      <c r="E5945" s="1741" t="s">
        <v>5939</v>
      </c>
      <c r="F5945" s="1998"/>
      <c r="G5945" s="1277" t="s">
        <v>29</v>
      </c>
      <c r="H5945" s="1329">
        <v>9.2999999999999992E-3</v>
      </c>
      <c r="K5945" s="1192" t="s">
        <v>4133</v>
      </c>
      <c r="L5945" s="1192" t="s">
        <v>430</v>
      </c>
      <c r="P5945" s="1192" t="s">
        <v>4138</v>
      </c>
      <c r="T5945" s="1192">
        <v>44196</v>
      </c>
      <c r="V5945" s="1192">
        <v>138</v>
      </c>
    </row>
    <row r="5946" spans="1:22" s="1192" customFormat="1" ht="14.4" x14ac:dyDescent="0.3">
      <c r="A5946" s="1192" t="s">
        <v>3744</v>
      </c>
      <c r="B5946" s="1192" t="s">
        <v>4512</v>
      </c>
      <c r="E5946" s="1741" t="s">
        <v>213</v>
      </c>
      <c r="F5946" s="1741"/>
      <c r="G5946" s="1277" t="s">
        <v>29</v>
      </c>
      <c r="H5946" s="837">
        <v>3.1701000000000001</v>
      </c>
      <c r="K5946" s="1192" t="s">
        <v>4133</v>
      </c>
      <c r="L5946" s="1192" t="s">
        <v>432</v>
      </c>
      <c r="P5946" s="1192" t="s">
        <v>4139</v>
      </c>
      <c r="V5946" s="1192">
        <v>47</v>
      </c>
    </row>
    <row r="5947" spans="1:22" s="1192" customFormat="1" ht="14.4" x14ac:dyDescent="0.3">
      <c r="A5947" s="1192" t="s">
        <v>3744</v>
      </c>
      <c r="B5947" s="1192" t="s">
        <v>4512</v>
      </c>
      <c r="E5947" s="1741" t="s">
        <v>209</v>
      </c>
      <c r="F5947" s="1741"/>
      <c r="G5947" s="1277" t="s">
        <v>29</v>
      </c>
      <c r="H5947" s="837">
        <v>2.8445999999999998</v>
      </c>
      <c r="K5947" s="1192" t="s">
        <v>4133</v>
      </c>
      <c r="L5947" s="1192" t="s">
        <v>432</v>
      </c>
      <c r="P5947" s="1192" t="s">
        <v>4140</v>
      </c>
      <c r="V5947" s="1192">
        <v>74</v>
      </c>
    </row>
    <row r="5948" spans="1:22" s="1192" customFormat="1" ht="14.4" x14ac:dyDescent="0.3">
      <c r="A5948" s="1192" t="s">
        <v>3744</v>
      </c>
      <c r="B5948" s="1192" t="s">
        <v>4512</v>
      </c>
      <c r="E5948" s="1750" t="s">
        <v>4129</v>
      </c>
      <c r="F5948" s="1741"/>
      <c r="G5948" s="1335"/>
      <c r="H5948" s="1331"/>
      <c r="K5948" s="1192" t="s">
        <v>2427</v>
      </c>
      <c r="V5948" s="1192">
        <v>48</v>
      </c>
    </row>
    <row r="5949" spans="1:22" s="1192" customFormat="1" ht="14.4" x14ac:dyDescent="0.3">
      <c r="A5949" s="1192" t="s">
        <v>3744</v>
      </c>
      <c r="B5949" s="1192" t="s">
        <v>4512</v>
      </c>
      <c r="E5949" s="2026" t="s">
        <v>2033</v>
      </c>
      <c r="F5949" s="1741"/>
      <c r="G5949" s="953" t="s">
        <v>20</v>
      </c>
      <c r="H5949" s="1219">
        <v>3.0000000000000001E-3</v>
      </c>
      <c r="K5949" s="1192" t="s">
        <v>4133</v>
      </c>
      <c r="L5949" s="1192" t="s">
        <v>2374</v>
      </c>
      <c r="P5949" s="1192" t="s">
        <v>4141</v>
      </c>
      <c r="V5949" s="1192">
        <v>55</v>
      </c>
    </row>
    <row r="5950" spans="1:22" s="1192" customFormat="1" ht="14.4" x14ac:dyDescent="0.3">
      <c r="A5950" s="1192" t="s">
        <v>3744</v>
      </c>
      <c r="B5950" s="1192" t="s">
        <v>4512</v>
      </c>
      <c r="E5950" s="2026" t="s">
        <v>2034</v>
      </c>
      <c r="F5950" s="1741"/>
      <c r="G5950" s="953" t="s">
        <v>20</v>
      </c>
      <c r="H5950" s="1333">
        <v>4.0000000000000002E-4</v>
      </c>
      <c r="K5950" s="1192" t="s">
        <v>4133</v>
      </c>
      <c r="L5950" s="1192" t="s">
        <v>2374</v>
      </c>
      <c r="P5950" s="1192" t="s">
        <v>4141</v>
      </c>
      <c r="V5950" s="1192">
        <v>65</v>
      </c>
    </row>
    <row r="5951" spans="1:22" s="1192" customFormat="1" ht="14.4" x14ac:dyDescent="0.3">
      <c r="A5951" s="1192" t="s">
        <v>3744</v>
      </c>
      <c r="B5951" s="1192" t="s">
        <v>4512</v>
      </c>
      <c r="E5951" s="1741" t="s">
        <v>428</v>
      </c>
      <c r="F5951" s="1741"/>
      <c r="G5951" s="1277" t="s">
        <v>20</v>
      </c>
      <c r="H5951" s="1329">
        <v>5.0000000000000001E-4</v>
      </c>
      <c r="K5951" s="1192" t="s">
        <v>4133</v>
      </c>
      <c r="L5951" s="1192" t="s">
        <v>2374</v>
      </c>
      <c r="P5951" s="1192" t="s">
        <v>4142</v>
      </c>
      <c r="V5951" s="1192">
        <v>57</v>
      </c>
    </row>
    <row r="5952" spans="1:22" s="1192" customFormat="1" ht="14.4" x14ac:dyDescent="0.3">
      <c r="A5952" s="1192" t="s">
        <v>3744</v>
      </c>
      <c r="B5952" s="1192" t="s">
        <v>4512</v>
      </c>
      <c r="E5952" s="1741" t="s">
        <v>28</v>
      </c>
      <c r="F5952" s="1741"/>
      <c r="G5952" s="1277" t="s">
        <v>19</v>
      </c>
      <c r="H5952" s="837">
        <v>0.25</v>
      </c>
      <c r="K5952" s="1192" t="s">
        <v>4133</v>
      </c>
      <c r="L5952" s="1192" t="s">
        <v>2374</v>
      </c>
      <c r="P5952" s="1192" t="s">
        <v>4143</v>
      </c>
      <c r="V5952" s="1192">
        <v>63</v>
      </c>
    </row>
    <row r="5953" spans="1:22" s="1192" customFormat="1" ht="17.399999999999999" x14ac:dyDescent="0.3">
      <c r="A5953" s="1192" t="s">
        <v>3744</v>
      </c>
      <c r="B5953" s="1192" t="s">
        <v>4512</v>
      </c>
      <c r="E5953" s="2045" t="s">
        <v>1492</v>
      </c>
      <c r="F5953" s="1747"/>
      <c r="G5953" s="1747"/>
      <c r="H5953" s="1747"/>
      <c r="K5953" s="1192" t="s">
        <v>4144</v>
      </c>
      <c r="V5953" s="1192">
        <v>37</v>
      </c>
    </row>
    <row r="5954" spans="1:22" s="1192" customFormat="1" ht="14.4" x14ac:dyDescent="0.3">
      <c r="A5954" s="1192" t="s">
        <v>3744</v>
      </c>
      <c r="B5954" s="1192" t="s">
        <v>4512</v>
      </c>
      <c r="E5954" s="2067" t="s">
        <v>3070</v>
      </c>
      <c r="F5954" s="2067"/>
      <c r="G5954" s="2067"/>
      <c r="H5954" s="2067"/>
      <c r="K5954" s="1192" t="s">
        <v>4144</v>
      </c>
      <c r="V5954" s="1192">
        <v>220</v>
      </c>
    </row>
    <row r="5955" spans="1:22" s="1192" customFormat="1" ht="14.4" x14ac:dyDescent="0.3">
      <c r="A5955" s="1192" t="s">
        <v>3744</v>
      </c>
      <c r="B5955" s="1192" t="s">
        <v>4512</v>
      </c>
      <c r="E5955" s="2060" t="s">
        <v>2389</v>
      </c>
      <c r="F5955" s="2068"/>
      <c r="G5955" s="1743"/>
      <c r="H5955" s="1743"/>
      <c r="K5955" s="1192" t="s">
        <v>2430</v>
      </c>
      <c r="V5955" s="1192">
        <v>11</v>
      </c>
    </row>
    <row r="5956" spans="1:22" s="1192" customFormat="1" ht="14.4" x14ac:dyDescent="0.3">
      <c r="A5956" s="1192" t="s">
        <v>3744</v>
      </c>
      <c r="B5956" s="1192" t="s">
        <v>4512</v>
      </c>
      <c r="E5956" s="2067" t="s">
        <v>2391</v>
      </c>
      <c r="F5956" s="2067"/>
      <c r="G5956" s="2067"/>
      <c r="H5956" s="2067"/>
      <c r="K5956" s="1192" t="s">
        <v>4144</v>
      </c>
      <c r="V5956" s="1192">
        <v>280</v>
      </c>
    </row>
    <row r="5957" spans="1:22" s="1192" customFormat="1" ht="14.4" x14ac:dyDescent="0.3">
      <c r="A5957" s="1192" t="s">
        <v>3744</v>
      </c>
      <c r="B5957" s="1192" t="s">
        <v>4512</v>
      </c>
      <c r="E5957" s="2067" t="s">
        <v>2392</v>
      </c>
      <c r="F5957" s="2067"/>
      <c r="G5957" s="2067"/>
      <c r="H5957" s="2067"/>
      <c r="K5957" s="1192" t="s">
        <v>4144</v>
      </c>
      <c r="V5957" s="1192">
        <v>411</v>
      </c>
    </row>
    <row r="5958" spans="1:22" s="1192" customFormat="1" ht="14.4" x14ac:dyDescent="0.3">
      <c r="A5958" s="1192" t="s">
        <v>3744</v>
      </c>
      <c r="B5958" s="1192" t="s">
        <v>4512</v>
      </c>
      <c r="E5958" s="2067" t="s">
        <v>2445</v>
      </c>
      <c r="F5958" s="2067"/>
      <c r="G5958" s="2067"/>
      <c r="H5958" s="2067"/>
      <c r="K5958" s="1192" t="s">
        <v>4144</v>
      </c>
      <c r="V5958" s="1192">
        <v>211</v>
      </c>
    </row>
    <row r="5959" spans="1:22" s="1192" customFormat="1" ht="14.4" x14ac:dyDescent="0.3">
      <c r="A5959" s="1192" t="s">
        <v>3744</v>
      </c>
      <c r="B5959" s="1192" t="s">
        <v>4512</v>
      </c>
      <c r="E5959" s="2067" t="s">
        <v>2986</v>
      </c>
      <c r="F5959" s="2067"/>
      <c r="G5959" s="2067"/>
      <c r="H5959" s="2067"/>
      <c r="K5959" s="1192" t="s">
        <v>4144</v>
      </c>
      <c r="V5959" s="1192">
        <v>246</v>
      </c>
    </row>
    <row r="5960" spans="1:22" s="1192" customFormat="1" ht="14.4" x14ac:dyDescent="0.3">
      <c r="A5960" s="1192" t="s">
        <v>3744</v>
      </c>
      <c r="B5960" s="1192" t="s">
        <v>4512</v>
      </c>
      <c r="E5960" s="2018" t="s">
        <v>4145</v>
      </c>
      <c r="F5960" s="1988"/>
      <c r="G5960" s="1988"/>
      <c r="H5960" s="1988"/>
      <c r="K5960" s="1192" t="s">
        <v>2431</v>
      </c>
      <c r="V5960" s="1192">
        <v>77</v>
      </c>
    </row>
    <row r="5961" spans="1:22" s="1192" customFormat="1" ht="14.4" x14ac:dyDescent="0.3">
      <c r="A5961" s="1192" t="s">
        <v>3744</v>
      </c>
      <c r="B5961" s="1192" t="s">
        <v>4512</v>
      </c>
      <c r="E5961" s="1741" t="s">
        <v>4146</v>
      </c>
      <c r="F5961" s="1741"/>
      <c r="G5961" s="1277" t="s">
        <v>29</v>
      </c>
      <c r="H5961" s="837">
        <v>2.6595</v>
      </c>
      <c r="K5961" s="1192" t="s">
        <v>4144</v>
      </c>
      <c r="L5961" s="1192" t="s">
        <v>430</v>
      </c>
      <c r="P5961" s="1192" t="s">
        <v>4426</v>
      </c>
      <c r="V5961" s="1192">
        <v>225</v>
      </c>
    </row>
    <row r="5962" spans="1:22" s="1192" customFormat="1" ht="14.4" x14ac:dyDescent="0.3">
      <c r="A5962" s="1192" t="s">
        <v>3744</v>
      </c>
      <c r="B5962" s="1192" t="s">
        <v>4512</v>
      </c>
      <c r="E5962" s="1741" t="s">
        <v>4147</v>
      </c>
      <c r="F5962" s="1741"/>
      <c r="G5962" s="1277" t="s">
        <v>29</v>
      </c>
      <c r="H5962" s="837">
        <v>1.4569000000000001</v>
      </c>
      <c r="K5962" s="1192" t="s">
        <v>4144</v>
      </c>
      <c r="L5962" s="1192" t="s">
        <v>430</v>
      </c>
      <c r="P5962" s="1192" t="s">
        <v>4426</v>
      </c>
      <c r="V5962" s="1192">
        <v>229</v>
      </c>
    </row>
    <row r="5963" spans="1:22" s="1192" customFormat="1" ht="14.4" x14ac:dyDescent="0.3">
      <c r="A5963" s="1192" t="s">
        <v>3744</v>
      </c>
      <c r="B5963" s="1192" t="s">
        <v>4512</v>
      </c>
      <c r="E5963" s="1741" t="s">
        <v>4148</v>
      </c>
      <c r="F5963" s="1741"/>
      <c r="G5963" s="1277" t="s">
        <v>29</v>
      </c>
      <c r="H5963" s="837">
        <v>0.34539999999999998</v>
      </c>
      <c r="K5963" s="1192" t="s">
        <v>4144</v>
      </c>
      <c r="L5963" s="1192" t="s">
        <v>430</v>
      </c>
      <c r="P5963" s="1192" t="s">
        <v>4426</v>
      </c>
      <c r="V5963" s="1192">
        <v>251</v>
      </c>
    </row>
    <row r="5964" spans="1:22" s="1192" customFormat="1" ht="17.399999999999999" x14ac:dyDescent="0.3">
      <c r="A5964" s="1192" t="s">
        <v>3744</v>
      </c>
      <c r="B5964" s="1192" t="s">
        <v>4512</v>
      </c>
      <c r="E5964" s="2045" t="s">
        <v>592</v>
      </c>
      <c r="F5964" s="1747"/>
      <c r="G5964" s="1747"/>
      <c r="H5964" s="1747"/>
      <c r="K5964" s="1192" t="s">
        <v>2618</v>
      </c>
      <c r="V5964" s="1192">
        <v>47</v>
      </c>
    </row>
    <row r="5965" spans="1:22" s="1192" customFormat="1" ht="14.4" x14ac:dyDescent="0.3">
      <c r="A5965" s="1192" t="s">
        <v>3744</v>
      </c>
      <c r="B5965" s="1192" t="s">
        <v>4512</v>
      </c>
      <c r="E5965" s="1743" t="s">
        <v>4149</v>
      </c>
      <c r="F5965" s="1743"/>
      <c r="G5965" s="1743"/>
      <c r="H5965" s="1743"/>
      <c r="K5965" s="1192" t="s">
        <v>2618</v>
      </c>
      <c r="V5965" s="1192">
        <v>723</v>
      </c>
    </row>
    <row r="5966" spans="1:22" s="1192" customFormat="1" ht="14.4" x14ac:dyDescent="0.3">
      <c r="A5966" s="1192" t="s">
        <v>3744</v>
      </c>
      <c r="B5966" s="1192" t="s">
        <v>4512</v>
      </c>
      <c r="E5966" s="1750" t="s">
        <v>2389</v>
      </c>
      <c r="F5966" s="1743"/>
      <c r="G5966" s="1743"/>
      <c r="H5966" s="1743"/>
      <c r="K5966" s="1192" t="s">
        <v>2444</v>
      </c>
      <c r="V5966" s="1192">
        <v>11</v>
      </c>
    </row>
    <row r="5967" spans="1:22" s="1192" customFormat="1" ht="14.4" x14ac:dyDescent="0.3">
      <c r="A5967" s="1192" t="s">
        <v>3744</v>
      </c>
      <c r="B5967" s="1192" t="s">
        <v>4512</v>
      </c>
      <c r="E5967" s="1743" t="s">
        <v>2391</v>
      </c>
      <c r="F5967" s="1743"/>
      <c r="G5967" s="1743"/>
      <c r="H5967" s="1743"/>
      <c r="K5967" s="1192" t="s">
        <v>2618</v>
      </c>
      <c r="V5967" s="1192">
        <v>280</v>
      </c>
    </row>
    <row r="5968" spans="1:22" s="1192" customFormat="1" ht="14.4" x14ac:dyDescent="0.3">
      <c r="A5968" s="1192" t="s">
        <v>3744</v>
      </c>
      <c r="B5968" s="1192" t="s">
        <v>4512</v>
      </c>
      <c r="E5968" s="1743" t="s">
        <v>2392</v>
      </c>
      <c r="F5968" s="1743"/>
      <c r="G5968" s="1743"/>
      <c r="H5968" s="1743"/>
      <c r="K5968" s="1192" t="s">
        <v>2618</v>
      </c>
      <c r="V5968" s="1192">
        <v>411</v>
      </c>
    </row>
    <row r="5969" spans="1:22" s="1192" customFormat="1" ht="14.4" x14ac:dyDescent="0.3">
      <c r="A5969" s="1192" t="s">
        <v>3744</v>
      </c>
      <c r="B5969" s="1192" t="s">
        <v>4512</v>
      </c>
      <c r="E5969" s="1743" t="s">
        <v>4126</v>
      </c>
      <c r="F5969" s="1743"/>
      <c r="G5969" s="1743"/>
      <c r="H5969" s="1743"/>
      <c r="K5969" s="1192" t="s">
        <v>2618</v>
      </c>
      <c r="V5969" s="1192">
        <v>387</v>
      </c>
    </row>
    <row r="5970" spans="1:22" s="1192" customFormat="1" ht="14.4" x14ac:dyDescent="0.3">
      <c r="A5970" s="1192" t="s">
        <v>3744</v>
      </c>
      <c r="B5970" s="1192" t="s">
        <v>4512</v>
      </c>
      <c r="E5970" s="2067" t="s">
        <v>2986</v>
      </c>
      <c r="F5970" s="2067"/>
      <c r="G5970" s="2067"/>
      <c r="H5970" s="2067"/>
      <c r="K5970" s="1192" t="s">
        <v>2618</v>
      </c>
      <c r="V5970" s="1192">
        <v>246</v>
      </c>
    </row>
    <row r="5971" spans="1:22" s="1192" customFormat="1" ht="14.4" x14ac:dyDescent="0.3">
      <c r="A5971" s="1192" t="s">
        <v>3744</v>
      </c>
      <c r="B5971" s="1192" t="s">
        <v>4512</v>
      </c>
      <c r="E5971" s="2018" t="s">
        <v>4127</v>
      </c>
      <c r="F5971" s="1988"/>
      <c r="G5971" s="1988"/>
      <c r="H5971" s="1988"/>
      <c r="K5971" s="1192" t="s">
        <v>2446</v>
      </c>
      <c r="V5971" s="1192">
        <v>46</v>
      </c>
    </row>
    <row r="5972" spans="1:22" s="1192" customFormat="1" ht="14.4" x14ac:dyDescent="0.3">
      <c r="A5972" s="1192" t="s">
        <v>3744</v>
      </c>
      <c r="B5972" s="1192" t="s">
        <v>4512</v>
      </c>
      <c r="E5972" s="1741" t="s">
        <v>7</v>
      </c>
      <c r="F5972" s="1741"/>
      <c r="G5972" s="1277" t="s">
        <v>19</v>
      </c>
      <c r="H5972" s="837">
        <v>8.7799999999999994</v>
      </c>
      <c r="K5972" s="1192" t="s">
        <v>2618</v>
      </c>
      <c r="L5972" s="1192" t="s">
        <v>430</v>
      </c>
      <c r="P5972" s="1192" t="s">
        <v>2619</v>
      </c>
      <c r="V5972" s="1192">
        <v>14</v>
      </c>
    </row>
    <row r="5973" spans="1:22" s="1192" customFormat="1" ht="14.4" x14ac:dyDescent="0.3">
      <c r="A5973" s="1192" t="s">
        <v>3744</v>
      </c>
      <c r="B5973" s="1192" t="s">
        <v>4512</v>
      </c>
      <c r="E5973" s="1741" t="s">
        <v>6364</v>
      </c>
      <c r="F5973" s="1741"/>
      <c r="G5973" s="1277" t="s">
        <v>19</v>
      </c>
      <c r="H5973" s="509">
        <v>-0.02</v>
      </c>
      <c r="K5973" s="1192" t="s">
        <v>2618</v>
      </c>
      <c r="L5973" s="1192" t="s">
        <v>430</v>
      </c>
      <c r="P5973" s="1192" t="s">
        <v>6370</v>
      </c>
      <c r="T5973" s="1192">
        <v>44196</v>
      </c>
      <c r="V5973" s="1192">
        <v>93</v>
      </c>
    </row>
    <row r="5974" spans="1:22" s="1192" customFormat="1" ht="14.4" x14ac:dyDescent="0.3">
      <c r="A5974" s="1192" t="s">
        <v>3744</v>
      </c>
      <c r="B5974" s="1192" t="s">
        <v>4512</v>
      </c>
      <c r="E5974" s="1741" t="s">
        <v>80</v>
      </c>
      <c r="F5974" s="1741"/>
      <c r="G5974" s="1277" t="s">
        <v>20</v>
      </c>
      <c r="H5974" s="837">
        <v>1.3599999999999999E-2</v>
      </c>
      <c r="K5974" s="1192" t="s">
        <v>2618</v>
      </c>
      <c r="L5974" s="1192" t="s">
        <v>430</v>
      </c>
      <c r="P5974" s="1192" t="s">
        <v>2620</v>
      </c>
      <c r="V5974" s="1192">
        <v>28</v>
      </c>
    </row>
    <row r="5975" spans="1:22" s="1192" customFormat="1" ht="14.4" x14ac:dyDescent="0.3">
      <c r="A5975" s="1192" t="s">
        <v>3744</v>
      </c>
      <c r="B5975" s="1192" t="s">
        <v>4512</v>
      </c>
      <c r="E5975" s="1741" t="s">
        <v>14</v>
      </c>
      <c r="F5975" s="1741"/>
      <c r="G5975" s="1277" t="s">
        <v>20</v>
      </c>
      <c r="H5975" s="1329">
        <v>6.0000000000000002E-5</v>
      </c>
      <c r="K5975" s="1192" t="s">
        <v>2618</v>
      </c>
      <c r="L5975" s="1192" t="s">
        <v>431</v>
      </c>
      <c r="P5975" s="1192" t="s">
        <v>2952</v>
      </c>
      <c r="V5975" s="1192">
        <v>24</v>
      </c>
    </row>
    <row r="5976" spans="1:22" s="1192" customFormat="1" ht="14.4" x14ac:dyDescent="0.3">
      <c r="A5976" s="1192" t="s">
        <v>3744</v>
      </c>
      <c r="B5976" s="1192" t="s">
        <v>4512</v>
      </c>
      <c r="E5976" s="1741" t="s">
        <v>5939</v>
      </c>
      <c r="F5976" s="1998"/>
      <c r="G5976" s="1277" t="s">
        <v>20</v>
      </c>
      <c r="H5976" s="1329">
        <v>2.3999999999999998E-3</v>
      </c>
      <c r="K5976" s="1192" t="s">
        <v>2618</v>
      </c>
      <c r="L5976" s="1192" t="s">
        <v>430</v>
      </c>
      <c r="P5976" s="1192" t="s">
        <v>6371</v>
      </c>
      <c r="T5976" s="1192">
        <v>44196</v>
      </c>
      <c r="V5976" s="1192">
        <v>138</v>
      </c>
    </row>
    <row r="5977" spans="1:22" s="1192" customFormat="1" ht="14.4" x14ac:dyDescent="0.3">
      <c r="A5977" s="1192" t="s">
        <v>3744</v>
      </c>
      <c r="B5977" s="1192" t="s">
        <v>4512</v>
      </c>
      <c r="E5977" s="1741" t="s">
        <v>213</v>
      </c>
      <c r="F5977" s="1741"/>
      <c r="G5977" s="1277" t="s">
        <v>20</v>
      </c>
      <c r="H5977" s="1219">
        <v>7.0000000000000001E-3</v>
      </c>
      <c r="K5977" s="1192" t="s">
        <v>2618</v>
      </c>
      <c r="L5977" s="1192" t="s">
        <v>432</v>
      </c>
      <c r="P5977" s="1192" t="s">
        <v>2621</v>
      </c>
      <c r="V5977" s="1192">
        <v>47</v>
      </c>
    </row>
    <row r="5978" spans="1:22" s="1192" customFormat="1" ht="14.4" x14ac:dyDescent="0.3">
      <c r="A5978" s="1192" t="s">
        <v>3744</v>
      </c>
      <c r="B5978" s="1192" t="s">
        <v>4512</v>
      </c>
      <c r="E5978" s="1741" t="s">
        <v>209</v>
      </c>
      <c r="F5978" s="1741"/>
      <c r="G5978" s="1277" t="s">
        <v>20</v>
      </c>
      <c r="H5978" s="837">
        <v>6.1999999999999998E-3</v>
      </c>
      <c r="K5978" s="1192" t="s">
        <v>2618</v>
      </c>
      <c r="L5978" s="1192" t="s">
        <v>432</v>
      </c>
      <c r="P5978" s="1192" t="s">
        <v>2622</v>
      </c>
      <c r="V5978" s="1192">
        <v>74</v>
      </c>
    </row>
    <row r="5979" spans="1:22" s="1192" customFormat="1" ht="14.4" x14ac:dyDescent="0.3">
      <c r="A5979" s="1192" t="s">
        <v>3744</v>
      </c>
      <c r="B5979" s="1192" t="s">
        <v>4512</v>
      </c>
      <c r="E5979" s="1750" t="s">
        <v>4129</v>
      </c>
      <c r="F5979" s="1741"/>
      <c r="G5979" s="1335"/>
      <c r="H5979" s="1331"/>
      <c r="K5979" s="1192" t="s">
        <v>2565</v>
      </c>
      <c r="V5979" s="1192">
        <v>48</v>
      </c>
    </row>
    <row r="5980" spans="1:22" s="1192" customFormat="1" ht="14.4" x14ac:dyDescent="0.3">
      <c r="A5980" s="1192" t="s">
        <v>3744</v>
      </c>
      <c r="B5980" s="1192" t="s">
        <v>4512</v>
      </c>
      <c r="E5980" s="2026" t="s">
        <v>2033</v>
      </c>
      <c r="F5980" s="1741"/>
      <c r="G5980" s="953" t="s">
        <v>20</v>
      </c>
      <c r="H5980" s="1219">
        <v>3.0000000000000001E-3</v>
      </c>
      <c r="K5980" s="1192" t="s">
        <v>2618</v>
      </c>
      <c r="L5980" s="1192" t="s">
        <v>2374</v>
      </c>
      <c r="P5980" s="1192" t="s">
        <v>2623</v>
      </c>
      <c r="V5980" s="1192">
        <v>55</v>
      </c>
    </row>
    <row r="5981" spans="1:22" s="1192" customFormat="1" ht="14.4" x14ac:dyDescent="0.3">
      <c r="A5981" s="1192" t="s">
        <v>3744</v>
      </c>
      <c r="B5981" s="1192" t="s">
        <v>4512</v>
      </c>
      <c r="E5981" s="2026" t="s">
        <v>2034</v>
      </c>
      <c r="F5981" s="1741"/>
      <c r="G5981" s="953" t="s">
        <v>20</v>
      </c>
      <c r="H5981" s="1333">
        <v>4.0000000000000002E-4</v>
      </c>
      <c r="K5981" s="1192" t="s">
        <v>2618</v>
      </c>
      <c r="L5981" s="1192" t="s">
        <v>2374</v>
      </c>
      <c r="P5981" s="1192" t="s">
        <v>2623</v>
      </c>
      <c r="V5981" s="1192">
        <v>65</v>
      </c>
    </row>
    <row r="5982" spans="1:22" s="1192" customFormat="1" ht="14.4" x14ac:dyDescent="0.3">
      <c r="A5982" s="1192" t="s">
        <v>3744</v>
      </c>
      <c r="B5982" s="1192" t="s">
        <v>4512</v>
      </c>
      <c r="E5982" s="1741" t="s">
        <v>428</v>
      </c>
      <c r="F5982" s="1741"/>
      <c r="G5982" s="1277" t="s">
        <v>20</v>
      </c>
      <c r="H5982" s="1329">
        <v>5.0000000000000001E-4</v>
      </c>
      <c r="K5982" s="1192" t="s">
        <v>2618</v>
      </c>
      <c r="L5982" s="1192" t="s">
        <v>2374</v>
      </c>
      <c r="P5982" s="1192" t="s">
        <v>2624</v>
      </c>
      <c r="V5982" s="1192">
        <v>57</v>
      </c>
    </row>
    <row r="5983" spans="1:22" s="1192" customFormat="1" ht="14.4" x14ac:dyDescent="0.3">
      <c r="A5983" s="1192" t="s">
        <v>3744</v>
      </c>
      <c r="B5983" s="1192" t="s">
        <v>4512</v>
      </c>
      <c r="E5983" s="1741" t="s">
        <v>28</v>
      </c>
      <c r="F5983" s="1741"/>
      <c r="G5983" s="1277" t="s">
        <v>19</v>
      </c>
      <c r="H5983" s="837">
        <v>0.25</v>
      </c>
      <c r="K5983" s="1192" t="s">
        <v>2618</v>
      </c>
      <c r="L5983" s="1192" t="s">
        <v>2374</v>
      </c>
      <c r="P5983" s="1192" t="s">
        <v>2625</v>
      </c>
      <c r="V5983" s="1192">
        <v>63</v>
      </c>
    </row>
    <row r="5984" spans="1:22" s="1192" customFormat="1" ht="17.399999999999999" x14ac:dyDescent="0.3">
      <c r="A5984" s="1192" t="s">
        <v>3744</v>
      </c>
      <c r="B5984" s="1192" t="s">
        <v>4512</v>
      </c>
      <c r="E5984" s="2045" t="s">
        <v>604</v>
      </c>
      <c r="F5984" s="1747"/>
      <c r="G5984" s="1747"/>
      <c r="H5984" s="1747"/>
      <c r="K5984" s="1192" t="s">
        <v>2953</v>
      </c>
      <c r="V5984" s="1192">
        <v>40</v>
      </c>
    </row>
    <row r="5985" spans="1:22" s="1192" customFormat="1" ht="14.4" x14ac:dyDescent="0.3">
      <c r="A5985" s="1192" t="s">
        <v>3744</v>
      </c>
      <c r="B5985" s="1192" t="s">
        <v>4512</v>
      </c>
      <c r="E5985" s="2067" t="s">
        <v>4150</v>
      </c>
      <c r="F5985" s="2067"/>
      <c r="G5985" s="2067"/>
      <c r="H5985" s="2067"/>
      <c r="K5985" s="1192" t="s">
        <v>2953</v>
      </c>
      <c r="V5985" s="1192">
        <v>407</v>
      </c>
    </row>
    <row r="5986" spans="1:22" s="1192" customFormat="1" ht="14.4" x14ac:dyDescent="0.3">
      <c r="A5986" s="1192" t="s">
        <v>3744</v>
      </c>
      <c r="B5986" s="1192" t="s">
        <v>4512</v>
      </c>
      <c r="E5986" s="2060" t="s">
        <v>2389</v>
      </c>
      <c r="F5986" s="2068"/>
      <c r="G5986" s="1743"/>
      <c r="H5986" s="1743"/>
      <c r="K5986" s="1192" t="s">
        <v>2571</v>
      </c>
      <c r="V5986" s="1192">
        <v>11</v>
      </c>
    </row>
    <row r="5987" spans="1:22" s="1192" customFormat="1" ht="14.4" x14ac:dyDescent="0.3">
      <c r="A5987" s="1192" t="s">
        <v>3744</v>
      </c>
      <c r="B5987" s="1192" t="s">
        <v>4512</v>
      </c>
      <c r="E5987" s="2067" t="s">
        <v>2391</v>
      </c>
      <c r="F5987" s="2067"/>
      <c r="G5987" s="2067"/>
      <c r="H5987" s="2067"/>
      <c r="K5987" s="1192" t="s">
        <v>2953</v>
      </c>
      <c r="V5987" s="1192">
        <v>280</v>
      </c>
    </row>
    <row r="5988" spans="1:22" s="1192" customFormat="1" ht="14.4" x14ac:dyDescent="0.3">
      <c r="A5988" s="1192" t="s">
        <v>3744</v>
      </c>
      <c r="B5988" s="1192" t="s">
        <v>4512</v>
      </c>
      <c r="E5988" s="2067" t="s">
        <v>2392</v>
      </c>
      <c r="F5988" s="2067"/>
      <c r="G5988" s="2067"/>
      <c r="H5988" s="2067"/>
      <c r="K5988" s="1192" t="s">
        <v>2953</v>
      </c>
      <c r="V5988" s="1192">
        <v>411</v>
      </c>
    </row>
    <row r="5989" spans="1:22" s="1192" customFormat="1" ht="14.4" x14ac:dyDescent="0.3">
      <c r="A5989" s="1192" t="s">
        <v>3744</v>
      </c>
      <c r="B5989" s="1192" t="s">
        <v>4512</v>
      </c>
      <c r="E5989" s="2067" t="s">
        <v>4126</v>
      </c>
      <c r="F5989" s="2067"/>
      <c r="G5989" s="2067"/>
      <c r="H5989" s="2067"/>
      <c r="K5989" s="1192" t="s">
        <v>2953</v>
      </c>
      <c r="V5989" s="1192">
        <v>387</v>
      </c>
    </row>
    <row r="5990" spans="1:22" s="1192" customFormat="1" ht="14.4" x14ac:dyDescent="0.3">
      <c r="A5990" s="1192" t="s">
        <v>3744</v>
      </c>
      <c r="B5990" s="1192" t="s">
        <v>4512</v>
      </c>
      <c r="E5990" s="2067" t="s">
        <v>2986</v>
      </c>
      <c r="F5990" s="2067"/>
      <c r="G5990" s="2067"/>
      <c r="H5990" s="2067"/>
      <c r="K5990" s="1192" t="s">
        <v>2953</v>
      </c>
      <c r="V5990" s="1192">
        <v>246</v>
      </c>
    </row>
    <row r="5991" spans="1:22" s="1192" customFormat="1" ht="14.4" x14ac:dyDescent="0.3">
      <c r="A5991" s="1192" t="s">
        <v>3744</v>
      </c>
      <c r="B5991" s="1192" t="s">
        <v>4512</v>
      </c>
      <c r="E5991" s="2018" t="s">
        <v>4127</v>
      </c>
      <c r="F5991" s="1988"/>
      <c r="G5991" s="1988"/>
      <c r="H5991" s="1988"/>
      <c r="K5991" s="1192" t="s">
        <v>2572</v>
      </c>
      <c r="V5991" s="1192">
        <v>46</v>
      </c>
    </row>
    <row r="5992" spans="1:22" s="1192" customFormat="1" ht="14.4" x14ac:dyDescent="0.3">
      <c r="A5992" s="1192" t="s">
        <v>3744</v>
      </c>
      <c r="B5992" s="1192" t="s">
        <v>4512</v>
      </c>
      <c r="E5992" s="1741" t="s">
        <v>4151</v>
      </c>
      <c r="F5992" s="1741"/>
      <c r="G5992" s="1277" t="s">
        <v>19</v>
      </c>
      <c r="H5992" s="837">
        <v>5.73</v>
      </c>
      <c r="K5992" s="1192" t="s">
        <v>2953</v>
      </c>
      <c r="L5992" s="1192" t="s">
        <v>430</v>
      </c>
      <c r="P5992" s="1192" t="s">
        <v>2955</v>
      </c>
      <c r="V5992" s="1192">
        <v>31</v>
      </c>
    </row>
    <row r="5993" spans="1:22" s="1192" customFormat="1" ht="14.4" x14ac:dyDescent="0.3">
      <c r="A5993" s="1192" t="s">
        <v>3744</v>
      </c>
      <c r="B5993" s="1192" t="s">
        <v>4512</v>
      </c>
      <c r="E5993" s="1741" t="s">
        <v>6364</v>
      </c>
      <c r="F5993" s="1741"/>
      <c r="G5993" s="1277" t="s">
        <v>19</v>
      </c>
      <c r="H5993" s="509">
        <v>-0.02</v>
      </c>
      <c r="K5993" s="1192" t="s">
        <v>2953</v>
      </c>
      <c r="L5993" s="1192" t="s">
        <v>430</v>
      </c>
      <c r="P5993" s="1192" t="s">
        <v>6372</v>
      </c>
      <c r="T5993" s="1192">
        <v>44196</v>
      </c>
      <c r="V5993" s="1192">
        <v>93</v>
      </c>
    </row>
    <row r="5994" spans="1:22" s="1192" customFormat="1" ht="14.4" x14ac:dyDescent="0.3">
      <c r="A5994" s="1192" t="s">
        <v>3744</v>
      </c>
      <c r="B5994" s="1192" t="s">
        <v>4512</v>
      </c>
      <c r="E5994" s="1741" t="s">
        <v>80</v>
      </c>
      <c r="F5994" s="1741"/>
      <c r="G5994" s="1277" t="s">
        <v>29</v>
      </c>
      <c r="H5994" s="837">
        <v>15.7041</v>
      </c>
      <c r="K5994" s="1192" t="s">
        <v>2953</v>
      </c>
      <c r="L5994" s="1192" t="s">
        <v>430</v>
      </c>
      <c r="P5994" s="1192" t="s">
        <v>2956</v>
      </c>
      <c r="V5994" s="1192">
        <v>28</v>
      </c>
    </row>
    <row r="5995" spans="1:22" s="1192" customFormat="1" ht="14.4" x14ac:dyDescent="0.3">
      <c r="A5995" s="1192" t="s">
        <v>3744</v>
      </c>
      <c r="B5995" s="1192" t="s">
        <v>4512</v>
      </c>
      <c r="E5995" s="1741" t="s">
        <v>14</v>
      </c>
      <c r="F5995" s="1741"/>
      <c r="G5995" s="1277" t="s">
        <v>29</v>
      </c>
      <c r="H5995" s="1329">
        <v>1.745E-2</v>
      </c>
      <c r="K5995" s="1192" t="s">
        <v>2953</v>
      </c>
      <c r="L5995" s="1192" t="s">
        <v>431</v>
      </c>
      <c r="P5995" s="1192" t="s">
        <v>2957</v>
      </c>
      <c r="V5995" s="1192">
        <v>24</v>
      </c>
    </row>
    <row r="5996" spans="1:22" s="1192" customFormat="1" ht="14.4" x14ac:dyDescent="0.3">
      <c r="A5996" s="1192" t="s">
        <v>3744</v>
      </c>
      <c r="B5996" s="1192" t="s">
        <v>4512</v>
      </c>
      <c r="E5996" s="1741" t="s">
        <v>213</v>
      </c>
      <c r="F5996" s="1741"/>
      <c r="G5996" s="1277" t="s">
        <v>29</v>
      </c>
      <c r="H5996" s="837">
        <v>2.3058999999999998</v>
      </c>
      <c r="K5996" s="1192" t="s">
        <v>2953</v>
      </c>
      <c r="L5996" s="1192" t="s">
        <v>432</v>
      </c>
      <c r="P5996" s="1192" t="s">
        <v>2959</v>
      </c>
      <c r="V5996" s="1192">
        <v>47</v>
      </c>
    </row>
    <row r="5997" spans="1:22" s="1192" customFormat="1" ht="14.4" x14ac:dyDescent="0.3">
      <c r="A5997" s="1192" t="s">
        <v>3744</v>
      </c>
      <c r="B5997" s="1192" t="s">
        <v>4512</v>
      </c>
      <c r="E5997" s="1741" t="s">
        <v>209</v>
      </c>
      <c r="F5997" s="1741"/>
      <c r="G5997" s="1277" t="s">
        <v>29</v>
      </c>
      <c r="H5997" s="837">
        <v>1.9919</v>
      </c>
      <c r="K5997" s="1192" t="s">
        <v>2953</v>
      </c>
      <c r="L5997" s="1192" t="s">
        <v>432</v>
      </c>
      <c r="P5997" s="1192" t="s">
        <v>2960</v>
      </c>
      <c r="V5997" s="1192">
        <v>74</v>
      </c>
    </row>
    <row r="5998" spans="1:22" s="1192" customFormat="1" ht="14.4" x14ac:dyDescent="0.3">
      <c r="A5998" s="1192" t="s">
        <v>3744</v>
      </c>
      <c r="B5998" s="1192" t="s">
        <v>4512</v>
      </c>
      <c r="E5998" s="1750" t="s">
        <v>4129</v>
      </c>
      <c r="F5998" s="1741"/>
      <c r="G5998" s="1335"/>
      <c r="H5998" s="1331"/>
      <c r="K5998" s="1192" t="s">
        <v>2581</v>
      </c>
      <c r="V5998" s="1192">
        <v>48</v>
      </c>
    </row>
    <row r="5999" spans="1:22" s="1192" customFormat="1" ht="14.4" x14ac:dyDescent="0.3">
      <c r="A5999" s="1192" t="s">
        <v>3744</v>
      </c>
      <c r="B5999" s="1192" t="s">
        <v>4512</v>
      </c>
      <c r="E5999" s="2026" t="s">
        <v>2033</v>
      </c>
      <c r="F5999" s="1741"/>
      <c r="G5999" s="953" t="s">
        <v>20</v>
      </c>
      <c r="H5999" s="1332">
        <v>3.0000000000000001E-3</v>
      </c>
      <c r="K5999" s="1192" t="s">
        <v>2953</v>
      </c>
      <c r="L5999" s="1192" t="s">
        <v>2374</v>
      </c>
      <c r="P5999" s="1192" t="s">
        <v>2961</v>
      </c>
      <c r="V5999" s="1192">
        <v>55</v>
      </c>
    </row>
    <row r="6000" spans="1:22" s="1192" customFormat="1" ht="14.4" x14ac:dyDescent="0.3">
      <c r="A6000" s="1192" t="s">
        <v>3744</v>
      </c>
      <c r="B6000" s="1192" t="s">
        <v>4512</v>
      </c>
      <c r="E6000" s="2026" t="s">
        <v>2034</v>
      </c>
      <c r="F6000" s="1741"/>
      <c r="G6000" s="953" t="s">
        <v>20</v>
      </c>
      <c r="H6000" s="1333">
        <v>4.0000000000000002E-4</v>
      </c>
      <c r="K6000" s="1192" t="s">
        <v>2953</v>
      </c>
      <c r="L6000" s="1192" t="s">
        <v>2374</v>
      </c>
      <c r="P6000" s="1192" t="s">
        <v>2961</v>
      </c>
      <c r="V6000" s="1192">
        <v>65</v>
      </c>
    </row>
    <row r="6001" spans="1:22" s="1192" customFormat="1" ht="14.4" x14ac:dyDescent="0.3">
      <c r="A6001" s="1192" t="s">
        <v>3744</v>
      </c>
      <c r="B6001" s="1192" t="s">
        <v>4512</v>
      </c>
      <c r="E6001" s="1741" t="s">
        <v>428</v>
      </c>
      <c r="F6001" s="1741"/>
      <c r="G6001" s="1277" t="s">
        <v>20</v>
      </c>
      <c r="H6001" s="1329">
        <v>5.0000000000000001E-4</v>
      </c>
      <c r="K6001" s="1192" t="s">
        <v>2953</v>
      </c>
      <c r="L6001" s="1192" t="s">
        <v>2374</v>
      </c>
      <c r="P6001" s="1192" t="s">
        <v>2962</v>
      </c>
      <c r="V6001" s="1192">
        <v>57</v>
      </c>
    </row>
    <row r="6002" spans="1:22" s="1192" customFormat="1" ht="14.4" x14ac:dyDescent="0.3">
      <c r="A6002" s="1192" t="s">
        <v>3744</v>
      </c>
      <c r="B6002" s="1192" t="s">
        <v>4512</v>
      </c>
      <c r="E6002" s="1741" t="s">
        <v>28</v>
      </c>
      <c r="F6002" s="1741"/>
      <c r="G6002" s="1277" t="s">
        <v>19</v>
      </c>
      <c r="H6002" s="837">
        <v>0.25</v>
      </c>
      <c r="K6002" s="1192" t="s">
        <v>2953</v>
      </c>
      <c r="L6002" s="1192" t="s">
        <v>2374</v>
      </c>
      <c r="P6002" s="1192" t="s">
        <v>2963</v>
      </c>
      <c r="V6002" s="1192">
        <v>63</v>
      </c>
    </row>
    <row r="6003" spans="1:22" s="1192" customFormat="1" ht="17.399999999999999" x14ac:dyDescent="0.3">
      <c r="A6003" s="1192" t="s">
        <v>3744</v>
      </c>
      <c r="B6003" s="1192" t="s">
        <v>4512</v>
      </c>
      <c r="E6003" s="2045" t="s">
        <v>590</v>
      </c>
      <c r="F6003" s="1747"/>
      <c r="G6003" s="1747"/>
      <c r="H6003" s="1747"/>
      <c r="K6003" s="1192" t="s">
        <v>2861</v>
      </c>
      <c r="V6003" s="1192">
        <v>38</v>
      </c>
    </row>
    <row r="6004" spans="1:22" s="1192" customFormat="1" ht="14.4" x14ac:dyDescent="0.3">
      <c r="A6004" s="1192" t="s">
        <v>3744</v>
      </c>
      <c r="B6004" s="1192" t="s">
        <v>4512</v>
      </c>
      <c r="E6004" s="2067" t="s">
        <v>4518</v>
      </c>
      <c r="F6004" s="2067"/>
      <c r="G6004" s="2067"/>
      <c r="H6004" s="2067"/>
      <c r="K6004" s="1192" t="s">
        <v>2861</v>
      </c>
      <c r="V6004" s="1192">
        <v>554</v>
      </c>
    </row>
    <row r="6005" spans="1:22" s="1192" customFormat="1" ht="14.4" x14ac:dyDescent="0.3">
      <c r="A6005" s="1192" t="s">
        <v>3744</v>
      </c>
      <c r="B6005" s="1192" t="s">
        <v>4512</v>
      </c>
      <c r="E6005" s="2060" t="s">
        <v>2389</v>
      </c>
      <c r="F6005" s="2068"/>
      <c r="G6005" s="1743"/>
      <c r="H6005" s="1743"/>
      <c r="K6005" s="1192" t="s">
        <v>2586</v>
      </c>
      <c r="V6005" s="1192">
        <v>11</v>
      </c>
    </row>
    <row r="6006" spans="1:22" s="1192" customFormat="1" ht="14.4" x14ac:dyDescent="0.3">
      <c r="A6006" s="1192" t="s">
        <v>3744</v>
      </c>
      <c r="B6006" s="1192" t="s">
        <v>4512</v>
      </c>
      <c r="E6006" s="2067" t="s">
        <v>2391</v>
      </c>
      <c r="F6006" s="2067"/>
      <c r="G6006" s="2067"/>
      <c r="H6006" s="2067"/>
      <c r="K6006" s="1192" t="s">
        <v>2861</v>
      </c>
      <c r="V6006" s="1192">
        <v>280</v>
      </c>
    </row>
    <row r="6007" spans="1:22" s="1192" customFormat="1" ht="14.4" x14ac:dyDescent="0.3">
      <c r="A6007" s="1192" t="s">
        <v>3744</v>
      </c>
      <c r="B6007" s="1192" t="s">
        <v>4512</v>
      </c>
      <c r="E6007" s="2067" t="s">
        <v>2392</v>
      </c>
      <c r="F6007" s="2067"/>
      <c r="G6007" s="2067"/>
      <c r="H6007" s="2067"/>
      <c r="K6007" s="1192" t="s">
        <v>2861</v>
      </c>
      <c r="V6007" s="1192">
        <v>411</v>
      </c>
    </row>
    <row r="6008" spans="1:22" s="1192" customFormat="1" ht="14.4" x14ac:dyDescent="0.3">
      <c r="A6008" s="1192" t="s">
        <v>3744</v>
      </c>
      <c r="B6008" s="1192" t="s">
        <v>4512</v>
      </c>
      <c r="E6008" s="2067" t="s">
        <v>4126</v>
      </c>
      <c r="F6008" s="2067"/>
      <c r="G6008" s="2067"/>
      <c r="H6008" s="2067"/>
      <c r="K6008" s="1192" t="s">
        <v>2861</v>
      </c>
      <c r="V6008" s="1192">
        <v>387</v>
      </c>
    </row>
    <row r="6009" spans="1:22" s="1192" customFormat="1" ht="14.4" x14ac:dyDescent="0.3">
      <c r="A6009" s="1192" t="s">
        <v>3744</v>
      </c>
      <c r="B6009" s="1192" t="s">
        <v>4512</v>
      </c>
      <c r="E6009" s="2067" t="s">
        <v>2986</v>
      </c>
      <c r="F6009" s="2067"/>
      <c r="G6009" s="2067"/>
      <c r="H6009" s="2067"/>
      <c r="K6009" s="1192" t="s">
        <v>2861</v>
      </c>
      <c r="V6009" s="1192">
        <v>246</v>
      </c>
    </row>
    <row r="6010" spans="1:22" s="1192" customFormat="1" ht="14.4" x14ac:dyDescent="0.3">
      <c r="A6010" s="1192" t="s">
        <v>3744</v>
      </c>
      <c r="B6010" s="1192" t="s">
        <v>4512</v>
      </c>
      <c r="E6010" s="2018" t="s">
        <v>4127</v>
      </c>
      <c r="F6010" s="1988"/>
      <c r="G6010" s="1988"/>
      <c r="H6010" s="1988"/>
      <c r="K6010" s="1192" t="s">
        <v>2587</v>
      </c>
      <c r="V6010" s="1192">
        <v>46</v>
      </c>
    </row>
    <row r="6011" spans="1:22" s="1192" customFormat="1" ht="14.4" x14ac:dyDescent="0.3">
      <c r="A6011" s="1192" t="s">
        <v>3744</v>
      </c>
      <c r="B6011" s="1192" t="s">
        <v>4512</v>
      </c>
      <c r="E6011" s="1741" t="s">
        <v>4152</v>
      </c>
      <c r="F6011" s="1741"/>
      <c r="G6011" s="1277" t="s">
        <v>19</v>
      </c>
      <c r="H6011" s="837">
        <v>1.98</v>
      </c>
      <c r="K6011" s="1192" t="s">
        <v>2861</v>
      </c>
      <c r="L6011" s="1192" t="s">
        <v>430</v>
      </c>
      <c r="P6011" s="1192" t="s">
        <v>2863</v>
      </c>
      <c r="V6011" s="1192">
        <v>32</v>
      </c>
    </row>
    <row r="6012" spans="1:22" s="1192" customFormat="1" ht="14.4" x14ac:dyDescent="0.3">
      <c r="A6012" s="1192" t="s">
        <v>3744</v>
      </c>
      <c r="B6012" s="1192" t="s">
        <v>4512</v>
      </c>
      <c r="E6012" s="1741" t="s">
        <v>6364</v>
      </c>
      <c r="F6012" s="1741"/>
      <c r="G6012" s="1277" t="s">
        <v>19</v>
      </c>
      <c r="H6012" s="509">
        <v>-0.02</v>
      </c>
      <c r="K6012" s="1192" t="s">
        <v>2861</v>
      </c>
      <c r="L6012" s="1192" t="s">
        <v>430</v>
      </c>
      <c r="P6012" s="1192" t="s">
        <v>6373</v>
      </c>
      <c r="T6012" s="1192">
        <v>44196</v>
      </c>
      <c r="V6012" s="1192">
        <v>93</v>
      </c>
    </row>
    <row r="6013" spans="1:22" s="1192" customFormat="1" ht="14.4" x14ac:dyDescent="0.3">
      <c r="A6013" s="1192" t="s">
        <v>3744</v>
      </c>
      <c r="B6013" s="1192" t="s">
        <v>4512</v>
      </c>
      <c r="E6013" s="1741" t="s">
        <v>80</v>
      </c>
      <c r="F6013" s="1741"/>
      <c r="G6013" s="1277" t="s">
        <v>29</v>
      </c>
      <c r="H6013" s="837">
        <v>5.2632000000000003</v>
      </c>
      <c r="K6013" s="1192" t="s">
        <v>2861</v>
      </c>
      <c r="L6013" s="1192" t="s">
        <v>430</v>
      </c>
      <c r="P6013" s="1192" t="s">
        <v>2864</v>
      </c>
      <c r="V6013" s="1192">
        <v>28</v>
      </c>
    </row>
    <row r="6014" spans="1:22" s="1192" customFormat="1" ht="14.4" x14ac:dyDescent="0.3">
      <c r="A6014" s="1192" t="s">
        <v>3744</v>
      </c>
      <c r="B6014" s="1192" t="s">
        <v>4512</v>
      </c>
      <c r="E6014" s="1741" t="s">
        <v>14</v>
      </c>
      <c r="F6014" s="1741"/>
      <c r="G6014" s="1277" t="s">
        <v>29</v>
      </c>
      <c r="H6014" s="1329">
        <v>1.702E-2</v>
      </c>
      <c r="K6014" s="1192" t="s">
        <v>2861</v>
      </c>
      <c r="L6014" s="1192" t="s">
        <v>431</v>
      </c>
      <c r="P6014" s="1192" t="s">
        <v>2865</v>
      </c>
      <c r="V6014" s="1192">
        <v>24</v>
      </c>
    </row>
    <row r="6015" spans="1:22" s="1192" customFormat="1" ht="14.4" x14ac:dyDescent="0.3">
      <c r="A6015" s="1192" t="s">
        <v>3744</v>
      </c>
      <c r="B6015" s="1192" t="s">
        <v>4512</v>
      </c>
      <c r="E6015" s="1741" t="s">
        <v>5939</v>
      </c>
      <c r="F6015" s="1998"/>
      <c r="G6015" s="1277" t="s">
        <v>29</v>
      </c>
      <c r="H6015" s="1329">
        <v>1.8329</v>
      </c>
      <c r="K6015" s="1192" t="s">
        <v>2861</v>
      </c>
      <c r="L6015" s="1192" t="s">
        <v>430</v>
      </c>
      <c r="P6015" s="1192" t="s">
        <v>2965</v>
      </c>
      <c r="T6015" s="1192">
        <v>44196</v>
      </c>
      <c r="V6015" s="1192">
        <v>138</v>
      </c>
    </row>
    <row r="6016" spans="1:22" s="1192" customFormat="1" ht="14.4" x14ac:dyDescent="0.3">
      <c r="A6016" s="1192" t="s">
        <v>3744</v>
      </c>
      <c r="B6016" s="1192" t="s">
        <v>4512</v>
      </c>
      <c r="E6016" s="1741" t="s">
        <v>213</v>
      </c>
      <c r="F6016" s="1741"/>
      <c r="G6016" s="1277" t="s">
        <v>29</v>
      </c>
      <c r="H6016" s="837">
        <v>2.1844999999999999</v>
      </c>
      <c r="K6016" s="1192" t="s">
        <v>2861</v>
      </c>
      <c r="L6016" s="1192" t="s">
        <v>432</v>
      </c>
      <c r="P6016" s="1192" t="s">
        <v>2868</v>
      </c>
      <c r="V6016" s="1192">
        <v>47</v>
      </c>
    </row>
    <row r="6017" spans="1:22" s="1192" customFormat="1" ht="14.4" x14ac:dyDescent="0.3">
      <c r="A6017" s="1192" t="s">
        <v>3744</v>
      </c>
      <c r="B6017" s="1192" t="s">
        <v>4512</v>
      </c>
      <c r="E6017" s="1741" t="s">
        <v>209</v>
      </c>
      <c r="F6017" s="1741"/>
      <c r="G6017" s="1277" t="s">
        <v>29</v>
      </c>
      <c r="H6017" s="837">
        <v>1.9420999999999999</v>
      </c>
      <c r="K6017" s="1192" t="s">
        <v>2861</v>
      </c>
      <c r="L6017" s="1192" t="s">
        <v>432</v>
      </c>
      <c r="P6017" s="1192" t="s">
        <v>2869</v>
      </c>
      <c r="V6017" s="1192">
        <v>74</v>
      </c>
    </row>
    <row r="6018" spans="1:22" s="1192" customFormat="1" ht="14.4" x14ac:dyDescent="0.3">
      <c r="A6018" s="1192" t="s">
        <v>3744</v>
      </c>
      <c r="B6018" s="1192" t="s">
        <v>4512</v>
      </c>
      <c r="E6018" s="1750" t="s">
        <v>4129</v>
      </c>
      <c r="F6018" s="1741"/>
      <c r="G6018" s="1335"/>
      <c r="H6018" s="1331"/>
      <c r="K6018" s="1192" t="s">
        <v>2657</v>
      </c>
      <c r="V6018" s="1192">
        <v>48</v>
      </c>
    </row>
    <row r="6019" spans="1:22" s="1192" customFormat="1" ht="14.4" x14ac:dyDescent="0.3">
      <c r="A6019" s="1192" t="s">
        <v>3744</v>
      </c>
      <c r="B6019" s="1192" t="s">
        <v>4512</v>
      </c>
      <c r="E6019" s="2026" t="s">
        <v>2033</v>
      </c>
      <c r="F6019" s="1741"/>
      <c r="G6019" s="953" t="s">
        <v>20</v>
      </c>
      <c r="H6019" s="1219">
        <v>3.0000000000000001E-3</v>
      </c>
      <c r="K6019" s="1192" t="s">
        <v>2861</v>
      </c>
      <c r="L6019" s="1192" t="s">
        <v>2374</v>
      </c>
      <c r="P6019" s="1192" t="s">
        <v>2870</v>
      </c>
      <c r="V6019" s="1192">
        <v>55</v>
      </c>
    </row>
    <row r="6020" spans="1:22" s="1192" customFormat="1" ht="14.4" x14ac:dyDescent="0.3">
      <c r="A6020" s="1192" t="s">
        <v>3744</v>
      </c>
      <c r="B6020" s="1192" t="s">
        <v>4512</v>
      </c>
      <c r="E6020" s="2026" t="s">
        <v>2034</v>
      </c>
      <c r="F6020" s="1741"/>
      <c r="G6020" s="953" t="s">
        <v>20</v>
      </c>
      <c r="H6020" s="1333">
        <v>4.0000000000000002E-4</v>
      </c>
      <c r="K6020" s="1192" t="s">
        <v>2861</v>
      </c>
      <c r="L6020" s="1192" t="s">
        <v>2374</v>
      </c>
      <c r="P6020" s="1192" t="s">
        <v>2870</v>
      </c>
      <c r="V6020" s="1192">
        <v>65</v>
      </c>
    </row>
    <row r="6021" spans="1:22" s="1192" customFormat="1" ht="14.4" x14ac:dyDescent="0.3">
      <c r="A6021" s="1192" t="s">
        <v>3744</v>
      </c>
      <c r="B6021" s="1192" t="s">
        <v>4512</v>
      </c>
      <c r="E6021" s="1741" t="s">
        <v>428</v>
      </c>
      <c r="F6021" s="1741"/>
      <c r="G6021" s="1277" t="s">
        <v>20</v>
      </c>
      <c r="H6021" s="1329">
        <v>5.0000000000000001E-4</v>
      </c>
      <c r="K6021" s="1192" t="s">
        <v>2861</v>
      </c>
      <c r="L6021" s="1192" t="s">
        <v>2374</v>
      </c>
      <c r="P6021" s="1192" t="s">
        <v>2871</v>
      </c>
      <c r="V6021" s="1192">
        <v>57</v>
      </c>
    </row>
    <row r="6022" spans="1:22" s="1192" customFormat="1" ht="14.4" x14ac:dyDescent="0.3">
      <c r="A6022" s="1192" t="s">
        <v>3744</v>
      </c>
      <c r="B6022" s="1192" t="s">
        <v>4512</v>
      </c>
      <c r="E6022" s="1741" t="s">
        <v>28</v>
      </c>
      <c r="F6022" s="1741"/>
      <c r="G6022" s="1277" t="s">
        <v>19</v>
      </c>
      <c r="H6022" s="1329">
        <v>0.25</v>
      </c>
      <c r="K6022" s="1192" t="s">
        <v>2861</v>
      </c>
      <c r="L6022" s="1192" t="s">
        <v>2374</v>
      </c>
      <c r="P6022" s="1192" t="s">
        <v>2872</v>
      </c>
      <c r="V6022" s="1192">
        <v>63</v>
      </c>
    </row>
    <row r="6023" spans="1:22" s="1192" customFormat="1" ht="17.399999999999999" x14ac:dyDescent="0.3">
      <c r="A6023" s="1192" t="s">
        <v>3744</v>
      </c>
      <c r="B6023" s="1192" t="s">
        <v>4512</v>
      </c>
      <c r="E6023" s="2017" t="s">
        <v>593</v>
      </c>
      <c r="F6023" s="1987"/>
      <c r="G6023" s="1987"/>
      <c r="H6023" s="1987"/>
      <c r="K6023" s="1192" t="s">
        <v>2873</v>
      </c>
      <c r="V6023" s="1192">
        <v>31</v>
      </c>
    </row>
    <row r="6024" spans="1:22" s="1192" customFormat="1" ht="14.4" x14ac:dyDescent="0.3">
      <c r="A6024" s="1192" t="s">
        <v>3744</v>
      </c>
      <c r="B6024" s="1192" t="s">
        <v>4512</v>
      </c>
      <c r="E6024" s="2067" t="s">
        <v>2443</v>
      </c>
      <c r="F6024" s="2067"/>
      <c r="G6024" s="2067"/>
      <c r="H6024" s="2067"/>
      <c r="K6024" s="1192" t="s">
        <v>2873</v>
      </c>
      <c r="V6024" s="1192">
        <v>286</v>
      </c>
    </row>
    <row r="6025" spans="1:22" s="1192" customFormat="1" ht="14.4" x14ac:dyDescent="0.3">
      <c r="A6025" s="1192" t="s">
        <v>3744</v>
      </c>
      <c r="B6025" s="1192" t="s">
        <v>4512</v>
      </c>
      <c r="E6025" s="2060" t="s">
        <v>2389</v>
      </c>
      <c r="F6025" s="2068"/>
      <c r="G6025" s="1743"/>
      <c r="H6025" s="1743"/>
      <c r="K6025" s="1192" t="s">
        <v>2629</v>
      </c>
      <c r="V6025" s="1192">
        <v>11</v>
      </c>
    </row>
    <row r="6026" spans="1:22" s="1192" customFormat="1" ht="14.4" x14ac:dyDescent="0.3">
      <c r="A6026" s="1192" t="s">
        <v>3744</v>
      </c>
      <c r="B6026" s="1192" t="s">
        <v>4512</v>
      </c>
      <c r="E6026" s="2067" t="s">
        <v>2391</v>
      </c>
      <c r="F6026" s="2067"/>
      <c r="G6026" s="2067"/>
      <c r="H6026" s="2067"/>
      <c r="K6026" s="1192" t="s">
        <v>2873</v>
      </c>
      <c r="V6026" s="1192">
        <v>280</v>
      </c>
    </row>
    <row r="6027" spans="1:22" s="1192" customFormat="1" ht="14.4" x14ac:dyDescent="0.3">
      <c r="A6027" s="1192" t="s">
        <v>3744</v>
      </c>
      <c r="B6027" s="1192" t="s">
        <v>4512</v>
      </c>
      <c r="E6027" s="2067" t="s">
        <v>2392</v>
      </c>
      <c r="F6027" s="2067"/>
      <c r="G6027" s="2067"/>
      <c r="H6027" s="2067"/>
      <c r="K6027" s="1192" t="s">
        <v>2873</v>
      </c>
      <c r="V6027" s="1192">
        <v>411</v>
      </c>
    </row>
    <row r="6028" spans="1:22" s="1192" customFormat="1" ht="14.4" x14ac:dyDescent="0.3">
      <c r="A6028" s="1192" t="s">
        <v>3744</v>
      </c>
      <c r="B6028" s="1192" t="s">
        <v>4512</v>
      </c>
      <c r="E6028" s="2067" t="s">
        <v>2445</v>
      </c>
      <c r="F6028" s="2067"/>
      <c r="G6028" s="2067"/>
      <c r="H6028" s="2067"/>
      <c r="K6028" s="1192" t="s">
        <v>2873</v>
      </c>
      <c r="V6028" s="1192">
        <v>211</v>
      </c>
    </row>
    <row r="6029" spans="1:22" s="1192" customFormat="1" ht="14.4" x14ac:dyDescent="0.3">
      <c r="A6029" s="1192" t="s">
        <v>3744</v>
      </c>
      <c r="B6029" s="1192" t="s">
        <v>4512</v>
      </c>
      <c r="E6029" s="2067" t="s">
        <v>4519</v>
      </c>
      <c r="F6029" s="2067"/>
      <c r="G6029" s="2067"/>
      <c r="H6029" s="2067"/>
      <c r="K6029" s="1192" t="s">
        <v>2873</v>
      </c>
      <c r="V6029" s="1192">
        <v>247</v>
      </c>
    </row>
    <row r="6030" spans="1:22" s="1192" customFormat="1" ht="14.4" x14ac:dyDescent="0.3">
      <c r="A6030" s="1192" t="s">
        <v>3744</v>
      </c>
      <c r="B6030" s="1192" t="s">
        <v>4512</v>
      </c>
      <c r="E6030" s="2018" t="s">
        <v>4052</v>
      </c>
      <c r="F6030" s="1988"/>
      <c r="G6030" s="1988"/>
      <c r="H6030" s="1988"/>
      <c r="K6030" s="1192" t="s">
        <v>2630</v>
      </c>
      <c r="V6030" s="1192">
        <v>47</v>
      </c>
    </row>
    <row r="6031" spans="1:22" s="1192" customFormat="1" ht="14.4" x14ac:dyDescent="0.3">
      <c r="A6031" s="1192" t="s">
        <v>3744</v>
      </c>
      <c r="B6031" s="1192" t="s">
        <v>4512</v>
      </c>
      <c r="E6031" s="1741" t="s">
        <v>7</v>
      </c>
      <c r="F6031" s="1741"/>
      <c r="G6031" s="1277" t="s">
        <v>19</v>
      </c>
      <c r="H6031" s="509">
        <v>5.4</v>
      </c>
      <c r="K6031" s="1192" t="s">
        <v>2873</v>
      </c>
      <c r="L6031" s="1192" t="s">
        <v>430</v>
      </c>
      <c r="P6031" s="1192" t="s">
        <v>2874</v>
      </c>
      <c r="V6031" s="1192">
        <v>14</v>
      </c>
    </row>
    <row r="6032" spans="1:22" s="1192" customFormat="1" ht="17.399999999999999" x14ac:dyDescent="0.3">
      <c r="A6032" s="1192" t="s">
        <v>3744</v>
      </c>
      <c r="B6032" s="1192" t="s">
        <v>4512</v>
      </c>
      <c r="E6032" s="1297" t="s">
        <v>81</v>
      </c>
      <c r="F6032" s="1336"/>
      <c r="G6032" s="1336"/>
      <c r="H6032" s="1337"/>
      <c r="K6032" s="1192" t="s">
        <v>3990</v>
      </c>
      <c r="V6032" s="1192">
        <v>10</v>
      </c>
    </row>
    <row r="6033" spans="1:22" s="1192" customFormat="1" ht="14.4" x14ac:dyDescent="0.3">
      <c r="A6033" s="1192" t="s">
        <v>3744</v>
      </c>
      <c r="B6033" s="1192" t="s">
        <v>4512</v>
      </c>
      <c r="E6033" s="2026" t="s">
        <v>4153</v>
      </c>
      <c r="F6033" s="1741"/>
      <c r="G6033" s="953" t="s">
        <v>29</v>
      </c>
      <c r="H6033" s="509">
        <v>-0.73</v>
      </c>
      <c r="V6033" s="1192">
        <v>62</v>
      </c>
    </row>
    <row r="6034" spans="1:22" s="1192" customFormat="1" ht="14.4" x14ac:dyDescent="0.3">
      <c r="A6034" s="1192" t="s">
        <v>3744</v>
      </c>
      <c r="B6034" s="1192" t="s">
        <v>4512</v>
      </c>
      <c r="E6034" s="2026" t="s">
        <v>2450</v>
      </c>
      <c r="F6034" s="1741"/>
      <c r="G6034" s="1312" t="s">
        <v>82</v>
      </c>
      <c r="H6034" s="509">
        <v>-1</v>
      </c>
      <c r="V6034" s="1192">
        <v>87</v>
      </c>
    </row>
    <row r="6035" spans="1:22" s="1192" customFormat="1" ht="17.399999999999999" x14ac:dyDescent="0.3">
      <c r="A6035" s="1192" t="s">
        <v>3744</v>
      </c>
      <c r="B6035" s="1192" t="s">
        <v>4512</v>
      </c>
      <c r="E6035" s="1297" t="s">
        <v>83</v>
      </c>
      <c r="F6035" s="1336"/>
      <c r="G6035" s="360"/>
      <c r="H6035" s="1338"/>
      <c r="K6035" s="1192" t="s">
        <v>3994</v>
      </c>
      <c r="V6035" s="1192">
        <v>24</v>
      </c>
    </row>
    <row r="6036" spans="1:22" s="1192" customFormat="1" ht="14.4" x14ac:dyDescent="0.3">
      <c r="A6036" s="1192" t="s">
        <v>3744</v>
      </c>
      <c r="B6036" s="1192" t="s">
        <v>4512</v>
      </c>
      <c r="E6036" s="2067" t="s">
        <v>2391</v>
      </c>
      <c r="F6036" s="2067"/>
      <c r="G6036" s="2067"/>
      <c r="H6036" s="2067"/>
      <c r="V6036" s="1192">
        <v>280</v>
      </c>
    </row>
    <row r="6037" spans="1:22" s="1192" customFormat="1" ht="14.4" x14ac:dyDescent="0.3">
      <c r="A6037" s="1192" t="s">
        <v>3744</v>
      </c>
      <c r="B6037" s="1192" t="s">
        <v>4512</v>
      </c>
      <c r="E6037" s="2067" t="s">
        <v>2452</v>
      </c>
      <c r="F6037" s="2067"/>
      <c r="G6037" s="2067"/>
      <c r="H6037" s="2067"/>
      <c r="V6037" s="1192">
        <v>353</v>
      </c>
    </row>
    <row r="6038" spans="1:22" s="1192" customFormat="1" ht="14.4" x14ac:dyDescent="0.3">
      <c r="A6038" s="1192" t="s">
        <v>3744</v>
      </c>
      <c r="B6038" s="1192" t="s">
        <v>4512</v>
      </c>
      <c r="E6038" s="2067" t="s">
        <v>2986</v>
      </c>
      <c r="F6038" s="2067"/>
      <c r="G6038" s="2067"/>
      <c r="H6038" s="2067"/>
      <c r="V6038" s="1192">
        <v>246</v>
      </c>
    </row>
    <row r="6039" spans="1:22" s="1192" customFormat="1" ht="14.4" x14ac:dyDescent="0.3">
      <c r="A6039" s="1192" t="s">
        <v>3744</v>
      </c>
      <c r="B6039" s="1192" t="s">
        <v>4512</v>
      </c>
      <c r="E6039" s="1298" t="s">
        <v>2453</v>
      </c>
      <c r="F6039" s="803"/>
      <c r="G6039" s="803"/>
      <c r="H6039" s="1338"/>
      <c r="K6039" s="1192" t="s">
        <v>3995</v>
      </c>
      <c r="V6039" s="1192">
        <v>23</v>
      </c>
    </row>
    <row r="6040" spans="1:22" s="1192" customFormat="1" ht="14.4" x14ac:dyDescent="0.3">
      <c r="A6040" s="1192" t="s">
        <v>3744</v>
      </c>
      <c r="B6040" s="1192" t="s">
        <v>4512</v>
      </c>
      <c r="E6040" s="2031" t="s">
        <v>3001</v>
      </c>
      <c r="F6040" s="1942"/>
      <c r="G6040" s="1312" t="s">
        <v>19</v>
      </c>
      <c r="H6040" s="509">
        <v>15</v>
      </c>
      <c r="V6040" s="1192">
        <v>24</v>
      </c>
    </row>
    <row r="6041" spans="1:22" s="1192" customFormat="1" ht="14.4" x14ac:dyDescent="0.3">
      <c r="A6041" s="1192" t="s">
        <v>3744</v>
      </c>
      <c r="B6041" s="1192" t="s">
        <v>4512</v>
      </c>
      <c r="E6041" s="2031" t="s">
        <v>3002</v>
      </c>
      <c r="F6041" s="1942"/>
      <c r="G6041" s="1312" t="s">
        <v>19</v>
      </c>
      <c r="H6041" s="509">
        <v>15</v>
      </c>
      <c r="V6041" s="1192">
        <v>25</v>
      </c>
    </row>
    <row r="6042" spans="1:22" s="1192" customFormat="1" ht="14.4" x14ac:dyDescent="0.3">
      <c r="A6042" s="1192" t="s">
        <v>3744</v>
      </c>
      <c r="B6042" s="1192" t="s">
        <v>4512</v>
      </c>
      <c r="E6042" s="2031" t="s">
        <v>4154</v>
      </c>
      <c r="F6042" s="1942"/>
      <c r="G6042" s="1312" t="s">
        <v>19</v>
      </c>
      <c r="H6042" s="509">
        <v>15</v>
      </c>
      <c r="V6042" s="1192">
        <v>34</v>
      </c>
    </row>
    <row r="6043" spans="1:22" s="1192" customFormat="1" ht="14.4" x14ac:dyDescent="0.3">
      <c r="A6043" s="1192" t="s">
        <v>3744</v>
      </c>
      <c r="B6043" s="1192" t="s">
        <v>4512</v>
      </c>
      <c r="E6043" s="2031" t="s">
        <v>3004</v>
      </c>
      <c r="F6043" s="1942"/>
      <c r="G6043" s="1312" t="s">
        <v>19</v>
      </c>
      <c r="H6043" s="509">
        <v>15</v>
      </c>
      <c r="V6043" s="1192">
        <v>44</v>
      </c>
    </row>
    <row r="6044" spans="1:22" s="1192" customFormat="1" ht="14.4" x14ac:dyDescent="0.3">
      <c r="A6044" s="1192" t="s">
        <v>3744</v>
      </c>
      <c r="B6044" s="1192" t="s">
        <v>4512</v>
      </c>
      <c r="E6044" s="2031" t="s">
        <v>3169</v>
      </c>
      <c r="F6044" s="1942"/>
      <c r="G6044" s="1312" t="s">
        <v>19</v>
      </c>
      <c r="H6044" s="509">
        <v>15</v>
      </c>
      <c r="V6044" s="1192">
        <v>42</v>
      </c>
    </row>
    <row r="6045" spans="1:22" s="1192" customFormat="1" ht="14.4" x14ac:dyDescent="0.3">
      <c r="A6045" s="1192" t="s">
        <v>3744</v>
      </c>
      <c r="B6045" s="1192" t="s">
        <v>4512</v>
      </c>
      <c r="E6045" s="2031" t="s">
        <v>3005</v>
      </c>
      <c r="F6045" s="1942"/>
      <c r="G6045" s="1312" t="s">
        <v>19</v>
      </c>
      <c r="H6045" s="509">
        <v>15</v>
      </c>
      <c r="V6045" s="1192">
        <v>20</v>
      </c>
    </row>
    <row r="6046" spans="1:22" s="1192" customFormat="1" ht="14.4" x14ac:dyDescent="0.3">
      <c r="A6046" s="1192" t="s">
        <v>3744</v>
      </c>
      <c r="B6046" s="1192" t="s">
        <v>4512</v>
      </c>
      <c r="E6046" s="2031" t="s">
        <v>4155</v>
      </c>
      <c r="F6046" s="1942"/>
      <c r="G6046" s="1312" t="s">
        <v>19</v>
      </c>
      <c r="H6046" s="509">
        <v>15</v>
      </c>
      <c r="V6046" s="1192">
        <v>22</v>
      </c>
    </row>
    <row r="6047" spans="1:22" s="1192" customFormat="1" ht="14.4" x14ac:dyDescent="0.3">
      <c r="A6047" s="1192" t="s">
        <v>3744</v>
      </c>
      <c r="B6047" s="1192" t="s">
        <v>4512</v>
      </c>
      <c r="E6047" s="2031" t="s">
        <v>4156</v>
      </c>
      <c r="F6047" s="1942"/>
      <c r="G6047" s="1312" t="s">
        <v>19</v>
      </c>
      <c r="H6047" s="509">
        <v>15</v>
      </c>
      <c r="V6047" s="1192">
        <v>24</v>
      </c>
    </row>
    <row r="6048" spans="1:22" s="1192" customFormat="1" ht="14.4" x14ac:dyDescent="0.3">
      <c r="A6048" s="1192" t="s">
        <v>3744</v>
      </c>
      <c r="B6048" s="1192" t="s">
        <v>4512</v>
      </c>
      <c r="E6048" s="2031" t="s">
        <v>3006</v>
      </c>
      <c r="F6048" s="1942"/>
      <c r="G6048" s="1312" t="s">
        <v>19</v>
      </c>
      <c r="H6048" s="509">
        <v>15</v>
      </c>
      <c r="V6048" s="1192">
        <v>20</v>
      </c>
    </row>
    <row r="6049" spans="1:22" s="1192" customFormat="1" ht="14.4" x14ac:dyDescent="0.3">
      <c r="A6049" s="1192" t="s">
        <v>3744</v>
      </c>
      <c r="B6049" s="1192" t="s">
        <v>4512</v>
      </c>
      <c r="E6049" s="2031" t="s">
        <v>3008</v>
      </c>
      <c r="F6049" s="1942"/>
      <c r="G6049" s="1312" t="s">
        <v>19</v>
      </c>
      <c r="H6049" s="509">
        <v>15</v>
      </c>
      <c r="V6049" s="1192">
        <v>47</v>
      </c>
    </row>
    <row r="6050" spans="1:22" s="1192" customFormat="1" ht="14.4" x14ac:dyDescent="0.3">
      <c r="A6050" s="1192" t="s">
        <v>3744</v>
      </c>
      <c r="B6050" s="1192" t="s">
        <v>4512</v>
      </c>
      <c r="E6050" s="2031" t="s">
        <v>3009</v>
      </c>
      <c r="F6050" s="1942"/>
      <c r="G6050" s="1312" t="s">
        <v>19</v>
      </c>
      <c r="H6050" s="509">
        <v>15</v>
      </c>
      <c r="V6050" s="1192">
        <v>29</v>
      </c>
    </row>
    <row r="6051" spans="1:22" s="1192" customFormat="1" ht="14.4" x14ac:dyDescent="0.3">
      <c r="A6051" s="1192" t="s">
        <v>3744</v>
      </c>
      <c r="B6051" s="1192" t="s">
        <v>4512</v>
      </c>
      <c r="E6051" s="2031" t="s">
        <v>3010</v>
      </c>
      <c r="F6051" s="1942"/>
      <c r="G6051" s="1312" t="s">
        <v>19</v>
      </c>
      <c r="H6051" s="509">
        <v>15</v>
      </c>
      <c r="V6051" s="1192">
        <v>24</v>
      </c>
    </row>
    <row r="6052" spans="1:22" s="1192" customFormat="1" ht="14.4" x14ac:dyDescent="0.3">
      <c r="A6052" s="1192" t="s">
        <v>3744</v>
      </c>
      <c r="B6052" s="1192" t="s">
        <v>4512</v>
      </c>
      <c r="E6052" s="2031" t="s">
        <v>3011</v>
      </c>
      <c r="F6052" s="1942"/>
      <c r="G6052" s="1312" t="s">
        <v>19</v>
      </c>
      <c r="H6052" s="509">
        <v>30</v>
      </c>
      <c r="V6052" s="1192">
        <v>94</v>
      </c>
    </row>
    <row r="6053" spans="1:22" s="1192" customFormat="1" ht="14.4" x14ac:dyDescent="0.3">
      <c r="A6053" s="1192" t="s">
        <v>3744</v>
      </c>
      <c r="B6053" s="1192" t="s">
        <v>4512</v>
      </c>
      <c r="E6053" s="2031" t="s">
        <v>3012</v>
      </c>
      <c r="F6053" s="1942"/>
      <c r="G6053" s="1312" t="s">
        <v>19</v>
      </c>
      <c r="H6053" s="509">
        <v>30</v>
      </c>
      <c r="V6053" s="1192">
        <v>24</v>
      </c>
    </row>
    <row r="6054" spans="1:22" s="1192" customFormat="1" ht="14.4" x14ac:dyDescent="0.3">
      <c r="A6054" s="1192" t="s">
        <v>3744</v>
      </c>
      <c r="B6054" s="1192" t="s">
        <v>4512</v>
      </c>
      <c r="E6054" s="2031" t="s">
        <v>3013</v>
      </c>
      <c r="F6054" s="1942"/>
      <c r="G6054" s="1312" t="s">
        <v>19</v>
      </c>
      <c r="H6054" s="509">
        <v>30</v>
      </c>
      <c r="V6054" s="1192">
        <v>79</v>
      </c>
    </row>
    <row r="6055" spans="1:22" s="1192" customFormat="1" ht="14.4" x14ac:dyDescent="0.3">
      <c r="A6055" s="1192" t="s">
        <v>3744</v>
      </c>
      <c r="B6055" s="1192" t="s">
        <v>4512</v>
      </c>
      <c r="E6055" s="2031" t="s">
        <v>4157</v>
      </c>
      <c r="F6055" s="1942"/>
      <c r="G6055" s="1312" t="s">
        <v>19</v>
      </c>
      <c r="H6055" s="509">
        <v>15</v>
      </c>
      <c r="V6055" s="1192">
        <v>35</v>
      </c>
    </row>
    <row r="6056" spans="1:22" s="1192" customFormat="1" ht="14.4" x14ac:dyDescent="0.3">
      <c r="A6056" s="1192" t="s">
        <v>3744</v>
      </c>
      <c r="B6056" s="1192" t="s">
        <v>4512</v>
      </c>
      <c r="E6056" s="2031" t="s">
        <v>4158</v>
      </c>
      <c r="F6056" s="1942"/>
      <c r="G6056" s="1312" t="s">
        <v>19</v>
      </c>
      <c r="H6056" s="509">
        <v>15</v>
      </c>
      <c r="V6056" s="1192">
        <v>44</v>
      </c>
    </row>
    <row r="6057" spans="1:22" s="1192" customFormat="1" ht="14.4" x14ac:dyDescent="0.3">
      <c r="A6057" s="1192" t="s">
        <v>3744</v>
      </c>
      <c r="B6057" s="1192" t="s">
        <v>4512</v>
      </c>
      <c r="E6057" s="1298" t="s">
        <v>2468</v>
      </c>
      <c r="F6057" s="803"/>
      <c r="G6057" s="803"/>
      <c r="H6057" s="1338"/>
      <c r="K6057" s="1192" t="s">
        <v>3996</v>
      </c>
      <c r="V6057" s="1192">
        <v>22</v>
      </c>
    </row>
    <row r="6058" spans="1:22" s="1192" customFormat="1" ht="14.4" x14ac:dyDescent="0.3">
      <c r="A6058" s="1192" t="s">
        <v>3744</v>
      </c>
      <c r="B6058" s="1192" t="s">
        <v>4512</v>
      </c>
      <c r="E6058" s="2031" t="s">
        <v>6374</v>
      </c>
      <c r="F6058" s="1942"/>
      <c r="G6058" s="1312" t="s">
        <v>82</v>
      </c>
      <c r="H6058" s="509">
        <v>1.5</v>
      </c>
      <c r="V6058" s="1192">
        <v>110</v>
      </c>
    </row>
    <row r="6059" spans="1:22" s="1192" customFormat="1" ht="14.4" x14ac:dyDescent="0.3">
      <c r="A6059" s="1192" t="s">
        <v>3744</v>
      </c>
      <c r="B6059" s="1192" t="s">
        <v>4512</v>
      </c>
      <c r="E6059" s="2031" t="s">
        <v>6375</v>
      </c>
      <c r="F6059" s="1942"/>
      <c r="G6059" s="1312" t="s">
        <v>19</v>
      </c>
      <c r="H6059" s="509">
        <v>65</v>
      </c>
      <c r="V6059" s="1192">
        <v>49</v>
      </c>
    </row>
    <row r="6060" spans="1:22" s="1192" customFormat="1" ht="14.4" x14ac:dyDescent="0.3">
      <c r="A6060" s="1192" t="s">
        <v>3744</v>
      </c>
      <c r="B6060" s="1192" t="s">
        <v>4512</v>
      </c>
      <c r="E6060" s="2031" t="s">
        <v>6376</v>
      </c>
      <c r="F6060" s="1942"/>
      <c r="G6060" s="1312" t="s">
        <v>19</v>
      </c>
      <c r="H6060" s="509">
        <v>185</v>
      </c>
      <c r="V6060" s="1192">
        <v>48</v>
      </c>
    </row>
    <row r="6061" spans="1:22" s="1192" customFormat="1" ht="14.4" x14ac:dyDescent="0.3">
      <c r="A6061" s="1192" t="s">
        <v>3744</v>
      </c>
      <c r="B6061" s="1192" t="s">
        <v>4512</v>
      </c>
      <c r="E6061" s="2031" t="s">
        <v>6377</v>
      </c>
      <c r="F6061" s="1942"/>
      <c r="G6061" s="1312" t="s">
        <v>19</v>
      </c>
      <c r="H6061" s="509">
        <v>185</v>
      </c>
      <c r="V6061" s="1192">
        <v>48</v>
      </c>
    </row>
    <row r="6062" spans="1:22" s="1192" customFormat="1" ht="14.4" x14ac:dyDescent="0.3">
      <c r="A6062" s="1192" t="s">
        <v>3744</v>
      </c>
      <c r="B6062" s="1192" t="s">
        <v>4512</v>
      </c>
      <c r="E6062" s="2031" t="s">
        <v>6378</v>
      </c>
      <c r="F6062" s="1942"/>
      <c r="G6062" s="1312" t="s">
        <v>19</v>
      </c>
      <c r="H6062" s="509">
        <v>415</v>
      </c>
      <c r="V6062" s="1192">
        <v>47</v>
      </c>
    </row>
    <row r="6063" spans="1:22" s="1192" customFormat="1" ht="14.4" x14ac:dyDescent="0.3">
      <c r="A6063" s="1192" t="s">
        <v>3744</v>
      </c>
      <c r="B6063" s="1192" t="s">
        <v>4512</v>
      </c>
      <c r="E6063" s="1298" t="s">
        <v>2474</v>
      </c>
      <c r="F6063" s="803"/>
      <c r="G6063" s="803"/>
      <c r="H6063" s="1338"/>
      <c r="V6063" s="1192">
        <v>5</v>
      </c>
    </row>
    <row r="6064" spans="1:22" s="1192" customFormat="1" ht="14.4" x14ac:dyDescent="0.3">
      <c r="A6064" s="1192" t="s">
        <v>3744</v>
      </c>
      <c r="B6064" s="1192" t="s">
        <v>4512</v>
      </c>
      <c r="E6064" s="2031" t="s">
        <v>4520</v>
      </c>
      <c r="F6064" s="1942"/>
      <c r="G6064" s="1312" t="s">
        <v>19</v>
      </c>
      <c r="H6064" s="509">
        <v>30</v>
      </c>
      <c r="V6064" s="1192">
        <v>44</v>
      </c>
    </row>
    <row r="6065" spans="1:22" s="1192" customFormat="1" ht="14.4" x14ac:dyDescent="0.3">
      <c r="A6065" s="1192" t="s">
        <v>3744</v>
      </c>
      <c r="B6065" s="1192" t="s">
        <v>4512</v>
      </c>
      <c r="E6065" s="2031" t="s">
        <v>4521</v>
      </c>
      <c r="F6065" s="1942"/>
      <c r="G6065" s="1312" t="s">
        <v>19</v>
      </c>
      <c r="H6065" s="509">
        <v>165</v>
      </c>
      <c r="V6065" s="1192">
        <v>39</v>
      </c>
    </row>
    <row r="6066" spans="1:22" s="1192" customFormat="1" ht="14.4" x14ac:dyDescent="0.3">
      <c r="A6066" s="1192" t="s">
        <v>3744</v>
      </c>
      <c r="B6066" s="1192" t="s">
        <v>4512</v>
      </c>
      <c r="E6066" s="2031" t="s">
        <v>4522</v>
      </c>
      <c r="F6066" s="1942"/>
      <c r="G6066" s="1312" t="s">
        <v>19</v>
      </c>
      <c r="H6066" s="509">
        <v>500</v>
      </c>
      <c r="V6066" s="1192">
        <v>71</v>
      </c>
    </row>
    <row r="6067" spans="1:22" s="1192" customFormat="1" ht="14.4" x14ac:dyDescent="0.3">
      <c r="A6067" s="1192" t="s">
        <v>3744</v>
      </c>
      <c r="B6067" s="1192" t="s">
        <v>4512</v>
      </c>
      <c r="E6067" s="2031" t="s">
        <v>4523</v>
      </c>
      <c r="F6067" s="1942"/>
      <c r="G6067" s="1312" t="s">
        <v>19</v>
      </c>
      <c r="H6067" s="509">
        <v>300</v>
      </c>
      <c r="V6067" s="1192">
        <v>74</v>
      </c>
    </row>
    <row r="6068" spans="1:22" s="1192" customFormat="1" ht="14.4" x14ac:dyDescent="0.3">
      <c r="A6068" s="1192" t="s">
        <v>3744</v>
      </c>
      <c r="B6068" s="1192" t="s">
        <v>4512</v>
      </c>
      <c r="E6068" s="2031" t="s">
        <v>4524</v>
      </c>
      <c r="F6068" s="1942"/>
      <c r="G6068" s="1312" t="s">
        <v>19</v>
      </c>
      <c r="H6068" s="509">
        <v>1000</v>
      </c>
      <c r="V6068" s="1192">
        <v>73</v>
      </c>
    </row>
    <row r="6069" spans="1:22" s="1192" customFormat="1" ht="14.4" x14ac:dyDescent="0.3">
      <c r="A6069" s="1192" t="s">
        <v>3744</v>
      </c>
      <c r="B6069" s="1192" t="s">
        <v>4512</v>
      </c>
      <c r="E6069" s="2031" t="s">
        <v>6379</v>
      </c>
      <c r="F6069" s="1942"/>
      <c r="G6069" s="1312" t="s">
        <v>19</v>
      </c>
      <c r="H6069" s="509">
        <v>44.5</v>
      </c>
      <c r="V6069" s="1192">
        <v>114</v>
      </c>
    </row>
    <row r="6070" spans="1:22" s="1192" customFormat="1" ht="14.4" x14ac:dyDescent="0.3">
      <c r="A6070" s="1192" t="s">
        <v>3744</v>
      </c>
      <c r="B6070" s="1192" t="s">
        <v>4512</v>
      </c>
      <c r="E6070" s="2031" t="s">
        <v>4525</v>
      </c>
      <c r="F6070" s="1942"/>
      <c r="G6070" s="1312" t="s">
        <v>19</v>
      </c>
      <c r="H6070" s="509">
        <v>150</v>
      </c>
      <c r="V6070" s="1192">
        <v>34</v>
      </c>
    </row>
    <row r="6071" spans="1:22" s="1192" customFormat="1" ht="17.399999999999999" x14ac:dyDescent="0.3">
      <c r="A6071" s="1192" t="s">
        <v>3744</v>
      </c>
      <c r="B6071" s="1192" t="s">
        <v>4512</v>
      </c>
      <c r="E6071" s="1297" t="s">
        <v>73</v>
      </c>
      <c r="F6071" s="1336"/>
      <c r="G6071" s="1336"/>
      <c r="H6071" s="1337"/>
      <c r="K6071" s="1192" t="s">
        <v>3997</v>
      </c>
      <c r="V6071" s="1192">
        <v>38</v>
      </c>
    </row>
    <row r="6072" spans="1:22" s="1192" customFormat="1" ht="14.4" x14ac:dyDescent="0.3">
      <c r="A6072" s="1192" t="s">
        <v>3744</v>
      </c>
      <c r="B6072" s="1192" t="s">
        <v>4512</v>
      </c>
      <c r="E6072" s="2058" t="s">
        <v>2391</v>
      </c>
      <c r="F6072" s="2058"/>
      <c r="G6072" s="2058"/>
      <c r="H6072" s="2058"/>
      <c r="V6072" s="1192">
        <v>280</v>
      </c>
    </row>
    <row r="6073" spans="1:22" s="1192" customFormat="1" ht="14.4" x14ac:dyDescent="0.3">
      <c r="A6073" s="1192" t="s">
        <v>3744</v>
      </c>
      <c r="B6073" s="1192" t="s">
        <v>4512</v>
      </c>
      <c r="E6073" s="2058" t="s">
        <v>2392</v>
      </c>
      <c r="F6073" s="2058"/>
      <c r="G6073" s="2058"/>
      <c r="H6073" s="2058"/>
      <c r="V6073" s="1192">
        <v>411</v>
      </c>
    </row>
    <row r="6074" spans="1:22" s="1192" customFormat="1" ht="14.4" x14ac:dyDescent="0.3">
      <c r="A6074" s="1192" t="s">
        <v>3744</v>
      </c>
      <c r="B6074" s="1192" t="s">
        <v>4512</v>
      </c>
      <c r="E6074" s="2058" t="s">
        <v>2445</v>
      </c>
      <c r="F6074" s="2058"/>
      <c r="G6074" s="2058"/>
      <c r="H6074" s="2058"/>
      <c r="V6074" s="1192">
        <v>211</v>
      </c>
    </row>
    <row r="6075" spans="1:22" s="1192" customFormat="1" ht="14.4" x14ac:dyDescent="0.3">
      <c r="A6075" s="1192" t="s">
        <v>3744</v>
      </c>
      <c r="B6075" s="1192" t="s">
        <v>4512</v>
      </c>
      <c r="E6075" s="2023" t="s">
        <v>2986</v>
      </c>
      <c r="F6075" s="2023"/>
      <c r="G6075" s="2023"/>
      <c r="H6075" s="2023"/>
      <c r="V6075" s="1192">
        <v>246</v>
      </c>
    </row>
    <row r="6076" spans="1:22" s="1192" customFormat="1" ht="14.4" x14ac:dyDescent="0.3">
      <c r="A6076" s="1192" t="s">
        <v>3744</v>
      </c>
      <c r="B6076" s="1192" t="s">
        <v>4512</v>
      </c>
      <c r="E6076" s="2058" t="s">
        <v>2595</v>
      </c>
      <c r="F6076" s="2058"/>
      <c r="G6076" s="2058"/>
      <c r="H6076" s="2058"/>
      <c r="V6076" s="1192">
        <v>142</v>
      </c>
    </row>
    <row r="6077" spans="1:22" s="1192" customFormat="1" ht="14.4" x14ac:dyDescent="0.3">
      <c r="A6077" s="1192" t="s">
        <v>3744</v>
      </c>
      <c r="B6077" s="1192" t="s">
        <v>4512</v>
      </c>
      <c r="E6077" s="2026" t="s">
        <v>2485</v>
      </c>
      <c r="F6077" s="1741"/>
      <c r="G6077" s="1339" t="s">
        <v>19</v>
      </c>
      <c r="H6077" s="509">
        <v>102</v>
      </c>
      <c r="V6077" s="1192">
        <v>106</v>
      </c>
    </row>
    <row r="6078" spans="1:22" s="1192" customFormat="1" ht="14.4" x14ac:dyDescent="0.3">
      <c r="A6078" s="1192" t="s">
        <v>3744</v>
      </c>
      <c r="B6078" s="1192" t="s">
        <v>4512</v>
      </c>
      <c r="E6078" s="2026" t="s">
        <v>3919</v>
      </c>
      <c r="F6078" s="1741"/>
      <c r="G6078" s="1339" t="s">
        <v>19</v>
      </c>
      <c r="H6078" s="509">
        <v>40.799999999999997</v>
      </c>
      <c r="V6078" s="1192">
        <v>34</v>
      </c>
    </row>
    <row r="6079" spans="1:22" s="1192" customFormat="1" ht="14.4" x14ac:dyDescent="0.3">
      <c r="A6079" s="1192" t="s">
        <v>3744</v>
      </c>
      <c r="B6079" s="1192" t="s">
        <v>4512</v>
      </c>
      <c r="E6079" s="2026" t="s">
        <v>3920</v>
      </c>
      <c r="F6079" s="1741"/>
      <c r="G6079" s="1339" t="s">
        <v>2488</v>
      </c>
      <c r="H6079" s="509">
        <v>1.02</v>
      </c>
      <c r="V6079" s="1192">
        <v>51</v>
      </c>
    </row>
    <row r="6080" spans="1:22" s="1192" customFormat="1" ht="14.4" x14ac:dyDescent="0.3">
      <c r="A6080" s="1192" t="s">
        <v>3744</v>
      </c>
      <c r="B6080" s="1192" t="s">
        <v>4512</v>
      </c>
      <c r="E6080" s="2026" t="s">
        <v>2489</v>
      </c>
      <c r="F6080" s="1741"/>
      <c r="G6080" s="1339" t="s">
        <v>2488</v>
      </c>
      <c r="H6080" s="876">
        <v>0.61</v>
      </c>
      <c r="V6080" s="1192">
        <v>75</v>
      </c>
    </row>
    <row r="6081" spans="1:22" s="1192" customFormat="1" ht="14.4" x14ac:dyDescent="0.3">
      <c r="A6081" s="1192" t="s">
        <v>3744</v>
      </c>
      <c r="B6081" s="1192" t="s">
        <v>4512</v>
      </c>
      <c r="E6081" s="2026" t="s">
        <v>2490</v>
      </c>
      <c r="F6081" s="1741"/>
      <c r="G6081" s="1339" t="s">
        <v>2488</v>
      </c>
      <c r="H6081" s="509">
        <v>-0.61</v>
      </c>
      <c r="V6081" s="1192">
        <v>72</v>
      </c>
    </row>
    <row r="6082" spans="1:22" s="1192" customFormat="1" ht="14.4" x14ac:dyDescent="0.3">
      <c r="A6082" s="1192" t="s">
        <v>3744</v>
      </c>
      <c r="B6082" s="1192" t="s">
        <v>4512</v>
      </c>
      <c r="E6082" s="2026" t="s">
        <v>2491</v>
      </c>
      <c r="F6082" s="1741"/>
      <c r="G6082" s="1340"/>
      <c r="H6082" s="951"/>
      <c r="V6082" s="1192">
        <v>35</v>
      </c>
    </row>
    <row r="6083" spans="1:22" s="1192" customFormat="1" ht="14.4" x14ac:dyDescent="0.3">
      <c r="A6083" s="1192" t="s">
        <v>3744</v>
      </c>
      <c r="B6083" s="1192" t="s">
        <v>4512</v>
      </c>
      <c r="E6083" s="2063" t="s">
        <v>4526</v>
      </c>
      <c r="F6083" s="1941"/>
      <c r="G6083" s="1339" t="s">
        <v>19</v>
      </c>
      <c r="H6083" s="876">
        <v>0.51</v>
      </c>
      <c r="V6083" s="1192">
        <v>70</v>
      </c>
    </row>
    <row r="6084" spans="1:22" s="1192" customFormat="1" ht="14.4" x14ac:dyDescent="0.3">
      <c r="A6084" s="1192" t="s">
        <v>3744</v>
      </c>
      <c r="B6084" s="1192" t="s">
        <v>4512</v>
      </c>
      <c r="E6084" s="2063" t="s">
        <v>4527</v>
      </c>
      <c r="F6084" s="1941"/>
      <c r="G6084" s="1339" t="s">
        <v>19</v>
      </c>
      <c r="H6084" s="876">
        <v>1.02</v>
      </c>
      <c r="V6084" s="1192">
        <v>73</v>
      </c>
    </row>
    <row r="6085" spans="1:22" s="1192" customFormat="1" ht="14.4" x14ac:dyDescent="0.3">
      <c r="A6085" s="1192" t="s">
        <v>3744</v>
      </c>
      <c r="B6085" s="1192" t="s">
        <v>4512</v>
      </c>
      <c r="E6085" s="2026" t="s">
        <v>2494</v>
      </c>
      <c r="F6085" s="1741"/>
      <c r="G6085" s="1340"/>
      <c r="H6085" s="951"/>
      <c r="V6085" s="1192">
        <v>91</v>
      </c>
    </row>
    <row r="6086" spans="1:22" s="1192" customFormat="1" ht="14.4" x14ac:dyDescent="0.3">
      <c r="A6086" s="1192" t="s">
        <v>3744</v>
      </c>
      <c r="B6086" s="1192" t="s">
        <v>4512</v>
      </c>
      <c r="E6086" s="2026" t="s">
        <v>2495</v>
      </c>
      <c r="F6086" s="1741"/>
      <c r="G6086" s="1340"/>
      <c r="H6086" s="951"/>
      <c r="V6086" s="1192">
        <v>96</v>
      </c>
    </row>
    <row r="6087" spans="1:22" s="1192" customFormat="1" ht="14.4" x14ac:dyDescent="0.3">
      <c r="A6087" s="1192" t="s">
        <v>3744</v>
      </c>
      <c r="B6087" s="1192" t="s">
        <v>4512</v>
      </c>
      <c r="E6087" s="2026" t="s">
        <v>2496</v>
      </c>
      <c r="F6087" s="1741"/>
      <c r="G6087" s="1340"/>
      <c r="H6087" s="951"/>
      <c r="V6087" s="1192">
        <v>78</v>
      </c>
    </row>
    <row r="6088" spans="1:22" s="1192" customFormat="1" ht="14.4" x14ac:dyDescent="0.3">
      <c r="A6088" s="1192" t="s">
        <v>3744</v>
      </c>
      <c r="B6088" s="1192" t="s">
        <v>4512</v>
      </c>
      <c r="E6088" s="2063" t="s">
        <v>4528</v>
      </c>
      <c r="F6088" s="1941"/>
      <c r="G6088" s="1339" t="s">
        <v>19</v>
      </c>
      <c r="H6088" s="876" t="s">
        <v>2498</v>
      </c>
      <c r="V6088" s="1192">
        <v>30</v>
      </c>
    </row>
    <row r="6089" spans="1:22" s="1192" customFormat="1" ht="14.4" x14ac:dyDescent="0.3">
      <c r="A6089" s="1192" t="s">
        <v>3744</v>
      </c>
      <c r="B6089" s="1192" t="s">
        <v>4512</v>
      </c>
      <c r="E6089" s="2063" t="s">
        <v>4529</v>
      </c>
      <c r="F6089" s="1941"/>
      <c r="G6089" s="1339" t="s">
        <v>19</v>
      </c>
      <c r="H6089" s="876">
        <v>4.08</v>
      </c>
      <c r="V6089" s="1192">
        <v>81</v>
      </c>
    </row>
    <row r="6090" spans="1:22" s="1192" customFormat="1" ht="14.4" x14ac:dyDescent="0.3">
      <c r="A6090" s="1192" t="s">
        <v>3744</v>
      </c>
      <c r="B6090" s="1192" t="s">
        <v>4512</v>
      </c>
      <c r="E6090" s="2026" t="s">
        <v>4608</v>
      </c>
      <c r="F6090" s="2026"/>
      <c r="G6090" s="1341" t="s">
        <v>19</v>
      </c>
      <c r="H6090" s="905">
        <v>2.04</v>
      </c>
      <c r="V6090" s="1192">
        <v>199</v>
      </c>
    </row>
    <row r="6091" spans="1:22" s="1192" customFormat="1" ht="21" x14ac:dyDescent="0.3">
      <c r="A6091" s="1192" t="s">
        <v>3744</v>
      </c>
      <c r="B6091" s="1192" t="s">
        <v>4512</v>
      </c>
      <c r="E6091" s="1297" t="s">
        <v>143</v>
      </c>
      <c r="F6091" s="1342"/>
      <c r="G6091" s="1342"/>
      <c r="H6091" s="1337"/>
      <c r="K6091" s="1192" t="s">
        <v>3998</v>
      </c>
      <c r="V6091" s="1192">
        <v>12</v>
      </c>
    </row>
    <row r="6092" spans="1:22" s="1192" customFormat="1" ht="14.4" x14ac:dyDescent="0.3">
      <c r="A6092" s="1192" t="s">
        <v>3744</v>
      </c>
      <c r="B6092" s="1192" t="s">
        <v>4512</v>
      </c>
      <c r="E6092" s="2064" t="s">
        <v>2501</v>
      </c>
      <c r="F6092" s="2064"/>
      <c r="G6092" s="2064"/>
      <c r="H6092" s="2064"/>
      <c r="V6092" s="1192">
        <v>203</v>
      </c>
    </row>
    <row r="6093" spans="1:22" s="1192" customFormat="1" ht="14.4" x14ac:dyDescent="0.3">
      <c r="A6093" s="1192" t="s">
        <v>3744</v>
      </c>
      <c r="B6093" s="1192" t="s">
        <v>4512</v>
      </c>
      <c r="E6093" s="2026" t="s">
        <v>17</v>
      </c>
      <c r="F6093" s="1741"/>
      <c r="G6093" s="1312"/>
      <c r="H6093" s="954">
        <v>1.0379</v>
      </c>
      <c r="V6093" s="1192">
        <v>57</v>
      </c>
    </row>
    <row r="6094" spans="1:22" s="1192" customFormat="1" ht="14.4" x14ac:dyDescent="0.3">
      <c r="A6094" s="1192" t="s">
        <v>3744</v>
      </c>
      <c r="B6094" s="1192" t="s">
        <v>4512</v>
      </c>
      <c r="E6094" s="2026" t="s">
        <v>18</v>
      </c>
      <c r="F6094" s="1741"/>
      <c r="G6094" s="1312"/>
      <c r="H6094" s="954">
        <v>1.016</v>
      </c>
      <c r="V6094" s="1192">
        <v>57</v>
      </c>
    </row>
    <row r="6095" spans="1:22" s="1192" customFormat="1" ht="14.4" x14ac:dyDescent="0.3">
      <c r="A6095" s="1192" t="s">
        <v>3744</v>
      </c>
      <c r="B6095" s="1192" t="s">
        <v>4512</v>
      </c>
      <c r="E6095" s="2026" t="s">
        <v>16</v>
      </c>
      <c r="F6095" s="1741"/>
      <c r="G6095" s="1312"/>
      <c r="H6095" s="954">
        <v>1.0276000000000001</v>
      </c>
      <c r="V6095" s="1192">
        <v>55</v>
      </c>
    </row>
    <row r="6096" spans="1:22" s="1192" customFormat="1" ht="14.4" x14ac:dyDescent="0.3">
      <c r="A6096" s="1192" t="s">
        <v>3744</v>
      </c>
      <c r="B6096" s="1192" t="s">
        <v>4512</v>
      </c>
      <c r="E6096" s="2026" t="s">
        <v>13</v>
      </c>
      <c r="F6096" s="1741"/>
      <c r="G6096" s="1312"/>
      <c r="H6096" s="954">
        <v>1.006</v>
      </c>
      <c r="J6096" s="1192" t="s">
        <v>4530</v>
      </c>
      <c r="V6096" s="1192">
        <v>55</v>
      </c>
    </row>
    <row r="6097" spans="1:22" s="1192" customFormat="1" ht="22.8" x14ac:dyDescent="0.3">
      <c r="A6097" s="1192" t="s">
        <v>3744</v>
      </c>
      <c r="B6097" s="1192" t="s">
        <v>4205</v>
      </c>
      <c r="C6097" s="1192" t="s">
        <v>2378</v>
      </c>
      <c r="E6097" s="2156" t="s">
        <v>3744</v>
      </c>
      <c r="F6097" s="2156"/>
      <c r="G6097" s="2156"/>
      <c r="H6097" s="2156"/>
      <c r="I6097" s="1192" t="s">
        <v>603</v>
      </c>
      <c r="J6097" s="1192" t="s">
        <v>4206</v>
      </c>
      <c r="K6097" s="1192" t="s">
        <v>3744</v>
      </c>
      <c r="M6097" s="1192">
        <v>9</v>
      </c>
      <c r="V6097" s="1192">
        <v>29</v>
      </c>
    </row>
    <row r="6098" spans="1:22" s="1192" customFormat="1" ht="22.8" x14ac:dyDescent="0.3">
      <c r="A6098" s="1192" t="s">
        <v>3744</v>
      </c>
      <c r="B6098" s="1192" t="s">
        <v>4205</v>
      </c>
      <c r="C6098" s="1192" t="s">
        <v>2380</v>
      </c>
      <c r="E6098" s="2239" t="s">
        <v>3896</v>
      </c>
      <c r="F6098" s="2239"/>
      <c r="G6098" s="2239"/>
      <c r="H6098" s="2239"/>
      <c r="V6098" s="1192">
        <v>21</v>
      </c>
    </row>
    <row r="6099" spans="1:22" s="1192" customFormat="1" ht="17.399999999999999" x14ac:dyDescent="0.3">
      <c r="A6099" s="1192" t="s">
        <v>3744</v>
      </c>
      <c r="B6099" s="1192" t="s">
        <v>4205</v>
      </c>
      <c r="C6099" s="1192" t="s">
        <v>2382</v>
      </c>
      <c r="E6099" s="2157" t="s">
        <v>2381</v>
      </c>
      <c r="F6099" s="2157"/>
      <c r="G6099" s="2157"/>
      <c r="H6099" s="2157"/>
      <c r="V6099" s="1192">
        <v>27</v>
      </c>
    </row>
    <row r="6100" spans="1:22" s="1192" customFormat="1" ht="15.6" x14ac:dyDescent="0.3">
      <c r="A6100" s="1192" t="s">
        <v>3744</v>
      </c>
      <c r="B6100" s="1192" t="s">
        <v>4205</v>
      </c>
      <c r="C6100" s="1192" t="s">
        <v>2383</v>
      </c>
      <c r="E6100" s="2071" t="s">
        <v>5937</v>
      </c>
      <c r="F6100" s="2071"/>
      <c r="G6100" s="2071"/>
      <c r="H6100" s="2071"/>
      <c r="S6100" s="1192">
        <v>43831</v>
      </c>
      <c r="V6100" s="1192">
        <v>49</v>
      </c>
    </row>
    <row r="6101" spans="1:22" s="1192" customFormat="1" ht="14.4" x14ac:dyDescent="0.3">
      <c r="A6101" s="1192" t="s">
        <v>3744</v>
      </c>
      <c r="B6101" s="1192" t="s">
        <v>4205</v>
      </c>
      <c r="E6101" s="2072" t="s">
        <v>2842</v>
      </c>
      <c r="F6101" s="2072"/>
      <c r="G6101" s="2072"/>
      <c r="H6101" s="2072"/>
      <c r="V6101" s="1192">
        <v>53</v>
      </c>
    </row>
    <row r="6102" spans="1:22" s="1192" customFormat="1" ht="14.4" x14ac:dyDescent="0.3">
      <c r="A6102" s="1192" t="s">
        <v>3744</v>
      </c>
      <c r="B6102" s="1192" t="s">
        <v>4205</v>
      </c>
      <c r="E6102" s="2072" t="s">
        <v>2385</v>
      </c>
      <c r="F6102" s="2072"/>
      <c r="G6102" s="2072"/>
      <c r="H6102" s="2072"/>
      <c r="V6102" s="1192">
        <v>53</v>
      </c>
    </row>
    <row r="6103" spans="1:22" s="1192" customFormat="1" ht="14.4" x14ac:dyDescent="0.3">
      <c r="A6103" s="1192" t="s">
        <v>3744</v>
      </c>
      <c r="B6103" s="1192" t="s">
        <v>4205</v>
      </c>
      <c r="E6103" s="2065" t="s">
        <v>6296</v>
      </c>
      <c r="F6103" s="2065"/>
      <c r="G6103" s="2065"/>
      <c r="H6103" s="2022"/>
      <c r="K6103" s="1192" t="s">
        <v>6296</v>
      </c>
      <c r="V6103" s="1192">
        <v>12</v>
      </c>
    </row>
    <row r="6104" spans="1:22" s="1192" customFormat="1" ht="17.399999999999999" x14ac:dyDescent="0.3">
      <c r="A6104" s="1192" t="s">
        <v>3744</v>
      </c>
      <c r="B6104" s="1192" t="s">
        <v>4205</v>
      </c>
      <c r="E6104" s="2066" t="s">
        <v>427</v>
      </c>
      <c r="F6104" s="2066"/>
      <c r="G6104" s="2066"/>
      <c r="H6104" s="2066"/>
      <c r="K6104" s="1192" t="s">
        <v>2506</v>
      </c>
      <c r="V6104" s="1192">
        <v>34</v>
      </c>
    </row>
    <row r="6105" spans="1:22" s="1192" customFormat="1" ht="14.4" x14ac:dyDescent="0.3">
      <c r="A6105" s="1192" t="s">
        <v>3744</v>
      </c>
      <c r="B6105" s="1192" t="s">
        <v>4205</v>
      </c>
      <c r="E6105" s="2067" t="s">
        <v>4207</v>
      </c>
      <c r="F6105" s="2067"/>
      <c r="G6105" s="2067"/>
      <c r="H6105" s="2067"/>
      <c r="K6105" s="1192" t="s">
        <v>2506</v>
      </c>
      <c r="V6105" s="1192">
        <v>772</v>
      </c>
    </row>
    <row r="6106" spans="1:22" s="1192" customFormat="1" ht="14.4" x14ac:dyDescent="0.3">
      <c r="A6106" s="1192" t="s">
        <v>3744</v>
      </c>
      <c r="B6106" s="1192" t="s">
        <v>4205</v>
      </c>
      <c r="E6106" s="2060" t="s">
        <v>2389</v>
      </c>
      <c r="F6106" s="2068"/>
      <c r="G6106" s="2067"/>
      <c r="H6106" s="2067"/>
      <c r="K6106" s="1192" t="s">
        <v>2390</v>
      </c>
      <c r="V6106" s="1192">
        <v>11</v>
      </c>
    </row>
    <row r="6107" spans="1:22" s="1192" customFormat="1" ht="14.4" x14ac:dyDescent="0.3">
      <c r="A6107" s="1192" t="s">
        <v>3744</v>
      </c>
      <c r="B6107" s="1192" t="s">
        <v>4205</v>
      </c>
      <c r="E6107" s="2067" t="s">
        <v>2391</v>
      </c>
      <c r="F6107" s="2067"/>
      <c r="G6107" s="2067"/>
      <c r="H6107" s="2067"/>
      <c r="K6107" s="1192" t="s">
        <v>2506</v>
      </c>
      <c r="V6107" s="1192">
        <v>280</v>
      </c>
    </row>
    <row r="6108" spans="1:22" s="1192" customFormat="1" ht="14.4" x14ac:dyDescent="0.3">
      <c r="A6108" s="1192" t="s">
        <v>3744</v>
      </c>
      <c r="B6108" s="1192" t="s">
        <v>4205</v>
      </c>
      <c r="E6108" s="2067" t="s">
        <v>2392</v>
      </c>
      <c r="F6108" s="2067"/>
      <c r="G6108" s="2067"/>
      <c r="H6108" s="2067"/>
      <c r="K6108" s="1192" t="s">
        <v>2506</v>
      </c>
      <c r="V6108" s="1192">
        <v>411</v>
      </c>
    </row>
    <row r="6109" spans="1:22" s="1192" customFormat="1" ht="14.4" x14ac:dyDescent="0.3">
      <c r="A6109" s="1192" t="s">
        <v>3744</v>
      </c>
      <c r="B6109" s="1192" t="s">
        <v>4205</v>
      </c>
      <c r="E6109" s="2067" t="s">
        <v>4126</v>
      </c>
      <c r="F6109" s="2067"/>
      <c r="G6109" s="2067"/>
      <c r="H6109" s="2067"/>
      <c r="K6109" s="1192" t="s">
        <v>2506</v>
      </c>
      <c r="V6109" s="1192">
        <v>387</v>
      </c>
    </row>
    <row r="6110" spans="1:22" s="1192" customFormat="1" ht="14.4" x14ac:dyDescent="0.3">
      <c r="A6110" s="1192" t="s">
        <v>3744</v>
      </c>
      <c r="B6110" s="1192" t="s">
        <v>4205</v>
      </c>
      <c r="E6110" s="2067" t="s">
        <v>2986</v>
      </c>
      <c r="F6110" s="2067"/>
      <c r="G6110" s="2067"/>
      <c r="H6110" s="2067"/>
      <c r="K6110" s="1192" t="s">
        <v>2506</v>
      </c>
      <c r="V6110" s="1192">
        <v>246</v>
      </c>
    </row>
    <row r="6111" spans="1:22" s="1192" customFormat="1" ht="14.4" x14ac:dyDescent="0.3">
      <c r="A6111" s="1192" t="s">
        <v>3744</v>
      </c>
      <c r="B6111" s="1192" t="s">
        <v>4205</v>
      </c>
      <c r="E6111" s="2069" t="s">
        <v>4127</v>
      </c>
      <c r="F6111" s="2070"/>
      <c r="G6111" s="2070"/>
      <c r="H6111" s="2070"/>
      <c r="K6111" s="1192" t="s">
        <v>2395</v>
      </c>
      <c r="V6111" s="1192">
        <v>46</v>
      </c>
    </row>
    <row r="6112" spans="1:22" s="1192" customFormat="1" ht="14.4" x14ac:dyDescent="0.3">
      <c r="A6112" s="1192" t="s">
        <v>3744</v>
      </c>
      <c r="B6112" s="1192" t="s">
        <v>4205</v>
      </c>
      <c r="E6112" s="2062" t="s">
        <v>7</v>
      </c>
      <c r="F6112" s="2062"/>
      <c r="G6112" s="1282" t="s">
        <v>19</v>
      </c>
      <c r="H6112" s="837">
        <v>28.43</v>
      </c>
      <c r="K6112" s="1192" t="s">
        <v>2506</v>
      </c>
      <c r="L6112" s="1192" t="s">
        <v>430</v>
      </c>
      <c r="P6112" s="1192" t="s">
        <v>2510</v>
      </c>
      <c r="V6112" s="1192">
        <v>14</v>
      </c>
    </row>
    <row r="6113" spans="1:22" s="1192" customFormat="1" ht="14.4" x14ac:dyDescent="0.3">
      <c r="A6113" s="1192" t="s">
        <v>3744</v>
      </c>
      <c r="B6113" s="1192" t="s">
        <v>4205</v>
      </c>
      <c r="E6113" s="2062" t="s">
        <v>4508</v>
      </c>
      <c r="F6113" s="1740"/>
      <c r="G6113" s="799" t="s">
        <v>19</v>
      </c>
      <c r="H6113" s="836">
        <v>0.18</v>
      </c>
      <c r="K6113" s="1192" t="s">
        <v>2506</v>
      </c>
      <c r="L6113" s="1192" t="s">
        <v>430</v>
      </c>
      <c r="P6113" s="1192" t="s">
        <v>6380</v>
      </c>
      <c r="V6113" s="1192">
        <v>154</v>
      </c>
    </row>
    <row r="6114" spans="1:22" s="1192" customFormat="1" ht="14.4" x14ac:dyDescent="0.3">
      <c r="A6114" s="1192" t="s">
        <v>3744</v>
      </c>
      <c r="B6114" s="1192" t="s">
        <v>4205</v>
      </c>
      <c r="E6114" s="2062" t="s">
        <v>4501</v>
      </c>
      <c r="F6114" s="2062"/>
      <c r="G6114" s="1282" t="s">
        <v>19</v>
      </c>
      <c r="H6114" s="859">
        <v>0.11</v>
      </c>
      <c r="K6114" s="1192" t="s">
        <v>2506</v>
      </c>
      <c r="L6114" s="1192" t="s">
        <v>430</v>
      </c>
      <c r="P6114" s="1192" t="s">
        <v>6381</v>
      </c>
      <c r="V6114" s="1192">
        <v>135</v>
      </c>
    </row>
    <row r="6115" spans="1:22" s="1192" customFormat="1" ht="14.4" x14ac:dyDescent="0.3">
      <c r="A6115" s="1192" t="s">
        <v>3744</v>
      </c>
      <c r="B6115" s="1192" t="s">
        <v>4205</v>
      </c>
      <c r="E6115" s="2062" t="s">
        <v>3900</v>
      </c>
      <c r="F6115" s="2062"/>
      <c r="G6115" s="1282" t="s">
        <v>19</v>
      </c>
      <c r="H6115" s="859">
        <v>0.56999999999999995</v>
      </c>
      <c r="K6115" s="1192" t="s">
        <v>2506</v>
      </c>
      <c r="L6115" s="1192" t="s">
        <v>431</v>
      </c>
      <c r="P6115" s="1192" t="s">
        <v>2511</v>
      </c>
      <c r="T6115" s="1192">
        <v>44926</v>
      </c>
      <c r="V6115" s="1192">
        <v>64</v>
      </c>
    </row>
    <row r="6116" spans="1:22" s="1192" customFormat="1" ht="14.4" x14ac:dyDescent="0.3">
      <c r="A6116" s="1192" t="s">
        <v>3744</v>
      </c>
      <c r="B6116" s="1192" t="s">
        <v>4205</v>
      </c>
      <c r="E6116" s="2062" t="s">
        <v>3698</v>
      </c>
      <c r="F6116" s="2062"/>
      <c r="G6116" s="1282" t="s">
        <v>20</v>
      </c>
      <c r="H6116" s="859">
        <v>5.0000000000000001E-4</v>
      </c>
      <c r="K6116" s="1192" t="s">
        <v>2506</v>
      </c>
      <c r="L6116" s="1192" t="s">
        <v>431</v>
      </c>
      <c r="P6116" s="1192" t="s">
        <v>2513</v>
      </c>
      <c r="V6116" s="1192">
        <v>25</v>
      </c>
    </row>
    <row r="6117" spans="1:22" s="1192" customFormat="1" ht="14.4" x14ac:dyDescent="0.3">
      <c r="A6117" s="1192" t="s">
        <v>3744</v>
      </c>
      <c r="B6117" s="1192" t="s">
        <v>4205</v>
      </c>
      <c r="E6117" s="2062" t="s">
        <v>6090</v>
      </c>
      <c r="F6117" s="1989"/>
      <c r="G6117" s="1282" t="s">
        <v>20</v>
      </c>
      <c r="H6117" s="1219">
        <v>-2.5999999999999999E-3</v>
      </c>
      <c r="K6117" s="1192" t="s">
        <v>2506</v>
      </c>
      <c r="L6117" s="1192" t="s">
        <v>431</v>
      </c>
      <c r="P6117" s="1192" t="s">
        <v>2514</v>
      </c>
      <c r="T6117" s="1192">
        <v>44196</v>
      </c>
      <c r="V6117" s="1192">
        <v>142</v>
      </c>
    </row>
    <row r="6118" spans="1:22" s="1192" customFormat="1" ht="14.4" x14ac:dyDescent="0.3">
      <c r="A6118" s="1192" t="s">
        <v>3744</v>
      </c>
      <c r="B6118" s="1192" t="s">
        <v>4205</v>
      </c>
      <c r="E6118" s="2062" t="s">
        <v>6123</v>
      </c>
      <c r="F6118" s="1989"/>
      <c r="G6118" s="1282" t="s">
        <v>20</v>
      </c>
      <c r="H6118" s="859">
        <v>6.9999999999999999E-4</v>
      </c>
      <c r="K6118" s="1192" t="s">
        <v>2506</v>
      </c>
      <c r="L6118" s="1192" t="s">
        <v>430</v>
      </c>
      <c r="P6118" s="1192" t="s">
        <v>2515</v>
      </c>
      <c r="T6118" s="1192">
        <v>44196</v>
      </c>
      <c r="V6118" s="1192">
        <v>132</v>
      </c>
    </row>
    <row r="6119" spans="1:22" s="1192" customFormat="1" ht="14.4" x14ac:dyDescent="0.3">
      <c r="A6119" s="1192" t="s">
        <v>3744</v>
      </c>
      <c r="B6119" s="1192" t="s">
        <v>4205</v>
      </c>
      <c r="E6119" s="2062" t="s">
        <v>6087</v>
      </c>
      <c r="F6119" s="1989"/>
      <c r="G6119" s="1282" t="s">
        <v>20</v>
      </c>
      <c r="H6119" s="1219">
        <v>-8.0000000000000004E-4</v>
      </c>
      <c r="K6119" s="1192" t="s">
        <v>2506</v>
      </c>
      <c r="L6119" s="1192" t="s">
        <v>431</v>
      </c>
      <c r="P6119" s="1192" t="s">
        <v>2516</v>
      </c>
      <c r="T6119" s="1192">
        <v>44196</v>
      </c>
      <c r="V6119" s="1192">
        <v>99</v>
      </c>
    </row>
    <row r="6120" spans="1:22" s="1192" customFormat="1" ht="14.4" x14ac:dyDescent="0.3">
      <c r="A6120" s="1192" t="s">
        <v>3744</v>
      </c>
      <c r="B6120" s="1192" t="s">
        <v>4205</v>
      </c>
      <c r="E6120" s="2062" t="s">
        <v>213</v>
      </c>
      <c r="F6120" s="2062"/>
      <c r="G6120" s="1282" t="s">
        <v>20</v>
      </c>
      <c r="H6120" s="837">
        <v>7.9000000000000008E-3</v>
      </c>
      <c r="K6120" s="1192" t="s">
        <v>2506</v>
      </c>
      <c r="L6120" s="1192" t="s">
        <v>432</v>
      </c>
      <c r="P6120" s="1192" t="s">
        <v>2517</v>
      </c>
      <c r="V6120" s="1192">
        <v>47</v>
      </c>
    </row>
    <row r="6121" spans="1:22" s="1192" customFormat="1" ht="14.4" x14ac:dyDescent="0.3">
      <c r="A6121" s="1192" t="s">
        <v>3744</v>
      </c>
      <c r="B6121" s="1192" t="s">
        <v>4205</v>
      </c>
      <c r="E6121" s="2062" t="s">
        <v>209</v>
      </c>
      <c r="F6121" s="2062"/>
      <c r="G6121" s="1282" t="s">
        <v>20</v>
      </c>
      <c r="H6121" s="837">
        <v>4.1000000000000003E-3</v>
      </c>
      <c r="K6121" s="1192" t="s">
        <v>2506</v>
      </c>
      <c r="L6121" s="1192" t="s">
        <v>432</v>
      </c>
      <c r="P6121" s="1192" t="s">
        <v>2518</v>
      </c>
      <c r="V6121" s="1192">
        <v>74</v>
      </c>
    </row>
    <row r="6122" spans="1:22" s="1192" customFormat="1" ht="14.4" x14ac:dyDescent="0.3">
      <c r="A6122" s="1192" t="s">
        <v>3744</v>
      </c>
      <c r="B6122" s="1192" t="s">
        <v>4205</v>
      </c>
      <c r="E6122" s="2060" t="s">
        <v>4129</v>
      </c>
      <c r="F6122" s="2061"/>
      <c r="G6122" s="1282"/>
      <c r="H6122" s="856"/>
      <c r="K6122" s="1192" t="s">
        <v>2406</v>
      </c>
      <c r="V6122" s="1192">
        <v>48</v>
      </c>
    </row>
    <row r="6123" spans="1:22" s="1192" customFormat="1" ht="14.4" x14ac:dyDescent="0.3">
      <c r="A6123" s="1192" t="s">
        <v>3744</v>
      </c>
      <c r="B6123" s="1192" t="s">
        <v>4205</v>
      </c>
      <c r="E6123" s="2062" t="s">
        <v>2033</v>
      </c>
      <c r="F6123" s="2062"/>
      <c r="G6123" s="1282" t="s">
        <v>20</v>
      </c>
      <c r="H6123" s="1219">
        <v>3.0000000000000001E-3</v>
      </c>
      <c r="K6123" s="1192" t="s">
        <v>2506</v>
      </c>
      <c r="L6123" s="1192" t="s">
        <v>2374</v>
      </c>
      <c r="P6123" s="1192" t="s">
        <v>2519</v>
      </c>
      <c r="V6123" s="1192">
        <v>55</v>
      </c>
    </row>
    <row r="6124" spans="1:22" s="1192" customFormat="1" ht="14.4" x14ac:dyDescent="0.3">
      <c r="A6124" s="1192" t="s">
        <v>3744</v>
      </c>
      <c r="B6124" s="1192" t="s">
        <v>4205</v>
      </c>
      <c r="E6124" s="2062" t="s">
        <v>2034</v>
      </c>
      <c r="F6124" s="2062"/>
      <c r="G6124" s="1282" t="s">
        <v>20</v>
      </c>
      <c r="H6124" s="859">
        <v>4.0000000000000002E-4</v>
      </c>
      <c r="K6124" s="1192" t="s">
        <v>2506</v>
      </c>
      <c r="L6124" s="1192" t="s">
        <v>2374</v>
      </c>
      <c r="P6124" s="1192" t="s">
        <v>2519</v>
      </c>
      <c r="V6124" s="1192">
        <v>65</v>
      </c>
    </row>
    <row r="6125" spans="1:22" s="1192" customFormat="1" ht="14.4" x14ac:dyDescent="0.3">
      <c r="A6125" s="1192" t="s">
        <v>3744</v>
      </c>
      <c r="B6125" s="1192" t="s">
        <v>4205</v>
      </c>
      <c r="E6125" s="2062" t="s">
        <v>428</v>
      </c>
      <c r="F6125" s="2062"/>
      <c r="G6125" s="1282" t="s">
        <v>20</v>
      </c>
      <c r="H6125" s="859">
        <v>5.0000000000000001E-4</v>
      </c>
      <c r="K6125" s="1192" t="s">
        <v>2506</v>
      </c>
      <c r="L6125" s="1192" t="s">
        <v>2374</v>
      </c>
      <c r="P6125" s="1192" t="s">
        <v>2520</v>
      </c>
      <c r="V6125" s="1192">
        <v>57</v>
      </c>
    </row>
    <row r="6126" spans="1:22" s="1192" customFormat="1" ht="14.4" x14ac:dyDescent="0.3">
      <c r="A6126" s="1192" t="s">
        <v>3744</v>
      </c>
      <c r="B6126" s="1192" t="s">
        <v>4205</v>
      </c>
      <c r="E6126" s="2062" t="s">
        <v>28</v>
      </c>
      <c r="F6126" s="2062"/>
      <c r="G6126" s="1282" t="s">
        <v>19</v>
      </c>
      <c r="H6126" s="836">
        <v>0.25</v>
      </c>
      <c r="K6126" s="1192" t="s">
        <v>2506</v>
      </c>
      <c r="L6126" s="1192" t="s">
        <v>2374</v>
      </c>
      <c r="P6126" s="1192" t="s">
        <v>2521</v>
      </c>
      <c r="V6126" s="1192">
        <v>63</v>
      </c>
    </row>
    <row r="6127" spans="1:22" s="1192" customFormat="1" ht="17.399999999999999" x14ac:dyDescent="0.3">
      <c r="A6127" s="1192" t="s">
        <v>3744</v>
      </c>
      <c r="B6127" s="1192" t="s">
        <v>4205</v>
      </c>
      <c r="E6127" s="2066" t="s">
        <v>2522</v>
      </c>
      <c r="F6127" s="2066"/>
      <c r="G6127" s="2066"/>
      <c r="H6127" s="2066"/>
      <c r="K6127" s="1192" t="s">
        <v>3901</v>
      </c>
      <c r="V6127" s="1192">
        <v>54</v>
      </c>
    </row>
    <row r="6128" spans="1:22" s="1192" customFormat="1" ht="14.4" x14ac:dyDescent="0.3">
      <c r="A6128" s="1192" t="s">
        <v>3744</v>
      </c>
      <c r="B6128" s="1192" t="s">
        <v>4205</v>
      </c>
      <c r="E6128" s="2067" t="s">
        <v>4532</v>
      </c>
      <c r="F6128" s="2067"/>
      <c r="G6128" s="2067"/>
      <c r="H6128" s="2067"/>
      <c r="K6128" s="1192" t="s">
        <v>3901</v>
      </c>
      <c r="V6128" s="1192">
        <v>333</v>
      </c>
    </row>
    <row r="6129" spans="1:22" s="1192" customFormat="1" ht="14.4" x14ac:dyDescent="0.3">
      <c r="A6129" s="1192" t="s">
        <v>3744</v>
      </c>
      <c r="B6129" s="1192" t="s">
        <v>4205</v>
      </c>
      <c r="E6129" s="2060" t="s">
        <v>2389</v>
      </c>
      <c r="F6129" s="2068"/>
      <c r="G6129" s="2068"/>
      <c r="H6129" s="2068"/>
      <c r="K6129" s="1192" t="s">
        <v>2412</v>
      </c>
      <c r="V6129" s="1192">
        <v>11</v>
      </c>
    </row>
    <row r="6130" spans="1:22" s="1192" customFormat="1" ht="14.4" x14ac:dyDescent="0.3">
      <c r="A6130" s="1192" t="s">
        <v>3744</v>
      </c>
      <c r="B6130" s="1192" t="s">
        <v>4205</v>
      </c>
      <c r="E6130" s="2067" t="s">
        <v>2391</v>
      </c>
      <c r="F6130" s="2067"/>
      <c r="G6130" s="2067"/>
      <c r="H6130" s="2067"/>
      <c r="K6130" s="1192" t="s">
        <v>3901</v>
      </c>
      <c r="V6130" s="1192">
        <v>280</v>
      </c>
    </row>
    <row r="6131" spans="1:22" s="1192" customFormat="1" ht="14.4" x14ac:dyDescent="0.3">
      <c r="A6131" s="1192" t="s">
        <v>3744</v>
      </c>
      <c r="B6131" s="1192" t="s">
        <v>4205</v>
      </c>
      <c r="E6131" s="2067" t="s">
        <v>2392</v>
      </c>
      <c r="F6131" s="2067"/>
      <c r="G6131" s="2067"/>
      <c r="H6131" s="2067"/>
      <c r="K6131" s="1192" t="s">
        <v>3901</v>
      </c>
      <c r="V6131" s="1192">
        <v>411</v>
      </c>
    </row>
    <row r="6132" spans="1:22" s="1192" customFormat="1" ht="14.4" x14ac:dyDescent="0.3">
      <c r="A6132" s="1192" t="s">
        <v>3744</v>
      </c>
      <c r="B6132" s="1192" t="s">
        <v>4205</v>
      </c>
      <c r="E6132" s="2067" t="s">
        <v>4126</v>
      </c>
      <c r="F6132" s="2067"/>
      <c r="G6132" s="2067"/>
      <c r="H6132" s="2067"/>
      <c r="K6132" s="1192" t="s">
        <v>3901</v>
      </c>
      <c r="V6132" s="1192">
        <v>387</v>
      </c>
    </row>
    <row r="6133" spans="1:22" s="1192" customFormat="1" ht="14.4" x14ac:dyDescent="0.3">
      <c r="A6133" s="1192" t="s">
        <v>3744</v>
      </c>
      <c r="B6133" s="1192" t="s">
        <v>4205</v>
      </c>
      <c r="E6133" s="2067" t="s">
        <v>2986</v>
      </c>
      <c r="F6133" s="2067"/>
      <c r="G6133" s="2067"/>
      <c r="H6133" s="2067"/>
      <c r="K6133" s="1192" t="s">
        <v>3901</v>
      </c>
      <c r="V6133" s="1192">
        <v>246</v>
      </c>
    </row>
    <row r="6134" spans="1:22" s="1192" customFormat="1" ht="14.4" x14ac:dyDescent="0.3">
      <c r="A6134" s="1192" t="s">
        <v>3744</v>
      </c>
      <c r="B6134" s="1192" t="s">
        <v>4205</v>
      </c>
      <c r="E6134" s="2069" t="s">
        <v>4127</v>
      </c>
      <c r="F6134" s="2070"/>
      <c r="G6134" s="2070"/>
      <c r="H6134" s="2070"/>
      <c r="K6134" s="1192" t="s">
        <v>2413</v>
      </c>
      <c r="V6134" s="1192">
        <v>46</v>
      </c>
    </row>
    <row r="6135" spans="1:22" s="1192" customFormat="1" ht="14.4" x14ac:dyDescent="0.3">
      <c r="A6135" s="1192" t="s">
        <v>3744</v>
      </c>
      <c r="B6135" s="1192" t="s">
        <v>4205</v>
      </c>
      <c r="E6135" s="2062" t="s">
        <v>7</v>
      </c>
      <c r="F6135" s="2062"/>
      <c r="G6135" s="1282" t="s">
        <v>19</v>
      </c>
      <c r="H6135" s="837">
        <v>29.85</v>
      </c>
      <c r="K6135" s="1192" t="s">
        <v>3901</v>
      </c>
      <c r="L6135" s="1192" t="s">
        <v>430</v>
      </c>
      <c r="P6135" s="1192" t="s">
        <v>3902</v>
      </c>
      <c r="V6135" s="1192">
        <v>14</v>
      </c>
    </row>
    <row r="6136" spans="1:22" s="1192" customFormat="1" ht="14.4" x14ac:dyDescent="0.3">
      <c r="A6136" s="1192" t="s">
        <v>3744</v>
      </c>
      <c r="B6136" s="1192" t="s">
        <v>4205</v>
      </c>
      <c r="E6136" s="2062" t="s">
        <v>4508</v>
      </c>
      <c r="F6136" s="1740"/>
      <c r="G6136" s="799" t="s">
        <v>19</v>
      </c>
      <c r="H6136" s="836">
        <v>0.19</v>
      </c>
      <c r="K6136" s="1192" t="s">
        <v>3901</v>
      </c>
      <c r="L6136" s="1192" t="s">
        <v>430</v>
      </c>
      <c r="P6136" s="1192" t="s">
        <v>6382</v>
      </c>
      <c r="V6136" s="1192">
        <v>154</v>
      </c>
    </row>
    <row r="6137" spans="1:22" s="1192" customFormat="1" ht="14.4" x14ac:dyDescent="0.3">
      <c r="A6137" s="1192" t="s">
        <v>3744</v>
      </c>
      <c r="B6137" s="1192" t="s">
        <v>4205</v>
      </c>
      <c r="E6137" s="2062" t="s">
        <v>4501</v>
      </c>
      <c r="F6137" s="1740"/>
      <c r="G6137" s="1282" t="s">
        <v>19</v>
      </c>
      <c r="H6137" s="859">
        <v>0.12</v>
      </c>
      <c r="K6137" s="1192" t="s">
        <v>3901</v>
      </c>
      <c r="L6137" s="1192" t="s">
        <v>430</v>
      </c>
      <c r="P6137" s="1192" t="s">
        <v>6383</v>
      </c>
      <c r="V6137" s="1192">
        <v>135</v>
      </c>
    </row>
    <row r="6138" spans="1:22" s="1192" customFormat="1" ht="14.4" x14ac:dyDescent="0.3">
      <c r="A6138" s="1192" t="s">
        <v>3744</v>
      </c>
      <c r="B6138" s="1192" t="s">
        <v>4205</v>
      </c>
      <c r="E6138" s="2081" t="s">
        <v>3900</v>
      </c>
      <c r="F6138" s="2081"/>
      <c r="G6138" s="799" t="s">
        <v>19</v>
      </c>
      <c r="H6138" s="859">
        <v>0.56999999999999995</v>
      </c>
      <c r="K6138" s="1192" t="s">
        <v>3901</v>
      </c>
      <c r="L6138" s="1192" t="s">
        <v>431</v>
      </c>
      <c r="P6138" s="1192" t="s">
        <v>3903</v>
      </c>
      <c r="T6138" s="1192">
        <v>44926</v>
      </c>
      <c r="V6138" s="1192">
        <v>64</v>
      </c>
    </row>
    <row r="6139" spans="1:22" s="1192" customFormat="1" ht="14.4" x14ac:dyDescent="0.3">
      <c r="A6139" s="1192" t="s">
        <v>3744</v>
      </c>
      <c r="B6139" s="1192" t="s">
        <v>4205</v>
      </c>
      <c r="E6139" s="2062" t="s">
        <v>80</v>
      </c>
      <c r="F6139" s="2062"/>
      <c r="G6139" s="1282" t="s">
        <v>20</v>
      </c>
      <c r="H6139" s="1219">
        <v>1.9E-2</v>
      </c>
      <c r="K6139" s="1192" t="s">
        <v>3901</v>
      </c>
      <c r="L6139" s="1192" t="s">
        <v>430</v>
      </c>
      <c r="P6139" s="1192" t="s">
        <v>3904</v>
      </c>
      <c r="V6139" s="1192">
        <v>28</v>
      </c>
    </row>
    <row r="6140" spans="1:22" s="1192" customFormat="1" ht="14.4" x14ac:dyDescent="0.3">
      <c r="A6140" s="1192" t="s">
        <v>3744</v>
      </c>
      <c r="B6140" s="1192" t="s">
        <v>4205</v>
      </c>
      <c r="E6140" s="2062" t="s">
        <v>3698</v>
      </c>
      <c r="F6140" s="2062"/>
      <c r="G6140" s="1282" t="s">
        <v>20</v>
      </c>
      <c r="H6140" s="837">
        <v>4.0000000000000002E-4</v>
      </c>
      <c r="K6140" s="1192" t="s">
        <v>3901</v>
      </c>
      <c r="L6140" s="1192" t="s">
        <v>431</v>
      </c>
      <c r="P6140" s="1192" t="s">
        <v>3905</v>
      </c>
      <c r="V6140" s="1192">
        <v>25</v>
      </c>
    </row>
    <row r="6141" spans="1:22" s="1192" customFormat="1" ht="14.4" x14ac:dyDescent="0.3">
      <c r="A6141" s="1192" t="s">
        <v>3744</v>
      </c>
      <c r="B6141" s="1192" t="s">
        <v>4205</v>
      </c>
      <c r="E6141" s="2062" t="s">
        <v>6090</v>
      </c>
      <c r="F6141" s="1989"/>
      <c r="G6141" s="1282" t="s">
        <v>20</v>
      </c>
      <c r="H6141" s="1219">
        <v>-2.5999999999999999E-3</v>
      </c>
      <c r="K6141" s="1192" t="s">
        <v>3901</v>
      </c>
      <c r="L6141" s="1192" t="s">
        <v>431</v>
      </c>
      <c r="P6141" s="1192" t="s">
        <v>3700</v>
      </c>
      <c r="T6141" s="1192">
        <v>44196</v>
      </c>
      <c r="V6141" s="1192">
        <v>142</v>
      </c>
    </row>
    <row r="6142" spans="1:22" s="1192" customFormat="1" ht="14.4" x14ac:dyDescent="0.3">
      <c r="A6142" s="1192" t="s">
        <v>3744</v>
      </c>
      <c r="B6142" s="1192" t="s">
        <v>4205</v>
      </c>
      <c r="E6142" s="2062" t="s">
        <v>6123</v>
      </c>
      <c r="F6142" s="1989"/>
      <c r="G6142" s="1282" t="s">
        <v>20</v>
      </c>
      <c r="H6142" s="859">
        <v>2.0000000000000001E-4</v>
      </c>
      <c r="K6142" s="1192" t="s">
        <v>3901</v>
      </c>
      <c r="L6142" s="1192" t="s">
        <v>430</v>
      </c>
      <c r="P6142" s="1192" t="s">
        <v>4000</v>
      </c>
      <c r="T6142" s="1192">
        <v>44196</v>
      </c>
      <c r="V6142" s="1192">
        <v>132</v>
      </c>
    </row>
    <row r="6143" spans="1:22" s="1192" customFormat="1" ht="14.4" x14ac:dyDescent="0.3">
      <c r="A6143" s="1192" t="s">
        <v>3744</v>
      </c>
      <c r="B6143" s="1192" t="s">
        <v>4205</v>
      </c>
      <c r="E6143" s="2062" t="s">
        <v>6087</v>
      </c>
      <c r="F6143" s="1989"/>
      <c r="G6143" s="1282" t="s">
        <v>20</v>
      </c>
      <c r="H6143" s="1219">
        <v>-6.9999999999999999E-4</v>
      </c>
      <c r="K6143" s="1192" t="s">
        <v>3901</v>
      </c>
      <c r="L6143" s="1192" t="s">
        <v>431</v>
      </c>
      <c r="P6143" s="1192" t="s">
        <v>3911</v>
      </c>
      <c r="T6143" s="1192">
        <v>44196</v>
      </c>
      <c r="V6143" s="1192">
        <v>99</v>
      </c>
    </row>
    <row r="6144" spans="1:22" s="1192" customFormat="1" ht="14.4" x14ac:dyDescent="0.3">
      <c r="A6144" s="1192" t="s">
        <v>3744</v>
      </c>
      <c r="B6144" s="1192" t="s">
        <v>4205</v>
      </c>
      <c r="E6144" s="2062" t="s">
        <v>4508</v>
      </c>
      <c r="F6144" s="1740"/>
      <c r="G6144" s="799" t="s">
        <v>20</v>
      </c>
      <c r="H6144" s="837">
        <v>1E-4</v>
      </c>
      <c r="K6144" s="1192" t="s">
        <v>3901</v>
      </c>
      <c r="L6144" s="1192" t="s">
        <v>430</v>
      </c>
      <c r="P6144" s="1192" t="s">
        <v>6384</v>
      </c>
      <c r="V6144" s="1192">
        <v>154</v>
      </c>
    </row>
    <row r="6145" spans="1:22" s="1192" customFormat="1" ht="14.4" x14ac:dyDescent="0.3">
      <c r="A6145" s="1192" t="s">
        <v>3744</v>
      </c>
      <c r="B6145" s="1192" t="s">
        <v>4205</v>
      </c>
      <c r="E6145" s="2062" t="s">
        <v>4501</v>
      </c>
      <c r="F6145" s="2062"/>
      <c r="G6145" s="1282" t="s">
        <v>20</v>
      </c>
      <c r="H6145" s="837">
        <v>1E-4</v>
      </c>
      <c r="K6145" s="1192" t="s">
        <v>3901</v>
      </c>
      <c r="L6145" s="1192" t="s">
        <v>430</v>
      </c>
      <c r="P6145" s="1192" t="s">
        <v>6385</v>
      </c>
      <c r="V6145" s="1192">
        <v>135</v>
      </c>
    </row>
    <row r="6146" spans="1:22" s="1192" customFormat="1" ht="14.4" x14ac:dyDescent="0.3">
      <c r="A6146" s="1192" t="s">
        <v>3744</v>
      </c>
      <c r="B6146" s="1192" t="s">
        <v>4205</v>
      </c>
      <c r="E6146" s="2062" t="s">
        <v>213</v>
      </c>
      <c r="F6146" s="2062"/>
      <c r="G6146" s="1282" t="s">
        <v>20</v>
      </c>
      <c r="H6146" s="837">
        <v>7.0000000000000001E-3</v>
      </c>
      <c r="K6146" s="1192" t="s">
        <v>3901</v>
      </c>
      <c r="L6146" s="1192" t="s">
        <v>432</v>
      </c>
      <c r="P6146" s="1192" t="s">
        <v>3906</v>
      </c>
      <c r="V6146" s="1192">
        <v>47</v>
      </c>
    </row>
    <row r="6147" spans="1:22" s="1192" customFormat="1" ht="14.4" x14ac:dyDescent="0.3">
      <c r="A6147" s="1192" t="s">
        <v>3744</v>
      </c>
      <c r="B6147" s="1192" t="s">
        <v>4205</v>
      </c>
      <c r="E6147" s="2059" t="s">
        <v>209</v>
      </c>
      <c r="F6147" s="2059"/>
      <c r="G6147" s="1282" t="s">
        <v>20</v>
      </c>
      <c r="H6147" s="837">
        <v>3.5999999999999999E-3</v>
      </c>
      <c r="K6147" s="1192" t="s">
        <v>3901</v>
      </c>
      <c r="L6147" s="1192" t="s">
        <v>432</v>
      </c>
      <c r="P6147" s="1192" t="s">
        <v>3907</v>
      </c>
      <c r="V6147" s="1192">
        <v>74</v>
      </c>
    </row>
    <row r="6148" spans="1:22" s="1192" customFormat="1" ht="14.4" x14ac:dyDescent="0.3">
      <c r="A6148" s="1192" t="s">
        <v>3744</v>
      </c>
      <c r="B6148" s="1192" t="s">
        <v>4205</v>
      </c>
      <c r="E6148" s="2060" t="s">
        <v>4129</v>
      </c>
      <c r="F6148" s="2061"/>
      <c r="G6148" s="1282"/>
      <c r="H6148" s="856"/>
      <c r="K6148" s="1192" t="s">
        <v>2418</v>
      </c>
      <c r="V6148" s="1192">
        <v>48</v>
      </c>
    </row>
    <row r="6149" spans="1:22" s="1192" customFormat="1" ht="14.4" x14ac:dyDescent="0.3">
      <c r="A6149" s="1192" t="s">
        <v>3744</v>
      </c>
      <c r="B6149" s="1192" t="s">
        <v>4205</v>
      </c>
      <c r="E6149" s="2062" t="s">
        <v>2033</v>
      </c>
      <c r="F6149" s="2062"/>
      <c r="G6149" s="1282" t="s">
        <v>20</v>
      </c>
      <c r="H6149" s="837">
        <v>3.0000000000000001E-3</v>
      </c>
      <c r="K6149" s="1192" t="s">
        <v>3901</v>
      </c>
      <c r="L6149" s="1192" t="s">
        <v>2374</v>
      </c>
      <c r="P6149" s="1192" t="s">
        <v>3908</v>
      </c>
      <c r="V6149" s="1192">
        <v>55</v>
      </c>
    </row>
    <row r="6150" spans="1:22" s="1192" customFormat="1" ht="14.4" x14ac:dyDescent="0.3">
      <c r="A6150" s="1192" t="s">
        <v>3744</v>
      </c>
      <c r="B6150" s="1192" t="s">
        <v>4205</v>
      </c>
      <c r="E6150" s="2062" t="s">
        <v>2034</v>
      </c>
      <c r="F6150" s="2062"/>
      <c r="G6150" s="1282" t="s">
        <v>20</v>
      </c>
      <c r="H6150" s="859">
        <v>4.0000000000000002E-4</v>
      </c>
      <c r="K6150" s="1192" t="s">
        <v>3901</v>
      </c>
      <c r="L6150" s="1192" t="s">
        <v>2374</v>
      </c>
      <c r="P6150" s="1192" t="s">
        <v>3908</v>
      </c>
      <c r="V6150" s="1192">
        <v>65</v>
      </c>
    </row>
    <row r="6151" spans="1:22" s="1192" customFormat="1" ht="14.4" x14ac:dyDescent="0.3">
      <c r="A6151" s="1192" t="s">
        <v>3744</v>
      </c>
      <c r="B6151" s="1192" t="s">
        <v>4205</v>
      </c>
      <c r="E6151" s="2062" t="s">
        <v>428</v>
      </c>
      <c r="F6151" s="2062"/>
      <c r="G6151" s="1282" t="s">
        <v>20</v>
      </c>
      <c r="H6151" s="859">
        <v>5.0000000000000001E-4</v>
      </c>
      <c r="K6151" s="1192" t="s">
        <v>3901</v>
      </c>
      <c r="L6151" s="1192" t="s">
        <v>2374</v>
      </c>
      <c r="P6151" s="1192" t="s">
        <v>3909</v>
      </c>
      <c r="V6151" s="1192">
        <v>57</v>
      </c>
    </row>
    <row r="6152" spans="1:22" s="1192" customFormat="1" ht="14.4" x14ac:dyDescent="0.3">
      <c r="A6152" s="1192" t="s">
        <v>3744</v>
      </c>
      <c r="B6152" s="1192" t="s">
        <v>4205</v>
      </c>
      <c r="E6152" s="2062" t="s">
        <v>28</v>
      </c>
      <c r="F6152" s="2062"/>
      <c r="G6152" s="1282" t="s">
        <v>19</v>
      </c>
      <c r="H6152" s="836">
        <v>0.25</v>
      </c>
      <c r="K6152" s="1192" t="s">
        <v>3901</v>
      </c>
      <c r="L6152" s="1192" t="s">
        <v>2374</v>
      </c>
      <c r="P6152" s="1192" t="s">
        <v>3910</v>
      </c>
      <c r="V6152" s="1192">
        <v>63</v>
      </c>
    </row>
    <row r="6153" spans="1:22" s="1192" customFormat="1" ht="17.399999999999999" x14ac:dyDescent="0.3">
      <c r="A6153" s="1192" t="s">
        <v>3744</v>
      </c>
      <c r="B6153" s="1192" t="s">
        <v>4205</v>
      </c>
      <c r="E6153" s="2066" t="s">
        <v>591</v>
      </c>
      <c r="F6153" s="2066"/>
      <c r="G6153" s="2066"/>
      <c r="H6153" s="2066"/>
      <c r="K6153" s="1192" t="s">
        <v>4388</v>
      </c>
      <c r="V6153" s="1192">
        <v>53</v>
      </c>
    </row>
    <row r="6154" spans="1:22" s="1192" customFormat="1" ht="14.4" x14ac:dyDescent="0.3">
      <c r="A6154" s="1192" t="s">
        <v>3744</v>
      </c>
      <c r="B6154" s="1192" t="s">
        <v>4205</v>
      </c>
      <c r="E6154" s="2067" t="s">
        <v>4208</v>
      </c>
      <c r="F6154" s="2067"/>
      <c r="G6154" s="2067"/>
      <c r="H6154" s="2067"/>
      <c r="K6154" s="1192" t="s">
        <v>4388</v>
      </c>
      <c r="V6154" s="1192">
        <v>393</v>
      </c>
    </row>
    <row r="6155" spans="1:22" s="1192" customFormat="1" ht="14.4" x14ac:dyDescent="0.3">
      <c r="A6155" s="1192" t="s">
        <v>3744</v>
      </c>
      <c r="B6155" s="1192" t="s">
        <v>4205</v>
      </c>
      <c r="E6155" s="2060" t="s">
        <v>2389</v>
      </c>
      <c r="F6155" s="2068"/>
      <c r="G6155" s="2068"/>
      <c r="H6155" s="2068"/>
      <c r="K6155" s="1192" t="s">
        <v>2422</v>
      </c>
      <c r="V6155" s="1192">
        <v>11</v>
      </c>
    </row>
    <row r="6156" spans="1:22" s="1192" customFormat="1" ht="14.4" x14ac:dyDescent="0.3">
      <c r="A6156" s="1192" t="s">
        <v>3744</v>
      </c>
      <c r="B6156" s="1192" t="s">
        <v>4205</v>
      </c>
      <c r="E6156" s="2067" t="s">
        <v>2391</v>
      </c>
      <c r="F6156" s="2067"/>
      <c r="G6156" s="2067"/>
      <c r="H6156" s="2067"/>
      <c r="K6156" s="1192" t="s">
        <v>4388</v>
      </c>
      <c r="V6156" s="1192">
        <v>280</v>
      </c>
    </row>
    <row r="6157" spans="1:22" s="1192" customFormat="1" ht="14.4" x14ac:dyDescent="0.3">
      <c r="A6157" s="1192" t="s">
        <v>3744</v>
      </c>
      <c r="B6157" s="1192" t="s">
        <v>4205</v>
      </c>
      <c r="E6157" s="2067" t="s">
        <v>2392</v>
      </c>
      <c r="F6157" s="2067"/>
      <c r="G6157" s="2067"/>
      <c r="H6157" s="2067"/>
      <c r="K6157" s="1192" t="s">
        <v>4388</v>
      </c>
      <c r="V6157" s="1192">
        <v>411</v>
      </c>
    </row>
    <row r="6158" spans="1:22" s="1192" customFormat="1" ht="14.4" x14ac:dyDescent="0.3">
      <c r="A6158" s="1192" t="s">
        <v>3744</v>
      </c>
      <c r="B6158" s="1192" t="s">
        <v>4205</v>
      </c>
      <c r="E6158" s="2067" t="s">
        <v>4126</v>
      </c>
      <c r="F6158" s="2067"/>
      <c r="G6158" s="2067"/>
      <c r="H6158" s="2067"/>
      <c r="K6158" s="1192" t="s">
        <v>4388</v>
      </c>
      <c r="V6158" s="1192">
        <v>387</v>
      </c>
    </row>
    <row r="6159" spans="1:22" s="1192" customFormat="1" ht="14.4" x14ac:dyDescent="0.3">
      <c r="A6159" s="1192" t="s">
        <v>3744</v>
      </c>
      <c r="B6159" s="1192" t="s">
        <v>4205</v>
      </c>
      <c r="E6159" s="2067" t="s">
        <v>4503</v>
      </c>
      <c r="F6159" s="2067"/>
      <c r="G6159" s="2067"/>
      <c r="H6159" s="2067"/>
      <c r="K6159" s="1192" t="s">
        <v>4388</v>
      </c>
      <c r="V6159" s="1192">
        <v>677</v>
      </c>
    </row>
    <row r="6160" spans="1:22" s="1192" customFormat="1" ht="14.4" x14ac:dyDescent="0.3">
      <c r="A6160" s="1192" t="s">
        <v>3744</v>
      </c>
      <c r="B6160" s="1192" t="s">
        <v>4205</v>
      </c>
      <c r="E6160" s="2067" t="s">
        <v>4504</v>
      </c>
      <c r="F6160" s="2067"/>
      <c r="G6160" s="2067"/>
      <c r="H6160" s="2067"/>
      <c r="K6160" s="1192" t="s">
        <v>4388</v>
      </c>
      <c r="V6160" s="1192">
        <v>725</v>
      </c>
    </row>
    <row r="6161" spans="1:22" s="1192" customFormat="1" ht="14.4" x14ac:dyDescent="0.3">
      <c r="A6161" s="1192" t="s">
        <v>3744</v>
      </c>
      <c r="B6161" s="1192" t="s">
        <v>4205</v>
      </c>
      <c r="E6161" s="2067" t="s">
        <v>2986</v>
      </c>
      <c r="F6161" s="2067"/>
      <c r="G6161" s="2067"/>
      <c r="H6161" s="2067"/>
      <c r="K6161" s="1192" t="s">
        <v>4388</v>
      </c>
      <c r="V6161" s="1192">
        <v>246</v>
      </c>
    </row>
    <row r="6162" spans="1:22" s="1192" customFormat="1" ht="14.4" x14ac:dyDescent="0.3">
      <c r="A6162" s="1192" t="s">
        <v>3744</v>
      </c>
      <c r="B6162" s="1192" t="s">
        <v>4205</v>
      </c>
      <c r="E6162" s="2069" t="s">
        <v>4127</v>
      </c>
      <c r="F6162" s="2070"/>
      <c r="G6162" s="2070"/>
      <c r="H6162" s="2070"/>
      <c r="K6162" s="1192" t="s">
        <v>2423</v>
      </c>
      <c r="V6162" s="1192">
        <v>46</v>
      </c>
    </row>
    <row r="6163" spans="1:22" s="1192" customFormat="1" ht="14.4" x14ac:dyDescent="0.3">
      <c r="A6163" s="1192" t="s">
        <v>3744</v>
      </c>
      <c r="B6163" s="1192" t="s">
        <v>4205</v>
      </c>
      <c r="E6163" s="2062" t="s">
        <v>7</v>
      </c>
      <c r="F6163" s="2062"/>
      <c r="G6163" s="1282" t="s">
        <v>19</v>
      </c>
      <c r="H6163" s="509">
        <v>146.4</v>
      </c>
      <c r="K6163" s="1192" t="s">
        <v>4388</v>
      </c>
      <c r="L6163" s="1192" t="s">
        <v>430</v>
      </c>
      <c r="P6163" s="1192" t="s">
        <v>4389</v>
      </c>
      <c r="V6163" s="1192">
        <v>14</v>
      </c>
    </row>
    <row r="6164" spans="1:22" s="1192" customFormat="1" ht="14.4" x14ac:dyDescent="0.3">
      <c r="A6164" s="1192" t="s">
        <v>3744</v>
      </c>
      <c r="B6164" s="1192" t="s">
        <v>4205</v>
      </c>
      <c r="E6164" s="2062" t="s">
        <v>4508</v>
      </c>
      <c r="F6164" s="1740"/>
      <c r="G6164" s="799" t="s">
        <v>19</v>
      </c>
      <c r="H6164" s="836">
        <v>0.95</v>
      </c>
      <c r="K6164" s="1192" t="s">
        <v>4388</v>
      </c>
      <c r="L6164" s="1192" t="s">
        <v>430</v>
      </c>
      <c r="P6164" s="1192" t="s">
        <v>6386</v>
      </c>
      <c r="V6164" s="1192">
        <v>154</v>
      </c>
    </row>
    <row r="6165" spans="1:22" s="1192" customFormat="1" ht="14.4" x14ac:dyDescent="0.3">
      <c r="A6165" s="1192" t="s">
        <v>3744</v>
      </c>
      <c r="B6165" s="1192" t="s">
        <v>4205</v>
      </c>
      <c r="E6165" s="2062" t="s">
        <v>4501</v>
      </c>
      <c r="F6165" s="2062"/>
      <c r="G6165" s="1282" t="s">
        <v>19</v>
      </c>
      <c r="H6165" s="859">
        <v>0.56999999999999995</v>
      </c>
      <c r="K6165" s="1192" t="s">
        <v>4388</v>
      </c>
      <c r="L6165" s="1192" t="s">
        <v>430</v>
      </c>
      <c r="P6165" s="1192" t="s">
        <v>6387</v>
      </c>
      <c r="V6165" s="1192">
        <v>135</v>
      </c>
    </row>
    <row r="6166" spans="1:22" s="1192" customFormat="1" ht="14.4" x14ac:dyDescent="0.3">
      <c r="A6166" s="1192" t="s">
        <v>3744</v>
      </c>
      <c r="B6166" s="1192" t="s">
        <v>4205</v>
      </c>
      <c r="E6166" s="2062" t="s">
        <v>80</v>
      </c>
      <c r="F6166" s="2062"/>
      <c r="G6166" s="1282" t="s">
        <v>29</v>
      </c>
      <c r="H6166" s="837">
        <v>4.3654000000000002</v>
      </c>
      <c r="K6166" s="1192" t="s">
        <v>4388</v>
      </c>
      <c r="L6166" s="1192" t="s">
        <v>430</v>
      </c>
      <c r="P6166" s="1192" t="s">
        <v>4390</v>
      </c>
      <c r="V6166" s="1192">
        <v>28</v>
      </c>
    </row>
    <row r="6167" spans="1:22" s="1192" customFormat="1" ht="14.4" x14ac:dyDescent="0.3">
      <c r="A6167" s="1192" t="s">
        <v>3744</v>
      </c>
      <c r="B6167" s="1192" t="s">
        <v>4205</v>
      </c>
      <c r="E6167" s="2062" t="s">
        <v>3698</v>
      </c>
      <c r="F6167" s="2062"/>
      <c r="G6167" s="1282" t="s">
        <v>29</v>
      </c>
      <c r="H6167" s="837">
        <v>0.15890000000000001</v>
      </c>
      <c r="K6167" s="1192" t="s">
        <v>4388</v>
      </c>
      <c r="L6167" s="1192" t="s">
        <v>431</v>
      </c>
      <c r="P6167" s="1192" t="s">
        <v>4391</v>
      </c>
      <c r="V6167" s="1192">
        <v>25</v>
      </c>
    </row>
    <row r="6168" spans="1:22" s="1192" customFormat="1" ht="14.4" x14ac:dyDescent="0.3">
      <c r="A6168" s="1192" t="s">
        <v>3744</v>
      </c>
      <c r="B6168" s="1192" t="s">
        <v>4205</v>
      </c>
      <c r="E6168" s="2062" t="s">
        <v>6090</v>
      </c>
      <c r="F6168" s="1989"/>
      <c r="G6168" s="1282" t="s">
        <v>20</v>
      </c>
      <c r="H6168" s="1219">
        <v>-2.5999999999999999E-3</v>
      </c>
      <c r="K6168" s="1192" t="s">
        <v>4388</v>
      </c>
      <c r="L6168" s="1192" t="s">
        <v>431</v>
      </c>
      <c r="P6168" s="1192" t="s">
        <v>4397</v>
      </c>
      <c r="T6168" s="1192">
        <v>44196</v>
      </c>
      <c r="V6168" s="1192">
        <v>142</v>
      </c>
    </row>
    <row r="6169" spans="1:22" s="1192" customFormat="1" ht="14.4" x14ac:dyDescent="0.3">
      <c r="A6169" s="1192" t="s">
        <v>3744</v>
      </c>
      <c r="B6169" s="1192" t="s">
        <v>4205</v>
      </c>
      <c r="E6169" s="2062" t="s">
        <v>6123</v>
      </c>
      <c r="F6169" s="1989"/>
      <c r="G6169" s="1282" t="s">
        <v>29</v>
      </c>
      <c r="H6169" s="859">
        <v>7.6499999999999999E-2</v>
      </c>
      <c r="K6169" s="1192" t="s">
        <v>4388</v>
      </c>
      <c r="L6169" s="1192" t="s">
        <v>430</v>
      </c>
      <c r="P6169" s="1192" t="s">
        <v>4400</v>
      </c>
      <c r="T6169" s="1192">
        <v>44196</v>
      </c>
      <c r="V6169" s="1192">
        <v>132</v>
      </c>
    </row>
    <row r="6170" spans="1:22" s="1192" customFormat="1" ht="14.4" x14ac:dyDescent="0.3">
      <c r="A6170" s="1192" t="s">
        <v>3744</v>
      </c>
      <c r="B6170" s="1192" t="s">
        <v>4205</v>
      </c>
      <c r="E6170" s="2062" t="s">
        <v>6146</v>
      </c>
      <c r="F6170" s="1989"/>
      <c r="G6170" s="1282" t="s">
        <v>29</v>
      </c>
      <c r="H6170" s="1219">
        <v>-0.2261</v>
      </c>
      <c r="K6170" s="1192" t="s">
        <v>4388</v>
      </c>
      <c r="L6170" s="1192" t="s">
        <v>431</v>
      </c>
      <c r="P6170" s="1192" t="s">
        <v>4398</v>
      </c>
      <c r="T6170" s="1192">
        <v>44196</v>
      </c>
      <c r="V6170" s="1192">
        <v>159</v>
      </c>
    </row>
    <row r="6171" spans="1:22" s="1192" customFormat="1" ht="14.4" x14ac:dyDescent="0.3">
      <c r="A6171" s="1192" t="s">
        <v>3744</v>
      </c>
      <c r="B6171" s="1192" t="s">
        <v>4205</v>
      </c>
      <c r="E6171" s="2062" t="s">
        <v>6087</v>
      </c>
      <c r="F6171" s="1989"/>
      <c r="G6171" s="1282" t="s">
        <v>29</v>
      </c>
      <c r="H6171" s="1219">
        <v>-2.5499999999999998E-2</v>
      </c>
      <c r="K6171" s="1192" t="s">
        <v>4388</v>
      </c>
      <c r="L6171" s="1192" t="s">
        <v>431</v>
      </c>
      <c r="P6171" s="1192" t="s">
        <v>4398</v>
      </c>
      <c r="T6171" s="1192">
        <v>44196</v>
      </c>
      <c r="V6171" s="1192">
        <v>99</v>
      </c>
    </row>
    <row r="6172" spans="1:22" s="1192" customFormat="1" ht="14.4" x14ac:dyDescent="0.3">
      <c r="A6172" s="1192" t="s">
        <v>3744</v>
      </c>
      <c r="B6172" s="1192" t="s">
        <v>4205</v>
      </c>
      <c r="E6172" s="2062" t="s">
        <v>4508</v>
      </c>
      <c r="F6172" s="1740"/>
      <c r="G6172" s="799" t="s">
        <v>29</v>
      </c>
      <c r="H6172" s="837">
        <v>2.8199999999999999E-2</v>
      </c>
      <c r="K6172" s="1192" t="s">
        <v>4388</v>
      </c>
      <c r="L6172" s="1192" t="s">
        <v>430</v>
      </c>
      <c r="P6172" s="1192" t="s">
        <v>4564</v>
      </c>
      <c r="V6172" s="1192">
        <v>154</v>
      </c>
    </row>
    <row r="6173" spans="1:22" s="1192" customFormat="1" ht="14.4" x14ac:dyDescent="0.3">
      <c r="A6173" s="1192" t="s">
        <v>3744</v>
      </c>
      <c r="B6173" s="1192" t="s">
        <v>4205</v>
      </c>
      <c r="E6173" s="2062" t="s">
        <v>4501</v>
      </c>
      <c r="F6173" s="2062"/>
      <c r="G6173" s="1282" t="s">
        <v>29</v>
      </c>
      <c r="H6173" s="837">
        <v>1.6799999999999999E-2</v>
      </c>
      <c r="K6173" s="1192" t="s">
        <v>4388</v>
      </c>
      <c r="L6173" s="1192" t="s">
        <v>430</v>
      </c>
      <c r="P6173" s="1192" t="s">
        <v>6388</v>
      </c>
      <c r="V6173" s="1192">
        <v>135</v>
      </c>
    </row>
    <row r="6174" spans="1:22" s="1192" customFormat="1" ht="14.4" x14ac:dyDescent="0.3">
      <c r="A6174" s="1192" t="s">
        <v>3744</v>
      </c>
      <c r="B6174" s="1192" t="s">
        <v>4205</v>
      </c>
      <c r="E6174" s="2062" t="s">
        <v>213</v>
      </c>
      <c r="F6174" s="2062"/>
      <c r="G6174" s="1282" t="s">
        <v>29</v>
      </c>
      <c r="H6174" s="837">
        <v>2.8123999999999998</v>
      </c>
      <c r="K6174" s="1192" t="s">
        <v>4388</v>
      </c>
      <c r="L6174" s="1192" t="s">
        <v>432</v>
      </c>
      <c r="P6174" s="1192" t="s">
        <v>4392</v>
      </c>
      <c r="V6174" s="1192">
        <v>47</v>
      </c>
    </row>
    <row r="6175" spans="1:22" s="1192" customFormat="1" ht="14.4" x14ac:dyDescent="0.3">
      <c r="A6175" s="1192" t="s">
        <v>3744</v>
      </c>
      <c r="B6175" s="1192" t="s">
        <v>4205</v>
      </c>
      <c r="E6175" s="2062" t="s">
        <v>209</v>
      </c>
      <c r="F6175" s="2062"/>
      <c r="G6175" s="1282" t="s">
        <v>29</v>
      </c>
      <c r="H6175" s="837">
        <v>1.3734</v>
      </c>
      <c r="K6175" s="1192" t="s">
        <v>4388</v>
      </c>
      <c r="L6175" s="1192" t="s">
        <v>432</v>
      </c>
      <c r="P6175" s="1192" t="s">
        <v>4393</v>
      </c>
      <c r="V6175" s="1192">
        <v>74</v>
      </c>
    </row>
    <row r="6176" spans="1:22" s="1192" customFormat="1" ht="14.4" x14ac:dyDescent="0.3">
      <c r="A6176" s="1192" t="s">
        <v>3744</v>
      </c>
      <c r="B6176" s="1192" t="s">
        <v>4205</v>
      </c>
      <c r="E6176" s="2062" t="s">
        <v>4045</v>
      </c>
      <c r="F6176" s="2062"/>
      <c r="G6176" s="1282" t="s">
        <v>29</v>
      </c>
      <c r="H6176" s="837">
        <v>2.9481000000000002</v>
      </c>
      <c r="K6176" s="1192" t="s">
        <v>4388</v>
      </c>
      <c r="L6176" s="1192" t="s">
        <v>432</v>
      </c>
      <c r="P6176" s="1192" t="s">
        <v>4392</v>
      </c>
      <c r="V6176" s="1192">
        <v>66</v>
      </c>
    </row>
    <row r="6177" spans="1:22" s="1192" customFormat="1" ht="14.4" x14ac:dyDescent="0.3">
      <c r="A6177" s="1192" t="s">
        <v>3744</v>
      </c>
      <c r="B6177" s="1192" t="s">
        <v>4205</v>
      </c>
      <c r="E6177" s="2062" t="s">
        <v>4209</v>
      </c>
      <c r="F6177" s="2062"/>
      <c r="G6177" s="1282" t="s">
        <v>29</v>
      </c>
      <c r="H6177" s="1219">
        <v>1.486</v>
      </c>
      <c r="K6177" s="1192" t="s">
        <v>4388</v>
      </c>
      <c r="L6177" s="1192" t="s">
        <v>432</v>
      </c>
      <c r="P6177" s="1192" t="s">
        <v>4393</v>
      </c>
      <c r="V6177" s="1192">
        <v>93</v>
      </c>
    </row>
    <row r="6178" spans="1:22" s="1192" customFormat="1" ht="14.4" x14ac:dyDescent="0.3">
      <c r="A6178" s="1192" t="s">
        <v>3744</v>
      </c>
      <c r="B6178" s="1192" t="s">
        <v>4205</v>
      </c>
      <c r="E6178" s="2060" t="s">
        <v>4129</v>
      </c>
      <c r="F6178" s="2061"/>
      <c r="G6178" s="1282"/>
      <c r="H6178" s="856"/>
      <c r="K6178" s="1192" t="s">
        <v>2526</v>
      </c>
      <c r="V6178" s="1192">
        <v>48</v>
      </c>
    </row>
    <row r="6179" spans="1:22" s="1192" customFormat="1" ht="14.4" x14ac:dyDescent="0.3">
      <c r="A6179" s="1192" t="s">
        <v>3744</v>
      </c>
      <c r="B6179" s="1192" t="s">
        <v>4205</v>
      </c>
      <c r="E6179" s="2062" t="s">
        <v>2033</v>
      </c>
      <c r="F6179" s="2062"/>
      <c r="G6179" s="1282" t="s">
        <v>20</v>
      </c>
      <c r="H6179" s="1219">
        <v>3.0000000000000001E-3</v>
      </c>
      <c r="K6179" s="1192" t="s">
        <v>4388</v>
      </c>
      <c r="L6179" s="1192" t="s">
        <v>2374</v>
      </c>
      <c r="P6179" s="1192" t="s">
        <v>4394</v>
      </c>
      <c r="V6179" s="1192">
        <v>55</v>
      </c>
    </row>
    <row r="6180" spans="1:22" s="1192" customFormat="1" ht="14.4" x14ac:dyDescent="0.3">
      <c r="A6180" s="1192" t="s">
        <v>3744</v>
      </c>
      <c r="B6180" s="1192" t="s">
        <v>4205</v>
      </c>
      <c r="E6180" s="2062" t="s">
        <v>2034</v>
      </c>
      <c r="F6180" s="2062"/>
      <c r="G6180" s="1282" t="s">
        <v>20</v>
      </c>
      <c r="H6180" s="859">
        <v>4.0000000000000002E-4</v>
      </c>
      <c r="K6180" s="1192" t="s">
        <v>4388</v>
      </c>
      <c r="L6180" s="1192" t="s">
        <v>2374</v>
      </c>
      <c r="P6180" s="1192" t="s">
        <v>4394</v>
      </c>
      <c r="V6180" s="1192">
        <v>65</v>
      </c>
    </row>
    <row r="6181" spans="1:22" s="1192" customFormat="1" ht="14.4" x14ac:dyDescent="0.3">
      <c r="A6181" s="1192" t="s">
        <v>3744</v>
      </c>
      <c r="B6181" s="1192" t="s">
        <v>4205</v>
      </c>
      <c r="E6181" s="2062" t="s">
        <v>428</v>
      </c>
      <c r="F6181" s="2062"/>
      <c r="G6181" s="1282" t="s">
        <v>20</v>
      </c>
      <c r="H6181" s="859">
        <v>5.0000000000000001E-4</v>
      </c>
      <c r="K6181" s="1192" t="s">
        <v>4388</v>
      </c>
      <c r="L6181" s="1192" t="s">
        <v>2374</v>
      </c>
      <c r="P6181" s="1192" t="s">
        <v>4395</v>
      </c>
      <c r="V6181" s="1192">
        <v>57</v>
      </c>
    </row>
    <row r="6182" spans="1:22" s="1192" customFormat="1" ht="14.4" x14ac:dyDescent="0.3">
      <c r="A6182" s="1192" t="s">
        <v>3744</v>
      </c>
      <c r="B6182" s="1192" t="s">
        <v>4205</v>
      </c>
      <c r="E6182" s="2062" t="s">
        <v>28</v>
      </c>
      <c r="F6182" s="2062"/>
      <c r="G6182" s="1282" t="s">
        <v>19</v>
      </c>
      <c r="H6182" s="836">
        <v>0.25</v>
      </c>
      <c r="K6182" s="1192" t="s">
        <v>4388</v>
      </c>
      <c r="L6182" s="1192" t="s">
        <v>2374</v>
      </c>
      <c r="P6182" s="1192" t="s">
        <v>4396</v>
      </c>
      <c r="V6182" s="1192">
        <v>63</v>
      </c>
    </row>
    <row r="6183" spans="1:22" s="1192" customFormat="1" ht="17.399999999999999" x14ac:dyDescent="0.3">
      <c r="A6183" s="1192" t="s">
        <v>3744</v>
      </c>
      <c r="B6183" s="1192" t="s">
        <v>4205</v>
      </c>
      <c r="E6183" s="2066" t="s">
        <v>596</v>
      </c>
      <c r="F6183" s="2066"/>
      <c r="G6183" s="2066"/>
      <c r="H6183" s="2066"/>
      <c r="K6183" s="1192" t="s">
        <v>3407</v>
      </c>
      <c r="V6183" s="1192">
        <v>32</v>
      </c>
    </row>
    <row r="6184" spans="1:22" s="1192" customFormat="1" ht="14.4" x14ac:dyDescent="0.3">
      <c r="A6184" s="1192" t="s">
        <v>3744</v>
      </c>
      <c r="B6184" s="1192" t="s">
        <v>4205</v>
      </c>
      <c r="E6184" s="2067" t="s">
        <v>4044</v>
      </c>
      <c r="F6184" s="2067"/>
      <c r="G6184" s="2067"/>
      <c r="H6184" s="2067"/>
      <c r="K6184" s="1192" t="s">
        <v>3407</v>
      </c>
      <c r="V6184" s="1192">
        <v>323</v>
      </c>
    </row>
    <row r="6185" spans="1:22" s="1192" customFormat="1" ht="14.4" x14ac:dyDescent="0.3">
      <c r="A6185" s="1192" t="s">
        <v>3744</v>
      </c>
      <c r="B6185" s="1192" t="s">
        <v>4205</v>
      </c>
      <c r="E6185" s="2060" t="s">
        <v>2389</v>
      </c>
      <c r="F6185" s="2068"/>
      <c r="G6185" s="2068"/>
      <c r="H6185" s="2068"/>
      <c r="K6185" s="1192" t="s">
        <v>2529</v>
      </c>
      <c r="V6185" s="1192">
        <v>11</v>
      </c>
    </row>
    <row r="6186" spans="1:22" s="1192" customFormat="1" ht="14.4" x14ac:dyDescent="0.3">
      <c r="A6186" s="1192" t="s">
        <v>3744</v>
      </c>
      <c r="B6186" s="1192" t="s">
        <v>4205</v>
      </c>
      <c r="E6186" s="2067" t="s">
        <v>2391</v>
      </c>
      <c r="F6186" s="2067"/>
      <c r="G6186" s="2067"/>
      <c r="H6186" s="2067"/>
      <c r="K6186" s="1192" t="s">
        <v>3407</v>
      </c>
      <c r="V6186" s="1192">
        <v>280</v>
      </c>
    </row>
    <row r="6187" spans="1:22" s="1192" customFormat="1" ht="14.4" x14ac:dyDescent="0.3">
      <c r="A6187" s="1192" t="s">
        <v>3744</v>
      </c>
      <c r="B6187" s="1192" t="s">
        <v>4205</v>
      </c>
      <c r="E6187" s="2067" t="s">
        <v>2392</v>
      </c>
      <c r="F6187" s="2067"/>
      <c r="G6187" s="2067"/>
      <c r="H6187" s="2067"/>
      <c r="K6187" s="1192" t="s">
        <v>3407</v>
      </c>
      <c r="V6187" s="1192">
        <v>411</v>
      </c>
    </row>
    <row r="6188" spans="1:22" s="1192" customFormat="1" ht="14.4" x14ac:dyDescent="0.3">
      <c r="A6188" s="1192" t="s">
        <v>3744</v>
      </c>
      <c r="B6188" s="1192" t="s">
        <v>4205</v>
      </c>
      <c r="E6188" s="2067" t="s">
        <v>4126</v>
      </c>
      <c r="F6188" s="2067"/>
      <c r="G6188" s="2067"/>
      <c r="H6188" s="2067"/>
      <c r="K6188" s="1192" t="s">
        <v>3407</v>
      </c>
      <c r="V6188" s="1192">
        <v>387</v>
      </c>
    </row>
    <row r="6189" spans="1:22" s="1192" customFormat="1" ht="14.4" x14ac:dyDescent="0.3">
      <c r="A6189" s="1192" t="s">
        <v>3744</v>
      </c>
      <c r="B6189" s="1192" t="s">
        <v>4205</v>
      </c>
      <c r="E6189" s="2067" t="s">
        <v>4503</v>
      </c>
      <c r="F6189" s="2067"/>
      <c r="G6189" s="2067"/>
      <c r="H6189" s="2067"/>
      <c r="K6189" s="1192" t="s">
        <v>3407</v>
      </c>
      <c r="V6189" s="1192">
        <v>677</v>
      </c>
    </row>
    <row r="6190" spans="1:22" s="1192" customFormat="1" ht="14.4" x14ac:dyDescent="0.3">
      <c r="A6190" s="1192" t="s">
        <v>3744</v>
      </c>
      <c r="B6190" s="1192" t="s">
        <v>4205</v>
      </c>
      <c r="E6190" s="2067" t="s">
        <v>4504</v>
      </c>
      <c r="F6190" s="2067"/>
      <c r="G6190" s="2067"/>
      <c r="H6190" s="2067"/>
      <c r="K6190" s="1192" t="s">
        <v>3407</v>
      </c>
      <c r="V6190" s="1192">
        <v>725</v>
      </c>
    </row>
    <row r="6191" spans="1:22" s="1192" customFormat="1" ht="14.4" x14ac:dyDescent="0.3">
      <c r="A6191" s="1192" t="s">
        <v>3744</v>
      </c>
      <c r="B6191" s="1192" t="s">
        <v>4205</v>
      </c>
      <c r="E6191" s="2067" t="s">
        <v>2986</v>
      </c>
      <c r="F6191" s="2067"/>
      <c r="G6191" s="2067"/>
      <c r="H6191" s="2067"/>
      <c r="K6191" s="1192" t="s">
        <v>3407</v>
      </c>
      <c r="V6191" s="1192">
        <v>246</v>
      </c>
    </row>
    <row r="6192" spans="1:22" s="1192" customFormat="1" ht="14.4" x14ac:dyDescent="0.3">
      <c r="A6192" s="1192" t="s">
        <v>3744</v>
      </c>
      <c r="B6192" s="1192" t="s">
        <v>4205</v>
      </c>
      <c r="E6192" s="2069" t="s">
        <v>4127</v>
      </c>
      <c r="F6192" s="2070"/>
      <c r="G6192" s="2070"/>
      <c r="H6192" s="2070"/>
      <c r="K6192" s="1192" t="s">
        <v>2531</v>
      </c>
      <c r="V6192" s="1192">
        <v>46</v>
      </c>
    </row>
    <row r="6193" spans="1:22" s="1192" customFormat="1" ht="14.4" x14ac:dyDescent="0.3">
      <c r="A6193" s="1192" t="s">
        <v>3744</v>
      </c>
      <c r="B6193" s="1192" t="s">
        <v>4205</v>
      </c>
      <c r="E6193" s="2062" t="s">
        <v>7</v>
      </c>
      <c r="F6193" s="2062"/>
      <c r="G6193" s="1282" t="s">
        <v>19</v>
      </c>
      <c r="H6193" s="837">
        <v>6307.31</v>
      </c>
      <c r="K6193" s="1192" t="s">
        <v>3407</v>
      </c>
      <c r="L6193" s="1192" t="s">
        <v>430</v>
      </c>
      <c r="P6193" s="1192" t="s">
        <v>3409</v>
      </c>
      <c r="V6193" s="1192">
        <v>14</v>
      </c>
    </row>
    <row r="6194" spans="1:22" s="1192" customFormat="1" ht="14.4" x14ac:dyDescent="0.3">
      <c r="A6194" s="1192" t="s">
        <v>3744</v>
      </c>
      <c r="B6194" s="1192" t="s">
        <v>4205</v>
      </c>
      <c r="E6194" s="2062" t="s">
        <v>4508</v>
      </c>
      <c r="F6194" s="1740"/>
      <c r="G6194" s="799" t="s">
        <v>19</v>
      </c>
      <c r="H6194" s="836">
        <v>40.770000000000003</v>
      </c>
      <c r="K6194" s="1192" t="s">
        <v>3407</v>
      </c>
      <c r="L6194" s="1192" t="s">
        <v>430</v>
      </c>
      <c r="P6194" s="1192" t="s">
        <v>6389</v>
      </c>
      <c r="V6194" s="1192">
        <v>154</v>
      </c>
    </row>
    <row r="6195" spans="1:22" s="1192" customFormat="1" ht="14.4" x14ac:dyDescent="0.3">
      <c r="A6195" s="1192" t="s">
        <v>3744</v>
      </c>
      <c r="B6195" s="1192" t="s">
        <v>4205</v>
      </c>
      <c r="E6195" s="2062" t="s">
        <v>4501</v>
      </c>
      <c r="F6195" s="2062"/>
      <c r="G6195" s="1282" t="s">
        <v>19</v>
      </c>
      <c r="H6195" s="859">
        <v>24.34</v>
      </c>
      <c r="K6195" s="1192" t="s">
        <v>3407</v>
      </c>
      <c r="L6195" s="1192" t="s">
        <v>430</v>
      </c>
      <c r="P6195" s="1192" t="s">
        <v>6390</v>
      </c>
      <c r="V6195" s="1192">
        <v>135</v>
      </c>
    </row>
    <row r="6196" spans="1:22" s="1192" customFormat="1" ht="14.4" x14ac:dyDescent="0.3">
      <c r="A6196" s="1192" t="s">
        <v>3744</v>
      </c>
      <c r="B6196" s="1192" t="s">
        <v>4205</v>
      </c>
      <c r="E6196" s="2062" t="s">
        <v>80</v>
      </c>
      <c r="F6196" s="2062"/>
      <c r="G6196" s="1282" t="s">
        <v>29</v>
      </c>
      <c r="H6196" s="837">
        <v>2.3283</v>
      </c>
      <c r="K6196" s="1192" t="s">
        <v>3407</v>
      </c>
      <c r="L6196" s="1192" t="s">
        <v>430</v>
      </c>
      <c r="P6196" s="1192" t="s">
        <v>3410</v>
      </c>
      <c r="V6196" s="1192">
        <v>28</v>
      </c>
    </row>
    <row r="6197" spans="1:22" s="1192" customFormat="1" ht="14.4" x14ac:dyDescent="0.3">
      <c r="A6197" s="1192" t="s">
        <v>3744</v>
      </c>
      <c r="B6197" s="1192" t="s">
        <v>4205</v>
      </c>
      <c r="E6197" s="2062" t="s">
        <v>3698</v>
      </c>
      <c r="F6197" s="2062"/>
      <c r="G6197" s="1282" t="s">
        <v>29</v>
      </c>
      <c r="H6197" s="1219">
        <v>0.16300000000000001</v>
      </c>
      <c r="K6197" s="1192" t="s">
        <v>3407</v>
      </c>
      <c r="L6197" s="1192" t="s">
        <v>431</v>
      </c>
      <c r="P6197" s="1192" t="s">
        <v>3411</v>
      </c>
      <c r="V6197" s="1192">
        <v>25</v>
      </c>
    </row>
    <row r="6198" spans="1:22" s="1192" customFormat="1" ht="14.4" x14ac:dyDescent="0.3">
      <c r="A6198" s="1192" t="s">
        <v>3744</v>
      </c>
      <c r="B6198" s="1192" t="s">
        <v>4205</v>
      </c>
      <c r="E6198" s="2062" t="s">
        <v>6123</v>
      </c>
      <c r="F6198" s="1989"/>
      <c r="G6198" s="1282" t="s">
        <v>29</v>
      </c>
      <c r="H6198" s="859">
        <v>3.5299999999999998E-2</v>
      </c>
      <c r="K6198" s="1192" t="s">
        <v>3407</v>
      </c>
      <c r="L6198" s="1192" t="s">
        <v>430</v>
      </c>
      <c r="P6198" s="1192" t="s">
        <v>3412</v>
      </c>
      <c r="T6198" s="1192">
        <v>44196</v>
      </c>
      <c r="V6198" s="1192">
        <v>132</v>
      </c>
    </row>
    <row r="6199" spans="1:22" s="1192" customFormat="1" ht="14.4" x14ac:dyDescent="0.3">
      <c r="A6199" s="1192" t="s">
        <v>3744</v>
      </c>
      <c r="B6199" s="1192" t="s">
        <v>4205</v>
      </c>
      <c r="E6199" s="2062" t="s">
        <v>6087</v>
      </c>
      <c r="F6199" s="1989"/>
      <c r="G6199" s="1282" t="s">
        <v>29</v>
      </c>
      <c r="H6199" s="1219">
        <v>-0.33910000000000001</v>
      </c>
      <c r="K6199" s="1192" t="s">
        <v>3407</v>
      </c>
      <c r="L6199" s="1192" t="s">
        <v>431</v>
      </c>
      <c r="P6199" s="1192" t="s">
        <v>3413</v>
      </c>
      <c r="T6199" s="1192">
        <v>44196</v>
      </c>
      <c r="V6199" s="1192">
        <v>99</v>
      </c>
    </row>
    <row r="6200" spans="1:22" s="1192" customFormat="1" ht="14.4" x14ac:dyDescent="0.3">
      <c r="A6200" s="1192" t="s">
        <v>3744</v>
      </c>
      <c r="B6200" s="1192" t="s">
        <v>4205</v>
      </c>
      <c r="E6200" s="2062" t="s">
        <v>4508</v>
      </c>
      <c r="F6200" s="1740"/>
      <c r="G6200" s="799" t="s">
        <v>29</v>
      </c>
      <c r="H6200" s="837">
        <v>1.5100000000000001E-2</v>
      </c>
      <c r="K6200" s="1192" t="s">
        <v>3407</v>
      </c>
      <c r="L6200" s="1192" t="s">
        <v>430</v>
      </c>
      <c r="P6200" s="1192" t="s">
        <v>6391</v>
      </c>
      <c r="V6200" s="1192">
        <v>154</v>
      </c>
    </row>
    <row r="6201" spans="1:22" s="1192" customFormat="1" ht="14.4" x14ac:dyDescent="0.3">
      <c r="A6201" s="1192" t="s">
        <v>3744</v>
      </c>
      <c r="B6201" s="1192" t="s">
        <v>4205</v>
      </c>
      <c r="E6201" s="2062" t="s">
        <v>4501</v>
      </c>
      <c r="F6201" s="2062"/>
      <c r="G6201" s="1282" t="s">
        <v>29</v>
      </c>
      <c r="H6201" s="1219">
        <v>8.9999999999999993E-3</v>
      </c>
      <c r="K6201" s="1192" t="s">
        <v>3407</v>
      </c>
      <c r="L6201" s="1192" t="s">
        <v>430</v>
      </c>
      <c r="P6201" s="1192" t="s">
        <v>6392</v>
      </c>
      <c r="V6201" s="1192">
        <v>135</v>
      </c>
    </row>
    <row r="6202" spans="1:22" s="1192" customFormat="1" ht="14.4" x14ac:dyDescent="0.3">
      <c r="A6202" s="1192" t="s">
        <v>3744</v>
      </c>
      <c r="B6202" s="1192" t="s">
        <v>4205</v>
      </c>
      <c r="E6202" s="2062" t="s">
        <v>213</v>
      </c>
      <c r="F6202" s="2062"/>
      <c r="G6202" s="1282" t="s">
        <v>29</v>
      </c>
      <c r="H6202" s="837">
        <v>3.3978000000000002</v>
      </c>
      <c r="K6202" s="1192" t="s">
        <v>3407</v>
      </c>
      <c r="L6202" s="1192" t="s">
        <v>432</v>
      </c>
      <c r="P6202" s="1192" t="s">
        <v>3414</v>
      </c>
      <c r="V6202" s="1192">
        <v>47</v>
      </c>
    </row>
    <row r="6203" spans="1:22" s="1192" customFormat="1" ht="14.4" x14ac:dyDescent="0.3">
      <c r="A6203" s="1192" t="s">
        <v>3744</v>
      </c>
      <c r="B6203" s="1192" t="s">
        <v>4205</v>
      </c>
      <c r="E6203" s="2062" t="s">
        <v>209</v>
      </c>
      <c r="F6203" s="2062"/>
      <c r="G6203" s="1282" t="s">
        <v>29</v>
      </c>
      <c r="H6203" s="837">
        <v>1.4345000000000001</v>
      </c>
      <c r="K6203" s="1192" t="s">
        <v>3407</v>
      </c>
      <c r="L6203" s="1192" t="s">
        <v>432</v>
      </c>
      <c r="P6203" s="1192" t="s">
        <v>4132</v>
      </c>
      <c r="V6203" s="1192">
        <v>74</v>
      </c>
    </row>
    <row r="6204" spans="1:22" s="1192" customFormat="1" ht="14.4" x14ac:dyDescent="0.3">
      <c r="A6204" s="1192" t="s">
        <v>3744</v>
      </c>
      <c r="B6204" s="1192" t="s">
        <v>4205</v>
      </c>
      <c r="E6204" s="2060" t="s">
        <v>4129</v>
      </c>
      <c r="F6204" s="2061"/>
      <c r="G6204" s="855"/>
      <c r="H6204" s="856"/>
      <c r="K6204" s="1192" t="s">
        <v>2532</v>
      </c>
      <c r="V6204" s="1192">
        <v>48</v>
      </c>
    </row>
    <row r="6205" spans="1:22" s="1192" customFormat="1" ht="14.4" x14ac:dyDescent="0.3">
      <c r="A6205" s="1192" t="s">
        <v>3744</v>
      </c>
      <c r="B6205" s="1192" t="s">
        <v>4205</v>
      </c>
      <c r="E6205" s="2062" t="s">
        <v>2033</v>
      </c>
      <c r="F6205" s="2062"/>
      <c r="G6205" s="1282" t="s">
        <v>20</v>
      </c>
      <c r="H6205" s="1219">
        <v>3.0000000000000001E-3</v>
      </c>
      <c r="K6205" s="1192" t="s">
        <v>3407</v>
      </c>
      <c r="L6205" s="1192" t="s">
        <v>2374</v>
      </c>
      <c r="P6205" s="1192" t="s">
        <v>3415</v>
      </c>
      <c r="V6205" s="1192">
        <v>55</v>
      </c>
    </row>
    <row r="6206" spans="1:22" s="1192" customFormat="1" ht="14.4" x14ac:dyDescent="0.3">
      <c r="A6206" s="1192" t="s">
        <v>3744</v>
      </c>
      <c r="B6206" s="1192" t="s">
        <v>4205</v>
      </c>
      <c r="E6206" s="2062" t="s">
        <v>2034</v>
      </c>
      <c r="F6206" s="2062"/>
      <c r="G6206" s="1282" t="s">
        <v>20</v>
      </c>
      <c r="H6206" s="859">
        <v>4.0000000000000002E-4</v>
      </c>
      <c r="K6206" s="1192" t="s">
        <v>3407</v>
      </c>
      <c r="L6206" s="1192" t="s">
        <v>2374</v>
      </c>
      <c r="P6206" s="1192" t="s">
        <v>3415</v>
      </c>
      <c r="V6206" s="1192">
        <v>65</v>
      </c>
    </row>
    <row r="6207" spans="1:22" s="1192" customFormat="1" ht="14.4" x14ac:dyDescent="0.3">
      <c r="A6207" s="1192" t="s">
        <v>3744</v>
      </c>
      <c r="B6207" s="1192" t="s">
        <v>4205</v>
      </c>
      <c r="E6207" s="2062" t="s">
        <v>428</v>
      </c>
      <c r="F6207" s="2062"/>
      <c r="G6207" s="1282" t="s">
        <v>20</v>
      </c>
      <c r="H6207" s="859">
        <v>5.0000000000000001E-4</v>
      </c>
      <c r="K6207" s="1192" t="s">
        <v>3407</v>
      </c>
      <c r="L6207" s="1192" t="s">
        <v>2374</v>
      </c>
      <c r="P6207" s="1192" t="s">
        <v>3416</v>
      </c>
      <c r="V6207" s="1192">
        <v>57</v>
      </c>
    </row>
    <row r="6208" spans="1:22" s="1192" customFormat="1" ht="14.4" x14ac:dyDescent="0.3">
      <c r="A6208" s="1192" t="s">
        <v>3744</v>
      </c>
      <c r="B6208" s="1192" t="s">
        <v>4205</v>
      </c>
      <c r="E6208" s="2062" t="s">
        <v>28</v>
      </c>
      <c r="F6208" s="2062"/>
      <c r="G6208" s="1282" t="s">
        <v>19</v>
      </c>
      <c r="H6208" s="836">
        <v>0.25</v>
      </c>
      <c r="K6208" s="1192" t="s">
        <v>3407</v>
      </c>
      <c r="L6208" s="1192" t="s">
        <v>2374</v>
      </c>
      <c r="P6208" s="1192" t="s">
        <v>3417</v>
      </c>
      <c r="V6208" s="1192">
        <v>63</v>
      </c>
    </row>
    <row r="6209" spans="1:22" s="1192" customFormat="1" ht="17.399999999999999" x14ac:dyDescent="0.3">
      <c r="A6209" s="1192" t="s">
        <v>3744</v>
      </c>
      <c r="B6209" s="1192" t="s">
        <v>4205</v>
      </c>
      <c r="E6209" s="2066" t="s">
        <v>1492</v>
      </c>
      <c r="F6209" s="2066"/>
      <c r="G6209" s="2066"/>
      <c r="H6209" s="2066"/>
      <c r="K6209" s="1192" t="s">
        <v>4210</v>
      </c>
      <c r="V6209" s="1192">
        <v>37</v>
      </c>
    </row>
    <row r="6210" spans="1:22" s="1192" customFormat="1" ht="14.4" x14ac:dyDescent="0.3">
      <c r="A6210" s="1192" t="s">
        <v>3744</v>
      </c>
      <c r="B6210" s="1192" t="s">
        <v>4205</v>
      </c>
      <c r="E6210" s="2067" t="s">
        <v>3070</v>
      </c>
      <c r="F6210" s="2067"/>
      <c r="G6210" s="2067"/>
      <c r="H6210" s="2067"/>
      <c r="K6210" s="1192" t="s">
        <v>4210</v>
      </c>
      <c r="V6210" s="1192">
        <v>220</v>
      </c>
    </row>
    <row r="6211" spans="1:22" s="1192" customFormat="1" ht="14.4" x14ac:dyDescent="0.3">
      <c r="A6211" s="1192" t="s">
        <v>3744</v>
      </c>
      <c r="B6211" s="1192" t="s">
        <v>4205</v>
      </c>
      <c r="E6211" s="2060" t="s">
        <v>2389</v>
      </c>
      <c r="F6211" s="2068"/>
      <c r="G6211" s="2068"/>
      <c r="H6211" s="2068"/>
      <c r="K6211" s="1192" t="s">
        <v>2424</v>
      </c>
      <c r="V6211" s="1192">
        <v>11</v>
      </c>
    </row>
    <row r="6212" spans="1:22" s="1192" customFormat="1" ht="14.4" x14ac:dyDescent="0.3">
      <c r="A6212" s="1192" t="s">
        <v>3744</v>
      </c>
      <c r="B6212" s="1192" t="s">
        <v>4205</v>
      </c>
      <c r="E6212" s="2067" t="s">
        <v>2391</v>
      </c>
      <c r="F6212" s="2067"/>
      <c r="G6212" s="2067"/>
      <c r="H6212" s="2067"/>
      <c r="K6212" s="1192" t="s">
        <v>4210</v>
      </c>
      <c r="V6212" s="1192">
        <v>280</v>
      </c>
    </row>
    <row r="6213" spans="1:22" s="1192" customFormat="1" ht="14.4" x14ac:dyDescent="0.3">
      <c r="A6213" s="1192" t="s">
        <v>3744</v>
      </c>
      <c r="B6213" s="1192" t="s">
        <v>4205</v>
      </c>
      <c r="E6213" s="2067" t="s">
        <v>2392</v>
      </c>
      <c r="F6213" s="2067"/>
      <c r="G6213" s="2067"/>
      <c r="H6213" s="2067"/>
      <c r="K6213" s="1192" t="s">
        <v>4210</v>
      </c>
      <c r="V6213" s="1192">
        <v>411</v>
      </c>
    </row>
    <row r="6214" spans="1:22" s="1192" customFormat="1" ht="14.4" x14ac:dyDescent="0.3">
      <c r="A6214" s="1192" t="s">
        <v>3744</v>
      </c>
      <c r="B6214" s="1192" t="s">
        <v>4205</v>
      </c>
      <c r="E6214" s="2067" t="s">
        <v>2445</v>
      </c>
      <c r="F6214" s="2067"/>
      <c r="G6214" s="2067"/>
      <c r="H6214" s="2067"/>
      <c r="K6214" s="1192" t="s">
        <v>4210</v>
      </c>
      <c r="V6214" s="1192">
        <v>211</v>
      </c>
    </row>
    <row r="6215" spans="1:22" s="1192" customFormat="1" ht="14.4" x14ac:dyDescent="0.3">
      <c r="A6215" s="1192" t="s">
        <v>3744</v>
      </c>
      <c r="B6215" s="1192" t="s">
        <v>4205</v>
      </c>
      <c r="E6215" s="2067" t="s">
        <v>4533</v>
      </c>
      <c r="F6215" s="2067"/>
      <c r="G6215" s="2067"/>
      <c r="H6215" s="2067"/>
      <c r="K6215" s="1192" t="s">
        <v>4210</v>
      </c>
      <c r="V6215" s="1192">
        <v>250</v>
      </c>
    </row>
    <row r="6216" spans="1:22" s="1192" customFormat="1" ht="14.4" x14ac:dyDescent="0.3">
      <c r="A6216" s="1192" t="s">
        <v>3744</v>
      </c>
      <c r="B6216" s="1192" t="s">
        <v>4205</v>
      </c>
      <c r="E6216" s="2069" t="s">
        <v>4145</v>
      </c>
      <c r="F6216" s="2070"/>
      <c r="G6216" s="2070"/>
      <c r="H6216" s="2070"/>
      <c r="K6216" s="1192" t="s">
        <v>2425</v>
      </c>
      <c r="V6216" s="1192">
        <v>77</v>
      </c>
    </row>
    <row r="6217" spans="1:22" s="1192" customFormat="1" ht="14.4" x14ac:dyDescent="0.3">
      <c r="A6217" s="1192" t="s">
        <v>3744</v>
      </c>
      <c r="B6217" s="1192" t="s">
        <v>4205</v>
      </c>
      <c r="E6217" s="2059" t="s">
        <v>4534</v>
      </c>
      <c r="F6217" s="2059"/>
      <c r="G6217" s="1282" t="s">
        <v>29</v>
      </c>
      <c r="H6217" s="836">
        <v>2.8816000000000002</v>
      </c>
      <c r="K6217" s="1192" t="s">
        <v>4210</v>
      </c>
      <c r="L6217" s="1192" t="s">
        <v>430</v>
      </c>
      <c r="P6217" s="1192" t="s">
        <v>4427</v>
      </c>
      <c r="V6217" s="1192">
        <v>161</v>
      </c>
    </row>
    <row r="6218" spans="1:22" s="1192" customFormat="1" ht="17.399999999999999" x14ac:dyDescent="0.3">
      <c r="A6218" s="1192" t="s">
        <v>3744</v>
      </c>
      <c r="B6218" s="1192" t="s">
        <v>4205</v>
      </c>
      <c r="E6218" s="2066" t="s">
        <v>592</v>
      </c>
      <c r="F6218" s="2066"/>
      <c r="G6218" s="2066"/>
      <c r="H6218" s="2066"/>
      <c r="K6218" s="1192" t="s">
        <v>2543</v>
      </c>
      <c r="V6218" s="1192">
        <v>47</v>
      </c>
    </row>
    <row r="6219" spans="1:22" s="1192" customFormat="1" ht="14.4" x14ac:dyDescent="0.3">
      <c r="A6219" s="1192" t="s">
        <v>3744</v>
      </c>
      <c r="B6219" s="1192" t="s">
        <v>4205</v>
      </c>
      <c r="E6219" s="2067" t="s">
        <v>4211</v>
      </c>
      <c r="F6219" s="2067"/>
      <c r="G6219" s="2067"/>
      <c r="H6219" s="2067"/>
      <c r="K6219" s="1192" t="s">
        <v>2543</v>
      </c>
      <c r="V6219" s="1192">
        <v>623</v>
      </c>
    </row>
    <row r="6220" spans="1:22" s="1192" customFormat="1" ht="14.4" x14ac:dyDescent="0.3">
      <c r="A6220" s="1192" t="s">
        <v>3744</v>
      </c>
      <c r="B6220" s="1192" t="s">
        <v>4205</v>
      </c>
      <c r="E6220" s="2060" t="s">
        <v>2389</v>
      </c>
      <c r="F6220" s="2068"/>
      <c r="G6220" s="2068"/>
      <c r="H6220" s="2068"/>
      <c r="K6220" s="1192" t="s">
        <v>2430</v>
      </c>
      <c r="V6220" s="1192">
        <v>11</v>
      </c>
    </row>
    <row r="6221" spans="1:22" s="1192" customFormat="1" ht="14.4" x14ac:dyDescent="0.3">
      <c r="A6221" s="1192" t="s">
        <v>3744</v>
      </c>
      <c r="B6221" s="1192" t="s">
        <v>4205</v>
      </c>
      <c r="E6221" s="2067" t="s">
        <v>2391</v>
      </c>
      <c r="F6221" s="2067"/>
      <c r="G6221" s="2067"/>
      <c r="H6221" s="2067"/>
      <c r="K6221" s="1192" t="s">
        <v>2543</v>
      </c>
      <c r="V6221" s="1192">
        <v>280</v>
      </c>
    </row>
    <row r="6222" spans="1:22" s="1192" customFormat="1" ht="14.4" x14ac:dyDescent="0.3">
      <c r="A6222" s="1192" t="s">
        <v>3744</v>
      </c>
      <c r="B6222" s="1192" t="s">
        <v>4205</v>
      </c>
      <c r="E6222" s="2067" t="s">
        <v>2392</v>
      </c>
      <c r="F6222" s="2067"/>
      <c r="G6222" s="2067"/>
      <c r="H6222" s="2067"/>
      <c r="K6222" s="1192" t="s">
        <v>2543</v>
      </c>
      <c r="V6222" s="1192">
        <v>411</v>
      </c>
    </row>
    <row r="6223" spans="1:22" s="1192" customFormat="1" ht="14.4" x14ac:dyDescent="0.3">
      <c r="A6223" s="1192" t="s">
        <v>3744</v>
      </c>
      <c r="B6223" s="1192" t="s">
        <v>4205</v>
      </c>
      <c r="E6223" s="2067" t="s">
        <v>4126</v>
      </c>
      <c r="F6223" s="2067"/>
      <c r="G6223" s="2067"/>
      <c r="H6223" s="2067"/>
      <c r="K6223" s="1192" t="s">
        <v>2543</v>
      </c>
      <c r="V6223" s="1192">
        <v>387</v>
      </c>
    </row>
    <row r="6224" spans="1:22" s="1192" customFormat="1" ht="14.4" x14ac:dyDescent="0.3">
      <c r="A6224" s="1192" t="s">
        <v>3744</v>
      </c>
      <c r="B6224" s="1192" t="s">
        <v>4205</v>
      </c>
      <c r="E6224" s="2067" t="s">
        <v>2986</v>
      </c>
      <c r="F6224" s="2067"/>
      <c r="G6224" s="2067"/>
      <c r="H6224" s="2067"/>
      <c r="K6224" s="1192" t="s">
        <v>2543</v>
      </c>
      <c r="V6224" s="1192">
        <v>246</v>
      </c>
    </row>
    <row r="6225" spans="1:22" s="1192" customFormat="1" ht="14.4" x14ac:dyDescent="0.3">
      <c r="A6225" s="1192" t="s">
        <v>3744</v>
      </c>
      <c r="B6225" s="1192" t="s">
        <v>4205</v>
      </c>
      <c r="E6225" s="2069" t="s">
        <v>4127</v>
      </c>
      <c r="F6225" s="2070"/>
      <c r="G6225" s="2070"/>
      <c r="H6225" s="2070"/>
      <c r="K6225" s="1192" t="s">
        <v>2431</v>
      </c>
      <c r="V6225" s="1192">
        <v>46</v>
      </c>
    </row>
    <row r="6226" spans="1:22" s="1192" customFormat="1" ht="14.4" x14ac:dyDescent="0.3">
      <c r="A6226" s="1192" t="s">
        <v>3744</v>
      </c>
      <c r="B6226" s="1192" t="s">
        <v>4205</v>
      </c>
      <c r="E6226" s="2062" t="s">
        <v>7</v>
      </c>
      <c r="F6226" s="2062"/>
      <c r="G6226" s="1282" t="s">
        <v>19</v>
      </c>
      <c r="H6226" s="837">
        <v>8.93</v>
      </c>
      <c r="K6226" s="1192" t="s">
        <v>2543</v>
      </c>
      <c r="L6226" s="1192" t="s">
        <v>430</v>
      </c>
      <c r="P6226" s="1192" t="s">
        <v>2545</v>
      </c>
      <c r="V6226" s="1192">
        <v>14</v>
      </c>
    </row>
    <row r="6227" spans="1:22" s="1192" customFormat="1" ht="14.4" x14ac:dyDescent="0.3">
      <c r="A6227" s="1192" t="s">
        <v>3744</v>
      </c>
      <c r="B6227" s="1192" t="s">
        <v>4205</v>
      </c>
      <c r="E6227" s="2062" t="s">
        <v>4508</v>
      </c>
      <c r="F6227" s="1740"/>
      <c r="G6227" s="799" t="s">
        <v>19</v>
      </c>
      <c r="H6227" s="836">
        <v>0.06</v>
      </c>
      <c r="K6227" s="1192" t="s">
        <v>2543</v>
      </c>
      <c r="L6227" s="1192" t="s">
        <v>430</v>
      </c>
      <c r="P6227" s="1192" t="s">
        <v>6393</v>
      </c>
      <c r="V6227" s="1192">
        <v>154</v>
      </c>
    </row>
    <row r="6228" spans="1:22" s="1192" customFormat="1" ht="14.4" x14ac:dyDescent="0.3">
      <c r="A6228" s="1192" t="s">
        <v>3744</v>
      </c>
      <c r="B6228" s="1192" t="s">
        <v>4205</v>
      </c>
      <c r="E6228" s="2062" t="s">
        <v>4501</v>
      </c>
      <c r="F6228" s="2062"/>
      <c r="G6228" s="1282" t="s">
        <v>19</v>
      </c>
      <c r="H6228" s="859">
        <v>0.03</v>
      </c>
      <c r="K6228" s="1192" t="s">
        <v>2543</v>
      </c>
      <c r="L6228" s="1192" t="s">
        <v>430</v>
      </c>
      <c r="P6228" s="1192" t="s">
        <v>6394</v>
      </c>
      <c r="V6228" s="1192">
        <v>135</v>
      </c>
    </row>
    <row r="6229" spans="1:22" s="1192" customFormat="1" ht="14.4" x14ac:dyDescent="0.3">
      <c r="A6229" s="1192" t="s">
        <v>3744</v>
      </c>
      <c r="B6229" s="1192" t="s">
        <v>4205</v>
      </c>
      <c r="E6229" s="2062" t="s">
        <v>80</v>
      </c>
      <c r="F6229" s="2062"/>
      <c r="G6229" s="1282" t="s">
        <v>20</v>
      </c>
      <c r="H6229" s="837">
        <v>2.0199999999999999E-2</v>
      </c>
      <c r="K6229" s="1192" t="s">
        <v>2543</v>
      </c>
      <c r="L6229" s="1192" t="s">
        <v>430</v>
      </c>
      <c r="P6229" s="1192" t="s">
        <v>2546</v>
      </c>
      <c r="V6229" s="1192">
        <v>28</v>
      </c>
    </row>
    <row r="6230" spans="1:22" s="1192" customFormat="1" ht="14.4" x14ac:dyDescent="0.3">
      <c r="A6230" s="1192" t="s">
        <v>3744</v>
      </c>
      <c r="B6230" s="1192" t="s">
        <v>4205</v>
      </c>
      <c r="E6230" s="2062" t="s">
        <v>3698</v>
      </c>
      <c r="F6230" s="2062"/>
      <c r="G6230" s="1282" t="s">
        <v>20</v>
      </c>
      <c r="H6230" s="837">
        <v>5.0000000000000001E-4</v>
      </c>
      <c r="K6230" s="1192" t="s">
        <v>2543</v>
      </c>
      <c r="L6230" s="1192" t="s">
        <v>431</v>
      </c>
      <c r="P6230" s="1192" t="s">
        <v>2547</v>
      </c>
      <c r="V6230" s="1192">
        <v>25</v>
      </c>
    </row>
    <row r="6231" spans="1:22" s="1192" customFormat="1" ht="14.4" x14ac:dyDescent="0.3">
      <c r="A6231" s="1192" t="s">
        <v>3744</v>
      </c>
      <c r="B6231" s="1192" t="s">
        <v>4205</v>
      </c>
      <c r="E6231" s="2062" t="s">
        <v>6090</v>
      </c>
      <c r="F6231" s="1989"/>
      <c r="G6231" s="1282" t="s">
        <v>20</v>
      </c>
      <c r="H6231" s="1219">
        <v>-2.5999999999999999E-3</v>
      </c>
      <c r="K6231" s="1192" t="s">
        <v>2543</v>
      </c>
      <c r="L6231" s="1192" t="s">
        <v>431</v>
      </c>
      <c r="P6231" s="1192" t="s">
        <v>2880</v>
      </c>
      <c r="T6231" s="1192">
        <v>44196</v>
      </c>
      <c r="V6231" s="1192">
        <v>142</v>
      </c>
    </row>
    <row r="6232" spans="1:22" s="1192" customFormat="1" ht="14.4" x14ac:dyDescent="0.3">
      <c r="A6232" s="1192" t="s">
        <v>3744</v>
      </c>
      <c r="B6232" s="1192" t="s">
        <v>4205</v>
      </c>
      <c r="E6232" s="2062" t="s">
        <v>6087</v>
      </c>
      <c r="F6232" s="1989"/>
      <c r="G6232" s="1282" t="s">
        <v>20</v>
      </c>
      <c r="H6232" s="1219">
        <v>-6.9999999999999999E-4</v>
      </c>
      <c r="K6232" s="1192" t="s">
        <v>2543</v>
      </c>
      <c r="L6232" s="1192" t="s">
        <v>431</v>
      </c>
      <c r="P6232" s="1192" t="s">
        <v>2549</v>
      </c>
      <c r="T6232" s="1192">
        <v>44196</v>
      </c>
      <c r="V6232" s="1192">
        <v>99</v>
      </c>
    </row>
    <row r="6233" spans="1:22" s="1192" customFormat="1" ht="14.4" x14ac:dyDescent="0.3">
      <c r="A6233" s="1192" t="s">
        <v>3744</v>
      </c>
      <c r="B6233" s="1192" t="s">
        <v>4205</v>
      </c>
      <c r="E6233" s="2062" t="s">
        <v>4508</v>
      </c>
      <c r="F6233" s="1740"/>
      <c r="G6233" s="799" t="s">
        <v>20</v>
      </c>
      <c r="H6233" s="837">
        <v>1E-4</v>
      </c>
      <c r="K6233" s="1192" t="s">
        <v>2543</v>
      </c>
      <c r="L6233" s="1192" t="s">
        <v>430</v>
      </c>
      <c r="P6233" s="1192" t="s">
        <v>6395</v>
      </c>
      <c r="V6233" s="1192">
        <v>154</v>
      </c>
    </row>
    <row r="6234" spans="1:22" s="1192" customFormat="1" ht="14.4" x14ac:dyDescent="0.3">
      <c r="A6234" s="1192" t="s">
        <v>3744</v>
      </c>
      <c r="B6234" s="1192" t="s">
        <v>4205</v>
      </c>
      <c r="E6234" s="2062" t="s">
        <v>4501</v>
      </c>
      <c r="F6234" s="2062"/>
      <c r="G6234" s="1282" t="s">
        <v>20</v>
      </c>
      <c r="H6234" s="837">
        <v>1E-4</v>
      </c>
      <c r="K6234" s="1192" t="s">
        <v>2543</v>
      </c>
      <c r="L6234" s="1192" t="s">
        <v>430</v>
      </c>
      <c r="P6234" s="1192" t="s">
        <v>6396</v>
      </c>
      <c r="V6234" s="1192">
        <v>135</v>
      </c>
    </row>
    <row r="6235" spans="1:22" s="1192" customFormat="1" ht="14.4" x14ac:dyDescent="0.3">
      <c r="A6235" s="1192" t="s">
        <v>3744</v>
      </c>
      <c r="B6235" s="1192" t="s">
        <v>4205</v>
      </c>
      <c r="E6235" s="2062" t="s">
        <v>213</v>
      </c>
      <c r="F6235" s="2062"/>
      <c r="G6235" s="1282" t="s">
        <v>20</v>
      </c>
      <c r="H6235" s="837">
        <v>6.7000000000000002E-3</v>
      </c>
      <c r="K6235" s="1192" t="s">
        <v>2543</v>
      </c>
      <c r="L6235" s="1192" t="s">
        <v>432</v>
      </c>
      <c r="P6235" s="1192" t="s">
        <v>2550</v>
      </c>
      <c r="V6235" s="1192">
        <v>47</v>
      </c>
    </row>
    <row r="6236" spans="1:22" s="1192" customFormat="1" ht="14.4" x14ac:dyDescent="0.3">
      <c r="A6236" s="1192" t="s">
        <v>3744</v>
      </c>
      <c r="B6236" s="1192" t="s">
        <v>4205</v>
      </c>
      <c r="E6236" s="2062" t="s">
        <v>209</v>
      </c>
      <c r="F6236" s="2062"/>
      <c r="G6236" s="1282" t="s">
        <v>20</v>
      </c>
      <c r="H6236" s="837">
        <v>3.8E-3</v>
      </c>
      <c r="K6236" s="1192" t="s">
        <v>2543</v>
      </c>
      <c r="L6236" s="1192" t="s">
        <v>432</v>
      </c>
      <c r="P6236" s="1192" t="s">
        <v>2551</v>
      </c>
      <c r="V6236" s="1192">
        <v>74</v>
      </c>
    </row>
    <row r="6237" spans="1:22" s="1192" customFormat="1" ht="14.4" x14ac:dyDescent="0.3">
      <c r="A6237" s="1192" t="s">
        <v>3744</v>
      </c>
      <c r="B6237" s="1192" t="s">
        <v>4205</v>
      </c>
      <c r="E6237" s="2060" t="s">
        <v>4129</v>
      </c>
      <c r="F6237" s="2061"/>
      <c r="G6237" s="855"/>
      <c r="H6237" s="856"/>
      <c r="K6237" s="1192" t="s">
        <v>2438</v>
      </c>
      <c r="V6237" s="1192">
        <v>48</v>
      </c>
    </row>
    <row r="6238" spans="1:22" s="1192" customFormat="1" ht="14.4" x14ac:dyDescent="0.3">
      <c r="A6238" s="1192" t="s">
        <v>3744</v>
      </c>
      <c r="B6238" s="1192" t="s">
        <v>4205</v>
      </c>
      <c r="E6238" s="2062" t="s">
        <v>2033</v>
      </c>
      <c r="F6238" s="2062"/>
      <c r="G6238" s="1282" t="s">
        <v>20</v>
      </c>
      <c r="H6238" s="1219">
        <v>3.0000000000000001E-3</v>
      </c>
      <c r="K6238" s="1192" t="s">
        <v>2543</v>
      </c>
      <c r="L6238" s="1192" t="s">
        <v>2374</v>
      </c>
      <c r="P6238" s="1192" t="s">
        <v>2552</v>
      </c>
      <c r="V6238" s="1192">
        <v>55</v>
      </c>
    </row>
    <row r="6239" spans="1:22" s="1192" customFormat="1" ht="14.4" x14ac:dyDescent="0.3">
      <c r="A6239" s="1192" t="s">
        <v>3744</v>
      </c>
      <c r="B6239" s="1192" t="s">
        <v>4205</v>
      </c>
      <c r="E6239" s="2062" t="s">
        <v>2034</v>
      </c>
      <c r="F6239" s="2062"/>
      <c r="G6239" s="1282" t="s">
        <v>20</v>
      </c>
      <c r="H6239" s="859">
        <v>4.0000000000000002E-4</v>
      </c>
      <c r="K6239" s="1192" t="s">
        <v>2543</v>
      </c>
      <c r="L6239" s="1192" t="s">
        <v>2374</v>
      </c>
      <c r="P6239" s="1192" t="s">
        <v>2552</v>
      </c>
      <c r="V6239" s="1192">
        <v>65</v>
      </c>
    </row>
    <row r="6240" spans="1:22" s="1192" customFormat="1" ht="14.4" x14ac:dyDescent="0.3">
      <c r="A6240" s="1192" t="s">
        <v>3744</v>
      </c>
      <c r="B6240" s="1192" t="s">
        <v>4205</v>
      </c>
      <c r="E6240" s="2062" t="s">
        <v>428</v>
      </c>
      <c r="F6240" s="2062"/>
      <c r="G6240" s="1282" t="s">
        <v>20</v>
      </c>
      <c r="H6240" s="859">
        <v>5.0000000000000001E-4</v>
      </c>
      <c r="K6240" s="1192" t="s">
        <v>2543</v>
      </c>
      <c r="L6240" s="1192" t="s">
        <v>2374</v>
      </c>
      <c r="P6240" s="1192" t="s">
        <v>2553</v>
      </c>
      <c r="V6240" s="1192">
        <v>57</v>
      </c>
    </row>
    <row r="6241" spans="1:22" s="1192" customFormat="1" ht="14.4" x14ac:dyDescent="0.3">
      <c r="A6241" s="1192" t="s">
        <v>3744</v>
      </c>
      <c r="B6241" s="1192" t="s">
        <v>4205</v>
      </c>
      <c r="E6241" s="2062" t="s">
        <v>28</v>
      </c>
      <c r="F6241" s="2062"/>
      <c r="G6241" s="1282" t="s">
        <v>19</v>
      </c>
      <c r="H6241" s="836">
        <v>0.25</v>
      </c>
      <c r="K6241" s="1192" t="s">
        <v>2543</v>
      </c>
      <c r="L6241" s="1192" t="s">
        <v>2374</v>
      </c>
      <c r="P6241" s="1192" t="s">
        <v>2554</v>
      </c>
      <c r="V6241" s="1192">
        <v>63</v>
      </c>
    </row>
    <row r="6242" spans="1:22" s="1192" customFormat="1" ht="17.399999999999999" x14ac:dyDescent="0.3">
      <c r="A6242" s="1192" t="s">
        <v>3744</v>
      </c>
      <c r="B6242" s="1192" t="s">
        <v>4205</v>
      </c>
      <c r="E6242" s="2066" t="s">
        <v>604</v>
      </c>
      <c r="F6242" s="2066"/>
      <c r="G6242" s="2066"/>
      <c r="H6242" s="2066"/>
      <c r="K6242" s="1192" t="s">
        <v>2555</v>
      </c>
      <c r="V6242" s="1192">
        <v>40</v>
      </c>
    </row>
    <row r="6243" spans="1:22" s="1192" customFormat="1" ht="14.4" x14ac:dyDescent="0.3">
      <c r="A6243" s="1192" t="s">
        <v>3744</v>
      </c>
      <c r="B6243" s="1192" t="s">
        <v>4205</v>
      </c>
      <c r="E6243" s="2067" t="s">
        <v>4212</v>
      </c>
      <c r="F6243" s="2067"/>
      <c r="G6243" s="2067"/>
      <c r="H6243" s="2067"/>
      <c r="K6243" s="1192" t="s">
        <v>2555</v>
      </c>
      <c r="V6243" s="1192">
        <v>237</v>
      </c>
    </row>
    <row r="6244" spans="1:22" s="1192" customFormat="1" ht="14.4" x14ac:dyDescent="0.3">
      <c r="A6244" s="1192" t="s">
        <v>3744</v>
      </c>
      <c r="B6244" s="1192" t="s">
        <v>4205</v>
      </c>
      <c r="E6244" s="2060" t="s">
        <v>2389</v>
      </c>
      <c r="F6244" s="2068"/>
      <c r="G6244" s="2068"/>
      <c r="H6244" s="2068"/>
      <c r="K6244" s="1192" t="s">
        <v>2444</v>
      </c>
      <c r="V6244" s="1192">
        <v>11</v>
      </c>
    </row>
    <row r="6245" spans="1:22" s="1192" customFormat="1" ht="14.4" x14ac:dyDescent="0.3">
      <c r="A6245" s="1192" t="s">
        <v>3744</v>
      </c>
      <c r="B6245" s="1192" t="s">
        <v>4205</v>
      </c>
      <c r="E6245" s="2067" t="s">
        <v>2391</v>
      </c>
      <c r="F6245" s="2067"/>
      <c r="G6245" s="2067"/>
      <c r="H6245" s="2067"/>
      <c r="K6245" s="1192" t="s">
        <v>2555</v>
      </c>
      <c r="V6245" s="1192">
        <v>280</v>
      </c>
    </row>
    <row r="6246" spans="1:22" s="1192" customFormat="1" ht="14.4" x14ac:dyDescent="0.3">
      <c r="A6246" s="1192" t="s">
        <v>3744</v>
      </c>
      <c r="B6246" s="1192" t="s">
        <v>4205</v>
      </c>
      <c r="E6246" s="2067" t="s">
        <v>2392</v>
      </c>
      <c r="F6246" s="2067"/>
      <c r="G6246" s="2067"/>
      <c r="H6246" s="2067"/>
      <c r="K6246" s="1192" t="s">
        <v>2555</v>
      </c>
      <c r="V6246" s="1192">
        <v>411</v>
      </c>
    </row>
    <row r="6247" spans="1:22" s="1192" customFormat="1" ht="14.4" x14ac:dyDescent="0.3">
      <c r="A6247" s="1192" t="s">
        <v>3744</v>
      </c>
      <c r="B6247" s="1192" t="s">
        <v>4205</v>
      </c>
      <c r="E6247" s="2067" t="s">
        <v>4126</v>
      </c>
      <c r="F6247" s="2067"/>
      <c r="G6247" s="2067"/>
      <c r="H6247" s="2067"/>
      <c r="K6247" s="1192" t="s">
        <v>2555</v>
      </c>
      <c r="V6247" s="1192">
        <v>387</v>
      </c>
    </row>
    <row r="6248" spans="1:22" s="1192" customFormat="1" ht="14.4" x14ac:dyDescent="0.3">
      <c r="A6248" s="1192" t="s">
        <v>3744</v>
      </c>
      <c r="B6248" s="1192" t="s">
        <v>4205</v>
      </c>
      <c r="E6248" s="2067" t="s">
        <v>2986</v>
      </c>
      <c r="F6248" s="2067"/>
      <c r="G6248" s="2067"/>
      <c r="H6248" s="2067"/>
      <c r="K6248" s="1192" t="s">
        <v>2555</v>
      </c>
      <c r="V6248" s="1192">
        <v>246</v>
      </c>
    </row>
    <row r="6249" spans="1:22" s="1192" customFormat="1" ht="14.4" x14ac:dyDescent="0.3">
      <c r="A6249" s="1192" t="s">
        <v>3744</v>
      </c>
      <c r="B6249" s="1192" t="s">
        <v>4205</v>
      </c>
      <c r="E6249" s="2069" t="s">
        <v>4127</v>
      </c>
      <c r="F6249" s="2070"/>
      <c r="G6249" s="2070"/>
      <c r="H6249" s="2070"/>
      <c r="K6249" s="1192" t="s">
        <v>2446</v>
      </c>
      <c r="V6249" s="1192">
        <v>46</v>
      </c>
    </row>
    <row r="6250" spans="1:22" s="1192" customFormat="1" ht="14.4" x14ac:dyDescent="0.3">
      <c r="A6250" s="1192" t="s">
        <v>3744</v>
      </c>
      <c r="B6250" s="1192" t="s">
        <v>4205</v>
      </c>
      <c r="E6250" s="2062" t="s">
        <v>4151</v>
      </c>
      <c r="F6250" s="2062"/>
      <c r="G6250" s="1282" t="s">
        <v>19</v>
      </c>
      <c r="H6250" s="837">
        <v>4.3499999999999996</v>
      </c>
      <c r="K6250" s="1192" t="s">
        <v>2555</v>
      </c>
      <c r="L6250" s="1192" t="s">
        <v>430</v>
      </c>
      <c r="P6250" s="1192" t="s">
        <v>2557</v>
      </c>
      <c r="V6250" s="1192">
        <v>31</v>
      </c>
    </row>
    <row r="6251" spans="1:22" s="1192" customFormat="1" ht="14.4" x14ac:dyDescent="0.3">
      <c r="A6251" s="1192" t="s">
        <v>3744</v>
      </c>
      <c r="B6251" s="1192" t="s">
        <v>4205</v>
      </c>
      <c r="E6251" s="2062" t="s">
        <v>4508</v>
      </c>
      <c r="F6251" s="1740"/>
      <c r="G6251" s="799" t="s">
        <v>19</v>
      </c>
      <c r="H6251" s="836">
        <v>0.03</v>
      </c>
      <c r="K6251" s="1192" t="s">
        <v>2555</v>
      </c>
      <c r="L6251" s="1192" t="s">
        <v>430</v>
      </c>
      <c r="P6251" s="1192" t="s">
        <v>6397</v>
      </c>
      <c r="V6251" s="1192">
        <v>154</v>
      </c>
    </row>
    <row r="6252" spans="1:22" s="1192" customFormat="1" ht="14.4" x14ac:dyDescent="0.3">
      <c r="A6252" s="1192" t="s">
        <v>3744</v>
      </c>
      <c r="B6252" s="1192" t="s">
        <v>4205</v>
      </c>
      <c r="E6252" s="2062" t="s">
        <v>4501</v>
      </c>
      <c r="F6252" s="2062"/>
      <c r="G6252" s="1282" t="s">
        <v>19</v>
      </c>
      <c r="H6252" s="859">
        <v>0.02</v>
      </c>
      <c r="K6252" s="1192" t="s">
        <v>2555</v>
      </c>
      <c r="L6252" s="1192" t="s">
        <v>430</v>
      </c>
      <c r="P6252" s="1192" t="s">
        <v>6398</v>
      </c>
      <c r="V6252" s="1192">
        <v>135</v>
      </c>
    </row>
    <row r="6253" spans="1:22" s="1192" customFormat="1" ht="14.4" x14ac:dyDescent="0.3">
      <c r="A6253" s="1192" t="s">
        <v>3744</v>
      </c>
      <c r="B6253" s="1192" t="s">
        <v>4205</v>
      </c>
      <c r="E6253" s="2062" t="s">
        <v>80</v>
      </c>
      <c r="F6253" s="2062"/>
      <c r="G6253" s="1282" t="s">
        <v>29</v>
      </c>
      <c r="H6253" s="1219">
        <v>10.249000000000001</v>
      </c>
      <c r="K6253" s="1192" t="s">
        <v>2555</v>
      </c>
      <c r="L6253" s="1192" t="s">
        <v>430</v>
      </c>
      <c r="P6253" s="1192" t="s">
        <v>2558</v>
      </c>
      <c r="V6253" s="1192">
        <v>28</v>
      </c>
    </row>
    <row r="6254" spans="1:22" s="1192" customFormat="1" ht="14.4" x14ac:dyDescent="0.3">
      <c r="A6254" s="1192" t="s">
        <v>3744</v>
      </c>
      <c r="B6254" s="1192" t="s">
        <v>4205</v>
      </c>
      <c r="E6254" s="2062" t="s">
        <v>3698</v>
      </c>
      <c r="F6254" s="2062"/>
      <c r="G6254" s="1282" t="s">
        <v>29</v>
      </c>
      <c r="H6254" s="1219">
        <v>0.11700000000000001</v>
      </c>
      <c r="K6254" s="1192" t="s">
        <v>2555</v>
      </c>
      <c r="L6254" s="1192" t="s">
        <v>431</v>
      </c>
      <c r="P6254" s="1192" t="s">
        <v>2559</v>
      </c>
      <c r="V6254" s="1192">
        <v>25</v>
      </c>
    </row>
    <row r="6255" spans="1:22" s="1192" customFormat="1" ht="14.4" x14ac:dyDescent="0.3">
      <c r="A6255" s="1192" t="s">
        <v>3744</v>
      </c>
      <c r="B6255" s="1192" t="s">
        <v>4205</v>
      </c>
      <c r="E6255" s="2062" t="s">
        <v>6090</v>
      </c>
      <c r="F6255" s="1989"/>
      <c r="G6255" s="1282" t="s">
        <v>20</v>
      </c>
      <c r="H6255" s="1219">
        <v>-2.5000000000000001E-3</v>
      </c>
      <c r="K6255" s="1192" t="s">
        <v>2555</v>
      </c>
      <c r="L6255" s="1192" t="s">
        <v>431</v>
      </c>
      <c r="P6255" s="1192" t="s">
        <v>2560</v>
      </c>
      <c r="T6255" s="1192">
        <v>44196</v>
      </c>
      <c r="V6255" s="1192">
        <v>142</v>
      </c>
    </row>
    <row r="6256" spans="1:22" s="1192" customFormat="1" ht="14.4" x14ac:dyDescent="0.3">
      <c r="A6256" s="1192" t="s">
        <v>3744</v>
      </c>
      <c r="B6256" s="1192" t="s">
        <v>4205</v>
      </c>
      <c r="E6256" s="2062" t="s">
        <v>6087</v>
      </c>
      <c r="F6256" s="1989"/>
      <c r="G6256" s="1282" t="s">
        <v>29</v>
      </c>
      <c r="H6256" s="1219">
        <v>-0.23580000000000001</v>
      </c>
      <c r="K6256" s="1192" t="s">
        <v>2555</v>
      </c>
      <c r="L6256" s="1192" t="s">
        <v>431</v>
      </c>
      <c r="P6256" s="1192" t="s">
        <v>2562</v>
      </c>
      <c r="T6256" s="1192">
        <v>44196</v>
      </c>
      <c r="V6256" s="1192">
        <v>99</v>
      </c>
    </row>
    <row r="6257" spans="1:22" s="1192" customFormat="1" ht="14.4" x14ac:dyDescent="0.3">
      <c r="A6257" s="1192" t="s">
        <v>3744</v>
      </c>
      <c r="B6257" s="1192" t="s">
        <v>4205</v>
      </c>
      <c r="E6257" s="2062" t="s">
        <v>4508</v>
      </c>
      <c r="F6257" s="1740"/>
      <c r="G6257" s="799" t="s">
        <v>29</v>
      </c>
      <c r="H6257" s="1219">
        <v>6.6299999999999998E-2</v>
      </c>
      <c r="K6257" s="1192" t="s">
        <v>2555</v>
      </c>
      <c r="L6257" s="1192" t="s">
        <v>430</v>
      </c>
      <c r="P6257" s="1192" t="s">
        <v>6399</v>
      </c>
      <c r="V6257" s="1192">
        <v>154</v>
      </c>
    </row>
    <row r="6258" spans="1:22" s="1192" customFormat="1" ht="14.4" x14ac:dyDescent="0.3">
      <c r="A6258" s="1192" t="s">
        <v>3744</v>
      </c>
      <c r="B6258" s="1192" t="s">
        <v>4205</v>
      </c>
      <c r="E6258" s="2062" t="s">
        <v>4501</v>
      </c>
      <c r="F6258" s="2062"/>
      <c r="G6258" s="1282" t="s">
        <v>29</v>
      </c>
      <c r="H6258" s="1219">
        <v>3.9600000000000003E-2</v>
      </c>
      <c r="K6258" s="1192" t="s">
        <v>2555</v>
      </c>
      <c r="L6258" s="1192" t="s">
        <v>430</v>
      </c>
      <c r="P6258" s="1192" t="s">
        <v>6400</v>
      </c>
      <c r="V6258" s="1192">
        <v>135</v>
      </c>
    </row>
    <row r="6259" spans="1:22" s="1192" customFormat="1" ht="14.4" x14ac:dyDescent="0.3">
      <c r="A6259" s="1192" t="s">
        <v>3744</v>
      </c>
      <c r="B6259" s="1192" t="s">
        <v>4205</v>
      </c>
      <c r="E6259" s="2062" t="s">
        <v>213</v>
      </c>
      <c r="F6259" s="2062"/>
      <c r="G6259" s="1282" t="s">
        <v>29</v>
      </c>
      <c r="H6259" s="1219">
        <v>2.1852999999999998</v>
      </c>
      <c r="K6259" s="1192" t="s">
        <v>2555</v>
      </c>
      <c r="L6259" s="1192" t="s">
        <v>432</v>
      </c>
      <c r="P6259" s="1192" t="s">
        <v>2563</v>
      </c>
      <c r="V6259" s="1192">
        <v>47</v>
      </c>
    </row>
    <row r="6260" spans="1:22" s="1192" customFormat="1" ht="14.4" x14ac:dyDescent="0.3">
      <c r="A6260" s="1192" t="s">
        <v>3744</v>
      </c>
      <c r="B6260" s="1192" t="s">
        <v>4205</v>
      </c>
      <c r="E6260" s="2062" t="s">
        <v>209</v>
      </c>
      <c r="F6260" s="2062"/>
      <c r="G6260" s="1282" t="s">
        <v>29</v>
      </c>
      <c r="H6260" s="1219">
        <v>1.0161</v>
      </c>
      <c r="K6260" s="1192" t="s">
        <v>2555</v>
      </c>
      <c r="L6260" s="1192" t="s">
        <v>432</v>
      </c>
      <c r="P6260" s="1192" t="s">
        <v>2564</v>
      </c>
      <c r="V6260" s="1192">
        <v>74</v>
      </c>
    </row>
    <row r="6261" spans="1:22" s="1192" customFormat="1" ht="14.4" x14ac:dyDescent="0.3">
      <c r="A6261" s="1192" t="s">
        <v>3744</v>
      </c>
      <c r="B6261" s="1192" t="s">
        <v>4205</v>
      </c>
      <c r="E6261" s="2060" t="s">
        <v>4129</v>
      </c>
      <c r="F6261" s="2061"/>
      <c r="G6261" s="855"/>
      <c r="H6261" s="1219"/>
      <c r="K6261" s="1192" t="s">
        <v>2565</v>
      </c>
      <c r="V6261" s="1192">
        <v>48</v>
      </c>
    </row>
    <row r="6262" spans="1:22" s="1192" customFormat="1" ht="14.4" x14ac:dyDescent="0.3">
      <c r="A6262" s="1192" t="s">
        <v>3744</v>
      </c>
      <c r="B6262" s="1192" t="s">
        <v>4205</v>
      </c>
      <c r="E6262" s="2062" t="s">
        <v>2033</v>
      </c>
      <c r="F6262" s="2062"/>
      <c r="G6262" s="1282" t="s">
        <v>20</v>
      </c>
      <c r="H6262" s="1219">
        <v>3.0000000000000001E-3</v>
      </c>
      <c r="K6262" s="1192" t="s">
        <v>2555</v>
      </c>
      <c r="L6262" s="1192" t="s">
        <v>2374</v>
      </c>
      <c r="P6262" s="1192" t="s">
        <v>2566</v>
      </c>
      <c r="V6262" s="1192">
        <v>55</v>
      </c>
    </row>
    <row r="6263" spans="1:22" s="1192" customFormat="1" ht="14.4" x14ac:dyDescent="0.3">
      <c r="A6263" s="1192" t="s">
        <v>3744</v>
      </c>
      <c r="B6263" s="1192" t="s">
        <v>4205</v>
      </c>
      <c r="E6263" s="2062" t="s">
        <v>2034</v>
      </c>
      <c r="F6263" s="2062"/>
      <c r="G6263" s="1282" t="s">
        <v>20</v>
      </c>
      <c r="H6263" s="859">
        <v>4.0000000000000002E-4</v>
      </c>
      <c r="K6263" s="1192" t="s">
        <v>2555</v>
      </c>
      <c r="L6263" s="1192" t="s">
        <v>2374</v>
      </c>
      <c r="P6263" s="1192" t="s">
        <v>2566</v>
      </c>
      <c r="V6263" s="1192">
        <v>65</v>
      </c>
    </row>
    <row r="6264" spans="1:22" s="1192" customFormat="1" ht="14.4" x14ac:dyDescent="0.3">
      <c r="A6264" s="1192" t="s">
        <v>3744</v>
      </c>
      <c r="B6264" s="1192" t="s">
        <v>4205</v>
      </c>
      <c r="E6264" s="2062" t="s">
        <v>428</v>
      </c>
      <c r="F6264" s="2062"/>
      <c r="G6264" s="1282" t="s">
        <v>20</v>
      </c>
      <c r="H6264" s="859">
        <v>5.0000000000000001E-4</v>
      </c>
      <c r="K6264" s="1192" t="s">
        <v>2555</v>
      </c>
      <c r="L6264" s="1192" t="s">
        <v>2374</v>
      </c>
      <c r="P6264" s="1192" t="s">
        <v>2567</v>
      </c>
      <c r="V6264" s="1192">
        <v>57</v>
      </c>
    </row>
    <row r="6265" spans="1:22" s="1192" customFormat="1" ht="14.4" x14ac:dyDescent="0.3">
      <c r="A6265" s="1192" t="s">
        <v>3744</v>
      </c>
      <c r="B6265" s="1192" t="s">
        <v>4205</v>
      </c>
      <c r="E6265" s="2062" t="s">
        <v>28</v>
      </c>
      <c r="F6265" s="2062"/>
      <c r="G6265" s="1282" t="s">
        <v>19</v>
      </c>
      <c r="H6265" s="836">
        <v>0.25</v>
      </c>
      <c r="K6265" s="1192" t="s">
        <v>2555</v>
      </c>
      <c r="L6265" s="1192" t="s">
        <v>2374</v>
      </c>
      <c r="P6265" s="1192" t="s">
        <v>2568</v>
      </c>
      <c r="V6265" s="1192">
        <v>63</v>
      </c>
    </row>
    <row r="6266" spans="1:22" s="1192" customFormat="1" ht="17.399999999999999" x14ac:dyDescent="0.3">
      <c r="A6266" s="1192" t="s">
        <v>3744</v>
      </c>
      <c r="B6266" s="1192" t="s">
        <v>4205</v>
      </c>
      <c r="E6266" s="2066" t="s">
        <v>590</v>
      </c>
      <c r="F6266" s="2066"/>
      <c r="G6266" s="2066"/>
      <c r="H6266" s="2066"/>
      <c r="K6266" s="1192" t="s">
        <v>2569</v>
      </c>
      <c r="V6266" s="1192">
        <v>38</v>
      </c>
    </row>
    <row r="6267" spans="1:22" s="1192" customFormat="1" ht="14.4" x14ac:dyDescent="0.3">
      <c r="A6267" s="1192" t="s">
        <v>3744</v>
      </c>
      <c r="B6267" s="1192" t="s">
        <v>4205</v>
      </c>
      <c r="E6267" s="2067" t="s">
        <v>4213</v>
      </c>
      <c r="F6267" s="2067"/>
      <c r="G6267" s="2067"/>
      <c r="H6267" s="2067"/>
      <c r="K6267" s="1192" t="s">
        <v>2569</v>
      </c>
      <c r="V6267" s="1192">
        <v>555</v>
      </c>
    </row>
    <row r="6268" spans="1:22" s="1192" customFormat="1" ht="14.4" x14ac:dyDescent="0.3">
      <c r="A6268" s="1192" t="s">
        <v>3744</v>
      </c>
      <c r="B6268" s="1192" t="s">
        <v>4205</v>
      </c>
      <c r="E6268" s="2060" t="s">
        <v>2389</v>
      </c>
      <c r="F6268" s="2068"/>
      <c r="G6268" s="2068"/>
      <c r="H6268" s="2068"/>
      <c r="K6268" s="1192" t="s">
        <v>2571</v>
      </c>
      <c r="V6268" s="1192">
        <v>11</v>
      </c>
    </row>
    <row r="6269" spans="1:22" s="1192" customFormat="1" ht="14.4" x14ac:dyDescent="0.3">
      <c r="A6269" s="1192" t="s">
        <v>3744</v>
      </c>
      <c r="B6269" s="1192" t="s">
        <v>4205</v>
      </c>
      <c r="E6269" s="2067" t="s">
        <v>2391</v>
      </c>
      <c r="F6269" s="2067"/>
      <c r="G6269" s="2067"/>
      <c r="H6269" s="2067"/>
      <c r="K6269" s="1192" t="s">
        <v>2569</v>
      </c>
      <c r="V6269" s="1192">
        <v>280</v>
      </c>
    </row>
    <row r="6270" spans="1:22" s="1192" customFormat="1" ht="14.4" x14ac:dyDescent="0.3">
      <c r="A6270" s="1192" t="s">
        <v>3744</v>
      </c>
      <c r="B6270" s="1192" t="s">
        <v>4205</v>
      </c>
      <c r="E6270" s="2067" t="s">
        <v>2392</v>
      </c>
      <c r="F6270" s="2067"/>
      <c r="G6270" s="2067"/>
      <c r="H6270" s="2067"/>
      <c r="K6270" s="1192" t="s">
        <v>2569</v>
      </c>
      <c r="V6270" s="1192">
        <v>411</v>
      </c>
    </row>
    <row r="6271" spans="1:22" s="1192" customFormat="1" ht="14.4" x14ac:dyDescent="0.3">
      <c r="A6271" s="1192" t="s">
        <v>3744</v>
      </c>
      <c r="B6271" s="1192" t="s">
        <v>4205</v>
      </c>
      <c r="E6271" s="2067" t="s">
        <v>4126</v>
      </c>
      <c r="F6271" s="2067"/>
      <c r="G6271" s="2067"/>
      <c r="H6271" s="2067"/>
      <c r="K6271" s="1192" t="s">
        <v>2569</v>
      </c>
      <c r="V6271" s="1192">
        <v>387</v>
      </c>
    </row>
    <row r="6272" spans="1:22" s="1192" customFormat="1" ht="14.4" x14ac:dyDescent="0.3">
      <c r="A6272" s="1192" t="s">
        <v>3744</v>
      </c>
      <c r="B6272" s="1192" t="s">
        <v>4205</v>
      </c>
      <c r="E6272" s="2067" t="s">
        <v>2986</v>
      </c>
      <c r="F6272" s="2067"/>
      <c r="G6272" s="2067"/>
      <c r="H6272" s="2067"/>
      <c r="K6272" s="1192" t="s">
        <v>2569</v>
      </c>
      <c r="V6272" s="1192">
        <v>246</v>
      </c>
    </row>
    <row r="6273" spans="1:22" s="1192" customFormat="1" ht="14.4" x14ac:dyDescent="0.3">
      <c r="A6273" s="1192" t="s">
        <v>3744</v>
      </c>
      <c r="B6273" s="1192" t="s">
        <v>4205</v>
      </c>
      <c r="E6273" s="2069" t="s">
        <v>4127</v>
      </c>
      <c r="F6273" s="2070"/>
      <c r="G6273" s="2070"/>
      <c r="H6273" s="2070"/>
      <c r="K6273" s="1192" t="s">
        <v>2572</v>
      </c>
      <c r="V6273" s="1192">
        <v>46</v>
      </c>
    </row>
    <row r="6274" spans="1:22" s="1192" customFormat="1" ht="14.4" x14ac:dyDescent="0.3">
      <c r="A6274" s="1192" t="s">
        <v>3744</v>
      </c>
      <c r="B6274" s="1192" t="s">
        <v>4205</v>
      </c>
      <c r="E6274" s="2062" t="s">
        <v>4152</v>
      </c>
      <c r="F6274" s="2062"/>
      <c r="G6274" s="1282" t="s">
        <v>19</v>
      </c>
      <c r="H6274" s="837">
        <v>1.23</v>
      </c>
      <c r="K6274" s="1192" t="s">
        <v>2569</v>
      </c>
      <c r="L6274" s="1192" t="s">
        <v>430</v>
      </c>
      <c r="P6274" s="1192" t="s">
        <v>2573</v>
      </c>
      <c r="V6274" s="1192">
        <v>32</v>
      </c>
    </row>
    <row r="6275" spans="1:22" s="1192" customFormat="1" ht="14.4" x14ac:dyDescent="0.3">
      <c r="A6275" s="1192" t="s">
        <v>3744</v>
      </c>
      <c r="B6275" s="1192" t="s">
        <v>4205</v>
      </c>
      <c r="E6275" s="2062" t="s">
        <v>4508</v>
      </c>
      <c r="F6275" s="1740"/>
      <c r="G6275" s="799" t="s">
        <v>19</v>
      </c>
      <c r="H6275" s="836">
        <v>0.01</v>
      </c>
      <c r="K6275" s="1192" t="s">
        <v>2569</v>
      </c>
      <c r="L6275" s="1192" t="s">
        <v>430</v>
      </c>
      <c r="P6275" s="1192" t="s">
        <v>6401</v>
      </c>
      <c r="V6275" s="1192">
        <v>154</v>
      </c>
    </row>
    <row r="6276" spans="1:22" s="1192" customFormat="1" ht="14.4" x14ac:dyDescent="0.3">
      <c r="A6276" s="1192" t="s">
        <v>3744</v>
      </c>
      <c r="B6276" s="1192" t="s">
        <v>4205</v>
      </c>
      <c r="E6276" s="2062" t="s">
        <v>80</v>
      </c>
      <c r="F6276" s="2062"/>
      <c r="G6276" s="1282" t="s">
        <v>29</v>
      </c>
      <c r="H6276" s="837">
        <v>6.5652999999999997</v>
      </c>
      <c r="K6276" s="1192" t="s">
        <v>2569</v>
      </c>
      <c r="L6276" s="1192" t="s">
        <v>430</v>
      </c>
      <c r="P6276" s="1192" t="s">
        <v>2574</v>
      </c>
      <c r="V6276" s="1192">
        <v>28</v>
      </c>
    </row>
    <row r="6277" spans="1:22" s="1192" customFormat="1" ht="14.4" x14ac:dyDescent="0.3">
      <c r="A6277" s="1192" t="s">
        <v>3744</v>
      </c>
      <c r="B6277" s="1192" t="s">
        <v>4205</v>
      </c>
      <c r="E6277" s="2062" t="s">
        <v>3698</v>
      </c>
      <c r="F6277" s="2062"/>
      <c r="G6277" s="1282" t="s">
        <v>29</v>
      </c>
      <c r="H6277" s="837">
        <v>0.1288</v>
      </c>
      <c r="K6277" s="1192" t="s">
        <v>2569</v>
      </c>
      <c r="L6277" s="1192" t="s">
        <v>431</v>
      </c>
      <c r="P6277" s="1192" t="s">
        <v>2575</v>
      </c>
      <c r="V6277" s="1192">
        <v>25</v>
      </c>
    </row>
    <row r="6278" spans="1:22" s="1192" customFormat="1" ht="14.4" x14ac:dyDescent="0.3">
      <c r="A6278" s="1192" t="s">
        <v>3744</v>
      </c>
      <c r="B6278" s="1192" t="s">
        <v>4205</v>
      </c>
      <c r="E6278" s="2062" t="s">
        <v>6090</v>
      </c>
      <c r="F6278" s="1989"/>
      <c r="G6278" s="1282" t="s">
        <v>20</v>
      </c>
      <c r="H6278" s="1219">
        <v>-2.5999999999999999E-3</v>
      </c>
      <c r="K6278" s="1192" t="s">
        <v>2569</v>
      </c>
      <c r="L6278" s="1192" t="s">
        <v>431</v>
      </c>
      <c r="P6278" s="1192" t="s">
        <v>2576</v>
      </c>
      <c r="T6278" s="1192">
        <v>44196</v>
      </c>
      <c r="V6278" s="1192">
        <v>142</v>
      </c>
    </row>
    <row r="6279" spans="1:22" s="1192" customFormat="1" ht="14.4" x14ac:dyDescent="0.3">
      <c r="A6279" s="1192" t="s">
        <v>3744</v>
      </c>
      <c r="B6279" s="1192" t="s">
        <v>4205</v>
      </c>
      <c r="E6279" s="2062" t="s">
        <v>6123</v>
      </c>
      <c r="F6279" s="1989"/>
      <c r="G6279" s="1282" t="s">
        <v>29</v>
      </c>
      <c r="H6279" s="1219">
        <v>-0.41120000000000001</v>
      </c>
      <c r="K6279" s="1192" t="s">
        <v>2569</v>
      </c>
      <c r="L6279" s="1192" t="s">
        <v>430</v>
      </c>
      <c r="P6279" s="1192" t="s">
        <v>2577</v>
      </c>
      <c r="T6279" s="1192">
        <v>44196</v>
      </c>
      <c r="V6279" s="1192">
        <v>132</v>
      </c>
    </row>
    <row r="6280" spans="1:22" s="1192" customFormat="1" ht="14.4" x14ac:dyDescent="0.3">
      <c r="A6280" s="1192" t="s">
        <v>3744</v>
      </c>
      <c r="B6280" s="1192" t="s">
        <v>4205</v>
      </c>
      <c r="E6280" s="2062" t="s">
        <v>6087</v>
      </c>
      <c r="F6280" s="1989"/>
      <c r="G6280" s="1282" t="s">
        <v>29</v>
      </c>
      <c r="H6280" s="1219">
        <v>-0.23880000000000001</v>
      </c>
      <c r="K6280" s="1192" t="s">
        <v>2569</v>
      </c>
      <c r="L6280" s="1192" t="s">
        <v>431</v>
      </c>
      <c r="P6280" s="1192" t="s">
        <v>2578</v>
      </c>
      <c r="T6280" s="1192">
        <v>44196</v>
      </c>
      <c r="V6280" s="1192">
        <v>99</v>
      </c>
    </row>
    <row r="6281" spans="1:22" s="1192" customFormat="1" ht="14.4" x14ac:dyDescent="0.3">
      <c r="A6281" s="1192" t="s">
        <v>3744</v>
      </c>
      <c r="B6281" s="1192" t="s">
        <v>4205</v>
      </c>
      <c r="E6281" s="2062" t="s">
        <v>4508</v>
      </c>
      <c r="F6281" s="1740"/>
      <c r="G6281" s="799" t="s">
        <v>29</v>
      </c>
      <c r="H6281" s="837">
        <v>4.24E-2</v>
      </c>
      <c r="K6281" s="1192" t="s">
        <v>2569</v>
      </c>
      <c r="L6281" s="1192" t="s">
        <v>430</v>
      </c>
      <c r="P6281" s="1192" t="s">
        <v>6402</v>
      </c>
      <c r="V6281" s="1192">
        <v>154</v>
      </c>
    </row>
    <row r="6282" spans="1:22" s="1192" customFormat="1" ht="14.4" x14ac:dyDescent="0.3">
      <c r="A6282" s="1192" t="s">
        <v>3744</v>
      </c>
      <c r="B6282" s="1192" t="s">
        <v>4205</v>
      </c>
      <c r="E6282" s="2062" t="s">
        <v>4501</v>
      </c>
      <c r="F6282" s="2062"/>
      <c r="G6282" s="1282" t="s">
        <v>29</v>
      </c>
      <c r="H6282" s="837">
        <v>2.53E-2</v>
      </c>
      <c r="K6282" s="1192" t="s">
        <v>2569</v>
      </c>
      <c r="L6282" s="1192" t="s">
        <v>430</v>
      </c>
      <c r="P6282" s="1192" t="s">
        <v>6403</v>
      </c>
      <c r="V6282" s="1192">
        <v>135</v>
      </c>
    </row>
    <row r="6283" spans="1:22" s="1192" customFormat="1" ht="14.4" x14ac:dyDescent="0.3">
      <c r="A6283" s="1192" t="s">
        <v>3744</v>
      </c>
      <c r="B6283" s="1192" t="s">
        <v>4205</v>
      </c>
      <c r="E6283" s="2062" t="s">
        <v>213</v>
      </c>
      <c r="F6283" s="2062"/>
      <c r="G6283" s="1282" t="s">
        <v>29</v>
      </c>
      <c r="H6283" s="1219">
        <v>2.8279999999999998</v>
      </c>
      <c r="K6283" s="1192" t="s">
        <v>2569</v>
      </c>
      <c r="L6283" s="1192" t="s">
        <v>432</v>
      </c>
      <c r="P6283" s="1192" t="s">
        <v>2579</v>
      </c>
      <c r="V6283" s="1192">
        <v>47</v>
      </c>
    </row>
    <row r="6284" spans="1:22" s="1192" customFormat="1" ht="14.4" x14ac:dyDescent="0.3">
      <c r="A6284" s="1192" t="s">
        <v>3744</v>
      </c>
      <c r="B6284" s="1192" t="s">
        <v>4205</v>
      </c>
      <c r="E6284" s="2059" t="s">
        <v>209</v>
      </c>
      <c r="F6284" s="2059"/>
      <c r="G6284" s="1282" t="s">
        <v>29</v>
      </c>
      <c r="H6284" s="837">
        <v>1.4716</v>
      </c>
      <c r="K6284" s="1192" t="s">
        <v>2569</v>
      </c>
      <c r="L6284" s="1192" t="s">
        <v>432</v>
      </c>
      <c r="P6284" s="1192" t="s">
        <v>2580</v>
      </c>
      <c r="V6284" s="1192">
        <v>74</v>
      </c>
    </row>
    <row r="6285" spans="1:22" s="1192" customFormat="1" ht="14.4" x14ac:dyDescent="0.3">
      <c r="A6285" s="1192" t="s">
        <v>3744</v>
      </c>
      <c r="B6285" s="1192" t="s">
        <v>4205</v>
      </c>
      <c r="E6285" s="2060" t="s">
        <v>4129</v>
      </c>
      <c r="F6285" s="2061"/>
      <c r="G6285" s="855"/>
      <c r="H6285" s="856"/>
      <c r="K6285" s="1192" t="s">
        <v>2581</v>
      </c>
      <c r="V6285" s="1192">
        <v>48</v>
      </c>
    </row>
    <row r="6286" spans="1:22" s="1192" customFormat="1" ht="14.4" x14ac:dyDescent="0.3">
      <c r="A6286" s="1192" t="s">
        <v>3744</v>
      </c>
      <c r="B6286" s="1192" t="s">
        <v>4205</v>
      </c>
      <c r="E6286" s="2062" t="s">
        <v>2033</v>
      </c>
      <c r="F6286" s="2062"/>
      <c r="G6286" s="1282" t="s">
        <v>20</v>
      </c>
      <c r="H6286" s="1219">
        <v>3.0000000000000001E-3</v>
      </c>
      <c r="K6286" s="1192" t="s">
        <v>2569</v>
      </c>
      <c r="L6286" s="1192" t="s">
        <v>2374</v>
      </c>
      <c r="P6286" s="1192" t="s">
        <v>2582</v>
      </c>
      <c r="V6286" s="1192">
        <v>55</v>
      </c>
    </row>
    <row r="6287" spans="1:22" s="1192" customFormat="1" ht="14.4" x14ac:dyDescent="0.3">
      <c r="A6287" s="1192" t="s">
        <v>3744</v>
      </c>
      <c r="B6287" s="1192" t="s">
        <v>4205</v>
      </c>
      <c r="E6287" s="2062" t="s">
        <v>2034</v>
      </c>
      <c r="F6287" s="2062"/>
      <c r="G6287" s="1282" t="s">
        <v>20</v>
      </c>
      <c r="H6287" s="859">
        <v>4.0000000000000002E-4</v>
      </c>
      <c r="K6287" s="1192" t="s">
        <v>2569</v>
      </c>
      <c r="L6287" s="1192" t="s">
        <v>2374</v>
      </c>
      <c r="P6287" s="1192" t="s">
        <v>2582</v>
      </c>
      <c r="V6287" s="1192">
        <v>65</v>
      </c>
    </row>
    <row r="6288" spans="1:22" s="1192" customFormat="1" ht="14.4" x14ac:dyDescent="0.3">
      <c r="A6288" s="1192" t="s">
        <v>3744</v>
      </c>
      <c r="B6288" s="1192" t="s">
        <v>4205</v>
      </c>
      <c r="E6288" s="2062" t="s">
        <v>428</v>
      </c>
      <c r="F6288" s="2062"/>
      <c r="G6288" s="1282" t="s">
        <v>20</v>
      </c>
      <c r="H6288" s="859">
        <v>5.0000000000000001E-4</v>
      </c>
      <c r="K6288" s="1192" t="s">
        <v>2569</v>
      </c>
      <c r="L6288" s="1192" t="s">
        <v>2374</v>
      </c>
      <c r="P6288" s="1192" t="s">
        <v>2583</v>
      </c>
      <c r="V6288" s="1192">
        <v>57</v>
      </c>
    </row>
    <row r="6289" spans="1:22" s="1192" customFormat="1" ht="14.4" x14ac:dyDescent="0.3">
      <c r="A6289" s="1192" t="s">
        <v>3744</v>
      </c>
      <c r="B6289" s="1192" t="s">
        <v>4205</v>
      </c>
      <c r="E6289" s="2062" t="s">
        <v>28</v>
      </c>
      <c r="F6289" s="2062"/>
      <c r="G6289" s="1282" t="s">
        <v>19</v>
      </c>
      <c r="H6289" s="859">
        <v>0.25</v>
      </c>
      <c r="K6289" s="1192" t="s">
        <v>2569</v>
      </c>
      <c r="L6289" s="1192" t="s">
        <v>2374</v>
      </c>
      <c r="P6289" s="1192" t="s">
        <v>2584</v>
      </c>
      <c r="V6289" s="1192">
        <v>63</v>
      </c>
    </row>
    <row r="6290" spans="1:22" s="1192" customFormat="1" ht="17.399999999999999" x14ac:dyDescent="0.3">
      <c r="A6290" s="1192" t="s">
        <v>3744</v>
      </c>
      <c r="B6290" s="1192" t="s">
        <v>4205</v>
      </c>
      <c r="E6290" s="2241" t="s">
        <v>593</v>
      </c>
      <c r="F6290" s="2241"/>
      <c r="G6290" s="2241"/>
      <c r="H6290" s="2241"/>
      <c r="K6290" s="1192" t="s">
        <v>2585</v>
      </c>
      <c r="V6290" s="1192">
        <v>31</v>
      </c>
    </row>
    <row r="6291" spans="1:22" s="1192" customFormat="1" ht="14.4" x14ac:dyDescent="0.3">
      <c r="A6291" s="1192" t="s">
        <v>3744</v>
      </c>
      <c r="B6291" s="1192" t="s">
        <v>4205</v>
      </c>
      <c r="E6291" s="2067" t="s">
        <v>2443</v>
      </c>
      <c r="F6291" s="2067"/>
      <c r="G6291" s="2067"/>
      <c r="H6291" s="2067"/>
      <c r="K6291" s="1192" t="s">
        <v>2585</v>
      </c>
      <c r="V6291" s="1192">
        <v>286</v>
      </c>
    </row>
    <row r="6292" spans="1:22" s="1192" customFormat="1" ht="14.4" x14ac:dyDescent="0.3">
      <c r="A6292" s="1192" t="s">
        <v>3744</v>
      </c>
      <c r="B6292" s="1192" t="s">
        <v>4205</v>
      </c>
      <c r="E6292" s="2060" t="s">
        <v>2389</v>
      </c>
      <c r="F6292" s="2068"/>
      <c r="G6292" s="2068"/>
      <c r="H6292" s="2068"/>
      <c r="K6292" s="1192" t="s">
        <v>2586</v>
      </c>
      <c r="V6292" s="1192">
        <v>11</v>
      </c>
    </row>
    <row r="6293" spans="1:22" s="1192" customFormat="1" ht="14.4" x14ac:dyDescent="0.3">
      <c r="A6293" s="1192" t="s">
        <v>3744</v>
      </c>
      <c r="B6293" s="1192" t="s">
        <v>4205</v>
      </c>
      <c r="E6293" s="2067" t="s">
        <v>2391</v>
      </c>
      <c r="F6293" s="2067"/>
      <c r="G6293" s="2067"/>
      <c r="H6293" s="2067"/>
      <c r="K6293" s="1192" t="s">
        <v>2585</v>
      </c>
      <c r="V6293" s="1192">
        <v>280</v>
      </c>
    </row>
    <row r="6294" spans="1:22" s="1192" customFormat="1" ht="14.4" x14ac:dyDescent="0.3">
      <c r="A6294" s="1192" t="s">
        <v>3744</v>
      </c>
      <c r="B6294" s="1192" t="s">
        <v>4205</v>
      </c>
      <c r="E6294" s="2067" t="s">
        <v>2392</v>
      </c>
      <c r="F6294" s="2067"/>
      <c r="G6294" s="2067"/>
      <c r="H6294" s="2067"/>
      <c r="K6294" s="1192" t="s">
        <v>2585</v>
      </c>
      <c r="V6294" s="1192">
        <v>411</v>
      </c>
    </row>
    <row r="6295" spans="1:22" s="1192" customFormat="1" ht="14.4" x14ac:dyDescent="0.3">
      <c r="A6295" s="1192" t="s">
        <v>3744</v>
      </c>
      <c r="B6295" s="1192" t="s">
        <v>4205</v>
      </c>
      <c r="E6295" s="2067" t="s">
        <v>2445</v>
      </c>
      <c r="F6295" s="2067"/>
      <c r="G6295" s="2067"/>
      <c r="H6295" s="2067"/>
      <c r="K6295" s="1192" t="s">
        <v>2585</v>
      </c>
      <c r="V6295" s="1192">
        <v>211</v>
      </c>
    </row>
    <row r="6296" spans="1:22" s="1192" customFormat="1" ht="14.4" x14ac:dyDescent="0.3">
      <c r="A6296" s="1192" t="s">
        <v>3744</v>
      </c>
      <c r="B6296" s="1192" t="s">
        <v>4205</v>
      </c>
      <c r="E6296" s="2067" t="s">
        <v>4519</v>
      </c>
      <c r="F6296" s="2067"/>
      <c r="G6296" s="2067"/>
      <c r="H6296" s="2067"/>
      <c r="K6296" s="1192" t="s">
        <v>2585</v>
      </c>
      <c r="V6296" s="1192">
        <v>247</v>
      </c>
    </row>
    <row r="6297" spans="1:22" s="1192" customFormat="1" ht="14.4" x14ac:dyDescent="0.3">
      <c r="A6297" s="1192" t="s">
        <v>3744</v>
      </c>
      <c r="B6297" s="1192" t="s">
        <v>4205</v>
      </c>
      <c r="E6297" s="2069" t="s">
        <v>4052</v>
      </c>
      <c r="F6297" s="2070"/>
      <c r="G6297" s="2070"/>
      <c r="H6297" s="2070"/>
      <c r="K6297" s="1192" t="s">
        <v>2587</v>
      </c>
      <c r="V6297" s="1192">
        <v>47</v>
      </c>
    </row>
    <row r="6298" spans="1:22" s="1192" customFormat="1" ht="14.4" x14ac:dyDescent="0.3">
      <c r="A6298" s="1192" t="s">
        <v>3744</v>
      </c>
      <c r="B6298" s="1192" t="s">
        <v>4205</v>
      </c>
      <c r="E6298" s="2062" t="s">
        <v>7</v>
      </c>
      <c r="F6298" s="2062"/>
      <c r="G6298" s="1282" t="s">
        <v>19</v>
      </c>
      <c r="H6298" s="509">
        <v>5.4</v>
      </c>
      <c r="K6298" s="1192" t="s">
        <v>2585</v>
      </c>
      <c r="L6298" s="1192" t="s">
        <v>430</v>
      </c>
      <c r="P6298" s="1192" t="s">
        <v>2588</v>
      </c>
      <c r="V6298" s="1192">
        <v>14</v>
      </c>
    </row>
    <row r="6299" spans="1:22" s="1192" customFormat="1" x14ac:dyDescent="0.35">
      <c r="A6299" s="1192" t="s">
        <v>3744</v>
      </c>
      <c r="B6299" s="1192" t="s">
        <v>4205</v>
      </c>
      <c r="E6299" s="1279" t="s">
        <v>81</v>
      </c>
      <c r="F6299" s="807"/>
      <c r="G6299" s="857"/>
      <c r="H6299" s="858"/>
      <c r="K6299" s="1192" t="s">
        <v>3990</v>
      </c>
      <c r="V6299" s="1192">
        <v>10</v>
      </c>
    </row>
    <row r="6300" spans="1:22" s="1192" customFormat="1" ht="14.4" x14ac:dyDescent="0.3">
      <c r="A6300" s="1192" t="s">
        <v>3744</v>
      </c>
      <c r="B6300" s="1192" t="s">
        <v>4205</v>
      </c>
      <c r="E6300" s="2062" t="s">
        <v>2449</v>
      </c>
      <c r="F6300" s="2062"/>
      <c r="G6300" s="1282" t="s">
        <v>29</v>
      </c>
      <c r="H6300" s="509">
        <v>-0.6</v>
      </c>
      <c r="V6300" s="1192">
        <v>68</v>
      </c>
    </row>
    <row r="6301" spans="1:22" s="1192" customFormat="1" ht="14.4" x14ac:dyDescent="0.3">
      <c r="A6301" s="1192" t="s">
        <v>3744</v>
      </c>
      <c r="B6301" s="1192" t="s">
        <v>4205</v>
      </c>
      <c r="E6301" s="2062" t="s">
        <v>2450</v>
      </c>
      <c r="F6301" s="2062"/>
      <c r="G6301" s="1282" t="s">
        <v>82</v>
      </c>
      <c r="H6301" s="509">
        <v>-1</v>
      </c>
      <c r="V6301" s="1192">
        <v>87</v>
      </c>
    </row>
    <row r="6302" spans="1:22" s="1192" customFormat="1" x14ac:dyDescent="0.35">
      <c r="A6302" s="1192" t="s">
        <v>3744</v>
      </c>
      <c r="B6302" s="1192" t="s">
        <v>4205</v>
      </c>
      <c r="E6302" s="860" t="s">
        <v>83</v>
      </c>
      <c r="F6302" s="861"/>
      <c r="G6302" s="857"/>
      <c r="H6302" s="858"/>
      <c r="K6302" s="1192" t="s">
        <v>3994</v>
      </c>
      <c r="V6302" s="1192">
        <v>24</v>
      </c>
    </row>
    <row r="6303" spans="1:22" s="1192" customFormat="1" ht="14.4" x14ac:dyDescent="0.3">
      <c r="A6303" s="1192" t="s">
        <v>3744</v>
      </c>
      <c r="B6303" s="1192" t="s">
        <v>4205</v>
      </c>
      <c r="E6303" s="2068" t="s">
        <v>2389</v>
      </c>
      <c r="F6303" s="2068"/>
      <c r="G6303" s="2068"/>
      <c r="H6303" s="2068"/>
      <c r="V6303" s="1192">
        <v>11</v>
      </c>
    </row>
    <row r="6304" spans="1:22" s="1192" customFormat="1" ht="14.4" x14ac:dyDescent="0.3">
      <c r="A6304" s="1192" t="s">
        <v>3744</v>
      </c>
      <c r="B6304" s="1192" t="s">
        <v>4205</v>
      </c>
      <c r="E6304" s="2067" t="s">
        <v>2391</v>
      </c>
      <c r="F6304" s="2067"/>
      <c r="G6304" s="2067"/>
      <c r="H6304" s="2067"/>
      <c r="V6304" s="1192">
        <v>280</v>
      </c>
    </row>
    <row r="6305" spans="1:22" s="1192" customFormat="1" ht="14.4" x14ac:dyDescent="0.3">
      <c r="A6305" s="1192" t="s">
        <v>3744</v>
      </c>
      <c r="B6305" s="1192" t="s">
        <v>4205</v>
      </c>
      <c r="E6305" s="2067" t="s">
        <v>2452</v>
      </c>
      <c r="F6305" s="2067"/>
      <c r="G6305" s="2067"/>
      <c r="H6305" s="2067"/>
      <c r="V6305" s="1192">
        <v>353</v>
      </c>
    </row>
    <row r="6306" spans="1:22" s="1192" customFormat="1" ht="14.4" x14ac:dyDescent="0.3">
      <c r="A6306" s="1192" t="s">
        <v>3744</v>
      </c>
      <c r="B6306" s="1192" t="s">
        <v>4205</v>
      </c>
      <c r="E6306" s="2067" t="s">
        <v>2986</v>
      </c>
      <c r="F6306" s="2067"/>
      <c r="G6306" s="2067"/>
      <c r="H6306" s="2067"/>
      <c r="V6306" s="1192">
        <v>246</v>
      </c>
    </row>
    <row r="6307" spans="1:22" s="1192" customFormat="1" ht="14.4" x14ac:dyDescent="0.3">
      <c r="A6307" s="1192" t="s">
        <v>3744</v>
      </c>
      <c r="B6307" s="1192" t="s">
        <v>4205</v>
      </c>
      <c r="E6307" s="2069" t="s">
        <v>2453</v>
      </c>
      <c r="F6307" s="2069"/>
      <c r="G6307" s="2069"/>
      <c r="H6307" s="862"/>
      <c r="K6307" s="1192" t="s">
        <v>3995</v>
      </c>
      <c r="V6307" s="1192">
        <v>23</v>
      </c>
    </row>
    <row r="6308" spans="1:22" s="1192" customFormat="1" ht="14.4" x14ac:dyDescent="0.3">
      <c r="A6308" s="1192" t="s">
        <v>3744</v>
      </c>
      <c r="B6308" s="1192" t="s">
        <v>4205</v>
      </c>
      <c r="E6308" s="2085" t="s">
        <v>2639</v>
      </c>
      <c r="F6308" s="2085"/>
      <c r="G6308" s="1282" t="s">
        <v>19</v>
      </c>
      <c r="H6308" s="509">
        <v>15</v>
      </c>
      <c r="V6308" s="1192">
        <v>19</v>
      </c>
    </row>
    <row r="6309" spans="1:22" s="1192" customFormat="1" ht="14.4" x14ac:dyDescent="0.3">
      <c r="A6309" s="1192" t="s">
        <v>3744</v>
      </c>
      <c r="B6309" s="1192" t="s">
        <v>4205</v>
      </c>
      <c r="E6309" s="2085" t="s">
        <v>2456</v>
      </c>
      <c r="F6309" s="2085"/>
      <c r="G6309" s="1282" t="s">
        <v>19</v>
      </c>
      <c r="H6309" s="509">
        <v>15</v>
      </c>
      <c r="V6309" s="1192">
        <v>20</v>
      </c>
    </row>
    <row r="6310" spans="1:22" s="1192" customFormat="1" ht="14.4" x14ac:dyDescent="0.3">
      <c r="A6310" s="1192" t="s">
        <v>3744</v>
      </c>
      <c r="B6310" s="1192" t="s">
        <v>4205</v>
      </c>
      <c r="E6310" s="2085" t="s">
        <v>2458</v>
      </c>
      <c r="F6310" s="2085"/>
      <c r="G6310" s="1282" t="s">
        <v>19</v>
      </c>
      <c r="H6310" s="509">
        <v>15</v>
      </c>
      <c r="V6310" s="1192">
        <v>39</v>
      </c>
    </row>
    <row r="6311" spans="1:22" s="1192" customFormat="1" ht="14.4" x14ac:dyDescent="0.3">
      <c r="A6311" s="1192" t="s">
        <v>3744</v>
      </c>
      <c r="B6311" s="1192" t="s">
        <v>4205</v>
      </c>
      <c r="E6311" s="2085" t="s">
        <v>2459</v>
      </c>
      <c r="F6311" s="2085"/>
      <c r="G6311" s="1282" t="s">
        <v>19</v>
      </c>
      <c r="H6311" s="509">
        <v>15</v>
      </c>
      <c r="V6311" s="1192">
        <v>37</v>
      </c>
    </row>
    <row r="6312" spans="1:22" s="1192" customFormat="1" ht="14.4" x14ac:dyDescent="0.3">
      <c r="A6312" s="1192" t="s">
        <v>3744</v>
      </c>
      <c r="B6312" s="1192" t="s">
        <v>4205</v>
      </c>
      <c r="E6312" s="2085" t="s">
        <v>3663</v>
      </c>
      <c r="F6312" s="2085"/>
      <c r="G6312" s="1282" t="s">
        <v>19</v>
      </c>
      <c r="H6312" s="509">
        <v>15</v>
      </c>
      <c r="V6312" s="1192">
        <v>15</v>
      </c>
    </row>
    <row r="6313" spans="1:22" s="1192" customFormat="1" ht="14.4" x14ac:dyDescent="0.3">
      <c r="A6313" s="1192" t="s">
        <v>3744</v>
      </c>
      <c r="B6313" s="1192" t="s">
        <v>4205</v>
      </c>
      <c r="E6313" s="2085" t="s">
        <v>2461</v>
      </c>
      <c r="F6313" s="2085"/>
      <c r="G6313" s="1282" t="s">
        <v>19</v>
      </c>
      <c r="H6313" s="509">
        <v>15</v>
      </c>
      <c r="V6313" s="1192">
        <v>17</v>
      </c>
    </row>
    <row r="6314" spans="1:22" s="1192" customFormat="1" ht="14.4" x14ac:dyDescent="0.3">
      <c r="A6314" s="1192" t="s">
        <v>3744</v>
      </c>
      <c r="B6314" s="1192" t="s">
        <v>4205</v>
      </c>
      <c r="E6314" s="2085" t="s">
        <v>2463</v>
      </c>
      <c r="F6314" s="2085"/>
      <c r="G6314" s="1282" t="s">
        <v>19</v>
      </c>
      <c r="H6314" s="509">
        <v>15</v>
      </c>
      <c r="V6314" s="1192">
        <v>15</v>
      </c>
    </row>
    <row r="6315" spans="1:22" s="1192" customFormat="1" ht="14.4" x14ac:dyDescent="0.3">
      <c r="A6315" s="1192" t="s">
        <v>3744</v>
      </c>
      <c r="B6315" s="1192" t="s">
        <v>4205</v>
      </c>
      <c r="E6315" s="2085" t="s">
        <v>119</v>
      </c>
      <c r="F6315" s="2085"/>
      <c r="G6315" s="1282" t="s">
        <v>19</v>
      </c>
      <c r="H6315" s="509">
        <v>15</v>
      </c>
      <c r="V6315" s="1192">
        <v>35</v>
      </c>
    </row>
    <row r="6316" spans="1:22" s="1192" customFormat="1" ht="14.4" x14ac:dyDescent="0.3">
      <c r="A6316" s="1192" t="s">
        <v>3744</v>
      </c>
      <c r="B6316" s="1192" t="s">
        <v>4205</v>
      </c>
      <c r="E6316" s="2085" t="s">
        <v>2467</v>
      </c>
      <c r="F6316" s="2085"/>
      <c r="G6316" s="1282" t="s">
        <v>19</v>
      </c>
      <c r="H6316" s="509">
        <v>15</v>
      </c>
      <c r="V6316" s="1192">
        <v>19</v>
      </c>
    </row>
    <row r="6317" spans="1:22" s="1192" customFormat="1" ht="14.4" x14ac:dyDescent="0.3">
      <c r="A6317" s="1192" t="s">
        <v>3744</v>
      </c>
      <c r="B6317" s="1192" t="s">
        <v>4205</v>
      </c>
      <c r="E6317" s="2085" t="s">
        <v>84</v>
      </c>
      <c r="F6317" s="2085"/>
      <c r="G6317" s="1282" t="s">
        <v>19</v>
      </c>
      <c r="H6317" s="509">
        <v>30</v>
      </c>
      <c r="V6317" s="1192">
        <v>89</v>
      </c>
    </row>
    <row r="6318" spans="1:22" s="1192" customFormat="1" ht="14.4" x14ac:dyDescent="0.3">
      <c r="A6318" s="1192" t="s">
        <v>3744</v>
      </c>
      <c r="B6318" s="1192" t="s">
        <v>4205</v>
      </c>
      <c r="E6318" s="2085" t="s">
        <v>90</v>
      </c>
      <c r="F6318" s="2085"/>
      <c r="G6318" s="1282" t="s">
        <v>19</v>
      </c>
      <c r="H6318" s="509">
        <v>30</v>
      </c>
      <c r="V6318" s="1192">
        <v>19</v>
      </c>
    </row>
    <row r="6319" spans="1:22" s="1192" customFormat="1" ht="14.4" x14ac:dyDescent="0.3">
      <c r="A6319" s="1192" t="s">
        <v>3744</v>
      </c>
      <c r="B6319" s="1192" t="s">
        <v>4205</v>
      </c>
      <c r="E6319" s="2085" t="s">
        <v>88</v>
      </c>
      <c r="F6319" s="2085"/>
      <c r="G6319" s="1282" t="s">
        <v>19</v>
      </c>
      <c r="H6319" s="509">
        <v>30</v>
      </c>
      <c r="V6319" s="1192">
        <v>74</v>
      </c>
    </row>
    <row r="6320" spans="1:22" s="1192" customFormat="1" ht="14.4" x14ac:dyDescent="0.3">
      <c r="A6320" s="1192" t="s">
        <v>3744</v>
      </c>
      <c r="B6320" s="1192" t="s">
        <v>4205</v>
      </c>
      <c r="E6320" s="845" t="s">
        <v>2468</v>
      </c>
      <c r="F6320" s="863"/>
      <c r="G6320" s="864"/>
      <c r="H6320" s="862"/>
      <c r="K6320" s="1192" t="s">
        <v>3996</v>
      </c>
      <c r="V6320" s="1192">
        <v>22</v>
      </c>
    </row>
    <row r="6321" spans="1:22" s="1192" customFormat="1" ht="14.4" x14ac:dyDescent="0.3">
      <c r="A6321" s="1192" t="s">
        <v>3744</v>
      </c>
      <c r="B6321" s="1192" t="s">
        <v>4205</v>
      </c>
      <c r="E6321" s="2085" t="s">
        <v>5940</v>
      </c>
      <c r="F6321" s="2085"/>
      <c r="G6321" s="1282" t="s">
        <v>82</v>
      </c>
      <c r="H6321" s="509">
        <v>1.5</v>
      </c>
      <c r="V6321" s="1192">
        <v>99</v>
      </c>
    </row>
    <row r="6322" spans="1:22" s="1192" customFormat="1" ht="14.4" x14ac:dyDescent="0.3">
      <c r="A6322" s="1192" t="s">
        <v>3744</v>
      </c>
      <c r="B6322" s="1192" t="s">
        <v>4205</v>
      </c>
      <c r="E6322" s="2085" t="s">
        <v>6106</v>
      </c>
      <c r="F6322" s="2085"/>
      <c r="G6322" s="1282" t="s">
        <v>19</v>
      </c>
      <c r="H6322" s="509">
        <v>65</v>
      </c>
      <c r="V6322" s="1192">
        <v>44</v>
      </c>
    </row>
    <row r="6323" spans="1:22" s="1192" customFormat="1" ht="14.4" x14ac:dyDescent="0.3">
      <c r="A6323" s="1192" t="s">
        <v>3744</v>
      </c>
      <c r="B6323" s="1192" t="s">
        <v>4205</v>
      </c>
      <c r="E6323" s="2085" t="s">
        <v>6107</v>
      </c>
      <c r="F6323" s="2085"/>
      <c r="G6323" s="1282" t="s">
        <v>19</v>
      </c>
      <c r="H6323" s="509">
        <v>185</v>
      </c>
      <c r="V6323" s="1192">
        <v>43</v>
      </c>
    </row>
    <row r="6324" spans="1:22" s="1192" customFormat="1" ht="14.4" x14ac:dyDescent="0.3">
      <c r="A6324" s="1192" t="s">
        <v>3744</v>
      </c>
      <c r="B6324" s="1192" t="s">
        <v>4205</v>
      </c>
      <c r="E6324" s="845" t="s">
        <v>2474</v>
      </c>
      <c r="F6324" s="863"/>
      <c r="G6324" s="864"/>
      <c r="H6324" s="862"/>
      <c r="V6324" s="1192">
        <v>5</v>
      </c>
    </row>
    <row r="6325" spans="1:22" s="1192" customFormat="1" ht="14.4" x14ac:dyDescent="0.3">
      <c r="A6325" s="1192" t="s">
        <v>3744</v>
      </c>
      <c r="B6325" s="1192" t="s">
        <v>4205</v>
      </c>
      <c r="E6325" s="2085" t="s">
        <v>3665</v>
      </c>
      <c r="F6325" s="2085"/>
      <c r="G6325" s="1282" t="s">
        <v>19</v>
      </c>
      <c r="H6325" s="509">
        <v>65</v>
      </c>
      <c r="V6325" s="1192">
        <v>52</v>
      </c>
    </row>
    <row r="6326" spans="1:22" s="1192" customFormat="1" ht="14.4" x14ac:dyDescent="0.3">
      <c r="A6326" s="1192" t="s">
        <v>3744</v>
      </c>
      <c r="B6326" s="1192" t="s">
        <v>4205</v>
      </c>
      <c r="E6326" s="2085" t="s">
        <v>3666</v>
      </c>
      <c r="F6326" s="2085"/>
      <c r="G6326" s="1282" t="s">
        <v>19</v>
      </c>
      <c r="H6326" s="509">
        <v>185</v>
      </c>
      <c r="V6326" s="1192">
        <v>51</v>
      </c>
    </row>
    <row r="6327" spans="1:22" s="1192" customFormat="1" ht="14.4" x14ac:dyDescent="0.3">
      <c r="A6327" s="1192" t="s">
        <v>3744</v>
      </c>
      <c r="B6327" s="1192" t="s">
        <v>4205</v>
      </c>
      <c r="E6327" s="2085" t="s">
        <v>3667</v>
      </c>
      <c r="F6327" s="2085"/>
      <c r="G6327" s="1282" t="s">
        <v>19</v>
      </c>
      <c r="H6327" s="509">
        <v>185</v>
      </c>
      <c r="V6327" s="1192">
        <v>51</v>
      </c>
    </row>
    <row r="6328" spans="1:22" s="1192" customFormat="1" ht="14.4" x14ac:dyDescent="0.3">
      <c r="A6328" s="1192" t="s">
        <v>3744</v>
      </c>
      <c r="B6328" s="1192" t="s">
        <v>4205</v>
      </c>
      <c r="E6328" s="2085" t="s">
        <v>3668</v>
      </c>
      <c r="F6328" s="2085"/>
      <c r="G6328" s="1282" t="s">
        <v>19</v>
      </c>
      <c r="H6328" s="509">
        <v>415</v>
      </c>
      <c r="V6328" s="1192">
        <v>50</v>
      </c>
    </row>
    <row r="6329" spans="1:22" s="1192" customFormat="1" ht="14.4" x14ac:dyDescent="0.3">
      <c r="A6329" s="1192" t="s">
        <v>3744</v>
      </c>
      <c r="B6329" s="1192" t="s">
        <v>4205</v>
      </c>
      <c r="E6329" s="2242" t="s">
        <v>6354</v>
      </c>
      <c r="F6329" s="2242"/>
      <c r="G6329" s="1312" t="s">
        <v>19</v>
      </c>
      <c r="H6329" s="509">
        <v>44.5</v>
      </c>
      <c r="V6329" s="1192">
        <v>105</v>
      </c>
    </row>
    <row r="6330" spans="1:22" s="1192" customFormat="1" ht="14.4" x14ac:dyDescent="0.3">
      <c r="A6330" s="1192" t="s">
        <v>3744</v>
      </c>
      <c r="B6330" s="1192" t="s">
        <v>4205</v>
      </c>
      <c r="E6330" s="2085" t="s">
        <v>3673</v>
      </c>
      <c r="F6330" s="2085"/>
      <c r="G6330" s="1282" t="s">
        <v>19</v>
      </c>
      <c r="H6330" s="509">
        <v>500</v>
      </c>
      <c r="V6330" s="1192">
        <v>64</v>
      </c>
    </row>
    <row r="6331" spans="1:22" s="1192" customFormat="1" ht="34.799999999999997" x14ac:dyDescent="0.35">
      <c r="A6331" s="1192" t="s">
        <v>3744</v>
      </c>
      <c r="B6331" s="1192" t="s">
        <v>4205</v>
      </c>
      <c r="E6331" s="1279" t="s">
        <v>73</v>
      </c>
      <c r="F6331" s="865"/>
      <c r="G6331" s="857"/>
      <c r="H6331" s="858"/>
      <c r="K6331" s="1192" t="s">
        <v>3997</v>
      </c>
      <c r="V6331" s="1192">
        <v>38</v>
      </c>
    </row>
    <row r="6332" spans="1:22" s="1192" customFormat="1" ht="14.4" x14ac:dyDescent="0.3">
      <c r="A6332" s="1192" t="s">
        <v>3744</v>
      </c>
      <c r="B6332" s="1192" t="s">
        <v>4205</v>
      </c>
      <c r="E6332" s="2068" t="s">
        <v>2389</v>
      </c>
      <c r="F6332" s="2068"/>
      <c r="G6332" s="2068"/>
      <c r="H6332" s="2068"/>
      <c r="K6332" s="1192" t="s">
        <v>2586</v>
      </c>
      <c r="V6332" s="1192">
        <v>11</v>
      </c>
    </row>
    <row r="6333" spans="1:22" s="1192" customFormat="1" ht="14.4" x14ac:dyDescent="0.3">
      <c r="A6333" s="1192" t="s">
        <v>3744</v>
      </c>
      <c r="B6333" s="1192" t="s">
        <v>4205</v>
      </c>
      <c r="E6333" s="2067" t="s">
        <v>2391</v>
      </c>
      <c r="F6333" s="2067"/>
      <c r="G6333" s="2067"/>
      <c r="H6333" s="2067"/>
      <c r="V6333" s="1192">
        <v>280</v>
      </c>
    </row>
    <row r="6334" spans="1:22" s="1192" customFormat="1" ht="14.4" x14ac:dyDescent="0.3">
      <c r="A6334" s="1192" t="s">
        <v>3744</v>
      </c>
      <c r="B6334" s="1192" t="s">
        <v>4205</v>
      </c>
      <c r="E6334" s="2067" t="s">
        <v>2392</v>
      </c>
      <c r="F6334" s="2067"/>
      <c r="G6334" s="2067"/>
      <c r="H6334" s="2067"/>
      <c r="V6334" s="1192">
        <v>411</v>
      </c>
    </row>
    <row r="6335" spans="1:22" s="1192" customFormat="1" ht="14.4" x14ac:dyDescent="0.3">
      <c r="A6335" s="1192" t="s">
        <v>3744</v>
      </c>
      <c r="B6335" s="1192" t="s">
        <v>4205</v>
      </c>
      <c r="E6335" s="2067" t="s">
        <v>2445</v>
      </c>
      <c r="F6335" s="2067"/>
      <c r="G6335" s="2067"/>
      <c r="H6335" s="2067"/>
      <c r="V6335" s="1192">
        <v>211</v>
      </c>
    </row>
    <row r="6336" spans="1:22" s="1192" customFormat="1" ht="14.4" x14ac:dyDescent="0.3">
      <c r="A6336" s="1192" t="s">
        <v>3744</v>
      </c>
      <c r="B6336" s="1192" t="s">
        <v>4205</v>
      </c>
      <c r="E6336" s="2067" t="s">
        <v>2986</v>
      </c>
      <c r="F6336" s="2067"/>
      <c r="G6336" s="2067"/>
      <c r="H6336" s="2067"/>
      <c r="V6336" s="1192">
        <v>246</v>
      </c>
    </row>
    <row r="6337" spans="1:22" s="1192" customFormat="1" ht="14.4" x14ac:dyDescent="0.3">
      <c r="A6337" s="1192" t="s">
        <v>3744</v>
      </c>
      <c r="B6337" s="1192" t="s">
        <v>4205</v>
      </c>
      <c r="E6337" s="2067" t="s">
        <v>2595</v>
      </c>
      <c r="F6337" s="2067"/>
      <c r="G6337" s="2067"/>
      <c r="H6337" s="2067"/>
      <c r="V6337" s="1192">
        <v>142</v>
      </c>
    </row>
    <row r="6338" spans="1:22" s="1192" customFormat="1" ht="14.4" x14ac:dyDescent="0.3">
      <c r="A6338" s="1192" t="s">
        <v>3744</v>
      </c>
      <c r="B6338" s="1192" t="s">
        <v>4205</v>
      </c>
      <c r="E6338" s="2062" t="s">
        <v>2485</v>
      </c>
      <c r="F6338" s="2062"/>
      <c r="G6338" s="1341" t="s">
        <v>19</v>
      </c>
      <c r="H6338" s="509">
        <v>102</v>
      </c>
      <c r="V6338" s="1192">
        <v>106</v>
      </c>
    </row>
    <row r="6339" spans="1:22" s="1192" customFormat="1" ht="14.4" x14ac:dyDescent="0.3">
      <c r="A6339" s="1192" t="s">
        <v>3744</v>
      </c>
      <c r="B6339" s="1192" t="s">
        <v>4205</v>
      </c>
      <c r="E6339" s="2084" t="s">
        <v>3919</v>
      </c>
      <c r="F6339" s="2084"/>
      <c r="G6339" s="1341" t="s">
        <v>19</v>
      </c>
      <c r="H6339" s="509">
        <v>40.799999999999997</v>
      </c>
      <c r="V6339" s="1192">
        <v>34</v>
      </c>
    </row>
    <row r="6340" spans="1:22" s="1192" customFormat="1" ht="14.4" x14ac:dyDescent="0.3">
      <c r="A6340" s="1192" t="s">
        <v>3744</v>
      </c>
      <c r="B6340" s="1192" t="s">
        <v>4205</v>
      </c>
      <c r="E6340" s="2084" t="s">
        <v>3920</v>
      </c>
      <c r="F6340" s="2084"/>
      <c r="G6340" s="1341" t="s">
        <v>2488</v>
      </c>
      <c r="H6340" s="509">
        <v>1.02</v>
      </c>
      <c r="V6340" s="1192">
        <v>51</v>
      </c>
    </row>
    <row r="6341" spans="1:22" s="1192" customFormat="1" ht="14.4" x14ac:dyDescent="0.3">
      <c r="A6341" s="1192" t="s">
        <v>3744</v>
      </c>
      <c r="B6341" s="1192" t="s">
        <v>4205</v>
      </c>
      <c r="E6341" s="2084" t="s">
        <v>2489</v>
      </c>
      <c r="F6341" s="2084"/>
      <c r="G6341" s="1341" t="s">
        <v>2488</v>
      </c>
      <c r="H6341" s="509">
        <v>0.61</v>
      </c>
      <c r="V6341" s="1192">
        <v>75</v>
      </c>
    </row>
    <row r="6342" spans="1:22" s="1192" customFormat="1" ht="14.4" x14ac:dyDescent="0.3">
      <c r="A6342" s="1192" t="s">
        <v>3744</v>
      </c>
      <c r="B6342" s="1192" t="s">
        <v>4205</v>
      </c>
      <c r="E6342" s="2084" t="s">
        <v>2490</v>
      </c>
      <c r="F6342" s="2084"/>
      <c r="G6342" s="1341" t="s">
        <v>2488</v>
      </c>
      <c r="H6342" s="509">
        <v>-0.61</v>
      </c>
      <c r="V6342" s="1192">
        <v>72</v>
      </c>
    </row>
    <row r="6343" spans="1:22" s="1192" customFormat="1" ht="14.4" x14ac:dyDescent="0.3">
      <c r="A6343" s="1192" t="s">
        <v>3744</v>
      </c>
      <c r="B6343" s="1192" t="s">
        <v>4205</v>
      </c>
      <c r="E6343" s="2238" t="s">
        <v>2596</v>
      </c>
      <c r="F6343" s="2238"/>
      <c r="G6343" s="1343"/>
      <c r="H6343" s="1328"/>
      <c r="V6343" s="1192">
        <v>34</v>
      </c>
    </row>
    <row r="6344" spans="1:22" s="1192" customFormat="1" ht="14.4" x14ac:dyDescent="0.3">
      <c r="A6344" s="1192" t="s">
        <v>3744</v>
      </c>
      <c r="B6344" s="1192" t="s">
        <v>4205</v>
      </c>
      <c r="E6344" s="2238" t="s">
        <v>2492</v>
      </c>
      <c r="F6344" s="2238"/>
      <c r="G6344" s="1341" t="s">
        <v>19</v>
      </c>
      <c r="H6344" s="905">
        <v>0.51</v>
      </c>
      <c r="V6344" s="1192">
        <v>57</v>
      </c>
    </row>
    <row r="6345" spans="1:22" s="1192" customFormat="1" ht="14.4" x14ac:dyDescent="0.3">
      <c r="A6345" s="1192" t="s">
        <v>3744</v>
      </c>
      <c r="B6345" s="1192" t="s">
        <v>4205</v>
      </c>
      <c r="E6345" s="2238" t="s">
        <v>2493</v>
      </c>
      <c r="F6345" s="2238"/>
      <c r="G6345" s="1341" t="s">
        <v>19</v>
      </c>
      <c r="H6345" s="905">
        <v>1.02</v>
      </c>
      <c r="V6345" s="1192">
        <v>60</v>
      </c>
    </row>
    <row r="6346" spans="1:22" s="1192" customFormat="1" ht="14.4" x14ac:dyDescent="0.3">
      <c r="A6346" s="1192" t="s">
        <v>3744</v>
      </c>
      <c r="B6346" s="1192" t="s">
        <v>4205</v>
      </c>
      <c r="E6346" s="2084" t="s">
        <v>2494</v>
      </c>
      <c r="F6346" s="2084"/>
      <c r="G6346" s="1343"/>
      <c r="H6346" s="1328"/>
      <c r="V6346" s="1192">
        <v>91</v>
      </c>
    </row>
    <row r="6347" spans="1:22" s="1192" customFormat="1" ht="14.4" x14ac:dyDescent="0.3">
      <c r="A6347" s="1192" t="s">
        <v>3744</v>
      </c>
      <c r="B6347" s="1192" t="s">
        <v>4205</v>
      </c>
      <c r="E6347" s="2084" t="s">
        <v>6404</v>
      </c>
      <c r="F6347" s="2084"/>
      <c r="G6347" s="1343"/>
      <c r="H6347" s="1328"/>
      <c r="V6347" s="1192">
        <v>174</v>
      </c>
    </row>
    <row r="6348" spans="1:22" s="1192" customFormat="1" ht="14.4" x14ac:dyDescent="0.3">
      <c r="A6348" s="1192" t="s">
        <v>3744</v>
      </c>
      <c r="B6348" s="1192" t="s">
        <v>4205</v>
      </c>
      <c r="E6348" s="2238" t="s">
        <v>2497</v>
      </c>
      <c r="F6348" s="2238"/>
      <c r="G6348" s="1341" t="s">
        <v>19</v>
      </c>
      <c r="H6348" s="905" t="s">
        <v>2498</v>
      </c>
      <c r="V6348" s="1192">
        <v>18</v>
      </c>
    </row>
    <row r="6349" spans="1:22" s="1192" customFormat="1" ht="14.4" x14ac:dyDescent="0.3">
      <c r="A6349" s="1192" t="s">
        <v>3744</v>
      </c>
      <c r="B6349" s="1192" t="s">
        <v>4205</v>
      </c>
      <c r="E6349" s="2238" t="s">
        <v>2499</v>
      </c>
      <c r="F6349" s="2238"/>
      <c r="G6349" s="1341" t="s">
        <v>19</v>
      </c>
      <c r="H6349" s="905">
        <v>4.08</v>
      </c>
      <c r="V6349" s="1192">
        <v>69</v>
      </c>
    </row>
    <row r="6350" spans="1:22" s="1192" customFormat="1" ht="14.4" x14ac:dyDescent="0.3">
      <c r="A6350" s="1192" t="s">
        <v>3744</v>
      </c>
      <c r="B6350" s="1192" t="s">
        <v>4205</v>
      </c>
      <c r="E6350" s="2084" t="s">
        <v>6405</v>
      </c>
      <c r="F6350" s="2084"/>
      <c r="G6350" s="1341" t="s">
        <v>19</v>
      </c>
      <c r="H6350" s="905">
        <v>2.04</v>
      </c>
      <c r="V6350" s="1192">
        <v>199</v>
      </c>
    </row>
    <row r="6351" spans="1:22" s="1192" customFormat="1" x14ac:dyDescent="0.3">
      <c r="A6351" s="1192" t="s">
        <v>3744</v>
      </c>
      <c r="B6351" s="1192" t="s">
        <v>4205</v>
      </c>
      <c r="E6351" s="1279" t="s">
        <v>143</v>
      </c>
      <c r="F6351" s="865"/>
      <c r="G6351" s="850"/>
      <c r="H6351" s="866"/>
      <c r="K6351" s="1192" t="s">
        <v>3998</v>
      </c>
      <c r="V6351" s="1192">
        <v>12</v>
      </c>
    </row>
    <row r="6352" spans="1:22" s="1192" customFormat="1" ht="14.4" x14ac:dyDescent="0.3">
      <c r="A6352" s="1192" t="s">
        <v>3744</v>
      </c>
      <c r="B6352" s="1192" t="s">
        <v>4205</v>
      </c>
      <c r="E6352" s="2059" t="s">
        <v>2501</v>
      </c>
      <c r="F6352" s="2059"/>
      <c r="G6352" s="2059"/>
      <c r="H6352" s="2059"/>
      <c r="V6352" s="1192">
        <v>203</v>
      </c>
    </row>
    <row r="6353" spans="1:22" s="1192" customFormat="1" ht="14.4" x14ac:dyDescent="0.3">
      <c r="A6353" s="1192" t="s">
        <v>3744</v>
      </c>
      <c r="B6353" s="1192" t="s">
        <v>4205</v>
      </c>
      <c r="E6353" s="2062" t="s">
        <v>2599</v>
      </c>
      <c r="F6353" s="2062"/>
      <c r="G6353" s="2062"/>
      <c r="H6353" s="836">
        <v>1.0368999999999999</v>
      </c>
      <c r="V6353" s="1192">
        <v>57</v>
      </c>
    </row>
    <row r="6354" spans="1:22" s="1192" customFormat="1" ht="14.4" x14ac:dyDescent="0.3">
      <c r="A6354" s="1192" t="s">
        <v>3744</v>
      </c>
      <c r="B6354" s="1192" t="s">
        <v>4205</v>
      </c>
      <c r="E6354" s="2062" t="s">
        <v>2600</v>
      </c>
      <c r="F6354" s="2062"/>
      <c r="G6354" s="2062"/>
      <c r="H6354" s="836">
        <v>1.0145</v>
      </c>
      <c r="V6354" s="1192">
        <v>57</v>
      </c>
    </row>
    <row r="6355" spans="1:22" s="1192" customFormat="1" ht="14.4" x14ac:dyDescent="0.3">
      <c r="A6355" s="1192" t="s">
        <v>3744</v>
      </c>
      <c r="B6355" s="1192" t="s">
        <v>4205</v>
      </c>
      <c r="E6355" s="2062" t="s">
        <v>2601</v>
      </c>
      <c r="F6355" s="2062"/>
      <c r="G6355" s="2062"/>
      <c r="H6355" s="836">
        <v>1.0266</v>
      </c>
      <c r="V6355" s="1192">
        <v>55</v>
      </c>
    </row>
    <row r="6356" spans="1:22" s="1192" customFormat="1" ht="14.4" x14ac:dyDescent="0.3">
      <c r="A6356" s="1192" t="s">
        <v>3744</v>
      </c>
      <c r="B6356" s="1192" t="s">
        <v>4205</v>
      </c>
      <c r="E6356" s="2062" t="s">
        <v>2602</v>
      </c>
      <c r="F6356" s="2062"/>
      <c r="G6356" s="2062"/>
      <c r="H6356" s="836">
        <v>1.0044999999999999</v>
      </c>
      <c r="J6356" s="1192" t="s">
        <v>4214</v>
      </c>
      <c r="V6356" s="1192">
        <v>55</v>
      </c>
    </row>
    <row r="6357" spans="1:22" s="1192" customFormat="1" ht="22.8" x14ac:dyDescent="0.3">
      <c r="A6357" s="1192" t="s">
        <v>167</v>
      </c>
      <c r="C6357" s="1192" t="s">
        <v>2378</v>
      </c>
      <c r="E6357" s="2039" t="s">
        <v>167</v>
      </c>
      <c r="F6357" s="2039"/>
      <c r="G6357" s="2039"/>
      <c r="H6357" s="2039"/>
      <c r="I6357" s="1192" t="s">
        <v>603</v>
      </c>
      <c r="J6357" s="1192" t="s">
        <v>3584</v>
      </c>
      <c r="K6357" s="1192" t="s">
        <v>167</v>
      </c>
      <c r="M6357" s="1192">
        <v>8</v>
      </c>
      <c r="V6357" s="1192">
        <v>25</v>
      </c>
    </row>
    <row r="6358" spans="1:22" s="1192" customFormat="1" ht="17.399999999999999" x14ac:dyDescent="0.3">
      <c r="A6358" s="1192" t="s">
        <v>167</v>
      </c>
      <c r="C6358" s="1192" t="s">
        <v>2380</v>
      </c>
      <c r="E6358" s="2040" t="s">
        <v>2381</v>
      </c>
      <c r="F6358" s="2040"/>
      <c r="G6358" s="2040"/>
      <c r="H6358" s="2040"/>
      <c r="V6358" s="1192">
        <v>27</v>
      </c>
    </row>
    <row r="6359" spans="1:22" s="1192" customFormat="1" ht="15.6" x14ac:dyDescent="0.3">
      <c r="A6359" s="1192" t="s">
        <v>167</v>
      </c>
      <c r="C6359" s="1192" t="s">
        <v>2382</v>
      </c>
      <c r="E6359" s="2020" t="s">
        <v>5937</v>
      </c>
      <c r="F6359" s="2020"/>
      <c r="G6359" s="2020"/>
      <c r="H6359" s="2020"/>
      <c r="S6359" s="1192">
        <v>43831</v>
      </c>
      <c r="V6359" s="1192">
        <v>49</v>
      </c>
    </row>
    <row r="6360" spans="1:22" s="1192" customFormat="1" ht="14.4" x14ac:dyDescent="0.3">
      <c r="A6360" s="1192" t="s">
        <v>167</v>
      </c>
      <c r="C6360" s="1192" t="s">
        <v>2383</v>
      </c>
      <c r="E6360" s="2021" t="s">
        <v>2842</v>
      </c>
      <c r="F6360" s="2021"/>
      <c r="G6360" s="2021"/>
      <c r="H6360" s="2021"/>
      <c r="V6360" s="1192">
        <v>53</v>
      </c>
    </row>
    <row r="6361" spans="1:22" s="1192" customFormat="1" ht="14.4" x14ac:dyDescent="0.3">
      <c r="A6361" s="1192" t="s">
        <v>167</v>
      </c>
      <c r="E6361" s="2021" t="s">
        <v>2385</v>
      </c>
      <c r="F6361" s="2021"/>
      <c r="G6361" s="2021"/>
      <c r="H6361" s="2021"/>
      <c r="V6361" s="1192">
        <v>53</v>
      </c>
    </row>
    <row r="6362" spans="1:22" s="1192" customFormat="1" ht="14.4" x14ac:dyDescent="0.3">
      <c r="A6362" s="1192" t="s">
        <v>167</v>
      </c>
      <c r="E6362" s="2022" t="s">
        <v>6406</v>
      </c>
      <c r="F6362" s="2022"/>
      <c r="G6362" s="2022"/>
      <c r="H6362" s="2022"/>
      <c r="K6362" s="1192" t="s">
        <v>6406</v>
      </c>
      <c r="V6362" s="1192">
        <v>12</v>
      </c>
    </row>
    <row r="6363" spans="1:22" s="1192" customFormat="1" ht="14.4" x14ac:dyDescent="0.3">
      <c r="A6363" s="1192" t="s">
        <v>167</v>
      </c>
      <c r="E6363" s="2045" t="s">
        <v>427</v>
      </c>
      <c r="F6363" s="1743"/>
      <c r="G6363" s="1743"/>
      <c r="H6363" s="1743"/>
      <c r="K6363" s="1192" t="s">
        <v>2506</v>
      </c>
      <c r="V6363" s="1192">
        <v>34</v>
      </c>
    </row>
    <row r="6364" spans="1:22" s="1192" customFormat="1" ht="14.4" x14ac:dyDescent="0.3">
      <c r="A6364" s="1192" t="s">
        <v>167</v>
      </c>
      <c r="E6364" s="1743" t="s">
        <v>3084</v>
      </c>
      <c r="F6364" s="1743"/>
      <c r="G6364" s="1743"/>
      <c r="H6364" s="1743"/>
      <c r="K6364" s="1192" t="s">
        <v>2506</v>
      </c>
      <c r="V6364" s="1192">
        <v>652</v>
      </c>
    </row>
    <row r="6365" spans="1:22" s="1192" customFormat="1" ht="14.4" x14ac:dyDescent="0.3">
      <c r="A6365" s="1192" t="s">
        <v>167</v>
      </c>
      <c r="E6365" s="1750" t="s">
        <v>2389</v>
      </c>
      <c r="F6365" s="1743"/>
      <c r="G6365" s="1743"/>
      <c r="H6365" s="1743"/>
      <c r="K6365" s="1192" t="s">
        <v>2390</v>
      </c>
      <c r="V6365" s="1192">
        <v>11</v>
      </c>
    </row>
    <row r="6366" spans="1:22" s="1192" customFormat="1" ht="14.4" x14ac:dyDescent="0.3">
      <c r="A6366" s="1192" t="s">
        <v>167</v>
      </c>
      <c r="E6366" s="1743" t="s">
        <v>2391</v>
      </c>
      <c r="F6366" s="1743"/>
      <c r="G6366" s="1743"/>
      <c r="H6366" s="1743"/>
      <c r="K6366" s="1192" t="s">
        <v>2506</v>
      </c>
      <c r="V6366" s="1192">
        <v>280</v>
      </c>
    </row>
    <row r="6367" spans="1:22" s="1192" customFormat="1" ht="14.4" x14ac:dyDescent="0.3">
      <c r="A6367" s="1192" t="s">
        <v>167</v>
      </c>
      <c r="E6367" s="1743" t="s">
        <v>2392</v>
      </c>
      <c r="F6367" s="1743"/>
      <c r="G6367" s="1743"/>
      <c r="H6367" s="1743"/>
      <c r="K6367" s="1192" t="s">
        <v>2506</v>
      </c>
      <c r="V6367" s="1192">
        <v>411</v>
      </c>
    </row>
    <row r="6368" spans="1:22" s="1192" customFormat="1" ht="14.4" x14ac:dyDescent="0.3">
      <c r="A6368" s="1192" t="s">
        <v>167</v>
      </c>
      <c r="E6368" s="1743" t="s">
        <v>3585</v>
      </c>
      <c r="F6368" s="1743"/>
      <c r="G6368" s="1743"/>
      <c r="H6368" s="1743"/>
      <c r="K6368" s="1192" t="s">
        <v>2506</v>
      </c>
      <c r="V6368" s="1192">
        <v>385</v>
      </c>
    </row>
    <row r="6369" spans="1:22" s="1192" customFormat="1" ht="14.4" x14ac:dyDescent="0.3">
      <c r="A6369" s="1192" t="s">
        <v>167</v>
      </c>
      <c r="E6369" s="1743" t="s">
        <v>2986</v>
      </c>
      <c r="F6369" s="1743"/>
      <c r="G6369" s="1743"/>
      <c r="H6369" s="1743"/>
      <c r="K6369" s="1192" t="s">
        <v>2506</v>
      </c>
      <c r="V6369" s="1192">
        <v>246</v>
      </c>
    </row>
    <row r="6370" spans="1:22" s="1192" customFormat="1" ht="14.4" x14ac:dyDescent="0.3">
      <c r="A6370" s="1192" t="s">
        <v>167</v>
      </c>
      <c r="E6370" s="1750" t="s">
        <v>2394</v>
      </c>
      <c r="F6370" s="1743"/>
      <c r="G6370" s="1743"/>
      <c r="H6370" s="1743"/>
      <c r="K6370" s="1192" t="s">
        <v>2395</v>
      </c>
      <c r="V6370" s="1192">
        <v>46</v>
      </c>
    </row>
    <row r="6371" spans="1:22" s="1192" customFormat="1" ht="14.4" x14ac:dyDescent="0.3">
      <c r="A6371" s="1192" t="s">
        <v>167</v>
      </c>
      <c r="E6371" s="2044" t="s">
        <v>7</v>
      </c>
      <c r="F6371" s="1741"/>
      <c r="G6371" s="556" t="s">
        <v>19</v>
      </c>
      <c r="H6371" s="1218">
        <v>32.049999999999997</v>
      </c>
      <c r="K6371" s="1192" t="s">
        <v>2506</v>
      </c>
      <c r="L6371" s="1192" t="s">
        <v>430</v>
      </c>
      <c r="P6371" s="1192" t="s">
        <v>2510</v>
      </c>
      <c r="V6371" s="1192">
        <v>14</v>
      </c>
    </row>
    <row r="6372" spans="1:22" s="1192" customFormat="1" ht="14.4" x14ac:dyDescent="0.3">
      <c r="A6372" s="1192" t="s">
        <v>167</v>
      </c>
      <c r="E6372" s="2044" t="s">
        <v>3900</v>
      </c>
      <c r="F6372" s="1741"/>
      <c r="G6372" s="556" t="s">
        <v>19</v>
      </c>
      <c r="H6372" s="1218">
        <v>0.56999999999999995</v>
      </c>
      <c r="K6372" s="1192" t="s">
        <v>2506</v>
      </c>
      <c r="L6372" s="1192" t="s">
        <v>431</v>
      </c>
      <c r="P6372" s="1192" t="s">
        <v>2511</v>
      </c>
      <c r="T6372" s="1192">
        <v>44926</v>
      </c>
      <c r="V6372" s="1192">
        <v>64</v>
      </c>
    </row>
    <row r="6373" spans="1:22" s="1192" customFormat="1" ht="14.4" x14ac:dyDescent="0.3">
      <c r="A6373" s="1192" t="s">
        <v>167</v>
      </c>
      <c r="E6373" s="2044" t="s">
        <v>14</v>
      </c>
      <c r="F6373" s="1741"/>
      <c r="G6373" s="556" t="s">
        <v>20</v>
      </c>
      <c r="H6373" s="1219">
        <v>2.0000000000000001E-4</v>
      </c>
      <c r="K6373" s="1192" t="s">
        <v>2506</v>
      </c>
      <c r="L6373" s="1192" t="s">
        <v>431</v>
      </c>
      <c r="P6373" s="1192" t="s">
        <v>2513</v>
      </c>
      <c r="V6373" s="1192">
        <v>24</v>
      </c>
    </row>
    <row r="6374" spans="1:22" s="1192" customFormat="1" ht="14.4" x14ac:dyDescent="0.3">
      <c r="A6374" s="1192" t="s">
        <v>167</v>
      </c>
      <c r="E6374" s="2044" t="s">
        <v>6090</v>
      </c>
      <c r="F6374" s="1998"/>
      <c r="G6374" s="556" t="s">
        <v>20</v>
      </c>
      <c r="H6374" s="1219">
        <v>-6.9999999999999999E-4</v>
      </c>
      <c r="K6374" s="1192" t="s">
        <v>2506</v>
      </c>
      <c r="L6374" s="1192" t="s">
        <v>431</v>
      </c>
      <c r="P6374" s="1192" t="s">
        <v>2514</v>
      </c>
      <c r="T6374" s="1192">
        <v>44196</v>
      </c>
      <c r="V6374" s="1192">
        <v>142</v>
      </c>
    </row>
    <row r="6375" spans="1:22" s="1192" customFormat="1" ht="14.4" x14ac:dyDescent="0.3">
      <c r="A6375" s="1192" t="s">
        <v>167</v>
      </c>
      <c r="E6375" s="2044" t="s">
        <v>6087</v>
      </c>
      <c r="F6375" s="1998"/>
      <c r="G6375" s="556" t="s">
        <v>20</v>
      </c>
      <c r="H6375" s="1219">
        <v>5.9999999999999995E-4</v>
      </c>
      <c r="K6375" s="1192" t="s">
        <v>2506</v>
      </c>
      <c r="L6375" s="1192" t="s">
        <v>431</v>
      </c>
      <c r="P6375" s="1192" t="s">
        <v>2516</v>
      </c>
      <c r="T6375" s="1192">
        <v>44196</v>
      </c>
      <c r="V6375" s="1192">
        <v>99</v>
      </c>
    </row>
    <row r="6376" spans="1:22" s="1192" customFormat="1" ht="14.4" x14ac:dyDescent="0.3">
      <c r="A6376" s="1192" t="s">
        <v>167</v>
      </c>
      <c r="E6376" s="2044" t="s">
        <v>213</v>
      </c>
      <c r="F6376" s="1741"/>
      <c r="G6376" s="556" t="s">
        <v>20</v>
      </c>
      <c r="H6376" s="1219">
        <v>7.3000000000000001E-3</v>
      </c>
      <c r="K6376" s="1192" t="s">
        <v>2506</v>
      </c>
      <c r="L6376" s="1192" t="s">
        <v>432</v>
      </c>
      <c r="P6376" s="1192" t="s">
        <v>2517</v>
      </c>
      <c r="V6376" s="1192">
        <v>47</v>
      </c>
    </row>
    <row r="6377" spans="1:22" s="1192" customFormat="1" ht="14.4" x14ac:dyDescent="0.3">
      <c r="A6377" s="1192" t="s">
        <v>167</v>
      </c>
      <c r="E6377" s="2044" t="s">
        <v>209</v>
      </c>
      <c r="F6377" s="1741"/>
      <c r="G6377" s="556" t="s">
        <v>20</v>
      </c>
      <c r="H6377" s="1219">
        <v>2.5999999999999999E-3</v>
      </c>
      <c r="K6377" s="1192" t="s">
        <v>2506</v>
      </c>
      <c r="L6377" s="1192" t="s">
        <v>432</v>
      </c>
      <c r="P6377" s="1192" t="s">
        <v>2518</v>
      </c>
      <c r="V6377" s="1192">
        <v>74</v>
      </c>
    </row>
    <row r="6378" spans="1:22" s="1192" customFormat="1" ht="14.4" x14ac:dyDescent="0.3">
      <c r="A6378" s="1192" t="s">
        <v>167</v>
      </c>
      <c r="E6378" s="1750" t="s">
        <v>2405</v>
      </c>
      <c r="F6378" s="1741"/>
      <c r="G6378" s="1741"/>
      <c r="H6378" s="1741"/>
      <c r="K6378" s="1192" t="s">
        <v>2406</v>
      </c>
      <c r="V6378" s="1192">
        <v>48</v>
      </c>
    </row>
    <row r="6379" spans="1:22" s="1192" customFormat="1" ht="14.4" x14ac:dyDescent="0.3">
      <c r="A6379" s="1192" t="s">
        <v>167</v>
      </c>
      <c r="E6379" s="2044" t="s">
        <v>2033</v>
      </c>
      <c r="F6379" s="1741"/>
      <c r="G6379" s="556" t="s">
        <v>20</v>
      </c>
      <c r="H6379" s="1219">
        <v>3.0000000000000001E-3</v>
      </c>
      <c r="K6379" s="1192" t="s">
        <v>2506</v>
      </c>
      <c r="L6379" s="1192" t="s">
        <v>2374</v>
      </c>
      <c r="P6379" s="1192" t="s">
        <v>2519</v>
      </c>
      <c r="V6379" s="1192">
        <v>55</v>
      </c>
    </row>
    <row r="6380" spans="1:22" s="1192" customFormat="1" ht="14.4" x14ac:dyDescent="0.3">
      <c r="A6380" s="1192" t="s">
        <v>167</v>
      </c>
      <c r="E6380" s="2044" t="s">
        <v>2034</v>
      </c>
      <c r="F6380" s="1741"/>
      <c r="G6380" s="556" t="s">
        <v>20</v>
      </c>
      <c r="H6380" s="1219">
        <v>4.0000000000000002E-4</v>
      </c>
      <c r="K6380" s="1192" t="s">
        <v>2506</v>
      </c>
      <c r="L6380" s="1192" t="s">
        <v>2374</v>
      </c>
      <c r="P6380" s="1192" t="s">
        <v>2519</v>
      </c>
      <c r="V6380" s="1192">
        <v>65</v>
      </c>
    </row>
    <row r="6381" spans="1:22" s="1192" customFormat="1" ht="14.4" x14ac:dyDescent="0.3">
      <c r="A6381" s="1192" t="s">
        <v>167</v>
      </c>
      <c r="E6381" s="2044" t="s">
        <v>428</v>
      </c>
      <c r="F6381" s="1741"/>
      <c r="G6381" s="556" t="s">
        <v>20</v>
      </c>
      <c r="H6381" s="1219">
        <v>5.0000000000000001E-4</v>
      </c>
      <c r="K6381" s="1192" t="s">
        <v>2506</v>
      </c>
      <c r="L6381" s="1192" t="s">
        <v>2374</v>
      </c>
      <c r="P6381" s="1192" t="s">
        <v>2520</v>
      </c>
      <c r="V6381" s="1192">
        <v>57</v>
      </c>
    </row>
    <row r="6382" spans="1:22" s="1192" customFormat="1" ht="14.4" x14ac:dyDescent="0.3">
      <c r="A6382" s="1192" t="s">
        <v>167</v>
      </c>
      <c r="E6382" s="2044" t="s">
        <v>28</v>
      </c>
      <c r="F6382" s="1741"/>
      <c r="G6382" s="556" t="s">
        <v>19</v>
      </c>
      <c r="H6382" s="1218">
        <v>0.25</v>
      </c>
      <c r="K6382" s="1192" t="s">
        <v>2506</v>
      </c>
      <c r="L6382" s="1192" t="s">
        <v>2374</v>
      </c>
      <c r="P6382" s="1192" t="s">
        <v>2521</v>
      </c>
      <c r="V6382" s="1192">
        <v>63</v>
      </c>
    </row>
    <row r="6383" spans="1:22" s="1192" customFormat="1" ht="17.399999999999999" x14ac:dyDescent="0.3">
      <c r="A6383" s="1192" t="s">
        <v>167</v>
      </c>
      <c r="E6383" s="2045" t="s">
        <v>2522</v>
      </c>
      <c r="F6383" s="1747"/>
      <c r="G6383" s="1747"/>
      <c r="H6383" s="1747"/>
      <c r="K6383" s="1192" t="s">
        <v>3901</v>
      </c>
      <c r="V6383" s="1192">
        <v>54</v>
      </c>
    </row>
    <row r="6384" spans="1:22" s="1192" customFormat="1" ht="14.4" x14ac:dyDescent="0.3">
      <c r="A6384" s="1192" t="s">
        <v>167</v>
      </c>
      <c r="E6384" s="1743" t="s">
        <v>3086</v>
      </c>
      <c r="F6384" s="1743"/>
      <c r="G6384" s="1743"/>
      <c r="H6384" s="1743"/>
      <c r="K6384" s="1192" t="s">
        <v>3901</v>
      </c>
      <c r="V6384" s="1192">
        <v>336</v>
      </c>
    </row>
    <row r="6385" spans="1:22" s="1192" customFormat="1" ht="14.4" x14ac:dyDescent="0.3">
      <c r="A6385" s="1192" t="s">
        <v>167</v>
      </c>
      <c r="E6385" s="1750" t="s">
        <v>2389</v>
      </c>
      <c r="F6385" s="1743"/>
      <c r="G6385" s="1743"/>
      <c r="H6385" s="1743"/>
      <c r="K6385" s="1192" t="s">
        <v>2412</v>
      </c>
      <c r="V6385" s="1192">
        <v>11</v>
      </c>
    </row>
    <row r="6386" spans="1:22" s="1192" customFormat="1" ht="14.4" x14ac:dyDescent="0.3">
      <c r="A6386" s="1192" t="s">
        <v>167</v>
      </c>
      <c r="E6386" s="1743" t="s">
        <v>2391</v>
      </c>
      <c r="F6386" s="1743"/>
      <c r="G6386" s="1743"/>
      <c r="H6386" s="1743"/>
      <c r="K6386" s="1192" t="s">
        <v>3901</v>
      </c>
      <c r="V6386" s="1192">
        <v>280</v>
      </c>
    </row>
    <row r="6387" spans="1:22" s="1192" customFormat="1" ht="14.4" x14ac:dyDescent="0.3">
      <c r="A6387" s="1192" t="s">
        <v>167</v>
      </c>
      <c r="E6387" s="1743" t="s">
        <v>2392</v>
      </c>
      <c r="F6387" s="1743"/>
      <c r="G6387" s="1743"/>
      <c r="H6387" s="1743"/>
      <c r="K6387" s="1192" t="s">
        <v>3901</v>
      </c>
      <c r="V6387" s="1192">
        <v>411</v>
      </c>
    </row>
    <row r="6388" spans="1:22" s="1192" customFormat="1" ht="14.4" x14ac:dyDescent="0.3">
      <c r="A6388" s="1192" t="s">
        <v>167</v>
      </c>
      <c r="E6388" s="1743" t="s">
        <v>3585</v>
      </c>
      <c r="F6388" s="1743"/>
      <c r="G6388" s="1743"/>
      <c r="H6388" s="1743"/>
      <c r="K6388" s="1192" t="s">
        <v>3901</v>
      </c>
      <c r="V6388" s="1192">
        <v>385</v>
      </c>
    </row>
    <row r="6389" spans="1:22" s="1192" customFormat="1" ht="14.4" x14ac:dyDescent="0.3">
      <c r="A6389" s="1192" t="s">
        <v>167</v>
      </c>
      <c r="E6389" s="1743" t="s">
        <v>2986</v>
      </c>
      <c r="F6389" s="1743"/>
      <c r="G6389" s="1743"/>
      <c r="H6389" s="1743"/>
      <c r="K6389" s="1192" t="s">
        <v>3901</v>
      </c>
      <c r="V6389" s="1192">
        <v>246</v>
      </c>
    </row>
    <row r="6390" spans="1:22" s="1192" customFormat="1" ht="14.4" x14ac:dyDescent="0.3">
      <c r="A6390" s="1192" t="s">
        <v>167</v>
      </c>
      <c r="E6390" s="1750" t="s">
        <v>2394</v>
      </c>
      <c r="F6390" s="1743"/>
      <c r="G6390" s="1743"/>
      <c r="H6390" s="1743"/>
      <c r="K6390" s="1192" t="s">
        <v>2413</v>
      </c>
      <c r="V6390" s="1192">
        <v>46</v>
      </c>
    </row>
    <row r="6391" spans="1:22" s="1192" customFormat="1" ht="14.4" x14ac:dyDescent="0.3">
      <c r="A6391" s="1192" t="s">
        <v>167</v>
      </c>
      <c r="E6391" s="2044" t="s">
        <v>7</v>
      </c>
      <c r="F6391" s="1741"/>
      <c r="G6391" s="556" t="s">
        <v>19</v>
      </c>
      <c r="H6391" s="1218">
        <v>33.71</v>
      </c>
      <c r="K6391" s="1192" t="s">
        <v>3901</v>
      </c>
      <c r="L6391" s="1192" t="s">
        <v>430</v>
      </c>
      <c r="P6391" s="1192" t="s">
        <v>3902</v>
      </c>
      <c r="V6391" s="1192">
        <v>14</v>
      </c>
    </row>
    <row r="6392" spans="1:22" s="1192" customFormat="1" ht="14.4" x14ac:dyDescent="0.3">
      <c r="A6392" s="1192" t="s">
        <v>167</v>
      </c>
      <c r="E6392" s="2044" t="s">
        <v>3900</v>
      </c>
      <c r="F6392" s="1741"/>
      <c r="G6392" s="556" t="s">
        <v>19</v>
      </c>
      <c r="H6392" s="1218">
        <v>0.56999999999999995</v>
      </c>
      <c r="K6392" s="1192" t="s">
        <v>3901</v>
      </c>
      <c r="L6392" s="1192" t="s">
        <v>431</v>
      </c>
      <c r="P6392" s="1192" t="s">
        <v>3903</v>
      </c>
      <c r="T6392" s="1192">
        <v>44926</v>
      </c>
      <c r="V6392" s="1192">
        <v>64</v>
      </c>
    </row>
    <row r="6393" spans="1:22" s="1192" customFormat="1" ht="14.4" x14ac:dyDescent="0.3">
      <c r="A6393" s="1192" t="s">
        <v>167</v>
      </c>
      <c r="E6393" s="2044" t="s">
        <v>80</v>
      </c>
      <c r="F6393" s="1741"/>
      <c r="G6393" s="556" t="s">
        <v>20</v>
      </c>
      <c r="H6393" s="1219">
        <v>1.6799999999999999E-2</v>
      </c>
      <c r="K6393" s="1192" t="s">
        <v>3901</v>
      </c>
      <c r="L6393" s="1192" t="s">
        <v>430</v>
      </c>
      <c r="P6393" s="1192" t="s">
        <v>3904</v>
      </c>
      <c r="V6393" s="1192">
        <v>28</v>
      </c>
    </row>
    <row r="6394" spans="1:22" s="1192" customFormat="1" ht="14.4" x14ac:dyDescent="0.3">
      <c r="A6394" s="1192" t="s">
        <v>167</v>
      </c>
      <c r="E6394" s="2044" t="s">
        <v>14</v>
      </c>
      <c r="F6394" s="1741"/>
      <c r="G6394" s="556" t="s">
        <v>20</v>
      </c>
      <c r="H6394" s="1219">
        <v>2.0000000000000001E-4</v>
      </c>
      <c r="K6394" s="1192" t="s">
        <v>3901</v>
      </c>
      <c r="L6394" s="1192" t="s">
        <v>431</v>
      </c>
      <c r="P6394" s="1192" t="s">
        <v>3905</v>
      </c>
      <c r="V6394" s="1192">
        <v>24</v>
      </c>
    </row>
    <row r="6395" spans="1:22" s="1192" customFormat="1" ht="14.4" x14ac:dyDescent="0.3">
      <c r="A6395" s="1192" t="s">
        <v>167</v>
      </c>
      <c r="E6395" s="2044" t="s">
        <v>6090</v>
      </c>
      <c r="F6395" s="1998"/>
      <c r="G6395" s="556" t="s">
        <v>20</v>
      </c>
      <c r="H6395" s="1219">
        <v>-6.9999999999999999E-4</v>
      </c>
      <c r="K6395" s="1192" t="s">
        <v>3901</v>
      </c>
      <c r="L6395" s="1192" t="s">
        <v>431</v>
      </c>
      <c r="P6395" s="1192" t="s">
        <v>3700</v>
      </c>
      <c r="T6395" s="1192">
        <v>44196</v>
      </c>
      <c r="V6395" s="1192">
        <v>142</v>
      </c>
    </row>
    <row r="6396" spans="1:22" s="1192" customFormat="1" ht="14.4" x14ac:dyDescent="0.3">
      <c r="A6396" s="1192" t="s">
        <v>167</v>
      </c>
      <c r="E6396" s="2044" t="s">
        <v>6087</v>
      </c>
      <c r="F6396" s="1998"/>
      <c r="G6396" s="556" t="s">
        <v>20</v>
      </c>
      <c r="H6396" s="1219">
        <v>6.9999999999999999E-4</v>
      </c>
      <c r="K6396" s="1192" t="s">
        <v>3901</v>
      </c>
      <c r="L6396" s="1192" t="s">
        <v>431</v>
      </c>
      <c r="P6396" s="1192" t="s">
        <v>3911</v>
      </c>
      <c r="T6396" s="1192">
        <v>44196</v>
      </c>
      <c r="V6396" s="1192">
        <v>99</v>
      </c>
    </row>
    <row r="6397" spans="1:22" s="1192" customFormat="1" ht="14.4" x14ac:dyDescent="0.3">
      <c r="A6397" s="1192" t="s">
        <v>167</v>
      </c>
      <c r="E6397" s="2044" t="s">
        <v>213</v>
      </c>
      <c r="F6397" s="1741"/>
      <c r="G6397" s="556" t="s">
        <v>20</v>
      </c>
      <c r="H6397" s="1219">
        <v>6.7999999999999996E-3</v>
      </c>
      <c r="K6397" s="1192" t="s">
        <v>3901</v>
      </c>
      <c r="L6397" s="1192" t="s">
        <v>432</v>
      </c>
      <c r="P6397" s="1192" t="s">
        <v>3906</v>
      </c>
      <c r="V6397" s="1192">
        <v>47</v>
      </c>
    </row>
    <row r="6398" spans="1:22" s="1192" customFormat="1" ht="14.4" x14ac:dyDescent="0.3">
      <c r="A6398" s="1192" t="s">
        <v>167</v>
      </c>
      <c r="E6398" s="2044" t="s">
        <v>209</v>
      </c>
      <c r="F6398" s="1741"/>
      <c r="G6398" s="556" t="s">
        <v>20</v>
      </c>
      <c r="H6398" s="1219">
        <v>2.3999999999999998E-3</v>
      </c>
      <c r="K6398" s="1192" t="s">
        <v>3901</v>
      </c>
      <c r="L6398" s="1192" t="s">
        <v>432</v>
      </c>
      <c r="P6398" s="1192" t="s">
        <v>3907</v>
      </c>
      <c r="V6398" s="1192">
        <v>74</v>
      </c>
    </row>
    <row r="6399" spans="1:22" s="1192" customFormat="1" ht="14.4" x14ac:dyDescent="0.3">
      <c r="A6399" s="1192" t="s">
        <v>167</v>
      </c>
      <c r="E6399" s="1750" t="s">
        <v>2405</v>
      </c>
      <c r="F6399" s="1741"/>
      <c r="G6399" s="1741"/>
      <c r="H6399" s="1741"/>
      <c r="K6399" s="1192" t="s">
        <v>2418</v>
      </c>
      <c r="V6399" s="1192">
        <v>48</v>
      </c>
    </row>
    <row r="6400" spans="1:22" s="1192" customFormat="1" ht="14.4" x14ac:dyDescent="0.3">
      <c r="A6400" s="1192" t="s">
        <v>167</v>
      </c>
      <c r="E6400" s="2044" t="s">
        <v>2033</v>
      </c>
      <c r="F6400" s="1741"/>
      <c r="G6400" s="556" t="s">
        <v>20</v>
      </c>
      <c r="H6400" s="1219">
        <v>3.0000000000000001E-3</v>
      </c>
      <c r="K6400" s="1192" t="s">
        <v>3901</v>
      </c>
      <c r="L6400" s="1192" t="s">
        <v>2374</v>
      </c>
      <c r="P6400" s="1192" t="s">
        <v>3908</v>
      </c>
      <c r="V6400" s="1192">
        <v>55</v>
      </c>
    </row>
    <row r="6401" spans="1:22" s="1192" customFormat="1" ht="14.4" x14ac:dyDescent="0.3">
      <c r="A6401" s="1192" t="s">
        <v>167</v>
      </c>
      <c r="E6401" s="2044" t="s">
        <v>2034</v>
      </c>
      <c r="F6401" s="1741"/>
      <c r="G6401" s="556" t="s">
        <v>20</v>
      </c>
      <c r="H6401" s="1219">
        <v>4.0000000000000002E-4</v>
      </c>
      <c r="K6401" s="1192" t="s">
        <v>3901</v>
      </c>
      <c r="L6401" s="1192" t="s">
        <v>2374</v>
      </c>
      <c r="P6401" s="1192" t="s">
        <v>3908</v>
      </c>
      <c r="V6401" s="1192">
        <v>65</v>
      </c>
    </row>
    <row r="6402" spans="1:22" s="1192" customFormat="1" ht="14.4" x14ac:dyDescent="0.3">
      <c r="A6402" s="1192" t="s">
        <v>167</v>
      </c>
      <c r="E6402" s="2044" t="s">
        <v>428</v>
      </c>
      <c r="F6402" s="1741"/>
      <c r="G6402" s="556" t="s">
        <v>20</v>
      </c>
      <c r="H6402" s="1219">
        <v>5.0000000000000001E-4</v>
      </c>
      <c r="K6402" s="1192" t="s">
        <v>3901</v>
      </c>
      <c r="L6402" s="1192" t="s">
        <v>2374</v>
      </c>
      <c r="P6402" s="1192" t="s">
        <v>3909</v>
      </c>
      <c r="V6402" s="1192">
        <v>57</v>
      </c>
    </row>
    <row r="6403" spans="1:22" s="1192" customFormat="1" ht="14.4" x14ac:dyDescent="0.3">
      <c r="A6403" s="1192" t="s">
        <v>167</v>
      </c>
      <c r="E6403" s="2044" t="s">
        <v>28</v>
      </c>
      <c r="F6403" s="1741"/>
      <c r="G6403" s="556" t="s">
        <v>19</v>
      </c>
      <c r="H6403" s="1218">
        <v>0.25</v>
      </c>
      <c r="K6403" s="1192" t="s">
        <v>3901</v>
      </c>
      <c r="L6403" s="1192" t="s">
        <v>2374</v>
      </c>
      <c r="P6403" s="1192" t="s">
        <v>3910</v>
      </c>
      <c r="V6403" s="1192">
        <v>63</v>
      </c>
    </row>
    <row r="6404" spans="1:22" s="1192" customFormat="1" ht="17.399999999999999" x14ac:dyDescent="0.3">
      <c r="A6404" s="1192" t="s">
        <v>167</v>
      </c>
      <c r="E6404" s="2045" t="s">
        <v>591</v>
      </c>
      <c r="F6404" s="1747"/>
      <c r="G6404" s="1747"/>
      <c r="H6404" s="1747"/>
      <c r="K6404" s="1192" t="s">
        <v>4388</v>
      </c>
      <c r="V6404" s="1192">
        <v>53</v>
      </c>
    </row>
    <row r="6405" spans="1:22" s="1192" customFormat="1" ht="14.4" x14ac:dyDescent="0.3">
      <c r="A6405" s="1192" t="s">
        <v>167</v>
      </c>
      <c r="E6405" s="1743" t="s">
        <v>3586</v>
      </c>
      <c r="F6405" s="1743"/>
      <c r="G6405" s="1743"/>
      <c r="H6405" s="1743"/>
      <c r="K6405" s="1192" t="s">
        <v>4388</v>
      </c>
      <c r="V6405" s="1192">
        <v>750</v>
      </c>
    </row>
    <row r="6406" spans="1:22" s="1192" customFormat="1" ht="14.4" x14ac:dyDescent="0.3">
      <c r="A6406" s="1192" t="s">
        <v>167</v>
      </c>
      <c r="E6406" s="1750" t="s">
        <v>2389</v>
      </c>
      <c r="F6406" s="1743"/>
      <c r="G6406" s="1743"/>
      <c r="H6406" s="1743"/>
      <c r="K6406" s="1192" t="s">
        <v>2422</v>
      </c>
      <c r="V6406" s="1192">
        <v>11</v>
      </c>
    </row>
    <row r="6407" spans="1:22" s="1192" customFormat="1" ht="14.4" x14ac:dyDescent="0.3">
      <c r="A6407" s="1192" t="s">
        <v>167</v>
      </c>
      <c r="E6407" s="1743" t="s">
        <v>2391</v>
      </c>
      <c r="F6407" s="1743"/>
      <c r="G6407" s="1743"/>
      <c r="H6407" s="1743"/>
      <c r="K6407" s="1192" t="s">
        <v>4388</v>
      </c>
      <c r="V6407" s="1192">
        <v>280</v>
      </c>
    </row>
    <row r="6408" spans="1:22" s="1192" customFormat="1" ht="14.4" x14ac:dyDescent="0.3">
      <c r="A6408" s="1192" t="s">
        <v>167</v>
      </c>
      <c r="E6408" s="1743" t="s">
        <v>2392</v>
      </c>
      <c r="F6408" s="1743"/>
      <c r="G6408" s="1743"/>
      <c r="H6408" s="1743"/>
      <c r="K6408" s="1192" t="s">
        <v>4388</v>
      </c>
      <c r="V6408" s="1192">
        <v>411</v>
      </c>
    </row>
    <row r="6409" spans="1:22" s="1192" customFormat="1" ht="14.4" x14ac:dyDescent="0.3">
      <c r="A6409" s="1192" t="s">
        <v>167</v>
      </c>
      <c r="E6409" s="1743" t="s">
        <v>3585</v>
      </c>
      <c r="F6409" s="1743"/>
      <c r="G6409" s="1743"/>
      <c r="H6409" s="1743"/>
      <c r="K6409" s="1192" t="s">
        <v>4388</v>
      </c>
      <c r="V6409" s="1192">
        <v>385</v>
      </c>
    </row>
    <row r="6410" spans="1:22" s="1192" customFormat="1" ht="14.4" x14ac:dyDescent="0.3">
      <c r="A6410" s="1192" t="s">
        <v>167</v>
      </c>
      <c r="E6410" s="1743" t="s">
        <v>4503</v>
      </c>
      <c r="F6410" s="1743"/>
      <c r="G6410" s="1743"/>
      <c r="H6410" s="1743"/>
      <c r="K6410" s="1192" t="s">
        <v>4388</v>
      </c>
      <c r="V6410" s="1192">
        <v>677</v>
      </c>
    </row>
    <row r="6411" spans="1:22" s="1192" customFormat="1" ht="14.4" x14ac:dyDescent="0.3">
      <c r="A6411" s="1192" t="s">
        <v>167</v>
      </c>
      <c r="E6411" s="1743" t="s">
        <v>4644</v>
      </c>
      <c r="F6411" s="1743"/>
      <c r="G6411" s="1743"/>
      <c r="H6411" s="1743"/>
      <c r="K6411" s="1192" t="s">
        <v>4388</v>
      </c>
      <c r="V6411" s="1192">
        <v>693</v>
      </c>
    </row>
    <row r="6412" spans="1:22" s="1192" customFormat="1" ht="14.4" x14ac:dyDescent="0.3">
      <c r="A6412" s="1192" t="s">
        <v>167</v>
      </c>
      <c r="E6412" s="1743" t="s">
        <v>2986</v>
      </c>
      <c r="F6412" s="1743"/>
      <c r="G6412" s="1743"/>
      <c r="H6412" s="1743"/>
      <c r="K6412" s="1192" t="s">
        <v>4388</v>
      </c>
      <c r="V6412" s="1192">
        <v>246</v>
      </c>
    </row>
    <row r="6413" spans="1:22" s="1192" customFormat="1" ht="14.4" x14ac:dyDescent="0.3">
      <c r="A6413" s="1192" t="s">
        <v>167</v>
      </c>
      <c r="E6413" s="1750" t="s">
        <v>2394</v>
      </c>
      <c r="F6413" s="1743"/>
      <c r="G6413" s="1743"/>
      <c r="H6413" s="1743"/>
      <c r="K6413" s="1192" t="s">
        <v>2423</v>
      </c>
      <c r="V6413" s="1192">
        <v>46</v>
      </c>
    </row>
    <row r="6414" spans="1:22" s="1192" customFormat="1" ht="14.4" x14ac:dyDescent="0.3">
      <c r="A6414" s="1192" t="s">
        <v>167</v>
      </c>
      <c r="E6414" s="2044" t="s">
        <v>7</v>
      </c>
      <c r="F6414" s="1741"/>
      <c r="G6414" s="556" t="s">
        <v>19</v>
      </c>
      <c r="H6414" s="1218">
        <v>125.96</v>
      </c>
      <c r="K6414" s="1192" t="s">
        <v>4388</v>
      </c>
      <c r="L6414" s="1192" t="s">
        <v>430</v>
      </c>
      <c r="P6414" s="1192" t="s">
        <v>4389</v>
      </c>
      <c r="V6414" s="1192">
        <v>14</v>
      </c>
    </row>
    <row r="6415" spans="1:22" s="1192" customFormat="1" ht="14.4" x14ac:dyDescent="0.3">
      <c r="A6415" s="1192" t="s">
        <v>167</v>
      </c>
      <c r="E6415" s="2044" t="s">
        <v>80</v>
      </c>
      <c r="F6415" s="1741"/>
      <c r="G6415" s="556" t="s">
        <v>29</v>
      </c>
      <c r="H6415" s="1219">
        <v>5.3437999999999999</v>
      </c>
      <c r="K6415" s="1192" t="s">
        <v>4388</v>
      </c>
      <c r="L6415" s="1192" t="s">
        <v>430</v>
      </c>
      <c r="P6415" s="1192" t="s">
        <v>4390</v>
      </c>
      <c r="V6415" s="1192">
        <v>28</v>
      </c>
    </row>
    <row r="6416" spans="1:22" s="1192" customFormat="1" ht="14.4" x14ac:dyDescent="0.3">
      <c r="A6416" s="1192" t="s">
        <v>167</v>
      </c>
      <c r="E6416" s="2044" t="s">
        <v>14</v>
      </c>
      <c r="F6416" s="1741"/>
      <c r="G6416" s="556" t="s">
        <v>29</v>
      </c>
      <c r="H6416" s="1219">
        <v>7.3800000000000004E-2</v>
      </c>
      <c r="K6416" s="1192" t="s">
        <v>4388</v>
      </c>
      <c r="L6416" s="1192" t="s">
        <v>431</v>
      </c>
      <c r="P6416" s="1192" t="s">
        <v>4391</v>
      </c>
      <c r="V6416" s="1192">
        <v>24</v>
      </c>
    </row>
    <row r="6417" spans="1:22" s="1192" customFormat="1" ht="14.4" x14ac:dyDescent="0.3">
      <c r="A6417" s="1192" t="s">
        <v>167</v>
      </c>
      <c r="E6417" s="2044" t="s">
        <v>6090</v>
      </c>
      <c r="F6417" s="1998"/>
      <c r="G6417" s="556" t="s">
        <v>20</v>
      </c>
      <c r="H6417" s="1219">
        <v>-6.9999999999999999E-4</v>
      </c>
      <c r="K6417" s="1192" t="s">
        <v>4388</v>
      </c>
      <c r="L6417" s="1192" t="s">
        <v>431</v>
      </c>
      <c r="P6417" s="1192" t="s">
        <v>4397</v>
      </c>
      <c r="T6417" s="1192">
        <v>44196</v>
      </c>
      <c r="V6417" s="1192">
        <v>142</v>
      </c>
    </row>
    <row r="6418" spans="1:22" s="1192" customFormat="1" ht="14.4" x14ac:dyDescent="0.3">
      <c r="A6418" s="1192" t="s">
        <v>167</v>
      </c>
      <c r="E6418" s="2044" t="s">
        <v>6146</v>
      </c>
      <c r="F6418" s="1998"/>
      <c r="G6418" s="556" t="s">
        <v>29</v>
      </c>
      <c r="H6418" s="1219">
        <v>0.16289999999999999</v>
      </c>
      <c r="K6418" s="1192" t="s">
        <v>4388</v>
      </c>
      <c r="L6418" s="1192" t="s">
        <v>431</v>
      </c>
      <c r="P6418" s="1192" t="s">
        <v>4398</v>
      </c>
      <c r="T6418" s="1192">
        <v>44196</v>
      </c>
      <c r="V6418" s="1192">
        <v>159</v>
      </c>
    </row>
    <row r="6419" spans="1:22" s="1192" customFormat="1" ht="14.4" x14ac:dyDescent="0.3">
      <c r="A6419" s="1192" t="s">
        <v>167</v>
      </c>
      <c r="E6419" s="2044" t="s">
        <v>6087</v>
      </c>
      <c r="F6419" s="1998"/>
      <c r="G6419" s="556" t="s">
        <v>29</v>
      </c>
      <c r="H6419" s="1219">
        <v>0.12509999999999999</v>
      </c>
      <c r="K6419" s="1192" t="s">
        <v>4388</v>
      </c>
      <c r="L6419" s="1192" t="s">
        <v>431</v>
      </c>
      <c r="P6419" s="1192" t="s">
        <v>4398</v>
      </c>
      <c r="T6419" s="1192">
        <v>44196</v>
      </c>
      <c r="V6419" s="1192">
        <v>99</v>
      </c>
    </row>
    <row r="6420" spans="1:22" s="1192" customFormat="1" ht="14.4" x14ac:dyDescent="0.3">
      <c r="A6420" s="1192" t="s">
        <v>167</v>
      </c>
      <c r="E6420" s="2044" t="s">
        <v>214</v>
      </c>
      <c r="F6420" s="1741"/>
      <c r="G6420" s="556" t="s">
        <v>29</v>
      </c>
      <c r="H6420" s="1219">
        <v>2.7776999999999998</v>
      </c>
      <c r="K6420" s="1192" t="s">
        <v>4388</v>
      </c>
      <c r="L6420" s="1192" t="s">
        <v>432</v>
      </c>
      <c r="P6420" s="1192" t="s">
        <v>4392</v>
      </c>
      <c r="V6420" s="1192">
        <v>70</v>
      </c>
    </row>
    <row r="6421" spans="1:22" s="1192" customFormat="1" ht="14.4" x14ac:dyDescent="0.3">
      <c r="A6421" s="1192" t="s">
        <v>167</v>
      </c>
      <c r="E6421" s="2044" t="s">
        <v>217</v>
      </c>
      <c r="F6421" s="1741"/>
      <c r="G6421" s="556" t="s">
        <v>29</v>
      </c>
      <c r="H6421" s="1219">
        <v>2.9504000000000001</v>
      </c>
      <c r="K6421" s="1192" t="s">
        <v>4388</v>
      </c>
      <c r="L6421" s="1192" t="s">
        <v>432</v>
      </c>
      <c r="P6421" s="1192" t="s">
        <v>4392</v>
      </c>
      <c r="V6421" s="1192">
        <v>87</v>
      </c>
    </row>
    <row r="6422" spans="1:22" s="1192" customFormat="1" ht="14.4" x14ac:dyDescent="0.3">
      <c r="A6422" s="1192" t="s">
        <v>167</v>
      </c>
      <c r="E6422" s="2044" t="s">
        <v>216</v>
      </c>
      <c r="F6422" s="1741"/>
      <c r="G6422" s="556" t="s">
        <v>29</v>
      </c>
      <c r="H6422" s="1219">
        <v>2.9464000000000001</v>
      </c>
      <c r="K6422" s="1192" t="s">
        <v>4388</v>
      </c>
      <c r="L6422" s="1192" t="s">
        <v>432</v>
      </c>
      <c r="P6422" s="1192" t="s">
        <v>4392</v>
      </c>
      <c r="V6422" s="1192">
        <v>86</v>
      </c>
    </row>
    <row r="6423" spans="1:22" s="1192" customFormat="1" ht="14.4" x14ac:dyDescent="0.3">
      <c r="A6423" s="1192" t="s">
        <v>167</v>
      </c>
      <c r="E6423" s="2044" t="s">
        <v>210</v>
      </c>
      <c r="F6423" s="1741"/>
      <c r="G6423" s="556" t="s">
        <v>29</v>
      </c>
      <c r="H6423" s="1219">
        <v>0.90529999999999999</v>
      </c>
      <c r="K6423" s="1192" t="s">
        <v>4388</v>
      </c>
      <c r="L6423" s="1192" t="s">
        <v>432</v>
      </c>
      <c r="P6423" s="1192" t="s">
        <v>4393</v>
      </c>
      <c r="V6423" s="1192">
        <v>97</v>
      </c>
    </row>
    <row r="6424" spans="1:22" s="1192" customFormat="1" ht="14.4" x14ac:dyDescent="0.3">
      <c r="A6424" s="1192" t="s">
        <v>167</v>
      </c>
      <c r="E6424" s="2044" t="s">
        <v>3587</v>
      </c>
      <c r="F6424" s="1741"/>
      <c r="G6424" s="556" t="s">
        <v>29</v>
      </c>
      <c r="H6424" s="1219">
        <v>1.1306</v>
      </c>
      <c r="K6424" s="1192" t="s">
        <v>4388</v>
      </c>
      <c r="L6424" s="1192" t="s">
        <v>432</v>
      </c>
      <c r="P6424" s="1192" t="s">
        <v>4393</v>
      </c>
      <c r="V6424" s="1192">
        <v>106</v>
      </c>
    </row>
    <row r="6425" spans="1:22" s="1192" customFormat="1" ht="14.4" x14ac:dyDescent="0.3">
      <c r="A6425" s="1192" t="s">
        <v>167</v>
      </c>
      <c r="E6425" s="2044" t="s">
        <v>3588</v>
      </c>
      <c r="F6425" s="1741"/>
      <c r="G6425" s="556" t="s">
        <v>29</v>
      </c>
      <c r="H6425" s="1219">
        <v>1.1294999999999999</v>
      </c>
      <c r="K6425" s="1192" t="s">
        <v>4388</v>
      </c>
      <c r="L6425" s="1192" t="s">
        <v>432</v>
      </c>
      <c r="P6425" s="1192" t="s">
        <v>4393</v>
      </c>
      <c r="V6425" s="1192">
        <v>105</v>
      </c>
    </row>
    <row r="6426" spans="1:22" s="1192" customFormat="1" ht="14.4" x14ac:dyDescent="0.3">
      <c r="A6426" s="1192" t="s">
        <v>167</v>
      </c>
      <c r="E6426" s="1750" t="s">
        <v>2405</v>
      </c>
      <c r="F6426" s="1741"/>
      <c r="G6426" s="1741"/>
      <c r="H6426" s="1741"/>
      <c r="K6426" s="1192" t="s">
        <v>2526</v>
      </c>
      <c r="V6426" s="1192">
        <v>48</v>
      </c>
    </row>
    <row r="6427" spans="1:22" s="1192" customFormat="1" ht="14.4" x14ac:dyDescent="0.3">
      <c r="A6427" s="1192" t="s">
        <v>167</v>
      </c>
      <c r="E6427" s="2044" t="s">
        <v>2033</v>
      </c>
      <c r="F6427" s="1741"/>
      <c r="G6427" s="556" t="s">
        <v>20</v>
      </c>
      <c r="H6427" s="1219">
        <v>3.0000000000000001E-3</v>
      </c>
      <c r="K6427" s="1192" t="s">
        <v>4388</v>
      </c>
      <c r="L6427" s="1192" t="s">
        <v>2374</v>
      </c>
      <c r="P6427" s="1192" t="s">
        <v>4394</v>
      </c>
      <c r="V6427" s="1192">
        <v>55</v>
      </c>
    </row>
    <row r="6428" spans="1:22" s="1192" customFormat="1" ht="14.4" x14ac:dyDescent="0.3">
      <c r="A6428" s="1192" t="s">
        <v>167</v>
      </c>
      <c r="E6428" s="2044" t="s">
        <v>2034</v>
      </c>
      <c r="F6428" s="1741"/>
      <c r="G6428" s="556" t="s">
        <v>20</v>
      </c>
      <c r="H6428" s="1219">
        <v>4.0000000000000002E-4</v>
      </c>
      <c r="K6428" s="1192" t="s">
        <v>4388</v>
      </c>
      <c r="L6428" s="1192" t="s">
        <v>2374</v>
      </c>
      <c r="P6428" s="1192" t="s">
        <v>4394</v>
      </c>
      <c r="V6428" s="1192">
        <v>65</v>
      </c>
    </row>
    <row r="6429" spans="1:22" s="1192" customFormat="1" ht="14.4" x14ac:dyDescent="0.3">
      <c r="A6429" s="1192" t="s">
        <v>167</v>
      </c>
      <c r="E6429" s="2044" t="s">
        <v>428</v>
      </c>
      <c r="F6429" s="1741"/>
      <c r="G6429" s="556" t="s">
        <v>20</v>
      </c>
      <c r="H6429" s="1219">
        <v>5.0000000000000001E-4</v>
      </c>
      <c r="K6429" s="1192" t="s">
        <v>4388</v>
      </c>
      <c r="L6429" s="1192" t="s">
        <v>2374</v>
      </c>
      <c r="P6429" s="1192" t="s">
        <v>4395</v>
      </c>
      <c r="V6429" s="1192">
        <v>57</v>
      </c>
    </row>
    <row r="6430" spans="1:22" s="1192" customFormat="1" ht="14.4" x14ac:dyDescent="0.3">
      <c r="A6430" s="1192" t="s">
        <v>167</v>
      </c>
      <c r="E6430" s="2044" t="s">
        <v>28</v>
      </c>
      <c r="F6430" s="1741"/>
      <c r="G6430" s="556" t="s">
        <v>19</v>
      </c>
      <c r="H6430" s="1218">
        <v>0.25</v>
      </c>
      <c r="K6430" s="1192" t="s">
        <v>4388</v>
      </c>
      <c r="L6430" s="1192" t="s">
        <v>2374</v>
      </c>
      <c r="P6430" s="1192" t="s">
        <v>4396</v>
      </c>
      <c r="V6430" s="1192">
        <v>63</v>
      </c>
    </row>
    <row r="6431" spans="1:22" s="1192" customFormat="1" ht="17.399999999999999" x14ac:dyDescent="0.3">
      <c r="A6431" s="1192" t="s">
        <v>167</v>
      </c>
      <c r="E6431" s="2045" t="s">
        <v>596</v>
      </c>
      <c r="F6431" s="1747"/>
      <c r="G6431" s="1747"/>
      <c r="H6431" s="1747"/>
      <c r="K6431" s="1192" t="s">
        <v>3407</v>
      </c>
      <c r="V6431" s="1192">
        <v>32</v>
      </c>
    </row>
    <row r="6432" spans="1:22" s="1192" customFormat="1" ht="14.4" x14ac:dyDescent="0.3">
      <c r="A6432" s="1192" t="s">
        <v>167</v>
      </c>
      <c r="E6432" s="1743" t="s">
        <v>3589</v>
      </c>
      <c r="F6432" s="1743"/>
      <c r="G6432" s="1743"/>
      <c r="H6432" s="1743"/>
      <c r="K6432" s="1192" t="s">
        <v>3407</v>
      </c>
      <c r="V6432" s="1192">
        <v>352</v>
      </c>
    </row>
    <row r="6433" spans="1:22" s="1192" customFormat="1" ht="14.4" x14ac:dyDescent="0.3">
      <c r="A6433" s="1192" t="s">
        <v>167</v>
      </c>
      <c r="E6433" s="1750" t="s">
        <v>2389</v>
      </c>
      <c r="F6433" s="1743"/>
      <c r="G6433" s="1743"/>
      <c r="H6433" s="1743"/>
      <c r="K6433" s="1192" t="s">
        <v>2529</v>
      </c>
      <c r="V6433" s="1192">
        <v>11</v>
      </c>
    </row>
    <row r="6434" spans="1:22" s="1192" customFormat="1" ht="14.4" x14ac:dyDescent="0.3">
      <c r="A6434" s="1192" t="s">
        <v>167</v>
      </c>
      <c r="E6434" s="1743" t="s">
        <v>2391</v>
      </c>
      <c r="F6434" s="1743"/>
      <c r="G6434" s="1743"/>
      <c r="H6434" s="1743"/>
      <c r="K6434" s="1192" t="s">
        <v>3407</v>
      </c>
      <c r="V6434" s="1192">
        <v>280</v>
      </c>
    </row>
    <row r="6435" spans="1:22" s="1192" customFormat="1" ht="14.4" x14ac:dyDescent="0.3">
      <c r="A6435" s="1192" t="s">
        <v>167</v>
      </c>
      <c r="E6435" s="1743" t="s">
        <v>2392</v>
      </c>
      <c r="F6435" s="1743"/>
      <c r="G6435" s="1743"/>
      <c r="H6435" s="1743"/>
      <c r="K6435" s="1192" t="s">
        <v>3407</v>
      </c>
      <c r="V6435" s="1192">
        <v>411</v>
      </c>
    </row>
    <row r="6436" spans="1:22" s="1192" customFormat="1" ht="14.4" x14ac:dyDescent="0.3">
      <c r="A6436" s="1192" t="s">
        <v>167</v>
      </c>
      <c r="E6436" s="1743" t="s">
        <v>3585</v>
      </c>
      <c r="F6436" s="1743"/>
      <c r="G6436" s="1743"/>
      <c r="H6436" s="1743"/>
      <c r="K6436" s="1192" t="s">
        <v>3407</v>
      </c>
      <c r="V6436" s="1192">
        <v>385</v>
      </c>
    </row>
    <row r="6437" spans="1:22" s="1192" customFormat="1" ht="14.4" x14ac:dyDescent="0.3">
      <c r="A6437" s="1192" t="s">
        <v>167</v>
      </c>
      <c r="E6437" s="1743" t="s">
        <v>4503</v>
      </c>
      <c r="F6437" s="1743"/>
      <c r="G6437" s="1743"/>
      <c r="H6437" s="1743"/>
      <c r="K6437" s="1192" t="s">
        <v>3407</v>
      </c>
      <c r="V6437" s="1192">
        <v>677</v>
      </c>
    </row>
    <row r="6438" spans="1:22" s="1192" customFormat="1" ht="14.4" x14ac:dyDescent="0.3">
      <c r="A6438" s="1192" t="s">
        <v>167</v>
      </c>
      <c r="E6438" s="1743" t="s">
        <v>4644</v>
      </c>
      <c r="F6438" s="1743"/>
      <c r="G6438" s="1743"/>
      <c r="H6438" s="1743"/>
      <c r="K6438" s="1192" t="s">
        <v>3407</v>
      </c>
      <c r="V6438" s="1192">
        <v>693</v>
      </c>
    </row>
    <row r="6439" spans="1:22" s="1192" customFormat="1" ht="14.4" x14ac:dyDescent="0.3">
      <c r="A6439" s="1192" t="s">
        <v>167</v>
      </c>
      <c r="E6439" s="1743" t="s">
        <v>2986</v>
      </c>
      <c r="F6439" s="1743"/>
      <c r="G6439" s="1743"/>
      <c r="H6439" s="1743"/>
      <c r="K6439" s="1192" t="s">
        <v>3407</v>
      </c>
      <c r="V6439" s="1192">
        <v>246</v>
      </c>
    </row>
    <row r="6440" spans="1:22" s="1192" customFormat="1" ht="14.4" x14ac:dyDescent="0.3">
      <c r="A6440" s="1192" t="s">
        <v>167</v>
      </c>
      <c r="E6440" s="1750" t="s">
        <v>2394</v>
      </c>
      <c r="F6440" s="1743"/>
      <c r="G6440" s="1743"/>
      <c r="H6440" s="1743"/>
      <c r="K6440" s="1192" t="s">
        <v>2531</v>
      </c>
      <c r="V6440" s="1192">
        <v>46</v>
      </c>
    </row>
    <row r="6441" spans="1:22" s="1192" customFormat="1" ht="14.4" x14ac:dyDescent="0.3">
      <c r="A6441" s="1192" t="s">
        <v>167</v>
      </c>
      <c r="E6441" s="2044" t="s">
        <v>7</v>
      </c>
      <c r="F6441" s="1741"/>
      <c r="G6441" s="556" t="s">
        <v>19</v>
      </c>
      <c r="H6441" s="1218">
        <v>7359.96</v>
      </c>
      <c r="K6441" s="1192" t="s">
        <v>3407</v>
      </c>
      <c r="L6441" s="1192" t="s">
        <v>430</v>
      </c>
      <c r="P6441" s="1192" t="s">
        <v>3409</v>
      </c>
      <c r="V6441" s="1192">
        <v>14</v>
      </c>
    </row>
    <row r="6442" spans="1:22" s="1192" customFormat="1" ht="14.4" x14ac:dyDescent="0.3">
      <c r="A6442" s="1192" t="s">
        <v>167</v>
      </c>
      <c r="E6442" s="2044" t="s">
        <v>80</v>
      </c>
      <c r="F6442" s="1741"/>
      <c r="G6442" s="556" t="s">
        <v>29</v>
      </c>
      <c r="H6442" s="1219">
        <v>4.2409999999999997</v>
      </c>
      <c r="K6442" s="1192" t="s">
        <v>3407</v>
      </c>
      <c r="L6442" s="1192" t="s">
        <v>430</v>
      </c>
      <c r="P6442" s="1192" t="s">
        <v>3410</v>
      </c>
      <c r="V6442" s="1192">
        <v>28</v>
      </c>
    </row>
    <row r="6443" spans="1:22" s="1192" customFormat="1" ht="14.4" x14ac:dyDescent="0.3">
      <c r="A6443" s="1192" t="s">
        <v>167</v>
      </c>
      <c r="E6443" s="2044" t="s">
        <v>14</v>
      </c>
      <c r="F6443" s="1741"/>
      <c r="G6443" s="556" t="s">
        <v>29</v>
      </c>
      <c r="H6443" s="1219">
        <v>9.2499999999999999E-2</v>
      </c>
      <c r="K6443" s="1192" t="s">
        <v>3407</v>
      </c>
      <c r="L6443" s="1192" t="s">
        <v>431</v>
      </c>
      <c r="P6443" s="1192" t="s">
        <v>3411</v>
      </c>
      <c r="V6443" s="1192">
        <v>24</v>
      </c>
    </row>
    <row r="6444" spans="1:22" s="1192" customFormat="1" ht="14.4" x14ac:dyDescent="0.3">
      <c r="A6444" s="1192" t="s">
        <v>167</v>
      </c>
      <c r="E6444" s="2044" t="s">
        <v>6090</v>
      </c>
      <c r="F6444" s="1998"/>
      <c r="G6444" s="556" t="s">
        <v>20</v>
      </c>
      <c r="H6444" s="1219">
        <v>-6.9999999999999999E-4</v>
      </c>
      <c r="K6444" s="1192" t="s">
        <v>3407</v>
      </c>
      <c r="L6444" s="1192" t="s">
        <v>431</v>
      </c>
      <c r="P6444" s="1192" t="s">
        <v>4057</v>
      </c>
      <c r="T6444" s="1192">
        <v>44196</v>
      </c>
      <c r="V6444" s="1192">
        <v>142</v>
      </c>
    </row>
    <row r="6445" spans="1:22" s="1192" customFormat="1" ht="14.4" x14ac:dyDescent="0.3">
      <c r="A6445" s="1192" t="s">
        <v>167</v>
      </c>
      <c r="E6445" s="2044" t="s">
        <v>6087</v>
      </c>
      <c r="F6445" s="1998"/>
      <c r="G6445" s="556" t="s">
        <v>29</v>
      </c>
      <c r="H6445" s="1219">
        <v>0.42530000000000001</v>
      </c>
      <c r="K6445" s="1192" t="s">
        <v>3407</v>
      </c>
      <c r="L6445" s="1192" t="s">
        <v>431</v>
      </c>
      <c r="P6445" s="1192" t="s">
        <v>3413</v>
      </c>
      <c r="T6445" s="1192">
        <v>44196</v>
      </c>
      <c r="V6445" s="1192">
        <v>99</v>
      </c>
    </row>
    <row r="6446" spans="1:22" s="1192" customFormat="1" ht="14.4" x14ac:dyDescent="0.3">
      <c r="A6446" s="1192" t="s">
        <v>167</v>
      </c>
      <c r="E6446" s="2044" t="s">
        <v>215</v>
      </c>
      <c r="F6446" s="1741"/>
      <c r="G6446" s="556" t="s">
        <v>29</v>
      </c>
      <c r="H6446" s="1219">
        <v>3.2665000000000002</v>
      </c>
      <c r="K6446" s="1192" t="s">
        <v>3407</v>
      </c>
      <c r="L6446" s="1192" t="s">
        <v>432</v>
      </c>
      <c r="P6446" s="1192" t="s">
        <v>3414</v>
      </c>
      <c r="V6446" s="1192">
        <v>66</v>
      </c>
    </row>
    <row r="6447" spans="1:22" s="1192" customFormat="1" ht="14.4" x14ac:dyDescent="0.3">
      <c r="A6447" s="1192" t="s">
        <v>167</v>
      </c>
      <c r="E6447" s="2044" t="s">
        <v>211</v>
      </c>
      <c r="F6447" s="1741"/>
      <c r="G6447" s="556" t="s">
        <v>29</v>
      </c>
      <c r="H6447" s="1219">
        <v>1.1346000000000001</v>
      </c>
      <c r="K6447" s="1192" t="s">
        <v>3407</v>
      </c>
      <c r="L6447" s="1192" t="s">
        <v>432</v>
      </c>
      <c r="P6447" s="1192" t="s">
        <v>4132</v>
      </c>
      <c r="V6447" s="1192">
        <v>93</v>
      </c>
    </row>
    <row r="6448" spans="1:22" s="1192" customFormat="1" ht="14.4" x14ac:dyDescent="0.3">
      <c r="A6448" s="1192" t="s">
        <v>167</v>
      </c>
      <c r="E6448" s="1750" t="s">
        <v>2405</v>
      </c>
      <c r="F6448" s="1741"/>
      <c r="G6448" s="1741"/>
      <c r="H6448" s="1741"/>
      <c r="K6448" s="1192" t="s">
        <v>2532</v>
      </c>
      <c r="V6448" s="1192">
        <v>48</v>
      </c>
    </row>
    <row r="6449" spans="1:22" s="1192" customFormat="1" ht="14.4" x14ac:dyDescent="0.3">
      <c r="A6449" s="1192" t="s">
        <v>167</v>
      </c>
      <c r="E6449" s="2044" t="s">
        <v>2033</v>
      </c>
      <c r="F6449" s="1741"/>
      <c r="G6449" s="556" t="s">
        <v>20</v>
      </c>
      <c r="H6449" s="1219">
        <v>3.0000000000000001E-3</v>
      </c>
      <c r="K6449" s="1192" t="s">
        <v>3407</v>
      </c>
      <c r="L6449" s="1192" t="s">
        <v>2374</v>
      </c>
      <c r="P6449" s="1192" t="s">
        <v>3415</v>
      </c>
      <c r="V6449" s="1192">
        <v>55</v>
      </c>
    </row>
    <row r="6450" spans="1:22" s="1192" customFormat="1" ht="14.4" x14ac:dyDescent="0.3">
      <c r="A6450" s="1192" t="s">
        <v>167</v>
      </c>
      <c r="E6450" s="2044" t="s">
        <v>2034</v>
      </c>
      <c r="F6450" s="1741"/>
      <c r="G6450" s="556" t="s">
        <v>20</v>
      </c>
      <c r="H6450" s="1219">
        <v>4.0000000000000002E-4</v>
      </c>
      <c r="K6450" s="1192" t="s">
        <v>3407</v>
      </c>
      <c r="L6450" s="1192" t="s">
        <v>2374</v>
      </c>
      <c r="P6450" s="1192" t="s">
        <v>3415</v>
      </c>
      <c r="V6450" s="1192">
        <v>65</v>
      </c>
    </row>
    <row r="6451" spans="1:22" s="1192" customFormat="1" ht="14.4" x14ac:dyDescent="0.3">
      <c r="A6451" s="1192" t="s">
        <v>167</v>
      </c>
      <c r="E6451" s="2044" t="s">
        <v>428</v>
      </c>
      <c r="F6451" s="1741"/>
      <c r="G6451" s="556" t="s">
        <v>20</v>
      </c>
      <c r="H6451" s="1219">
        <v>5.0000000000000001E-4</v>
      </c>
      <c r="K6451" s="1192" t="s">
        <v>3407</v>
      </c>
      <c r="L6451" s="1192" t="s">
        <v>2374</v>
      </c>
      <c r="P6451" s="1192" t="s">
        <v>3416</v>
      </c>
      <c r="V6451" s="1192">
        <v>57</v>
      </c>
    </row>
    <row r="6452" spans="1:22" s="1192" customFormat="1" ht="14.4" x14ac:dyDescent="0.3">
      <c r="A6452" s="1192" t="s">
        <v>167</v>
      </c>
      <c r="E6452" s="2044" t="s">
        <v>28</v>
      </c>
      <c r="F6452" s="1741"/>
      <c r="G6452" s="556" t="s">
        <v>19</v>
      </c>
      <c r="H6452" s="1218">
        <v>0.25</v>
      </c>
      <c r="K6452" s="1192" t="s">
        <v>3407</v>
      </c>
      <c r="L6452" s="1192" t="s">
        <v>2374</v>
      </c>
      <c r="P6452" s="1192" t="s">
        <v>3417</v>
      </c>
      <c r="V6452" s="1192">
        <v>63</v>
      </c>
    </row>
    <row r="6453" spans="1:22" s="1192" customFormat="1" ht="17.399999999999999" x14ac:dyDescent="0.3">
      <c r="A6453" s="1192" t="s">
        <v>167</v>
      </c>
      <c r="E6453" s="2045" t="s">
        <v>592</v>
      </c>
      <c r="F6453" s="1747"/>
      <c r="G6453" s="1747"/>
      <c r="H6453" s="1747"/>
      <c r="K6453" s="1192" t="s">
        <v>2726</v>
      </c>
      <c r="V6453" s="1192">
        <v>47</v>
      </c>
    </row>
    <row r="6454" spans="1:22" s="1192" customFormat="1" ht="14.4" x14ac:dyDescent="0.3">
      <c r="A6454" s="1192" t="s">
        <v>167</v>
      </c>
      <c r="E6454" s="1743" t="s">
        <v>3590</v>
      </c>
      <c r="F6454" s="1743"/>
      <c r="G6454" s="1743"/>
      <c r="H6454" s="1743"/>
      <c r="K6454" s="1192" t="s">
        <v>2726</v>
      </c>
      <c r="V6454" s="1192">
        <v>723</v>
      </c>
    </row>
    <row r="6455" spans="1:22" s="1192" customFormat="1" ht="14.4" x14ac:dyDescent="0.3">
      <c r="A6455" s="1192" t="s">
        <v>167</v>
      </c>
      <c r="E6455" s="1750" t="s">
        <v>2389</v>
      </c>
      <c r="F6455" s="1743"/>
      <c r="G6455" s="1743"/>
      <c r="H6455" s="1743"/>
      <c r="K6455" s="1192" t="s">
        <v>2424</v>
      </c>
      <c r="V6455" s="1192">
        <v>11</v>
      </c>
    </row>
    <row r="6456" spans="1:22" s="1192" customFormat="1" ht="14.4" x14ac:dyDescent="0.3">
      <c r="A6456" s="1192" t="s">
        <v>167</v>
      </c>
      <c r="E6456" s="1743" t="s">
        <v>2391</v>
      </c>
      <c r="F6456" s="1743"/>
      <c r="G6456" s="1743"/>
      <c r="H6456" s="1743"/>
      <c r="K6456" s="1192" t="s">
        <v>2726</v>
      </c>
      <c r="V6456" s="1192">
        <v>280</v>
      </c>
    </row>
    <row r="6457" spans="1:22" s="1192" customFormat="1" ht="14.4" x14ac:dyDescent="0.3">
      <c r="A6457" s="1192" t="s">
        <v>167</v>
      </c>
      <c r="E6457" s="1743" t="s">
        <v>2392</v>
      </c>
      <c r="F6457" s="1743"/>
      <c r="G6457" s="1743"/>
      <c r="H6457" s="1743"/>
      <c r="K6457" s="1192" t="s">
        <v>2726</v>
      </c>
      <c r="V6457" s="1192">
        <v>411</v>
      </c>
    </row>
    <row r="6458" spans="1:22" s="1192" customFormat="1" ht="14.4" x14ac:dyDescent="0.3">
      <c r="A6458" s="1192" t="s">
        <v>167</v>
      </c>
      <c r="E6458" s="1743" t="s">
        <v>3585</v>
      </c>
      <c r="F6458" s="1743"/>
      <c r="G6458" s="1743"/>
      <c r="H6458" s="1743"/>
      <c r="K6458" s="1192" t="s">
        <v>2726</v>
      </c>
      <c r="V6458" s="1192">
        <v>385</v>
      </c>
    </row>
    <row r="6459" spans="1:22" s="1192" customFormat="1" ht="14.4" x14ac:dyDescent="0.3">
      <c r="A6459" s="1192" t="s">
        <v>167</v>
      </c>
      <c r="E6459" s="1743" t="s">
        <v>2986</v>
      </c>
      <c r="F6459" s="1743"/>
      <c r="G6459" s="1743"/>
      <c r="H6459" s="1743"/>
      <c r="K6459" s="1192" t="s">
        <v>2726</v>
      </c>
      <c r="V6459" s="1192">
        <v>246</v>
      </c>
    </row>
    <row r="6460" spans="1:22" s="1192" customFormat="1" ht="14.4" x14ac:dyDescent="0.3">
      <c r="A6460" s="1192" t="s">
        <v>167</v>
      </c>
      <c r="E6460" s="1750" t="s">
        <v>2394</v>
      </c>
      <c r="F6460" s="1743"/>
      <c r="G6460" s="1743"/>
      <c r="H6460" s="1743"/>
      <c r="K6460" s="1192" t="s">
        <v>2425</v>
      </c>
      <c r="V6460" s="1192">
        <v>46</v>
      </c>
    </row>
    <row r="6461" spans="1:22" s="1192" customFormat="1" ht="14.4" x14ac:dyDescent="0.3">
      <c r="A6461" s="1192" t="s">
        <v>167</v>
      </c>
      <c r="E6461" s="2044" t="s">
        <v>8</v>
      </c>
      <c r="F6461" s="1741"/>
      <c r="G6461" s="556" t="s">
        <v>19</v>
      </c>
      <c r="H6461" s="1218">
        <v>11.2</v>
      </c>
      <c r="K6461" s="1192" t="s">
        <v>2726</v>
      </c>
      <c r="L6461" s="1192" t="s">
        <v>430</v>
      </c>
      <c r="P6461" s="1192" t="s">
        <v>2727</v>
      </c>
      <c r="V6461" s="1192">
        <v>31</v>
      </c>
    </row>
    <row r="6462" spans="1:22" s="1192" customFormat="1" ht="14.4" x14ac:dyDescent="0.3">
      <c r="A6462" s="1192" t="s">
        <v>167</v>
      </c>
      <c r="E6462" s="2044" t="s">
        <v>80</v>
      </c>
      <c r="F6462" s="1741"/>
      <c r="G6462" s="556" t="s">
        <v>20</v>
      </c>
      <c r="H6462" s="1219">
        <v>1.3899999999999999E-2</v>
      </c>
      <c r="K6462" s="1192" t="s">
        <v>2726</v>
      </c>
      <c r="L6462" s="1192" t="s">
        <v>430</v>
      </c>
      <c r="P6462" s="1192" t="s">
        <v>2728</v>
      </c>
      <c r="V6462" s="1192">
        <v>28</v>
      </c>
    </row>
    <row r="6463" spans="1:22" s="1192" customFormat="1" ht="14.4" x14ac:dyDescent="0.3">
      <c r="A6463" s="1192" t="s">
        <v>167</v>
      </c>
      <c r="E6463" s="2044" t="s">
        <v>14</v>
      </c>
      <c r="F6463" s="1741"/>
      <c r="G6463" s="556" t="s">
        <v>20</v>
      </c>
      <c r="H6463" s="600">
        <v>2.0000000000000001E-4</v>
      </c>
      <c r="K6463" s="1192" t="s">
        <v>2726</v>
      </c>
      <c r="L6463" s="1192" t="s">
        <v>431</v>
      </c>
      <c r="P6463" s="1192" t="s">
        <v>2729</v>
      </c>
      <c r="V6463" s="1192">
        <v>24</v>
      </c>
    </row>
    <row r="6464" spans="1:22" s="1192" customFormat="1" ht="14.4" x14ac:dyDescent="0.3">
      <c r="A6464" s="1192" t="s">
        <v>167</v>
      </c>
      <c r="E6464" s="2044" t="s">
        <v>6087</v>
      </c>
      <c r="F6464" s="1998"/>
      <c r="G6464" s="556" t="s">
        <v>20</v>
      </c>
      <c r="H6464" s="600">
        <v>6.9999999999999999E-4</v>
      </c>
      <c r="K6464" s="1192" t="s">
        <v>2726</v>
      </c>
      <c r="L6464" s="1192" t="s">
        <v>431</v>
      </c>
      <c r="P6464" s="1192" t="s">
        <v>2789</v>
      </c>
      <c r="T6464" s="1192">
        <v>44196</v>
      </c>
      <c r="V6464" s="1192">
        <v>99</v>
      </c>
    </row>
    <row r="6465" spans="1:22" s="1192" customFormat="1" ht="14.4" x14ac:dyDescent="0.3">
      <c r="A6465" s="1192" t="s">
        <v>167</v>
      </c>
      <c r="E6465" s="2044" t="s">
        <v>213</v>
      </c>
      <c r="F6465" s="1741"/>
      <c r="G6465" s="556" t="s">
        <v>20</v>
      </c>
      <c r="H6465" s="1219">
        <v>6.7999999999999996E-3</v>
      </c>
      <c r="K6465" s="1192" t="s">
        <v>2726</v>
      </c>
      <c r="L6465" s="1192" t="s">
        <v>432</v>
      </c>
      <c r="P6465" s="1192" t="s">
        <v>2731</v>
      </c>
      <c r="V6465" s="1192">
        <v>47</v>
      </c>
    </row>
    <row r="6466" spans="1:22" s="1192" customFormat="1" ht="14.4" x14ac:dyDescent="0.3">
      <c r="A6466" s="1192" t="s">
        <v>167</v>
      </c>
      <c r="E6466" s="2044" t="s">
        <v>209</v>
      </c>
      <c r="F6466" s="1741"/>
      <c r="G6466" s="556" t="s">
        <v>20</v>
      </c>
      <c r="H6466" s="1219">
        <v>2.3999999999999998E-3</v>
      </c>
      <c r="K6466" s="1192" t="s">
        <v>2726</v>
      </c>
      <c r="L6466" s="1192" t="s">
        <v>432</v>
      </c>
      <c r="P6466" s="1192" t="s">
        <v>2732</v>
      </c>
      <c r="V6466" s="1192">
        <v>74</v>
      </c>
    </row>
    <row r="6467" spans="1:22" s="1192" customFormat="1" ht="14.4" x14ac:dyDescent="0.3">
      <c r="A6467" s="1192" t="s">
        <v>167</v>
      </c>
      <c r="E6467" s="1750" t="s">
        <v>2405</v>
      </c>
      <c r="F6467" s="1741"/>
      <c r="G6467" s="1741"/>
      <c r="H6467" s="1741"/>
      <c r="K6467" s="1192" t="s">
        <v>2427</v>
      </c>
      <c r="V6467" s="1192">
        <v>48</v>
      </c>
    </row>
    <row r="6468" spans="1:22" s="1192" customFormat="1" ht="14.4" x14ac:dyDescent="0.3">
      <c r="A6468" s="1192" t="s">
        <v>167</v>
      </c>
      <c r="E6468" s="2044" t="s">
        <v>2033</v>
      </c>
      <c r="F6468" s="1741"/>
      <c r="G6468" s="556" t="s">
        <v>20</v>
      </c>
      <c r="H6468" s="600">
        <v>3.0000000000000001E-3</v>
      </c>
      <c r="K6468" s="1192" t="s">
        <v>2726</v>
      </c>
      <c r="L6468" s="1192" t="s">
        <v>2374</v>
      </c>
      <c r="P6468" s="1192" t="s">
        <v>2733</v>
      </c>
      <c r="V6468" s="1192">
        <v>55</v>
      </c>
    </row>
    <row r="6469" spans="1:22" s="1192" customFormat="1" ht="14.4" x14ac:dyDescent="0.3">
      <c r="A6469" s="1192" t="s">
        <v>167</v>
      </c>
      <c r="E6469" s="2044" t="s">
        <v>2034</v>
      </c>
      <c r="F6469" s="1741"/>
      <c r="G6469" s="556" t="s">
        <v>20</v>
      </c>
      <c r="H6469" s="600">
        <v>4.0000000000000002E-4</v>
      </c>
      <c r="K6469" s="1192" t="s">
        <v>2726</v>
      </c>
      <c r="L6469" s="1192" t="s">
        <v>2374</v>
      </c>
      <c r="P6469" s="1192" t="s">
        <v>2733</v>
      </c>
      <c r="V6469" s="1192">
        <v>65</v>
      </c>
    </row>
    <row r="6470" spans="1:22" s="1192" customFormat="1" ht="14.4" x14ac:dyDescent="0.3">
      <c r="A6470" s="1192" t="s">
        <v>167</v>
      </c>
      <c r="E6470" s="2044" t="s">
        <v>428</v>
      </c>
      <c r="F6470" s="1741"/>
      <c r="G6470" s="556" t="s">
        <v>20</v>
      </c>
      <c r="H6470" s="600">
        <v>5.0000000000000001E-4</v>
      </c>
      <c r="K6470" s="1192" t="s">
        <v>2726</v>
      </c>
      <c r="L6470" s="1192" t="s">
        <v>2374</v>
      </c>
      <c r="P6470" s="1192" t="s">
        <v>2734</v>
      </c>
      <c r="V6470" s="1192">
        <v>57</v>
      </c>
    </row>
    <row r="6471" spans="1:22" s="1192" customFormat="1" ht="14.4" x14ac:dyDescent="0.3">
      <c r="A6471" s="1192" t="s">
        <v>167</v>
      </c>
      <c r="E6471" s="2044" t="s">
        <v>28</v>
      </c>
      <c r="F6471" s="1741"/>
      <c r="G6471" s="556" t="s">
        <v>19</v>
      </c>
      <c r="H6471" s="599">
        <v>0.25</v>
      </c>
      <c r="K6471" s="1192" t="s">
        <v>2726</v>
      </c>
      <c r="L6471" s="1192" t="s">
        <v>2374</v>
      </c>
      <c r="P6471" s="1192" t="s">
        <v>2735</v>
      </c>
      <c r="V6471" s="1192">
        <v>63</v>
      </c>
    </row>
    <row r="6472" spans="1:22" s="1192" customFormat="1" ht="17.399999999999999" x14ac:dyDescent="0.3">
      <c r="A6472" s="1192" t="s">
        <v>167</v>
      </c>
      <c r="E6472" s="2045" t="s">
        <v>590</v>
      </c>
      <c r="F6472" s="1747"/>
      <c r="G6472" s="1747"/>
      <c r="H6472" s="1747"/>
      <c r="K6472" s="1192" t="s">
        <v>2428</v>
      </c>
      <c r="V6472" s="1192">
        <v>38</v>
      </c>
    </row>
    <row r="6473" spans="1:22" s="1192" customFormat="1" ht="14.4" x14ac:dyDescent="0.3">
      <c r="A6473" s="1192" t="s">
        <v>167</v>
      </c>
      <c r="E6473" s="1743" t="s">
        <v>3069</v>
      </c>
      <c r="F6473" s="1743"/>
      <c r="G6473" s="1743"/>
      <c r="H6473" s="1743"/>
      <c r="K6473" s="1192" t="s">
        <v>2428</v>
      </c>
      <c r="V6473" s="1192">
        <v>543</v>
      </c>
    </row>
    <row r="6474" spans="1:22" s="1192" customFormat="1" ht="14.4" x14ac:dyDescent="0.3">
      <c r="A6474" s="1192" t="s">
        <v>167</v>
      </c>
      <c r="E6474" s="1750" t="s">
        <v>2389</v>
      </c>
      <c r="F6474" s="1743"/>
      <c r="G6474" s="1743"/>
      <c r="H6474" s="1743"/>
      <c r="K6474" s="1192" t="s">
        <v>2430</v>
      </c>
      <c r="V6474" s="1192">
        <v>11</v>
      </c>
    </row>
    <row r="6475" spans="1:22" s="1192" customFormat="1" ht="14.4" x14ac:dyDescent="0.3">
      <c r="A6475" s="1192" t="s">
        <v>167</v>
      </c>
      <c r="E6475" s="1743" t="s">
        <v>2391</v>
      </c>
      <c r="F6475" s="1743"/>
      <c r="G6475" s="1743"/>
      <c r="H6475" s="1743"/>
      <c r="K6475" s="1192" t="s">
        <v>2428</v>
      </c>
      <c r="V6475" s="1192">
        <v>280</v>
      </c>
    </row>
    <row r="6476" spans="1:22" s="1192" customFormat="1" ht="14.4" x14ac:dyDescent="0.3">
      <c r="A6476" s="1192" t="s">
        <v>167</v>
      </c>
      <c r="E6476" s="1743" t="s">
        <v>2392</v>
      </c>
      <c r="F6476" s="1743"/>
      <c r="G6476" s="1743"/>
      <c r="H6476" s="1743"/>
      <c r="K6476" s="1192" t="s">
        <v>2428</v>
      </c>
      <c r="V6476" s="1192">
        <v>411</v>
      </c>
    </row>
    <row r="6477" spans="1:22" s="1192" customFormat="1" ht="14.4" x14ac:dyDescent="0.3">
      <c r="A6477" s="1192" t="s">
        <v>167</v>
      </c>
      <c r="E6477" s="1743" t="s">
        <v>3585</v>
      </c>
      <c r="F6477" s="1743"/>
      <c r="G6477" s="1743"/>
      <c r="H6477" s="1743"/>
      <c r="K6477" s="1192" t="s">
        <v>2428</v>
      </c>
      <c r="V6477" s="1192">
        <v>385</v>
      </c>
    </row>
    <row r="6478" spans="1:22" s="1192" customFormat="1" ht="14.4" x14ac:dyDescent="0.3">
      <c r="A6478" s="1192" t="s">
        <v>167</v>
      </c>
      <c r="E6478" s="1743" t="s">
        <v>2986</v>
      </c>
      <c r="F6478" s="1743"/>
      <c r="G6478" s="1743"/>
      <c r="H6478" s="1743"/>
      <c r="K6478" s="1192" t="s">
        <v>2428</v>
      </c>
      <c r="V6478" s="1192">
        <v>246</v>
      </c>
    </row>
    <row r="6479" spans="1:22" s="1192" customFormat="1" ht="14.4" x14ac:dyDescent="0.3">
      <c r="A6479" s="1192" t="s">
        <v>167</v>
      </c>
      <c r="E6479" s="1750" t="s">
        <v>2394</v>
      </c>
      <c r="F6479" s="1743"/>
      <c r="G6479" s="1743"/>
      <c r="H6479" s="1743"/>
      <c r="K6479" s="1192" t="s">
        <v>2431</v>
      </c>
      <c r="V6479" s="1192">
        <v>46</v>
      </c>
    </row>
    <row r="6480" spans="1:22" s="1192" customFormat="1" ht="14.4" x14ac:dyDescent="0.3">
      <c r="A6480" s="1192" t="s">
        <v>167</v>
      </c>
      <c r="E6480" s="2044" t="s">
        <v>8</v>
      </c>
      <c r="F6480" s="1741"/>
      <c r="G6480" s="556" t="s">
        <v>19</v>
      </c>
      <c r="H6480" s="1218">
        <v>0.35</v>
      </c>
      <c r="K6480" s="1192" t="s">
        <v>2428</v>
      </c>
      <c r="L6480" s="1192" t="s">
        <v>430</v>
      </c>
      <c r="P6480" s="1192" t="s">
        <v>2432</v>
      </c>
      <c r="V6480" s="1192">
        <v>31</v>
      </c>
    </row>
    <row r="6481" spans="1:22" s="1192" customFormat="1" ht="14.4" x14ac:dyDescent="0.3">
      <c r="A6481" s="1192" t="s">
        <v>167</v>
      </c>
      <c r="E6481" s="2044" t="s">
        <v>80</v>
      </c>
      <c r="F6481" s="1741"/>
      <c r="G6481" s="556" t="s">
        <v>29</v>
      </c>
      <c r="H6481" s="1219">
        <v>9.8917000000000002</v>
      </c>
      <c r="K6481" s="1192" t="s">
        <v>2428</v>
      </c>
      <c r="L6481" s="1192" t="s">
        <v>430</v>
      </c>
      <c r="P6481" s="1192" t="s">
        <v>2433</v>
      </c>
      <c r="V6481" s="1192">
        <v>28</v>
      </c>
    </row>
    <row r="6482" spans="1:22" s="1192" customFormat="1" ht="14.4" x14ac:dyDescent="0.3">
      <c r="A6482" s="1192" t="s">
        <v>167</v>
      </c>
      <c r="E6482" s="2044" t="s">
        <v>14</v>
      </c>
      <c r="F6482" s="1741"/>
      <c r="G6482" s="556" t="s">
        <v>29</v>
      </c>
      <c r="H6482" s="600">
        <v>5.7000000000000002E-2</v>
      </c>
      <c r="K6482" s="1192" t="s">
        <v>2428</v>
      </c>
      <c r="L6482" s="1192" t="s">
        <v>431</v>
      </c>
      <c r="P6482" s="1192" t="s">
        <v>2764</v>
      </c>
      <c r="V6482" s="1192">
        <v>24</v>
      </c>
    </row>
    <row r="6483" spans="1:22" s="1192" customFormat="1" ht="14.4" x14ac:dyDescent="0.3">
      <c r="A6483" s="1192" t="s">
        <v>167</v>
      </c>
      <c r="E6483" s="2044" t="s">
        <v>6090</v>
      </c>
      <c r="F6483" s="1998"/>
      <c r="G6483" s="556" t="s">
        <v>20</v>
      </c>
      <c r="H6483" s="600">
        <v>-6.9999999999999999E-4</v>
      </c>
      <c r="K6483" s="1192" t="s">
        <v>2428</v>
      </c>
      <c r="L6483" s="1192" t="s">
        <v>431</v>
      </c>
      <c r="P6483" s="1192" t="s">
        <v>2435</v>
      </c>
      <c r="T6483" s="1192">
        <v>44196</v>
      </c>
      <c r="V6483" s="1192">
        <v>142</v>
      </c>
    </row>
    <row r="6484" spans="1:22" s="1192" customFormat="1" ht="14.4" x14ac:dyDescent="0.3">
      <c r="A6484" s="1192" t="s">
        <v>167</v>
      </c>
      <c r="E6484" s="2044" t="s">
        <v>6087</v>
      </c>
      <c r="F6484" s="1998"/>
      <c r="G6484" s="556" t="s">
        <v>29</v>
      </c>
      <c r="H6484" s="600">
        <v>0.23619999999999999</v>
      </c>
      <c r="K6484" s="1192" t="s">
        <v>2428</v>
      </c>
      <c r="L6484" s="1192" t="s">
        <v>431</v>
      </c>
      <c r="P6484" s="1192" t="s">
        <v>2434</v>
      </c>
      <c r="T6484" s="1192">
        <v>44196</v>
      </c>
      <c r="V6484" s="1192">
        <v>99</v>
      </c>
    </row>
    <row r="6485" spans="1:22" s="1192" customFormat="1" ht="14.4" x14ac:dyDescent="0.3">
      <c r="A6485" s="1192" t="s">
        <v>167</v>
      </c>
      <c r="E6485" s="2044" t="s">
        <v>213</v>
      </c>
      <c r="F6485" s="1741"/>
      <c r="G6485" s="556" t="s">
        <v>29</v>
      </c>
      <c r="H6485" s="1219">
        <v>2.0950000000000002</v>
      </c>
      <c r="K6485" s="1192" t="s">
        <v>2428</v>
      </c>
      <c r="L6485" s="1192" t="s">
        <v>432</v>
      </c>
      <c r="P6485" s="1192" t="s">
        <v>2436</v>
      </c>
      <c r="V6485" s="1192">
        <v>47</v>
      </c>
    </row>
    <row r="6486" spans="1:22" s="1192" customFormat="1" ht="14.4" x14ac:dyDescent="0.3">
      <c r="A6486" s="1192" t="s">
        <v>167</v>
      </c>
      <c r="E6486" s="2044" t="s">
        <v>209</v>
      </c>
      <c r="F6486" s="1741"/>
      <c r="G6486" s="556" t="s">
        <v>29</v>
      </c>
      <c r="H6486" s="1219">
        <v>0.6996</v>
      </c>
      <c r="K6486" s="1192" t="s">
        <v>2428</v>
      </c>
      <c r="L6486" s="1192" t="s">
        <v>432</v>
      </c>
      <c r="P6486" s="1192" t="s">
        <v>2437</v>
      </c>
      <c r="V6486" s="1192">
        <v>74</v>
      </c>
    </row>
    <row r="6487" spans="1:22" s="1192" customFormat="1" ht="14.4" x14ac:dyDescent="0.3">
      <c r="A6487" s="1192" t="s">
        <v>167</v>
      </c>
      <c r="E6487" s="1750" t="s">
        <v>2405</v>
      </c>
      <c r="F6487" s="1741"/>
      <c r="G6487" s="1741"/>
      <c r="H6487" s="1741"/>
      <c r="K6487" s="1192" t="s">
        <v>2438</v>
      </c>
      <c r="V6487" s="1192">
        <v>48</v>
      </c>
    </row>
    <row r="6488" spans="1:22" s="1192" customFormat="1" ht="14.4" x14ac:dyDescent="0.3">
      <c r="A6488" s="1192" t="s">
        <v>167</v>
      </c>
      <c r="E6488" s="2044" t="s">
        <v>2033</v>
      </c>
      <c r="F6488" s="1741"/>
      <c r="G6488" s="556" t="s">
        <v>20</v>
      </c>
      <c r="H6488" s="600">
        <v>3.0000000000000001E-3</v>
      </c>
      <c r="K6488" s="1192" t="s">
        <v>2428</v>
      </c>
      <c r="L6488" s="1192" t="s">
        <v>2374</v>
      </c>
      <c r="P6488" s="1192" t="s">
        <v>2439</v>
      </c>
      <c r="V6488" s="1192">
        <v>55</v>
      </c>
    </row>
    <row r="6489" spans="1:22" s="1192" customFormat="1" ht="14.4" x14ac:dyDescent="0.3">
      <c r="A6489" s="1192" t="s">
        <v>167</v>
      </c>
      <c r="E6489" s="2044" t="s">
        <v>2034</v>
      </c>
      <c r="F6489" s="1741"/>
      <c r="G6489" s="556" t="s">
        <v>20</v>
      </c>
      <c r="H6489" s="600">
        <v>4.0000000000000002E-4</v>
      </c>
      <c r="K6489" s="1192" t="s">
        <v>2428</v>
      </c>
      <c r="L6489" s="1192" t="s">
        <v>2374</v>
      </c>
      <c r="P6489" s="1192" t="s">
        <v>2439</v>
      </c>
      <c r="V6489" s="1192">
        <v>65</v>
      </c>
    </row>
    <row r="6490" spans="1:22" s="1192" customFormat="1" ht="14.4" x14ac:dyDescent="0.3">
      <c r="A6490" s="1192" t="s">
        <v>167</v>
      </c>
      <c r="E6490" s="2044" t="s">
        <v>428</v>
      </c>
      <c r="F6490" s="1741"/>
      <c r="G6490" s="556" t="s">
        <v>20</v>
      </c>
      <c r="H6490" s="600">
        <v>5.0000000000000001E-4</v>
      </c>
      <c r="K6490" s="1192" t="s">
        <v>2428</v>
      </c>
      <c r="L6490" s="1192" t="s">
        <v>2374</v>
      </c>
      <c r="P6490" s="1192" t="s">
        <v>2440</v>
      </c>
      <c r="V6490" s="1192">
        <v>57</v>
      </c>
    </row>
    <row r="6491" spans="1:22" s="1192" customFormat="1" ht="14.4" x14ac:dyDescent="0.3">
      <c r="A6491" s="1192" t="s">
        <v>167</v>
      </c>
      <c r="E6491" s="2044" t="s">
        <v>28</v>
      </c>
      <c r="F6491" s="1741"/>
      <c r="G6491" s="556" t="s">
        <v>19</v>
      </c>
      <c r="H6491" s="599">
        <v>0.25</v>
      </c>
      <c r="K6491" s="1192" t="s">
        <v>2428</v>
      </c>
      <c r="L6491" s="1192" t="s">
        <v>2374</v>
      </c>
      <c r="P6491" s="1192" t="s">
        <v>2441</v>
      </c>
      <c r="V6491" s="1192">
        <v>63</v>
      </c>
    </row>
    <row r="6492" spans="1:22" s="1192" customFormat="1" ht="17.399999999999999" x14ac:dyDescent="0.3">
      <c r="A6492" s="1192" t="s">
        <v>167</v>
      </c>
      <c r="E6492" s="1746" t="s">
        <v>593</v>
      </c>
      <c r="F6492" s="1747"/>
      <c r="G6492" s="1747"/>
      <c r="H6492" s="1747"/>
      <c r="K6492" s="1192" t="s">
        <v>2442</v>
      </c>
      <c r="V6492" s="1192">
        <v>31</v>
      </c>
    </row>
    <row r="6493" spans="1:22" s="1192" customFormat="1" ht="14.4" x14ac:dyDescent="0.3">
      <c r="A6493" s="1192" t="s">
        <v>167</v>
      </c>
      <c r="E6493" s="1743" t="s">
        <v>2443</v>
      </c>
      <c r="F6493" s="1743"/>
      <c r="G6493" s="1743"/>
      <c r="H6493" s="1743"/>
      <c r="K6493" s="1192" t="s">
        <v>2442</v>
      </c>
      <c r="V6493" s="1192">
        <v>286</v>
      </c>
    </row>
    <row r="6494" spans="1:22" s="1192" customFormat="1" ht="14.4" x14ac:dyDescent="0.3">
      <c r="A6494" s="1192" t="s">
        <v>167</v>
      </c>
      <c r="E6494" s="1750" t="s">
        <v>2389</v>
      </c>
      <c r="F6494" s="1743"/>
      <c r="G6494" s="1743"/>
      <c r="H6494" s="1743"/>
      <c r="K6494" s="1192" t="s">
        <v>2444</v>
      </c>
      <c r="V6494" s="1192">
        <v>11</v>
      </c>
    </row>
    <row r="6495" spans="1:22" s="1192" customFormat="1" ht="14.4" x14ac:dyDescent="0.3">
      <c r="A6495" s="1192" t="s">
        <v>167</v>
      </c>
      <c r="E6495" s="1743" t="s">
        <v>2391</v>
      </c>
      <c r="F6495" s="1743"/>
      <c r="G6495" s="1743"/>
      <c r="H6495" s="1743"/>
      <c r="K6495" s="1192" t="s">
        <v>2442</v>
      </c>
      <c r="V6495" s="1192">
        <v>280</v>
      </c>
    </row>
    <row r="6496" spans="1:22" s="1192" customFormat="1" ht="14.4" x14ac:dyDescent="0.3">
      <c r="A6496" s="1192" t="s">
        <v>167</v>
      </c>
      <c r="E6496" s="1743" t="s">
        <v>2392</v>
      </c>
      <c r="F6496" s="1743"/>
      <c r="G6496" s="1743"/>
      <c r="H6496" s="1743"/>
      <c r="K6496" s="1192" t="s">
        <v>2442</v>
      </c>
      <c r="V6496" s="1192">
        <v>411</v>
      </c>
    </row>
    <row r="6497" spans="1:22" s="1192" customFormat="1" ht="14.4" x14ac:dyDescent="0.3">
      <c r="A6497" s="1192" t="s">
        <v>167</v>
      </c>
      <c r="E6497" s="1743" t="s">
        <v>2445</v>
      </c>
      <c r="F6497" s="1743"/>
      <c r="G6497" s="1743"/>
      <c r="H6497" s="1743"/>
      <c r="K6497" s="1192" t="s">
        <v>2442</v>
      </c>
      <c r="V6497" s="1192">
        <v>211</v>
      </c>
    </row>
    <row r="6498" spans="1:22" s="1192" customFormat="1" ht="14.4" x14ac:dyDescent="0.3">
      <c r="A6498" s="1192" t="s">
        <v>167</v>
      </c>
      <c r="E6498" s="1743" t="s">
        <v>2986</v>
      </c>
      <c r="F6498" s="1743"/>
      <c r="G6498" s="1743"/>
      <c r="H6498" s="1743"/>
      <c r="K6498" s="1192" t="s">
        <v>2442</v>
      </c>
      <c r="V6498" s="1192">
        <v>246</v>
      </c>
    </row>
    <row r="6499" spans="1:22" s="1192" customFormat="1" ht="14.4" x14ac:dyDescent="0.3">
      <c r="A6499" s="1192" t="s">
        <v>167</v>
      </c>
      <c r="E6499" s="1750" t="s">
        <v>2394</v>
      </c>
      <c r="F6499" s="1743"/>
      <c r="G6499" s="1743"/>
      <c r="H6499" s="1743"/>
      <c r="K6499" s="1192" t="s">
        <v>2446</v>
      </c>
      <c r="V6499" s="1192">
        <v>46</v>
      </c>
    </row>
    <row r="6500" spans="1:22" s="1192" customFormat="1" ht="14.4" x14ac:dyDescent="0.3">
      <c r="A6500" s="1192" t="s">
        <v>167</v>
      </c>
      <c r="E6500" s="2044" t="s">
        <v>7</v>
      </c>
      <c r="F6500" s="1741"/>
      <c r="G6500" s="556" t="s">
        <v>19</v>
      </c>
      <c r="H6500" s="1218">
        <v>5.4</v>
      </c>
      <c r="K6500" s="1192" t="s">
        <v>2442</v>
      </c>
      <c r="L6500" s="1192" t="s">
        <v>430</v>
      </c>
      <c r="P6500" s="1192" t="s">
        <v>2447</v>
      </c>
      <c r="V6500" s="1192">
        <v>14</v>
      </c>
    </row>
    <row r="6501" spans="1:22" s="1192" customFormat="1" ht="17.399999999999999" x14ac:dyDescent="0.3">
      <c r="A6501" s="1192" t="s">
        <v>167</v>
      </c>
      <c r="E6501" s="1746" t="s">
        <v>597</v>
      </c>
      <c r="F6501" s="1747"/>
      <c r="G6501" s="1747"/>
      <c r="H6501" s="1747"/>
      <c r="K6501" s="1192" t="s">
        <v>2835</v>
      </c>
      <c r="V6501" s="1192">
        <v>43</v>
      </c>
    </row>
    <row r="6502" spans="1:22" s="1192" customFormat="1" ht="14.4" x14ac:dyDescent="0.3">
      <c r="A6502" s="1192" t="s">
        <v>167</v>
      </c>
      <c r="E6502" s="1743" t="s">
        <v>3591</v>
      </c>
      <c r="F6502" s="1743"/>
      <c r="G6502" s="1743"/>
      <c r="H6502" s="1743"/>
      <c r="K6502" s="1192" t="s">
        <v>2835</v>
      </c>
      <c r="V6502" s="1192">
        <v>315</v>
      </c>
    </row>
    <row r="6503" spans="1:22" s="1192" customFormat="1" ht="14.4" x14ac:dyDescent="0.3">
      <c r="A6503" s="1192" t="s">
        <v>167</v>
      </c>
      <c r="E6503" s="1750" t="s">
        <v>2389</v>
      </c>
      <c r="F6503" s="1743"/>
      <c r="G6503" s="1743"/>
      <c r="H6503" s="1743"/>
      <c r="K6503" s="1192" t="s">
        <v>2571</v>
      </c>
      <c r="V6503" s="1192">
        <v>11</v>
      </c>
    </row>
    <row r="6504" spans="1:22" s="1192" customFormat="1" ht="14.4" x14ac:dyDescent="0.3">
      <c r="A6504" s="1192" t="s">
        <v>167</v>
      </c>
      <c r="E6504" s="1743" t="s">
        <v>2391</v>
      </c>
      <c r="F6504" s="1743"/>
      <c r="G6504" s="1743"/>
      <c r="H6504" s="1743"/>
      <c r="K6504" s="1192" t="s">
        <v>2835</v>
      </c>
      <c r="V6504" s="1192">
        <v>280</v>
      </c>
    </row>
    <row r="6505" spans="1:22" s="1192" customFormat="1" ht="14.4" x14ac:dyDescent="0.3">
      <c r="A6505" s="1192" t="s">
        <v>167</v>
      </c>
      <c r="E6505" s="1743" t="s">
        <v>2392</v>
      </c>
      <c r="F6505" s="1743"/>
      <c r="G6505" s="1743"/>
      <c r="H6505" s="1743"/>
      <c r="K6505" s="1192" t="s">
        <v>2835</v>
      </c>
      <c r="V6505" s="1192">
        <v>411</v>
      </c>
    </row>
    <row r="6506" spans="1:22" s="1192" customFormat="1" ht="14.4" x14ac:dyDescent="0.3">
      <c r="A6506" s="1192" t="s">
        <v>167</v>
      </c>
      <c r="E6506" s="1743" t="s">
        <v>3585</v>
      </c>
      <c r="F6506" s="1743"/>
      <c r="G6506" s="1743"/>
      <c r="H6506" s="1743"/>
      <c r="K6506" s="1192" t="s">
        <v>2835</v>
      </c>
      <c r="V6506" s="1192">
        <v>385</v>
      </c>
    </row>
    <row r="6507" spans="1:22" s="1192" customFormat="1" ht="14.4" x14ac:dyDescent="0.3">
      <c r="A6507" s="1192" t="s">
        <v>167</v>
      </c>
      <c r="E6507" s="1743" t="s">
        <v>2986</v>
      </c>
      <c r="F6507" s="1743"/>
      <c r="G6507" s="1743"/>
      <c r="H6507" s="1743"/>
      <c r="K6507" s="1192" t="s">
        <v>2835</v>
      </c>
      <c r="V6507" s="1192">
        <v>246</v>
      </c>
    </row>
    <row r="6508" spans="1:22" s="1192" customFormat="1" ht="14.4" x14ac:dyDescent="0.3">
      <c r="A6508" s="1192" t="s">
        <v>167</v>
      </c>
      <c r="E6508" s="1750" t="s">
        <v>2394</v>
      </c>
      <c r="F6508" s="1743"/>
      <c r="G6508" s="1743"/>
      <c r="H6508" s="1743"/>
      <c r="K6508" s="1192" t="s">
        <v>2572</v>
      </c>
      <c r="V6508" s="1192">
        <v>46</v>
      </c>
    </row>
    <row r="6509" spans="1:22" s="1192" customFormat="1" ht="14.4" x14ac:dyDescent="0.3">
      <c r="A6509" s="1192" t="s">
        <v>167</v>
      </c>
      <c r="E6509" s="2044" t="s">
        <v>80</v>
      </c>
      <c r="F6509" s="1741"/>
      <c r="G6509" s="556" t="s">
        <v>29</v>
      </c>
      <c r="H6509" s="1219">
        <v>2.1100000000000001E-2</v>
      </c>
      <c r="K6509" s="1192" t="s">
        <v>2835</v>
      </c>
      <c r="L6509" s="1192" t="s">
        <v>430</v>
      </c>
      <c r="P6509" s="1192" t="s">
        <v>4202</v>
      </c>
      <c r="V6509" s="1192">
        <v>28</v>
      </c>
    </row>
    <row r="6510" spans="1:22" s="1192" customFormat="1" ht="14.4" x14ac:dyDescent="0.3">
      <c r="A6510" s="1192" t="s">
        <v>167</v>
      </c>
      <c r="E6510" s="2044" t="s">
        <v>6090</v>
      </c>
      <c r="F6510" s="1998"/>
      <c r="G6510" s="556" t="s">
        <v>20</v>
      </c>
      <c r="H6510" s="1219">
        <v>-6.9999999999999999E-4</v>
      </c>
      <c r="K6510" s="1192" t="s">
        <v>2835</v>
      </c>
      <c r="L6510" s="1192" t="s">
        <v>431</v>
      </c>
      <c r="P6510" s="1192" t="s">
        <v>3420</v>
      </c>
      <c r="T6510" s="1192">
        <v>44196</v>
      </c>
      <c r="V6510" s="1192">
        <v>142</v>
      </c>
    </row>
    <row r="6511" spans="1:22" s="1192" customFormat="1" ht="14.4" x14ac:dyDescent="0.3">
      <c r="A6511" s="1192" t="s">
        <v>167</v>
      </c>
      <c r="E6511" s="2044" t="s">
        <v>6087</v>
      </c>
      <c r="F6511" s="1998"/>
      <c r="G6511" s="556" t="s">
        <v>29</v>
      </c>
      <c r="H6511" s="1219">
        <v>0.31680000000000003</v>
      </c>
      <c r="K6511" s="1192" t="s">
        <v>2835</v>
      </c>
      <c r="L6511" s="1192" t="s">
        <v>431</v>
      </c>
      <c r="P6511" s="1192" t="s">
        <v>3421</v>
      </c>
      <c r="T6511" s="1192">
        <v>44196</v>
      </c>
      <c r="V6511" s="1192">
        <v>99</v>
      </c>
    </row>
    <row r="6512" spans="1:22" s="1192" customFormat="1" ht="14.4" x14ac:dyDescent="0.3">
      <c r="A6512" s="1192" t="s">
        <v>167</v>
      </c>
      <c r="E6512" s="1750" t="s">
        <v>2405</v>
      </c>
      <c r="F6512" s="1741"/>
      <c r="G6512" s="1741"/>
      <c r="H6512" s="1741"/>
      <c r="K6512" s="1192" t="s">
        <v>2581</v>
      </c>
      <c r="V6512" s="1192">
        <v>48</v>
      </c>
    </row>
    <row r="6513" spans="1:22" s="1192" customFormat="1" ht="14.4" x14ac:dyDescent="0.3">
      <c r="A6513" s="1192" t="s">
        <v>167</v>
      </c>
      <c r="E6513" s="2044" t="s">
        <v>2033</v>
      </c>
      <c r="F6513" s="1741"/>
      <c r="G6513" s="556" t="s">
        <v>20</v>
      </c>
      <c r="H6513" s="600">
        <v>3.0000000000000001E-3</v>
      </c>
      <c r="K6513" s="1192" t="s">
        <v>2835</v>
      </c>
      <c r="L6513" s="1192" t="s">
        <v>2374</v>
      </c>
      <c r="P6513" s="1192" t="s">
        <v>2838</v>
      </c>
      <c r="V6513" s="1192">
        <v>55</v>
      </c>
    </row>
    <row r="6514" spans="1:22" s="1192" customFormat="1" ht="14.4" x14ac:dyDescent="0.3">
      <c r="A6514" s="1192" t="s">
        <v>167</v>
      </c>
      <c r="E6514" s="2044" t="s">
        <v>2034</v>
      </c>
      <c r="F6514" s="1741"/>
      <c r="G6514" s="556" t="s">
        <v>20</v>
      </c>
      <c r="H6514" s="600">
        <v>4.0000000000000002E-4</v>
      </c>
      <c r="K6514" s="1192" t="s">
        <v>2835</v>
      </c>
      <c r="L6514" s="1192" t="s">
        <v>2374</v>
      </c>
      <c r="P6514" s="1192" t="s">
        <v>2838</v>
      </c>
      <c r="V6514" s="1192">
        <v>65</v>
      </c>
    </row>
    <row r="6515" spans="1:22" s="1192" customFormat="1" ht="14.4" x14ac:dyDescent="0.3">
      <c r="A6515" s="1192" t="s">
        <v>167</v>
      </c>
      <c r="E6515" s="2044" t="s">
        <v>428</v>
      </c>
      <c r="F6515" s="1741"/>
      <c r="G6515" s="556" t="s">
        <v>20</v>
      </c>
      <c r="H6515" s="600">
        <v>5.0000000000000001E-4</v>
      </c>
      <c r="K6515" s="1192" t="s">
        <v>2835</v>
      </c>
      <c r="L6515" s="1192" t="s">
        <v>2374</v>
      </c>
      <c r="P6515" s="1192" t="s">
        <v>2839</v>
      </c>
      <c r="V6515" s="1192">
        <v>57</v>
      </c>
    </row>
    <row r="6516" spans="1:22" s="1192" customFormat="1" ht="14.4" x14ac:dyDescent="0.3">
      <c r="A6516" s="1192" t="s">
        <v>167</v>
      </c>
      <c r="E6516" s="2044" t="s">
        <v>28</v>
      </c>
      <c r="F6516" s="1741"/>
      <c r="G6516" s="556" t="s">
        <v>19</v>
      </c>
      <c r="H6516" s="599">
        <v>0.25</v>
      </c>
      <c r="K6516" s="1192" t="s">
        <v>2835</v>
      </c>
      <c r="L6516" s="1192" t="s">
        <v>2374</v>
      </c>
      <c r="P6516" s="1192" t="s">
        <v>2840</v>
      </c>
      <c r="V6516" s="1192">
        <v>63</v>
      </c>
    </row>
    <row r="6517" spans="1:22" s="1192" customFormat="1" ht="17.399999999999999" x14ac:dyDescent="0.3">
      <c r="A6517" s="1192" t="s">
        <v>167</v>
      </c>
      <c r="E6517" s="1746" t="s">
        <v>81</v>
      </c>
      <c r="F6517" s="1747"/>
      <c r="G6517" s="1747"/>
      <c r="H6517" s="1747"/>
      <c r="K6517" s="1192" t="s">
        <v>3592</v>
      </c>
      <c r="V6517" s="1192">
        <v>10</v>
      </c>
    </row>
    <row r="6518" spans="1:22" s="1192" customFormat="1" ht="14.4" x14ac:dyDescent="0.3">
      <c r="A6518" s="1192" t="s">
        <v>167</v>
      </c>
      <c r="E6518" s="2044" t="s">
        <v>2449</v>
      </c>
      <c r="F6518" s="1741"/>
      <c r="G6518" s="556" t="s">
        <v>29</v>
      </c>
      <c r="H6518" s="600">
        <v>-0.6</v>
      </c>
      <c r="V6518" s="1192">
        <v>68</v>
      </c>
    </row>
    <row r="6519" spans="1:22" s="1192" customFormat="1" ht="14.4" x14ac:dyDescent="0.3">
      <c r="A6519" s="1192" t="s">
        <v>167</v>
      </c>
      <c r="E6519" s="2044" t="s">
        <v>2450</v>
      </c>
      <c r="F6519" s="1741"/>
      <c r="G6519" s="556" t="s">
        <v>82</v>
      </c>
      <c r="H6519" s="599">
        <v>-1</v>
      </c>
      <c r="V6519" s="1192">
        <v>87</v>
      </c>
    </row>
    <row r="6520" spans="1:22" s="1192" customFormat="1" ht="17.399999999999999" x14ac:dyDescent="0.3">
      <c r="A6520" s="1192" t="s">
        <v>167</v>
      </c>
      <c r="E6520" s="2045" t="s">
        <v>83</v>
      </c>
      <c r="F6520" s="1747"/>
      <c r="G6520" s="1747"/>
      <c r="H6520" s="1747"/>
      <c r="K6520" s="1192" t="s">
        <v>3593</v>
      </c>
      <c r="V6520" s="1192">
        <v>24</v>
      </c>
    </row>
    <row r="6521" spans="1:22" s="1192" customFormat="1" ht="14.4" x14ac:dyDescent="0.3">
      <c r="A6521" s="1192" t="s">
        <v>167</v>
      </c>
      <c r="E6521" s="2037" t="s">
        <v>2389</v>
      </c>
      <c r="F6521" s="1743"/>
      <c r="G6521" s="1743"/>
      <c r="H6521" s="1743"/>
      <c r="V6521" s="1192">
        <v>11</v>
      </c>
    </row>
    <row r="6522" spans="1:22" s="1192" customFormat="1" ht="14.4" x14ac:dyDescent="0.3">
      <c r="A6522" s="1192" t="s">
        <v>167</v>
      </c>
      <c r="E6522" s="1743" t="s">
        <v>2391</v>
      </c>
      <c r="F6522" s="1743"/>
      <c r="G6522" s="1743"/>
      <c r="H6522" s="1743"/>
      <c r="V6522" s="1192">
        <v>280</v>
      </c>
    </row>
    <row r="6523" spans="1:22" s="1192" customFormat="1" ht="14.4" x14ac:dyDescent="0.3">
      <c r="A6523" s="1192" t="s">
        <v>167</v>
      </c>
      <c r="E6523" s="1743" t="s">
        <v>2452</v>
      </c>
      <c r="F6523" s="1743"/>
      <c r="G6523" s="1743"/>
      <c r="H6523" s="1743"/>
      <c r="V6523" s="1192">
        <v>353</v>
      </c>
    </row>
    <row r="6524" spans="1:22" s="1192" customFormat="1" ht="14.4" x14ac:dyDescent="0.3">
      <c r="A6524" s="1192" t="s">
        <v>167</v>
      </c>
      <c r="E6524" s="1743" t="s">
        <v>2986</v>
      </c>
      <c r="F6524" s="1743"/>
      <c r="G6524" s="1743"/>
      <c r="H6524" s="1743"/>
      <c r="V6524" s="1192">
        <v>246</v>
      </c>
    </row>
    <row r="6525" spans="1:22" s="1192" customFormat="1" ht="14.4" x14ac:dyDescent="0.3">
      <c r="A6525" s="1192" t="s">
        <v>167</v>
      </c>
      <c r="E6525" s="1750" t="s">
        <v>2453</v>
      </c>
      <c r="F6525" s="1741"/>
      <c r="G6525" s="1741"/>
      <c r="H6525" s="1741"/>
      <c r="K6525" s="1192" t="s">
        <v>3594</v>
      </c>
      <c r="V6525" s="1192">
        <v>23</v>
      </c>
    </row>
    <row r="6526" spans="1:22" s="1192" customFormat="1" ht="14.4" x14ac:dyDescent="0.3">
      <c r="A6526" s="1192" t="s">
        <v>167</v>
      </c>
      <c r="E6526" s="1942" t="s">
        <v>6407</v>
      </c>
      <c r="F6526" s="1942"/>
      <c r="G6526" s="558" t="s">
        <v>19</v>
      </c>
      <c r="H6526" s="560">
        <v>15</v>
      </c>
      <c r="V6526" s="1192">
        <v>17</v>
      </c>
    </row>
    <row r="6527" spans="1:22" s="1192" customFormat="1" ht="14.4" x14ac:dyDescent="0.3">
      <c r="A6527" s="1192" t="s">
        <v>167</v>
      </c>
      <c r="E6527" s="1942" t="s">
        <v>6408</v>
      </c>
      <c r="F6527" s="1942"/>
      <c r="G6527" s="558" t="s">
        <v>19</v>
      </c>
      <c r="H6527" s="560">
        <v>15</v>
      </c>
      <c r="V6527" s="1192">
        <v>21</v>
      </c>
    </row>
    <row r="6528" spans="1:22" s="1192" customFormat="1" ht="14.4" x14ac:dyDescent="0.3">
      <c r="A6528" s="1192" t="s">
        <v>167</v>
      </c>
      <c r="E6528" s="1942" t="s">
        <v>6409</v>
      </c>
      <c r="F6528" s="1942"/>
      <c r="G6528" s="558" t="s">
        <v>19</v>
      </c>
      <c r="H6528" s="560">
        <v>15</v>
      </c>
      <c r="V6528" s="1192">
        <v>58</v>
      </c>
    </row>
    <row r="6529" spans="1:22" s="1192" customFormat="1" ht="14.4" x14ac:dyDescent="0.3">
      <c r="A6529" s="1192" t="s">
        <v>167</v>
      </c>
      <c r="E6529" s="1942" t="s">
        <v>6410</v>
      </c>
      <c r="F6529" s="1942"/>
      <c r="G6529" s="558" t="s">
        <v>19</v>
      </c>
      <c r="H6529" s="560">
        <v>15</v>
      </c>
      <c r="V6529" s="1192">
        <v>37</v>
      </c>
    </row>
    <row r="6530" spans="1:22" s="1192" customFormat="1" ht="14.4" x14ac:dyDescent="0.3">
      <c r="A6530" s="1192" t="s">
        <v>167</v>
      </c>
      <c r="E6530" s="1942" t="s">
        <v>6411</v>
      </c>
      <c r="F6530" s="1942"/>
      <c r="G6530" s="558" t="s">
        <v>19</v>
      </c>
      <c r="H6530" s="560">
        <v>15</v>
      </c>
      <c r="V6530" s="1192">
        <v>41</v>
      </c>
    </row>
    <row r="6531" spans="1:22" s="1192" customFormat="1" ht="14.4" x14ac:dyDescent="0.3">
      <c r="A6531" s="1192" t="s">
        <v>167</v>
      </c>
      <c r="E6531" s="1942" t="s">
        <v>6412</v>
      </c>
      <c r="F6531" s="1942"/>
      <c r="G6531" s="558" t="s">
        <v>19</v>
      </c>
      <c r="H6531" s="560">
        <v>15</v>
      </c>
      <c r="V6531" s="1192">
        <v>19</v>
      </c>
    </row>
    <row r="6532" spans="1:22" s="1192" customFormat="1" ht="14.4" x14ac:dyDescent="0.3">
      <c r="A6532" s="1192" t="s">
        <v>167</v>
      </c>
      <c r="E6532" s="1942" t="s">
        <v>6413</v>
      </c>
      <c r="F6532" s="1942"/>
      <c r="G6532" s="558" t="s">
        <v>19</v>
      </c>
      <c r="H6532" s="560">
        <v>30</v>
      </c>
      <c r="V6532" s="1192">
        <v>93</v>
      </c>
    </row>
    <row r="6533" spans="1:22" s="1192" customFormat="1" ht="14.4" x14ac:dyDescent="0.3">
      <c r="A6533" s="1192" t="s">
        <v>167</v>
      </c>
      <c r="E6533" s="1942" t="s">
        <v>6414</v>
      </c>
      <c r="F6533" s="1942"/>
      <c r="G6533" s="558" t="s">
        <v>19</v>
      </c>
      <c r="H6533" s="560">
        <v>30</v>
      </c>
      <c r="V6533" s="1192">
        <v>76</v>
      </c>
    </row>
    <row r="6534" spans="1:22" s="1192" customFormat="1" ht="14.4" x14ac:dyDescent="0.3">
      <c r="A6534" s="1192" t="s">
        <v>167</v>
      </c>
      <c r="E6534" s="1750" t="s">
        <v>2468</v>
      </c>
      <c r="F6534" s="1741"/>
      <c r="G6534" s="1741"/>
      <c r="H6534" s="1741"/>
      <c r="K6534" s="1192" t="s">
        <v>3595</v>
      </c>
      <c r="V6534" s="1192">
        <v>22</v>
      </c>
    </row>
    <row r="6535" spans="1:22" s="1192" customFormat="1" ht="14.4" x14ac:dyDescent="0.3">
      <c r="A6535" s="1192" t="s">
        <v>167</v>
      </c>
      <c r="E6535" s="1942" t="s">
        <v>6105</v>
      </c>
      <c r="F6535" s="1942"/>
      <c r="G6535" s="558" t="s">
        <v>82</v>
      </c>
      <c r="H6535" s="560">
        <v>1.5</v>
      </c>
      <c r="V6535" s="1192">
        <v>101</v>
      </c>
    </row>
    <row r="6536" spans="1:22" s="1192" customFormat="1" ht="14.4" x14ac:dyDescent="0.3">
      <c r="A6536" s="1192" t="s">
        <v>167</v>
      </c>
      <c r="E6536" s="1942" t="s">
        <v>6097</v>
      </c>
      <c r="F6536" s="1942"/>
      <c r="G6536" s="558" t="s">
        <v>19</v>
      </c>
      <c r="H6536" s="560">
        <v>65</v>
      </c>
      <c r="V6536" s="1192">
        <v>45</v>
      </c>
    </row>
    <row r="6537" spans="1:22" s="1192" customFormat="1" ht="14.4" x14ac:dyDescent="0.3">
      <c r="A6537" s="1192" t="s">
        <v>167</v>
      </c>
      <c r="E6537" s="1942" t="s">
        <v>6098</v>
      </c>
      <c r="F6537" s="1942"/>
      <c r="G6537" s="558" t="s">
        <v>19</v>
      </c>
      <c r="H6537" s="560">
        <v>185</v>
      </c>
      <c r="V6537" s="1192">
        <v>44</v>
      </c>
    </row>
    <row r="6538" spans="1:22" s="1192" customFormat="1" ht="14.4" x14ac:dyDescent="0.3">
      <c r="A6538" s="1192" t="s">
        <v>167</v>
      </c>
      <c r="E6538" s="1750" t="s">
        <v>2474</v>
      </c>
      <c r="F6538" s="1741"/>
      <c r="G6538" s="1741"/>
      <c r="H6538" s="1741"/>
      <c r="V6538" s="1192">
        <v>5</v>
      </c>
    </row>
    <row r="6539" spans="1:22" s="1192" customFormat="1" ht="14.4" x14ac:dyDescent="0.3">
      <c r="A6539" s="1192" t="s">
        <v>167</v>
      </c>
      <c r="E6539" s="1942" t="s">
        <v>2768</v>
      </c>
      <c r="F6539" s="1942"/>
      <c r="G6539" s="558" t="s">
        <v>19</v>
      </c>
      <c r="H6539" s="560">
        <v>44.5</v>
      </c>
      <c r="V6539" s="1192">
        <v>104</v>
      </c>
    </row>
    <row r="6540" spans="1:22" s="1192" customFormat="1" ht="17.399999999999999" x14ac:dyDescent="0.3">
      <c r="A6540" s="1192" t="s">
        <v>167</v>
      </c>
      <c r="E6540" s="1746" t="s">
        <v>73</v>
      </c>
      <c r="F6540" s="1747"/>
      <c r="G6540" s="1747"/>
      <c r="H6540" s="1747"/>
      <c r="K6540" s="1192" t="s">
        <v>3596</v>
      </c>
      <c r="V6540" s="1192">
        <v>38</v>
      </c>
    </row>
    <row r="6541" spans="1:22" s="1192" customFormat="1" ht="14.4" x14ac:dyDescent="0.3">
      <c r="A6541" s="1192" t="s">
        <v>167</v>
      </c>
      <c r="E6541" s="2037" t="s">
        <v>2389</v>
      </c>
      <c r="F6541" s="1743"/>
      <c r="G6541" s="1743"/>
      <c r="H6541" s="1743"/>
      <c r="K6541" s="1192" t="s">
        <v>2571</v>
      </c>
      <c r="V6541" s="1192">
        <v>11</v>
      </c>
    </row>
    <row r="6542" spans="1:22" s="1192" customFormat="1" ht="14.4" x14ac:dyDescent="0.3">
      <c r="A6542" s="1192" t="s">
        <v>167</v>
      </c>
      <c r="E6542" s="1743" t="s">
        <v>2391</v>
      </c>
      <c r="F6542" s="1743"/>
      <c r="G6542" s="1743"/>
      <c r="H6542" s="1743"/>
      <c r="V6542" s="1192">
        <v>280</v>
      </c>
    </row>
    <row r="6543" spans="1:22" s="1192" customFormat="1" ht="14.4" x14ac:dyDescent="0.3">
      <c r="A6543" s="1192" t="s">
        <v>167</v>
      </c>
      <c r="E6543" s="1743" t="s">
        <v>2392</v>
      </c>
      <c r="F6543" s="1743"/>
      <c r="G6543" s="1743"/>
      <c r="H6543" s="1743"/>
      <c r="V6543" s="1192">
        <v>411</v>
      </c>
    </row>
    <row r="6544" spans="1:22" s="1192" customFormat="1" ht="14.4" x14ac:dyDescent="0.3">
      <c r="A6544" s="1192" t="s">
        <v>167</v>
      </c>
      <c r="E6544" s="1743" t="s">
        <v>2445</v>
      </c>
      <c r="F6544" s="1743"/>
      <c r="G6544" s="1743"/>
      <c r="H6544" s="1743"/>
      <c r="V6544" s="1192">
        <v>211</v>
      </c>
    </row>
    <row r="6545" spans="1:22" s="1192" customFormat="1" ht="14.4" x14ac:dyDescent="0.3">
      <c r="A6545" s="1192" t="s">
        <v>167</v>
      </c>
      <c r="E6545" s="1743" t="s">
        <v>2986</v>
      </c>
      <c r="F6545" s="1743"/>
      <c r="G6545" s="1743"/>
      <c r="H6545" s="1743"/>
      <c r="V6545" s="1192">
        <v>246</v>
      </c>
    </row>
    <row r="6546" spans="1:22" s="1192" customFormat="1" ht="14.4" x14ac:dyDescent="0.3">
      <c r="A6546" s="1192" t="s">
        <v>167</v>
      </c>
      <c r="E6546" s="1741" t="s">
        <v>2818</v>
      </c>
      <c r="F6546" s="1741"/>
      <c r="G6546" s="559"/>
      <c r="H6546" s="841"/>
      <c r="V6546" s="1192">
        <v>141</v>
      </c>
    </row>
    <row r="6547" spans="1:22" s="1192" customFormat="1" ht="14.4" x14ac:dyDescent="0.3">
      <c r="A6547" s="1192" t="s">
        <v>167</v>
      </c>
      <c r="E6547" s="1741" t="s">
        <v>2485</v>
      </c>
      <c r="F6547" s="1741"/>
      <c r="G6547" s="559" t="s">
        <v>19</v>
      </c>
      <c r="H6547" s="821">
        <v>102</v>
      </c>
      <c r="V6547" s="1192">
        <v>106</v>
      </c>
    </row>
    <row r="6548" spans="1:22" s="1192" customFormat="1" ht="14.4" x14ac:dyDescent="0.3">
      <c r="A6548" s="1192" t="s">
        <v>167</v>
      </c>
      <c r="E6548" s="1741" t="s">
        <v>2486</v>
      </c>
      <c r="F6548" s="1741"/>
      <c r="G6548" s="559" t="s">
        <v>19</v>
      </c>
      <c r="H6548" s="821">
        <v>40.799999999999997</v>
      </c>
      <c r="V6548" s="1192">
        <v>34</v>
      </c>
    </row>
    <row r="6549" spans="1:22" s="1192" customFormat="1" ht="14.4" x14ac:dyDescent="0.3">
      <c r="A6549" s="1192" t="s">
        <v>167</v>
      </c>
      <c r="E6549" s="1741" t="s">
        <v>2487</v>
      </c>
      <c r="F6549" s="1741"/>
      <c r="G6549" s="559" t="s">
        <v>2488</v>
      </c>
      <c r="H6549" s="821">
        <v>1.02</v>
      </c>
      <c r="V6549" s="1192">
        <v>51</v>
      </c>
    </row>
    <row r="6550" spans="1:22" s="1192" customFormat="1" ht="14.4" x14ac:dyDescent="0.3">
      <c r="A6550" s="1192" t="s">
        <v>167</v>
      </c>
      <c r="E6550" s="1741" t="s">
        <v>2489</v>
      </c>
      <c r="F6550" s="1741"/>
      <c r="G6550" s="559" t="s">
        <v>2488</v>
      </c>
      <c r="H6550" s="821">
        <v>0.61</v>
      </c>
      <c r="V6550" s="1192">
        <v>75</v>
      </c>
    </row>
    <row r="6551" spans="1:22" s="1192" customFormat="1" ht="14.4" x14ac:dyDescent="0.3">
      <c r="A6551" s="1192" t="s">
        <v>167</v>
      </c>
      <c r="E6551" s="1741" t="s">
        <v>2490</v>
      </c>
      <c r="F6551" s="1741"/>
      <c r="G6551" s="559" t="s">
        <v>2488</v>
      </c>
      <c r="H6551" s="821">
        <v>-0.61</v>
      </c>
      <c r="V6551" s="1192">
        <v>72</v>
      </c>
    </row>
    <row r="6552" spans="1:22" s="1192" customFormat="1" ht="14.4" x14ac:dyDescent="0.3">
      <c r="A6552" s="1192" t="s">
        <v>167</v>
      </c>
      <c r="E6552" s="1941" t="s">
        <v>2596</v>
      </c>
      <c r="F6552" s="1941"/>
      <c r="G6552" s="559"/>
      <c r="H6552" s="841"/>
      <c r="V6552" s="1192">
        <v>34</v>
      </c>
    </row>
    <row r="6553" spans="1:22" s="1192" customFormat="1" ht="14.4" x14ac:dyDescent="0.3">
      <c r="A6553" s="1192" t="s">
        <v>167</v>
      </c>
      <c r="E6553" s="1941" t="s">
        <v>2492</v>
      </c>
      <c r="F6553" s="1941"/>
      <c r="G6553" s="559" t="s">
        <v>19</v>
      </c>
      <c r="H6553" s="821">
        <v>0.51</v>
      </c>
      <c r="V6553" s="1192">
        <v>57</v>
      </c>
    </row>
    <row r="6554" spans="1:22" s="1192" customFormat="1" ht="14.4" x14ac:dyDescent="0.3">
      <c r="A6554" s="1192" t="s">
        <v>167</v>
      </c>
      <c r="E6554" s="1741" t="s">
        <v>2493</v>
      </c>
      <c r="F6554" s="1741"/>
      <c r="G6554" s="559" t="s">
        <v>19</v>
      </c>
      <c r="H6554" s="821">
        <v>1.02</v>
      </c>
      <c r="V6554" s="1192">
        <v>60</v>
      </c>
    </row>
    <row r="6555" spans="1:22" s="1192" customFormat="1" ht="14.4" x14ac:dyDescent="0.3">
      <c r="A6555" s="1192" t="s">
        <v>167</v>
      </c>
      <c r="E6555" s="1741" t="s">
        <v>2878</v>
      </c>
      <c r="F6555" s="1741"/>
      <c r="G6555" s="559"/>
      <c r="H6555" s="841"/>
      <c r="V6555" s="1192">
        <v>92</v>
      </c>
    </row>
    <row r="6556" spans="1:22" s="1192" customFormat="1" ht="14.4" x14ac:dyDescent="0.3">
      <c r="A6556" s="1192" t="s">
        <v>167</v>
      </c>
      <c r="E6556" s="1741" t="s">
        <v>2879</v>
      </c>
      <c r="F6556" s="1741"/>
      <c r="G6556" s="559"/>
      <c r="H6556" s="841"/>
      <c r="V6556" s="1192">
        <v>97</v>
      </c>
    </row>
    <row r="6557" spans="1:22" s="1192" customFormat="1" ht="14.4" x14ac:dyDescent="0.3">
      <c r="A6557" s="1192" t="s">
        <v>167</v>
      </c>
      <c r="E6557" s="1941" t="s">
        <v>2597</v>
      </c>
      <c r="F6557" s="1941"/>
      <c r="G6557" s="559"/>
      <c r="H6557" s="841"/>
      <c r="V6557" s="1192">
        <v>77</v>
      </c>
    </row>
    <row r="6558" spans="1:22" s="1192" customFormat="1" ht="14.4" x14ac:dyDescent="0.3">
      <c r="A6558" s="1192" t="s">
        <v>167</v>
      </c>
      <c r="E6558" s="1941" t="s">
        <v>2497</v>
      </c>
      <c r="F6558" s="1941"/>
      <c r="G6558" s="559" t="s">
        <v>19</v>
      </c>
      <c r="H6558" s="841" t="s">
        <v>2498</v>
      </c>
      <c r="V6558" s="1192">
        <v>18</v>
      </c>
    </row>
    <row r="6559" spans="1:22" s="1192" customFormat="1" ht="14.4" x14ac:dyDescent="0.3">
      <c r="A6559" s="1192" t="s">
        <v>167</v>
      </c>
      <c r="E6559" s="1741" t="s">
        <v>4677</v>
      </c>
      <c r="F6559" s="1741"/>
      <c r="G6559" s="559" t="s">
        <v>19</v>
      </c>
      <c r="H6559" s="821">
        <v>4.08</v>
      </c>
      <c r="V6559" s="1192">
        <v>91</v>
      </c>
    </row>
    <row r="6560" spans="1:22" s="1192" customFormat="1" ht="14.4" x14ac:dyDescent="0.3">
      <c r="A6560" s="1192" t="s">
        <v>167</v>
      </c>
      <c r="E6560" s="2093" t="s">
        <v>4608</v>
      </c>
      <c r="F6560" s="2093"/>
      <c r="G6560" s="1255" t="s">
        <v>19</v>
      </c>
      <c r="H6560" s="595">
        <v>2.04</v>
      </c>
      <c r="V6560" s="1192">
        <v>199</v>
      </c>
    </row>
    <row r="6561" spans="1:22" s="1192" customFormat="1" x14ac:dyDescent="0.3">
      <c r="A6561" s="1192" t="s">
        <v>167</v>
      </c>
      <c r="E6561" s="1746" t="s">
        <v>143</v>
      </c>
      <c r="F6561" s="1999"/>
      <c r="G6561" s="1999"/>
      <c r="H6561" s="1999"/>
      <c r="K6561" s="1192" t="s">
        <v>3597</v>
      </c>
      <c r="V6561" s="1192">
        <v>12</v>
      </c>
    </row>
    <row r="6562" spans="1:22" s="1192" customFormat="1" ht="14.4" x14ac:dyDescent="0.3">
      <c r="A6562" s="1192" t="s">
        <v>167</v>
      </c>
      <c r="E6562" s="1741" t="s">
        <v>2501</v>
      </c>
      <c r="F6562" s="1741"/>
      <c r="G6562" s="1741"/>
      <c r="H6562" s="1741"/>
      <c r="V6562" s="1192">
        <v>203</v>
      </c>
    </row>
    <row r="6563" spans="1:22" s="1192" customFormat="1" ht="14.4" x14ac:dyDescent="0.3">
      <c r="A6563" s="1192" t="s">
        <v>167</v>
      </c>
      <c r="E6563" s="2044" t="s">
        <v>2599</v>
      </c>
      <c r="F6563" s="1741"/>
      <c r="G6563" s="556"/>
      <c r="H6563" s="1344">
        <v>1.0362</v>
      </c>
      <c r="V6563" s="1192">
        <v>57</v>
      </c>
    </row>
    <row r="6564" spans="1:22" s="1192" customFormat="1" ht="14.4" x14ac:dyDescent="0.3">
      <c r="A6564" s="1192" t="s">
        <v>167</v>
      </c>
      <c r="E6564" s="2044" t="s">
        <v>2600</v>
      </c>
      <c r="F6564" s="1741"/>
      <c r="G6564" s="556"/>
      <c r="H6564" s="1344">
        <v>1.0146999999999999</v>
      </c>
      <c r="V6564" s="1192">
        <v>57</v>
      </c>
    </row>
    <row r="6565" spans="1:22" s="1192" customFormat="1" ht="14.4" x14ac:dyDescent="0.3">
      <c r="A6565" s="1192" t="s">
        <v>167</v>
      </c>
      <c r="E6565" s="2044" t="s">
        <v>2601</v>
      </c>
      <c r="F6565" s="1741"/>
      <c r="G6565" s="556"/>
      <c r="H6565" s="1344">
        <v>1.0259</v>
      </c>
      <c r="V6565" s="1192">
        <v>55</v>
      </c>
    </row>
    <row r="6566" spans="1:22" s="1192" customFormat="1" ht="14.4" x14ac:dyDescent="0.3">
      <c r="A6566" s="1192" t="s">
        <v>167</v>
      </c>
      <c r="E6566" s="2044" t="s">
        <v>2602</v>
      </c>
      <c r="F6566" s="1741"/>
      <c r="G6566" s="556"/>
      <c r="H6566" s="1344">
        <v>1.0046999999999999</v>
      </c>
      <c r="J6566" s="1192" t="s">
        <v>3598</v>
      </c>
      <c r="V6566" s="1192">
        <v>55</v>
      </c>
    </row>
    <row r="6567" spans="1:22" s="1192" customFormat="1" ht="22.8" x14ac:dyDescent="0.3">
      <c r="A6567" s="1192" t="s">
        <v>169</v>
      </c>
      <c r="C6567" s="1192" t="s">
        <v>2378</v>
      </c>
      <c r="E6567" s="2116" t="s">
        <v>169</v>
      </c>
      <c r="F6567" s="2116"/>
      <c r="G6567" s="2116"/>
      <c r="H6567" s="2116"/>
      <c r="I6567" s="1192" t="s">
        <v>603</v>
      </c>
      <c r="J6567" s="1192" t="s">
        <v>2644</v>
      </c>
      <c r="K6567" s="1192" t="s">
        <v>169</v>
      </c>
      <c r="M6567" s="1192">
        <v>9</v>
      </c>
      <c r="V6567" s="1192">
        <v>20</v>
      </c>
    </row>
    <row r="6568" spans="1:22" s="1192" customFormat="1" ht="17.399999999999999" x14ac:dyDescent="0.3">
      <c r="A6568" s="1192" t="s">
        <v>169</v>
      </c>
      <c r="C6568" s="1192" t="s">
        <v>2380</v>
      </c>
      <c r="E6568" s="2047" t="s">
        <v>2381</v>
      </c>
      <c r="F6568" s="2047"/>
      <c r="G6568" s="2047"/>
      <c r="H6568" s="2047"/>
      <c r="V6568" s="1192">
        <v>27</v>
      </c>
    </row>
    <row r="6569" spans="1:22" s="1192" customFormat="1" ht="15.6" x14ac:dyDescent="0.3">
      <c r="A6569" s="1192" t="s">
        <v>169</v>
      </c>
      <c r="C6569" s="1192" t="s">
        <v>2382</v>
      </c>
      <c r="E6569" s="2048" t="s">
        <v>6415</v>
      </c>
      <c r="F6569" s="2048"/>
      <c r="G6569" s="2048"/>
      <c r="H6569" s="2048"/>
      <c r="S6569" s="1192">
        <v>43891</v>
      </c>
      <c r="V6569" s="1192">
        <v>47</v>
      </c>
    </row>
    <row r="6570" spans="1:22" s="1192" customFormat="1" ht="14.4" x14ac:dyDescent="0.3">
      <c r="A6570" s="1192" t="s">
        <v>169</v>
      </c>
      <c r="C6570" s="1192" t="s">
        <v>2383</v>
      </c>
      <c r="E6570" s="2049" t="s">
        <v>2384</v>
      </c>
      <c r="F6570" s="2049"/>
      <c r="G6570" s="2049"/>
      <c r="H6570" s="2049"/>
      <c r="V6570" s="1192">
        <v>52</v>
      </c>
    </row>
    <row r="6571" spans="1:22" s="1192" customFormat="1" ht="14.4" x14ac:dyDescent="0.3">
      <c r="A6571" s="1192" t="s">
        <v>169</v>
      </c>
      <c r="E6571" s="2049" t="s">
        <v>2385</v>
      </c>
      <c r="F6571" s="2049"/>
      <c r="G6571" s="2049"/>
      <c r="H6571" s="2049"/>
      <c r="V6571" s="1192">
        <v>53</v>
      </c>
    </row>
    <row r="6572" spans="1:22" s="1192" customFormat="1" ht="14.4" x14ac:dyDescent="0.3">
      <c r="A6572" s="1192" t="s">
        <v>169</v>
      </c>
      <c r="E6572" s="2050" t="s">
        <v>6416</v>
      </c>
      <c r="F6572" s="2050"/>
      <c r="G6572" s="2050"/>
      <c r="H6572" s="2050"/>
      <c r="K6572" s="1192" t="s">
        <v>6416</v>
      </c>
      <c r="V6572" s="1192">
        <v>12</v>
      </c>
    </row>
    <row r="6573" spans="1:22" s="1192" customFormat="1" ht="14.4" x14ac:dyDescent="0.3">
      <c r="A6573" s="1192" t="s">
        <v>169</v>
      </c>
      <c r="E6573" s="2051" t="s">
        <v>427</v>
      </c>
      <c r="F6573" s="2052"/>
      <c r="G6573" s="2052"/>
      <c r="H6573" s="2052"/>
      <c r="K6573" s="1192" t="s">
        <v>2506</v>
      </c>
      <c r="V6573" s="1192">
        <v>34</v>
      </c>
    </row>
    <row r="6574" spans="1:22" s="1192" customFormat="1" ht="14.4" x14ac:dyDescent="0.3">
      <c r="A6574" s="1192" t="s">
        <v>169</v>
      </c>
      <c r="E6574" s="2053" t="s">
        <v>2645</v>
      </c>
      <c r="F6574" s="2053"/>
      <c r="G6574" s="2053"/>
      <c r="H6574" s="2053"/>
      <c r="K6574" s="1192" t="s">
        <v>2506</v>
      </c>
      <c r="V6574" s="1192">
        <v>552</v>
      </c>
    </row>
    <row r="6575" spans="1:22" s="1192" customFormat="1" ht="14.4" x14ac:dyDescent="0.3">
      <c r="A6575" s="1192" t="s">
        <v>169</v>
      </c>
      <c r="E6575" s="2054" t="s">
        <v>2389</v>
      </c>
      <c r="F6575" s="1743"/>
      <c r="G6575" s="1743"/>
      <c r="H6575" s="1743"/>
      <c r="K6575" s="1192" t="s">
        <v>2390</v>
      </c>
      <c r="V6575" s="1192">
        <v>11</v>
      </c>
    </row>
    <row r="6576" spans="1:22" s="1192" customFormat="1" ht="14.4" x14ac:dyDescent="0.3">
      <c r="A6576" s="1192" t="s">
        <v>169</v>
      </c>
      <c r="E6576" s="2053" t="s">
        <v>2391</v>
      </c>
      <c r="F6576" s="2053"/>
      <c r="G6576" s="2053"/>
      <c r="H6576" s="2053"/>
      <c r="K6576" s="1192" t="s">
        <v>2506</v>
      </c>
      <c r="V6576" s="1192">
        <v>280</v>
      </c>
    </row>
    <row r="6577" spans="1:22" s="1192" customFormat="1" ht="14.4" x14ac:dyDescent="0.3">
      <c r="A6577" s="1192" t="s">
        <v>169</v>
      </c>
      <c r="E6577" s="2053" t="s">
        <v>2392</v>
      </c>
      <c r="F6577" s="2053"/>
      <c r="G6577" s="2053"/>
      <c r="H6577" s="2053"/>
      <c r="K6577" s="1192" t="s">
        <v>2506</v>
      </c>
      <c r="V6577" s="1192">
        <v>411</v>
      </c>
    </row>
    <row r="6578" spans="1:22" s="1192" customFormat="1" ht="14.4" x14ac:dyDescent="0.3">
      <c r="A6578" s="1192" t="s">
        <v>169</v>
      </c>
      <c r="E6578" s="2053" t="s">
        <v>2508</v>
      </c>
      <c r="F6578" s="2053"/>
      <c r="G6578" s="2053"/>
      <c r="H6578" s="2053"/>
      <c r="K6578" s="1192" t="s">
        <v>2506</v>
      </c>
      <c r="V6578" s="1192">
        <v>386</v>
      </c>
    </row>
    <row r="6579" spans="1:22" s="1192" customFormat="1" ht="14.4" x14ac:dyDescent="0.3">
      <c r="A6579" s="1192" t="s">
        <v>169</v>
      </c>
      <c r="E6579" s="2053" t="s">
        <v>6417</v>
      </c>
      <c r="F6579" s="2053"/>
      <c r="G6579" s="2053"/>
      <c r="H6579" s="2053"/>
      <c r="K6579" s="1192" t="s">
        <v>2506</v>
      </c>
      <c r="V6579" s="1192">
        <v>251</v>
      </c>
    </row>
    <row r="6580" spans="1:22" s="1192" customFormat="1" ht="14.4" x14ac:dyDescent="0.3">
      <c r="A6580" s="1192" t="s">
        <v>169</v>
      </c>
      <c r="E6580" s="2054" t="s">
        <v>2394</v>
      </c>
      <c r="F6580" s="1743"/>
      <c r="G6580" s="1743"/>
      <c r="H6580" s="1743"/>
      <c r="K6580" s="1192" t="s">
        <v>2395</v>
      </c>
      <c r="V6580" s="1192">
        <v>46</v>
      </c>
    </row>
    <row r="6581" spans="1:22" s="1192" customFormat="1" ht="14.4" x14ac:dyDescent="0.3">
      <c r="A6581" s="1192" t="s">
        <v>169</v>
      </c>
      <c r="E6581" s="2007" t="s">
        <v>7</v>
      </c>
      <c r="F6581" s="2007"/>
      <c r="G6581" s="556" t="s">
        <v>19</v>
      </c>
      <c r="H6581" s="1218">
        <v>23.9</v>
      </c>
      <c r="K6581" s="1192" t="s">
        <v>2506</v>
      </c>
      <c r="L6581" s="1192" t="s">
        <v>430</v>
      </c>
      <c r="P6581" s="1192" t="s">
        <v>2510</v>
      </c>
      <c r="V6581" s="1192">
        <v>14</v>
      </c>
    </row>
    <row r="6582" spans="1:22" s="1192" customFormat="1" ht="14.4" x14ac:dyDescent="0.3">
      <c r="A6582" s="1192" t="s">
        <v>169</v>
      </c>
      <c r="E6582" s="2007" t="s">
        <v>6418</v>
      </c>
      <c r="F6582" s="1741"/>
      <c r="G6582" s="556" t="s">
        <v>19</v>
      </c>
      <c r="H6582" s="1218">
        <v>1.58</v>
      </c>
      <c r="K6582" s="1192" t="s">
        <v>2506</v>
      </c>
      <c r="L6582" s="1192" t="s">
        <v>430</v>
      </c>
      <c r="P6582" s="1192" t="s">
        <v>4452</v>
      </c>
      <c r="V6582" s="1192">
        <v>135</v>
      </c>
    </row>
    <row r="6583" spans="1:22" s="1192" customFormat="1" ht="14.4" x14ac:dyDescent="0.3">
      <c r="A6583" s="1192" t="s">
        <v>169</v>
      </c>
      <c r="E6583" s="2007" t="s">
        <v>3900</v>
      </c>
      <c r="F6583" s="2007"/>
      <c r="G6583" s="556" t="s">
        <v>19</v>
      </c>
      <c r="H6583" s="577">
        <v>0.56999999999999995</v>
      </c>
      <c r="K6583" s="1192" t="s">
        <v>2506</v>
      </c>
      <c r="L6583" s="1192" t="s">
        <v>431</v>
      </c>
      <c r="P6583" s="1192" t="s">
        <v>2511</v>
      </c>
      <c r="T6583" s="1192">
        <v>44926</v>
      </c>
      <c r="V6583" s="1192">
        <v>64</v>
      </c>
    </row>
    <row r="6584" spans="1:22" s="1192" customFormat="1" ht="14.4" x14ac:dyDescent="0.3">
      <c r="A6584" s="1192" t="s">
        <v>169</v>
      </c>
      <c r="E6584" s="2007" t="s">
        <v>213</v>
      </c>
      <c r="F6584" s="2007"/>
      <c r="G6584" s="556" t="s">
        <v>20</v>
      </c>
      <c r="H6584" s="1219">
        <v>8.5000000000000006E-3</v>
      </c>
      <c r="K6584" s="1192" t="s">
        <v>2506</v>
      </c>
      <c r="L6584" s="1192" t="s">
        <v>432</v>
      </c>
      <c r="P6584" s="1192" t="s">
        <v>2517</v>
      </c>
      <c r="V6584" s="1192">
        <v>47</v>
      </c>
    </row>
    <row r="6585" spans="1:22" s="1192" customFormat="1" ht="14.4" x14ac:dyDescent="0.3">
      <c r="A6585" s="1192" t="s">
        <v>169</v>
      </c>
      <c r="E6585" s="2007" t="s">
        <v>209</v>
      </c>
      <c r="F6585" s="2007"/>
      <c r="G6585" s="556" t="s">
        <v>20</v>
      </c>
      <c r="H6585" s="1219">
        <v>6.3E-3</v>
      </c>
      <c r="K6585" s="1192" t="s">
        <v>2506</v>
      </c>
      <c r="L6585" s="1192" t="s">
        <v>432</v>
      </c>
      <c r="P6585" s="1192" t="s">
        <v>2518</v>
      </c>
      <c r="V6585" s="1192">
        <v>74</v>
      </c>
    </row>
    <row r="6586" spans="1:22" s="1192" customFormat="1" ht="14.4" x14ac:dyDescent="0.3">
      <c r="A6586" s="1192" t="s">
        <v>169</v>
      </c>
      <c r="E6586" s="2054" t="s">
        <v>2405</v>
      </c>
      <c r="F6586" s="1741"/>
      <c r="G6586" s="1273"/>
      <c r="H6586" s="867"/>
      <c r="K6586" s="1192" t="s">
        <v>2406</v>
      </c>
      <c r="V6586" s="1192">
        <v>48</v>
      </c>
    </row>
    <row r="6587" spans="1:22" s="1192" customFormat="1" ht="14.4" x14ac:dyDescent="0.3">
      <c r="A6587" s="1192" t="s">
        <v>169</v>
      </c>
      <c r="E6587" s="2044" t="s">
        <v>2033</v>
      </c>
      <c r="F6587" s="1741"/>
      <c r="G6587" s="556" t="s">
        <v>20</v>
      </c>
      <c r="H6587" s="600">
        <v>3.0000000000000001E-3</v>
      </c>
      <c r="K6587" s="1192" t="s">
        <v>2506</v>
      </c>
      <c r="L6587" s="1192" t="s">
        <v>2374</v>
      </c>
      <c r="P6587" s="1192" t="s">
        <v>2519</v>
      </c>
      <c r="V6587" s="1192">
        <v>55</v>
      </c>
    </row>
    <row r="6588" spans="1:22" s="1192" customFormat="1" ht="14.4" x14ac:dyDescent="0.3">
      <c r="A6588" s="1192" t="s">
        <v>169</v>
      </c>
      <c r="E6588" s="2044" t="s">
        <v>2034</v>
      </c>
      <c r="F6588" s="1741"/>
      <c r="G6588" s="556" t="s">
        <v>20</v>
      </c>
      <c r="H6588" s="600">
        <v>4.0000000000000002E-4</v>
      </c>
      <c r="K6588" s="1192" t="s">
        <v>2506</v>
      </c>
      <c r="L6588" s="1192" t="s">
        <v>2374</v>
      </c>
      <c r="P6588" s="1192" t="s">
        <v>2519</v>
      </c>
      <c r="V6588" s="1192">
        <v>65</v>
      </c>
    </row>
    <row r="6589" spans="1:22" s="1192" customFormat="1" ht="14.4" x14ac:dyDescent="0.3">
      <c r="A6589" s="1192" t="s">
        <v>169</v>
      </c>
      <c r="E6589" s="2044" t="s">
        <v>428</v>
      </c>
      <c r="F6589" s="1741"/>
      <c r="G6589" s="556" t="s">
        <v>20</v>
      </c>
      <c r="H6589" s="600">
        <v>5.0000000000000001E-4</v>
      </c>
      <c r="K6589" s="1192" t="s">
        <v>2506</v>
      </c>
      <c r="L6589" s="1192" t="s">
        <v>2374</v>
      </c>
      <c r="P6589" s="1192" t="s">
        <v>2520</v>
      </c>
      <c r="V6589" s="1192">
        <v>57</v>
      </c>
    </row>
    <row r="6590" spans="1:22" s="1192" customFormat="1" ht="14.4" x14ac:dyDescent="0.3">
      <c r="A6590" s="1192" t="s">
        <v>169</v>
      </c>
      <c r="E6590" s="2044" t="s">
        <v>28</v>
      </c>
      <c r="F6590" s="1741"/>
      <c r="G6590" s="556" t="s">
        <v>19</v>
      </c>
      <c r="H6590" s="599">
        <v>0.25</v>
      </c>
      <c r="K6590" s="1192" t="s">
        <v>2506</v>
      </c>
      <c r="L6590" s="1192" t="s">
        <v>2374</v>
      </c>
      <c r="P6590" s="1192" t="s">
        <v>2521</v>
      </c>
      <c r="V6590" s="1192">
        <v>63</v>
      </c>
    </row>
    <row r="6591" spans="1:22" s="1192" customFormat="1" ht="17.399999999999999" x14ac:dyDescent="0.3">
      <c r="A6591" s="1192" t="s">
        <v>169</v>
      </c>
      <c r="E6591" s="2051" t="s">
        <v>2522</v>
      </c>
      <c r="F6591" s="2051"/>
      <c r="G6591" s="2051"/>
      <c r="H6591" s="2051"/>
      <c r="K6591" s="1192" t="s">
        <v>3901</v>
      </c>
      <c r="V6591" s="1192">
        <v>54</v>
      </c>
    </row>
    <row r="6592" spans="1:22" s="1192" customFormat="1" ht="14.4" x14ac:dyDescent="0.3">
      <c r="A6592" s="1192" t="s">
        <v>169</v>
      </c>
      <c r="E6592" s="2053" t="s">
        <v>2647</v>
      </c>
      <c r="F6592" s="2053"/>
      <c r="G6592" s="2053"/>
      <c r="H6592" s="2056"/>
      <c r="K6592" s="1192" t="s">
        <v>3901</v>
      </c>
      <c r="V6592" s="1192">
        <v>266</v>
      </c>
    </row>
    <row r="6593" spans="1:22" s="1192" customFormat="1" ht="14.4" x14ac:dyDescent="0.3">
      <c r="A6593" s="1192" t="s">
        <v>169</v>
      </c>
      <c r="E6593" s="2054" t="s">
        <v>2389</v>
      </c>
      <c r="F6593" s="1743"/>
      <c r="G6593" s="1743"/>
      <c r="H6593" s="1743"/>
      <c r="K6593" s="1192" t="s">
        <v>2412</v>
      </c>
      <c r="V6593" s="1192">
        <v>11</v>
      </c>
    </row>
    <row r="6594" spans="1:22" s="1192" customFormat="1" ht="14.4" x14ac:dyDescent="0.3">
      <c r="A6594" s="1192" t="s">
        <v>169</v>
      </c>
      <c r="E6594" s="2053" t="s">
        <v>2391</v>
      </c>
      <c r="F6594" s="2053"/>
      <c r="G6594" s="2053"/>
      <c r="H6594" s="2056"/>
      <c r="K6594" s="1192" t="s">
        <v>3901</v>
      </c>
      <c r="V6594" s="1192">
        <v>280</v>
      </c>
    </row>
    <row r="6595" spans="1:22" s="1192" customFormat="1" ht="14.4" x14ac:dyDescent="0.3">
      <c r="A6595" s="1192" t="s">
        <v>169</v>
      </c>
      <c r="E6595" s="2053" t="s">
        <v>2392</v>
      </c>
      <c r="F6595" s="2053"/>
      <c r="G6595" s="2053"/>
      <c r="H6595" s="2056"/>
      <c r="K6595" s="1192" t="s">
        <v>3901</v>
      </c>
      <c r="V6595" s="1192">
        <v>411</v>
      </c>
    </row>
    <row r="6596" spans="1:22" s="1192" customFormat="1" ht="14.4" x14ac:dyDescent="0.3">
      <c r="A6596" s="1192" t="s">
        <v>169</v>
      </c>
      <c r="E6596" s="2053" t="s">
        <v>2508</v>
      </c>
      <c r="F6596" s="2053"/>
      <c r="G6596" s="2053"/>
      <c r="H6596" s="2056"/>
      <c r="K6596" s="1192" t="s">
        <v>3901</v>
      </c>
      <c r="V6596" s="1192">
        <v>386</v>
      </c>
    </row>
    <row r="6597" spans="1:22" s="1192" customFormat="1" ht="14.4" x14ac:dyDescent="0.3">
      <c r="A6597" s="1192" t="s">
        <v>169</v>
      </c>
      <c r="E6597" s="2053" t="s">
        <v>6417</v>
      </c>
      <c r="F6597" s="2053"/>
      <c r="G6597" s="2053"/>
      <c r="H6597" s="2056"/>
      <c r="K6597" s="1192" t="s">
        <v>3901</v>
      </c>
      <c r="V6597" s="1192">
        <v>251</v>
      </c>
    </row>
    <row r="6598" spans="1:22" s="1192" customFormat="1" ht="14.4" x14ac:dyDescent="0.3">
      <c r="A6598" s="1192" t="s">
        <v>169</v>
      </c>
      <c r="E6598" s="2054" t="s">
        <v>2394</v>
      </c>
      <c r="F6598" s="1743"/>
      <c r="G6598" s="1743"/>
      <c r="H6598" s="1743"/>
      <c r="K6598" s="1192" t="s">
        <v>2413</v>
      </c>
      <c r="V6598" s="1192">
        <v>46</v>
      </c>
    </row>
    <row r="6599" spans="1:22" s="1192" customFormat="1" ht="14.4" x14ac:dyDescent="0.3">
      <c r="A6599" s="1192" t="s">
        <v>169</v>
      </c>
      <c r="E6599" s="2007" t="s">
        <v>7</v>
      </c>
      <c r="F6599" s="2007"/>
      <c r="G6599" s="813" t="s">
        <v>19</v>
      </c>
      <c r="H6599" s="1218">
        <v>31.29</v>
      </c>
      <c r="K6599" s="1192" t="s">
        <v>3901</v>
      </c>
      <c r="L6599" s="1192" t="s">
        <v>430</v>
      </c>
      <c r="P6599" s="1192" t="s">
        <v>3902</v>
      </c>
      <c r="V6599" s="1192">
        <v>14</v>
      </c>
    </row>
    <row r="6600" spans="1:22" s="1192" customFormat="1" ht="14.4" x14ac:dyDescent="0.3">
      <c r="A6600" s="1192" t="s">
        <v>169</v>
      </c>
      <c r="E6600" s="2007" t="s">
        <v>6418</v>
      </c>
      <c r="F6600" s="1741"/>
      <c r="G6600" s="813" t="s">
        <v>19</v>
      </c>
      <c r="H6600" s="1218">
        <v>3.59</v>
      </c>
      <c r="K6600" s="1192" t="s">
        <v>3901</v>
      </c>
      <c r="L6600" s="1192" t="s">
        <v>430</v>
      </c>
      <c r="P6600" s="1192" t="s">
        <v>6419</v>
      </c>
      <c r="V6600" s="1192">
        <v>135</v>
      </c>
    </row>
    <row r="6601" spans="1:22" s="1192" customFormat="1" ht="14.4" x14ac:dyDescent="0.3">
      <c r="A6601" s="1192" t="s">
        <v>169</v>
      </c>
      <c r="E6601" s="2007" t="s">
        <v>3900</v>
      </c>
      <c r="F6601" s="2007"/>
      <c r="G6601" s="556" t="s">
        <v>19</v>
      </c>
      <c r="H6601" s="577">
        <v>0.56999999999999995</v>
      </c>
      <c r="K6601" s="1192" t="s">
        <v>3901</v>
      </c>
      <c r="L6601" s="1192" t="s">
        <v>431</v>
      </c>
      <c r="P6601" s="1192" t="s">
        <v>3903</v>
      </c>
      <c r="T6601" s="1192">
        <v>44926</v>
      </c>
      <c r="V6601" s="1192">
        <v>64</v>
      </c>
    </row>
    <row r="6602" spans="1:22" s="1192" customFormat="1" ht="14.4" x14ac:dyDescent="0.3">
      <c r="A6602" s="1192" t="s">
        <v>169</v>
      </c>
      <c r="E6602" s="2007" t="s">
        <v>80</v>
      </c>
      <c r="F6602" s="2007"/>
      <c r="G6602" s="813" t="s">
        <v>20</v>
      </c>
      <c r="H6602" s="1219">
        <v>8.2000000000000007E-3</v>
      </c>
      <c r="K6602" s="1192" t="s">
        <v>3901</v>
      </c>
      <c r="L6602" s="1192" t="s">
        <v>430</v>
      </c>
      <c r="P6602" s="1192" t="s">
        <v>3904</v>
      </c>
      <c r="V6602" s="1192">
        <v>28</v>
      </c>
    </row>
    <row r="6603" spans="1:22" s="1192" customFormat="1" ht="14.4" x14ac:dyDescent="0.3">
      <c r="A6603" s="1192" t="s">
        <v>169</v>
      </c>
      <c r="E6603" s="2007" t="s">
        <v>213</v>
      </c>
      <c r="F6603" s="2007"/>
      <c r="G6603" s="556" t="s">
        <v>20</v>
      </c>
      <c r="H6603" s="1219">
        <v>7.4999999999999997E-3</v>
      </c>
      <c r="K6603" s="1192" t="s">
        <v>3901</v>
      </c>
      <c r="L6603" s="1192" t="s">
        <v>432</v>
      </c>
      <c r="P6603" s="1192" t="s">
        <v>3906</v>
      </c>
      <c r="V6603" s="1192">
        <v>47</v>
      </c>
    </row>
    <row r="6604" spans="1:22" s="1192" customFormat="1" ht="14.4" x14ac:dyDescent="0.3">
      <c r="A6604" s="1192" t="s">
        <v>169</v>
      </c>
      <c r="E6604" s="2007" t="s">
        <v>209</v>
      </c>
      <c r="F6604" s="2007"/>
      <c r="G6604" s="556" t="s">
        <v>20</v>
      </c>
      <c r="H6604" s="1219">
        <v>5.5999999999999999E-3</v>
      </c>
      <c r="K6604" s="1192" t="s">
        <v>3901</v>
      </c>
      <c r="L6604" s="1192" t="s">
        <v>432</v>
      </c>
      <c r="P6604" s="1192" t="s">
        <v>3907</v>
      </c>
      <c r="V6604" s="1192">
        <v>74</v>
      </c>
    </row>
    <row r="6605" spans="1:22" s="1192" customFormat="1" ht="14.4" x14ac:dyDescent="0.3">
      <c r="A6605" s="1192" t="s">
        <v>169</v>
      </c>
      <c r="E6605" s="2054" t="s">
        <v>2405</v>
      </c>
      <c r="F6605" s="2055"/>
      <c r="G6605" s="1273"/>
      <c r="H6605" s="867"/>
      <c r="K6605" s="1192" t="s">
        <v>2418</v>
      </c>
      <c r="V6605" s="1192">
        <v>48</v>
      </c>
    </row>
    <row r="6606" spans="1:22" s="1192" customFormat="1" ht="14.4" x14ac:dyDescent="0.3">
      <c r="A6606" s="1192" t="s">
        <v>169</v>
      </c>
      <c r="E6606" s="2044" t="s">
        <v>2033</v>
      </c>
      <c r="F6606" s="1741"/>
      <c r="G6606" s="556" t="s">
        <v>20</v>
      </c>
      <c r="H6606" s="600">
        <v>3.0000000000000001E-3</v>
      </c>
      <c r="K6606" s="1192" t="s">
        <v>3901</v>
      </c>
      <c r="L6606" s="1192" t="s">
        <v>2374</v>
      </c>
      <c r="P6606" s="1192" t="s">
        <v>3908</v>
      </c>
      <c r="V6606" s="1192">
        <v>55</v>
      </c>
    </row>
    <row r="6607" spans="1:22" s="1192" customFormat="1" ht="14.4" x14ac:dyDescent="0.3">
      <c r="A6607" s="1192" t="s">
        <v>169</v>
      </c>
      <c r="E6607" s="2044" t="s">
        <v>2034</v>
      </c>
      <c r="F6607" s="1741"/>
      <c r="G6607" s="556" t="s">
        <v>20</v>
      </c>
      <c r="H6607" s="600">
        <v>4.0000000000000002E-4</v>
      </c>
      <c r="K6607" s="1192" t="s">
        <v>3901</v>
      </c>
      <c r="L6607" s="1192" t="s">
        <v>2374</v>
      </c>
      <c r="P6607" s="1192" t="s">
        <v>3908</v>
      </c>
      <c r="V6607" s="1192">
        <v>65</v>
      </c>
    </row>
    <row r="6608" spans="1:22" s="1192" customFormat="1" ht="14.4" x14ac:dyDescent="0.3">
      <c r="A6608" s="1192" t="s">
        <v>169</v>
      </c>
      <c r="E6608" s="2044" t="s">
        <v>428</v>
      </c>
      <c r="F6608" s="1741"/>
      <c r="G6608" s="556" t="s">
        <v>20</v>
      </c>
      <c r="H6608" s="600">
        <v>5.0000000000000001E-4</v>
      </c>
      <c r="K6608" s="1192" t="s">
        <v>3901</v>
      </c>
      <c r="L6608" s="1192" t="s">
        <v>2374</v>
      </c>
      <c r="P6608" s="1192" t="s">
        <v>3909</v>
      </c>
      <c r="V6608" s="1192">
        <v>57</v>
      </c>
    </row>
    <row r="6609" spans="1:22" s="1192" customFormat="1" ht="14.4" x14ac:dyDescent="0.3">
      <c r="A6609" s="1192" t="s">
        <v>169</v>
      </c>
      <c r="E6609" s="2044" t="s">
        <v>28</v>
      </c>
      <c r="F6609" s="1741"/>
      <c r="G6609" s="556" t="s">
        <v>19</v>
      </c>
      <c r="H6609" s="599">
        <v>0.25</v>
      </c>
      <c r="K6609" s="1192" t="s">
        <v>3901</v>
      </c>
      <c r="L6609" s="1192" t="s">
        <v>2374</v>
      </c>
      <c r="P6609" s="1192" t="s">
        <v>3910</v>
      </c>
      <c r="V6609" s="1192">
        <v>63</v>
      </c>
    </row>
    <row r="6610" spans="1:22" s="1192" customFormat="1" ht="17.399999999999999" x14ac:dyDescent="0.3">
      <c r="A6610" s="1192" t="s">
        <v>169</v>
      </c>
      <c r="E6610" s="2051" t="s">
        <v>591</v>
      </c>
      <c r="F6610" s="2051"/>
      <c r="G6610" s="2051"/>
      <c r="H6610" s="2057"/>
      <c r="K6610" s="1192" t="s">
        <v>4388</v>
      </c>
      <c r="V6610" s="1192">
        <v>53</v>
      </c>
    </row>
    <row r="6611" spans="1:22" s="1192" customFormat="1" ht="14.4" x14ac:dyDescent="0.3">
      <c r="A6611" s="1192" t="s">
        <v>169</v>
      </c>
      <c r="E6611" s="2053" t="s">
        <v>2648</v>
      </c>
      <c r="F6611" s="2053"/>
      <c r="G6611" s="2053"/>
      <c r="H6611" s="2056"/>
      <c r="K6611" s="1192" t="s">
        <v>4388</v>
      </c>
      <c r="V6611" s="1192">
        <v>309</v>
      </c>
    </row>
    <row r="6612" spans="1:22" s="1192" customFormat="1" ht="14.4" x14ac:dyDescent="0.3">
      <c r="A6612" s="1192" t="s">
        <v>169</v>
      </c>
      <c r="E6612" s="2054" t="s">
        <v>2389</v>
      </c>
      <c r="F6612" s="1743"/>
      <c r="G6612" s="1743"/>
      <c r="H6612" s="1743"/>
      <c r="K6612" s="1192" t="s">
        <v>2422</v>
      </c>
      <c r="V6612" s="1192">
        <v>11</v>
      </c>
    </row>
    <row r="6613" spans="1:22" s="1192" customFormat="1" ht="14.4" x14ac:dyDescent="0.3">
      <c r="A6613" s="1192" t="s">
        <v>169</v>
      </c>
      <c r="E6613" s="2053" t="s">
        <v>2391</v>
      </c>
      <c r="F6613" s="2053"/>
      <c r="G6613" s="2053"/>
      <c r="H6613" s="2056"/>
      <c r="K6613" s="1192" t="s">
        <v>4388</v>
      </c>
      <c r="V6613" s="1192">
        <v>280</v>
      </c>
    </row>
    <row r="6614" spans="1:22" s="1192" customFormat="1" ht="14.4" x14ac:dyDescent="0.3">
      <c r="A6614" s="1192" t="s">
        <v>169</v>
      </c>
      <c r="E6614" s="2053" t="s">
        <v>2392</v>
      </c>
      <c r="F6614" s="2053"/>
      <c r="G6614" s="2053"/>
      <c r="H6614" s="2056"/>
      <c r="K6614" s="1192" t="s">
        <v>4388</v>
      </c>
      <c r="V6614" s="1192">
        <v>411</v>
      </c>
    </row>
    <row r="6615" spans="1:22" s="1192" customFormat="1" ht="14.4" x14ac:dyDescent="0.3">
      <c r="A6615" s="1192" t="s">
        <v>169</v>
      </c>
      <c r="E6615" s="2053" t="s">
        <v>2508</v>
      </c>
      <c r="F6615" s="2053"/>
      <c r="G6615" s="2053"/>
      <c r="H6615" s="2056"/>
      <c r="K6615" s="1192" t="s">
        <v>4388</v>
      </c>
      <c r="V6615" s="1192">
        <v>386</v>
      </c>
    </row>
    <row r="6616" spans="1:22" s="1192" customFormat="1" ht="14.4" x14ac:dyDescent="0.3">
      <c r="A6616" s="1192" t="s">
        <v>169</v>
      </c>
      <c r="E6616" s="2041" t="s">
        <v>4605</v>
      </c>
      <c r="F6616" s="2041"/>
      <c r="G6616" s="2041"/>
      <c r="H6616" s="2041"/>
      <c r="K6616" s="1192" t="s">
        <v>4388</v>
      </c>
      <c r="V6616" s="1192">
        <v>684</v>
      </c>
    </row>
    <row r="6617" spans="1:22" s="1192" customFormat="1" ht="14.4" x14ac:dyDescent="0.3">
      <c r="A6617" s="1192" t="s">
        <v>169</v>
      </c>
      <c r="E6617" s="2041" t="s">
        <v>4503</v>
      </c>
      <c r="F6617" s="2041"/>
      <c r="G6617" s="2041"/>
      <c r="H6617" s="2041"/>
      <c r="K6617" s="1192" t="s">
        <v>4388</v>
      </c>
      <c r="V6617" s="1192">
        <v>677</v>
      </c>
    </row>
    <row r="6618" spans="1:22" s="1192" customFormat="1" ht="14.4" x14ac:dyDescent="0.3">
      <c r="A6618" s="1192" t="s">
        <v>169</v>
      </c>
      <c r="E6618" s="2053" t="s">
        <v>4500</v>
      </c>
      <c r="F6618" s="2053"/>
      <c r="G6618" s="2053"/>
      <c r="H6618" s="2056"/>
      <c r="K6618" s="1192" t="s">
        <v>4388</v>
      </c>
      <c r="V6618" s="1192">
        <v>247</v>
      </c>
    </row>
    <row r="6619" spans="1:22" s="1192" customFormat="1" ht="14.4" x14ac:dyDescent="0.3">
      <c r="A6619" s="1192" t="s">
        <v>169</v>
      </c>
      <c r="E6619" s="2054" t="s">
        <v>2394</v>
      </c>
      <c r="F6619" s="2054"/>
      <c r="G6619" s="2054"/>
      <c r="H6619" s="2054"/>
      <c r="K6619" s="1192" t="s">
        <v>2423</v>
      </c>
      <c r="V6619" s="1192">
        <v>46</v>
      </c>
    </row>
    <row r="6620" spans="1:22" s="1192" customFormat="1" ht="14.4" x14ac:dyDescent="0.3">
      <c r="A6620" s="1192" t="s">
        <v>169</v>
      </c>
      <c r="E6620" s="2007" t="s">
        <v>7</v>
      </c>
      <c r="F6620" s="2007"/>
      <c r="G6620" s="813" t="s">
        <v>19</v>
      </c>
      <c r="H6620" s="1218">
        <v>240.96</v>
      </c>
      <c r="K6620" s="1192" t="s">
        <v>4388</v>
      </c>
      <c r="L6620" s="1192" t="s">
        <v>430</v>
      </c>
      <c r="P6620" s="1192" t="s">
        <v>4389</v>
      </c>
      <c r="V6620" s="1192">
        <v>14</v>
      </c>
    </row>
    <row r="6621" spans="1:22" s="1192" customFormat="1" ht="14.4" x14ac:dyDescent="0.3">
      <c r="A6621" s="1192" t="s">
        <v>169</v>
      </c>
      <c r="E6621" s="2007" t="s">
        <v>6418</v>
      </c>
      <c r="F6621" s="1741"/>
      <c r="G6621" s="813" t="s">
        <v>19</v>
      </c>
      <c r="H6621" s="1218">
        <v>63.54</v>
      </c>
      <c r="K6621" s="1192" t="s">
        <v>4388</v>
      </c>
      <c r="L6621" s="1192" t="s">
        <v>430</v>
      </c>
      <c r="P6621" s="1192" t="s">
        <v>6420</v>
      </c>
      <c r="V6621" s="1192">
        <v>135</v>
      </c>
    </row>
    <row r="6622" spans="1:22" s="1192" customFormat="1" ht="14.4" x14ac:dyDescent="0.3">
      <c r="A6622" s="1192" t="s">
        <v>169</v>
      </c>
      <c r="E6622" s="2007" t="s">
        <v>80</v>
      </c>
      <c r="F6622" s="2007"/>
      <c r="G6622" s="556" t="s">
        <v>29</v>
      </c>
      <c r="H6622" s="1219">
        <v>2.9129999999999998</v>
      </c>
      <c r="K6622" s="1192" t="s">
        <v>4388</v>
      </c>
      <c r="L6622" s="1192" t="s">
        <v>430</v>
      </c>
      <c r="P6622" s="1192" t="s">
        <v>4390</v>
      </c>
      <c r="V6622" s="1192">
        <v>28</v>
      </c>
    </row>
    <row r="6623" spans="1:22" s="1192" customFormat="1" ht="14.4" x14ac:dyDescent="0.3">
      <c r="A6623" s="1192" t="s">
        <v>169</v>
      </c>
      <c r="E6623" s="2007" t="s">
        <v>213</v>
      </c>
      <c r="F6623" s="2007"/>
      <c r="G6623" s="556" t="s">
        <v>29</v>
      </c>
      <c r="H6623" s="1219">
        <v>2.5798999999999999</v>
      </c>
      <c r="K6623" s="1192" t="s">
        <v>4388</v>
      </c>
      <c r="L6623" s="1192" t="s">
        <v>432</v>
      </c>
      <c r="P6623" s="1192" t="s">
        <v>4392</v>
      </c>
      <c r="V6623" s="1192">
        <v>47</v>
      </c>
    </row>
    <row r="6624" spans="1:22" s="1192" customFormat="1" ht="14.4" x14ac:dyDescent="0.3">
      <c r="A6624" s="1192" t="s">
        <v>169</v>
      </c>
      <c r="E6624" s="2007" t="s">
        <v>209</v>
      </c>
      <c r="F6624" s="2007"/>
      <c r="G6624" s="556" t="s">
        <v>29</v>
      </c>
      <c r="H6624" s="1219">
        <v>1.9019999999999999</v>
      </c>
      <c r="K6624" s="1192" t="s">
        <v>4388</v>
      </c>
      <c r="L6624" s="1192" t="s">
        <v>432</v>
      </c>
      <c r="P6624" s="1192" t="s">
        <v>4393</v>
      </c>
      <c r="V6624" s="1192">
        <v>74</v>
      </c>
    </row>
    <row r="6625" spans="1:22" s="1192" customFormat="1" ht="14.4" x14ac:dyDescent="0.3">
      <c r="A6625" s="1192" t="s">
        <v>169</v>
      </c>
      <c r="E6625" s="2054" t="s">
        <v>2405</v>
      </c>
      <c r="F6625" s="2055"/>
      <c r="G6625" s="1273"/>
      <c r="H6625" s="867"/>
      <c r="K6625" s="1192" t="s">
        <v>2526</v>
      </c>
      <c r="V6625" s="1192">
        <v>48</v>
      </c>
    </row>
    <row r="6626" spans="1:22" s="1192" customFormat="1" ht="14.4" x14ac:dyDescent="0.3">
      <c r="A6626" s="1192" t="s">
        <v>169</v>
      </c>
      <c r="E6626" s="2044" t="s">
        <v>2033</v>
      </c>
      <c r="F6626" s="1741"/>
      <c r="G6626" s="556" t="s">
        <v>20</v>
      </c>
      <c r="H6626" s="600">
        <v>3.0000000000000001E-3</v>
      </c>
      <c r="K6626" s="1192" t="s">
        <v>4388</v>
      </c>
      <c r="L6626" s="1192" t="s">
        <v>2374</v>
      </c>
      <c r="P6626" s="1192" t="s">
        <v>4394</v>
      </c>
      <c r="V6626" s="1192">
        <v>55</v>
      </c>
    </row>
    <row r="6627" spans="1:22" s="1192" customFormat="1" ht="14.4" x14ac:dyDescent="0.3">
      <c r="A6627" s="1192" t="s">
        <v>169</v>
      </c>
      <c r="E6627" s="2044" t="s">
        <v>2034</v>
      </c>
      <c r="F6627" s="1741"/>
      <c r="G6627" s="556" t="s">
        <v>20</v>
      </c>
      <c r="H6627" s="600">
        <v>4.0000000000000002E-4</v>
      </c>
      <c r="K6627" s="1192" t="s">
        <v>4388</v>
      </c>
      <c r="L6627" s="1192" t="s">
        <v>2374</v>
      </c>
      <c r="P6627" s="1192" t="s">
        <v>4394</v>
      </c>
      <c r="V6627" s="1192">
        <v>65</v>
      </c>
    </row>
    <row r="6628" spans="1:22" s="1192" customFormat="1" ht="14.4" x14ac:dyDescent="0.3">
      <c r="A6628" s="1192" t="s">
        <v>169</v>
      </c>
      <c r="E6628" s="2044" t="s">
        <v>428</v>
      </c>
      <c r="F6628" s="1741"/>
      <c r="G6628" s="556" t="s">
        <v>20</v>
      </c>
      <c r="H6628" s="600">
        <v>5.0000000000000001E-4</v>
      </c>
      <c r="K6628" s="1192" t="s">
        <v>4388</v>
      </c>
      <c r="L6628" s="1192" t="s">
        <v>2374</v>
      </c>
      <c r="P6628" s="1192" t="s">
        <v>4395</v>
      </c>
      <c r="V6628" s="1192">
        <v>57</v>
      </c>
    </row>
    <row r="6629" spans="1:22" s="1192" customFormat="1" ht="14.4" x14ac:dyDescent="0.3">
      <c r="A6629" s="1192" t="s">
        <v>169</v>
      </c>
      <c r="E6629" s="2044" t="s">
        <v>28</v>
      </c>
      <c r="F6629" s="1741"/>
      <c r="G6629" s="556" t="s">
        <v>19</v>
      </c>
      <c r="H6629" s="599">
        <v>0.25</v>
      </c>
      <c r="K6629" s="1192" t="s">
        <v>4388</v>
      </c>
      <c r="L6629" s="1192" t="s">
        <v>2374</v>
      </c>
      <c r="P6629" s="1192" t="s">
        <v>4396</v>
      </c>
      <c r="V6629" s="1192">
        <v>63</v>
      </c>
    </row>
    <row r="6630" spans="1:22" s="1192" customFormat="1" ht="17.399999999999999" x14ac:dyDescent="0.3">
      <c r="A6630" s="1192" t="s">
        <v>169</v>
      </c>
      <c r="E6630" s="2051" t="s">
        <v>597</v>
      </c>
      <c r="F6630" s="2051"/>
      <c r="G6630" s="2051"/>
      <c r="H6630" s="2057"/>
      <c r="K6630" s="1192" t="s">
        <v>2775</v>
      </c>
      <c r="V6630" s="1192">
        <v>43</v>
      </c>
    </row>
    <row r="6631" spans="1:22" s="1192" customFormat="1" ht="14.4" x14ac:dyDescent="0.3">
      <c r="A6631" s="1192" t="s">
        <v>169</v>
      </c>
      <c r="E6631" s="2053" t="s">
        <v>2649</v>
      </c>
      <c r="F6631" s="2053"/>
      <c r="G6631" s="2053"/>
      <c r="H6631" s="2056"/>
      <c r="K6631" s="1192" t="s">
        <v>2775</v>
      </c>
      <c r="V6631" s="1192">
        <v>250</v>
      </c>
    </row>
    <row r="6632" spans="1:22" s="1192" customFormat="1" ht="14.4" x14ac:dyDescent="0.3">
      <c r="A6632" s="1192" t="s">
        <v>169</v>
      </c>
      <c r="E6632" s="2054" t="s">
        <v>2389</v>
      </c>
      <c r="F6632" s="1743"/>
      <c r="G6632" s="1743"/>
      <c r="H6632" s="1743"/>
      <c r="K6632" s="1192" t="s">
        <v>2529</v>
      </c>
      <c r="V6632" s="1192">
        <v>11</v>
      </c>
    </row>
    <row r="6633" spans="1:22" s="1192" customFormat="1" ht="14.4" x14ac:dyDescent="0.3">
      <c r="A6633" s="1192" t="s">
        <v>169</v>
      </c>
      <c r="E6633" s="2053" t="s">
        <v>2391</v>
      </c>
      <c r="F6633" s="2053"/>
      <c r="G6633" s="2053"/>
      <c r="H6633" s="2056"/>
      <c r="K6633" s="1192" t="s">
        <v>2775</v>
      </c>
      <c r="V6633" s="1192">
        <v>280</v>
      </c>
    </row>
    <row r="6634" spans="1:22" s="1192" customFormat="1" ht="14.4" x14ac:dyDescent="0.3">
      <c r="A6634" s="1192" t="s">
        <v>169</v>
      </c>
      <c r="E6634" s="2053" t="s">
        <v>2392</v>
      </c>
      <c r="F6634" s="2053"/>
      <c r="G6634" s="2053"/>
      <c r="H6634" s="2056"/>
      <c r="K6634" s="1192" t="s">
        <v>2775</v>
      </c>
      <c r="V6634" s="1192">
        <v>411</v>
      </c>
    </row>
    <row r="6635" spans="1:22" s="1192" customFormat="1" ht="14.4" x14ac:dyDescent="0.3">
      <c r="A6635" s="1192" t="s">
        <v>169</v>
      </c>
      <c r="E6635" s="2053" t="s">
        <v>2445</v>
      </c>
      <c r="F6635" s="2053"/>
      <c r="G6635" s="2053"/>
      <c r="H6635" s="2056"/>
      <c r="K6635" s="1192" t="s">
        <v>2775</v>
      </c>
      <c r="V6635" s="1192">
        <v>211</v>
      </c>
    </row>
    <row r="6636" spans="1:22" s="1192" customFormat="1" ht="14.4" x14ac:dyDescent="0.3">
      <c r="A6636" s="1192" t="s">
        <v>169</v>
      </c>
      <c r="E6636" s="2053" t="s">
        <v>4500</v>
      </c>
      <c r="F6636" s="2053"/>
      <c r="G6636" s="2053"/>
      <c r="H6636" s="2056"/>
      <c r="K6636" s="1192" t="s">
        <v>2775</v>
      </c>
      <c r="V6636" s="1192">
        <v>247</v>
      </c>
    </row>
    <row r="6637" spans="1:22" s="1192" customFormat="1" ht="14.4" x14ac:dyDescent="0.3">
      <c r="A6637" s="1192" t="s">
        <v>169</v>
      </c>
      <c r="E6637" s="2054" t="s">
        <v>2650</v>
      </c>
      <c r="F6637" s="2052"/>
      <c r="G6637" s="1743"/>
      <c r="H6637" s="1743"/>
      <c r="K6637" s="1192" t="s">
        <v>2531</v>
      </c>
      <c r="V6637" s="1192">
        <v>56</v>
      </c>
    </row>
    <row r="6638" spans="1:22" s="1192" customFormat="1" ht="14.4" x14ac:dyDescent="0.3">
      <c r="A6638" s="1192" t="s">
        <v>169</v>
      </c>
      <c r="E6638" s="2007" t="s">
        <v>7</v>
      </c>
      <c r="F6638" s="2007"/>
      <c r="G6638" s="556" t="s">
        <v>19</v>
      </c>
      <c r="H6638" s="1218">
        <v>368.72</v>
      </c>
      <c r="K6638" s="1192" t="s">
        <v>2775</v>
      </c>
      <c r="L6638" s="1192" t="s">
        <v>430</v>
      </c>
      <c r="P6638" s="1192" t="s">
        <v>2777</v>
      </c>
      <c r="V6638" s="1192">
        <v>14</v>
      </c>
    </row>
    <row r="6639" spans="1:22" s="1192" customFormat="1" ht="14.4" x14ac:dyDescent="0.3">
      <c r="A6639" s="1192" t="s">
        <v>169</v>
      </c>
      <c r="E6639" s="2007" t="s">
        <v>6418</v>
      </c>
      <c r="F6639" s="1741"/>
      <c r="G6639" s="556" t="s">
        <v>19</v>
      </c>
      <c r="H6639" s="1218">
        <v>1096.22</v>
      </c>
      <c r="K6639" s="1192" t="s">
        <v>2775</v>
      </c>
      <c r="L6639" s="1192" t="s">
        <v>430</v>
      </c>
      <c r="P6639" s="1192" t="s">
        <v>6421</v>
      </c>
      <c r="V6639" s="1192">
        <v>135</v>
      </c>
    </row>
    <row r="6640" spans="1:22" s="1192" customFormat="1" ht="14.4" x14ac:dyDescent="0.3">
      <c r="A6640" s="1192" t="s">
        <v>169</v>
      </c>
      <c r="E6640" s="2007" t="s">
        <v>80</v>
      </c>
      <c r="F6640" s="2007"/>
      <c r="G6640" s="556" t="s">
        <v>29</v>
      </c>
      <c r="H6640" s="1219">
        <v>2.0463</v>
      </c>
      <c r="K6640" s="1192" t="s">
        <v>2775</v>
      </c>
      <c r="L6640" s="1192" t="s">
        <v>430</v>
      </c>
      <c r="P6640" s="1192" t="s">
        <v>2778</v>
      </c>
      <c r="V6640" s="1192">
        <v>28</v>
      </c>
    </row>
    <row r="6641" spans="1:22" s="1192" customFormat="1" ht="14.4" x14ac:dyDescent="0.3">
      <c r="A6641" s="1192" t="s">
        <v>169</v>
      </c>
      <c r="E6641" s="2007" t="s">
        <v>213</v>
      </c>
      <c r="F6641" s="2007"/>
      <c r="G6641" s="556" t="s">
        <v>29</v>
      </c>
      <c r="H6641" s="1219">
        <v>2.5798999999999999</v>
      </c>
      <c r="K6641" s="1192" t="s">
        <v>2775</v>
      </c>
      <c r="L6641" s="1192" t="s">
        <v>432</v>
      </c>
      <c r="P6641" s="1192" t="s">
        <v>2782</v>
      </c>
      <c r="V6641" s="1192">
        <v>47</v>
      </c>
    </row>
    <row r="6642" spans="1:22" s="1192" customFormat="1" ht="14.4" x14ac:dyDescent="0.3">
      <c r="A6642" s="1192" t="s">
        <v>169</v>
      </c>
      <c r="E6642" s="2007" t="s">
        <v>209</v>
      </c>
      <c r="F6642" s="2007"/>
      <c r="G6642" s="556" t="s">
        <v>29</v>
      </c>
      <c r="H6642" s="1219">
        <v>1.9019999999999999</v>
      </c>
      <c r="K6642" s="1192" t="s">
        <v>2775</v>
      </c>
      <c r="L6642" s="1192" t="s">
        <v>432</v>
      </c>
      <c r="P6642" s="1192" t="s">
        <v>2783</v>
      </c>
      <c r="V6642" s="1192">
        <v>74</v>
      </c>
    </row>
    <row r="6643" spans="1:22" s="1192" customFormat="1" ht="17.399999999999999" x14ac:dyDescent="0.3">
      <c r="A6643" s="1192" t="s">
        <v>169</v>
      </c>
      <c r="E6643" s="2051" t="s">
        <v>593</v>
      </c>
      <c r="F6643" s="2051"/>
      <c r="G6643" s="1747"/>
      <c r="H6643" s="1747"/>
      <c r="K6643" s="1192" t="s">
        <v>3916</v>
      </c>
      <c r="V6643" s="1192">
        <v>31</v>
      </c>
    </row>
    <row r="6644" spans="1:22" s="1192" customFormat="1" ht="14.4" x14ac:dyDescent="0.3">
      <c r="A6644" s="1192" t="s">
        <v>169</v>
      </c>
      <c r="E6644" s="2053" t="s">
        <v>2652</v>
      </c>
      <c r="F6644" s="2053"/>
      <c r="G6644" s="2053"/>
      <c r="H6644" s="2056"/>
      <c r="K6644" s="1192" t="s">
        <v>3916</v>
      </c>
      <c r="V6644" s="1192">
        <v>285</v>
      </c>
    </row>
    <row r="6645" spans="1:22" s="1192" customFormat="1" ht="14.4" x14ac:dyDescent="0.3">
      <c r="A6645" s="1192" t="s">
        <v>169</v>
      </c>
      <c r="E6645" s="2054" t="s">
        <v>2389</v>
      </c>
      <c r="F6645" s="1743"/>
      <c r="G6645" s="1743"/>
      <c r="H6645" s="1743"/>
      <c r="K6645" s="1192" t="s">
        <v>2424</v>
      </c>
      <c r="V6645" s="1192">
        <v>11</v>
      </c>
    </row>
    <row r="6646" spans="1:22" s="1192" customFormat="1" ht="14.4" x14ac:dyDescent="0.3">
      <c r="A6646" s="1192" t="s">
        <v>169</v>
      </c>
      <c r="E6646" s="2053" t="s">
        <v>2391</v>
      </c>
      <c r="F6646" s="2053"/>
      <c r="G6646" s="2053"/>
      <c r="H6646" s="2056"/>
      <c r="K6646" s="1192" t="s">
        <v>3916</v>
      </c>
      <c r="V6646" s="1192">
        <v>280</v>
      </c>
    </row>
    <row r="6647" spans="1:22" s="1192" customFormat="1" ht="14.4" x14ac:dyDescent="0.3">
      <c r="A6647" s="1192" t="s">
        <v>169</v>
      </c>
      <c r="E6647" s="2053" t="s">
        <v>2392</v>
      </c>
      <c r="F6647" s="2053"/>
      <c r="G6647" s="2053"/>
      <c r="H6647" s="2056"/>
      <c r="K6647" s="1192" t="s">
        <v>3916</v>
      </c>
      <c r="V6647" s="1192">
        <v>411</v>
      </c>
    </row>
    <row r="6648" spans="1:22" s="1192" customFormat="1" ht="14.4" x14ac:dyDescent="0.3">
      <c r="A6648" s="1192" t="s">
        <v>169</v>
      </c>
      <c r="E6648" s="2053" t="s">
        <v>2445</v>
      </c>
      <c r="F6648" s="2053"/>
      <c r="G6648" s="2053"/>
      <c r="H6648" s="2056"/>
      <c r="K6648" s="1192" t="s">
        <v>3916</v>
      </c>
      <c r="V6648" s="1192">
        <v>211</v>
      </c>
    </row>
    <row r="6649" spans="1:22" s="1192" customFormat="1" ht="14.4" x14ac:dyDescent="0.3">
      <c r="A6649" s="1192" t="s">
        <v>169</v>
      </c>
      <c r="E6649" s="2053" t="s">
        <v>4500</v>
      </c>
      <c r="F6649" s="2053"/>
      <c r="G6649" s="2053"/>
      <c r="H6649" s="2056"/>
      <c r="K6649" s="1192" t="s">
        <v>3916</v>
      </c>
      <c r="V6649" s="1192">
        <v>247</v>
      </c>
    </row>
    <row r="6650" spans="1:22" s="1192" customFormat="1" ht="14.4" x14ac:dyDescent="0.3">
      <c r="A6650" s="1192" t="s">
        <v>169</v>
      </c>
      <c r="E6650" s="2054" t="s">
        <v>2394</v>
      </c>
      <c r="F6650" s="2052"/>
      <c r="G6650" s="1743"/>
      <c r="H6650" s="1743"/>
      <c r="K6650" s="1192" t="s">
        <v>2425</v>
      </c>
      <c r="V6650" s="1192">
        <v>46</v>
      </c>
    </row>
    <row r="6651" spans="1:22" s="1192" customFormat="1" ht="14.4" x14ac:dyDescent="0.3">
      <c r="A6651" s="1192" t="s">
        <v>169</v>
      </c>
      <c r="E6651" s="2007" t="s">
        <v>7</v>
      </c>
      <c r="F6651" s="2007"/>
      <c r="G6651" s="556" t="s">
        <v>19</v>
      </c>
      <c r="H6651" s="1218">
        <v>5.4</v>
      </c>
      <c r="K6651" s="1192" t="s">
        <v>3916</v>
      </c>
      <c r="L6651" s="1192" t="s">
        <v>430</v>
      </c>
      <c r="P6651" s="1192" t="s">
        <v>3917</v>
      </c>
      <c r="V6651" s="1192">
        <v>14</v>
      </c>
    </row>
    <row r="6652" spans="1:22" s="1192" customFormat="1" ht="17.399999999999999" x14ac:dyDescent="0.3">
      <c r="A6652" s="1192" t="s">
        <v>169</v>
      </c>
      <c r="E6652" s="2051" t="s">
        <v>604</v>
      </c>
      <c r="F6652" s="2051"/>
      <c r="G6652" s="2051"/>
      <c r="H6652" s="2057"/>
      <c r="K6652" s="1192" t="s">
        <v>2736</v>
      </c>
      <c r="V6652" s="1192">
        <v>40</v>
      </c>
    </row>
    <row r="6653" spans="1:22" s="1192" customFormat="1" ht="14.4" x14ac:dyDescent="0.3">
      <c r="A6653" s="1192" t="s">
        <v>169</v>
      </c>
      <c r="E6653" s="2053" t="s">
        <v>2654</v>
      </c>
      <c r="F6653" s="2053"/>
      <c r="G6653" s="2053"/>
      <c r="H6653" s="2056"/>
      <c r="K6653" s="1192" t="s">
        <v>2736</v>
      </c>
      <c r="V6653" s="1192">
        <v>188</v>
      </c>
    </row>
    <row r="6654" spans="1:22" s="1192" customFormat="1" ht="14.4" x14ac:dyDescent="0.3">
      <c r="A6654" s="1192" t="s">
        <v>169</v>
      </c>
      <c r="E6654" s="2054" t="s">
        <v>2389</v>
      </c>
      <c r="F6654" s="1743"/>
      <c r="G6654" s="1743"/>
      <c r="H6654" s="1743"/>
      <c r="K6654" s="1192" t="s">
        <v>2430</v>
      </c>
      <c r="V6654" s="1192">
        <v>11</v>
      </c>
    </row>
    <row r="6655" spans="1:22" s="1192" customFormat="1" ht="14.4" x14ac:dyDescent="0.3">
      <c r="A6655" s="1192" t="s">
        <v>169</v>
      </c>
      <c r="E6655" s="2053" t="s">
        <v>2391</v>
      </c>
      <c r="F6655" s="2053"/>
      <c r="G6655" s="2053"/>
      <c r="H6655" s="2056"/>
      <c r="K6655" s="1192" t="s">
        <v>2736</v>
      </c>
      <c r="V6655" s="1192">
        <v>280</v>
      </c>
    </row>
    <row r="6656" spans="1:22" s="1192" customFormat="1" ht="14.4" x14ac:dyDescent="0.3">
      <c r="A6656" s="1192" t="s">
        <v>169</v>
      </c>
      <c r="E6656" s="2053" t="s">
        <v>2392</v>
      </c>
      <c r="F6656" s="2053"/>
      <c r="G6656" s="2053"/>
      <c r="H6656" s="2056"/>
      <c r="K6656" s="1192" t="s">
        <v>2736</v>
      </c>
      <c r="V6656" s="1192">
        <v>411</v>
      </c>
    </row>
    <row r="6657" spans="1:22" s="1192" customFormat="1" ht="14.4" x14ac:dyDescent="0.3">
      <c r="A6657" s="1192" t="s">
        <v>169</v>
      </c>
      <c r="E6657" s="2053" t="s">
        <v>2508</v>
      </c>
      <c r="F6657" s="2053"/>
      <c r="G6657" s="2053"/>
      <c r="H6657" s="2056"/>
      <c r="K6657" s="1192" t="s">
        <v>2736</v>
      </c>
      <c r="V6657" s="1192">
        <v>386</v>
      </c>
    </row>
    <row r="6658" spans="1:22" s="1192" customFormat="1" ht="14.4" x14ac:dyDescent="0.3">
      <c r="A6658" s="1192" t="s">
        <v>169</v>
      </c>
      <c r="E6658" s="2053" t="s">
        <v>4500</v>
      </c>
      <c r="F6658" s="2053"/>
      <c r="G6658" s="2053"/>
      <c r="H6658" s="2056"/>
      <c r="K6658" s="1192" t="s">
        <v>2736</v>
      </c>
      <c r="V6658" s="1192">
        <v>247</v>
      </c>
    </row>
    <row r="6659" spans="1:22" s="1192" customFormat="1" ht="14.4" x14ac:dyDescent="0.3">
      <c r="A6659" s="1192" t="s">
        <v>169</v>
      </c>
      <c r="E6659" s="2054" t="s">
        <v>2394</v>
      </c>
      <c r="F6659" s="2052"/>
      <c r="G6659" s="1743"/>
      <c r="H6659" s="1743"/>
      <c r="K6659" s="1192" t="s">
        <v>2431</v>
      </c>
      <c r="V6659" s="1192">
        <v>46</v>
      </c>
    </row>
    <row r="6660" spans="1:22" s="1192" customFormat="1" ht="14.4" x14ac:dyDescent="0.3">
      <c r="A6660" s="1192" t="s">
        <v>169</v>
      </c>
      <c r="E6660" s="2007" t="s">
        <v>8</v>
      </c>
      <c r="F6660" s="2007"/>
      <c r="G6660" s="556" t="s">
        <v>19</v>
      </c>
      <c r="H6660" s="1218">
        <v>4.3099999999999996</v>
      </c>
      <c r="K6660" s="1192" t="s">
        <v>2736</v>
      </c>
      <c r="L6660" s="1192" t="s">
        <v>430</v>
      </c>
      <c r="P6660" s="1192" t="s">
        <v>2737</v>
      </c>
      <c r="V6660" s="1192">
        <v>31</v>
      </c>
    </row>
    <row r="6661" spans="1:22" s="1192" customFormat="1" ht="14.4" x14ac:dyDescent="0.3">
      <c r="A6661" s="1192" t="s">
        <v>169</v>
      </c>
      <c r="E6661" s="2007" t="s">
        <v>6418</v>
      </c>
      <c r="F6661" s="1741"/>
      <c r="G6661" s="556" t="s">
        <v>19</v>
      </c>
      <c r="H6661" s="1218">
        <v>0.4</v>
      </c>
      <c r="K6661" s="1192" t="s">
        <v>2736</v>
      </c>
      <c r="L6661" s="1192" t="s">
        <v>430</v>
      </c>
      <c r="P6661" s="1192" t="s">
        <v>6422</v>
      </c>
      <c r="V6661" s="1192">
        <v>135</v>
      </c>
    </row>
    <row r="6662" spans="1:22" s="1192" customFormat="1" ht="14.4" x14ac:dyDescent="0.3">
      <c r="A6662" s="1192" t="s">
        <v>169</v>
      </c>
      <c r="E6662" s="2007" t="s">
        <v>80</v>
      </c>
      <c r="F6662" s="2007"/>
      <c r="G6662" s="556" t="s">
        <v>29</v>
      </c>
      <c r="H6662" s="1219">
        <v>20.645099999999999</v>
      </c>
      <c r="K6662" s="1192" t="s">
        <v>2736</v>
      </c>
      <c r="L6662" s="1192" t="s">
        <v>430</v>
      </c>
      <c r="P6662" s="1192" t="s">
        <v>2738</v>
      </c>
      <c r="V6662" s="1192">
        <v>28</v>
      </c>
    </row>
    <row r="6663" spans="1:22" s="1192" customFormat="1" ht="14.4" x14ac:dyDescent="0.3">
      <c r="A6663" s="1192" t="s">
        <v>169</v>
      </c>
      <c r="E6663" s="2007" t="s">
        <v>213</v>
      </c>
      <c r="F6663" s="2007"/>
      <c r="G6663" s="556" t="s">
        <v>29</v>
      </c>
      <c r="H6663" s="1219">
        <v>2.4089999999999998</v>
      </c>
      <c r="K6663" s="1192" t="s">
        <v>2736</v>
      </c>
      <c r="L6663" s="1192" t="s">
        <v>432</v>
      </c>
      <c r="P6663" s="1192" t="s">
        <v>2741</v>
      </c>
      <c r="V6663" s="1192">
        <v>47</v>
      </c>
    </row>
    <row r="6664" spans="1:22" s="1192" customFormat="1" ht="14.4" x14ac:dyDescent="0.3">
      <c r="A6664" s="1192" t="s">
        <v>169</v>
      </c>
      <c r="E6664" s="2007" t="s">
        <v>209</v>
      </c>
      <c r="F6664" s="2007"/>
      <c r="G6664" s="556" t="s">
        <v>29</v>
      </c>
      <c r="H6664" s="1219">
        <v>1.7765</v>
      </c>
      <c r="K6664" s="1192" t="s">
        <v>2736</v>
      </c>
      <c r="L6664" s="1192" t="s">
        <v>432</v>
      </c>
      <c r="P6664" s="1192" t="s">
        <v>2742</v>
      </c>
      <c r="V6664" s="1192">
        <v>74</v>
      </c>
    </row>
    <row r="6665" spans="1:22" s="1192" customFormat="1" ht="14.4" x14ac:dyDescent="0.3">
      <c r="A6665" s="1192" t="s">
        <v>169</v>
      </c>
      <c r="E6665" s="2054" t="s">
        <v>2405</v>
      </c>
      <c r="F6665" s="2055"/>
      <c r="G6665" s="1273"/>
      <c r="H6665" s="867"/>
      <c r="K6665" s="1192" t="s">
        <v>2438</v>
      </c>
      <c r="V6665" s="1192">
        <v>48</v>
      </c>
    </row>
    <row r="6666" spans="1:22" s="1192" customFormat="1" ht="14.4" x14ac:dyDescent="0.3">
      <c r="A6666" s="1192" t="s">
        <v>169</v>
      </c>
      <c r="E6666" s="2044" t="s">
        <v>2033</v>
      </c>
      <c r="F6666" s="1741"/>
      <c r="G6666" s="556" t="s">
        <v>20</v>
      </c>
      <c r="H6666" s="600">
        <v>3.0000000000000001E-3</v>
      </c>
      <c r="K6666" s="1192" t="s">
        <v>2736</v>
      </c>
      <c r="L6666" s="1192" t="s">
        <v>2374</v>
      </c>
      <c r="P6666" s="1192" t="s">
        <v>2743</v>
      </c>
      <c r="V6666" s="1192">
        <v>55</v>
      </c>
    </row>
    <row r="6667" spans="1:22" s="1192" customFormat="1" ht="14.4" x14ac:dyDescent="0.3">
      <c r="A6667" s="1192" t="s">
        <v>169</v>
      </c>
      <c r="E6667" s="2044" t="s">
        <v>2034</v>
      </c>
      <c r="F6667" s="1741"/>
      <c r="G6667" s="556" t="s">
        <v>20</v>
      </c>
      <c r="H6667" s="600">
        <v>4.0000000000000002E-4</v>
      </c>
      <c r="K6667" s="1192" t="s">
        <v>2736</v>
      </c>
      <c r="L6667" s="1192" t="s">
        <v>2374</v>
      </c>
      <c r="P6667" s="1192" t="s">
        <v>2743</v>
      </c>
      <c r="V6667" s="1192">
        <v>65</v>
      </c>
    </row>
    <row r="6668" spans="1:22" s="1192" customFormat="1" ht="14.4" x14ac:dyDescent="0.3">
      <c r="A6668" s="1192" t="s">
        <v>169</v>
      </c>
      <c r="E6668" s="2044" t="s">
        <v>428</v>
      </c>
      <c r="F6668" s="1741"/>
      <c r="G6668" s="556" t="s">
        <v>20</v>
      </c>
      <c r="H6668" s="600">
        <v>5.0000000000000001E-4</v>
      </c>
      <c r="K6668" s="1192" t="s">
        <v>2736</v>
      </c>
      <c r="L6668" s="1192" t="s">
        <v>2374</v>
      </c>
      <c r="P6668" s="1192" t="s">
        <v>2744</v>
      </c>
      <c r="V6668" s="1192">
        <v>57</v>
      </c>
    </row>
    <row r="6669" spans="1:22" s="1192" customFormat="1" ht="14.4" x14ac:dyDescent="0.3">
      <c r="A6669" s="1192" t="s">
        <v>169</v>
      </c>
      <c r="E6669" s="2044" t="s">
        <v>28</v>
      </c>
      <c r="F6669" s="1741"/>
      <c r="G6669" s="556" t="s">
        <v>19</v>
      </c>
      <c r="H6669" s="599">
        <v>0.25</v>
      </c>
      <c r="K6669" s="1192" t="s">
        <v>2736</v>
      </c>
      <c r="L6669" s="1192" t="s">
        <v>2374</v>
      </c>
      <c r="P6669" s="1192" t="s">
        <v>2745</v>
      </c>
      <c r="V6669" s="1192">
        <v>63</v>
      </c>
    </row>
    <row r="6670" spans="1:22" s="1192" customFormat="1" ht="17.399999999999999" x14ac:dyDescent="0.3">
      <c r="A6670" s="1192" t="s">
        <v>169</v>
      </c>
      <c r="E6670" s="2051" t="s">
        <v>590</v>
      </c>
      <c r="F6670" s="2051"/>
      <c r="G6670" s="2051"/>
      <c r="H6670" s="2057"/>
      <c r="K6670" s="1192" t="s">
        <v>2746</v>
      </c>
      <c r="V6670" s="1192">
        <v>38</v>
      </c>
    </row>
    <row r="6671" spans="1:22" s="1192" customFormat="1" ht="14.4" x14ac:dyDescent="0.3">
      <c r="A6671" s="1192" t="s">
        <v>169</v>
      </c>
      <c r="E6671" s="2053" t="s">
        <v>2655</v>
      </c>
      <c r="F6671" s="2053"/>
      <c r="G6671" s="2053"/>
      <c r="H6671" s="2056"/>
      <c r="K6671" s="1192" t="s">
        <v>2746</v>
      </c>
      <c r="V6671" s="1192">
        <v>475</v>
      </c>
    </row>
    <row r="6672" spans="1:22" s="1192" customFormat="1" ht="14.4" x14ac:dyDescent="0.3">
      <c r="A6672" s="1192" t="s">
        <v>169</v>
      </c>
      <c r="E6672" s="2054" t="s">
        <v>2389</v>
      </c>
      <c r="F6672" s="1743"/>
      <c r="G6672" s="1743"/>
      <c r="H6672" s="1743"/>
      <c r="K6672" s="1192" t="s">
        <v>2444</v>
      </c>
      <c r="V6672" s="1192">
        <v>11</v>
      </c>
    </row>
    <row r="6673" spans="1:22" s="1192" customFormat="1" ht="14.4" x14ac:dyDescent="0.3">
      <c r="A6673" s="1192" t="s">
        <v>169</v>
      </c>
      <c r="E6673" s="2053" t="s">
        <v>2391</v>
      </c>
      <c r="F6673" s="2053"/>
      <c r="G6673" s="2053"/>
      <c r="H6673" s="2056"/>
      <c r="K6673" s="1192" t="s">
        <v>2746</v>
      </c>
      <c r="V6673" s="1192">
        <v>280</v>
      </c>
    </row>
    <row r="6674" spans="1:22" s="1192" customFormat="1" ht="14.4" x14ac:dyDescent="0.3">
      <c r="A6674" s="1192" t="s">
        <v>169</v>
      </c>
      <c r="E6674" s="2053" t="s">
        <v>2392</v>
      </c>
      <c r="F6674" s="2053"/>
      <c r="G6674" s="2053"/>
      <c r="H6674" s="2056"/>
      <c r="K6674" s="1192" t="s">
        <v>2746</v>
      </c>
      <c r="V6674" s="1192">
        <v>411</v>
      </c>
    </row>
    <row r="6675" spans="1:22" s="1192" customFormat="1" ht="14.4" x14ac:dyDescent="0.3">
      <c r="A6675" s="1192" t="s">
        <v>169</v>
      </c>
      <c r="E6675" s="2053" t="s">
        <v>2508</v>
      </c>
      <c r="F6675" s="2053"/>
      <c r="G6675" s="2053"/>
      <c r="H6675" s="2056"/>
      <c r="K6675" s="1192" t="s">
        <v>2746</v>
      </c>
      <c r="V6675" s="1192">
        <v>386</v>
      </c>
    </row>
    <row r="6676" spans="1:22" s="1192" customFormat="1" ht="14.4" x14ac:dyDescent="0.3">
      <c r="A6676" s="1192" t="s">
        <v>169</v>
      </c>
      <c r="E6676" s="2053" t="s">
        <v>4500</v>
      </c>
      <c r="F6676" s="2053"/>
      <c r="G6676" s="2053"/>
      <c r="H6676" s="2056"/>
      <c r="K6676" s="1192" t="s">
        <v>2746</v>
      </c>
      <c r="V6676" s="1192">
        <v>247</v>
      </c>
    </row>
    <row r="6677" spans="1:22" s="1192" customFormat="1" ht="14.4" x14ac:dyDescent="0.3">
      <c r="A6677" s="1192" t="s">
        <v>169</v>
      </c>
      <c r="E6677" s="2054" t="s">
        <v>2394</v>
      </c>
      <c r="F6677" s="2052"/>
      <c r="G6677" s="1743"/>
      <c r="H6677" s="1743"/>
      <c r="K6677" s="1192" t="s">
        <v>2446</v>
      </c>
      <c r="V6677" s="1192">
        <v>46</v>
      </c>
    </row>
    <row r="6678" spans="1:22" s="1192" customFormat="1" ht="14.4" x14ac:dyDescent="0.3">
      <c r="A6678" s="1192" t="s">
        <v>169</v>
      </c>
      <c r="E6678" s="2007" t="s">
        <v>8</v>
      </c>
      <c r="F6678" s="2007"/>
      <c r="G6678" s="556" t="s">
        <v>19</v>
      </c>
      <c r="H6678" s="1218">
        <v>1.47</v>
      </c>
      <c r="K6678" s="1192" t="s">
        <v>2746</v>
      </c>
      <c r="L6678" s="1192" t="s">
        <v>430</v>
      </c>
      <c r="P6678" s="1192" t="s">
        <v>2747</v>
      </c>
      <c r="V6678" s="1192">
        <v>31</v>
      </c>
    </row>
    <row r="6679" spans="1:22" s="1192" customFormat="1" ht="14.4" x14ac:dyDescent="0.3">
      <c r="A6679" s="1192" t="s">
        <v>169</v>
      </c>
      <c r="E6679" s="2007" t="s">
        <v>6418</v>
      </c>
      <c r="F6679" s="1741"/>
      <c r="G6679" s="556" t="s">
        <v>19</v>
      </c>
      <c r="H6679" s="1218">
        <v>0.23</v>
      </c>
      <c r="K6679" s="1192" t="s">
        <v>2746</v>
      </c>
      <c r="L6679" s="1192" t="s">
        <v>430</v>
      </c>
      <c r="P6679" s="1192" t="s">
        <v>6423</v>
      </c>
      <c r="V6679" s="1192">
        <v>135</v>
      </c>
    </row>
    <row r="6680" spans="1:22" s="1192" customFormat="1" ht="14.4" x14ac:dyDescent="0.3">
      <c r="A6680" s="1192" t="s">
        <v>169</v>
      </c>
      <c r="E6680" s="2007" t="s">
        <v>80</v>
      </c>
      <c r="F6680" s="2007"/>
      <c r="G6680" s="556" t="s">
        <v>29</v>
      </c>
      <c r="H6680" s="1219">
        <v>6.1821999999999999</v>
      </c>
      <c r="K6680" s="1192" t="s">
        <v>2746</v>
      </c>
      <c r="L6680" s="1192" t="s">
        <v>430</v>
      </c>
      <c r="P6680" s="1192" t="s">
        <v>2748</v>
      </c>
      <c r="V6680" s="1192">
        <v>28</v>
      </c>
    </row>
    <row r="6681" spans="1:22" s="1192" customFormat="1" ht="14.4" x14ac:dyDescent="0.3">
      <c r="A6681" s="1192" t="s">
        <v>169</v>
      </c>
      <c r="E6681" s="2007" t="s">
        <v>213</v>
      </c>
      <c r="F6681" s="2007"/>
      <c r="G6681" s="556" t="s">
        <v>29</v>
      </c>
      <c r="H6681" s="1219">
        <v>2.4821</v>
      </c>
      <c r="K6681" s="1192" t="s">
        <v>2746</v>
      </c>
      <c r="L6681" s="1192" t="s">
        <v>432</v>
      </c>
      <c r="P6681" s="1192" t="s">
        <v>2751</v>
      </c>
      <c r="V6681" s="1192">
        <v>47</v>
      </c>
    </row>
    <row r="6682" spans="1:22" s="1192" customFormat="1" ht="14.4" x14ac:dyDescent="0.3">
      <c r="A6682" s="1192" t="s">
        <v>169</v>
      </c>
      <c r="E6682" s="2007" t="s">
        <v>209</v>
      </c>
      <c r="F6682" s="2007"/>
      <c r="G6682" s="556" t="s">
        <v>29</v>
      </c>
      <c r="H6682" s="1219">
        <v>1.756</v>
      </c>
      <c r="K6682" s="1192" t="s">
        <v>2746</v>
      </c>
      <c r="L6682" s="1192" t="s">
        <v>432</v>
      </c>
      <c r="P6682" s="1192" t="s">
        <v>2752</v>
      </c>
      <c r="V6682" s="1192">
        <v>74</v>
      </c>
    </row>
    <row r="6683" spans="1:22" s="1192" customFormat="1" ht="14.4" x14ac:dyDescent="0.3">
      <c r="A6683" s="1192" t="s">
        <v>169</v>
      </c>
      <c r="E6683" s="2054" t="s">
        <v>2405</v>
      </c>
      <c r="F6683" s="2055"/>
      <c r="G6683" s="1273"/>
      <c r="H6683" s="867"/>
      <c r="K6683" s="1192" t="s">
        <v>2565</v>
      </c>
      <c r="V6683" s="1192">
        <v>48</v>
      </c>
    </row>
    <row r="6684" spans="1:22" s="1192" customFormat="1" ht="14.4" x14ac:dyDescent="0.3">
      <c r="A6684" s="1192" t="s">
        <v>169</v>
      </c>
      <c r="E6684" s="2044" t="s">
        <v>2033</v>
      </c>
      <c r="F6684" s="1741"/>
      <c r="G6684" s="556" t="s">
        <v>20</v>
      </c>
      <c r="H6684" s="600">
        <v>3.0000000000000001E-3</v>
      </c>
      <c r="K6684" s="1192" t="s">
        <v>2746</v>
      </c>
      <c r="L6684" s="1192" t="s">
        <v>2374</v>
      </c>
      <c r="P6684" s="1192" t="s">
        <v>2753</v>
      </c>
      <c r="V6684" s="1192">
        <v>55</v>
      </c>
    </row>
    <row r="6685" spans="1:22" s="1192" customFormat="1" ht="14.4" x14ac:dyDescent="0.3">
      <c r="A6685" s="1192" t="s">
        <v>169</v>
      </c>
      <c r="E6685" s="2044" t="s">
        <v>2034</v>
      </c>
      <c r="F6685" s="1741"/>
      <c r="G6685" s="556" t="s">
        <v>20</v>
      </c>
      <c r="H6685" s="600">
        <v>4.0000000000000002E-4</v>
      </c>
      <c r="K6685" s="1192" t="s">
        <v>2746</v>
      </c>
      <c r="L6685" s="1192" t="s">
        <v>2374</v>
      </c>
      <c r="P6685" s="1192" t="s">
        <v>2753</v>
      </c>
      <c r="V6685" s="1192">
        <v>65</v>
      </c>
    </row>
    <row r="6686" spans="1:22" s="1192" customFormat="1" ht="14.4" x14ac:dyDescent="0.3">
      <c r="A6686" s="1192" t="s">
        <v>169</v>
      </c>
      <c r="E6686" s="2044" t="s">
        <v>428</v>
      </c>
      <c r="F6686" s="1741"/>
      <c r="G6686" s="556" t="s">
        <v>20</v>
      </c>
      <c r="H6686" s="600">
        <v>5.0000000000000001E-4</v>
      </c>
      <c r="K6686" s="1192" t="s">
        <v>2746</v>
      </c>
      <c r="L6686" s="1192" t="s">
        <v>2374</v>
      </c>
      <c r="P6686" s="1192" t="s">
        <v>2754</v>
      </c>
      <c r="V6686" s="1192">
        <v>57</v>
      </c>
    </row>
    <row r="6687" spans="1:22" s="1192" customFormat="1" ht="14.4" x14ac:dyDescent="0.3">
      <c r="A6687" s="1192" t="s">
        <v>169</v>
      </c>
      <c r="E6687" s="2044" t="s">
        <v>28</v>
      </c>
      <c r="F6687" s="1741"/>
      <c r="G6687" s="556" t="s">
        <v>19</v>
      </c>
      <c r="H6687" s="599">
        <v>0.25</v>
      </c>
      <c r="K6687" s="1192" t="s">
        <v>2746</v>
      </c>
      <c r="L6687" s="1192" t="s">
        <v>2374</v>
      </c>
      <c r="P6687" s="1192" t="s">
        <v>2755</v>
      </c>
      <c r="V6687" s="1192">
        <v>63</v>
      </c>
    </row>
    <row r="6688" spans="1:22" s="1192" customFormat="1" ht="17.399999999999999" x14ac:dyDescent="0.3">
      <c r="A6688" s="1192" t="s">
        <v>169</v>
      </c>
      <c r="E6688" s="2051" t="s">
        <v>592</v>
      </c>
      <c r="F6688" s="2051"/>
      <c r="G6688" s="2051"/>
      <c r="H6688" s="2057"/>
      <c r="K6688" s="1192" t="s">
        <v>2851</v>
      </c>
      <c r="V6688" s="1192">
        <v>47</v>
      </c>
    </row>
    <row r="6689" spans="1:22" s="1192" customFormat="1" ht="14.4" x14ac:dyDescent="0.3">
      <c r="A6689" s="1192" t="s">
        <v>169</v>
      </c>
      <c r="E6689" s="2053" t="s">
        <v>2656</v>
      </c>
      <c r="F6689" s="2053"/>
      <c r="G6689" s="2053"/>
      <c r="H6689" s="2056"/>
      <c r="K6689" s="1192" t="s">
        <v>2851</v>
      </c>
      <c r="V6689" s="1192">
        <v>554</v>
      </c>
    </row>
    <row r="6690" spans="1:22" s="1192" customFormat="1" ht="14.4" x14ac:dyDescent="0.3">
      <c r="A6690" s="1192" t="s">
        <v>169</v>
      </c>
      <c r="E6690" s="2054" t="s">
        <v>2389</v>
      </c>
      <c r="F6690" s="1743"/>
      <c r="G6690" s="1743"/>
      <c r="H6690" s="1743"/>
      <c r="K6690" s="1192" t="s">
        <v>2571</v>
      </c>
      <c r="V6690" s="1192">
        <v>11</v>
      </c>
    </row>
    <row r="6691" spans="1:22" s="1192" customFormat="1" ht="14.4" x14ac:dyDescent="0.3">
      <c r="A6691" s="1192" t="s">
        <v>169</v>
      </c>
      <c r="E6691" s="2053" t="s">
        <v>2391</v>
      </c>
      <c r="F6691" s="2053"/>
      <c r="G6691" s="2053"/>
      <c r="H6691" s="2056"/>
      <c r="K6691" s="1192" t="s">
        <v>2851</v>
      </c>
      <c r="V6691" s="1192">
        <v>280</v>
      </c>
    </row>
    <row r="6692" spans="1:22" s="1192" customFormat="1" ht="14.4" x14ac:dyDescent="0.3">
      <c r="A6692" s="1192" t="s">
        <v>169</v>
      </c>
      <c r="E6692" s="2053" t="s">
        <v>2392</v>
      </c>
      <c r="F6692" s="2053"/>
      <c r="G6692" s="2053"/>
      <c r="H6692" s="2056"/>
      <c r="K6692" s="1192" t="s">
        <v>2851</v>
      </c>
      <c r="V6692" s="1192">
        <v>411</v>
      </c>
    </row>
    <row r="6693" spans="1:22" s="1192" customFormat="1" ht="14.4" x14ac:dyDescent="0.3">
      <c r="A6693" s="1192" t="s">
        <v>169</v>
      </c>
      <c r="E6693" s="2053" t="s">
        <v>2508</v>
      </c>
      <c r="F6693" s="2053"/>
      <c r="G6693" s="2053"/>
      <c r="H6693" s="2056"/>
      <c r="K6693" s="1192" t="s">
        <v>2851</v>
      </c>
      <c r="V6693" s="1192">
        <v>386</v>
      </c>
    </row>
    <row r="6694" spans="1:22" s="1192" customFormat="1" ht="14.4" x14ac:dyDescent="0.3">
      <c r="A6694" s="1192" t="s">
        <v>169</v>
      </c>
      <c r="E6694" s="2053" t="s">
        <v>4500</v>
      </c>
      <c r="F6694" s="2053"/>
      <c r="G6694" s="2053"/>
      <c r="H6694" s="2056"/>
      <c r="K6694" s="1192" t="s">
        <v>2851</v>
      </c>
      <c r="V6694" s="1192">
        <v>247</v>
      </c>
    </row>
    <row r="6695" spans="1:22" s="1192" customFormat="1" ht="14.4" x14ac:dyDescent="0.3">
      <c r="A6695" s="1192" t="s">
        <v>169</v>
      </c>
      <c r="E6695" s="2054" t="s">
        <v>2394</v>
      </c>
      <c r="F6695" s="2052"/>
      <c r="G6695" s="1743"/>
      <c r="H6695" s="1743"/>
      <c r="K6695" s="1192" t="s">
        <v>2572</v>
      </c>
      <c r="V6695" s="1192">
        <v>46</v>
      </c>
    </row>
    <row r="6696" spans="1:22" s="1192" customFormat="1" ht="14.4" x14ac:dyDescent="0.3">
      <c r="A6696" s="1192" t="s">
        <v>169</v>
      </c>
      <c r="E6696" s="2007" t="s">
        <v>8</v>
      </c>
      <c r="F6696" s="2007"/>
      <c r="G6696" s="556" t="s">
        <v>19</v>
      </c>
      <c r="H6696" s="1218">
        <v>13.34</v>
      </c>
      <c r="K6696" s="1192" t="s">
        <v>2851</v>
      </c>
      <c r="L6696" s="1192" t="s">
        <v>430</v>
      </c>
      <c r="P6696" s="1192" t="s">
        <v>2852</v>
      </c>
      <c r="V6696" s="1192">
        <v>31</v>
      </c>
    </row>
    <row r="6697" spans="1:22" s="1192" customFormat="1" ht="14.4" x14ac:dyDescent="0.3">
      <c r="A6697" s="1192" t="s">
        <v>169</v>
      </c>
      <c r="E6697" s="2007" t="s">
        <v>6418</v>
      </c>
      <c r="F6697" s="1741"/>
      <c r="G6697" s="556" t="s">
        <v>19</v>
      </c>
      <c r="H6697" s="1218">
        <v>1.07</v>
      </c>
      <c r="K6697" s="1192" t="s">
        <v>2851</v>
      </c>
      <c r="L6697" s="1192" t="s">
        <v>430</v>
      </c>
      <c r="P6697" s="1192" t="s">
        <v>6424</v>
      </c>
      <c r="V6697" s="1192">
        <v>135</v>
      </c>
    </row>
    <row r="6698" spans="1:22" s="1192" customFormat="1" ht="14.4" x14ac:dyDescent="0.3">
      <c r="A6698" s="1192" t="s">
        <v>169</v>
      </c>
      <c r="E6698" s="2007" t="s">
        <v>80</v>
      </c>
      <c r="F6698" s="2007"/>
      <c r="G6698" s="556" t="s">
        <v>20</v>
      </c>
      <c r="H6698" s="1219">
        <v>9.2999999999999992E-3</v>
      </c>
      <c r="K6698" s="1192" t="s">
        <v>2851</v>
      </c>
      <c r="L6698" s="1192" t="s">
        <v>430</v>
      </c>
      <c r="P6698" s="1192" t="s">
        <v>2853</v>
      </c>
      <c r="V6698" s="1192">
        <v>28</v>
      </c>
    </row>
    <row r="6699" spans="1:22" s="1192" customFormat="1" ht="14.4" x14ac:dyDescent="0.3">
      <c r="A6699" s="1192" t="s">
        <v>169</v>
      </c>
      <c r="E6699" s="2007" t="s">
        <v>213</v>
      </c>
      <c r="F6699" s="2007"/>
      <c r="G6699" s="556" t="s">
        <v>20</v>
      </c>
      <c r="H6699" s="1219">
        <v>4.4999999999999997E-3</v>
      </c>
      <c r="K6699" s="1192" t="s">
        <v>2851</v>
      </c>
      <c r="L6699" s="1192" t="s">
        <v>432</v>
      </c>
      <c r="P6699" s="1192" t="s">
        <v>2856</v>
      </c>
      <c r="V6699" s="1192">
        <v>47</v>
      </c>
    </row>
    <row r="6700" spans="1:22" s="1192" customFormat="1" ht="14.4" x14ac:dyDescent="0.3">
      <c r="A6700" s="1192" t="s">
        <v>169</v>
      </c>
      <c r="E6700" s="2007" t="s">
        <v>209</v>
      </c>
      <c r="F6700" s="2007"/>
      <c r="G6700" s="556" t="s">
        <v>20</v>
      </c>
      <c r="H6700" s="1219">
        <v>5.5999999999999999E-3</v>
      </c>
      <c r="K6700" s="1192" t="s">
        <v>2851</v>
      </c>
      <c r="L6700" s="1192" t="s">
        <v>432</v>
      </c>
      <c r="P6700" s="1192" t="s">
        <v>2857</v>
      </c>
      <c r="V6700" s="1192">
        <v>74</v>
      </c>
    </row>
    <row r="6701" spans="1:22" s="1192" customFormat="1" ht="14.4" x14ac:dyDescent="0.3">
      <c r="A6701" s="1192" t="s">
        <v>169</v>
      </c>
      <c r="E6701" s="2054" t="s">
        <v>2405</v>
      </c>
      <c r="F6701" s="2055"/>
      <c r="G6701" s="1273"/>
      <c r="H6701" s="867"/>
      <c r="K6701" s="1192" t="s">
        <v>2581</v>
      </c>
      <c r="V6701" s="1192">
        <v>48</v>
      </c>
    </row>
    <row r="6702" spans="1:22" s="1192" customFormat="1" ht="14.4" x14ac:dyDescent="0.3">
      <c r="A6702" s="1192" t="s">
        <v>169</v>
      </c>
      <c r="E6702" s="2044" t="s">
        <v>2033</v>
      </c>
      <c r="F6702" s="1741"/>
      <c r="G6702" s="556" t="s">
        <v>20</v>
      </c>
      <c r="H6702" s="600">
        <v>3.0000000000000001E-3</v>
      </c>
      <c r="K6702" s="1192" t="s">
        <v>2851</v>
      </c>
      <c r="L6702" s="1192" t="s">
        <v>2374</v>
      </c>
      <c r="P6702" s="1192" t="s">
        <v>2858</v>
      </c>
      <c r="V6702" s="1192">
        <v>55</v>
      </c>
    </row>
    <row r="6703" spans="1:22" s="1192" customFormat="1" ht="14.4" x14ac:dyDescent="0.3">
      <c r="A6703" s="1192" t="s">
        <v>169</v>
      </c>
      <c r="E6703" s="2044" t="s">
        <v>2034</v>
      </c>
      <c r="F6703" s="1741"/>
      <c r="G6703" s="556" t="s">
        <v>20</v>
      </c>
      <c r="H6703" s="600">
        <v>4.0000000000000002E-4</v>
      </c>
      <c r="K6703" s="1192" t="s">
        <v>2851</v>
      </c>
      <c r="L6703" s="1192" t="s">
        <v>2374</v>
      </c>
      <c r="P6703" s="1192" t="s">
        <v>2858</v>
      </c>
      <c r="V6703" s="1192">
        <v>65</v>
      </c>
    </row>
    <row r="6704" spans="1:22" s="1192" customFormat="1" ht="14.4" x14ac:dyDescent="0.3">
      <c r="A6704" s="1192" t="s">
        <v>169</v>
      </c>
      <c r="E6704" s="2044" t="s">
        <v>428</v>
      </c>
      <c r="F6704" s="1741"/>
      <c r="G6704" s="556" t="s">
        <v>20</v>
      </c>
      <c r="H6704" s="600">
        <v>5.0000000000000001E-4</v>
      </c>
      <c r="K6704" s="1192" t="s">
        <v>2851</v>
      </c>
      <c r="L6704" s="1192" t="s">
        <v>2374</v>
      </c>
      <c r="P6704" s="1192" t="s">
        <v>2859</v>
      </c>
      <c r="V6704" s="1192">
        <v>57</v>
      </c>
    </row>
    <row r="6705" spans="1:22" s="1192" customFormat="1" ht="14.4" x14ac:dyDescent="0.3">
      <c r="A6705" s="1192" t="s">
        <v>169</v>
      </c>
      <c r="E6705" s="2044" t="s">
        <v>28</v>
      </c>
      <c r="F6705" s="1741"/>
      <c r="G6705" s="556" t="s">
        <v>19</v>
      </c>
      <c r="H6705" s="599">
        <v>0.25</v>
      </c>
      <c r="K6705" s="1192" t="s">
        <v>2851</v>
      </c>
      <c r="L6705" s="1192" t="s">
        <v>2374</v>
      </c>
      <c r="P6705" s="1192" t="s">
        <v>2860</v>
      </c>
      <c r="V6705" s="1192">
        <v>63</v>
      </c>
    </row>
    <row r="6706" spans="1:22" s="1192" customFormat="1" ht="17.399999999999999" x14ac:dyDescent="0.3">
      <c r="A6706" s="1192" t="s">
        <v>169</v>
      </c>
      <c r="E6706" s="2051" t="s">
        <v>606</v>
      </c>
      <c r="F6706" s="2051"/>
      <c r="G6706" s="2051"/>
      <c r="H6706" s="2057"/>
      <c r="K6706" s="1192" t="s">
        <v>2626</v>
      </c>
      <c r="V6706" s="1192">
        <v>36</v>
      </c>
    </row>
    <row r="6707" spans="1:22" s="1192" customFormat="1" ht="14.4" x14ac:dyDescent="0.3">
      <c r="A6707" s="1192" t="s">
        <v>169</v>
      </c>
      <c r="E6707" s="2053" t="s">
        <v>2627</v>
      </c>
      <c r="F6707" s="2053"/>
      <c r="G6707" s="2053"/>
      <c r="H6707" s="2056"/>
      <c r="K6707" s="1192" t="s">
        <v>2626</v>
      </c>
      <c r="V6707" s="1192">
        <v>219</v>
      </c>
    </row>
    <row r="6708" spans="1:22" s="1192" customFormat="1" ht="14.4" x14ac:dyDescent="0.3">
      <c r="A6708" s="1192" t="s">
        <v>169</v>
      </c>
      <c r="E6708" s="2054" t="s">
        <v>2389</v>
      </c>
      <c r="F6708" s="1743"/>
      <c r="G6708" s="1743"/>
      <c r="H6708" s="1743"/>
      <c r="K6708" s="1192" t="s">
        <v>2586</v>
      </c>
      <c r="V6708" s="1192">
        <v>11</v>
      </c>
    </row>
    <row r="6709" spans="1:22" s="1192" customFormat="1" ht="14.4" x14ac:dyDescent="0.3">
      <c r="A6709" s="1192" t="s">
        <v>169</v>
      </c>
      <c r="E6709" s="2053" t="s">
        <v>2391</v>
      </c>
      <c r="F6709" s="2053"/>
      <c r="G6709" s="2053"/>
      <c r="H6709" s="2056"/>
      <c r="K6709" s="1192" t="s">
        <v>2626</v>
      </c>
      <c r="V6709" s="1192">
        <v>280</v>
      </c>
    </row>
    <row r="6710" spans="1:22" s="1192" customFormat="1" ht="14.4" x14ac:dyDescent="0.3">
      <c r="A6710" s="1192" t="s">
        <v>169</v>
      </c>
      <c r="E6710" s="2053" t="s">
        <v>2392</v>
      </c>
      <c r="F6710" s="2053"/>
      <c r="G6710" s="2053"/>
      <c r="H6710" s="2056"/>
      <c r="K6710" s="1192" t="s">
        <v>2626</v>
      </c>
      <c r="V6710" s="1192">
        <v>411</v>
      </c>
    </row>
    <row r="6711" spans="1:22" s="1192" customFormat="1" ht="14.4" x14ac:dyDescent="0.3">
      <c r="A6711" s="1192" t="s">
        <v>169</v>
      </c>
      <c r="E6711" s="2053" t="s">
        <v>2445</v>
      </c>
      <c r="F6711" s="2053"/>
      <c r="G6711" s="2053"/>
      <c r="H6711" s="2056"/>
      <c r="K6711" s="1192" t="s">
        <v>2626</v>
      </c>
      <c r="V6711" s="1192">
        <v>211</v>
      </c>
    </row>
    <row r="6712" spans="1:22" s="1192" customFormat="1" ht="14.4" x14ac:dyDescent="0.3">
      <c r="A6712" s="1192" t="s">
        <v>169</v>
      </c>
      <c r="E6712" s="2053" t="s">
        <v>4500</v>
      </c>
      <c r="F6712" s="2053"/>
      <c r="G6712" s="2053"/>
      <c r="H6712" s="2056"/>
      <c r="K6712" s="1192" t="s">
        <v>2626</v>
      </c>
      <c r="V6712" s="1192">
        <v>247</v>
      </c>
    </row>
    <row r="6713" spans="1:22" s="1192" customFormat="1" ht="14.4" x14ac:dyDescent="0.3">
      <c r="A6713" s="1192" t="s">
        <v>169</v>
      </c>
      <c r="E6713" s="2054" t="s">
        <v>2628</v>
      </c>
      <c r="F6713" s="1743"/>
      <c r="G6713" s="1743"/>
      <c r="H6713" s="1743"/>
      <c r="K6713" s="1192" t="s">
        <v>2587</v>
      </c>
      <c r="V6713" s="1192">
        <v>77</v>
      </c>
    </row>
    <row r="6714" spans="1:22" s="1192" customFormat="1" ht="14.4" x14ac:dyDescent="0.3">
      <c r="A6714" s="1192" t="s">
        <v>169</v>
      </c>
      <c r="E6714" s="2007" t="s">
        <v>2658</v>
      </c>
      <c r="F6714" s="2007"/>
      <c r="G6714" s="556" t="s">
        <v>29</v>
      </c>
      <c r="H6714" s="562">
        <v>1.7685</v>
      </c>
      <c r="K6714" s="1192" t="s">
        <v>2626</v>
      </c>
      <c r="L6714" s="1192" t="s">
        <v>430</v>
      </c>
      <c r="P6714" s="1192" t="s">
        <v>4422</v>
      </c>
      <c r="V6714" s="1192">
        <v>164</v>
      </c>
    </row>
    <row r="6715" spans="1:22" s="1192" customFormat="1" ht="17.399999999999999" x14ac:dyDescent="0.3">
      <c r="A6715" s="1192" t="s">
        <v>169</v>
      </c>
      <c r="E6715" s="1345" t="s">
        <v>81</v>
      </c>
      <c r="F6715" s="581"/>
      <c r="G6715" s="581"/>
      <c r="H6715" s="900"/>
      <c r="K6715" s="1192" t="s">
        <v>2659</v>
      </c>
      <c r="V6715" s="1192">
        <v>10</v>
      </c>
    </row>
    <row r="6716" spans="1:22" s="1192" customFormat="1" ht="14.4" x14ac:dyDescent="0.3">
      <c r="A6716" s="1192" t="s">
        <v>169</v>
      </c>
      <c r="E6716" s="1741" t="s">
        <v>2449</v>
      </c>
      <c r="F6716" s="1741"/>
      <c r="G6716" s="556" t="s">
        <v>29</v>
      </c>
      <c r="H6716" s="564">
        <v>-0.6</v>
      </c>
      <c r="V6716" s="1192">
        <v>68</v>
      </c>
    </row>
    <row r="6717" spans="1:22" s="1192" customFormat="1" ht="14.4" x14ac:dyDescent="0.3">
      <c r="A6717" s="1192" t="s">
        <v>169</v>
      </c>
      <c r="E6717" s="1741" t="s">
        <v>2450</v>
      </c>
      <c r="F6717" s="1741"/>
      <c r="G6717" s="558" t="s">
        <v>82</v>
      </c>
      <c r="H6717" s="583">
        <v>-1</v>
      </c>
      <c r="V6717" s="1192">
        <v>87</v>
      </c>
    </row>
    <row r="6718" spans="1:22" s="1192" customFormat="1" ht="17.399999999999999" x14ac:dyDescent="0.3">
      <c r="A6718" s="1192" t="s">
        <v>169</v>
      </c>
      <c r="E6718" s="1345" t="s">
        <v>83</v>
      </c>
      <c r="F6718" s="581"/>
      <c r="G6718" s="581"/>
      <c r="H6718" s="952"/>
      <c r="K6718" s="1192" t="s">
        <v>2660</v>
      </c>
      <c r="V6718" s="1192">
        <v>24</v>
      </c>
    </row>
    <row r="6719" spans="1:22" s="1192" customFormat="1" ht="14.4" x14ac:dyDescent="0.3">
      <c r="A6719" s="1192" t="s">
        <v>169</v>
      </c>
      <c r="E6719" s="2105" t="s">
        <v>2389</v>
      </c>
      <c r="F6719" s="1743"/>
      <c r="G6719" s="1743"/>
      <c r="H6719" s="1743"/>
      <c r="V6719" s="1192">
        <v>11</v>
      </c>
    </row>
    <row r="6720" spans="1:22" s="1192" customFormat="1" ht="14.4" x14ac:dyDescent="0.3">
      <c r="A6720" s="1192" t="s">
        <v>169</v>
      </c>
      <c r="E6720" s="2106" t="s">
        <v>2391</v>
      </c>
      <c r="F6720" s="2106"/>
      <c r="G6720" s="2106"/>
      <c r="H6720" s="2107"/>
      <c r="V6720" s="1192">
        <v>280</v>
      </c>
    </row>
    <row r="6721" spans="1:22" s="1192" customFormat="1" ht="14.4" x14ac:dyDescent="0.3">
      <c r="A6721" s="1192" t="s">
        <v>169</v>
      </c>
      <c r="E6721" s="2106" t="s">
        <v>2452</v>
      </c>
      <c r="F6721" s="2106"/>
      <c r="G6721" s="2106"/>
      <c r="H6721" s="2107"/>
      <c r="V6721" s="1192">
        <v>353</v>
      </c>
    </row>
    <row r="6722" spans="1:22" s="1192" customFormat="1" ht="14.4" x14ac:dyDescent="0.3">
      <c r="A6722" s="1192" t="s">
        <v>169</v>
      </c>
      <c r="E6722" s="2106" t="s">
        <v>2986</v>
      </c>
      <c r="F6722" s="2106"/>
      <c r="G6722" s="2106"/>
      <c r="H6722" s="2107"/>
      <c r="V6722" s="1192">
        <v>246</v>
      </c>
    </row>
    <row r="6723" spans="1:22" s="1192" customFormat="1" ht="14.4" x14ac:dyDescent="0.3">
      <c r="A6723" s="1192" t="s">
        <v>169</v>
      </c>
      <c r="E6723" s="1346" t="s">
        <v>2453</v>
      </c>
      <c r="F6723" s="586"/>
      <c r="G6723" s="586"/>
      <c r="H6723" s="902"/>
      <c r="K6723" s="1192" t="s">
        <v>2662</v>
      </c>
      <c r="V6723" s="1192">
        <v>23</v>
      </c>
    </row>
    <row r="6724" spans="1:22" s="1192" customFormat="1" ht="14.4" x14ac:dyDescent="0.3">
      <c r="A6724" s="1192" t="s">
        <v>169</v>
      </c>
      <c r="E6724" s="2031" t="s">
        <v>4215</v>
      </c>
      <c r="F6724" s="2031"/>
      <c r="G6724" s="556" t="s">
        <v>19</v>
      </c>
      <c r="H6724" s="577">
        <v>15</v>
      </c>
      <c r="V6724" s="1192">
        <v>23</v>
      </c>
    </row>
    <row r="6725" spans="1:22" s="1192" customFormat="1" ht="14.4" x14ac:dyDescent="0.3">
      <c r="A6725" s="1192" t="s">
        <v>169</v>
      </c>
      <c r="E6725" s="2031" t="s">
        <v>4216</v>
      </c>
      <c r="F6725" s="2031"/>
      <c r="G6725" s="556" t="s">
        <v>19</v>
      </c>
      <c r="H6725" s="577">
        <v>15</v>
      </c>
      <c r="V6725" s="1192">
        <v>64</v>
      </c>
    </row>
    <row r="6726" spans="1:22" s="1192" customFormat="1" ht="14.4" x14ac:dyDescent="0.3">
      <c r="A6726" s="1192" t="s">
        <v>169</v>
      </c>
      <c r="E6726" s="2031" t="s">
        <v>2663</v>
      </c>
      <c r="F6726" s="2031"/>
      <c r="G6726" s="556" t="s">
        <v>19</v>
      </c>
      <c r="H6726" s="577">
        <v>15</v>
      </c>
      <c r="V6726" s="1192">
        <v>43</v>
      </c>
    </row>
    <row r="6727" spans="1:22" s="1192" customFormat="1" ht="14.4" x14ac:dyDescent="0.3">
      <c r="A6727" s="1192" t="s">
        <v>169</v>
      </c>
      <c r="E6727" s="2031" t="s">
        <v>2664</v>
      </c>
      <c r="F6727" s="2031"/>
      <c r="G6727" s="556" t="s">
        <v>19</v>
      </c>
      <c r="H6727" s="577">
        <v>30</v>
      </c>
      <c r="V6727" s="1192">
        <v>97</v>
      </c>
    </row>
    <row r="6728" spans="1:22" s="1192" customFormat="1" ht="14.4" x14ac:dyDescent="0.3">
      <c r="A6728" s="1192" t="s">
        <v>169</v>
      </c>
      <c r="E6728" s="2031" t="s">
        <v>2665</v>
      </c>
      <c r="F6728" s="2031"/>
      <c r="G6728" s="556" t="s">
        <v>19</v>
      </c>
      <c r="H6728" s="577">
        <v>30</v>
      </c>
      <c r="V6728" s="1192">
        <v>82</v>
      </c>
    </row>
    <row r="6729" spans="1:22" s="1192" customFormat="1" ht="14.4" x14ac:dyDescent="0.3">
      <c r="A6729" s="1192" t="s">
        <v>169</v>
      </c>
      <c r="E6729" s="1346" t="s">
        <v>2468</v>
      </c>
      <c r="F6729" s="587"/>
      <c r="G6729" s="587"/>
      <c r="H6729" s="910"/>
      <c r="K6729" s="1192" t="s">
        <v>2666</v>
      </c>
      <c r="V6729" s="1192">
        <v>22</v>
      </c>
    </row>
    <row r="6730" spans="1:22" s="1192" customFormat="1" ht="14.4" x14ac:dyDescent="0.3">
      <c r="A6730" s="1192" t="s">
        <v>169</v>
      </c>
      <c r="E6730" s="2031" t="s">
        <v>6425</v>
      </c>
      <c r="F6730" s="2031"/>
      <c r="G6730" s="558" t="s">
        <v>82</v>
      </c>
      <c r="H6730" s="577">
        <v>1.5</v>
      </c>
      <c r="V6730" s="1192">
        <v>115</v>
      </c>
    </row>
    <row r="6731" spans="1:22" s="1192" customFormat="1" ht="14.4" x14ac:dyDescent="0.3">
      <c r="A6731" s="1192" t="s">
        <v>169</v>
      </c>
      <c r="E6731" s="2031" t="s">
        <v>4217</v>
      </c>
      <c r="F6731" s="2031"/>
      <c r="G6731" s="558" t="s">
        <v>82</v>
      </c>
      <c r="H6731" s="577">
        <v>19.559999999999999</v>
      </c>
      <c r="V6731" s="1192">
        <v>32</v>
      </c>
    </row>
    <row r="6732" spans="1:22" s="1192" customFormat="1" ht="14.4" x14ac:dyDescent="0.3">
      <c r="A6732" s="1192" t="s">
        <v>169</v>
      </c>
      <c r="E6732" s="2031" t="s">
        <v>6426</v>
      </c>
      <c r="F6732" s="2031"/>
      <c r="G6732" s="556" t="s">
        <v>19</v>
      </c>
      <c r="H6732" s="577">
        <v>65</v>
      </c>
      <c r="V6732" s="1192">
        <v>52</v>
      </c>
    </row>
    <row r="6733" spans="1:22" s="1192" customFormat="1" ht="14.4" x14ac:dyDescent="0.3">
      <c r="A6733" s="1192" t="s">
        <v>169</v>
      </c>
      <c r="E6733" s="2031" t="s">
        <v>6427</v>
      </c>
      <c r="F6733" s="2031"/>
      <c r="G6733" s="556" t="s">
        <v>19</v>
      </c>
      <c r="H6733" s="577">
        <v>185</v>
      </c>
      <c r="V6733" s="1192">
        <v>51</v>
      </c>
    </row>
    <row r="6734" spans="1:22" s="1192" customFormat="1" ht="14.4" x14ac:dyDescent="0.3">
      <c r="A6734" s="1192" t="s">
        <v>169</v>
      </c>
      <c r="E6734" s="2031" t="s">
        <v>6428</v>
      </c>
      <c r="F6734" s="2031"/>
      <c r="G6734" s="556" t="s">
        <v>19</v>
      </c>
      <c r="H6734" s="577">
        <v>185</v>
      </c>
      <c r="V6734" s="1192">
        <v>51</v>
      </c>
    </row>
    <row r="6735" spans="1:22" s="1192" customFormat="1" ht="14.4" x14ac:dyDescent="0.3">
      <c r="A6735" s="1192" t="s">
        <v>169</v>
      </c>
      <c r="E6735" s="2031" t="s">
        <v>6429</v>
      </c>
      <c r="F6735" s="2031"/>
      <c r="G6735" s="556" t="s">
        <v>19</v>
      </c>
      <c r="H6735" s="577">
        <v>415</v>
      </c>
      <c r="V6735" s="1192">
        <v>50</v>
      </c>
    </row>
    <row r="6736" spans="1:22" s="1192" customFormat="1" ht="14.4" x14ac:dyDescent="0.3">
      <c r="A6736" s="1192" t="s">
        <v>169</v>
      </c>
      <c r="E6736" s="1346" t="s">
        <v>2474</v>
      </c>
      <c r="F6736" s="587"/>
      <c r="G6736" s="587"/>
      <c r="H6736" s="910"/>
      <c r="V6736" s="1192">
        <v>5</v>
      </c>
    </row>
    <row r="6737" spans="1:22" s="1192" customFormat="1" ht="14.4" x14ac:dyDescent="0.3">
      <c r="A6737" s="1192" t="s">
        <v>169</v>
      </c>
      <c r="E6737" s="2031" t="s">
        <v>2667</v>
      </c>
      <c r="F6737" s="2031"/>
      <c r="G6737" s="556" t="s">
        <v>19</v>
      </c>
      <c r="H6737" s="577">
        <v>500</v>
      </c>
      <c r="V6737" s="1192">
        <v>70</v>
      </c>
    </row>
    <row r="6738" spans="1:22" s="1192" customFormat="1" ht="14.4" x14ac:dyDescent="0.3">
      <c r="A6738" s="1192" t="s">
        <v>169</v>
      </c>
      <c r="E6738" s="2031" t="s">
        <v>4218</v>
      </c>
      <c r="F6738" s="2031"/>
      <c r="G6738" s="556" t="s">
        <v>19</v>
      </c>
      <c r="H6738" s="577">
        <v>300</v>
      </c>
      <c r="V6738" s="1192">
        <v>75</v>
      </c>
    </row>
    <row r="6739" spans="1:22" s="1192" customFormat="1" ht="14.4" x14ac:dyDescent="0.3">
      <c r="A6739" s="1192" t="s">
        <v>169</v>
      </c>
      <c r="E6739" s="1942" t="s">
        <v>4219</v>
      </c>
      <c r="F6739" s="1942"/>
      <c r="G6739" s="558" t="s">
        <v>19</v>
      </c>
      <c r="H6739" s="560">
        <v>44.5</v>
      </c>
      <c r="V6739" s="1192">
        <v>122</v>
      </c>
    </row>
    <row r="6740" spans="1:22" s="1192" customFormat="1" ht="14.4" x14ac:dyDescent="0.3">
      <c r="A6740" s="1192" t="s">
        <v>169</v>
      </c>
      <c r="E6740" s="2118" t="s">
        <v>2668</v>
      </c>
      <c r="F6740" s="2118"/>
      <c r="G6740" s="556" t="s">
        <v>19</v>
      </c>
      <c r="H6740" s="577">
        <v>60</v>
      </c>
      <c r="V6740" s="1192">
        <v>43</v>
      </c>
    </row>
    <row r="6741" spans="1:22" s="1192" customFormat="1" ht="34.799999999999997" x14ac:dyDescent="0.3">
      <c r="A6741" s="1192" t="s">
        <v>169</v>
      </c>
      <c r="E6741" s="1345" t="s">
        <v>73</v>
      </c>
      <c r="F6741" s="581"/>
      <c r="G6741" s="581"/>
      <c r="H6741" s="952"/>
      <c r="K6741" s="1192" t="s">
        <v>2669</v>
      </c>
      <c r="V6741" s="1192">
        <v>38</v>
      </c>
    </row>
    <row r="6742" spans="1:22" s="1192" customFormat="1" ht="14.4" x14ac:dyDescent="0.3">
      <c r="A6742" s="1192" t="s">
        <v>169</v>
      </c>
      <c r="E6742" s="2106" t="s">
        <v>2391</v>
      </c>
      <c r="F6742" s="2106"/>
      <c r="G6742" s="2106"/>
      <c r="H6742" s="2107"/>
      <c r="V6742" s="1192">
        <v>280</v>
      </c>
    </row>
    <row r="6743" spans="1:22" s="1192" customFormat="1" ht="14.4" x14ac:dyDescent="0.3">
      <c r="A6743" s="1192" t="s">
        <v>169</v>
      </c>
      <c r="E6743" s="2106" t="s">
        <v>2392</v>
      </c>
      <c r="F6743" s="2106"/>
      <c r="G6743" s="2106"/>
      <c r="H6743" s="2107"/>
      <c r="V6743" s="1192">
        <v>411</v>
      </c>
    </row>
    <row r="6744" spans="1:22" s="1192" customFormat="1" ht="14.4" x14ac:dyDescent="0.3">
      <c r="A6744" s="1192" t="s">
        <v>169</v>
      </c>
      <c r="E6744" s="2106" t="s">
        <v>2445</v>
      </c>
      <c r="F6744" s="2106"/>
      <c r="G6744" s="2106"/>
      <c r="H6744" s="2107"/>
      <c r="V6744" s="1192">
        <v>211</v>
      </c>
    </row>
    <row r="6745" spans="1:22" s="1192" customFormat="1" ht="14.4" x14ac:dyDescent="0.3">
      <c r="A6745" s="1192" t="s">
        <v>169</v>
      </c>
      <c r="E6745" s="2106" t="s">
        <v>2986</v>
      </c>
      <c r="F6745" s="2106"/>
      <c r="G6745" s="2106"/>
      <c r="H6745" s="2107"/>
      <c r="V6745" s="1192">
        <v>246</v>
      </c>
    </row>
    <row r="6746" spans="1:22" s="1192" customFormat="1" ht="14.4" x14ac:dyDescent="0.3">
      <c r="A6746" s="1192" t="s">
        <v>169</v>
      </c>
      <c r="E6746" s="2106" t="s">
        <v>2595</v>
      </c>
      <c r="F6746" s="2106"/>
      <c r="G6746" s="2106"/>
      <c r="H6746" s="2107"/>
      <c r="V6746" s="1192">
        <v>142</v>
      </c>
    </row>
    <row r="6747" spans="1:22" s="1192" customFormat="1" ht="14.4" x14ac:dyDescent="0.3">
      <c r="A6747" s="1192" t="s">
        <v>169</v>
      </c>
      <c r="E6747" s="2007" t="s">
        <v>2485</v>
      </c>
      <c r="F6747" s="2007"/>
      <c r="G6747" s="557" t="s">
        <v>19</v>
      </c>
      <c r="H6747" s="589">
        <v>102</v>
      </c>
      <c r="V6747" s="1192">
        <v>106</v>
      </c>
    </row>
    <row r="6748" spans="1:22" s="1192" customFormat="1" ht="14.4" x14ac:dyDescent="0.3">
      <c r="A6748" s="1192" t="s">
        <v>169</v>
      </c>
      <c r="E6748" s="2007" t="s">
        <v>3919</v>
      </c>
      <c r="F6748" s="2007"/>
      <c r="G6748" s="557" t="s">
        <v>19</v>
      </c>
      <c r="H6748" s="589">
        <v>40.799999999999997</v>
      </c>
      <c r="V6748" s="1192">
        <v>34</v>
      </c>
    </row>
    <row r="6749" spans="1:22" s="1192" customFormat="1" ht="14.4" x14ac:dyDescent="0.3">
      <c r="A6749" s="1192" t="s">
        <v>169</v>
      </c>
      <c r="E6749" s="2007" t="s">
        <v>3920</v>
      </c>
      <c r="F6749" s="2007"/>
      <c r="G6749" s="561" t="s">
        <v>2488</v>
      </c>
      <c r="H6749" s="589">
        <v>1.02</v>
      </c>
      <c r="V6749" s="1192">
        <v>51</v>
      </c>
    </row>
    <row r="6750" spans="1:22" s="1192" customFormat="1" ht="14.4" x14ac:dyDescent="0.3">
      <c r="A6750" s="1192" t="s">
        <v>169</v>
      </c>
      <c r="E6750" s="2007" t="s">
        <v>2489</v>
      </c>
      <c r="F6750" s="2007"/>
      <c r="G6750" s="561" t="s">
        <v>2488</v>
      </c>
      <c r="H6750" s="589">
        <v>0.61</v>
      </c>
      <c r="V6750" s="1192">
        <v>75</v>
      </c>
    </row>
    <row r="6751" spans="1:22" s="1192" customFormat="1" ht="14.4" x14ac:dyDescent="0.3">
      <c r="A6751" s="1192" t="s">
        <v>169</v>
      </c>
      <c r="E6751" s="2007" t="s">
        <v>2490</v>
      </c>
      <c r="F6751" s="2007"/>
      <c r="G6751" s="561" t="s">
        <v>2488</v>
      </c>
      <c r="H6751" s="589">
        <v>-0.61</v>
      </c>
      <c r="V6751" s="1192">
        <v>72</v>
      </c>
    </row>
    <row r="6752" spans="1:22" s="1192" customFormat="1" ht="14.4" x14ac:dyDescent="0.3">
      <c r="A6752" s="1192" t="s">
        <v>169</v>
      </c>
      <c r="E6752" s="2007" t="s">
        <v>2491</v>
      </c>
      <c r="F6752" s="2007"/>
      <c r="G6752" s="590"/>
      <c r="H6752" s="888"/>
      <c r="V6752" s="1192">
        <v>35</v>
      </c>
    </row>
    <row r="6753" spans="1:22" s="1192" customFormat="1" ht="14.4" x14ac:dyDescent="0.3">
      <c r="A6753" s="1192" t="s">
        <v>169</v>
      </c>
      <c r="E6753" s="2119" t="s">
        <v>2492</v>
      </c>
      <c r="F6753" s="2119"/>
      <c r="G6753" s="557" t="s">
        <v>19</v>
      </c>
      <c r="H6753" s="589">
        <v>0.51</v>
      </c>
      <c r="V6753" s="1192">
        <v>57</v>
      </c>
    </row>
    <row r="6754" spans="1:22" s="1192" customFormat="1" ht="14.4" x14ac:dyDescent="0.3">
      <c r="A6754" s="1192" t="s">
        <v>169</v>
      </c>
      <c r="E6754" s="2119" t="s">
        <v>2493</v>
      </c>
      <c r="F6754" s="2119"/>
      <c r="G6754" s="557" t="s">
        <v>19</v>
      </c>
      <c r="H6754" s="589">
        <v>1.02</v>
      </c>
      <c r="V6754" s="1192">
        <v>60</v>
      </c>
    </row>
    <row r="6755" spans="1:22" s="1192" customFormat="1" ht="14.4" x14ac:dyDescent="0.3">
      <c r="A6755" s="1192" t="s">
        <v>169</v>
      </c>
      <c r="E6755" s="2007" t="s">
        <v>2494</v>
      </c>
      <c r="F6755" s="2007"/>
      <c r="G6755" s="590"/>
      <c r="H6755" s="888"/>
      <c r="V6755" s="1192">
        <v>91</v>
      </c>
    </row>
    <row r="6756" spans="1:22" s="1192" customFormat="1" ht="14.4" x14ac:dyDescent="0.3">
      <c r="A6756" s="1192" t="s">
        <v>169</v>
      </c>
      <c r="E6756" s="2007" t="s">
        <v>2495</v>
      </c>
      <c r="F6756" s="2007"/>
      <c r="G6756" s="590"/>
      <c r="H6756" s="888"/>
      <c r="V6756" s="1192">
        <v>96</v>
      </c>
    </row>
    <row r="6757" spans="1:22" s="1192" customFormat="1" ht="14.4" x14ac:dyDescent="0.3">
      <c r="A6757" s="1192" t="s">
        <v>169</v>
      </c>
      <c r="E6757" s="2007" t="s">
        <v>2496</v>
      </c>
      <c r="F6757" s="2007"/>
      <c r="G6757" s="590"/>
      <c r="H6757" s="888"/>
      <c r="V6757" s="1192">
        <v>78</v>
      </c>
    </row>
    <row r="6758" spans="1:22" s="1192" customFormat="1" ht="14.4" x14ac:dyDescent="0.3">
      <c r="A6758" s="1192" t="s">
        <v>169</v>
      </c>
      <c r="E6758" s="2119" t="s">
        <v>4220</v>
      </c>
      <c r="F6758" s="2119"/>
      <c r="G6758" s="557" t="s">
        <v>19</v>
      </c>
      <c r="H6758" s="889" t="s">
        <v>2498</v>
      </c>
      <c r="V6758" s="1192">
        <v>25</v>
      </c>
    </row>
    <row r="6759" spans="1:22" s="1192" customFormat="1" ht="14.4" x14ac:dyDescent="0.3">
      <c r="A6759" s="1192" t="s">
        <v>169</v>
      </c>
      <c r="E6759" s="2119" t="s">
        <v>4221</v>
      </c>
      <c r="F6759" s="2119"/>
      <c r="G6759" s="557" t="s">
        <v>19</v>
      </c>
      <c r="H6759" s="589">
        <v>4.08</v>
      </c>
      <c r="V6759" s="1192">
        <v>76</v>
      </c>
    </row>
    <row r="6760" spans="1:22" s="1192" customFormat="1" ht="14.4" x14ac:dyDescent="0.3">
      <c r="A6760" s="1192" t="s">
        <v>169</v>
      </c>
      <c r="E6760" s="2093" t="s">
        <v>4608</v>
      </c>
      <c r="F6760" s="2093"/>
      <c r="G6760" s="557" t="s">
        <v>19</v>
      </c>
      <c r="H6760" s="589">
        <v>2.04</v>
      </c>
      <c r="V6760" s="1192">
        <v>199</v>
      </c>
    </row>
    <row r="6761" spans="1:22" s="1192" customFormat="1" ht="17.399999999999999" x14ac:dyDescent="0.3">
      <c r="A6761" s="1192" t="s">
        <v>169</v>
      </c>
      <c r="E6761" s="1345" t="s">
        <v>143</v>
      </c>
      <c r="F6761" s="581"/>
      <c r="G6761" s="581"/>
      <c r="H6761" s="952"/>
      <c r="K6761" s="1192" t="s">
        <v>2670</v>
      </c>
      <c r="V6761" s="1192">
        <v>12</v>
      </c>
    </row>
    <row r="6762" spans="1:22" s="1192" customFormat="1" ht="14.4" x14ac:dyDescent="0.3">
      <c r="A6762" s="1192" t="s">
        <v>169</v>
      </c>
      <c r="E6762" s="2007" t="s">
        <v>2501</v>
      </c>
      <c r="F6762" s="2007"/>
      <c r="G6762" s="2007"/>
      <c r="H6762" s="2174"/>
      <c r="V6762" s="1192">
        <v>203</v>
      </c>
    </row>
    <row r="6763" spans="1:22" s="1192" customFormat="1" ht="14.4" x14ac:dyDescent="0.3">
      <c r="A6763" s="1192" t="s">
        <v>169</v>
      </c>
      <c r="E6763" s="1741" t="s">
        <v>2599</v>
      </c>
      <c r="F6763" s="1741"/>
      <c r="G6763" s="578"/>
      <c r="H6763" s="906">
        <v>1.032</v>
      </c>
      <c r="V6763" s="1192">
        <v>57</v>
      </c>
    </row>
    <row r="6764" spans="1:22" s="1192" customFormat="1" ht="14.4" x14ac:dyDescent="0.3">
      <c r="A6764" s="1192" t="s">
        <v>169</v>
      </c>
      <c r="E6764" s="1741" t="s">
        <v>2601</v>
      </c>
      <c r="F6764" s="1741"/>
      <c r="G6764" s="578"/>
      <c r="H6764" s="906">
        <v>1.0218</v>
      </c>
      <c r="J6764" s="1192" t="s">
        <v>2671</v>
      </c>
      <c r="V6764" s="1192">
        <v>55</v>
      </c>
    </row>
    <row r="6765" spans="1:22" s="1192" customFormat="1" ht="22.8" x14ac:dyDescent="0.3">
      <c r="A6765" s="1192" t="s">
        <v>2041</v>
      </c>
      <c r="C6765" s="1192" t="s">
        <v>2378</v>
      </c>
      <c r="E6765" s="1752" t="s">
        <v>2041</v>
      </c>
      <c r="F6765" s="1752"/>
      <c r="G6765" s="1752"/>
      <c r="H6765" s="1752"/>
      <c r="I6765" s="1192" t="s">
        <v>603</v>
      </c>
      <c r="J6765" s="1192" t="s">
        <v>5831</v>
      </c>
      <c r="K6765" s="1192" t="s">
        <v>2041</v>
      </c>
      <c r="M6765" s="1192">
        <v>14</v>
      </c>
      <c r="V6765" s="1192">
        <v>12</v>
      </c>
    </row>
    <row r="6766" spans="1:22" s="1192" customFormat="1" ht="17.399999999999999" x14ac:dyDescent="0.3">
      <c r="A6766" s="1192" t="s">
        <v>2041</v>
      </c>
      <c r="C6766" s="1192" t="s">
        <v>2380</v>
      </c>
      <c r="E6766" s="1753" t="s">
        <v>2381</v>
      </c>
      <c r="F6766" s="1753"/>
      <c r="G6766" s="1753"/>
      <c r="H6766" s="1753"/>
      <c r="V6766" s="1192">
        <v>27</v>
      </c>
    </row>
    <row r="6767" spans="1:22" s="1192" customFormat="1" ht="15.6" x14ac:dyDescent="0.3">
      <c r="A6767" s="1192" t="s">
        <v>2041</v>
      </c>
      <c r="C6767" s="1192" t="s">
        <v>2382</v>
      </c>
      <c r="E6767" s="1754" t="s">
        <v>6415</v>
      </c>
      <c r="F6767" s="1754"/>
      <c r="G6767" s="1754"/>
      <c r="H6767" s="1754"/>
      <c r="S6767" s="1192">
        <v>43891</v>
      </c>
      <c r="V6767" s="1192">
        <v>47</v>
      </c>
    </row>
    <row r="6768" spans="1:22" s="1192" customFormat="1" ht="14.4" x14ac:dyDescent="0.3">
      <c r="A6768" s="1192" t="s">
        <v>2041</v>
      </c>
      <c r="C6768" s="1192" t="s">
        <v>2383</v>
      </c>
      <c r="E6768" s="1755" t="s">
        <v>2384</v>
      </c>
      <c r="F6768" s="1755"/>
      <c r="G6768" s="1755"/>
      <c r="H6768" s="1755"/>
      <c r="V6768" s="1192">
        <v>52</v>
      </c>
    </row>
    <row r="6769" spans="1:22" s="1192" customFormat="1" ht="14.4" x14ac:dyDescent="0.3">
      <c r="A6769" s="1192" t="s">
        <v>2041</v>
      </c>
      <c r="E6769" s="1755" t="s">
        <v>2385</v>
      </c>
      <c r="F6769" s="1755"/>
      <c r="G6769" s="1755"/>
      <c r="H6769" s="1755"/>
      <c r="V6769" s="1192">
        <v>53</v>
      </c>
    </row>
    <row r="6770" spans="1:22" s="1192" customFormat="1" ht="14.4" x14ac:dyDescent="0.3">
      <c r="A6770" s="1192" t="s">
        <v>2041</v>
      </c>
      <c r="E6770" s="1772" t="s">
        <v>6430</v>
      </c>
      <c r="F6770" s="1772"/>
      <c r="G6770" s="1772"/>
      <c r="H6770" s="1772"/>
      <c r="K6770" s="1192" t="s">
        <v>6430</v>
      </c>
      <c r="V6770" s="1192">
        <v>12</v>
      </c>
    </row>
    <row r="6771" spans="1:22" s="1192" customFormat="1" ht="14.4" x14ac:dyDescent="0.3">
      <c r="A6771" s="1192" t="s">
        <v>2041</v>
      </c>
      <c r="E6771" s="1746" t="s">
        <v>427</v>
      </c>
      <c r="F6771" s="1743"/>
      <c r="G6771" s="1743"/>
      <c r="H6771" s="1743"/>
      <c r="K6771" s="1192" t="s">
        <v>2506</v>
      </c>
      <c r="V6771" s="1192">
        <v>34</v>
      </c>
    </row>
    <row r="6772" spans="1:22" s="1192" customFormat="1" ht="14.4" x14ac:dyDescent="0.3">
      <c r="A6772" s="1192" t="s">
        <v>2041</v>
      </c>
      <c r="E6772" s="1743" t="s">
        <v>4979</v>
      </c>
      <c r="F6772" s="1743"/>
      <c r="G6772" s="1743"/>
      <c r="H6772" s="1743"/>
      <c r="K6772" s="1192" t="s">
        <v>2506</v>
      </c>
      <c r="V6772" s="1192">
        <v>768</v>
      </c>
    </row>
    <row r="6773" spans="1:22" s="1192" customFormat="1" ht="14.4" x14ac:dyDescent="0.3">
      <c r="A6773" s="1192" t="s">
        <v>2041</v>
      </c>
      <c r="E6773" s="1750" t="s">
        <v>2389</v>
      </c>
      <c r="F6773" s="1743"/>
      <c r="G6773" s="1743"/>
      <c r="H6773" s="1743"/>
      <c r="K6773" s="1192" t="s">
        <v>2390</v>
      </c>
      <c r="V6773" s="1192">
        <v>11</v>
      </c>
    </row>
    <row r="6774" spans="1:22" s="1192" customFormat="1" ht="14.4" x14ac:dyDescent="0.3">
      <c r="A6774" s="1192" t="s">
        <v>2041</v>
      </c>
      <c r="E6774" s="1743" t="s">
        <v>2391</v>
      </c>
      <c r="F6774" s="1743"/>
      <c r="G6774" s="1743"/>
      <c r="H6774" s="1743"/>
      <c r="K6774" s="1192" t="s">
        <v>2506</v>
      </c>
      <c r="V6774" s="1192">
        <v>280</v>
      </c>
    </row>
    <row r="6775" spans="1:22" s="1192" customFormat="1" ht="14.4" x14ac:dyDescent="0.3">
      <c r="A6775" s="1192" t="s">
        <v>2041</v>
      </c>
      <c r="E6775" s="1743" t="s">
        <v>2392</v>
      </c>
      <c r="F6775" s="1743"/>
      <c r="G6775" s="1743"/>
      <c r="H6775" s="1743"/>
      <c r="K6775" s="1192" t="s">
        <v>2506</v>
      </c>
      <c r="V6775" s="1192">
        <v>411</v>
      </c>
    </row>
    <row r="6776" spans="1:22" s="1192" customFormat="1" ht="14.4" x14ac:dyDescent="0.3">
      <c r="A6776" s="1192" t="s">
        <v>2041</v>
      </c>
      <c r="E6776" s="1743" t="s">
        <v>2393</v>
      </c>
      <c r="F6776" s="1743"/>
      <c r="G6776" s="1743"/>
      <c r="H6776" s="1743"/>
      <c r="K6776" s="1192" t="s">
        <v>2506</v>
      </c>
      <c r="V6776" s="1192">
        <v>387</v>
      </c>
    </row>
    <row r="6777" spans="1:22" s="1192" customFormat="1" ht="14.4" x14ac:dyDescent="0.3">
      <c r="A6777" s="1192" t="s">
        <v>2041</v>
      </c>
      <c r="E6777" s="1743" t="s">
        <v>4500</v>
      </c>
      <c r="F6777" s="1743"/>
      <c r="G6777" s="1743"/>
      <c r="H6777" s="1743"/>
      <c r="K6777" s="1192" t="s">
        <v>2506</v>
      </c>
      <c r="V6777" s="1192">
        <v>247</v>
      </c>
    </row>
    <row r="6778" spans="1:22" s="1192" customFormat="1" ht="14.4" x14ac:dyDescent="0.3">
      <c r="A6778" s="1192" t="s">
        <v>2041</v>
      </c>
      <c r="E6778" s="1750" t="s">
        <v>2394</v>
      </c>
      <c r="F6778" s="1743"/>
      <c r="G6778" s="1743"/>
      <c r="H6778" s="1743"/>
      <c r="K6778" s="1192" t="s">
        <v>2395</v>
      </c>
      <c r="V6778" s="1192">
        <v>46</v>
      </c>
    </row>
    <row r="6779" spans="1:22" s="1192" customFormat="1" ht="14.4" x14ac:dyDescent="0.3">
      <c r="A6779" s="1192" t="s">
        <v>2041</v>
      </c>
      <c r="E6779" s="1741" t="s">
        <v>7</v>
      </c>
      <c r="F6779" s="1741"/>
      <c r="G6779" s="1277" t="s">
        <v>19</v>
      </c>
      <c r="H6779" s="1218">
        <v>28.29</v>
      </c>
      <c r="K6779" s="1192" t="s">
        <v>2506</v>
      </c>
      <c r="L6779" s="1192" t="s">
        <v>430</v>
      </c>
      <c r="P6779" s="1192" t="s">
        <v>2510</v>
      </c>
      <c r="V6779" s="1192">
        <v>14</v>
      </c>
    </row>
    <row r="6780" spans="1:22" s="1192" customFormat="1" ht="14.4" x14ac:dyDescent="0.3">
      <c r="A6780" s="1192" t="s">
        <v>2041</v>
      </c>
      <c r="E6780" s="1741" t="s">
        <v>6431</v>
      </c>
      <c r="F6780" s="1741"/>
      <c r="G6780" s="1277" t="s">
        <v>19</v>
      </c>
      <c r="H6780" s="1218">
        <v>-0.19</v>
      </c>
      <c r="K6780" s="1192" t="s">
        <v>2506</v>
      </c>
      <c r="L6780" s="1192" t="s">
        <v>430</v>
      </c>
      <c r="P6780" s="1192" t="s">
        <v>6432</v>
      </c>
      <c r="T6780" s="1192">
        <v>44561</v>
      </c>
      <c r="V6780" s="1192">
        <v>78</v>
      </c>
    </row>
    <row r="6781" spans="1:22" s="1192" customFormat="1" ht="14.4" x14ac:dyDescent="0.3">
      <c r="A6781" s="1192" t="s">
        <v>2041</v>
      </c>
      <c r="E6781" s="1741" t="s">
        <v>6418</v>
      </c>
      <c r="F6781" s="1741"/>
      <c r="G6781" s="1277" t="s">
        <v>19</v>
      </c>
      <c r="H6781" s="1218">
        <v>0.28999999999999998</v>
      </c>
      <c r="K6781" s="1192" t="s">
        <v>2506</v>
      </c>
      <c r="L6781" s="1192" t="s">
        <v>430</v>
      </c>
      <c r="P6781" s="1192" t="s">
        <v>4552</v>
      </c>
      <c r="V6781" s="1192">
        <v>135</v>
      </c>
    </row>
    <row r="6782" spans="1:22" s="1192" customFormat="1" ht="14.4" x14ac:dyDescent="0.3">
      <c r="A6782" s="1192" t="s">
        <v>2041</v>
      </c>
      <c r="E6782" s="1741" t="s">
        <v>3900</v>
      </c>
      <c r="F6782" s="1741"/>
      <c r="G6782" s="1277" t="s">
        <v>19</v>
      </c>
      <c r="H6782" s="1218">
        <v>0.56999999999999995</v>
      </c>
      <c r="K6782" s="1192" t="s">
        <v>2506</v>
      </c>
      <c r="L6782" s="1192" t="s">
        <v>431</v>
      </c>
      <c r="P6782" s="1192" t="s">
        <v>2511</v>
      </c>
      <c r="T6782" s="1192">
        <v>44926</v>
      </c>
      <c r="V6782" s="1192">
        <v>64</v>
      </c>
    </row>
    <row r="6783" spans="1:22" s="1192" customFormat="1" ht="14.4" x14ac:dyDescent="0.3">
      <c r="A6783" s="1192" t="s">
        <v>2041</v>
      </c>
      <c r="E6783" s="1741" t="s">
        <v>5832</v>
      </c>
      <c r="F6783" s="1741"/>
      <c r="G6783" s="1277" t="s">
        <v>19</v>
      </c>
      <c r="H6783" s="1218">
        <v>1.76</v>
      </c>
      <c r="K6783" s="1192" t="s">
        <v>2506</v>
      </c>
      <c r="L6783" s="1192" t="s">
        <v>430</v>
      </c>
      <c r="P6783" s="1192" t="s">
        <v>6433</v>
      </c>
      <c r="T6783" s="1192">
        <v>44196</v>
      </c>
      <c r="V6783" s="1192">
        <v>92</v>
      </c>
    </row>
    <row r="6784" spans="1:22" s="1192" customFormat="1" ht="14.4" x14ac:dyDescent="0.3">
      <c r="A6784" s="1192" t="s">
        <v>2041</v>
      </c>
      <c r="E6784" s="1741" t="s">
        <v>14</v>
      </c>
      <c r="F6784" s="1741"/>
      <c r="G6784" s="1277" t="s">
        <v>20</v>
      </c>
      <c r="H6784" s="1219">
        <v>2.9999999999999997E-4</v>
      </c>
      <c r="K6784" s="1192" t="s">
        <v>2506</v>
      </c>
      <c r="L6784" s="1192" t="s">
        <v>431</v>
      </c>
      <c r="P6784" s="1192" t="s">
        <v>2513</v>
      </c>
      <c r="V6784" s="1192">
        <v>24</v>
      </c>
    </row>
    <row r="6785" spans="1:22" s="1192" customFormat="1" ht="14.4" x14ac:dyDescent="0.3">
      <c r="A6785" s="1192" t="s">
        <v>2041</v>
      </c>
      <c r="E6785" s="1741" t="s">
        <v>6090</v>
      </c>
      <c r="F6785" s="1998"/>
      <c r="G6785" s="1277" t="s">
        <v>20</v>
      </c>
      <c r="H6785" s="1219">
        <v>-2.0999999999999999E-3</v>
      </c>
      <c r="K6785" s="1192" t="s">
        <v>2506</v>
      </c>
      <c r="L6785" s="1192" t="s">
        <v>431</v>
      </c>
      <c r="P6785" s="1192" t="s">
        <v>2514</v>
      </c>
      <c r="T6785" s="1192">
        <v>44196</v>
      </c>
      <c r="V6785" s="1192">
        <v>142</v>
      </c>
    </row>
    <row r="6786" spans="1:22" s="1192" customFormat="1" ht="14.4" x14ac:dyDescent="0.3">
      <c r="A6786" s="1192" t="s">
        <v>2041</v>
      </c>
      <c r="E6786" s="1741" t="s">
        <v>6145</v>
      </c>
      <c r="F6786" s="1998"/>
      <c r="G6786" s="1277" t="s">
        <v>20</v>
      </c>
      <c r="H6786" s="1219">
        <v>2.0000000000000001E-4</v>
      </c>
      <c r="K6786" s="1192" t="s">
        <v>2506</v>
      </c>
      <c r="L6786" s="1192" t="s">
        <v>430</v>
      </c>
      <c r="P6786" s="1192" t="s">
        <v>2515</v>
      </c>
      <c r="T6786" s="1192">
        <v>44196</v>
      </c>
      <c r="V6786" s="1192">
        <v>139</v>
      </c>
    </row>
    <row r="6787" spans="1:22" s="1192" customFormat="1" ht="14.4" x14ac:dyDescent="0.3">
      <c r="A6787" s="1192" t="s">
        <v>2041</v>
      </c>
      <c r="E6787" s="1741" t="s">
        <v>6087</v>
      </c>
      <c r="F6787" s="1998"/>
      <c r="G6787" s="1277" t="s">
        <v>20</v>
      </c>
      <c r="H6787" s="1219">
        <v>-5.9999999999999995E-4</v>
      </c>
      <c r="K6787" s="1192" t="s">
        <v>2506</v>
      </c>
      <c r="L6787" s="1192" t="s">
        <v>431</v>
      </c>
      <c r="P6787" s="1192" t="s">
        <v>2516</v>
      </c>
      <c r="T6787" s="1192">
        <v>44196</v>
      </c>
      <c r="V6787" s="1192">
        <v>99</v>
      </c>
    </row>
    <row r="6788" spans="1:22" s="1192" customFormat="1" ht="14.4" x14ac:dyDescent="0.3">
      <c r="A6788" s="1192" t="s">
        <v>2041</v>
      </c>
      <c r="E6788" s="1741" t="s">
        <v>6434</v>
      </c>
      <c r="F6788" s="1998"/>
      <c r="G6788" s="1277" t="s">
        <v>20</v>
      </c>
      <c r="H6788" s="1219">
        <v>-1E-4</v>
      </c>
      <c r="K6788" s="1192" t="s">
        <v>2506</v>
      </c>
      <c r="L6788" s="1192" t="s">
        <v>431</v>
      </c>
      <c r="P6788" s="1192" t="s">
        <v>3897</v>
      </c>
      <c r="T6788" s="1192">
        <v>44196</v>
      </c>
      <c r="V6788" s="1192">
        <v>149</v>
      </c>
    </row>
    <row r="6789" spans="1:22" s="1192" customFormat="1" ht="14.4" x14ac:dyDescent="0.3">
      <c r="A6789" s="1192" t="s">
        <v>2041</v>
      </c>
      <c r="E6789" s="1741" t="s">
        <v>5832</v>
      </c>
      <c r="F6789" s="1741"/>
      <c r="G6789" s="1277" t="s">
        <v>20</v>
      </c>
      <c r="H6789" s="1219">
        <v>-8.9999999999999998E-4</v>
      </c>
      <c r="K6789" s="1192" t="s">
        <v>2506</v>
      </c>
      <c r="L6789" s="1192" t="s">
        <v>430</v>
      </c>
      <c r="P6789" s="1192" t="s">
        <v>6435</v>
      </c>
      <c r="T6789" s="1192">
        <v>44196</v>
      </c>
      <c r="V6789" s="1192">
        <v>92</v>
      </c>
    </row>
    <row r="6790" spans="1:22" s="1192" customFormat="1" ht="14.4" x14ac:dyDescent="0.3">
      <c r="A6790" s="1192" t="s">
        <v>2041</v>
      </c>
      <c r="E6790" s="1741" t="s">
        <v>213</v>
      </c>
      <c r="F6790" s="1741"/>
      <c r="G6790" s="1277" t="s">
        <v>20</v>
      </c>
      <c r="H6790" s="1219">
        <v>6.1999999999999998E-3</v>
      </c>
      <c r="K6790" s="1192" t="s">
        <v>2506</v>
      </c>
      <c r="L6790" s="1192" t="s">
        <v>432</v>
      </c>
      <c r="P6790" s="1192" t="s">
        <v>2517</v>
      </c>
      <c r="V6790" s="1192">
        <v>47</v>
      </c>
    </row>
    <row r="6791" spans="1:22" s="1192" customFormat="1" ht="14.4" x14ac:dyDescent="0.3">
      <c r="A6791" s="1192" t="s">
        <v>2041</v>
      </c>
      <c r="E6791" s="1741" t="s">
        <v>209</v>
      </c>
      <c r="F6791" s="1741"/>
      <c r="G6791" s="1277" t="s">
        <v>20</v>
      </c>
      <c r="H6791" s="1219">
        <v>4.4000000000000003E-3</v>
      </c>
      <c r="K6791" s="1192" t="s">
        <v>2506</v>
      </c>
      <c r="L6791" s="1192" t="s">
        <v>432</v>
      </c>
      <c r="P6791" s="1192" t="s">
        <v>2518</v>
      </c>
      <c r="V6791" s="1192">
        <v>74</v>
      </c>
    </row>
    <row r="6792" spans="1:22" s="1192" customFormat="1" ht="14.4" x14ac:dyDescent="0.3">
      <c r="A6792" s="1192" t="s">
        <v>2041</v>
      </c>
      <c r="E6792" s="1750" t="s">
        <v>2405</v>
      </c>
      <c r="F6792" s="1741"/>
      <c r="G6792" s="1277"/>
      <c r="H6792" s="896"/>
      <c r="K6792" s="1192" t="s">
        <v>2406</v>
      </c>
      <c r="V6792" s="1192">
        <v>48</v>
      </c>
    </row>
    <row r="6793" spans="1:22" s="1192" customFormat="1" ht="14.4" x14ac:dyDescent="0.3">
      <c r="A6793" s="1192" t="s">
        <v>2041</v>
      </c>
      <c r="E6793" s="1741" t="s">
        <v>2033</v>
      </c>
      <c r="F6793" s="1741"/>
      <c r="G6793" s="1277" t="s">
        <v>20</v>
      </c>
      <c r="H6793" s="1219">
        <v>3.0000000000000001E-3</v>
      </c>
      <c r="K6793" s="1192" t="s">
        <v>2506</v>
      </c>
      <c r="L6793" s="1192" t="s">
        <v>2374</v>
      </c>
      <c r="P6793" s="1192" t="s">
        <v>2519</v>
      </c>
      <c r="V6793" s="1192">
        <v>55</v>
      </c>
    </row>
    <row r="6794" spans="1:22" s="1192" customFormat="1" ht="14.4" x14ac:dyDescent="0.3">
      <c r="A6794" s="1192" t="s">
        <v>2041</v>
      </c>
      <c r="E6794" s="1741" t="s">
        <v>2034</v>
      </c>
      <c r="F6794" s="1741"/>
      <c r="G6794" s="1277" t="s">
        <v>20</v>
      </c>
      <c r="H6794" s="1219">
        <v>4.0000000000000002E-4</v>
      </c>
      <c r="K6794" s="1192" t="s">
        <v>2506</v>
      </c>
      <c r="L6794" s="1192" t="s">
        <v>2374</v>
      </c>
      <c r="P6794" s="1192" t="s">
        <v>2519</v>
      </c>
      <c r="V6794" s="1192">
        <v>65</v>
      </c>
    </row>
    <row r="6795" spans="1:22" s="1192" customFormat="1" ht="14.4" x14ac:dyDescent="0.3">
      <c r="A6795" s="1192" t="s">
        <v>2041</v>
      </c>
      <c r="E6795" s="1741" t="s">
        <v>428</v>
      </c>
      <c r="F6795" s="1741"/>
      <c r="G6795" s="1277" t="s">
        <v>20</v>
      </c>
      <c r="H6795" s="1219">
        <v>5.0000000000000001E-4</v>
      </c>
      <c r="K6795" s="1192" t="s">
        <v>2506</v>
      </c>
      <c r="L6795" s="1192" t="s">
        <v>2374</v>
      </c>
      <c r="P6795" s="1192" t="s">
        <v>2520</v>
      </c>
      <c r="V6795" s="1192">
        <v>57</v>
      </c>
    </row>
    <row r="6796" spans="1:22" s="1192" customFormat="1" ht="14.4" x14ac:dyDescent="0.3">
      <c r="A6796" s="1192" t="s">
        <v>2041</v>
      </c>
      <c r="E6796" s="1741" t="s">
        <v>28</v>
      </c>
      <c r="F6796" s="1741"/>
      <c r="G6796" s="1277" t="s">
        <v>19</v>
      </c>
      <c r="H6796" s="1218">
        <v>0.25</v>
      </c>
      <c r="K6796" s="1192" t="s">
        <v>2506</v>
      </c>
      <c r="L6796" s="1192" t="s">
        <v>2374</v>
      </c>
      <c r="P6796" s="1192" t="s">
        <v>2521</v>
      </c>
      <c r="V6796" s="1192">
        <v>63</v>
      </c>
    </row>
    <row r="6797" spans="1:22" s="1192" customFormat="1" ht="17.399999999999999" x14ac:dyDescent="0.3">
      <c r="A6797" s="1192" t="s">
        <v>2041</v>
      </c>
      <c r="E6797" s="1746" t="s">
        <v>2522</v>
      </c>
      <c r="F6797" s="1747"/>
      <c r="G6797" s="1747"/>
      <c r="H6797" s="1747"/>
      <c r="K6797" s="1192" t="s">
        <v>3901</v>
      </c>
      <c r="V6797" s="1192">
        <v>54</v>
      </c>
    </row>
    <row r="6798" spans="1:22" s="1192" customFormat="1" ht="14.4" x14ac:dyDescent="0.3">
      <c r="A6798" s="1192" t="s">
        <v>2041</v>
      </c>
      <c r="E6798" s="1743" t="s">
        <v>4980</v>
      </c>
      <c r="F6798" s="1743"/>
      <c r="G6798" s="1743"/>
      <c r="H6798" s="1743"/>
      <c r="K6798" s="1192" t="s">
        <v>3901</v>
      </c>
      <c r="V6798" s="1192">
        <v>634</v>
      </c>
    </row>
    <row r="6799" spans="1:22" s="1192" customFormat="1" ht="14.4" x14ac:dyDescent="0.3">
      <c r="A6799" s="1192" t="s">
        <v>2041</v>
      </c>
      <c r="E6799" s="1750" t="s">
        <v>2389</v>
      </c>
      <c r="F6799" s="1743"/>
      <c r="G6799" s="1743"/>
      <c r="H6799" s="1743"/>
      <c r="K6799" s="1192" t="s">
        <v>2412</v>
      </c>
      <c r="V6799" s="1192">
        <v>11</v>
      </c>
    </row>
    <row r="6800" spans="1:22" s="1192" customFormat="1" ht="14.4" x14ac:dyDescent="0.3">
      <c r="A6800" s="1192" t="s">
        <v>2041</v>
      </c>
      <c r="E6800" s="1743" t="s">
        <v>2391</v>
      </c>
      <c r="F6800" s="1743"/>
      <c r="G6800" s="1743"/>
      <c r="H6800" s="1743"/>
      <c r="K6800" s="1192" t="s">
        <v>3901</v>
      </c>
      <c r="V6800" s="1192">
        <v>280</v>
      </c>
    </row>
    <row r="6801" spans="1:22" s="1192" customFormat="1" ht="14.4" x14ac:dyDescent="0.3">
      <c r="A6801" s="1192" t="s">
        <v>2041</v>
      </c>
      <c r="E6801" s="1743" t="s">
        <v>2392</v>
      </c>
      <c r="F6801" s="1743"/>
      <c r="G6801" s="1743"/>
      <c r="H6801" s="1743"/>
      <c r="K6801" s="1192" t="s">
        <v>3901</v>
      </c>
      <c r="V6801" s="1192">
        <v>411</v>
      </c>
    </row>
    <row r="6802" spans="1:22" s="1192" customFormat="1" ht="14.4" x14ac:dyDescent="0.3">
      <c r="A6802" s="1192" t="s">
        <v>2041</v>
      </c>
      <c r="E6802" s="1743" t="s">
        <v>2393</v>
      </c>
      <c r="F6802" s="1743"/>
      <c r="G6802" s="1743"/>
      <c r="H6802" s="1743"/>
      <c r="K6802" s="1192" t="s">
        <v>3901</v>
      </c>
      <c r="V6802" s="1192">
        <v>387</v>
      </c>
    </row>
    <row r="6803" spans="1:22" s="1192" customFormat="1" ht="14.4" x14ac:dyDescent="0.3">
      <c r="A6803" s="1192" t="s">
        <v>2041</v>
      </c>
      <c r="E6803" s="1743" t="s">
        <v>4500</v>
      </c>
      <c r="F6803" s="1743"/>
      <c r="G6803" s="1743"/>
      <c r="H6803" s="1743"/>
      <c r="K6803" s="1192" t="s">
        <v>3901</v>
      </c>
      <c r="V6803" s="1192">
        <v>247</v>
      </c>
    </row>
    <row r="6804" spans="1:22" s="1192" customFormat="1" ht="14.4" x14ac:dyDescent="0.3">
      <c r="A6804" s="1192" t="s">
        <v>2041</v>
      </c>
      <c r="E6804" s="1750" t="s">
        <v>2394</v>
      </c>
      <c r="F6804" s="1743"/>
      <c r="G6804" s="1743"/>
      <c r="H6804" s="1743"/>
      <c r="K6804" s="1192" t="s">
        <v>2413</v>
      </c>
      <c r="V6804" s="1192">
        <v>46</v>
      </c>
    </row>
    <row r="6805" spans="1:22" s="1192" customFormat="1" ht="14.4" x14ac:dyDescent="0.3">
      <c r="A6805" s="1192" t="s">
        <v>2041</v>
      </c>
      <c r="E6805" s="1741" t="s">
        <v>7</v>
      </c>
      <c r="F6805" s="1741"/>
      <c r="G6805" s="1277" t="s">
        <v>19</v>
      </c>
      <c r="H6805" s="1218">
        <v>15.24</v>
      </c>
      <c r="K6805" s="1192" t="s">
        <v>3901</v>
      </c>
      <c r="L6805" s="1192" t="s">
        <v>430</v>
      </c>
      <c r="P6805" s="1192" t="s">
        <v>3902</v>
      </c>
      <c r="V6805" s="1192">
        <v>14</v>
      </c>
    </row>
    <row r="6806" spans="1:22" s="1192" customFormat="1" ht="14.4" x14ac:dyDescent="0.3">
      <c r="A6806" s="1192" t="s">
        <v>2041</v>
      </c>
      <c r="E6806" s="1741" t="s">
        <v>6431</v>
      </c>
      <c r="F6806" s="1741"/>
      <c r="G6806" s="1277" t="s">
        <v>19</v>
      </c>
      <c r="H6806" s="1218">
        <v>-0.38</v>
      </c>
      <c r="K6806" s="1192" t="s">
        <v>3901</v>
      </c>
      <c r="L6806" s="1192" t="s">
        <v>430</v>
      </c>
      <c r="P6806" s="1192" t="s">
        <v>6436</v>
      </c>
      <c r="T6806" s="1192">
        <v>44561</v>
      </c>
      <c r="V6806" s="1192">
        <v>78</v>
      </c>
    </row>
    <row r="6807" spans="1:22" s="1192" customFormat="1" ht="14.4" x14ac:dyDescent="0.3">
      <c r="A6807" s="1192" t="s">
        <v>2041</v>
      </c>
      <c r="E6807" s="1741" t="s">
        <v>6418</v>
      </c>
      <c r="F6807" s="1741"/>
      <c r="G6807" s="1277" t="s">
        <v>19</v>
      </c>
      <c r="H6807" s="1218">
        <v>0.57999999999999996</v>
      </c>
      <c r="K6807" s="1192" t="s">
        <v>3901</v>
      </c>
      <c r="L6807" s="1192" t="s">
        <v>430</v>
      </c>
      <c r="P6807" s="1192" t="s">
        <v>6437</v>
      </c>
      <c r="V6807" s="1192">
        <v>135</v>
      </c>
    </row>
    <row r="6808" spans="1:22" s="1192" customFormat="1" ht="14.4" x14ac:dyDescent="0.3">
      <c r="A6808" s="1192" t="s">
        <v>2041</v>
      </c>
      <c r="E6808" s="1741" t="s">
        <v>3900</v>
      </c>
      <c r="F6808" s="1741"/>
      <c r="G6808" s="1277" t="s">
        <v>19</v>
      </c>
      <c r="H6808" s="1218">
        <v>0.56999999999999995</v>
      </c>
      <c r="K6808" s="1192" t="s">
        <v>3901</v>
      </c>
      <c r="L6808" s="1192" t="s">
        <v>431</v>
      </c>
      <c r="P6808" s="1192" t="s">
        <v>3903</v>
      </c>
      <c r="T6808" s="1192">
        <v>44926</v>
      </c>
      <c r="V6808" s="1192">
        <v>64</v>
      </c>
    </row>
    <row r="6809" spans="1:22" s="1192" customFormat="1" ht="14.4" x14ac:dyDescent="0.3">
      <c r="A6809" s="1192" t="s">
        <v>2041</v>
      </c>
      <c r="E6809" s="1741" t="s">
        <v>5832</v>
      </c>
      <c r="F6809" s="1741"/>
      <c r="G6809" s="1277" t="s">
        <v>19</v>
      </c>
      <c r="H6809" s="1218">
        <v>0.18</v>
      </c>
      <c r="K6809" s="1192" t="s">
        <v>3901</v>
      </c>
      <c r="L6809" s="1192" t="s">
        <v>430</v>
      </c>
      <c r="P6809" s="1192" t="s">
        <v>6438</v>
      </c>
      <c r="T6809" s="1192">
        <v>44196</v>
      </c>
      <c r="V6809" s="1192">
        <v>92</v>
      </c>
    </row>
    <row r="6810" spans="1:22" s="1192" customFormat="1" ht="14.4" x14ac:dyDescent="0.3">
      <c r="A6810" s="1192" t="s">
        <v>2041</v>
      </c>
      <c r="E6810" s="1741" t="s">
        <v>80</v>
      </c>
      <c r="F6810" s="1741"/>
      <c r="G6810" s="1277" t="s">
        <v>20</v>
      </c>
      <c r="H6810" s="1219">
        <v>1.6299999999999999E-2</v>
      </c>
      <c r="K6810" s="1192" t="s">
        <v>3901</v>
      </c>
      <c r="L6810" s="1192" t="s">
        <v>430</v>
      </c>
      <c r="P6810" s="1192" t="s">
        <v>3904</v>
      </c>
      <c r="V6810" s="1192">
        <v>28</v>
      </c>
    </row>
    <row r="6811" spans="1:22" s="1192" customFormat="1" ht="14.4" x14ac:dyDescent="0.3">
      <c r="A6811" s="1192" t="s">
        <v>2041</v>
      </c>
      <c r="E6811" s="1741" t="s">
        <v>14</v>
      </c>
      <c r="F6811" s="1741"/>
      <c r="G6811" s="1277" t="s">
        <v>20</v>
      </c>
      <c r="H6811" s="1219">
        <v>2.0000000000000001E-4</v>
      </c>
      <c r="K6811" s="1192" t="s">
        <v>3901</v>
      </c>
      <c r="L6811" s="1192" t="s">
        <v>431</v>
      </c>
      <c r="P6811" s="1192" t="s">
        <v>3905</v>
      </c>
      <c r="V6811" s="1192">
        <v>24</v>
      </c>
    </row>
    <row r="6812" spans="1:22" s="1192" customFormat="1" ht="14.4" x14ac:dyDescent="0.3">
      <c r="A6812" s="1192" t="s">
        <v>2041</v>
      </c>
      <c r="E6812" s="1741" t="s">
        <v>6090</v>
      </c>
      <c r="F6812" s="1998"/>
      <c r="G6812" s="1277" t="s">
        <v>20</v>
      </c>
      <c r="H6812" s="1219">
        <v>-2.0999999999999999E-3</v>
      </c>
      <c r="K6812" s="1192" t="s">
        <v>3901</v>
      </c>
      <c r="L6812" s="1192" t="s">
        <v>431</v>
      </c>
      <c r="P6812" s="1192" t="s">
        <v>3700</v>
      </c>
      <c r="T6812" s="1192">
        <v>44196</v>
      </c>
      <c r="V6812" s="1192">
        <v>142</v>
      </c>
    </row>
    <row r="6813" spans="1:22" s="1192" customFormat="1" ht="14.4" x14ac:dyDescent="0.3">
      <c r="A6813" s="1192" t="s">
        <v>2041</v>
      </c>
      <c r="E6813" s="1741" t="s">
        <v>6145</v>
      </c>
      <c r="F6813" s="1998"/>
      <c r="G6813" s="1277" t="s">
        <v>20</v>
      </c>
      <c r="H6813" s="1219">
        <v>8.9999999999999998E-4</v>
      </c>
      <c r="K6813" s="1192" t="s">
        <v>3901</v>
      </c>
      <c r="L6813" s="1192" t="s">
        <v>430</v>
      </c>
      <c r="P6813" s="1192" t="s">
        <v>4000</v>
      </c>
      <c r="T6813" s="1192">
        <v>44196</v>
      </c>
      <c r="V6813" s="1192">
        <v>139</v>
      </c>
    </row>
    <row r="6814" spans="1:22" s="1192" customFormat="1" ht="14.4" x14ac:dyDescent="0.3">
      <c r="A6814" s="1192" t="s">
        <v>2041</v>
      </c>
      <c r="E6814" s="1741" t="s">
        <v>6087</v>
      </c>
      <c r="F6814" s="1998"/>
      <c r="G6814" s="1277" t="s">
        <v>20</v>
      </c>
      <c r="H6814" s="1219">
        <v>-5.0000000000000001E-4</v>
      </c>
      <c r="K6814" s="1192" t="s">
        <v>3901</v>
      </c>
      <c r="L6814" s="1192" t="s">
        <v>431</v>
      </c>
      <c r="P6814" s="1192" t="s">
        <v>3911</v>
      </c>
      <c r="T6814" s="1192">
        <v>44196</v>
      </c>
      <c r="V6814" s="1192">
        <v>99</v>
      </c>
    </row>
    <row r="6815" spans="1:22" s="1192" customFormat="1" ht="14.4" x14ac:dyDescent="0.3">
      <c r="A6815" s="1192" t="s">
        <v>2041</v>
      </c>
      <c r="E6815" s="1741" t="s">
        <v>6434</v>
      </c>
      <c r="F6815" s="1998"/>
      <c r="G6815" s="1277" t="s">
        <v>20</v>
      </c>
      <c r="H6815" s="1219">
        <v>-1E-4</v>
      </c>
      <c r="K6815" s="1192" t="s">
        <v>3901</v>
      </c>
      <c r="L6815" s="1192" t="s">
        <v>431</v>
      </c>
      <c r="P6815" s="1192" t="s">
        <v>4001</v>
      </c>
      <c r="T6815" s="1192">
        <v>44196</v>
      </c>
      <c r="V6815" s="1192">
        <v>149</v>
      </c>
    </row>
    <row r="6816" spans="1:22" s="1192" customFormat="1" ht="14.4" x14ac:dyDescent="0.3">
      <c r="A6816" s="1192" t="s">
        <v>2041</v>
      </c>
      <c r="E6816" s="1741" t="s">
        <v>5832</v>
      </c>
      <c r="F6816" s="1741"/>
      <c r="G6816" s="1277" t="s">
        <v>20</v>
      </c>
      <c r="H6816" s="1219">
        <v>2.0000000000000001E-4</v>
      </c>
      <c r="K6816" s="1192" t="s">
        <v>3901</v>
      </c>
      <c r="L6816" s="1192" t="s">
        <v>430</v>
      </c>
      <c r="P6816" s="1192" t="s">
        <v>4590</v>
      </c>
      <c r="T6816" s="1192">
        <v>44196</v>
      </c>
      <c r="V6816" s="1192">
        <v>92</v>
      </c>
    </row>
    <row r="6817" spans="1:22" s="1192" customFormat="1" ht="14.4" x14ac:dyDescent="0.3">
      <c r="A6817" s="1192" t="s">
        <v>2041</v>
      </c>
      <c r="E6817" s="1741" t="s">
        <v>213</v>
      </c>
      <c r="F6817" s="1741"/>
      <c r="G6817" s="1277" t="s">
        <v>20</v>
      </c>
      <c r="H6817" s="1219">
        <v>5.5999999999999999E-3</v>
      </c>
      <c r="K6817" s="1192" t="s">
        <v>3901</v>
      </c>
      <c r="L6817" s="1192" t="s">
        <v>432</v>
      </c>
      <c r="P6817" s="1192" t="s">
        <v>3906</v>
      </c>
      <c r="V6817" s="1192">
        <v>47</v>
      </c>
    </row>
    <row r="6818" spans="1:22" s="1192" customFormat="1" ht="14.4" x14ac:dyDescent="0.3">
      <c r="A6818" s="1192" t="s">
        <v>2041</v>
      </c>
      <c r="E6818" s="1741" t="s">
        <v>209</v>
      </c>
      <c r="F6818" s="1741"/>
      <c r="G6818" s="1277" t="s">
        <v>20</v>
      </c>
      <c r="H6818" s="1219">
        <v>4.0000000000000001E-3</v>
      </c>
      <c r="K6818" s="1192" t="s">
        <v>3901</v>
      </c>
      <c r="L6818" s="1192" t="s">
        <v>432</v>
      </c>
      <c r="P6818" s="1192" t="s">
        <v>3907</v>
      </c>
      <c r="V6818" s="1192">
        <v>74</v>
      </c>
    </row>
    <row r="6819" spans="1:22" s="1192" customFormat="1" ht="14.4" x14ac:dyDescent="0.3">
      <c r="A6819" s="1192" t="s">
        <v>2041</v>
      </c>
      <c r="E6819" s="1750" t="s">
        <v>2405</v>
      </c>
      <c r="F6819" s="1741"/>
      <c r="G6819" s="1255"/>
      <c r="H6819" s="931"/>
      <c r="K6819" s="1192" t="s">
        <v>2418</v>
      </c>
      <c r="V6819" s="1192">
        <v>48</v>
      </c>
    </row>
    <row r="6820" spans="1:22" s="1192" customFormat="1" ht="14.4" x14ac:dyDescent="0.3">
      <c r="A6820" s="1192" t="s">
        <v>2041</v>
      </c>
      <c r="E6820" s="1741" t="s">
        <v>2033</v>
      </c>
      <c r="F6820" s="1741"/>
      <c r="G6820" s="1277" t="s">
        <v>20</v>
      </c>
      <c r="H6820" s="1219">
        <v>3.0000000000000001E-3</v>
      </c>
      <c r="K6820" s="1192" t="s">
        <v>3901</v>
      </c>
      <c r="L6820" s="1192" t="s">
        <v>2374</v>
      </c>
      <c r="P6820" s="1192" t="s">
        <v>3908</v>
      </c>
      <c r="V6820" s="1192">
        <v>55</v>
      </c>
    </row>
    <row r="6821" spans="1:22" s="1192" customFormat="1" ht="14.4" x14ac:dyDescent="0.3">
      <c r="A6821" s="1192" t="s">
        <v>2041</v>
      </c>
      <c r="E6821" s="1741" t="s">
        <v>2034</v>
      </c>
      <c r="F6821" s="1741"/>
      <c r="G6821" s="1277" t="s">
        <v>20</v>
      </c>
      <c r="H6821" s="1219">
        <v>4.0000000000000002E-4</v>
      </c>
      <c r="K6821" s="1192" t="s">
        <v>3901</v>
      </c>
      <c r="L6821" s="1192" t="s">
        <v>2374</v>
      </c>
      <c r="P6821" s="1192" t="s">
        <v>3908</v>
      </c>
      <c r="V6821" s="1192">
        <v>65</v>
      </c>
    </row>
    <row r="6822" spans="1:22" s="1192" customFormat="1" ht="14.4" x14ac:dyDescent="0.3">
      <c r="A6822" s="1192" t="s">
        <v>2041</v>
      </c>
      <c r="E6822" s="1741" t="s">
        <v>428</v>
      </c>
      <c r="F6822" s="1741"/>
      <c r="G6822" s="1277" t="s">
        <v>20</v>
      </c>
      <c r="H6822" s="1219">
        <v>5.0000000000000001E-4</v>
      </c>
      <c r="K6822" s="1192" t="s">
        <v>3901</v>
      </c>
      <c r="L6822" s="1192" t="s">
        <v>2374</v>
      </c>
      <c r="P6822" s="1192" t="s">
        <v>3909</v>
      </c>
      <c r="V6822" s="1192">
        <v>57</v>
      </c>
    </row>
    <row r="6823" spans="1:22" s="1192" customFormat="1" ht="14.4" x14ac:dyDescent="0.3">
      <c r="A6823" s="1192" t="s">
        <v>2041</v>
      </c>
      <c r="E6823" s="1741" t="s">
        <v>28</v>
      </c>
      <c r="F6823" s="1741"/>
      <c r="G6823" s="1277" t="s">
        <v>19</v>
      </c>
      <c r="H6823" s="1218">
        <v>0.25</v>
      </c>
      <c r="K6823" s="1192" t="s">
        <v>3901</v>
      </c>
      <c r="L6823" s="1192" t="s">
        <v>2374</v>
      </c>
      <c r="P6823" s="1192" t="s">
        <v>3910</v>
      </c>
      <c r="V6823" s="1192">
        <v>63</v>
      </c>
    </row>
    <row r="6824" spans="1:22" s="1192" customFormat="1" ht="17.399999999999999" x14ac:dyDescent="0.3">
      <c r="A6824" s="1192" t="s">
        <v>2041</v>
      </c>
      <c r="E6824" s="1746" t="s">
        <v>2524</v>
      </c>
      <c r="F6824" s="1747"/>
      <c r="G6824" s="1747"/>
      <c r="H6824" s="1747"/>
      <c r="K6824" s="1192" t="s">
        <v>3937</v>
      </c>
      <c r="V6824" s="1192">
        <v>51</v>
      </c>
    </row>
    <row r="6825" spans="1:22" s="1192" customFormat="1" ht="14.4" x14ac:dyDescent="0.3">
      <c r="A6825" s="1192" t="s">
        <v>2041</v>
      </c>
      <c r="E6825" s="1743" t="s">
        <v>4981</v>
      </c>
      <c r="F6825" s="1743"/>
      <c r="G6825" s="1743"/>
      <c r="H6825" s="1743"/>
      <c r="K6825" s="1192" t="s">
        <v>3937</v>
      </c>
      <c r="V6825" s="1192">
        <v>647</v>
      </c>
    </row>
    <row r="6826" spans="1:22" s="1192" customFormat="1" ht="14.4" x14ac:dyDescent="0.3">
      <c r="A6826" s="1192" t="s">
        <v>2041</v>
      </c>
      <c r="E6826" s="1750" t="s">
        <v>2389</v>
      </c>
      <c r="F6826" s="1743"/>
      <c r="G6826" s="1743"/>
      <c r="H6826" s="1743"/>
      <c r="K6826" s="1192" t="s">
        <v>2422</v>
      </c>
      <c r="V6826" s="1192">
        <v>11</v>
      </c>
    </row>
    <row r="6827" spans="1:22" s="1192" customFormat="1" ht="14.4" x14ac:dyDescent="0.3">
      <c r="A6827" s="1192" t="s">
        <v>2041</v>
      </c>
      <c r="E6827" s="1743" t="s">
        <v>2391</v>
      </c>
      <c r="F6827" s="1743"/>
      <c r="G6827" s="1743"/>
      <c r="H6827" s="1743"/>
      <c r="K6827" s="1192" t="s">
        <v>3937</v>
      </c>
      <c r="V6827" s="1192">
        <v>280</v>
      </c>
    </row>
    <row r="6828" spans="1:22" s="1192" customFormat="1" ht="14.4" x14ac:dyDescent="0.3">
      <c r="A6828" s="1192" t="s">
        <v>2041</v>
      </c>
      <c r="E6828" s="1743" t="s">
        <v>2392</v>
      </c>
      <c r="F6828" s="1743"/>
      <c r="G6828" s="1743"/>
      <c r="H6828" s="1743"/>
      <c r="K6828" s="1192" t="s">
        <v>3937</v>
      </c>
      <c r="V6828" s="1192">
        <v>411</v>
      </c>
    </row>
    <row r="6829" spans="1:22" s="1192" customFormat="1" ht="14.4" x14ac:dyDescent="0.3">
      <c r="A6829" s="1192" t="s">
        <v>2041</v>
      </c>
      <c r="E6829" s="1743" t="s">
        <v>2393</v>
      </c>
      <c r="F6829" s="1743"/>
      <c r="G6829" s="1743"/>
      <c r="H6829" s="1743"/>
      <c r="K6829" s="1192" t="s">
        <v>3937</v>
      </c>
      <c r="V6829" s="1192">
        <v>387</v>
      </c>
    </row>
    <row r="6830" spans="1:22" s="1192" customFormat="1" ht="14.4" x14ac:dyDescent="0.3">
      <c r="A6830" s="1192" t="s">
        <v>2041</v>
      </c>
      <c r="E6830" s="1743" t="s">
        <v>4605</v>
      </c>
      <c r="F6830" s="1743"/>
      <c r="G6830" s="1743"/>
      <c r="H6830" s="1743"/>
      <c r="K6830" s="1192" t="s">
        <v>3937</v>
      </c>
      <c r="V6830" s="1192">
        <v>684</v>
      </c>
    </row>
    <row r="6831" spans="1:22" s="1192" customFormat="1" ht="14.4" x14ac:dyDescent="0.3">
      <c r="A6831" s="1192" t="s">
        <v>2041</v>
      </c>
      <c r="E6831" s="1743" t="s">
        <v>4503</v>
      </c>
      <c r="F6831" s="1743"/>
      <c r="G6831" s="1743"/>
      <c r="H6831" s="1743"/>
      <c r="K6831" s="1192" t="s">
        <v>3937</v>
      </c>
      <c r="V6831" s="1192">
        <v>677</v>
      </c>
    </row>
    <row r="6832" spans="1:22" s="1192" customFormat="1" ht="14.4" x14ac:dyDescent="0.3">
      <c r="A6832" s="1192" t="s">
        <v>2041</v>
      </c>
      <c r="E6832" s="1743" t="s">
        <v>4500</v>
      </c>
      <c r="F6832" s="1743"/>
      <c r="G6832" s="1743"/>
      <c r="H6832" s="1743"/>
      <c r="K6832" s="1192" t="s">
        <v>3937</v>
      </c>
      <c r="V6832" s="1192">
        <v>247</v>
      </c>
    </row>
    <row r="6833" spans="1:22" s="1192" customFormat="1" ht="14.4" x14ac:dyDescent="0.3">
      <c r="A6833" s="1192" t="s">
        <v>2041</v>
      </c>
      <c r="E6833" s="1750" t="s">
        <v>2394</v>
      </c>
      <c r="F6833" s="1743"/>
      <c r="G6833" s="1743"/>
      <c r="H6833" s="1743"/>
      <c r="K6833" s="1192" t="s">
        <v>2423</v>
      </c>
      <c r="V6833" s="1192">
        <v>46</v>
      </c>
    </row>
    <row r="6834" spans="1:22" s="1192" customFormat="1" ht="14.4" x14ac:dyDescent="0.3">
      <c r="A6834" s="1192" t="s">
        <v>2041</v>
      </c>
      <c r="E6834" s="1741" t="s">
        <v>7</v>
      </c>
      <c r="F6834" s="1741"/>
      <c r="G6834" s="1277" t="s">
        <v>19</v>
      </c>
      <c r="H6834" s="1218">
        <v>104.23</v>
      </c>
      <c r="K6834" s="1192" t="s">
        <v>3937</v>
      </c>
      <c r="L6834" s="1192" t="s">
        <v>430</v>
      </c>
      <c r="P6834" s="1192" t="s">
        <v>3938</v>
      </c>
      <c r="V6834" s="1192">
        <v>14</v>
      </c>
    </row>
    <row r="6835" spans="1:22" s="1192" customFormat="1" ht="14.4" x14ac:dyDescent="0.3">
      <c r="A6835" s="1192" t="s">
        <v>2041</v>
      </c>
      <c r="E6835" s="1741" t="s">
        <v>6431</v>
      </c>
      <c r="F6835" s="1741"/>
      <c r="G6835" s="1277" t="s">
        <v>19</v>
      </c>
      <c r="H6835" s="1218">
        <v>-4.97</v>
      </c>
      <c r="K6835" s="1192" t="s">
        <v>3937</v>
      </c>
      <c r="L6835" s="1192" t="s">
        <v>430</v>
      </c>
      <c r="P6835" s="1192" t="s">
        <v>6439</v>
      </c>
      <c r="T6835" s="1192">
        <v>44561</v>
      </c>
      <c r="V6835" s="1192">
        <v>78</v>
      </c>
    </row>
    <row r="6836" spans="1:22" s="1192" customFormat="1" ht="14.4" x14ac:dyDescent="0.3">
      <c r="A6836" s="1192" t="s">
        <v>2041</v>
      </c>
      <c r="E6836" s="1741" t="s">
        <v>6440</v>
      </c>
      <c r="F6836" s="1741"/>
      <c r="G6836" s="1277" t="s">
        <v>19</v>
      </c>
      <c r="H6836" s="1218">
        <v>7.62</v>
      </c>
      <c r="K6836" s="1192" t="s">
        <v>3937</v>
      </c>
      <c r="L6836" s="1192" t="s">
        <v>430</v>
      </c>
      <c r="P6836" s="1192" t="s">
        <v>6441</v>
      </c>
      <c r="V6836" s="1192">
        <v>128</v>
      </c>
    </row>
    <row r="6837" spans="1:22" s="1192" customFormat="1" ht="14.4" x14ac:dyDescent="0.3">
      <c r="A6837" s="1192" t="s">
        <v>2041</v>
      </c>
      <c r="E6837" s="1741" t="s">
        <v>5832</v>
      </c>
      <c r="F6837" s="1741"/>
      <c r="G6837" s="1277" t="s">
        <v>19</v>
      </c>
      <c r="H6837" s="1218">
        <v>-4.43</v>
      </c>
      <c r="K6837" s="1192" t="s">
        <v>3937</v>
      </c>
      <c r="L6837" s="1192" t="s">
        <v>430</v>
      </c>
      <c r="P6837" s="1192" t="s">
        <v>6442</v>
      </c>
      <c r="T6837" s="1192">
        <v>44196</v>
      </c>
      <c r="V6837" s="1192">
        <v>92</v>
      </c>
    </row>
    <row r="6838" spans="1:22" s="1192" customFormat="1" ht="14.4" x14ac:dyDescent="0.3">
      <c r="A6838" s="1192" t="s">
        <v>2041</v>
      </c>
      <c r="E6838" s="1741" t="s">
        <v>80</v>
      </c>
      <c r="F6838" s="1741"/>
      <c r="G6838" s="1277" t="s">
        <v>29</v>
      </c>
      <c r="H6838" s="1219">
        <v>3.8544</v>
      </c>
      <c r="K6838" s="1192" t="s">
        <v>3937</v>
      </c>
      <c r="L6838" s="1192" t="s">
        <v>430</v>
      </c>
      <c r="P6838" s="1192" t="s">
        <v>3939</v>
      </c>
      <c r="V6838" s="1192">
        <v>28</v>
      </c>
    </row>
    <row r="6839" spans="1:22" s="1192" customFormat="1" ht="14.4" x14ac:dyDescent="0.3">
      <c r="A6839" s="1192" t="s">
        <v>2041</v>
      </c>
      <c r="E6839" s="1741" t="s">
        <v>14</v>
      </c>
      <c r="F6839" s="1741"/>
      <c r="G6839" s="1277" t="s">
        <v>29</v>
      </c>
      <c r="H6839" s="1219">
        <v>0.14549999999999999</v>
      </c>
      <c r="K6839" s="1192" t="s">
        <v>3937</v>
      </c>
      <c r="L6839" s="1192" t="s">
        <v>431</v>
      </c>
      <c r="P6839" s="1192" t="s">
        <v>3940</v>
      </c>
      <c r="V6839" s="1192">
        <v>24</v>
      </c>
    </row>
    <row r="6840" spans="1:22" s="1192" customFormat="1" ht="14.4" x14ac:dyDescent="0.3">
      <c r="A6840" s="1192" t="s">
        <v>2041</v>
      </c>
      <c r="E6840" s="1741" t="s">
        <v>6090</v>
      </c>
      <c r="F6840" s="1998"/>
      <c r="G6840" s="1277" t="s">
        <v>20</v>
      </c>
      <c r="H6840" s="1219">
        <v>-2.0999999999999999E-3</v>
      </c>
      <c r="K6840" s="1192" t="s">
        <v>3937</v>
      </c>
      <c r="L6840" s="1192" t="s">
        <v>431</v>
      </c>
      <c r="P6840" s="1192" t="s">
        <v>4089</v>
      </c>
      <c r="T6840" s="1192">
        <v>44196</v>
      </c>
      <c r="V6840" s="1192">
        <v>142</v>
      </c>
    </row>
    <row r="6841" spans="1:22" s="1192" customFormat="1" ht="14.4" x14ac:dyDescent="0.3">
      <c r="A6841" s="1192" t="s">
        <v>2041</v>
      </c>
      <c r="E6841" s="1741" t="s">
        <v>6145</v>
      </c>
      <c r="F6841" s="1998"/>
      <c r="G6841" s="1277" t="s">
        <v>29</v>
      </c>
      <c r="H6841" s="1219">
        <v>0.1192</v>
      </c>
      <c r="K6841" s="1192" t="s">
        <v>3937</v>
      </c>
      <c r="L6841" s="1192" t="s">
        <v>430</v>
      </c>
      <c r="P6841" s="1192" t="s">
        <v>4090</v>
      </c>
      <c r="T6841" s="1192">
        <v>44196</v>
      </c>
      <c r="V6841" s="1192">
        <v>139</v>
      </c>
    </row>
    <row r="6842" spans="1:22" s="1192" customFormat="1" ht="14.4" x14ac:dyDescent="0.3">
      <c r="A6842" s="1192" t="s">
        <v>2041</v>
      </c>
      <c r="E6842" s="1741" t="s">
        <v>6146</v>
      </c>
      <c r="F6842" s="1998"/>
      <c r="G6842" s="1277" t="s">
        <v>29</v>
      </c>
      <c r="H6842" s="1219">
        <v>-0.1125</v>
      </c>
      <c r="K6842" s="1192" t="s">
        <v>3937</v>
      </c>
      <c r="L6842" s="1192" t="s">
        <v>431</v>
      </c>
      <c r="P6842" s="1192" t="s">
        <v>4091</v>
      </c>
      <c r="T6842" s="1192">
        <v>44196</v>
      </c>
      <c r="V6842" s="1192">
        <v>159</v>
      </c>
    </row>
    <row r="6843" spans="1:22" s="1192" customFormat="1" ht="14.4" x14ac:dyDescent="0.3">
      <c r="A6843" s="1192" t="s">
        <v>2041</v>
      </c>
      <c r="E6843" s="1741" t="s">
        <v>6087</v>
      </c>
      <c r="F6843" s="1998"/>
      <c r="G6843" s="1277" t="s">
        <v>29</v>
      </c>
      <c r="H6843" s="1219">
        <v>-3.4500000000000003E-2</v>
      </c>
      <c r="K6843" s="1192" t="s">
        <v>3937</v>
      </c>
      <c r="L6843" s="1192" t="s">
        <v>431</v>
      </c>
      <c r="P6843" s="1192" t="s">
        <v>4091</v>
      </c>
      <c r="T6843" s="1192">
        <v>44196</v>
      </c>
      <c r="V6843" s="1192">
        <v>99</v>
      </c>
    </row>
    <row r="6844" spans="1:22" s="1192" customFormat="1" ht="14.4" x14ac:dyDescent="0.3">
      <c r="A6844" s="1192" t="s">
        <v>2041</v>
      </c>
      <c r="E6844" s="1741" t="s">
        <v>6434</v>
      </c>
      <c r="F6844" s="1998"/>
      <c r="G6844" s="1277" t="s">
        <v>29</v>
      </c>
      <c r="H6844" s="1219">
        <v>-1.4800000000000001E-2</v>
      </c>
      <c r="K6844" s="1192" t="s">
        <v>3937</v>
      </c>
      <c r="L6844" s="1192" t="s">
        <v>431</v>
      </c>
      <c r="P6844" s="1192" t="s">
        <v>4092</v>
      </c>
      <c r="T6844" s="1192">
        <v>44196</v>
      </c>
      <c r="V6844" s="1192">
        <v>149</v>
      </c>
    </row>
    <row r="6845" spans="1:22" s="1192" customFormat="1" ht="14.4" x14ac:dyDescent="0.3">
      <c r="A6845" s="1192" t="s">
        <v>2041</v>
      </c>
      <c r="E6845" s="1741" t="s">
        <v>5832</v>
      </c>
      <c r="F6845" s="1741"/>
      <c r="G6845" s="1277" t="s">
        <v>29</v>
      </c>
      <c r="H6845" s="1219">
        <v>-0.159</v>
      </c>
      <c r="K6845" s="1192" t="s">
        <v>3937</v>
      </c>
      <c r="L6845" s="1192" t="s">
        <v>430</v>
      </c>
      <c r="P6845" s="1192" t="s">
        <v>4591</v>
      </c>
      <c r="T6845" s="1192">
        <v>44196</v>
      </c>
      <c r="V6845" s="1192">
        <v>92</v>
      </c>
    </row>
    <row r="6846" spans="1:22" s="1192" customFormat="1" ht="14.4" x14ac:dyDescent="0.3">
      <c r="A6846" s="1192" t="s">
        <v>2041</v>
      </c>
      <c r="E6846" s="1741" t="s">
        <v>213</v>
      </c>
      <c r="F6846" s="1741"/>
      <c r="G6846" s="1277" t="s">
        <v>29</v>
      </c>
      <c r="H6846" s="1219">
        <v>3.2673999999999999</v>
      </c>
      <c r="K6846" s="1192" t="s">
        <v>3937</v>
      </c>
      <c r="L6846" s="1192" t="s">
        <v>432</v>
      </c>
      <c r="P6846" s="1192" t="s">
        <v>3941</v>
      </c>
      <c r="V6846" s="1192">
        <v>47</v>
      </c>
    </row>
    <row r="6847" spans="1:22" s="1192" customFormat="1" ht="14.4" x14ac:dyDescent="0.3">
      <c r="A6847" s="1192" t="s">
        <v>2041</v>
      </c>
      <c r="E6847" s="1741" t="s">
        <v>5833</v>
      </c>
      <c r="F6847" s="1741"/>
      <c r="G6847" s="1277" t="s">
        <v>29</v>
      </c>
      <c r="H6847" s="1219">
        <v>2.2888999999999999</v>
      </c>
      <c r="K6847" s="1192" t="s">
        <v>3937</v>
      </c>
      <c r="L6847" s="1192" t="s">
        <v>432</v>
      </c>
      <c r="P6847" s="1192" t="s">
        <v>3942</v>
      </c>
      <c r="V6847" s="1192">
        <v>104</v>
      </c>
    </row>
    <row r="6848" spans="1:22" s="1192" customFormat="1" ht="14.4" x14ac:dyDescent="0.3">
      <c r="A6848" s="1192" t="s">
        <v>2041</v>
      </c>
      <c r="E6848" s="1741" t="s">
        <v>5834</v>
      </c>
      <c r="F6848" s="1741"/>
      <c r="G6848" s="1277" t="s">
        <v>29</v>
      </c>
      <c r="H6848" s="1219">
        <v>3.2902</v>
      </c>
      <c r="K6848" s="1192" t="s">
        <v>3937</v>
      </c>
      <c r="L6848" s="1192" t="s">
        <v>432</v>
      </c>
      <c r="P6848" s="1192" t="s">
        <v>3941</v>
      </c>
      <c r="V6848" s="1192">
        <v>75</v>
      </c>
    </row>
    <row r="6849" spans="1:22" s="1192" customFormat="1" ht="14.4" x14ac:dyDescent="0.3">
      <c r="A6849" s="1192" t="s">
        <v>2041</v>
      </c>
      <c r="E6849" s="1741" t="s">
        <v>5835</v>
      </c>
      <c r="F6849" s="1741"/>
      <c r="G6849" s="1277" t="s">
        <v>29</v>
      </c>
      <c r="H6849" s="1219">
        <v>2.3119999999999998</v>
      </c>
      <c r="K6849" s="1192" t="s">
        <v>3937</v>
      </c>
      <c r="L6849" s="1192" t="s">
        <v>432</v>
      </c>
      <c r="P6849" s="1192" t="s">
        <v>3942</v>
      </c>
      <c r="V6849" s="1192">
        <v>133</v>
      </c>
    </row>
    <row r="6850" spans="1:22" s="1192" customFormat="1" ht="14.4" x14ac:dyDescent="0.3">
      <c r="A6850" s="1192" t="s">
        <v>2041</v>
      </c>
      <c r="E6850" s="1750" t="s">
        <v>2405</v>
      </c>
      <c r="F6850" s="1741"/>
      <c r="G6850" s="1277"/>
      <c r="H6850" s="896"/>
      <c r="K6850" s="1192" t="s">
        <v>2526</v>
      </c>
      <c r="V6850" s="1192">
        <v>48</v>
      </c>
    </row>
    <row r="6851" spans="1:22" s="1192" customFormat="1" ht="14.4" x14ac:dyDescent="0.3">
      <c r="A6851" s="1192" t="s">
        <v>2041</v>
      </c>
      <c r="E6851" s="1741" t="s">
        <v>2033</v>
      </c>
      <c r="F6851" s="1741"/>
      <c r="G6851" s="1277" t="s">
        <v>20</v>
      </c>
      <c r="H6851" s="1219">
        <v>3.0000000000000001E-3</v>
      </c>
      <c r="K6851" s="1192" t="s">
        <v>3937</v>
      </c>
      <c r="L6851" s="1192" t="s">
        <v>2374</v>
      </c>
      <c r="P6851" s="1192" t="s">
        <v>3943</v>
      </c>
      <c r="V6851" s="1192">
        <v>55</v>
      </c>
    </row>
    <row r="6852" spans="1:22" s="1192" customFormat="1" ht="14.4" x14ac:dyDescent="0.3">
      <c r="A6852" s="1192" t="s">
        <v>2041</v>
      </c>
      <c r="E6852" s="1741" t="s">
        <v>2034</v>
      </c>
      <c r="F6852" s="1741"/>
      <c r="G6852" s="1277" t="s">
        <v>20</v>
      </c>
      <c r="H6852" s="1219">
        <v>4.0000000000000002E-4</v>
      </c>
      <c r="K6852" s="1192" t="s">
        <v>3937</v>
      </c>
      <c r="L6852" s="1192" t="s">
        <v>2374</v>
      </c>
      <c r="P6852" s="1192" t="s">
        <v>3943</v>
      </c>
      <c r="V6852" s="1192">
        <v>65</v>
      </c>
    </row>
    <row r="6853" spans="1:22" s="1192" customFormat="1" ht="14.4" x14ac:dyDescent="0.3">
      <c r="A6853" s="1192" t="s">
        <v>2041</v>
      </c>
      <c r="E6853" s="1741" t="s">
        <v>428</v>
      </c>
      <c r="F6853" s="1741"/>
      <c r="G6853" s="1277" t="s">
        <v>20</v>
      </c>
      <c r="H6853" s="1219">
        <v>5.0000000000000001E-4</v>
      </c>
      <c r="K6853" s="1192" t="s">
        <v>3937</v>
      </c>
      <c r="L6853" s="1192" t="s">
        <v>2374</v>
      </c>
      <c r="P6853" s="1192" t="s">
        <v>3944</v>
      </c>
      <c r="V6853" s="1192">
        <v>57</v>
      </c>
    </row>
    <row r="6854" spans="1:22" s="1192" customFormat="1" ht="14.4" x14ac:dyDescent="0.3">
      <c r="A6854" s="1192" t="s">
        <v>2041</v>
      </c>
      <c r="E6854" s="1741" t="s">
        <v>28</v>
      </c>
      <c r="F6854" s="1741"/>
      <c r="G6854" s="1277" t="s">
        <v>19</v>
      </c>
      <c r="H6854" s="1218">
        <v>0.25</v>
      </c>
      <c r="K6854" s="1192" t="s">
        <v>3937</v>
      </c>
      <c r="L6854" s="1192" t="s">
        <v>2374</v>
      </c>
      <c r="P6854" s="1192" t="s">
        <v>3945</v>
      </c>
      <c r="V6854" s="1192">
        <v>63</v>
      </c>
    </row>
    <row r="6855" spans="1:22" s="1192" customFormat="1" ht="17.399999999999999" x14ac:dyDescent="0.3">
      <c r="A6855" s="1192" t="s">
        <v>2041</v>
      </c>
      <c r="E6855" s="1746" t="s">
        <v>2527</v>
      </c>
      <c r="F6855" s="1747"/>
      <c r="G6855" s="1747"/>
      <c r="H6855" s="1747"/>
      <c r="K6855" s="1192" t="s">
        <v>3946</v>
      </c>
      <c r="V6855" s="1192">
        <v>56</v>
      </c>
    </row>
    <row r="6856" spans="1:22" s="1192" customFormat="1" ht="14.4" x14ac:dyDescent="0.3">
      <c r="A6856" s="1192" t="s">
        <v>2041</v>
      </c>
      <c r="E6856" s="1743" t="s">
        <v>4982</v>
      </c>
      <c r="F6856" s="1743"/>
      <c r="G6856" s="1743"/>
      <c r="H6856" s="1743"/>
      <c r="K6856" s="1192" t="s">
        <v>3946</v>
      </c>
      <c r="V6856" s="1192">
        <v>663</v>
      </c>
    </row>
    <row r="6857" spans="1:22" s="1192" customFormat="1" ht="14.4" x14ac:dyDescent="0.3">
      <c r="A6857" s="1192" t="s">
        <v>2041</v>
      </c>
      <c r="E6857" s="1750" t="s">
        <v>2389</v>
      </c>
      <c r="F6857" s="1743"/>
      <c r="G6857" s="1743"/>
      <c r="H6857" s="1743"/>
      <c r="K6857" s="1192" t="s">
        <v>2529</v>
      </c>
      <c r="V6857" s="1192">
        <v>11</v>
      </c>
    </row>
    <row r="6858" spans="1:22" s="1192" customFormat="1" ht="14.4" x14ac:dyDescent="0.3">
      <c r="A6858" s="1192" t="s">
        <v>2041</v>
      </c>
      <c r="E6858" s="1743" t="s">
        <v>2391</v>
      </c>
      <c r="F6858" s="1743"/>
      <c r="G6858" s="1743"/>
      <c r="H6858" s="1743"/>
      <c r="K6858" s="1192" t="s">
        <v>3946</v>
      </c>
      <c r="V6858" s="1192">
        <v>280</v>
      </c>
    </row>
    <row r="6859" spans="1:22" s="1192" customFormat="1" ht="14.4" x14ac:dyDescent="0.3">
      <c r="A6859" s="1192" t="s">
        <v>2041</v>
      </c>
      <c r="E6859" s="1743" t="s">
        <v>2392</v>
      </c>
      <c r="F6859" s="1743"/>
      <c r="G6859" s="1743"/>
      <c r="H6859" s="1743"/>
      <c r="K6859" s="1192" t="s">
        <v>3946</v>
      </c>
      <c r="V6859" s="1192">
        <v>411</v>
      </c>
    </row>
    <row r="6860" spans="1:22" s="1192" customFormat="1" ht="14.4" x14ac:dyDescent="0.3">
      <c r="A6860" s="1192" t="s">
        <v>2041</v>
      </c>
      <c r="E6860" s="1743" t="s">
        <v>2393</v>
      </c>
      <c r="F6860" s="1743"/>
      <c r="G6860" s="1743"/>
      <c r="H6860" s="1743"/>
      <c r="K6860" s="1192" t="s">
        <v>3946</v>
      </c>
      <c r="V6860" s="1192">
        <v>387</v>
      </c>
    </row>
    <row r="6861" spans="1:22" s="1192" customFormat="1" ht="14.4" x14ac:dyDescent="0.3">
      <c r="A6861" s="1192" t="s">
        <v>2041</v>
      </c>
      <c r="E6861" s="1743" t="s">
        <v>4605</v>
      </c>
      <c r="F6861" s="1743"/>
      <c r="G6861" s="1743"/>
      <c r="H6861" s="1743"/>
      <c r="K6861" s="1192" t="s">
        <v>3946</v>
      </c>
      <c r="V6861" s="1192">
        <v>684</v>
      </c>
    </row>
    <row r="6862" spans="1:22" s="1192" customFormat="1" ht="14.4" x14ac:dyDescent="0.3">
      <c r="A6862" s="1192" t="s">
        <v>2041</v>
      </c>
      <c r="E6862" s="1743" t="s">
        <v>4503</v>
      </c>
      <c r="F6862" s="1743"/>
      <c r="G6862" s="1743"/>
      <c r="H6862" s="1743"/>
      <c r="K6862" s="1192" t="s">
        <v>3946</v>
      </c>
      <c r="V6862" s="1192">
        <v>677</v>
      </c>
    </row>
    <row r="6863" spans="1:22" s="1192" customFormat="1" ht="14.4" x14ac:dyDescent="0.3">
      <c r="A6863" s="1192" t="s">
        <v>2041</v>
      </c>
      <c r="E6863" s="1743" t="s">
        <v>4500</v>
      </c>
      <c r="F6863" s="1743"/>
      <c r="G6863" s="1743"/>
      <c r="H6863" s="1743"/>
      <c r="K6863" s="1192" t="s">
        <v>3946</v>
      </c>
      <c r="V6863" s="1192">
        <v>247</v>
      </c>
    </row>
    <row r="6864" spans="1:22" s="1192" customFormat="1" ht="14.4" x14ac:dyDescent="0.3">
      <c r="A6864" s="1192" t="s">
        <v>2041</v>
      </c>
      <c r="E6864" s="1750" t="s">
        <v>2394</v>
      </c>
      <c r="F6864" s="1743"/>
      <c r="G6864" s="1743"/>
      <c r="H6864" s="1743"/>
      <c r="K6864" s="1192" t="s">
        <v>2531</v>
      </c>
      <c r="V6864" s="1192">
        <v>46</v>
      </c>
    </row>
    <row r="6865" spans="1:22" s="1192" customFormat="1" ht="14.4" x14ac:dyDescent="0.3">
      <c r="A6865" s="1192" t="s">
        <v>2041</v>
      </c>
      <c r="E6865" s="1741" t="s">
        <v>7</v>
      </c>
      <c r="F6865" s="1741"/>
      <c r="G6865" s="1277" t="s">
        <v>19</v>
      </c>
      <c r="H6865" s="1218">
        <v>880.4</v>
      </c>
      <c r="K6865" s="1192" t="s">
        <v>3946</v>
      </c>
      <c r="L6865" s="1192" t="s">
        <v>430</v>
      </c>
      <c r="P6865" s="1192" t="s">
        <v>3947</v>
      </c>
      <c r="V6865" s="1192">
        <v>14</v>
      </c>
    </row>
    <row r="6866" spans="1:22" s="1192" customFormat="1" ht="14.4" x14ac:dyDescent="0.3">
      <c r="A6866" s="1192" t="s">
        <v>2041</v>
      </c>
      <c r="E6866" s="1741" t="s">
        <v>6431</v>
      </c>
      <c r="F6866" s="1741"/>
      <c r="G6866" s="1277" t="s">
        <v>19</v>
      </c>
      <c r="H6866" s="1218">
        <v>-50.97</v>
      </c>
      <c r="K6866" s="1192" t="s">
        <v>3946</v>
      </c>
      <c r="L6866" s="1192" t="s">
        <v>430</v>
      </c>
      <c r="P6866" s="1192" t="s">
        <v>6443</v>
      </c>
      <c r="T6866" s="1192">
        <v>44561</v>
      </c>
      <c r="V6866" s="1192">
        <v>78</v>
      </c>
    </row>
    <row r="6867" spans="1:22" s="1192" customFormat="1" ht="14.4" x14ac:dyDescent="0.3">
      <c r="A6867" s="1192" t="s">
        <v>2041</v>
      </c>
      <c r="E6867" s="1741" t="s">
        <v>6444</v>
      </c>
      <c r="F6867" s="1741"/>
      <c r="G6867" s="1277" t="s">
        <v>19</v>
      </c>
      <c r="H6867" s="1218">
        <v>78.099999999999994</v>
      </c>
      <c r="K6867" s="1192" t="s">
        <v>3946</v>
      </c>
      <c r="L6867" s="1192" t="s">
        <v>430</v>
      </c>
      <c r="P6867" s="1192" t="s">
        <v>6445</v>
      </c>
      <c r="V6867" s="1192">
        <v>136</v>
      </c>
    </row>
    <row r="6868" spans="1:22" s="1192" customFormat="1" ht="14.4" x14ac:dyDescent="0.3">
      <c r="A6868" s="1192" t="s">
        <v>2041</v>
      </c>
      <c r="E6868" s="1741" t="s">
        <v>80</v>
      </c>
      <c r="F6868" s="1741"/>
      <c r="G6868" s="1277" t="s">
        <v>29</v>
      </c>
      <c r="H6868" s="1219">
        <v>3.8845999999999998</v>
      </c>
      <c r="K6868" s="1192" t="s">
        <v>3946</v>
      </c>
      <c r="L6868" s="1192" t="s">
        <v>430</v>
      </c>
      <c r="P6868" s="1192" t="s">
        <v>3948</v>
      </c>
      <c r="V6868" s="1192">
        <v>28</v>
      </c>
    </row>
    <row r="6869" spans="1:22" s="1192" customFormat="1" ht="14.4" x14ac:dyDescent="0.3">
      <c r="A6869" s="1192" t="s">
        <v>2041</v>
      </c>
      <c r="E6869" s="1741" t="s">
        <v>14</v>
      </c>
      <c r="F6869" s="1741"/>
      <c r="G6869" s="1277" t="s">
        <v>29</v>
      </c>
      <c r="H6869" s="1219">
        <v>0.10100000000000001</v>
      </c>
      <c r="K6869" s="1192" t="s">
        <v>3946</v>
      </c>
      <c r="L6869" s="1192" t="s">
        <v>431</v>
      </c>
      <c r="P6869" s="1192" t="s">
        <v>3949</v>
      </c>
      <c r="V6869" s="1192">
        <v>24</v>
      </c>
    </row>
    <row r="6870" spans="1:22" s="1192" customFormat="1" ht="14.4" x14ac:dyDescent="0.3">
      <c r="A6870" s="1192" t="s">
        <v>2041</v>
      </c>
      <c r="E6870" s="1741" t="s">
        <v>6090</v>
      </c>
      <c r="F6870" s="1998"/>
      <c r="G6870" s="1277" t="s">
        <v>20</v>
      </c>
      <c r="H6870" s="1219">
        <v>-2.0999999999999999E-3</v>
      </c>
      <c r="K6870" s="1192" t="s">
        <v>3946</v>
      </c>
      <c r="L6870" s="1192" t="s">
        <v>431</v>
      </c>
      <c r="P6870" s="1192" t="s">
        <v>4093</v>
      </c>
      <c r="T6870" s="1192">
        <v>44196</v>
      </c>
      <c r="V6870" s="1192">
        <v>142</v>
      </c>
    </row>
    <row r="6871" spans="1:22" s="1192" customFormat="1" ht="14.4" x14ac:dyDescent="0.3">
      <c r="A6871" s="1192" t="s">
        <v>2041</v>
      </c>
      <c r="E6871" s="1741" t="s">
        <v>6145</v>
      </c>
      <c r="F6871" s="1998"/>
      <c r="G6871" s="1277" t="s">
        <v>29</v>
      </c>
      <c r="H6871" s="1219">
        <v>6.6000000000000003E-2</v>
      </c>
      <c r="K6871" s="1192" t="s">
        <v>3946</v>
      </c>
      <c r="L6871" s="1192" t="s">
        <v>430</v>
      </c>
      <c r="P6871" s="1192" t="s">
        <v>4094</v>
      </c>
      <c r="T6871" s="1192">
        <v>44196</v>
      </c>
      <c r="V6871" s="1192">
        <v>139</v>
      </c>
    </row>
    <row r="6872" spans="1:22" s="1192" customFormat="1" ht="14.4" x14ac:dyDescent="0.3">
      <c r="A6872" s="1192" t="s">
        <v>2041</v>
      </c>
      <c r="E6872" s="1741" t="s">
        <v>6146</v>
      </c>
      <c r="F6872" s="1998"/>
      <c r="G6872" s="1277" t="s">
        <v>29</v>
      </c>
      <c r="H6872" s="1219">
        <v>-0.16719999999999999</v>
      </c>
      <c r="K6872" s="1192" t="s">
        <v>3946</v>
      </c>
      <c r="L6872" s="1192" t="s">
        <v>431</v>
      </c>
      <c r="P6872" s="1192" t="s">
        <v>4095</v>
      </c>
      <c r="T6872" s="1192">
        <v>44196</v>
      </c>
      <c r="V6872" s="1192">
        <v>159</v>
      </c>
    </row>
    <row r="6873" spans="1:22" s="1192" customFormat="1" ht="14.4" x14ac:dyDescent="0.3">
      <c r="A6873" s="1192" t="s">
        <v>2041</v>
      </c>
      <c r="E6873" s="1741" t="s">
        <v>6087</v>
      </c>
      <c r="F6873" s="1998"/>
      <c r="G6873" s="1277" t="s">
        <v>29</v>
      </c>
      <c r="H6873" s="1219">
        <v>-5.2600000000000001E-2</v>
      </c>
      <c r="K6873" s="1192" t="s">
        <v>3946</v>
      </c>
      <c r="L6873" s="1192" t="s">
        <v>431</v>
      </c>
      <c r="P6873" s="1192" t="s">
        <v>4095</v>
      </c>
      <c r="T6873" s="1192">
        <v>44196</v>
      </c>
      <c r="V6873" s="1192">
        <v>99</v>
      </c>
    </row>
    <row r="6874" spans="1:22" s="1192" customFormat="1" ht="14.4" x14ac:dyDescent="0.3">
      <c r="A6874" s="1192" t="s">
        <v>2041</v>
      </c>
      <c r="E6874" s="1741" t="s">
        <v>6434</v>
      </c>
      <c r="F6874" s="1998"/>
      <c r="G6874" s="1277" t="s">
        <v>29</v>
      </c>
      <c r="H6874" s="1219">
        <v>-1.3599999999999999E-2</v>
      </c>
      <c r="K6874" s="1192" t="s">
        <v>3946</v>
      </c>
      <c r="L6874" s="1192" t="s">
        <v>431</v>
      </c>
      <c r="P6874" s="1192" t="s">
        <v>4096</v>
      </c>
      <c r="T6874" s="1192">
        <v>44196</v>
      </c>
      <c r="V6874" s="1192">
        <v>149</v>
      </c>
    </row>
    <row r="6875" spans="1:22" s="1192" customFormat="1" ht="14.4" x14ac:dyDescent="0.3">
      <c r="A6875" s="1192" t="s">
        <v>2041</v>
      </c>
      <c r="E6875" s="1741" t="s">
        <v>5832</v>
      </c>
      <c r="F6875" s="1741"/>
      <c r="G6875" s="1277" t="s">
        <v>29</v>
      </c>
      <c r="H6875" s="1219">
        <v>4.5999999999999999E-2</v>
      </c>
      <c r="K6875" s="1192" t="s">
        <v>3946</v>
      </c>
      <c r="L6875" s="1192" t="s">
        <v>430</v>
      </c>
      <c r="P6875" s="1192" t="s">
        <v>4593</v>
      </c>
      <c r="T6875" s="1192">
        <v>44196</v>
      </c>
      <c r="V6875" s="1192">
        <v>92</v>
      </c>
    </row>
    <row r="6876" spans="1:22" s="1192" customFormat="1" ht="14.4" x14ac:dyDescent="0.3">
      <c r="A6876" s="1192" t="s">
        <v>2041</v>
      </c>
      <c r="E6876" s="1741" t="s">
        <v>213</v>
      </c>
      <c r="F6876" s="1741"/>
      <c r="G6876" s="1277" t="s">
        <v>29</v>
      </c>
      <c r="H6876" s="1219">
        <v>2.3921999999999999</v>
      </c>
      <c r="K6876" s="1192" t="s">
        <v>3946</v>
      </c>
      <c r="L6876" s="1192" t="s">
        <v>432</v>
      </c>
      <c r="P6876" s="1192" t="s">
        <v>3950</v>
      </c>
      <c r="V6876" s="1192">
        <v>47</v>
      </c>
    </row>
    <row r="6877" spans="1:22" s="1192" customFormat="1" ht="14.4" x14ac:dyDescent="0.3">
      <c r="A6877" s="1192" t="s">
        <v>2041</v>
      </c>
      <c r="E6877" s="1741" t="s">
        <v>5833</v>
      </c>
      <c r="F6877" s="1741"/>
      <c r="G6877" s="1277" t="s">
        <v>29</v>
      </c>
      <c r="H6877" s="1219">
        <v>1.5883</v>
      </c>
      <c r="K6877" s="1192" t="s">
        <v>3946</v>
      </c>
      <c r="L6877" s="1192" t="s">
        <v>432</v>
      </c>
      <c r="P6877" s="1192" t="s">
        <v>3951</v>
      </c>
      <c r="V6877" s="1192">
        <v>104</v>
      </c>
    </row>
    <row r="6878" spans="1:22" s="1192" customFormat="1" ht="14.4" x14ac:dyDescent="0.3">
      <c r="A6878" s="1192" t="s">
        <v>2041</v>
      </c>
      <c r="E6878" s="1750" t="s">
        <v>2405</v>
      </c>
      <c r="F6878" s="1741"/>
      <c r="G6878" s="1277"/>
      <c r="H6878" s="896"/>
      <c r="K6878" s="1192" t="s">
        <v>2532</v>
      </c>
      <c r="V6878" s="1192">
        <v>48</v>
      </c>
    </row>
    <row r="6879" spans="1:22" s="1192" customFormat="1" ht="14.4" x14ac:dyDescent="0.3">
      <c r="A6879" s="1192" t="s">
        <v>2041</v>
      </c>
      <c r="E6879" s="1741" t="s">
        <v>2033</v>
      </c>
      <c r="F6879" s="1741"/>
      <c r="G6879" s="1277" t="s">
        <v>20</v>
      </c>
      <c r="H6879" s="1219">
        <v>3.0000000000000001E-3</v>
      </c>
      <c r="K6879" s="1192" t="s">
        <v>3946</v>
      </c>
      <c r="L6879" s="1192" t="s">
        <v>2374</v>
      </c>
      <c r="P6879" s="1192" t="s">
        <v>3952</v>
      </c>
      <c r="V6879" s="1192">
        <v>55</v>
      </c>
    </row>
    <row r="6880" spans="1:22" s="1192" customFormat="1" ht="14.4" x14ac:dyDescent="0.3">
      <c r="A6880" s="1192" t="s">
        <v>2041</v>
      </c>
      <c r="E6880" s="1741" t="s">
        <v>2034</v>
      </c>
      <c r="F6880" s="1741"/>
      <c r="G6880" s="1277" t="s">
        <v>20</v>
      </c>
      <c r="H6880" s="1219">
        <v>4.0000000000000002E-4</v>
      </c>
      <c r="K6880" s="1192" t="s">
        <v>3946</v>
      </c>
      <c r="L6880" s="1192" t="s">
        <v>2374</v>
      </c>
      <c r="P6880" s="1192" t="s">
        <v>3952</v>
      </c>
      <c r="V6880" s="1192">
        <v>65</v>
      </c>
    </row>
    <row r="6881" spans="1:22" s="1192" customFormat="1" ht="14.4" x14ac:dyDescent="0.3">
      <c r="A6881" s="1192" t="s">
        <v>2041</v>
      </c>
      <c r="E6881" s="1741" t="s">
        <v>428</v>
      </c>
      <c r="F6881" s="1741"/>
      <c r="G6881" s="1277" t="s">
        <v>20</v>
      </c>
      <c r="H6881" s="1219">
        <v>5.0000000000000001E-4</v>
      </c>
      <c r="K6881" s="1192" t="s">
        <v>3946</v>
      </c>
      <c r="L6881" s="1192" t="s">
        <v>2374</v>
      </c>
      <c r="P6881" s="1192" t="s">
        <v>3953</v>
      </c>
      <c r="V6881" s="1192">
        <v>57</v>
      </c>
    </row>
    <row r="6882" spans="1:22" s="1192" customFormat="1" ht="14.4" x14ac:dyDescent="0.3">
      <c r="A6882" s="1192" t="s">
        <v>2041</v>
      </c>
      <c r="E6882" s="1741" t="s">
        <v>28</v>
      </c>
      <c r="F6882" s="1741"/>
      <c r="G6882" s="1277" t="s">
        <v>19</v>
      </c>
      <c r="H6882" s="1218">
        <v>0.25</v>
      </c>
      <c r="K6882" s="1192" t="s">
        <v>3946</v>
      </c>
      <c r="L6882" s="1192" t="s">
        <v>2374</v>
      </c>
      <c r="P6882" s="1192" t="s">
        <v>3954</v>
      </c>
      <c r="V6882" s="1192">
        <v>63</v>
      </c>
    </row>
    <row r="6883" spans="1:22" s="1192" customFormat="1" ht="17.399999999999999" x14ac:dyDescent="0.3">
      <c r="A6883" s="1192" t="s">
        <v>2041</v>
      </c>
      <c r="E6883" s="1746" t="s">
        <v>596</v>
      </c>
      <c r="F6883" s="1747"/>
      <c r="G6883" s="1747"/>
      <c r="H6883" s="1747"/>
      <c r="K6883" s="1192" t="s">
        <v>2533</v>
      </c>
      <c r="V6883" s="1192">
        <v>32</v>
      </c>
    </row>
    <row r="6884" spans="1:22" s="1192" customFormat="1" ht="14.4" x14ac:dyDescent="0.3">
      <c r="A6884" s="1192" t="s">
        <v>2041</v>
      </c>
      <c r="E6884" s="1743" t="s">
        <v>5836</v>
      </c>
      <c r="F6884" s="1743"/>
      <c r="G6884" s="1743"/>
      <c r="H6884" s="1743"/>
      <c r="K6884" s="1192" t="s">
        <v>2533</v>
      </c>
      <c r="V6884" s="1192">
        <v>626</v>
      </c>
    </row>
    <row r="6885" spans="1:22" s="1192" customFormat="1" ht="14.4" x14ac:dyDescent="0.3">
      <c r="A6885" s="1192" t="s">
        <v>2041</v>
      </c>
      <c r="E6885" s="1750" t="s">
        <v>2389</v>
      </c>
      <c r="F6885" s="1743"/>
      <c r="G6885" s="1743"/>
      <c r="H6885" s="1743"/>
      <c r="K6885" s="1192" t="s">
        <v>2424</v>
      </c>
      <c r="V6885" s="1192">
        <v>11</v>
      </c>
    </row>
    <row r="6886" spans="1:22" s="1192" customFormat="1" ht="14.4" x14ac:dyDescent="0.3">
      <c r="A6886" s="1192" t="s">
        <v>2041</v>
      </c>
      <c r="E6886" s="1743" t="s">
        <v>2391</v>
      </c>
      <c r="F6886" s="1743"/>
      <c r="G6886" s="1743"/>
      <c r="H6886" s="1743"/>
      <c r="K6886" s="1192" t="s">
        <v>2533</v>
      </c>
      <c r="V6886" s="1192">
        <v>280</v>
      </c>
    </row>
    <row r="6887" spans="1:22" s="1192" customFormat="1" ht="14.4" x14ac:dyDescent="0.3">
      <c r="A6887" s="1192" t="s">
        <v>2041</v>
      </c>
      <c r="E6887" s="1743" t="s">
        <v>2392</v>
      </c>
      <c r="F6887" s="1743"/>
      <c r="G6887" s="1743"/>
      <c r="H6887" s="1743"/>
      <c r="K6887" s="1192" t="s">
        <v>2533</v>
      </c>
      <c r="V6887" s="1192">
        <v>411</v>
      </c>
    </row>
    <row r="6888" spans="1:22" s="1192" customFormat="1" ht="14.4" x14ac:dyDescent="0.3">
      <c r="A6888" s="1192" t="s">
        <v>2041</v>
      </c>
      <c r="E6888" s="1743" t="s">
        <v>2393</v>
      </c>
      <c r="F6888" s="1743"/>
      <c r="G6888" s="1743"/>
      <c r="H6888" s="1743"/>
      <c r="K6888" s="1192" t="s">
        <v>2533</v>
      </c>
      <c r="V6888" s="1192">
        <v>387</v>
      </c>
    </row>
    <row r="6889" spans="1:22" s="1192" customFormat="1" ht="14.4" x14ac:dyDescent="0.3">
      <c r="A6889" s="1192" t="s">
        <v>2041</v>
      </c>
      <c r="E6889" s="1743" t="s">
        <v>4605</v>
      </c>
      <c r="F6889" s="1743"/>
      <c r="G6889" s="1743"/>
      <c r="H6889" s="1743"/>
      <c r="K6889" s="1192" t="s">
        <v>2533</v>
      </c>
      <c r="V6889" s="1192">
        <v>684</v>
      </c>
    </row>
    <row r="6890" spans="1:22" s="1192" customFormat="1" ht="14.4" x14ac:dyDescent="0.3">
      <c r="A6890" s="1192" t="s">
        <v>2041</v>
      </c>
      <c r="E6890" s="1743" t="s">
        <v>4503</v>
      </c>
      <c r="F6890" s="1743"/>
      <c r="G6890" s="1743"/>
      <c r="H6890" s="1743"/>
      <c r="K6890" s="1192" t="s">
        <v>2533</v>
      </c>
      <c r="V6890" s="1192">
        <v>677</v>
      </c>
    </row>
    <row r="6891" spans="1:22" s="1192" customFormat="1" ht="14.4" x14ac:dyDescent="0.3">
      <c r="A6891" s="1192" t="s">
        <v>2041</v>
      </c>
      <c r="E6891" s="1743" t="s">
        <v>4500</v>
      </c>
      <c r="F6891" s="1743"/>
      <c r="G6891" s="1743"/>
      <c r="H6891" s="1743"/>
      <c r="K6891" s="1192" t="s">
        <v>2533</v>
      </c>
      <c r="V6891" s="1192">
        <v>247</v>
      </c>
    </row>
    <row r="6892" spans="1:22" s="1192" customFormat="1" ht="14.4" x14ac:dyDescent="0.3">
      <c r="A6892" s="1192" t="s">
        <v>2041</v>
      </c>
      <c r="E6892" s="1750" t="s">
        <v>2394</v>
      </c>
      <c r="F6892" s="1743"/>
      <c r="G6892" s="1743"/>
      <c r="H6892" s="1743"/>
      <c r="K6892" s="1192" t="s">
        <v>2425</v>
      </c>
      <c r="V6892" s="1192">
        <v>46</v>
      </c>
    </row>
    <row r="6893" spans="1:22" s="1192" customFormat="1" ht="14.4" x14ac:dyDescent="0.3">
      <c r="A6893" s="1192" t="s">
        <v>2041</v>
      </c>
      <c r="E6893" s="1741" t="s">
        <v>7</v>
      </c>
      <c r="F6893" s="1741"/>
      <c r="G6893" s="1277" t="s">
        <v>19</v>
      </c>
      <c r="H6893" s="1218">
        <v>9142.1299999999992</v>
      </c>
      <c r="K6893" s="1192" t="s">
        <v>2533</v>
      </c>
      <c r="L6893" s="1192" t="s">
        <v>430</v>
      </c>
      <c r="P6893" s="1192" t="s">
        <v>2535</v>
      </c>
      <c r="V6893" s="1192">
        <v>14</v>
      </c>
    </row>
    <row r="6894" spans="1:22" s="1192" customFormat="1" ht="14.4" x14ac:dyDescent="0.3">
      <c r="A6894" s="1192" t="s">
        <v>2041</v>
      </c>
      <c r="E6894" s="1741" t="s">
        <v>6431</v>
      </c>
      <c r="F6894" s="1741"/>
      <c r="G6894" s="1277" t="s">
        <v>19</v>
      </c>
      <c r="H6894" s="1218">
        <v>-221.12</v>
      </c>
      <c r="K6894" s="1192" t="s">
        <v>2533</v>
      </c>
      <c r="L6894" s="1192" t="s">
        <v>430</v>
      </c>
      <c r="P6894" s="1192" t="s">
        <v>6446</v>
      </c>
      <c r="T6894" s="1192">
        <v>44561</v>
      </c>
      <c r="V6894" s="1192">
        <v>78</v>
      </c>
    </row>
    <row r="6895" spans="1:22" s="1192" customFormat="1" ht="14.4" x14ac:dyDescent="0.3">
      <c r="A6895" s="1192" t="s">
        <v>2041</v>
      </c>
      <c r="E6895" s="1741" t="s">
        <v>6418</v>
      </c>
      <c r="F6895" s="1741"/>
      <c r="G6895" s="1277" t="s">
        <v>19</v>
      </c>
      <c r="H6895" s="1218">
        <v>333.81</v>
      </c>
      <c r="K6895" s="1192" t="s">
        <v>2533</v>
      </c>
      <c r="L6895" s="1192" t="s">
        <v>430</v>
      </c>
      <c r="P6895" s="1192" t="s">
        <v>6447</v>
      </c>
      <c r="V6895" s="1192">
        <v>135</v>
      </c>
    </row>
    <row r="6896" spans="1:22" s="1192" customFormat="1" ht="14.4" x14ac:dyDescent="0.3">
      <c r="A6896" s="1192" t="s">
        <v>2041</v>
      </c>
      <c r="E6896" s="1741" t="s">
        <v>80</v>
      </c>
      <c r="F6896" s="1741"/>
      <c r="G6896" s="1277" t="s">
        <v>29</v>
      </c>
      <c r="H6896" s="1219">
        <v>1.6982999999999999</v>
      </c>
      <c r="K6896" s="1192" t="s">
        <v>2533</v>
      </c>
      <c r="L6896" s="1192" t="s">
        <v>430</v>
      </c>
      <c r="P6896" s="1192" t="s">
        <v>2536</v>
      </c>
      <c r="V6896" s="1192">
        <v>28</v>
      </c>
    </row>
    <row r="6897" spans="1:22" s="1192" customFormat="1" ht="14.4" x14ac:dyDescent="0.3">
      <c r="A6897" s="1192" t="s">
        <v>2041</v>
      </c>
      <c r="E6897" s="1741" t="s">
        <v>14</v>
      </c>
      <c r="F6897" s="1741"/>
      <c r="G6897" s="1277" t="s">
        <v>29</v>
      </c>
      <c r="H6897" s="1219">
        <v>0.1019</v>
      </c>
      <c r="K6897" s="1192" t="s">
        <v>2533</v>
      </c>
      <c r="L6897" s="1192" t="s">
        <v>431</v>
      </c>
      <c r="P6897" s="1192" t="s">
        <v>2537</v>
      </c>
      <c r="V6897" s="1192">
        <v>24</v>
      </c>
    </row>
    <row r="6898" spans="1:22" s="1192" customFormat="1" ht="14.4" x14ac:dyDescent="0.3">
      <c r="A6898" s="1192" t="s">
        <v>2041</v>
      </c>
      <c r="E6898" s="1741" t="s">
        <v>6090</v>
      </c>
      <c r="F6898" s="1998"/>
      <c r="G6898" s="1277" t="s">
        <v>20</v>
      </c>
      <c r="H6898" s="1219">
        <v>-2.0999999999999999E-3</v>
      </c>
      <c r="K6898" s="1192" t="s">
        <v>2533</v>
      </c>
      <c r="L6898" s="1192" t="s">
        <v>431</v>
      </c>
      <c r="P6898" s="1192" t="s">
        <v>3382</v>
      </c>
      <c r="T6898" s="1192">
        <v>44196</v>
      </c>
      <c r="V6898" s="1192">
        <v>142</v>
      </c>
    </row>
    <row r="6899" spans="1:22" s="1192" customFormat="1" ht="14.4" x14ac:dyDescent="0.3">
      <c r="A6899" s="1192" t="s">
        <v>2041</v>
      </c>
      <c r="E6899" s="1741" t="s">
        <v>6145</v>
      </c>
      <c r="F6899" s="1998"/>
      <c r="G6899" s="1277" t="s">
        <v>29</v>
      </c>
      <c r="H6899" s="1219">
        <v>0.48680000000000001</v>
      </c>
      <c r="K6899" s="1192" t="s">
        <v>2533</v>
      </c>
      <c r="L6899" s="1192" t="s">
        <v>430</v>
      </c>
      <c r="P6899" s="1192" t="s">
        <v>2538</v>
      </c>
      <c r="T6899" s="1192">
        <v>44196</v>
      </c>
      <c r="V6899" s="1192">
        <v>139</v>
      </c>
    </row>
    <row r="6900" spans="1:22" s="1192" customFormat="1" ht="14.4" x14ac:dyDescent="0.3">
      <c r="A6900" s="1192" t="s">
        <v>2041</v>
      </c>
      <c r="E6900" s="1741" t="s">
        <v>6087</v>
      </c>
      <c r="F6900" s="1998"/>
      <c r="G6900" s="1277" t="s">
        <v>29</v>
      </c>
      <c r="H6900" s="1219">
        <v>-0.2107</v>
      </c>
      <c r="K6900" s="1192" t="s">
        <v>2533</v>
      </c>
      <c r="L6900" s="1192" t="s">
        <v>431</v>
      </c>
      <c r="P6900" s="1192" t="s">
        <v>2539</v>
      </c>
      <c r="T6900" s="1192">
        <v>44196</v>
      </c>
      <c r="V6900" s="1192">
        <v>99</v>
      </c>
    </row>
    <row r="6901" spans="1:22" s="1192" customFormat="1" ht="14.4" x14ac:dyDescent="0.3">
      <c r="A6901" s="1192" t="s">
        <v>2041</v>
      </c>
      <c r="E6901" s="1741" t="s">
        <v>6434</v>
      </c>
      <c r="F6901" s="1998"/>
      <c r="G6901" s="1277" t="s">
        <v>29</v>
      </c>
      <c r="H6901" s="1219">
        <v>-2.1299999999999999E-2</v>
      </c>
      <c r="K6901" s="1192" t="s">
        <v>2533</v>
      </c>
      <c r="L6901" s="1192" t="s">
        <v>431</v>
      </c>
      <c r="P6901" s="1192" t="s">
        <v>6448</v>
      </c>
      <c r="T6901" s="1192">
        <v>44196</v>
      </c>
      <c r="V6901" s="1192">
        <v>149</v>
      </c>
    </row>
    <row r="6902" spans="1:22" s="1192" customFormat="1" ht="14.4" x14ac:dyDescent="0.3">
      <c r="A6902" s="1192" t="s">
        <v>2041</v>
      </c>
      <c r="E6902" s="1741" t="s">
        <v>5832</v>
      </c>
      <c r="F6902" s="1741"/>
      <c r="G6902" s="1277" t="s">
        <v>29</v>
      </c>
      <c r="H6902" s="1219">
        <v>-0.33979999999999999</v>
      </c>
      <c r="K6902" s="1192" t="s">
        <v>2533</v>
      </c>
      <c r="L6902" s="1192" t="s">
        <v>430</v>
      </c>
      <c r="P6902" s="1192" t="s">
        <v>6449</v>
      </c>
      <c r="T6902" s="1192">
        <v>44196</v>
      </c>
      <c r="V6902" s="1192">
        <v>92</v>
      </c>
    </row>
    <row r="6903" spans="1:22" s="1192" customFormat="1" ht="14.4" x14ac:dyDescent="0.3">
      <c r="A6903" s="1192" t="s">
        <v>2041</v>
      </c>
      <c r="E6903" s="1741" t="s">
        <v>213</v>
      </c>
      <c r="F6903" s="1741"/>
      <c r="G6903" s="1277" t="s">
        <v>29</v>
      </c>
      <c r="H6903" s="1219">
        <v>2.4605000000000001</v>
      </c>
      <c r="K6903" s="1192" t="s">
        <v>2533</v>
      </c>
      <c r="L6903" s="1192" t="s">
        <v>432</v>
      </c>
      <c r="P6903" s="1192" t="s">
        <v>2833</v>
      </c>
      <c r="V6903" s="1192">
        <v>47</v>
      </c>
    </row>
    <row r="6904" spans="1:22" s="1192" customFormat="1" ht="14.4" x14ac:dyDescent="0.3">
      <c r="A6904" s="1192" t="s">
        <v>2041</v>
      </c>
      <c r="E6904" s="1741" t="s">
        <v>5833</v>
      </c>
      <c r="F6904" s="1741"/>
      <c r="G6904" s="1277" t="s">
        <v>29</v>
      </c>
      <c r="H6904" s="1219">
        <v>1.6024</v>
      </c>
      <c r="K6904" s="1192" t="s">
        <v>2533</v>
      </c>
      <c r="L6904" s="1192" t="s">
        <v>432</v>
      </c>
      <c r="P6904" s="1192" t="s">
        <v>2834</v>
      </c>
      <c r="V6904" s="1192">
        <v>104</v>
      </c>
    </row>
    <row r="6905" spans="1:22" s="1192" customFormat="1" ht="14.4" x14ac:dyDescent="0.3">
      <c r="A6905" s="1192" t="s">
        <v>2041</v>
      </c>
      <c r="E6905" s="1750" t="s">
        <v>2405</v>
      </c>
      <c r="F6905" s="1741"/>
      <c r="G6905" s="1277"/>
      <c r="H6905" s="896"/>
      <c r="K6905" s="1192" t="s">
        <v>2427</v>
      </c>
      <c r="V6905" s="1192">
        <v>48</v>
      </c>
    </row>
    <row r="6906" spans="1:22" s="1192" customFormat="1" ht="14.4" x14ac:dyDescent="0.3">
      <c r="A6906" s="1192" t="s">
        <v>2041</v>
      </c>
      <c r="E6906" s="1741" t="s">
        <v>2033</v>
      </c>
      <c r="F6906" s="1741"/>
      <c r="G6906" s="1277" t="s">
        <v>20</v>
      </c>
      <c r="H6906" s="1219">
        <v>3.0000000000000001E-3</v>
      </c>
      <c r="K6906" s="1192" t="s">
        <v>2533</v>
      </c>
      <c r="L6906" s="1192" t="s">
        <v>2374</v>
      </c>
      <c r="P6906" s="1192" t="s">
        <v>2540</v>
      </c>
      <c r="V6906" s="1192">
        <v>55</v>
      </c>
    </row>
    <row r="6907" spans="1:22" s="1192" customFormat="1" ht="14.4" x14ac:dyDescent="0.3">
      <c r="A6907" s="1192" t="s">
        <v>2041</v>
      </c>
      <c r="E6907" s="1741" t="s">
        <v>2034</v>
      </c>
      <c r="F6907" s="1741"/>
      <c r="G6907" s="1277" t="s">
        <v>20</v>
      </c>
      <c r="H6907" s="1219">
        <v>4.0000000000000002E-4</v>
      </c>
      <c r="K6907" s="1192" t="s">
        <v>2533</v>
      </c>
      <c r="L6907" s="1192" t="s">
        <v>2374</v>
      </c>
      <c r="P6907" s="1192" t="s">
        <v>2540</v>
      </c>
      <c r="V6907" s="1192">
        <v>65</v>
      </c>
    </row>
    <row r="6908" spans="1:22" s="1192" customFormat="1" ht="14.4" x14ac:dyDescent="0.3">
      <c r="A6908" s="1192" t="s">
        <v>2041</v>
      </c>
      <c r="E6908" s="1741" t="s">
        <v>428</v>
      </c>
      <c r="F6908" s="1741"/>
      <c r="G6908" s="1277" t="s">
        <v>20</v>
      </c>
      <c r="H6908" s="1219">
        <v>5.0000000000000001E-4</v>
      </c>
      <c r="K6908" s="1192" t="s">
        <v>2533</v>
      </c>
      <c r="L6908" s="1192" t="s">
        <v>2374</v>
      </c>
      <c r="P6908" s="1192" t="s">
        <v>2541</v>
      </c>
      <c r="V6908" s="1192">
        <v>57</v>
      </c>
    </row>
    <row r="6909" spans="1:22" s="1192" customFormat="1" ht="14.4" x14ac:dyDescent="0.3">
      <c r="A6909" s="1192" t="s">
        <v>2041</v>
      </c>
      <c r="E6909" s="1741" t="s">
        <v>28</v>
      </c>
      <c r="F6909" s="1741"/>
      <c r="G6909" s="1277" t="s">
        <v>19</v>
      </c>
      <c r="H6909" s="1218">
        <v>0.25</v>
      </c>
      <c r="K6909" s="1192" t="s">
        <v>2533</v>
      </c>
      <c r="L6909" s="1192" t="s">
        <v>2374</v>
      </c>
      <c r="P6909" s="1192" t="s">
        <v>2542</v>
      </c>
      <c r="V6909" s="1192">
        <v>63</v>
      </c>
    </row>
    <row r="6910" spans="1:22" s="1192" customFormat="1" ht="17.399999999999999" x14ac:dyDescent="0.3">
      <c r="A6910" s="1192" t="s">
        <v>2041</v>
      </c>
      <c r="E6910" s="1746" t="s">
        <v>592</v>
      </c>
      <c r="F6910" s="1747"/>
      <c r="G6910" s="1747"/>
      <c r="H6910" s="1747"/>
      <c r="K6910" s="1192" t="s">
        <v>2543</v>
      </c>
      <c r="V6910" s="1192">
        <v>47</v>
      </c>
    </row>
    <row r="6911" spans="1:22" s="1192" customFormat="1" ht="14.4" x14ac:dyDescent="0.3">
      <c r="A6911" s="1192" t="s">
        <v>2041</v>
      </c>
      <c r="E6911" s="1743" t="s">
        <v>4983</v>
      </c>
      <c r="F6911" s="1743"/>
      <c r="G6911" s="1743"/>
      <c r="H6911" s="1743"/>
      <c r="K6911" s="1192" t="s">
        <v>2543</v>
      </c>
      <c r="V6911" s="1192">
        <v>621</v>
      </c>
    </row>
    <row r="6912" spans="1:22" s="1192" customFormat="1" ht="14.4" x14ac:dyDescent="0.3">
      <c r="A6912" s="1192" t="s">
        <v>2041</v>
      </c>
      <c r="E6912" s="1750" t="s">
        <v>2389</v>
      </c>
      <c r="F6912" s="1743"/>
      <c r="G6912" s="1743"/>
      <c r="H6912" s="1743"/>
      <c r="K6912" s="1192" t="s">
        <v>2430</v>
      </c>
      <c r="V6912" s="1192">
        <v>11</v>
      </c>
    </row>
    <row r="6913" spans="1:22" s="1192" customFormat="1" ht="14.4" x14ac:dyDescent="0.3">
      <c r="A6913" s="1192" t="s">
        <v>2041</v>
      </c>
      <c r="E6913" s="1743" t="s">
        <v>2391</v>
      </c>
      <c r="F6913" s="1743"/>
      <c r="G6913" s="1743"/>
      <c r="H6913" s="1743"/>
      <c r="K6913" s="1192" t="s">
        <v>2543</v>
      </c>
      <c r="V6913" s="1192">
        <v>280</v>
      </c>
    </row>
    <row r="6914" spans="1:22" s="1192" customFormat="1" ht="14.4" x14ac:dyDescent="0.3">
      <c r="A6914" s="1192" t="s">
        <v>2041</v>
      </c>
      <c r="E6914" s="1743" t="s">
        <v>2392</v>
      </c>
      <c r="F6914" s="1743"/>
      <c r="G6914" s="1743"/>
      <c r="H6914" s="1743"/>
      <c r="K6914" s="1192" t="s">
        <v>2543</v>
      </c>
      <c r="V6914" s="1192">
        <v>411</v>
      </c>
    </row>
    <row r="6915" spans="1:22" s="1192" customFormat="1" ht="14.4" x14ac:dyDescent="0.3">
      <c r="A6915" s="1192" t="s">
        <v>2041</v>
      </c>
      <c r="E6915" s="1743" t="s">
        <v>2393</v>
      </c>
      <c r="F6915" s="1743"/>
      <c r="G6915" s="1743"/>
      <c r="H6915" s="1743"/>
      <c r="K6915" s="1192" t="s">
        <v>2543</v>
      </c>
      <c r="V6915" s="1192">
        <v>387</v>
      </c>
    </row>
    <row r="6916" spans="1:22" s="1192" customFormat="1" ht="14.4" x14ac:dyDescent="0.3">
      <c r="A6916" s="1192" t="s">
        <v>2041</v>
      </c>
      <c r="E6916" s="1743" t="s">
        <v>4500</v>
      </c>
      <c r="F6916" s="1743"/>
      <c r="G6916" s="1743"/>
      <c r="H6916" s="1743"/>
      <c r="K6916" s="1192" t="s">
        <v>2543</v>
      </c>
      <c r="V6916" s="1192">
        <v>247</v>
      </c>
    </row>
    <row r="6917" spans="1:22" s="1192" customFormat="1" ht="14.4" x14ac:dyDescent="0.3">
      <c r="A6917" s="1192" t="s">
        <v>2041</v>
      </c>
      <c r="E6917" s="1750" t="s">
        <v>2394</v>
      </c>
      <c r="F6917" s="1743"/>
      <c r="G6917" s="1743"/>
      <c r="H6917" s="1743"/>
      <c r="K6917" s="1192" t="s">
        <v>2431</v>
      </c>
      <c r="V6917" s="1192">
        <v>46</v>
      </c>
    </row>
    <row r="6918" spans="1:22" s="1192" customFormat="1" ht="14.4" x14ac:dyDescent="0.3">
      <c r="A6918" s="1192" t="s">
        <v>2041</v>
      </c>
      <c r="E6918" s="1741" t="s">
        <v>8</v>
      </c>
      <c r="F6918" s="1741"/>
      <c r="G6918" s="1277" t="s">
        <v>19</v>
      </c>
      <c r="H6918" s="1218">
        <v>5.93</v>
      </c>
      <c r="K6918" s="1192" t="s">
        <v>2543</v>
      </c>
      <c r="L6918" s="1192" t="s">
        <v>430</v>
      </c>
      <c r="P6918" s="1192" t="s">
        <v>2545</v>
      </c>
      <c r="V6918" s="1192">
        <v>31</v>
      </c>
    </row>
    <row r="6919" spans="1:22" s="1192" customFormat="1" ht="14.4" x14ac:dyDescent="0.3">
      <c r="A6919" s="1192" t="s">
        <v>2041</v>
      </c>
      <c r="E6919" s="1741" t="s">
        <v>6431</v>
      </c>
      <c r="F6919" s="1741"/>
      <c r="G6919" s="1277" t="s">
        <v>19</v>
      </c>
      <c r="H6919" s="1218">
        <v>-0.08</v>
      </c>
      <c r="K6919" s="1192" t="s">
        <v>2543</v>
      </c>
      <c r="L6919" s="1192" t="s">
        <v>430</v>
      </c>
      <c r="P6919" s="1192" t="s">
        <v>6450</v>
      </c>
      <c r="T6919" s="1192">
        <v>44561</v>
      </c>
      <c r="V6919" s="1192">
        <v>78</v>
      </c>
    </row>
    <row r="6920" spans="1:22" s="1192" customFormat="1" ht="14.4" x14ac:dyDescent="0.3">
      <c r="A6920" s="1192" t="s">
        <v>2041</v>
      </c>
      <c r="E6920" s="1741" t="s">
        <v>6418</v>
      </c>
      <c r="F6920" s="1741"/>
      <c r="G6920" s="1277" t="s">
        <v>19</v>
      </c>
      <c r="H6920" s="1218">
        <v>0.12</v>
      </c>
      <c r="K6920" s="1192" t="s">
        <v>2543</v>
      </c>
      <c r="L6920" s="1192" t="s">
        <v>430</v>
      </c>
      <c r="P6920" s="1192" t="s">
        <v>6451</v>
      </c>
      <c r="V6920" s="1192">
        <v>135</v>
      </c>
    </row>
    <row r="6921" spans="1:22" s="1192" customFormat="1" ht="14.4" x14ac:dyDescent="0.3">
      <c r="A6921" s="1192" t="s">
        <v>2041</v>
      </c>
      <c r="E6921" s="1741" t="s">
        <v>5832</v>
      </c>
      <c r="F6921" s="1741"/>
      <c r="G6921" s="1277" t="s">
        <v>19</v>
      </c>
      <c r="H6921" s="1218">
        <v>0.12</v>
      </c>
      <c r="K6921" s="1192" t="s">
        <v>2543</v>
      </c>
      <c r="L6921" s="1192" t="s">
        <v>430</v>
      </c>
      <c r="P6921" s="1192" t="s">
        <v>6452</v>
      </c>
      <c r="T6921" s="1192">
        <v>44196</v>
      </c>
      <c r="V6921" s="1192">
        <v>92</v>
      </c>
    </row>
    <row r="6922" spans="1:22" s="1192" customFormat="1" ht="14.4" x14ac:dyDescent="0.3">
      <c r="A6922" s="1192" t="s">
        <v>2041</v>
      </c>
      <c r="E6922" s="1741" t="s">
        <v>80</v>
      </c>
      <c r="F6922" s="1741"/>
      <c r="G6922" s="1277" t="s">
        <v>20</v>
      </c>
      <c r="H6922" s="1219">
        <v>1.46E-2</v>
      </c>
      <c r="K6922" s="1192" t="s">
        <v>2543</v>
      </c>
      <c r="L6922" s="1192" t="s">
        <v>430</v>
      </c>
      <c r="P6922" s="1192" t="s">
        <v>2546</v>
      </c>
      <c r="V6922" s="1192">
        <v>28</v>
      </c>
    </row>
    <row r="6923" spans="1:22" s="1192" customFormat="1" ht="14.4" x14ac:dyDescent="0.3">
      <c r="A6923" s="1192" t="s">
        <v>2041</v>
      </c>
      <c r="E6923" s="1741" t="s">
        <v>14</v>
      </c>
      <c r="F6923" s="1741"/>
      <c r="G6923" s="1277" t="s">
        <v>20</v>
      </c>
      <c r="H6923" s="1219">
        <v>2.9999999999999997E-4</v>
      </c>
      <c r="K6923" s="1192" t="s">
        <v>2543</v>
      </c>
      <c r="L6923" s="1192" t="s">
        <v>431</v>
      </c>
      <c r="P6923" s="1192" t="s">
        <v>2547</v>
      </c>
      <c r="V6923" s="1192">
        <v>24</v>
      </c>
    </row>
    <row r="6924" spans="1:22" s="1192" customFormat="1" ht="14.4" x14ac:dyDescent="0.3">
      <c r="A6924" s="1192" t="s">
        <v>2041</v>
      </c>
      <c r="E6924" s="1741" t="s">
        <v>6090</v>
      </c>
      <c r="F6924" s="1998"/>
      <c r="G6924" s="1277" t="s">
        <v>20</v>
      </c>
      <c r="H6924" s="1219">
        <v>-2.0999999999999999E-3</v>
      </c>
      <c r="K6924" s="1192" t="s">
        <v>2543</v>
      </c>
      <c r="L6924" s="1192" t="s">
        <v>431</v>
      </c>
      <c r="P6924" s="1192" t="s">
        <v>2880</v>
      </c>
      <c r="T6924" s="1192">
        <v>44196</v>
      </c>
      <c r="V6924" s="1192">
        <v>142</v>
      </c>
    </row>
    <row r="6925" spans="1:22" s="1192" customFormat="1" ht="14.4" x14ac:dyDescent="0.3">
      <c r="A6925" s="1192" t="s">
        <v>2041</v>
      </c>
      <c r="E6925" s="1741" t="s">
        <v>6145</v>
      </c>
      <c r="F6925" s="1998"/>
      <c r="G6925" s="1277" t="s">
        <v>20</v>
      </c>
      <c r="H6925" s="1219">
        <v>-2.9999999999999997E-4</v>
      </c>
      <c r="K6925" s="1192" t="s">
        <v>2543</v>
      </c>
      <c r="L6925" s="1192" t="s">
        <v>430</v>
      </c>
      <c r="P6925" s="1192" t="s">
        <v>2548</v>
      </c>
      <c r="T6925" s="1192">
        <v>44196</v>
      </c>
      <c r="V6925" s="1192">
        <v>139</v>
      </c>
    </row>
    <row r="6926" spans="1:22" s="1192" customFormat="1" ht="14.4" x14ac:dyDescent="0.3">
      <c r="A6926" s="1192" t="s">
        <v>2041</v>
      </c>
      <c r="E6926" s="1741" t="s">
        <v>6087</v>
      </c>
      <c r="F6926" s="1998"/>
      <c r="G6926" s="1277" t="s">
        <v>20</v>
      </c>
      <c r="H6926" s="1219">
        <v>-5.0000000000000001E-4</v>
      </c>
      <c r="K6926" s="1192" t="s">
        <v>2543</v>
      </c>
      <c r="L6926" s="1192" t="s">
        <v>431</v>
      </c>
      <c r="P6926" s="1192" t="s">
        <v>2549</v>
      </c>
      <c r="T6926" s="1192">
        <v>44196</v>
      </c>
      <c r="V6926" s="1192">
        <v>99</v>
      </c>
    </row>
    <row r="6927" spans="1:22" s="1192" customFormat="1" ht="14.4" x14ac:dyDescent="0.3">
      <c r="A6927" s="1192" t="s">
        <v>2041</v>
      </c>
      <c r="E6927" s="1741" t="s">
        <v>6434</v>
      </c>
      <c r="F6927" s="1998"/>
      <c r="G6927" s="1277" t="s">
        <v>20</v>
      </c>
      <c r="H6927" s="1219">
        <v>-1E-4</v>
      </c>
      <c r="K6927" s="1192" t="s">
        <v>2543</v>
      </c>
      <c r="L6927" s="1192" t="s">
        <v>431</v>
      </c>
      <c r="P6927" s="1192" t="s">
        <v>4048</v>
      </c>
      <c r="T6927" s="1192">
        <v>44196</v>
      </c>
      <c r="V6927" s="1192">
        <v>149</v>
      </c>
    </row>
    <row r="6928" spans="1:22" s="1192" customFormat="1" ht="14.4" x14ac:dyDescent="0.3">
      <c r="A6928" s="1192" t="s">
        <v>2041</v>
      </c>
      <c r="E6928" s="1741" t="s">
        <v>5832</v>
      </c>
      <c r="F6928" s="1741"/>
      <c r="G6928" s="1277" t="s">
        <v>20</v>
      </c>
      <c r="H6928" s="1219">
        <v>2.9999999999999997E-4</v>
      </c>
      <c r="K6928" s="1192" t="s">
        <v>2543</v>
      </c>
      <c r="L6928" s="1192" t="s">
        <v>430</v>
      </c>
      <c r="P6928" s="1192" t="s">
        <v>4595</v>
      </c>
      <c r="T6928" s="1192">
        <v>44196</v>
      </c>
      <c r="V6928" s="1192">
        <v>92</v>
      </c>
    </row>
    <row r="6929" spans="1:22" s="1192" customFormat="1" ht="14.4" x14ac:dyDescent="0.3">
      <c r="A6929" s="1192" t="s">
        <v>2041</v>
      </c>
      <c r="E6929" s="1741" t="s">
        <v>213</v>
      </c>
      <c r="F6929" s="1741"/>
      <c r="G6929" s="1277" t="s">
        <v>20</v>
      </c>
      <c r="H6929" s="1219">
        <v>5.4000000000000003E-3</v>
      </c>
      <c r="K6929" s="1192" t="s">
        <v>2543</v>
      </c>
      <c r="L6929" s="1192" t="s">
        <v>432</v>
      </c>
      <c r="P6929" s="1192" t="s">
        <v>2550</v>
      </c>
      <c r="V6929" s="1192">
        <v>47</v>
      </c>
    </row>
    <row r="6930" spans="1:22" s="1192" customFormat="1" ht="14.4" x14ac:dyDescent="0.3">
      <c r="A6930" s="1192" t="s">
        <v>2041</v>
      </c>
      <c r="E6930" s="1741" t="s">
        <v>209</v>
      </c>
      <c r="F6930" s="1741"/>
      <c r="G6930" s="1277" t="s">
        <v>20</v>
      </c>
      <c r="H6930" s="1219">
        <v>4.0000000000000001E-3</v>
      </c>
      <c r="K6930" s="1192" t="s">
        <v>2543</v>
      </c>
      <c r="L6930" s="1192" t="s">
        <v>432</v>
      </c>
      <c r="P6930" s="1192" t="s">
        <v>2551</v>
      </c>
      <c r="V6930" s="1192">
        <v>74</v>
      </c>
    </row>
    <row r="6931" spans="1:22" s="1192" customFormat="1" ht="14.4" x14ac:dyDescent="0.3">
      <c r="A6931" s="1192" t="s">
        <v>2041</v>
      </c>
      <c r="E6931" s="1750" t="s">
        <v>2405</v>
      </c>
      <c r="F6931" s="1741"/>
      <c r="G6931" s="1277"/>
      <c r="H6931" s="896"/>
      <c r="K6931" s="1192" t="s">
        <v>2438</v>
      </c>
      <c r="V6931" s="1192">
        <v>48</v>
      </c>
    </row>
    <row r="6932" spans="1:22" s="1192" customFormat="1" ht="14.4" x14ac:dyDescent="0.3">
      <c r="A6932" s="1192" t="s">
        <v>2041</v>
      </c>
      <c r="E6932" s="1741" t="s">
        <v>2033</v>
      </c>
      <c r="F6932" s="1741"/>
      <c r="G6932" s="1277" t="s">
        <v>20</v>
      </c>
      <c r="H6932" s="1219">
        <v>3.0000000000000001E-3</v>
      </c>
      <c r="K6932" s="1192" t="s">
        <v>2543</v>
      </c>
      <c r="L6932" s="1192" t="s">
        <v>2374</v>
      </c>
      <c r="P6932" s="1192" t="s">
        <v>2552</v>
      </c>
      <c r="V6932" s="1192">
        <v>55</v>
      </c>
    </row>
    <row r="6933" spans="1:22" s="1192" customFormat="1" ht="14.4" x14ac:dyDescent="0.3">
      <c r="A6933" s="1192" t="s">
        <v>2041</v>
      </c>
      <c r="E6933" s="1741" t="s">
        <v>2034</v>
      </c>
      <c r="F6933" s="1741"/>
      <c r="G6933" s="1277" t="s">
        <v>20</v>
      </c>
      <c r="H6933" s="1219">
        <v>4.0000000000000002E-4</v>
      </c>
      <c r="K6933" s="1192" t="s">
        <v>2543</v>
      </c>
      <c r="L6933" s="1192" t="s">
        <v>2374</v>
      </c>
      <c r="P6933" s="1192" t="s">
        <v>2552</v>
      </c>
      <c r="V6933" s="1192">
        <v>65</v>
      </c>
    </row>
    <row r="6934" spans="1:22" s="1192" customFormat="1" ht="14.4" x14ac:dyDescent="0.3">
      <c r="A6934" s="1192" t="s">
        <v>2041</v>
      </c>
      <c r="E6934" s="1741" t="s">
        <v>428</v>
      </c>
      <c r="F6934" s="1741"/>
      <c r="G6934" s="1277" t="s">
        <v>20</v>
      </c>
      <c r="H6934" s="1219">
        <v>5.0000000000000001E-4</v>
      </c>
      <c r="K6934" s="1192" t="s">
        <v>2543</v>
      </c>
      <c r="L6934" s="1192" t="s">
        <v>2374</v>
      </c>
      <c r="P6934" s="1192" t="s">
        <v>2553</v>
      </c>
      <c r="V6934" s="1192">
        <v>57</v>
      </c>
    </row>
    <row r="6935" spans="1:22" s="1192" customFormat="1" ht="14.4" x14ac:dyDescent="0.3">
      <c r="A6935" s="1192" t="s">
        <v>2041</v>
      </c>
      <c r="E6935" s="1741" t="s">
        <v>28</v>
      </c>
      <c r="F6935" s="1741"/>
      <c r="G6935" s="1277" t="s">
        <v>19</v>
      </c>
      <c r="H6935" s="1218">
        <v>0.25</v>
      </c>
      <c r="K6935" s="1192" t="s">
        <v>2543</v>
      </c>
      <c r="L6935" s="1192" t="s">
        <v>2374</v>
      </c>
      <c r="P6935" s="1192" t="s">
        <v>2554</v>
      </c>
      <c r="V6935" s="1192">
        <v>63</v>
      </c>
    </row>
    <row r="6936" spans="1:22" s="1192" customFormat="1" ht="17.399999999999999" x14ac:dyDescent="0.3">
      <c r="A6936" s="1192" t="s">
        <v>2041</v>
      </c>
      <c r="E6936" s="1746" t="s">
        <v>590</v>
      </c>
      <c r="F6936" s="1747"/>
      <c r="G6936" s="1747"/>
      <c r="H6936" s="1747"/>
      <c r="K6936" s="1192" t="s">
        <v>2746</v>
      </c>
      <c r="V6936" s="1192">
        <v>38</v>
      </c>
    </row>
    <row r="6937" spans="1:22" s="1192" customFormat="1" ht="14.4" x14ac:dyDescent="0.3">
      <c r="A6937" s="1192" t="s">
        <v>2041</v>
      </c>
      <c r="E6937" s="1743" t="s">
        <v>4984</v>
      </c>
      <c r="F6937" s="1743"/>
      <c r="G6937" s="1743"/>
      <c r="H6937" s="1743"/>
      <c r="K6937" s="1192" t="s">
        <v>2746</v>
      </c>
      <c r="V6937" s="1192">
        <v>552</v>
      </c>
    </row>
    <row r="6938" spans="1:22" s="1192" customFormat="1" ht="14.4" x14ac:dyDescent="0.3">
      <c r="A6938" s="1192" t="s">
        <v>2041</v>
      </c>
      <c r="E6938" s="1750" t="s">
        <v>2389</v>
      </c>
      <c r="F6938" s="1743"/>
      <c r="G6938" s="1743"/>
      <c r="H6938" s="1743"/>
      <c r="K6938" s="1192" t="s">
        <v>2444</v>
      </c>
      <c r="V6938" s="1192">
        <v>11</v>
      </c>
    </row>
    <row r="6939" spans="1:22" s="1192" customFormat="1" ht="14.4" x14ac:dyDescent="0.3">
      <c r="A6939" s="1192" t="s">
        <v>2041</v>
      </c>
      <c r="E6939" s="1743" t="s">
        <v>2391</v>
      </c>
      <c r="F6939" s="1743"/>
      <c r="G6939" s="1743"/>
      <c r="H6939" s="1743"/>
      <c r="K6939" s="1192" t="s">
        <v>2746</v>
      </c>
      <c r="V6939" s="1192">
        <v>280</v>
      </c>
    </row>
    <row r="6940" spans="1:22" s="1192" customFormat="1" ht="14.4" x14ac:dyDescent="0.3">
      <c r="A6940" s="1192" t="s">
        <v>2041</v>
      </c>
      <c r="E6940" s="1743" t="s">
        <v>2392</v>
      </c>
      <c r="F6940" s="1743"/>
      <c r="G6940" s="1743"/>
      <c r="H6940" s="1743"/>
      <c r="K6940" s="1192" t="s">
        <v>2746</v>
      </c>
      <c r="V6940" s="1192">
        <v>411</v>
      </c>
    </row>
    <row r="6941" spans="1:22" s="1192" customFormat="1" ht="14.4" x14ac:dyDescent="0.3">
      <c r="A6941" s="1192" t="s">
        <v>2041</v>
      </c>
      <c r="E6941" s="1743" t="s">
        <v>2393</v>
      </c>
      <c r="F6941" s="1743"/>
      <c r="G6941" s="1743"/>
      <c r="H6941" s="1743"/>
      <c r="K6941" s="1192" t="s">
        <v>2746</v>
      </c>
      <c r="V6941" s="1192">
        <v>387</v>
      </c>
    </row>
    <row r="6942" spans="1:22" s="1192" customFormat="1" ht="14.4" x14ac:dyDescent="0.3">
      <c r="A6942" s="1192" t="s">
        <v>2041</v>
      </c>
      <c r="E6942" s="1743" t="s">
        <v>4500</v>
      </c>
      <c r="F6942" s="1743"/>
      <c r="G6942" s="1743"/>
      <c r="H6942" s="1743"/>
      <c r="K6942" s="1192" t="s">
        <v>2746</v>
      </c>
      <c r="V6942" s="1192">
        <v>247</v>
      </c>
    </row>
    <row r="6943" spans="1:22" s="1192" customFormat="1" ht="14.4" x14ac:dyDescent="0.3">
      <c r="A6943" s="1192" t="s">
        <v>2041</v>
      </c>
      <c r="E6943" s="1750" t="s">
        <v>2394</v>
      </c>
      <c r="F6943" s="1743"/>
      <c r="G6943" s="1743"/>
      <c r="H6943" s="1743"/>
      <c r="K6943" s="1192" t="s">
        <v>2446</v>
      </c>
      <c r="V6943" s="1192">
        <v>46</v>
      </c>
    </row>
    <row r="6944" spans="1:22" s="1192" customFormat="1" ht="14.4" x14ac:dyDescent="0.3">
      <c r="A6944" s="1192" t="s">
        <v>2041</v>
      </c>
      <c r="E6944" s="1741" t="s">
        <v>8</v>
      </c>
      <c r="F6944" s="1741"/>
      <c r="G6944" s="1277" t="s">
        <v>19</v>
      </c>
      <c r="H6944" s="1218">
        <v>1.94</v>
      </c>
      <c r="K6944" s="1192" t="s">
        <v>2746</v>
      </c>
      <c r="L6944" s="1192" t="s">
        <v>430</v>
      </c>
      <c r="P6944" s="1192" t="s">
        <v>2747</v>
      </c>
      <c r="V6944" s="1192">
        <v>31</v>
      </c>
    </row>
    <row r="6945" spans="1:22" s="1192" customFormat="1" ht="14.4" x14ac:dyDescent="0.3">
      <c r="A6945" s="1192" t="s">
        <v>2041</v>
      </c>
      <c r="E6945" s="1741" t="s">
        <v>6431</v>
      </c>
      <c r="F6945" s="1741"/>
      <c r="G6945" s="1277" t="s">
        <v>19</v>
      </c>
      <c r="H6945" s="1218">
        <v>-0.02</v>
      </c>
      <c r="K6945" s="1192" t="s">
        <v>2746</v>
      </c>
      <c r="L6945" s="1192" t="s">
        <v>430</v>
      </c>
      <c r="P6945" s="1192" t="s">
        <v>6453</v>
      </c>
      <c r="T6945" s="1192">
        <v>44561</v>
      </c>
      <c r="V6945" s="1192">
        <v>78</v>
      </c>
    </row>
    <row r="6946" spans="1:22" s="1192" customFormat="1" ht="14.4" x14ac:dyDescent="0.3">
      <c r="A6946" s="1192" t="s">
        <v>2041</v>
      </c>
      <c r="E6946" s="1741" t="s">
        <v>6418</v>
      </c>
      <c r="F6946" s="1741"/>
      <c r="G6946" s="1277" t="s">
        <v>19</v>
      </c>
      <c r="H6946" s="1218">
        <v>0.03</v>
      </c>
      <c r="K6946" s="1192" t="s">
        <v>2746</v>
      </c>
      <c r="L6946" s="1192" t="s">
        <v>430</v>
      </c>
      <c r="P6946" s="1192" t="s">
        <v>6454</v>
      </c>
      <c r="V6946" s="1192">
        <v>135</v>
      </c>
    </row>
    <row r="6947" spans="1:22" s="1192" customFormat="1" ht="14.4" x14ac:dyDescent="0.3">
      <c r="A6947" s="1192" t="s">
        <v>2041</v>
      </c>
      <c r="E6947" s="1741" t="s">
        <v>5832</v>
      </c>
      <c r="F6947" s="1741"/>
      <c r="G6947" s="1277" t="s">
        <v>19</v>
      </c>
      <c r="H6947" s="1218">
        <v>-0.19</v>
      </c>
      <c r="K6947" s="1192" t="s">
        <v>2746</v>
      </c>
      <c r="L6947" s="1192" t="s">
        <v>430</v>
      </c>
      <c r="P6947" s="1192" t="s">
        <v>6455</v>
      </c>
      <c r="T6947" s="1192">
        <v>44196</v>
      </c>
      <c r="V6947" s="1192">
        <v>92</v>
      </c>
    </row>
    <row r="6948" spans="1:22" s="1192" customFormat="1" ht="14.4" x14ac:dyDescent="0.3">
      <c r="A6948" s="1192" t="s">
        <v>2041</v>
      </c>
      <c r="E6948" s="1741" t="s">
        <v>80</v>
      </c>
      <c r="F6948" s="1741"/>
      <c r="G6948" s="1277" t="s">
        <v>29</v>
      </c>
      <c r="H6948" s="1219">
        <v>15.5916</v>
      </c>
      <c r="K6948" s="1192" t="s">
        <v>2746</v>
      </c>
      <c r="L6948" s="1192" t="s">
        <v>430</v>
      </c>
      <c r="P6948" s="1192" t="s">
        <v>2748</v>
      </c>
      <c r="V6948" s="1192">
        <v>28</v>
      </c>
    </row>
    <row r="6949" spans="1:22" s="1192" customFormat="1" ht="14.4" x14ac:dyDescent="0.3">
      <c r="A6949" s="1192" t="s">
        <v>2041</v>
      </c>
      <c r="E6949" s="1741" t="s">
        <v>14</v>
      </c>
      <c r="F6949" s="1741"/>
      <c r="G6949" s="1277" t="s">
        <v>29</v>
      </c>
      <c r="H6949" s="1219">
        <v>7.7899999999999997E-2</v>
      </c>
      <c r="K6949" s="1192" t="s">
        <v>2746</v>
      </c>
      <c r="L6949" s="1192" t="s">
        <v>431</v>
      </c>
      <c r="P6949" s="1192" t="s">
        <v>2749</v>
      </c>
      <c r="V6949" s="1192">
        <v>24</v>
      </c>
    </row>
    <row r="6950" spans="1:22" s="1192" customFormat="1" ht="14.4" x14ac:dyDescent="0.3">
      <c r="A6950" s="1192" t="s">
        <v>2041</v>
      </c>
      <c r="E6950" s="1741" t="s">
        <v>6090</v>
      </c>
      <c r="F6950" s="1998"/>
      <c r="G6950" s="1277" t="s">
        <v>20</v>
      </c>
      <c r="H6950" s="1219">
        <v>-2.0999999999999999E-3</v>
      </c>
      <c r="K6950" s="1192" t="s">
        <v>2746</v>
      </c>
      <c r="L6950" s="1192" t="s">
        <v>431</v>
      </c>
      <c r="P6950" s="1192" t="s">
        <v>3270</v>
      </c>
      <c r="T6950" s="1192">
        <v>44196</v>
      </c>
      <c r="V6950" s="1192">
        <v>142</v>
      </c>
    </row>
    <row r="6951" spans="1:22" s="1192" customFormat="1" ht="14.4" x14ac:dyDescent="0.3">
      <c r="A6951" s="1192" t="s">
        <v>2041</v>
      </c>
      <c r="E6951" s="1741" t="s">
        <v>6145</v>
      </c>
      <c r="F6951" s="1998"/>
      <c r="G6951" s="1277" t="s">
        <v>29</v>
      </c>
      <c r="H6951" s="1219">
        <v>4.0327999999999999</v>
      </c>
      <c r="K6951" s="1192" t="s">
        <v>2746</v>
      </c>
      <c r="L6951" s="1192" t="s">
        <v>430</v>
      </c>
      <c r="P6951" s="1192" t="s">
        <v>2750</v>
      </c>
      <c r="T6951" s="1192">
        <v>44196</v>
      </c>
      <c r="V6951" s="1192">
        <v>139</v>
      </c>
    </row>
    <row r="6952" spans="1:22" s="1192" customFormat="1" ht="14.4" x14ac:dyDescent="0.3">
      <c r="A6952" s="1192" t="s">
        <v>2041</v>
      </c>
      <c r="E6952" s="1741" t="s">
        <v>6087</v>
      </c>
      <c r="F6952" s="1998"/>
      <c r="G6952" s="1277" t="s">
        <v>29</v>
      </c>
      <c r="H6952" s="1219">
        <v>-0.1895</v>
      </c>
      <c r="K6952" s="1192" t="s">
        <v>2746</v>
      </c>
      <c r="L6952" s="1192" t="s">
        <v>431</v>
      </c>
      <c r="P6952" s="1192" t="s">
        <v>3036</v>
      </c>
      <c r="T6952" s="1192">
        <v>44196</v>
      </c>
      <c r="V6952" s="1192">
        <v>99</v>
      </c>
    </row>
    <row r="6953" spans="1:22" s="1192" customFormat="1" ht="14.4" x14ac:dyDescent="0.3">
      <c r="A6953" s="1192" t="s">
        <v>2041</v>
      </c>
      <c r="E6953" s="1741" t="s">
        <v>6434</v>
      </c>
      <c r="F6953" s="1998"/>
      <c r="G6953" s="1277" t="s">
        <v>29</v>
      </c>
      <c r="H6953" s="1219">
        <v>-1.9099999999999999E-2</v>
      </c>
      <c r="K6953" s="1192" t="s">
        <v>2746</v>
      </c>
      <c r="L6953" s="1192" t="s">
        <v>431</v>
      </c>
      <c r="P6953" s="1192" t="s">
        <v>4050</v>
      </c>
      <c r="T6953" s="1192">
        <v>44196</v>
      </c>
      <c r="V6953" s="1192">
        <v>149</v>
      </c>
    </row>
    <row r="6954" spans="1:22" s="1192" customFormat="1" ht="14.4" x14ac:dyDescent="0.3">
      <c r="A6954" s="1192" t="s">
        <v>2041</v>
      </c>
      <c r="E6954" s="1741" t="s">
        <v>5832</v>
      </c>
      <c r="F6954" s="1741"/>
      <c r="G6954" s="1277" t="s">
        <v>29</v>
      </c>
      <c r="H6954" s="1219">
        <v>-1.5612999999999999</v>
      </c>
      <c r="K6954" s="1192" t="s">
        <v>2746</v>
      </c>
      <c r="L6954" s="1192" t="s">
        <v>430</v>
      </c>
      <c r="P6954" s="1192" t="s">
        <v>6456</v>
      </c>
      <c r="T6954" s="1192">
        <v>44196</v>
      </c>
      <c r="V6954" s="1192">
        <v>92</v>
      </c>
    </row>
    <row r="6955" spans="1:22" s="1192" customFormat="1" ht="14.4" x14ac:dyDescent="0.3">
      <c r="A6955" s="1192" t="s">
        <v>2041</v>
      </c>
      <c r="E6955" s="1741" t="s">
        <v>213</v>
      </c>
      <c r="F6955" s="1741"/>
      <c r="G6955" s="1277" t="s">
        <v>29</v>
      </c>
      <c r="H6955" s="1219">
        <v>1.7406999999999999</v>
      </c>
      <c r="K6955" s="1192" t="s">
        <v>2746</v>
      </c>
      <c r="L6955" s="1192" t="s">
        <v>432</v>
      </c>
      <c r="P6955" s="1192" t="s">
        <v>2751</v>
      </c>
      <c r="V6955" s="1192">
        <v>47</v>
      </c>
    </row>
    <row r="6956" spans="1:22" s="1192" customFormat="1" ht="14.4" x14ac:dyDescent="0.3">
      <c r="A6956" s="1192" t="s">
        <v>2041</v>
      </c>
      <c r="E6956" s="1741" t="s">
        <v>209</v>
      </c>
      <c r="F6956" s="1741"/>
      <c r="G6956" s="1277" t="s">
        <v>29</v>
      </c>
      <c r="H6956" s="1219">
        <v>1.2249000000000001</v>
      </c>
      <c r="K6956" s="1192" t="s">
        <v>2746</v>
      </c>
      <c r="L6956" s="1192" t="s">
        <v>432</v>
      </c>
      <c r="P6956" s="1192" t="s">
        <v>2752</v>
      </c>
      <c r="V6956" s="1192">
        <v>74</v>
      </c>
    </row>
    <row r="6957" spans="1:22" s="1192" customFormat="1" ht="14.4" x14ac:dyDescent="0.3">
      <c r="A6957" s="1192" t="s">
        <v>2041</v>
      </c>
      <c r="E6957" s="1750" t="s">
        <v>2405</v>
      </c>
      <c r="F6957" s="1741"/>
      <c r="G6957" s="1277"/>
      <c r="H6957" s="896"/>
      <c r="K6957" s="1192" t="s">
        <v>2565</v>
      </c>
      <c r="V6957" s="1192">
        <v>48</v>
      </c>
    </row>
    <row r="6958" spans="1:22" s="1192" customFormat="1" ht="14.4" x14ac:dyDescent="0.3">
      <c r="A6958" s="1192" t="s">
        <v>2041</v>
      </c>
      <c r="E6958" s="1741" t="s">
        <v>2033</v>
      </c>
      <c r="F6958" s="1741"/>
      <c r="G6958" s="1277" t="s">
        <v>20</v>
      </c>
      <c r="H6958" s="1219">
        <v>3.0000000000000001E-3</v>
      </c>
      <c r="K6958" s="1192" t="s">
        <v>2746</v>
      </c>
      <c r="L6958" s="1192" t="s">
        <v>2374</v>
      </c>
      <c r="P6958" s="1192" t="s">
        <v>2753</v>
      </c>
      <c r="V6958" s="1192">
        <v>55</v>
      </c>
    </row>
    <row r="6959" spans="1:22" s="1192" customFormat="1" ht="14.4" x14ac:dyDescent="0.3">
      <c r="A6959" s="1192" t="s">
        <v>2041</v>
      </c>
      <c r="E6959" s="1741" t="s">
        <v>2034</v>
      </c>
      <c r="F6959" s="1741"/>
      <c r="G6959" s="1277" t="s">
        <v>20</v>
      </c>
      <c r="H6959" s="1219">
        <v>4.0000000000000002E-4</v>
      </c>
      <c r="K6959" s="1192" t="s">
        <v>2746</v>
      </c>
      <c r="L6959" s="1192" t="s">
        <v>2374</v>
      </c>
      <c r="P6959" s="1192" t="s">
        <v>2753</v>
      </c>
      <c r="V6959" s="1192">
        <v>65</v>
      </c>
    </row>
    <row r="6960" spans="1:22" s="1192" customFormat="1" ht="14.4" x14ac:dyDescent="0.3">
      <c r="A6960" s="1192" t="s">
        <v>2041</v>
      </c>
      <c r="E6960" s="1741" t="s">
        <v>428</v>
      </c>
      <c r="F6960" s="1741"/>
      <c r="G6960" s="1277" t="s">
        <v>20</v>
      </c>
      <c r="H6960" s="1219">
        <v>5.0000000000000001E-4</v>
      </c>
      <c r="K6960" s="1192" t="s">
        <v>2746</v>
      </c>
      <c r="L6960" s="1192" t="s">
        <v>2374</v>
      </c>
      <c r="P6960" s="1192" t="s">
        <v>2754</v>
      </c>
      <c r="V6960" s="1192">
        <v>57</v>
      </c>
    </row>
    <row r="6961" spans="1:22" s="1192" customFormat="1" ht="14.4" x14ac:dyDescent="0.3">
      <c r="A6961" s="1192" t="s">
        <v>2041</v>
      </c>
      <c r="E6961" s="1741" t="s">
        <v>28</v>
      </c>
      <c r="F6961" s="1741"/>
      <c r="G6961" s="1277" t="s">
        <v>19</v>
      </c>
      <c r="H6961" s="1218">
        <v>0.25</v>
      </c>
      <c r="K6961" s="1192" t="s">
        <v>2746</v>
      </c>
      <c r="L6961" s="1192" t="s">
        <v>2374</v>
      </c>
      <c r="P6961" s="1192" t="s">
        <v>2755</v>
      </c>
      <c r="V6961" s="1192">
        <v>63</v>
      </c>
    </row>
    <row r="6962" spans="1:22" s="1192" customFormat="1" ht="17.399999999999999" x14ac:dyDescent="0.3">
      <c r="A6962" s="1192" t="s">
        <v>2041</v>
      </c>
      <c r="E6962" s="1746" t="s">
        <v>604</v>
      </c>
      <c r="F6962" s="1747"/>
      <c r="G6962" s="1747"/>
      <c r="H6962" s="1747"/>
      <c r="K6962" s="1192" t="s">
        <v>2953</v>
      </c>
      <c r="V6962" s="1192">
        <v>40</v>
      </c>
    </row>
    <row r="6963" spans="1:22" s="1192" customFormat="1" ht="14.4" x14ac:dyDescent="0.3">
      <c r="A6963" s="1192" t="s">
        <v>2041</v>
      </c>
      <c r="E6963" s="1743" t="s">
        <v>4972</v>
      </c>
      <c r="F6963" s="1743"/>
      <c r="G6963" s="1743"/>
      <c r="H6963" s="1743"/>
      <c r="K6963" s="1192" t="s">
        <v>2953</v>
      </c>
      <c r="V6963" s="1192">
        <v>398</v>
      </c>
    </row>
    <row r="6964" spans="1:22" s="1192" customFormat="1" ht="14.4" x14ac:dyDescent="0.3">
      <c r="A6964" s="1192" t="s">
        <v>2041</v>
      </c>
      <c r="E6964" s="1750" t="s">
        <v>2389</v>
      </c>
      <c r="F6964" s="1743"/>
      <c r="G6964" s="1743"/>
      <c r="H6964" s="1743"/>
      <c r="K6964" s="1192" t="s">
        <v>2571</v>
      </c>
      <c r="V6964" s="1192">
        <v>11</v>
      </c>
    </row>
    <row r="6965" spans="1:22" s="1192" customFormat="1" ht="14.4" x14ac:dyDescent="0.3">
      <c r="A6965" s="1192" t="s">
        <v>2041</v>
      </c>
      <c r="E6965" s="1743" t="s">
        <v>2391</v>
      </c>
      <c r="F6965" s="1743"/>
      <c r="G6965" s="1743"/>
      <c r="H6965" s="1743"/>
      <c r="K6965" s="1192" t="s">
        <v>2953</v>
      </c>
      <c r="V6965" s="1192">
        <v>280</v>
      </c>
    </row>
    <row r="6966" spans="1:22" s="1192" customFormat="1" ht="14.4" x14ac:dyDescent="0.3">
      <c r="A6966" s="1192" t="s">
        <v>2041</v>
      </c>
      <c r="E6966" s="1743" t="s">
        <v>2392</v>
      </c>
      <c r="F6966" s="1743"/>
      <c r="G6966" s="1743"/>
      <c r="H6966" s="1743"/>
      <c r="K6966" s="1192" t="s">
        <v>2953</v>
      </c>
      <c r="V6966" s="1192">
        <v>411</v>
      </c>
    </row>
    <row r="6967" spans="1:22" s="1192" customFormat="1" ht="14.4" x14ac:dyDescent="0.3">
      <c r="A6967" s="1192" t="s">
        <v>2041</v>
      </c>
      <c r="E6967" s="1743" t="s">
        <v>4971</v>
      </c>
      <c r="F6967" s="1743"/>
      <c r="G6967" s="1743"/>
      <c r="H6967" s="1743"/>
      <c r="K6967" s="1192" t="s">
        <v>2953</v>
      </c>
      <c r="V6967" s="1192">
        <v>388</v>
      </c>
    </row>
    <row r="6968" spans="1:22" s="1192" customFormat="1" ht="14.4" x14ac:dyDescent="0.3">
      <c r="A6968" s="1192" t="s">
        <v>2041</v>
      </c>
      <c r="E6968" s="1743" t="s">
        <v>4500</v>
      </c>
      <c r="F6968" s="1743"/>
      <c r="G6968" s="1743"/>
      <c r="H6968" s="1743"/>
      <c r="K6968" s="1192" t="s">
        <v>2953</v>
      </c>
      <c r="V6968" s="1192">
        <v>247</v>
      </c>
    </row>
    <row r="6969" spans="1:22" s="1192" customFormat="1" ht="14.4" x14ac:dyDescent="0.3">
      <c r="A6969" s="1192" t="s">
        <v>2041</v>
      </c>
      <c r="E6969" s="1750" t="s">
        <v>2394</v>
      </c>
      <c r="F6969" s="1743"/>
      <c r="G6969" s="1743"/>
      <c r="H6969" s="1743"/>
      <c r="K6969" s="1192" t="s">
        <v>2572</v>
      </c>
      <c r="V6969" s="1192">
        <v>46</v>
      </c>
    </row>
    <row r="6970" spans="1:22" s="1192" customFormat="1" ht="14.4" x14ac:dyDescent="0.3">
      <c r="A6970" s="1192" t="s">
        <v>2041</v>
      </c>
      <c r="E6970" s="1741" t="s">
        <v>8</v>
      </c>
      <c r="F6970" s="1741"/>
      <c r="G6970" s="1277" t="s">
        <v>19</v>
      </c>
      <c r="H6970" s="1218">
        <v>2.87</v>
      </c>
      <c r="K6970" s="1192" t="s">
        <v>2953</v>
      </c>
      <c r="L6970" s="1192" t="s">
        <v>430</v>
      </c>
      <c r="P6970" s="1192" t="s">
        <v>2955</v>
      </c>
      <c r="V6970" s="1192">
        <v>31</v>
      </c>
    </row>
    <row r="6971" spans="1:22" s="1192" customFormat="1" ht="14.4" x14ac:dyDescent="0.3">
      <c r="A6971" s="1192" t="s">
        <v>2041</v>
      </c>
      <c r="E6971" s="1741" t="s">
        <v>6431</v>
      </c>
      <c r="F6971" s="1741"/>
      <c r="G6971" s="1277" t="s">
        <v>19</v>
      </c>
      <c r="H6971" s="1218">
        <v>-7.0000000000000007E-2</v>
      </c>
      <c r="K6971" s="1192" t="s">
        <v>2953</v>
      </c>
      <c r="L6971" s="1192" t="s">
        <v>430</v>
      </c>
      <c r="P6971" s="1192" t="s">
        <v>6457</v>
      </c>
      <c r="T6971" s="1192">
        <v>44561</v>
      </c>
      <c r="V6971" s="1192">
        <v>78</v>
      </c>
    </row>
    <row r="6972" spans="1:22" s="1192" customFormat="1" ht="14.4" x14ac:dyDescent="0.3">
      <c r="A6972" s="1192" t="s">
        <v>2041</v>
      </c>
      <c r="E6972" s="1741" t="s">
        <v>6418</v>
      </c>
      <c r="F6972" s="1741"/>
      <c r="G6972" s="1277" t="s">
        <v>19</v>
      </c>
      <c r="H6972" s="1218">
        <v>0.11</v>
      </c>
      <c r="K6972" s="1192" t="s">
        <v>2953</v>
      </c>
      <c r="L6972" s="1192" t="s">
        <v>430</v>
      </c>
      <c r="P6972" s="1192" t="s">
        <v>6458</v>
      </c>
      <c r="V6972" s="1192">
        <v>135</v>
      </c>
    </row>
    <row r="6973" spans="1:22" s="1192" customFormat="1" ht="14.4" x14ac:dyDescent="0.3">
      <c r="A6973" s="1192" t="s">
        <v>2041</v>
      </c>
      <c r="E6973" s="1741" t="s">
        <v>5832</v>
      </c>
      <c r="F6973" s="1741"/>
      <c r="G6973" s="1277" t="s">
        <v>19</v>
      </c>
      <c r="H6973" s="1218">
        <v>0.32</v>
      </c>
      <c r="K6973" s="1192" t="s">
        <v>2953</v>
      </c>
      <c r="L6973" s="1192" t="s">
        <v>430</v>
      </c>
      <c r="P6973" s="1192" t="s">
        <v>6459</v>
      </c>
      <c r="T6973" s="1192">
        <v>44196</v>
      </c>
      <c r="V6973" s="1192">
        <v>92</v>
      </c>
    </row>
    <row r="6974" spans="1:22" s="1192" customFormat="1" ht="14.4" x14ac:dyDescent="0.3">
      <c r="A6974" s="1192" t="s">
        <v>2041</v>
      </c>
      <c r="E6974" s="1741" t="s">
        <v>80</v>
      </c>
      <c r="F6974" s="1741"/>
      <c r="G6974" s="1277" t="s">
        <v>29</v>
      </c>
      <c r="H6974" s="1219">
        <v>42.891599999999997</v>
      </c>
      <c r="K6974" s="1192" t="s">
        <v>2953</v>
      </c>
      <c r="L6974" s="1192" t="s">
        <v>430</v>
      </c>
      <c r="P6974" s="1192" t="s">
        <v>2956</v>
      </c>
      <c r="V6974" s="1192">
        <v>28</v>
      </c>
    </row>
    <row r="6975" spans="1:22" s="1192" customFormat="1" ht="14.4" x14ac:dyDescent="0.3">
      <c r="A6975" s="1192" t="s">
        <v>2041</v>
      </c>
      <c r="E6975" s="1741" t="s">
        <v>14</v>
      </c>
      <c r="F6975" s="1741"/>
      <c r="G6975" s="1277" t="s">
        <v>29</v>
      </c>
      <c r="H6975" s="1219">
        <v>7.5300000000000006E-2</v>
      </c>
      <c r="K6975" s="1192" t="s">
        <v>2953</v>
      </c>
      <c r="L6975" s="1192" t="s">
        <v>431</v>
      </c>
      <c r="P6975" s="1192" t="s">
        <v>2957</v>
      </c>
      <c r="V6975" s="1192">
        <v>24</v>
      </c>
    </row>
    <row r="6976" spans="1:22" s="1192" customFormat="1" ht="14.4" x14ac:dyDescent="0.3">
      <c r="A6976" s="1192" t="s">
        <v>2041</v>
      </c>
      <c r="E6976" s="1741" t="s">
        <v>6434</v>
      </c>
      <c r="F6976" s="1998"/>
      <c r="G6976" s="1277" t="s">
        <v>29</v>
      </c>
      <c r="H6976" s="1219">
        <v>-3.8999999999999998E-3</v>
      </c>
      <c r="K6976" s="1192" t="s">
        <v>2953</v>
      </c>
      <c r="L6976" s="1192" t="s">
        <v>431</v>
      </c>
      <c r="P6976" s="1192" t="s">
        <v>4083</v>
      </c>
      <c r="T6976" s="1192">
        <v>44196</v>
      </c>
      <c r="V6976" s="1192">
        <v>149</v>
      </c>
    </row>
    <row r="6977" spans="1:22" s="1192" customFormat="1" ht="14.4" x14ac:dyDescent="0.3">
      <c r="A6977" s="1192" t="s">
        <v>2041</v>
      </c>
      <c r="E6977" s="1741" t="s">
        <v>6087</v>
      </c>
      <c r="F6977" s="1998"/>
      <c r="G6977" s="1277" t="s">
        <v>29</v>
      </c>
      <c r="H6977" s="1219">
        <v>-2.93E-2</v>
      </c>
      <c r="K6977" s="1192" t="s">
        <v>2953</v>
      </c>
      <c r="L6977" s="1192" t="s">
        <v>431</v>
      </c>
      <c r="P6977" s="1192" t="s">
        <v>2958</v>
      </c>
      <c r="T6977" s="1192">
        <v>44196</v>
      </c>
      <c r="V6977" s="1192">
        <v>99</v>
      </c>
    </row>
    <row r="6978" spans="1:22" s="1192" customFormat="1" ht="14.4" x14ac:dyDescent="0.3">
      <c r="A6978" s="1192" t="s">
        <v>2041</v>
      </c>
      <c r="E6978" s="1741" t="s">
        <v>5832</v>
      </c>
      <c r="F6978" s="1741"/>
      <c r="G6978" s="1277" t="s">
        <v>29</v>
      </c>
      <c r="H6978" s="1219">
        <v>4.7805</v>
      </c>
      <c r="K6978" s="1192" t="s">
        <v>2953</v>
      </c>
      <c r="L6978" s="1192" t="s">
        <v>430</v>
      </c>
      <c r="P6978" s="1192" t="s">
        <v>6460</v>
      </c>
      <c r="T6978" s="1192">
        <v>44196</v>
      </c>
      <c r="V6978" s="1192">
        <v>92</v>
      </c>
    </row>
    <row r="6979" spans="1:22" s="1192" customFormat="1" ht="14.4" x14ac:dyDescent="0.3">
      <c r="A6979" s="1192" t="s">
        <v>2041</v>
      </c>
      <c r="E6979" s="1741" t="s">
        <v>213</v>
      </c>
      <c r="F6979" s="1741"/>
      <c r="G6979" s="1277" t="s">
        <v>29</v>
      </c>
      <c r="H6979" s="1219">
        <v>1.9095</v>
      </c>
      <c r="K6979" s="1192" t="s">
        <v>2953</v>
      </c>
      <c r="L6979" s="1192" t="s">
        <v>432</v>
      </c>
      <c r="P6979" s="1192" t="s">
        <v>2959</v>
      </c>
      <c r="V6979" s="1192">
        <v>47</v>
      </c>
    </row>
    <row r="6980" spans="1:22" s="1192" customFormat="1" ht="14.4" x14ac:dyDescent="0.3">
      <c r="A6980" s="1192" t="s">
        <v>2041</v>
      </c>
      <c r="E6980" s="1741" t="s">
        <v>209</v>
      </c>
      <c r="F6980" s="1741"/>
      <c r="G6980" s="1277" t="s">
        <v>29</v>
      </c>
      <c r="H6980" s="1219">
        <v>1.1845000000000001</v>
      </c>
      <c r="K6980" s="1192" t="s">
        <v>2953</v>
      </c>
      <c r="L6980" s="1192" t="s">
        <v>432</v>
      </c>
      <c r="P6980" s="1192" t="s">
        <v>2960</v>
      </c>
      <c r="V6980" s="1192">
        <v>74</v>
      </c>
    </row>
    <row r="6981" spans="1:22" s="1192" customFormat="1" ht="14.4" x14ac:dyDescent="0.3">
      <c r="A6981" s="1192" t="s">
        <v>2041</v>
      </c>
      <c r="E6981" s="1750" t="s">
        <v>2405</v>
      </c>
      <c r="F6981" s="1741"/>
      <c r="G6981" s="1277"/>
      <c r="H6981" s="896"/>
      <c r="K6981" s="1192" t="s">
        <v>2581</v>
      </c>
      <c r="V6981" s="1192">
        <v>48</v>
      </c>
    </row>
    <row r="6982" spans="1:22" s="1192" customFormat="1" ht="14.4" x14ac:dyDescent="0.3">
      <c r="A6982" s="1192" t="s">
        <v>2041</v>
      </c>
      <c r="E6982" s="1741" t="s">
        <v>2033</v>
      </c>
      <c r="F6982" s="1741"/>
      <c r="G6982" s="1277" t="s">
        <v>20</v>
      </c>
      <c r="H6982" s="1219">
        <v>3.0000000000000001E-3</v>
      </c>
      <c r="K6982" s="1192" t="s">
        <v>2953</v>
      </c>
      <c r="L6982" s="1192" t="s">
        <v>2374</v>
      </c>
      <c r="P6982" s="1192" t="s">
        <v>2961</v>
      </c>
      <c r="V6982" s="1192">
        <v>55</v>
      </c>
    </row>
    <row r="6983" spans="1:22" s="1192" customFormat="1" ht="14.4" x14ac:dyDescent="0.3">
      <c r="A6983" s="1192" t="s">
        <v>2041</v>
      </c>
      <c r="E6983" s="1741" t="s">
        <v>2034</v>
      </c>
      <c r="F6983" s="1741"/>
      <c r="G6983" s="1277" t="s">
        <v>20</v>
      </c>
      <c r="H6983" s="1219">
        <v>4.0000000000000002E-4</v>
      </c>
      <c r="K6983" s="1192" t="s">
        <v>2953</v>
      </c>
      <c r="L6983" s="1192" t="s">
        <v>2374</v>
      </c>
      <c r="P6983" s="1192" t="s">
        <v>2961</v>
      </c>
      <c r="V6983" s="1192">
        <v>65</v>
      </c>
    </row>
    <row r="6984" spans="1:22" s="1192" customFormat="1" ht="14.4" x14ac:dyDescent="0.3">
      <c r="A6984" s="1192" t="s">
        <v>2041</v>
      </c>
      <c r="E6984" s="1741" t="s">
        <v>428</v>
      </c>
      <c r="F6984" s="1741"/>
      <c r="G6984" s="1277" t="s">
        <v>20</v>
      </c>
      <c r="H6984" s="1219">
        <v>5.0000000000000001E-4</v>
      </c>
      <c r="K6984" s="1192" t="s">
        <v>2953</v>
      </c>
      <c r="L6984" s="1192" t="s">
        <v>2374</v>
      </c>
      <c r="P6984" s="1192" t="s">
        <v>2962</v>
      </c>
      <c r="V6984" s="1192">
        <v>57</v>
      </c>
    </row>
    <row r="6985" spans="1:22" s="1192" customFormat="1" ht="14.4" x14ac:dyDescent="0.3">
      <c r="A6985" s="1192" t="s">
        <v>2041</v>
      </c>
      <c r="E6985" s="1741" t="s">
        <v>28</v>
      </c>
      <c r="F6985" s="1741"/>
      <c r="G6985" s="1277" t="s">
        <v>19</v>
      </c>
      <c r="H6985" s="1218">
        <v>0.25</v>
      </c>
      <c r="K6985" s="1192" t="s">
        <v>2953</v>
      </c>
      <c r="L6985" s="1192" t="s">
        <v>2374</v>
      </c>
      <c r="P6985" s="1192" t="s">
        <v>2963</v>
      </c>
      <c r="V6985" s="1192">
        <v>63</v>
      </c>
    </row>
    <row r="6986" spans="1:22" s="1192" customFormat="1" ht="14.4" x14ac:dyDescent="0.3">
      <c r="A6986" s="1192" t="s">
        <v>2041</v>
      </c>
      <c r="E6986" s="1746" t="s">
        <v>5837</v>
      </c>
      <c r="F6986" s="1743"/>
      <c r="G6986" s="1743"/>
      <c r="H6986" s="1743"/>
      <c r="K6986" s="1192" t="s">
        <v>5838</v>
      </c>
      <c r="V6986" s="1192">
        <v>59</v>
      </c>
    </row>
    <row r="6987" spans="1:22" s="1192" customFormat="1" ht="14.4" x14ac:dyDescent="0.3">
      <c r="A6987" s="1192" t="s">
        <v>2041</v>
      </c>
      <c r="E6987" s="1743" t="s">
        <v>4985</v>
      </c>
      <c r="F6987" s="1743"/>
      <c r="G6987" s="1743"/>
      <c r="H6987" s="1743"/>
      <c r="K6987" s="1192" t="s">
        <v>5838</v>
      </c>
      <c r="V6987" s="1192">
        <v>251</v>
      </c>
    </row>
    <row r="6988" spans="1:22" s="1192" customFormat="1" ht="14.4" x14ac:dyDescent="0.3">
      <c r="A6988" s="1192" t="s">
        <v>2041</v>
      </c>
      <c r="E6988" s="1750" t="s">
        <v>2389</v>
      </c>
      <c r="F6988" s="1743"/>
      <c r="G6988" s="1743"/>
      <c r="H6988" s="1743"/>
      <c r="K6988" s="1192" t="s">
        <v>2586</v>
      </c>
      <c r="V6988" s="1192">
        <v>11</v>
      </c>
    </row>
    <row r="6989" spans="1:22" s="1192" customFormat="1" ht="14.4" x14ac:dyDescent="0.3">
      <c r="A6989" s="1192" t="s">
        <v>2041</v>
      </c>
      <c r="E6989" s="1743" t="s">
        <v>2391</v>
      </c>
      <c r="F6989" s="1743"/>
      <c r="G6989" s="1743"/>
      <c r="H6989" s="1743"/>
      <c r="K6989" s="1192" t="s">
        <v>5838</v>
      </c>
      <c r="V6989" s="1192">
        <v>280</v>
      </c>
    </row>
    <row r="6990" spans="1:22" s="1192" customFormat="1" ht="14.4" x14ac:dyDescent="0.3">
      <c r="A6990" s="1192" t="s">
        <v>2041</v>
      </c>
      <c r="E6990" s="1743" t="s">
        <v>2392</v>
      </c>
      <c r="F6990" s="1743"/>
      <c r="G6990" s="1743"/>
      <c r="H6990" s="1743"/>
      <c r="K6990" s="1192" t="s">
        <v>5838</v>
      </c>
      <c r="V6990" s="1192">
        <v>411</v>
      </c>
    </row>
    <row r="6991" spans="1:22" s="1192" customFormat="1" ht="14.4" x14ac:dyDescent="0.3">
      <c r="A6991" s="1192" t="s">
        <v>2041</v>
      </c>
      <c r="E6991" s="1743" t="s">
        <v>2393</v>
      </c>
      <c r="F6991" s="1743"/>
      <c r="G6991" s="1743"/>
      <c r="H6991" s="1743"/>
      <c r="K6991" s="1192" t="s">
        <v>5838</v>
      </c>
      <c r="V6991" s="1192">
        <v>387</v>
      </c>
    </row>
    <row r="6992" spans="1:22" s="1192" customFormat="1" ht="14.4" x14ac:dyDescent="0.3">
      <c r="A6992" s="1192" t="s">
        <v>2041</v>
      </c>
      <c r="E6992" s="1743" t="s">
        <v>4500</v>
      </c>
      <c r="F6992" s="1743"/>
      <c r="G6992" s="1743"/>
      <c r="H6992" s="1743"/>
      <c r="K6992" s="1192" t="s">
        <v>5838</v>
      </c>
      <c r="V6992" s="1192">
        <v>247</v>
      </c>
    </row>
    <row r="6993" spans="1:22" s="1192" customFormat="1" ht="14.4" x14ac:dyDescent="0.3">
      <c r="A6993" s="1192" t="s">
        <v>2041</v>
      </c>
      <c r="E6993" s="1750" t="s">
        <v>2394</v>
      </c>
      <c r="F6993" s="1743"/>
      <c r="G6993" s="1743"/>
      <c r="H6993" s="1743"/>
      <c r="K6993" s="1192" t="s">
        <v>2587</v>
      </c>
      <c r="V6993" s="1192">
        <v>46</v>
      </c>
    </row>
    <row r="6994" spans="1:22" s="1192" customFormat="1" ht="14.4" x14ac:dyDescent="0.3">
      <c r="A6994" s="1192" t="s">
        <v>2041</v>
      </c>
      <c r="E6994" s="1741" t="s">
        <v>6431</v>
      </c>
      <c r="F6994" s="1741"/>
      <c r="G6994" s="1277" t="s">
        <v>19</v>
      </c>
      <c r="H6994" s="1218">
        <v>-33.18</v>
      </c>
      <c r="K6994" s="1192" t="s">
        <v>5838</v>
      </c>
      <c r="L6994" s="1192" t="s">
        <v>430</v>
      </c>
      <c r="P6994" s="1192" t="s">
        <v>6461</v>
      </c>
      <c r="T6994" s="1192">
        <v>44561</v>
      </c>
      <c r="V6994" s="1192">
        <v>78</v>
      </c>
    </row>
    <row r="6995" spans="1:22" s="1192" customFormat="1" ht="14.4" x14ac:dyDescent="0.3">
      <c r="A6995" s="1192" t="s">
        <v>2041</v>
      </c>
      <c r="E6995" s="1741" t="s">
        <v>6418</v>
      </c>
      <c r="F6995" s="1741"/>
      <c r="G6995" s="1277" t="s">
        <v>19</v>
      </c>
      <c r="H6995" s="1218">
        <v>50.85</v>
      </c>
      <c r="K6995" s="1192" t="s">
        <v>5838</v>
      </c>
      <c r="L6995" s="1192" t="s">
        <v>430</v>
      </c>
      <c r="P6995" s="1192" t="s">
        <v>6462</v>
      </c>
      <c r="V6995" s="1192">
        <v>135</v>
      </c>
    </row>
    <row r="6996" spans="1:22" s="1192" customFormat="1" ht="14.4" x14ac:dyDescent="0.3">
      <c r="A6996" s="1192" t="s">
        <v>2041</v>
      </c>
      <c r="E6996" s="1741" t="s">
        <v>80</v>
      </c>
      <c r="F6996" s="1741"/>
      <c r="G6996" s="1277" t="s">
        <v>29</v>
      </c>
      <c r="H6996" s="1219">
        <v>2.1492</v>
      </c>
      <c r="K6996" s="1192" t="s">
        <v>5838</v>
      </c>
      <c r="L6996" s="1192" t="s">
        <v>430</v>
      </c>
      <c r="P6996" s="1192" t="s">
        <v>5839</v>
      </c>
      <c r="V6996" s="1192">
        <v>28</v>
      </c>
    </row>
    <row r="6997" spans="1:22" s="1192" customFormat="1" ht="14.4" x14ac:dyDescent="0.3">
      <c r="A6997" s="1192" t="s">
        <v>2041</v>
      </c>
      <c r="E6997" s="1741" t="s">
        <v>6090</v>
      </c>
      <c r="F6997" s="1998"/>
      <c r="G6997" s="1277" t="s">
        <v>20</v>
      </c>
      <c r="H6997" s="1219">
        <v>-2.0999999999999999E-3</v>
      </c>
      <c r="K6997" s="1192" t="s">
        <v>5838</v>
      </c>
      <c r="L6997" s="1192" t="s">
        <v>431</v>
      </c>
      <c r="P6997" s="1192" t="s">
        <v>5840</v>
      </c>
      <c r="T6997" s="1192">
        <v>44196</v>
      </c>
      <c r="V6997" s="1192">
        <v>142</v>
      </c>
    </row>
    <row r="6998" spans="1:22" s="1192" customFormat="1" ht="14.4" x14ac:dyDescent="0.3">
      <c r="A6998" s="1192" t="s">
        <v>2041</v>
      </c>
      <c r="E6998" s="1741" t="s">
        <v>6087</v>
      </c>
      <c r="F6998" s="1998"/>
      <c r="G6998" s="1277" t="s">
        <v>29</v>
      </c>
      <c r="H6998" s="1219">
        <v>-0.24629999999999999</v>
      </c>
      <c r="K6998" s="1192" t="s">
        <v>5838</v>
      </c>
      <c r="L6998" s="1192" t="s">
        <v>431</v>
      </c>
      <c r="P6998" s="1192" t="s">
        <v>5841</v>
      </c>
      <c r="T6998" s="1192">
        <v>44196</v>
      </c>
      <c r="V6998" s="1192">
        <v>99</v>
      </c>
    </row>
    <row r="6999" spans="1:22" s="1192" customFormat="1" ht="14.4" x14ac:dyDescent="0.3">
      <c r="A6999" s="1192" t="s">
        <v>2041</v>
      </c>
      <c r="E6999" s="1741" t="s">
        <v>6434</v>
      </c>
      <c r="F6999" s="1998"/>
      <c r="G6999" s="1277" t="s">
        <v>29</v>
      </c>
      <c r="H6999" s="1219">
        <v>-2.4799999999999999E-2</v>
      </c>
      <c r="K6999" s="1192" t="s">
        <v>5838</v>
      </c>
      <c r="L6999" s="1192" t="s">
        <v>431</v>
      </c>
      <c r="P6999" s="1192" t="s">
        <v>6463</v>
      </c>
      <c r="T6999" s="1192">
        <v>44196</v>
      </c>
      <c r="V6999" s="1192">
        <v>149</v>
      </c>
    </row>
    <row r="7000" spans="1:22" s="1192" customFormat="1" ht="14.4" x14ac:dyDescent="0.3">
      <c r="A7000" s="1192" t="s">
        <v>2041</v>
      </c>
      <c r="E7000" s="1741" t="s">
        <v>5832</v>
      </c>
      <c r="F7000" s="1741"/>
      <c r="G7000" s="1277" t="s">
        <v>29</v>
      </c>
      <c r="H7000" s="1219">
        <v>1.5800000000000002E-2</v>
      </c>
      <c r="K7000" s="1192" t="s">
        <v>5838</v>
      </c>
      <c r="L7000" s="1192" t="s">
        <v>430</v>
      </c>
      <c r="P7000" s="1192" t="s">
        <v>6464</v>
      </c>
      <c r="T7000" s="1192">
        <v>44196</v>
      </c>
      <c r="V7000" s="1192">
        <v>92</v>
      </c>
    </row>
    <row r="7001" spans="1:22" s="1192" customFormat="1" ht="14.4" x14ac:dyDescent="0.3">
      <c r="A7001" s="1192" t="s">
        <v>2041</v>
      </c>
      <c r="E7001" s="1741" t="s">
        <v>213</v>
      </c>
      <c r="F7001" s="1741"/>
      <c r="G7001" s="1277" t="s">
        <v>29</v>
      </c>
      <c r="H7001" s="1219">
        <v>2.4605000000000001</v>
      </c>
      <c r="K7001" s="1192" t="s">
        <v>5838</v>
      </c>
      <c r="L7001" s="1192" t="s">
        <v>432</v>
      </c>
      <c r="P7001" s="1192" t="s">
        <v>5842</v>
      </c>
      <c r="V7001" s="1192">
        <v>47</v>
      </c>
    </row>
    <row r="7002" spans="1:22" s="1192" customFormat="1" ht="14.4" x14ac:dyDescent="0.3">
      <c r="A7002" s="1192" t="s">
        <v>2041</v>
      </c>
      <c r="E7002" s="1741" t="s">
        <v>209</v>
      </c>
      <c r="F7002" s="1741"/>
      <c r="G7002" s="1277" t="s">
        <v>29</v>
      </c>
      <c r="H7002" s="1219">
        <v>1.9626999999999999</v>
      </c>
      <c r="K7002" s="1192" t="s">
        <v>5838</v>
      </c>
      <c r="L7002" s="1192" t="s">
        <v>432</v>
      </c>
      <c r="P7002" s="1192" t="s">
        <v>5843</v>
      </c>
      <c r="V7002" s="1192">
        <v>74</v>
      </c>
    </row>
    <row r="7003" spans="1:22" s="1192" customFormat="1" ht="14.4" x14ac:dyDescent="0.3">
      <c r="A7003" s="1192" t="s">
        <v>2041</v>
      </c>
      <c r="E7003" s="1750" t="s">
        <v>2405</v>
      </c>
      <c r="F7003" s="1741"/>
      <c r="G7003" s="1277"/>
      <c r="H7003" s="896"/>
      <c r="K7003" s="1192" t="s">
        <v>2657</v>
      </c>
      <c r="V7003" s="1192">
        <v>48</v>
      </c>
    </row>
    <row r="7004" spans="1:22" s="1192" customFormat="1" ht="14.4" x14ac:dyDescent="0.3">
      <c r="A7004" s="1192" t="s">
        <v>2041</v>
      </c>
      <c r="E7004" s="1741" t="s">
        <v>2033</v>
      </c>
      <c r="F7004" s="1741"/>
      <c r="G7004" s="1277" t="s">
        <v>20</v>
      </c>
      <c r="H7004" s="1219">
        <v>3.0000000000000001E-3</v>
      </c>
      <c r="K7004" s="1192" t="s">
        <v>5838</v>
      </c>
      <c r="L7004" s="1192" t="s">
        <v>2374</v>
      </c>
      <c r="P7004" s="1192" t="s">
        <v>5844</v>
      </c>
      <c r="V7004" s="1192">
        <v>55</v>
      </c>
    </row>
    <row r="7005" spans="1:22" s="1192" customFormat="1" ht="14.4" x14ac:dyDescent="0.3">
      <c r="A7005" s="1192" t="s">
        <v>2041</v>
      </c>
      <c r="E7005" s="1741" t="s">
        <v>2034</v>
      </c>
      <c r="F7005" s="1741"/>
      <c r="G7005" s="1277" t="s">
        <v>20</v>
      </c>
      <c r="H7005" s="1219">
        <v>4.0000000000000002E-4</v>
      </c>
      <c r="K7005" s="1192" t="s">
        <v>5838</v>
      </c>
      <c r="L7005" s="1192" t="s">
        <v>2374</v>
      </c>
      <c r="P7005" s="1192" t="s">
        <v>5844</v>
      </c>
      <c r="V7005" s="1192">
        <v>65</v>
      </c>
    </row>
    <row r="7006" spans="1:22" s="1192" customFormat="1" ht="14.4" x14ac:dyDescent="0.3">
      <c r="A7006" s="1192" t="s">
        <v>2041</v>
      </c>
      <c r="E7006" s="1741" t="s">
        <v>428</v>
      </c>
      <c r="F7006" s="1741"/>
      <c r="G7006" s="1277" t="s">
        <v>20</v>
      </c>
      <c r="H7006" s="1219">
        <v>5.0000000000000001E-4</v>
      </c>
      <c r="K7006" s="1192" t="s">
        <v>5838</v>
      </c>
      <c r="L7006" s="1192" t="s">
        <v>2374</v>
      </c>
      <c r="P7006" s="1192" t="s">
        <v>5845</v>
      </c>
      <c r="V7006" s="1192">
        <v>57</v>
      </c>
    </row>
    <row r="7007" spans="1:22" s="1192" customFormat="1" ht="14.4" x14ac:dyDescent="0.3">
      <c r="A7007" s="1192" t="s">
        <v>2041</v>
      </c>
      <c r="E7007" s="1741" t="s">
        <v>28</v>
      </c>
      <c r="F7007" s="1741"/>
      <c r="G7007" s="1277" t="s">
        <v>19</v>
      </c>
      <c r="H7007" s="1218">
        <v>0.25</v>
      </c>
      <c r="K7007" s="1192" t="s">
        <v>5838</v>
      </c>
      <c r="L7007" s="1192" t="s">
        <v>2374</v>
      </c>
      <c r="P7007" s="1192" t="s">
        <v>5846</v>
      </c>
      <c r="V7007" s="1192">
        <v>63</v>
      </c>
    </row>
    <row r="7008" spans="1:22" s="1192" customFormat="1" ht="14.4" x14ac:dyDescent="0.3">
      <c r="A7008" s="1192" t="s">
        <v>2041</v>
      </c>
      <c r="E7008" s="1746" t="s">
        <v>5847</v>
      </c>
      <c r="F7008" s="1743"/>
      <c r="G7008" s="1743"/>
      <c r="H7008" s="1743"/>
      <c r="K7008" s="1192" t="s">
        <v>5848</v>
      </c>
      <c r="V7008" s="1192">
        <v>66</v>
      </c>
    </row>
    <row r="7009" spans="1:22" s="1192" customFormat="1" ht="14.4" x14ac:dyDescent="0.3">
      <c r="A7009" s="1192" t="s">
        <v>2041</v>
      </c>
      <c r="E7009" s="1743" t="s">
        <v>4985</v>
      </c>
      <c r="F7009" s="1743"/>
      <c r="G7009" s="1743"/>
      <c r="H7009" s="1743"/>
      <c r="K7009" s="1192" t="s">
        <v>5848</v>
      </c>
      <c r="V7009" s="1192">
        <v>251</v>
      </c>
    </row>
    <row r="7010" spans="1:22" s="1192" customFormat="1" ht="14.4" x14ac:dyDescent="0.3">
      <c r="A7010" s="1192" t="s">
        <v>2041</v>
      </c>
      <c r="E7010" s="1750" t="s">
        <v>2389</v>
      </c>
      <c r="F7010" s="1743"/>
      <c r="G7010" s="1743"/>
      <c r="H7010" s="1743"/>
      <c r="K7010" s="1192" t="s">
        <v>2629</v>
      </c>
      <c r="V7010" s="1192">
        <v>11</v>
      </c>
    </row>
    <row r="7011" spans="1:22" s="1192" customFormat="1" ht="14.4" x14ac:dyDescent="0.3">
      <c r="A7011" s="1192" t="s">
        <v>2041</v>
      </c>
      <c r="E7011" s="1743" t="s">
        <v>2391</v>
      </c>
      <c r="F7011" s="1743"/>
      <c r="G7011" s="1743"/>
      <c r="H7011" s="1743"/>
      <c r="K7011" s="1192" t="s">
        <v>5848</v>
      </c>
      <c r="V7011" s="1192">
        <v>280</v>
      </c>
    </row>
    <row r="7012" spans="1:22" s="1192" customFormat="1" ht="14.4" x14ac:dyDescent="0.3">
      <c r="A7012" s="1192" t="s">
        <v>2041</v>
      </c>
      <c r="E7012" s="1743" t="s">
        <v>2392</v>
      </c>
      <c r="F7012" s="1743"/>
      <c r="G7012" s="1743"/>
      <c r="H7012" s="1743"/>
      <c r="K7012" s="1192" t="s">
        <v>5848</v>
      </c>
      <c r="V7012" s="1192">
        <v>411</v>
      </c>
    </row>
    <row r="7013" spans="1:22" s="1192" customFormat="1" ht="14.4" x14ac:dyDescent="0.3">
      <c r="A7013" s="1192" t="s">
        <v>2041</v>
      </c>
      <c r="E7013" s="1743" t="s">
        <v>2393</v>
      </c>
      <c r="F7013" s="1743"/>
      <c r="G7013" s="1743"/>
      <c r="H7013" s="1743"/>
      <c r="K7013" s="1192" t="s">
        <v>5848</v>
      </c>
      <c r="V7013" s="1192">
        <v>387</v>
      </c>
    </row>
    <row r="7014" spans="1:22" s="1192" customFormat="1" ht="14.4" x14ac:dyDescent="0.3">
      <c r="A7014" s="1192" t="s">
        <v>2041</v>
      </c>
      <c r="E7014" s="1743" t="s">
        <v>4500</v>
      </c>
      <c r="F7014" s="1743"/>
      <c r="G7014" s="1743"/>
      <c r="H7014" s="1743"/>
      <c r="K7014" s="1192" t="s">
        <v>5848</v>
      </c>
      <c r="V7014" s="1192">
        <v>247</v>
      </c>
    </row>
    <row r="7015" spans="1:22" s="1192" customFormat="1" ht="14.4" x14ac:dyDescent="0.3">
      <c r="A7015" s="1192" t="s">
        <v>2041</v>
      </c>
      <c r="E7015" s="1750" t="s">
        <v>2394</v>
      </c>
      <c r="F7015" s="1743"/>
      <c r="G7015" s="1743"/>
      <c r="H7015" s="1743"/>
      <c r="K7015" s="1192" t="s">
        <v>2630</v>
      </c>
      <c r="V7015" s="1192">
        <v>46</v>
      </c>
    </row>
    <row r="7016" spans="1:22" s="1192" customFormat="1" ht="14.4" x14ac:dyDescent="0.3">
      <c r="A7016" s="1192" t="s">
        <v>2041</v>
      </c>
      <c r="E7016" s="1741" t="s">
        <v>6431</v>
      </c>
      <c r="F7016" s="1741"/>
      <c r="G7016" s="1277" t="s">
        <v>19</v>
      </c>
      <c r="H7016" s="1218">
        <v>-33.18</v>
      </c>
      <c r="K7016" s="1192" t="s">
        <v>5848</v>
      </c>
      <c r="L7016" s="1192" t="s">
        <v>430</v>
      </c>
      <c r="P7016" s="1192" t="s">
        <v>6465</v>
      </c>
      <c r="T7016" s="1192">
        <v>44561</v>
      </c>
      <c r="V7016" s="1192">
        <v>78</v>
      </c>
    </row>
    <row r="7017" spans="1:22" s="1192" customFormat="1" ht="14.4" x14ac:dyDescent="0.3">
      <c r="A7017" s="1192" t="s">
        <v>2041</v>
      </c>
      <c r="E7017" s="1741" t="s">
        <v>6418</v>
      </c>
      <c r="F7017" s="1741"/>
      <c r="G7017" s="1277" t="s">
        <v>19</v>
      </c>
      <c r="H7017" s="1218">
        <v>50.85</v>
      </c>
      <c r="K7017" s="1192" t="s">
        <v>5848</v>
      </c>
      <c r="L7017" s="1192" t="s">
        <v>430</v>
      </c>
      <c r="P7017" s="1192" t="s">
        <v>6466</v>
      </c>
      <c r="V7017" s="1192">
        <v>135</v>
      </c>
    </row>
    <row r="7018" spans="1:22" s="1192" customFormat="1" ht="14.4" x14ac:dyDescent="0.3">
      <c r="A7018" s="1192" t="s">
        <v>2041</v>
      </c>
      <c r="E7018" s="1741" t="s">
        <v>80</v>
      </c>
      <c r="F7018" s="1741"/>
      <c r="G7018" s="1277" t="s">
        <v>29</v>
      </c>
      <c r="H7018" s="1219">
        <v>1.6684000000000001</v>
      </c>
      <c r="K7018" s="1192" t="s">
        <v>5848</v>
      </c>
      <c r="L7018" s="1192" t="s">
        <v>430</v>
      </c>
      <c r="P7018" s="1192" t="s">
        <v>5849</v>
      </c>
      <c r="V7018" s="1192">
        <v>28</v>
      </c>
    </row>
    <row r="7019" spans="1:22" s="1192" customFormat="1" ht="14.4" x14ac:dyDescent="0.3">
      <c r="A7019" s="1192" t="s">
        <v>2041</v>
      </c>
      <c r="E7019" s="1741" t="s">
        <v>14</v>
      </c>
      <c r="F7019" s="1741"/>
      <c r="G7019" s="1277" t="s">
        <v>29</v>
      </c>
      <c r="H7019" s="1219">
        <v>0.12479999999999999</v>
      </c>
      <c r="K7019" s="1192" t="s">
        <v>5848</v>
      </c>
      <c r="L7019" s="1192" t="s">
        <v>431</v>
      </c>
      <c r="P7019" s="1192" t="s">
        <v>5850</v>
      </c>
      <c r="V7019" s="1192">
        <v>24</v>
      </c>
    </row>
    <row r="7020" spans="1:22" s="1192" customFormat="1" ht="14.4" x14ac:dyDescent="0.3">
      <c r="A7020" s="1192" t="s">
        <v>2041</v>
      </c>
      <c r="E7020" s="1741" t="s">
        <v>6087</v>
      </c>
      <c r="F7020" s="1998"/>
      <c r="G7020" s="1277" t="s">
        <v>29</v>
      </c>
      <c r="H7020" s="1219">
        <v>-6.4399999999999999E-2</v>
      </c>
      <c r="K7020" s="1192" t="s">
        <v>5848</v>
      </c>
      <c r="L7020" s="1192" t="s">
        <v>431</v>
      </c>
      <c r="P7020" s="1192" t="s">
        <v>5851</v>
      </c>
      <c r="T7020" s="1192">
        <v>44196</v>
      </c>
      <c r="V7020" s="1192">
        <v>99</v>
      </c>
    </row>
    <row r="7021" spans="1:22" s="1192" customFormat="1" ht="14.4" x14ac:dyDescent="0.3">
      <c r="A7021" s="1192" t="s">
        <v>2041</v>
      </c>
      <c r="E7021" s="1741" t="s">
        <v>5832</v>
      </c>
      <c r="F7021" s="1741"/>
      <c r="G7021" s="1277" t="s">
        <v>29</v>
      </c>
      <c r="H7021" s="1219">
        <v>-0.1202</v>
      </c>
      <c r="K7021" s="1192" t="s">
        <v>5848</v>
      </c>
      <c r="L7021" s="1192" t="s">
        <v>430</v>
      </c>
      <c r="P7021" s="1192" t="s">
        <v>6467</v>
      </c>
      <c r="T7021" s="1192">
        <v>44196</v>
      </c>
      <c r="V7021" s="1192">
        <v>92</v>
      </c>
    </row>
    <row r="7022" spans="1:22" s="1192" customFormat="1" ht="14.4" x14ac:dyDescent="0.3">
      <c r="A7022" s="1192" t="s">
        <v>2041</v>
      </c>
      <c r="E7022" s="1741" t="s">
        <v>213</v>
      </c>
      <c r="F7022" s="1741"/>
      <c r="G7022" s="1277" t="s">
        <v>29</v>
      </c>
      <c r="H7022" s="1219">
        <v>2.4605000000000001</v>
      </c>
      <c r="K7022" s="1192" t="s">
        <v>5848</v>
      </c>
      <c r="L7022" s="1192" t="s">
        <v>432</v>
      </c>
      <c r="P7022" s="1192" t="s">
        <v>5852</v>
      </c>
      <c r="V7022" s="1192">
        <v>47</v>
      </c>
    </row>
    <row r="7023" spans="1:22" s="1192" customFormat="1" ht="14.4" x14ac:dyDescent="0.3">
      <c r="A7023" s="1192" t="s">
        <v>2041</v>
      </c>
      <c r="E7023" s="1741" t="s">
        <v>209</v>
      </c>
      <c r="F7023" s="1741"/>
      <c r="G7023" s="1277" t="s">
        <v>29</v>
      </c>
      <c r="H7023" s="1219">
        <v>1.9626999999999999</v>
      </c>
      <c r="K7023" s="1192" t="s">
        <v>5848</v>
      </c>
      <c r="L7023" s="1192" t="s">
        <v>432</v>
      </c>
      <c r="P7023" s="1192" t="s">
        <v>5853</v>
      </c>
      <c r="V7023" s="1192">
        <v>74</v>
      </c>
    </row>
    <row r="7024" spans="1:22" s="1192" customFormat="1" ht="14.4" x14ac:dyDescent="0.3">
      <c r="A7024" s="1192" t="s">
        <v>2041</v>
      </c>
      <c r="E7024" s="1750" t="s">
        <v>2405</v>
      </c>
      <c r="F7024" s="1741"/>
      <c r="G7024" s="1277"/>
      <c r="H7024" s="896"/>
      <c r="K7024" s="1192" t="s">
        <v>2631</v>
      </c>
      <c r="V7024" s="1192">
        <v>48</v>
      </c>
    </row>
    <row r="7025" spans="1:22" s="1192" customFormat="1" ht="14.4" x14ac:dyDescent="0.3">
      <c r="A7025" s="1192" t="s">
        <v>2041</v>
      </c>
      <c r="E7025" s="1741" t="s">
        <v>2033</v>
      </c>
      <c r="F7025" s="1741"/>
      <c r="G7025" s="1277" t="s">
        <v>20</v>
      </c>
      <c r="H7025" s="1219">
        <v>3.0000000000000001E-3</v>
      </c>
      <c r="K7025" s="1192" t="s">
        <v>5848</v>
      </c>
      <c r="L7025" s="1192" t="s">
        <v>2374</v>
      </c>
      <c r="P7025" s="1192" t="s">
        <v>5854</v>
      </c>
      <c r="V7025" s="1192">
        <v>55</v>
      </c>
    </row>
    <row r="7026" spans="1:22" s="1192" customFormat="1" ht="14.4" x14ac:dyDescent="0.3">
      <c r="A7026" s="1192" t="s">
        <v>2041</v>
      </c>
      <c r="E7026" s="1741" t="s">
        <v>2034</v>
      </c>
      <c r="F7026" s="1741"/>
      <c r="G7026" s="1277" t="s">
        <v>20</v>
      </c>
      <c r="H7026" s="1219">
        <v>4.0000000000000002E-4</v>
      </c>
      <c r="K7026" s="1192" t="s">
        <v>5848</v>
      </c>
      <c r="L7026" s="1192" t="s">
        <v>2374</v>
      </c>
      <c r="P7026" s="1192" t="s">
        <v>5854</v>
      </c>
      <c r="V7026" s="1192">
        <v>65</v>
      </c>
    </row>
    <row r="7027" spans="1:22" s="1192" customFormat="1" ht="14.4" x14ac:dyDescent="0.3">
      <c r="A7027" s="1192" t="s">
        <v>2041</v>
      </c>
      <c r="E7027" s="1741" t="s">
        <v>428</v>
      </c>
      <c r="F7027" s="1741"/>
      <c r="G7027" s="1277" t="s">
        <v>20</v>
      </c>
      <c r="H7027" s="1219">
        <v>5.0000000000000001E-4</v>
      </c>
      <c r="K7027" s="1192" t="s">
        <v>5848</v>
      </c>
      <c r="L7027" s="1192" t="s">
        <v>2374</v>
      </c>
      <c r="P7027" s="1192" t="s">
        <v>5855</v>
      </c>
      <c r="V7027" s="1192">
        <v>57</v>
      </c>
    </row>
    <row r="7028" spans="1:22" s="1192" customFormat="1" ht="14.4" x14ac:dyDescent="0.3">
      <c r="A7028" s="1192" t="s">
        <v>2041</v>
      </c>
      <c r="E7028" s="1741" t="s">
        <v>28</v>
      </c>
      <c r="F7028" s="1741"/>
      <c r="G7028" s="1277" t="s">
        <v>19</v>
      </c>
      <c r="H7028" s="1218">
        <v>0.25</v>
      </c>
      <c r="K7028" s="1192" t="s">
        <v>5848</v>
      </c>
      <c r="L7028" s="1192" t="s">
        <v>2374</v>
      </c>
      <c r="P7028" s="1192" t="s">
        <v>5856</v>
      </c>
      <c r="V7028" s="1192">
        <v>63</v>
      </c>
    </row>
    <row r="7029" spans="1:22" s="1192" customFormat="1" ht="14.4" x14ac:dyDescent="0.3">
      <c r="A7029" s="1192" t="s">
        <v>2041</v>
      </c>
      <c r="E7029" s="1746" t="s">
        <v>5857</v>
      </c>
      <c r="F7029" s="1743"/>
      <c r="G7029" s="1743"/>
      <c r="H7029" s="1743"/>
      <c r="K7029" s="1192" t="s">
        <v>5858</v>
      </c>
      <c r="V7029" s="1192">
        <v>55</v>
      </c>
    </row>
    <row r="7030" spans="1:22" s="1192" customFormat="1" ht="14.4" x14ac:dyDescent="0.3">
      <c r="A7030" s="1192" t="s">
        <v>2041</v>
      </c>
      <c r="E7030" s="1743" t="s">
        <v>4985</v>
      </c>
      <c r="F7030" s="1743"/>
      <c r="G7030" s="1743"/>
      <c r="H7030" s="1743"/>
      <c r="K7030" s="1192" t="s">
        <v>5858</v>
      </c>
      <c r="V7030" s="1192">
        <v>251</v>
      </c>
    </row>
    <row r="7031" spans="1:22" s="1192" customFormat="1" ht="14.4" x14ac:dyDescent="0.3">
      <c r="A7031" s="1192" t="s">
        <v>2041</v>
      </c>
      <c r="E7031" s="1750" t="s">
        <v>2389</v>
      </c>
      <c r="F7031" s="1743"/>
      <c r="G7031" s="1743"/>
      <c r="H7031" s="1743"/>
      <c r="K7031" s="1192" t="s">
        <v>2632</v>
      </c>
      <c r="V7031" s="1192">
        <v>11</v>
      </c>
    </row>
    <row r="7032" spans="1:22" s="1192" customFormat="1" ht="14.4" x14ac:dyDescent="0.3">
      <c r="A7032" s="1192" t="s">
        <v>2041</v>
      </c>
      <c r="E7032" s="1743" t="s">
        <v>2391</v>
      </c>
      <c r="F7032" s="1743"/>
      <c r="G7032" s="1743"/>
      <c r="H7032" s="1743"/>
      <c r="K7032" s="1192" t="s">
        <v>5858</v>
      </c>
      <c r="V7032" s="1192">
        <v>280</v>
      </c>
    </row>
    <row r="7033" spans="1:22" s="1192" customFormat="1" ht="14.4" x14ac:dyDescent="0.3">
      <c r="A7033" s="1192" t="s">
        <v>2041</v>
      </c>
      <c r="E7033" s="1743" t="s">
        <v>2392</v>
      </c>
      <c r="F7033" s="1743"/>
      <c r="G7033" s="1743"/>
      <c r="H7033" s="1743"/>
      <c r="K7033" s="1192" t="s">
        <v>5858</v>
      </c>
      <c r="V7033" s="1192">
        <v>411</v>
      </c>
    </row>
    <row r="7034" spans="1:22" s="1192" customFormat="1" ht="14.4" x14ac:dyDescent="0.3">
      <c r="A7034" s="1192" t="s">
        <v>2041</v>
      </c>
      <c r="E7034" s="1743" t="s">
        <v>2393</v>
      </c>
      <c r="F7034" s="1743"/>
      <c r="G7034" s="1743"/>
      <c r="H7034" s="1743"/>
      <c r="K7034" s="1192" t="s">
        <v>5858</v>
      </c>
      <c r="V7034" s="1192">
        <v>387</v>
      </c>
    </row>
    <row r="7035" spans="1:22" s="1192" customFormat="1" ht="14.4" x14ac:dyDescent="0.3">
      <c r="A7035" s="1192" t="s">
        <v>2041</v>
      </c>
      <c r="E7035" s="1743" t="s">
        <v>4500</v>
      </c>
      <c r="F7035" s="1743"/>
      <c r="G7035" s="1743"/>
      <c r="H7035" s="1743"/>
      <c r="K7035" s="1192" t="s">
        <v>5858</v>
      </c>
      <c r="V7035" s="1192">
        <v>247</v>
      </c>
    </row>
    <row r="7036" spans="1:22" s="1192" customFormat="1" ht="14.4" x14ac:dyDescent="0.3">
      <c r="A7036" s="1192" t="s">
        <v>2041</v>
      </c>
      <c r="E7036" s="1750" t="s">
        <v>2394</v>
      </c>
      <c r="F7036" s="1743"/>
      <c r="G7036" s="1743"/>
      <c r="H7036" s="1743"/>
      <c r="K7036" s="1192" t="s">
        <v>2633</v>
      </c>
      <c r="V7036" s="1192">
        <v>46</v>
      </c>
    </row>
    <row r="7037" spans="1:22" s="1192" customFormat="1" ht="14.4" x14ac:dyDescent="0.3">
      <c r="A7037" s="1192" t="s">
        <v>2041</v>
      </c>
      <c r="E7037" s="1741" t="s">
        <v>5832</v>
      </c>
      <c r="F7037" s="1741"/>
      <c r="G7037" s="1277" t="s">
        <v>19</v>
      </c>
      <c r="H7037" s="1218">
        <v>-39.93</v>
      </c>
      <c r="K7037" s="1192" t="s">
        <v>5858</v>
      </c>
      <c r="L7037" s="1192" t="s">
        <v>430</v>
      </c>
      <c r="P7037" s="1192" t="s">
        <v>6468</v>
      </c>
      <c r="T7037" s="1192">
        <v>44196</v>
      </c>
      <c r="V7037" s="1192">
        <v>92</v>
      </c>
    </row>
    <row r="7038" spans="1:22" s="1192" customFormat="1" ht="14.4" x14ac:dyDescent="0.3">
      <c r="A7038" s="1192" t="s">
        <v>2041</v>
      </c>
      <c r="E7038" s="1741" t="s">
        <v>6431</v>
      </c>
      <c r="F7038" s="1741"/>
      <c r="G7038" s="1277" t="s">
        <v>19</v>
      </c>
      <c r="H7038" s="1218">
        <v>-33.18</v>
      </c>
      <c r="K7038" s="1192" t="s">
        <v>5858</v>
      </c>
      <c r="L7038" s="1192" t="s">
        <v>430</v>
      </c>
      <c r="P7038" s="1192" t="s">
        <v>6469</v>
      </c>
      <c r="T7038" s="1192">
        <v>44561</v>
      </c>
      <c r="V7038" s="1192">
        <v>78</v>
      </c>
    </row>
    <row r="7039" spans="1:22" s="1192" customFormat="1" ht="14.4" x14ac:dyDescent="0.3">
      <c r="A7039" s="1192" t="s">
        <v>2041</v>
      </c>
      <c r="E7039" s="1741" t="s">
        <v>6418</v>
      </c>
      <c r="F7039" s="1741"/>
      <c r="G7039" s="1277" t="s">
        <v>19</v>
      </c>
      <c r="H7039" s="1218">
        <v>50.85</v>
      </c>
      <c r="K7039" s="1192" t="s">
        <v>5858</v>
      </c>
      <c r="L7039" s="1192" t="s">
        <v>430</v>
      </c>
      <c r="P7039" s="1192" t="s">
        <v>6470</v>
      </c>
      <c r="V7039" s="1192">
        <v>135</v>
      </c>
    </row>
    <row r="7040" spans="1:22" s="1192" customFormat="1" ht="14.4" x14ac:dyDescent="0.3">
      <c r="A7040" s="1192" t="s">
        <v>2041</v>
      </c>
      <c r="E7040" s="1741" t="s">
        <v>80</v>
      </c>
      <c r="F7040" s="1741"/>
      <c r="G7040" s="1277" t="s">
        <v>29</v>
      </c>
      <c r="H7040" s="1219">
        <v>9.5488999999999997</v>
      </c>
      <c r="K7040" s="1192" t="s">
        <v>5858</v>
      </c>
      <c r="L7040" s="1192" t="s">
        <v>430</v>
      </c>
      <c r="P7040" s="1192" t="s">
        <v>5859</v>
      </c>
      <c r="V7040" s="1192">
        <v>28</v>
      </c>
    </row>
    <row r="7041" spans="1:22" s="1192" customFormat="1" ht="14.4" x14ac:dyDescent="0.3">
      <c r="A7041" s="1192" t="s">
        <v>2041</v>
      </c>
      <c r="E7041" s="1741" t="s">
        <v>14</v>
      </c>
      <c r="F7041" s="1741"/>
      <c r="G7041" s="1277" t="s">
        <v>29</v>
      </c>
      <c r="H7041" s="1219">
        <v>0.10299999999999999</v>
      </c>
      <c r="K7041" s="1192" t="s">
        <v>5858</v>
      </c>
      <c r="L7041" s="1192" t="s">
        <v>431</v>
      </c>
      <c r="P7041" s="1192" t="s">
        <v>5860</v>
      </c>
      <c r="V7041" s="1192">
        <v>24</v>
      </c>
    </row>
    <row r="7042" spans="1:22" s="1192" customFormat="1" ht="14.4" x14ac:dyDescent="0.3">
      <c r="A7042" s="1192" t="s">
        <v>2041</v>
      </c>
      <c r="E7042" s="1741" t="s">
        <v>6090</v>
      </c>
      <c r="F7042" s="1998"/>
      <c r="G7042" s="1277" t="s">
        <v>20</v>
      </c>
      <c r="H7042" s="1219">
        <v>-2.0999999999999999E-3</v>
      </c>
      <c r="K7042" s="1192" t="s">
        <v>5858</v>
      </c>
      <c r="L7042" s="1192" t="s">
        <v>431</v>
      </c>
      <c r="P7042" s="1192" t="s">
        <v>5861</v>
      </c>
      <c r="T7042" s="1192">
        <v>44196</v>
      </c>
      <c r="V7042" s="1192">
        <v>142</v>
      </c>
    </row>
    <row r="7043" spans="1:22" s="1192" customFormat="1" ht="14.4" x14ac:dyDescent="0.3">
      <c r="A7043" s="1192" t="s">
        <v>2041</v>
      </c>
      <c r="E7043" s="1741" t="s">
        <v>6087</v>
      </c>
      <c r="F7043" s="1998"/>
      <c r="G7043" s="1277" t="s">
        <v>29</v>
      </c>
      <c r="H7043" s="1219">
        <v>-0.1482</v>
      </c>
      <c r="K7043" s="1192" t="s">
        <v>5858</v>
      </c>
      <c r="L7043" s="1192" t="s">
        <v>431</v>
      </c>
      <c r="P7043" s="1192" t="s">
        <v>5862</v>
      </c>
      <c r="T7043" s="1192">
        <v>44196</v>
      </c>
      <c r="V7043" s="1192">
        <v>99</v>
      </c>
    </row>
    <row r="7044" spans="1:22" s="1192" customFormat="1" ht="14.4" x14ac:dyDescent="0.3">
      <c r="A7044" s="1192" t="s">
        <v>2041</v>
      </c>
      <c r="E7044" s="1741" t="s">
        <v>6434</v>
      </c>
      <c r="F7044" s="1998"/>
      <c r="G7044" s="1277" t="s">
        <v>29</v>
      </c>
      <c r="H7044" s="1219">
        <v>-1.49E-2</v>
      </c>
      <c r="K7044" s="1192" t="s">
        <v>5858</v>
      </c>
      <c r="L7044" s="1192" t="s">
        <v>431</v>
      </c>
      <c r="P7044" s="1192" t="s">
        <v>6471</v>
      </c>
      <c r="T7044" s="1192">
        <v>44196</v>
      </c>
      <c r="V7044" s="1192">
        <v>149</v>
      </c>
    </row>
    <row r="7045" spans="1:22" s="1192" customFormat="1" ht="14.4" x14ac:dyDescent="0.3">
      <c r="A7045" s="1192" t="s">
        <v>2041</v>
      </c>
      <c r="E7045" s="1741" t="s">
        <v>5832</v>
      </c>
      <c r="F7045" s="1741"/>
      <c r="G7045" s="1277" t="s">
        <v>29</v>
      </c>
      <c r="H7045" s="1219">
        <v>2.2423999999999999</v>
      </c>
      <c r="K7045" s="1192" t="s">
        <v>5858</v>
      </c>
      <c r="L7045" s="1192" t="s">
        <v>430</v>
      </c>
      <c r="P7045" s="1192" t="s">
        <v>6472</v>
      </c>
      <c r="T7045" s="1192">
        <v>44196</v>
      </c>
      <c r="V7045" s="1192">
        <v>92</v>
      </c>
    </row>
    <row r="7046" spans="1:22" s="1192" customFormat="1" ht="14.4" x14ac:dyDescent="0.3">
      <c r="A7046" s="1192" t="s">
        <v>2041</v>
      </c>
      <c r="E7046" s="1741" t="s">
        <v>213</v>
      </c>
      <c r="F7046" s="1741"/>
      <c r="G7046" s="1277" t="s">
        <v>29</v>
      </c>
      <c r="H7046" s="1219">
        <v>2.7480000000000002</v>
      </c>
      <c r="K7046" s="1192" t="s">
        <v>5858</v>
      </c>
      <c r="L7046" s="1192" t="s">
        <v>432</v>
      </c>
      <c r="P7046" s="1192" t="s">
        <v>5863</v>
      </c>
      <c r="V7046" s="1192">
        <v>47</v>
      </c>
    </row>
    <row r="7047" spans="1:22" s="1192" customFormat="1" ht="14.4" x14ac:dyDescent="0.3">
      <c r="A7047" s="1192" t="s">
        <v>2041</v>
      </c>
      <c r="E7047" s="1741" t="s">
        <v>209</v>
      </c>
      <c r="F7047" s="1741"/>
      <c r="G7047" s="1277" t="s">
        <v>29</v>
      </c>
      <c r="H7047" s="1219">
        <v>1.6201000000000001</v>
      </c>
      <c r="K7047" s="1192" t="s">
        <v>5858</v>
      </c>
      <c r="L7047" s="1192" t="s">
        <v>432</v>
      </c>
      <c r="P7047" s="1192" t="s">
        <v>5864</v>
      </c>
      <c r="V7047" s="1192">
        <v>74</v>
      </c>
    </row>
    <row r="7048" spans="1:22" s="1192" customFormat="1" ht="14.4" x14ac:dyDescent="0.3">
      <c r="A7048" s="1192" t="s">
        <v>2041</v>
      </c>
      <c r="E7048" s="1750" t="s">
        <v>2405</v>
      </c>
      <c r="F7048" s="1741"/>
      <c r="G7048" s="1277"/>
      <c r="H7048" s="896"/>
      <c r="K7048" s="1192" t="s">
        <v>5578</v>
      </c>
      <c r="V7048" s="1192">
        <v>48</v>
      </c>
    </row>
    <row r="7049" spans="1:22" s="1192" customFormat="1" ht="14.4" x14ac:dyDescent="0.3">
      <c r="A7049" s="1192" t="s">
        <v>2041</v>
      </c>
      <c r="E7049" s="1741" t="s">
        <v>2033</v>
      </c>
      <c r="F7049" s="1741"/>
      <c r="G7049" s="1277" t="s">
        <v>20</v>
      </c>
      <c r="H7049" s="1219">
        <v>3.0000000000000001E-3</v>
      </c>
      <c r="K7049" s="1192" t="s">
        <v>5858</v>
      </c>
      <c r="L7049" s="1192" t="s">
        <v>2374</v>
      </c>
      <c r="P7049" s="1192" t="s">
        <v>5865</v>
      </c>
      <c r="V7049" s="1192">
        <v>55</v>
      </c>
    </row>
    <row r="7050" spans="1:22" s="1192" customFormat="1" ht="14.4" x14ac:dyDescent="0.3">
      <c r="A7050" s="1192" t="s">
        <v>2041</v>
      </c>
      <c r="E7050" s="1741" t="s">
        <v>2034</v>
      </c>
      <c r="F7050" s="1741"/>
      <c r="G7050" s="1277" t="s">
        <v>20</v>
      </c>
      <c r="H7050" s="1219">
        <v>4.0000000000000002E-4</v>
      </c>
      <c r="K7050" s="1192" t="s">
        <v>5858</v>
      </c>
      <c r="L7050" s="1192" t="s">
        <v>2374</v>
      </c>
      <c r="P7050" s="1192" t="s">
        <v>5865</v>
      </c>
      <c r="V7050" s="1192">
        <v>65</v>
      </c>
    </row>
    <row r="7051" spans="1:22" s="1192" customFormat="1" ht="14.4" x14ac:dyDescent="0.3">
      <c r="A7051" s="1192" t="s">
        <v>2041</v>
      </c>
      <c r="E7051" s="1741" t="s">
        <v>428</v>
      </c>
      <c r="F7051" s="1741"/>
      <c r="G7051" s="1277" t="s">
        <v>20</v>
      </c>
      <c r="H7051" s="1219">
        <v>5.0000000000000001E-4</v>
      </c>
      <c r="K7051" s="1192" t="s">
        <v>5858</v>
      </c>
      <c r="L7051" s="1192" t="s">
        <v>2374</v>
      </c>
      <c r="P7051" s="1192" t="s">
        <v>5866</v>
      </c>
      <c r="V7051" s="1192">
        <v>57</v>
      </c>
    </row>
    <row r="7052" spans="1:22" s="1192" customFormat="1" ht="14.4" x14ac:dyDescent="0.3">
      <c r="A7052" s="1192" t="s">
        <v>2041</v>
      </c>
      <c r="E7052" s="1741" t="s">
        <v>28</v>
      </c>
      <c r="F7052" s="1741"/>
      <c r="G7052" s="1277" t="s">
        <v>19</v>
      </c>
      <c r="H7052" s="1218">
        <v>0.25</v>
      </c>
      <c r="K7052" s="1192" t="s">
        <v>5858</v>
      </c>
      <c r="L7052" s="1192" t="s">
        <v>2374</v>
      </c>
      <c r="P7052" s="1192" t="s">
        <v>5867</v>
      </c>
      <c r="V7052" s="1192">
        <v>63</v>
      </c>
    </row>
    <row r="7053" spans="1:22" s="1192" customFormat="1" ht="14.4" x14ac:dyDescent="0.3">
      <c r="A7053" s="1192" t="s">
        <v>2041</v>
      </c>
      <c r="E7053" s="1746" t="s">
        <v>5868</v>
      </c>
      <c r="F7053" s="1743"/>
      <c r="G7053" s="1743"/>
      <c r="H7053" s="1743"/>
      <c r="K7053" s="1192" t="s">
        <v>5869</v>
      </c>
      <c r="V7053" s="1192">
        <v>58</v>
      </c>
    </row>
    <row r="7054" spans="1:22" s="1192" customFormat="1" ht="14.4" x14ac:dyDescent="0.3">
      <c r="A7054" s="1192" t="s">
        <v>2041</v>
      </c>
      <c r="E7054" s="1743" t="s">
        <v>4985</v>
      </c>
      <c r="F7054" s="1743"/>
      <c r="G7054" s="1743"/>
      <c r="H7054" s="1743"/>
      <c r="K7054" s="1192" t="s">
        <v>5869</v>
      </c>
      <c r="V7054" s="1192">
        <v>251</v>
      </c>
    </row>
    <row r="7055" spans="1:22" s="1192" customFormat="1" ht="14.4" x14ac:dyDescent="0.3">
      <c r="A7055" s="1192" t="s">
        <v>2041</v>
      </c>
      <c r="E7055" s="1750" t="s">
        <v>2389</v>
      </c>
      <c r="F7055" s="1743"/>
      <c r="G7055" s="1743"/>
      <c r="H7055" s="1743"/>
      <c r="K7055" s="1192" t="s">
        <v>2635</v>
      </c>
      <c r="V7055" s="1192">
        <v>11</v>
      </c>
    </row>
    <row r="7056" spans="1:22" s="1192" customFormat="1" ht="14.4" x14ac:dyDescent="0.3">
      <c r="A7056" s="1192" t="s">
        <v>2041</v>
      </c>
      <c r="E7056" s="1743" t="s">
        <v>2391</v>
      </c>
      <c r="F7056" s="1743"/>
      <c r="G7056" s="1743"/>
      <c r="H7056" s="1743"/>
      <c r="K7056" s="1192" t="s">
        <v>5869</v>
      </c>
      <c r="V7056" s="1192">
        <v>280</v>
      </c>
    </row>
    <row r="7057" spans="1:22" s="1192" customFormat="1" ht="14.4" x14ac:dyDescent="0.3">
      <c r="A7057" s="1192" t="s">
        <v>2041</v>
      </c>
      <c r="E7057" s="1743" t="s">
        <v>2392</v>
      </c>
      <c r="F7057" s="1743"/>
      <c r="G7057" s="1743"/>
      <c r="H7057" s="1743"/>
      <c r="K7057" s="1192" t="s">
        <v>5869</v>
      </c>
      <c r="V7057" s="1192">
        <v>411</v>
      </c>
    </row>
    <row r="7058" spans="1:22" s="1192" customFormat="1" ht="14.4" x14ac:dyDescent="0.3">
      <c r="A7058" s="1192" t="s">
        <v>2041</v>
      </c>
      <c r="E7058" s="1743" t="s">
        <v>2393</v>
      </c>
      <c r="F7058" s="1743"/>
      <c r="G7058" s="1743"/>
      <c r="H7058" s="1743"/>
      <c r="K7058" s="1192" t="s">
        <v>5869</v>
      </c>
      <c r="V7058" s="1192">
        <v>387</v>
      </c>
    </row>
    <row r="7059" spans="1:22" s="1192" customFormat="1" ht="14.4" x14ac:dyDescent="0.3">
      <c r="A7059" s="1192" t="s">
        <v>2041</v>
      </c>
      <c r="E7059" s="1743" t="s">
        <v>4500</v>
      </c>
      <c r="F7059" s="1743"/>
      <c r="G7059" s="1743"/>
      <c r="H7059" s="1743"/>
      <c r="K7059" s="1192" t="s">
        <v>5869</v>
      </c>
      <c r="V7059" s="1192">
        <v>247</v>
      </c>
    </row>
    <row r="7060" spans="1:22" s="1192" customFormat="1" ht="14.4" x14ac:dyDescent="0.3">
      <c r="A7060" s="1192" t="s">
        <v>2041</v>
      </c>
      <c r="E7060" s="1750" t="s">
        <v>2394</v>
      </c>
      <c r="F7060" s="1743"/>
      <c r="G7060" s="1743"/>
      <c r="H7060" s="1743"/>
      <c r="K7060" s="1192" t="s">
        <v>2636</v>
      </c>
      <c r="V7060" s="1192">
        <v>46</v>
      </c>
    </row>
    <row r="7061" spans="1:22" s="1192" customFormat="1" ht="14.4" x14ac:dyDescent="0.3">
      <c r="A7061" s="1192" t="s">
        <v>2041</v>
      </c>
      <c r="E7061" s="1741" t="s">
        <v>7</v>
      </c>
      <c r="F7061" s="1741"/>
      <c r="G7061" s="1277" t="s">
        <v>19</v>
      </c>
      <c r="H7061" s="1218">
        <v>71.08</v>
      </c>
      <c r="K7061" s="1192" t="s">
        <v>5869</v>
      </c>
      <c r="L7061" s="1192" t="s">
        <v>430</v>
      </c>
      <c r="P7061" s="1192" t="s">
        <v>5870</v>
      </c>
      <c r="V7061" s="1192">
        <v>14</v>
      </c>
    </row>
    <row r="7062" spans="1:22" s="1192" customFormat="1" ht="14.4" x14ac:dyDescent="0.3">
      <c r="A7062" s="1192" t="s">
        <v>2041</v>
      </c>
      <c r="E7062" s="1741" t="s">
        <v>6431</v>
      </c>
      <c r="F7062" s="1741"/>
      <c r="G7062" s="1277" t="s">
        <v>19</v>
      </c>
      <c r="H7062" s="1218">
        <v>-33.18</v>
      </c>
      <c r="K7062" s="1192" t="s">
        <v>5869</v>
      </c>
      <c r="L7062" s="1192" t="s">
        <v>430</v>
      </c>
      <c r="P7062" s="1192" t="s">
        <v>6473</v>
      </c>
      <c r="T7062" s="1192">
        <v>44561</v>
      </c>
      <c r="V7062" s="1192">
        <v>78</v>
      </c>
    </row>
    <row r="7063" spans="1:22" s="1192" customFormat="1" ht="14.4" x14ac:dyDescent="0.3">
      <c r="A7063" s="1192" t="s">
        <v>2041</v>
      </c>
      <c r="E7063" s="1741" t="s">
        <v>6418</v>
      </c>
      <c r="F7063" s="1741"/>
      <c r="G7063" s="1277" t="s">
        <v>19</v>
      </c>
      <c r="H7063" s="1218">
        <v>50.85</v>
      </c>
      <c r="K7063" s="1192" t="s">
        <v>5869</v>
      </c>
      <c r="L7063" s="1192" t="s">
        <v>430</v>
      </c>
      <c r="P7063" s="1192" t="s">
        <v>6474</v>
      </c>
      <c r="V7063" s="1192">
        <v>135</v>
      </c>
    </row>
    <row r="7064" spans="1:22" s="1192" customFormat="1" ht="14.4" x14ac:dyDescent="0.3">
      <c r="A7064" s="1192" t="s">
        <v>2041</v>
      </c>
      <c r="E7064" s="1741" t="s">
        <v>5832</v>
      </c>
      <c r="F7064" s="1741"/>
      <c r="G7064" s="1277" t="s">
        <v>19</v>
      </c>
      <c r="H7064" s="1218">
        <v>-11.19</v>
      </c>
      <c r="K7064" s="1192" t="s">
        <v>5869</v>
      </c>
      <c r="L7064" s="1192" t="s">
        <v>430</v>
      </c>
      <c r="P7064" s="1192" t="s">
        <v>6475</v>
      </c>
      <c r="T7064" s="1192">
        <v>44196</v>
      </c>
      <c r="V7064" s="1192">
        <v>92</v>
      </c>
    </row>
    <row r="7065" spans="1:22" s="1192" customFormat="1" ht="14.4" x14ac:dyDescent="0.3">
      <c r="A7065" s="1192" t="s">
        <v>2041</v>
      </c>
      <c r="E7065" s="1741" t="s">
        <v>80</v>
      </c>
      <c r="F7065" s="1741"/>
      <c r="G7065" s="1277" t="s">
        <v>29</v>
      </c>
      <c r="H7065" s="1219">
        <v>1.2027000000000001</v>
      </c>
      <c r="K7065" s="1192" t="s">
        <v>5869</v>
      </c>
      <c r="L7065" s="1192" t="s">
        <v>430</v>
      </c>
      <c r="P7065" s="1192" t="s">
        <v>5871</v>
      </c>
      <c r="V7065" s="1192">
        <v>28</v>
      </c>
    </row>
    <row r="7066" spans="1:22" s="1192" customFormat="1" ht="14.4" x14ac:dyDescent="0.3">
      <c r="A7066" s="1192" t="s">
        <v>2041</v>
      </c>
      <c r="E7066" s="1741" t="s">
        <v>6090</v>
      </c>
      <c r="F7066" s="1998"/>
      <c r="G7066" s="1277" t="s">
        <v>20</v>
      </c>
      <c r="H7066" s="1219">
        <v>-2.0999999999999999E-3</v>
      </c>
      <c r="K7066" s="1192" t="s">
        <v>5869</v>
      </c>
      <c r="L7066" s="1192" t="s">
        <v>431</v>
      </c>
      <c r="P7066" s="1192" t="s">
        <v>5872</v>
      </c>
      <c r="T7066" s="1192">
        <v>44196</v>
      </c>
      <c r="V7066" s="1192">
        <v>142</v>
      </c>
    </row>
    <row r="7067" spans="1:22" s="1192" customFormat="1" ht="14.4" x14ac:dyDescent="0.3">
      <c r="A7067" s="1192" t="s">
        <v>2041</v>
      </c>
      <c r="E7067" s="1741" t="s">
        <v>6087</v>
      </c>
      <c r="F7067" s="1998"/>
      <c r="G7067" s="1277" t="s">
        <v>29</v>
      </c>
      <c r="H7067" s="1219">
        <v>-0.2419</v>
      </c>
      <c r="K7067" s="1192" t="s">
        <v>5869</v>
      </c>
      <c r="L7067" s="1192" t="s">
        <v>431</v>
      </c>
      <c r="P7067" s="1192" t="s">
        <v>5873</v>
      </c>
      <c r="T7067" s="1192">
        <v>44196</v>
      </c>
      <c r="V7067" s="1192">
        <v>99</v>
      </c>
    </row>
    <row r="7068" spans="1:22" s="1192" customFormat="1" ht="14.4" x14ac:dyDescent="0.3">
      <c r="A7068" s="1192" t="s">
        <v>2041</v>
      </c>
      <c r="E7068" s="1741" t="s">
        <v>6434</v>
      </c>
      <c r="F7068" s="1998"/>
      <c r="G7068" s="1277" t="s">
        <v>29</v>
      </c>
      <c r="H7068" s="1219">
        <v>-2.4400000000000002E-2</v>
      </c>
      <c r="K7068" s="1192" t="s">
        <v>5869</v>
      </c>
      <c r="L7068" s="1192" t="s">
        <v>431</v>
      </c>
      <c r="P7068" s="1192" t="s">
        <v>6476</v>
      </c>
      <c r="T7068" s="1192">
        <v>44196</v>
      </c>
      <c r="V7068" s="1192">
        <v>149</v>
      </c>
    </row>
    <row r="7069" spans="1:22" s="1192" customFormat="1" ht="14.4" x14ac:dyDescent="0.3">
      <c r="A7069" s="1192" t="s">
        <v>2041</v>
      </c>
      <c r="E7069" s="1741" t="s">
        <v>5832</v>
      </c>
      <c r="F7069" s="1741"/>
      <c r="G7069" s="1277" t="s">
        <v>29</v>
      </c>
      <c r="H7069" s="1219">
        <v>-1.1318999999999999</v>
      </c>
      <c r="K7069" s="1192" t="s">
        <v>5869</v>
      </c>
      <c r="L7069" s="1192" t="s">
        <v>430</v>
      </c>
      <c r="P7069" s="1192" t="s">
        <v>6477</v>
      </c>
      <c r="T7069" s="1192">
        <v>44196</v>
      </c>
      <c r="V7069" s="1192">
        <v>92</v>
      </c>
    </row>
    <row r="7070" spans="1:22" s="1192" customFormat="1" ht="14.4" x14ac:dyDescent="0.3">
      <c r="A7070" s="1192" t="s">
        <v>2041</v>
      </c>
      <c r="E7070" s="1741" t="s">
        <v>213</v>
      </c>
      <c r="F7070" s="1741"/>
      <c r="G7070" s="1277" t="s">
        <v>29</v>
      </c>
      <c r="H7070" s="1219">
        <v>2.7480000000000002</v>
      </c>
      <c r="K7070" s="1192" t="s">
        <v>5869</v>
      </c>
      <c r="L7070" s="1192" t="s">
        <v>432</v>
      </c>
      <c r="P7070" s="1192" t="s">
        <v>5874</v>
      </c>
      <c r="V7070" s="1192">
        <v>47</v>
      </c>
    </row>
    <row r="7071" spans="1:22" s="1192" customFormat="1" ht="14.4" x14ac:dyDescent="0.3">
      <c r="A7071" s="1192" t="s">
        <v>2041</v>
      </c>
      <c r="E7071" s="1741" t="s">
        <v>209</v>
      </c>
      <c r="F7071" s="1741"/>
      <c r="G7071" s="1277" t="s">
        <v>29</v>
      </c>
      <c r="H7071" s="1219">
        <v>1.6201000000000001</v>
      </c>
      <c r="K7071" s="1192" t="s">
        <v>5869</v>
      </c>
      <c r="L7071" s="1192" t="s">
        <v>432</v>
      </c>
      <c r="P7071" s="1192" t="s">
        <v>5875</v>
      </c>
      <c r="V7071" s="1192">
        <v>74</v>
      </c>
    </row>
    <row r="7072" spans="1:22" s="1192" customFormat="1" ht="14.4" x14ac:dyDescent="0.3">
      <c r="A7072" s="1192" t="s">
        <v>2041</v>
      </c>
      <c r="E7072" s="1750" t="s">
        <v>2405</v>
      </c>
      <c r="F7072" s="1741"/>
      <c r="G7072" s="1277"/>
      <c r="H7072" s="896"/>
      <c r="K7072" s="1192" t="s">
        <v>5581</v>
      </c>
      <c r="V7072" s="1192">
        <v>48</v>
      </c>
    </row>
    <row r="7073" spans="1:22" s="1192" customFormat="1" ht="14.4" x14ac:dyDescent="0.3">
      <c r="A7073" s="1192" t="s">
        <v>2041</v>
      </c>
      <c r="E7073" s="1741" t="s">
        <v>2033</v>
      </c>
      <c r="F7073" s="1741"/>
      <c r="G7073" s="1277" t="s">
        <v>20</v>
      </c>
      <c r="H7073" s="1219">
        <v>3.0000000000000001E-3</v>
      </c>
      <c r="K7073" s="1192" t="s">
        <v>5869</v>
      </c>
      <c r="L7073" s="1192" t="s">
        <v>2374</v>
      </c>
      <c r="P7073" s="1192" t="s">
        <v>5876</v>
      </c>
      <c r="V7073" s="1192">
        <v>55</v>
      </c>
    </row>
    <row r="7074" spans="1:22" s="1192" customFormat="1" ht="14.4" x14ac:dyDescent="0.3">
      <c r="A7074" s="1192" t="s">
        <v>2041</v>
      </c>
      <c r="E7074" s="1741" t="s">
        <v>2034</v>
      </c>
      <c r="F7074" s="1741"/>
      <c r="G7074" s="1277" t="s">
        <v>20</v>
      </c>
      <c r="H7074" s="1219">
        <v>4.0000000000000002E-4</v>
      </c>
      <c r="K7074" s="1192" t="s">
        <v>5869</v>
      </c>
      <c r="L7074" s="1192" t="s">
        <v>2374</v>
      </c>
      <c r="P7074" s="1192" t="s">
        <v>5876</v>
      </c>
      <c r="V7074" s="1192">
        <v>65</v>
      </c>
    </row>
    <row r="7075" spans="1:22" s="1192" customFormat="1" ht="14.4" x14ac:dyDescent="0.3">
      <c r="A7075" s="1192" t="s">
        <v>2041</v>
      </c>
      <c r="E7075" s="1741" t="s">
        <v>428</v>
      </c>
      <c r="F7075" s="1741"/>
      <c r="G7075" s="1277" t="s">
        <v>20</v>
      </c>
      <c r="H7075" s="1219">
        <v>5.0000000000000001E-4</v>
      </c>
      <c r="K7075" s="1192" t="s">
        <v>5869</v>
      </c>
      <c r="L7075" s="1192" t="s">
        <v>2374</v>
      </c>
      <c r="P7075" s="1192" t="s">
        <v>5877</v>
      </c>
      <c r="V7075" s="1192">
        <v>57</v>
      </c>
    </row>
    <row r="7076" spans="1:22" s="1192" customFormat="1" ht="14.4" x14ac:dyDescent="0.3">
      <c r="A7076" s="1192" t="s">
        <v>2041</v>
      </c>
      <c r="E7076" s="1741" t="s">
        <v>28</v>
      </c>
      <c r="F7076" s="1741"/>
      <c r="G7076" s="1277" t="s">
        <v>19</v>
      </c>
      <c r="H7076" s="1218">
        <v>0.25</v>
      </c>
      <c r="K7076" s="1192" t="s">
        <v>5869</v>
      </c>
      <c r="L7076" s="1192" t="s">
        <v>2374</v>
      </c>
      <c r="P7076" s="1192" t="s">
        <v>5878</v>
      </c>
      <c r="V7076" s="1192">
        <v>63</v>
      </c>
    </row>
    <row r="7077" spans="1:22" s="1192" customFormat="1" ht="14.4" x14ac:dyDescent="0.3">
      <c r="A7077" s="1192" t="s">
        <v>2041</v>
      </c>
      <c r="E7077" s="1746" t="s">
        <v>5879</v>
      </c>
      <c r="F7077" s="1743"/>
      <c r="G7077" s="1743"/>
      <c r="H7077" s="1743"/>
      <c r="K7077" s="1192" t="s">
        <v>5880</v>
      </c>
      <c r="V7077" s="1192">
        <v>58</v>
      </c>
    </row>
    <row r="7078" spans="1:22" s="1192" customFormat="1" ht="14.4" x14ac:dyDescent="0.3">
      <c r="A7078" s="1192" t="s">
        <v>2041</v>
      </c>
      <c r="E7078" s="1743" t="s">
        <v>4985</v>
      </c>
      <c r="F7078" s="1743"/>
      <c r="G7078" s="1743"/>
      <c r="H7078" s="1743"/>
      <c r="K7078" s="1192" t="s">
        <v>5880</v>
      </c>
      <c r="V7078" s="1192">
        <v>251</v>
      </c>
    </row>
    <row r="7079" spans="1:22" s="1192" customFormat="1" ht="14.4" x14ac:dyDescent="0.3">
      <c r="A7079" s="1192" t="s">
        <v>2041</v>
      </c>
      <c r="E7079" s="1750" t="s">
        <v>2389</v>
      </c>
      <c r="F7079" s="1743"/>
      <c r="G7079" s="1743"/>
      <c r="H7079" s="1743"/>
      <c r="K7079" s="1192" t="s">
        <v>5881</v>
      </c>
      <c r="V7079" s="1192">
        <v>11</v>
      </c>
    </row>
    <row r="7080" spans="1:22" s="1192" customFormat="1" ht="14.4" x14ac:dyDescent="0.3">
      <c r="A7080" s="1192" t="s">
        <v>2041</v>
      </c>
      <c r="E7080" s="1743" t="s">
        <v>2391</v>
      </c>
      <c r="F7080" s="1743"/>
      <c r="G7080" s="1743"/>
      <c r="H7080" s="1743"/>
      <c r="K7080" s="1192" t="s">
        <v>5880</v>
      </c>
      <c r="V7080" s="1192">
        <v>280</v>
      </c>
    </row>
    <row r="7081" spans="1:22" s="1192" customFormat="1" ht="14.4" x14ac:dyDescent="0.3">
      <c r="A7081" s="1192" t="s">
        <v>2041</v>
      </c>
      <c r="E7081" s="1743" t="s">
        <v>2392</v>
      </c>
      <c r="F7081" s="1743"/>
      <c r="G7081" s="1743"/>
      <c r="H7081" s="1743"/>
      <c r="K7081" s="1192" t="s">
        <v>5880</v>
      </c>
      <c r="V7081" s="1192">
        <v>411</v>
      </c>
    </row>
    <row r="7082" spans="1:22" s="1192" customFormat="1" ht="14.4" x14ac:dyDescent="0.3">
      <c r="A7082" s="1192" t="s">
        <v>2041</v>
      </c>
      <c r="E7082" s="1743" t="s">
        <v>2393</v>
      </c>
      <c r="F7082" s="1743"/>
      <c r="G7082" s="1743"/>
      <c r="H7082" s="1743"/>
      <c r="K7082" s="1192" t="s">
        <v>5880</v>
      </c>
      <c r="V7082" s="1192">
        <v>387</v>
      </c>
    </row>
    <row r="7083" spans="1:22" s="1192" customFormat="1" ht="14.4" x14ac:dyDescent="0.3">
      <c r="A7083" s="1192" t="s">
        <v>2041</v>
      </c>
      <c r="E7083" s="1743" t="s">
        <v>4500</v>
      </c>
      <c r="F7083" s="1743"/>
      <c r="G7083" s="1743"/>
      <c r="H7083" s="1743"/>
      <c r="K7083" s="1192" t="s">
        <v>5880</v>
      </c>
      <c r="V7083" s="1192">
        <v>247</v>
      </c>
    </row>
    <row r="7084" spans="1:22" s="1192" customFormat="1" ht="14.4" x14ac:dyDescent="0.3">
      <c r="A7084" s="1192" t="s">
        <v>2041</v>
      </c>
      <c r="E7084" s="1750" t="s">
        <v>2394</v>
      </c>
      <c r="F7084" s="1743"/>
      <c r="G7084" s="1743"/>
      <c r="H7084" s="1743"/>
      <c r="K7084" s="1192" t="s">
        <v>5582</v>
      </c>
      <c r="V7084" s="1192">
        <v>46</v>
      </c>
    </row>
    <row r="7085" spans="1:22" s="1192" customFormat="1" ht="14.4" x14ac:dyDescent="0.3">
      <c r="A7085" s="1192" t="s">
        <v>2041</v>
      </c>
      <c r="E7085" s="1741" t="s">
        <v>7</v>
      </c>
      <c r="F7085" s="1741"/>
      <c r="G7085" s="1277" t="s">
        <v>19</v>
      </c>
      <c r="H7085" s="1218">
        <v>71.08</v>
      </c>
      <c r="K7085" s="1192" t="s">
        <v>5880</v>
      </c>
      <c r="L7085" s="1192" t="s">
        <v>430</v>
      </c>
      <c r="P7085" s="1192" t="s">
        <v>5882</v>
      </c>
      <c r="V7085" s="1192">
        <v>14</v>
      </c>
    </row>
    <row r="7086" spans="1:22" s="1192" customFormat="1" ht="14.4" x14ac:dyDescent="0.3">
      <c r="A7086" s="1192" t="s">
        <v>2041</v>
      </c>
      <c r="E7086" s="1741" t="s">
        <v>6431</v>
      </c>
      <c r="F7086" s="1741"/>
      <c r="G7086" s="1277" t="s">
        <v>19</v>
      </c>
      <c r="H7086" s="1218">
        <v>-33.18</v>
      </c>
      <c r="K7086" s="1192" t="s">
        <v>5880</v>
      </c>
      <c r="L7086" s="1192" t="s">
        <v>430</v>
      </c>
      <c r="P7086" s="1192" t="s">
        <v>6478</v>
      </c>
      <c r="T7086" s="1192">
        <v>44561</v>
      </c>
      <c r="V7086" s="1192">
        <v>78</v>
      </c>
    </row>
    <row r="7087" spans="1:22" s="1192" customFormat="1" ht="14.4" x14ac:dyDescent="0.3">
      <c r="A7087" s="1192" t="s">
        <v>2041</v>
      </c>
      <c r="E7087" s="1741" t="s">
        <v>6418</v>
      </c>
      <c r="F7087" s="1741"/>
      <c r="G7087" s="1277" t="s">
        <v>19</v>
      </c>
      <c r="H7087" s="1218">
        <v>50.85</v>
      </c>
      <c r="K7087" s="1192" t="s">
        <v>5880</v>
      </c>
      <c r="L7087" s="1192" t="s">
        <v>430</v>
      </c>
      <c r="P7087" s="1192" t="s">
        <v>6479</v>
      </c>
      <c r="V7087" s="1192">
        <v>135</v>
      </c>
    </row>
    <row r="7088" spans="1:22" s="1192" customFormat="1" ht="14.4" x14ac:dyDescent="0.3">
      <c r="A7088" s="1192" t="s">
        <v>2041</v>
      </c>
      <c r="E7088" s="1741" t="s">
        <v>5832</v>
      </c>
      <c r="F7088" s="1741"/>
      <c r="G7088" s="1277" t="s">
        <v>19</v>
      </c>
      <c r="H7088" s="1218">
        <v>-11.19</v>
      </c>
      <c r="K7088" s="1192" t="s">
        <v>5880</v>
      </c>
      <c r="L7088" s="1192" t="s">
        <v>430</v>
      </c>
      <c r="P7088" s="1192" t="s">
        <v>6480</v>
      </c>
      <c r="T7088" s="1192">
        <v>44196</v>
      </c>
      <c r="V7088" s="1192">
        <v>92</v>
      </c>
    </row>
    <row r="7089" spans="1:22" s="1192" customFormat="1" ht="14.4" x14ac:dyDescent="0.3">
      <c r="A7089" s="1192" t="s">
        <v>2041</v>
      </c>
      <c r="E7089" s="1741" t="s">
        <v>6090</v>
      </c>
      <c r="F7089" s="1998"/>
      <c r="G7089" s="1277" t="s">
        <v>20</v>
      </c>
      <c r="H7089" s="1219">
        <v>-2.0999999999999999E-3</v>
      </c>
      <c r="K7089" s="1192" t="s">
        <v>5880</v>
      </c>
      <c r="L7089" s="1192" t="s">
        <v>431</v>
      </c>
      <c r="P7089" s="1192" t="s">
        <v>5883</v>
      </c>
      <c r="T7089" s="1192">
        <v>44196</v>
      </c>
      <c r="V7089" s="1192">
        <v>142</v>
      </c>
    </row>
    <row r="7090" spans="1:22" s="1192" customFormat="1" ht="14.4" x14ac:dyDescent="0.3">
      <c r="A7090" s="1192" t="s">
        <v>2041</v>
      </c>
      <c r="E7090" s="1741" t="s">
        <v>6087</v>
      </c>
      <c r="F7090" s="1998"/>
      <c r="G7090" s="1277" t="s">
        <v>29</v>
      </c>
      <c r="H7090" s="1219">
        <v>-0.21279999999999999</v>
      </c>
      <c r="K7090" s="1192" t="s">
        <v>5880</v>
      </c>
      <c r="L7090" s="1192" t="s">
        <v>431</v>
      </c>
      <c r="P7090" s="1192" t="s">
        <v>5884</v>
      </c>
      <c r="T7090" s="1192">
        <v>44196</v>
      </c>
      <c r="V7090" s="1192">
        <v>99</v>
      </c>
    </row>
    <row r="7091" spans="1:22" s="1192" customFormat="1" ht="14.4" x14ac:dyDescent="0.3">
      <c r="A7091" s="1192" t="s">
        <v>2041</v>
      </c>
      <c r="E7091" s="1741" t="s">
        <v>6434</v>
      </c>
      <c r="F7091" s="1998"/>
      <c r="G7091" s="1277" t="s">
        <v>29</v>
      </c>
      <c r="H7091" s="1219">
        <v>-2.1499999999999998E-2</v>
      </c>
      <c r="K7091" s="1192" t="s">
        <v>5880</v>
      </c>
      <c r="L7091" s="1192" t="s">
        <v>431</v>
      </c>
      <c r="P7091" s="1192" t="s">
        <v>6481</v>
      </c>
      <c r="T7091" s="1192">
        <v>44196</v>
      </c>
      <c r="V7091" s="1192">
        <v>149</v>
      </c>
    </row>
    <row r="7092" spans="1:22" s="1192" customFormat="1" ht="14.4" x14ac:dyDescent="0.3">
      <c r="A7092" s="1192" t="s">
        <v>2041</v>
      </c>
      <c r="E7092" s="1750" t="s">
        <v>2405</v>
      </c>
      <c r="F7092" s="1741"/>
      <c r="G7092" s="1277"/>
      <c r="H7092" s="896"/>
      <c r="K7092" s="1192" t="s">
        <v>5885</v>
      </c>
      <c r="V7092" s="1192">
        <v>48</v>
      </c>
    </row>
    <row r="7093" spans="1:22" s="1192" customFormat="1" ht="14.4" x14ac:dyDescent="0.3">
      <c r="A7093" s="1192" t="s">
        <v>2041</v>
      </c>
      <c r="E7093" s="1741" t="s">
        <v>2033</v>
      </c>
      <c r="F7093" s="1741"/>
      <c r="G7093" s="1277" t="s">
        <v>20</v>
      </c>
      <c r="H7093" s="1219">
        <v>3.0000000000000001E-3</v>
      </c>
      <c r="K7093" s="1192" t="s">
        <v>5880</v>
      </c>
      <c r="L7093" s="1192" t="s">
        <v>2374</v>
      </c>
      <c r="P7093" s="1192" t="s">
        <v>5886</v>
      </c>
      <c r="V7093" s="1192">
        <v>55</v>
      </c>
    </row>
    <row r="7094" spans="1:22" s="1192" customFormat="1" ht="14.4" x14ac:dyDescent="0.3">
      <c r="A7094" s="1192" t="s">
        <v>2041</v>
      </c>
      <c r="E7094" s="1741" t="s">
        <v>2034</v>
      </c>
      <c r="F7094" s="1741"/>
      <c r="G7094" s="1277" t="s">
        <v>20</v>
      </c>
      <c r="H7094" s="1219">
        <v>4.0000000000000002E-4</v>
      </c>
      <c r="K7094" s="1192" t="s">
        <v>5880</v>
      </c>
      <c r="L7094" s="1192" t="s">
        <v>2374</v>
      </c>
      <c r="P7094" s="1192" t="s">
        <v>5886</v>
      </c>
      <c r="V7094" s="1192">
        <v>65</v>
      </c>
    </row>
    <row r="7095" spans="1:22" s="1192" customFormat="1" ht="14.4" x14ac:dyDescent="0.3">
      <c r="A7095" s="1192" t="s">
        <v>2041</v>
      </c>
      <c r="E7095" s="1741" t="s">
        <v>428</v>
      </c>
      <c r="F7095" s="1741"/>
      <c r="G7095" s="1277" t="s">
        <v>20</v>
      </c>
      <c r="H7095" s="1219">
        <v>5.0000000000000001E-4</v>
      </c>
      <c r="K7095" s="1192" t="s">
        <v>5880</v>
      </c>
      <c r="L7095" s="1192" t="s">
        <v>2374</v>
      </c>
      <c r="P7095" s="1192" t="s">
        <v>5887</v>
      </c>
      <c r="V7095" s="1192">
        <v>57</v>
      </c>
    </row>
    <row r="7096" spans="1:22" s="1192" customFormat="1" ht="14.4" x14ac:dyDescent="0.3">
      <c r="A7096" s="1192" t="s">
        <v>2041</v>
      </c>
      <c r="E7096" s="1741" t="s">
        <v>28</v>
      </c>
      <c r="F7096" s="1741"/>
      <c r="G7096" s="1277" t="s">
        <v>19</v>
      </c>
      <c r="H7096" s="1218">
        <v>0.25</v>
      </c>
      <c r="K7096" s="1192" t="s">
        <v>5880</v>
      </c>
      <c r="L7096" s="1192" t="s">
        <v>2374</v>
      </c>
      <c r="P7096" s="1192" t="s">
        <v>5888</v>
      </c>
      <c r="V7096" s="1192">
        <v>63</v>
      </c>
    </row>
    <row r="7097" spans="1:22" s="1192" customFormat="1" ht="17.399999999999999" x14ac:dyDescent="0.3">
      <c r="A7097" s="1192" t="s">
        <v>2041</v>
      </c>
      <c r="E7097" s="1746" t="s">
        <v>593</v>
      </c>
      <c r="F7097" s="1747"/>
      <c r="G7097" s="1747"/>
      <c r="H7097" s="1747"/>
      <c r="K7097" s="1192" t="s">
        <v>5889</v>
      </c>
      <c r="V7097" s="1192">
        <v>31</v>
      </c>
    </row>
    <row r="7098" spans="1:22" s="1192" customFormat="1" ht="14.4" x14ac:dyDescent="0.3">
      <c r="A7098" s="1192" t="s">
        <v>2041</v>
      </c>
      <c r="E7098" s="1743" t="s">
        <v>4986</v>
      </c>
      <c r="F7098" s="1743"/>
      <c r="G7098" s="1743"/>
      <c r="H7098" s="1743"/>
      <c r="K7098" s="1192" t="s">
        <v>5889</v>
      </c>
      <c r="V7098" s="1192">
        <v>286</v>
      </c>
    </row>
    <row r="7099" spans="1:22" s="1192" customFormat="1" ht="14.4" x14ac:dyDescent="0.3">
      <c r="A7099" s="1192" t="s">
        <v>2041</v>
      </c>
      <c r="E7099" s="1750" t="s">
        <v>2389</v>
      </c>
      <c r="F7099" s="1743"/>
      <c r="G7099" s="1743"/>
      <c r="H7099" s="1743"/>
      <c r="K7099" s="1192" t="s">
        <v>5890</v>
      </c>
      <c r="V7099" s="1192">
        <v>11</v>
      </c>
    </row>
    <row r="7100" spans="1:22" s="1192" customFormat="1" ht="14.4" x14ac:dyDescent="0.3">
      <c r="A7100" s="1192" t="s">
        <v>2041</v>
      </c>
      <c r="E7100" s="1743" t="s">
        <v>2391</v>
      </c>
      <c r="F7100" s="1743"/>
      <c r="G7100" s="1743"/>
      <c r="H7100" s="1743"/>
      <c r="K7100" s="1192" t="s">
        <v>5889</v>
      </c>
      <c r="V7100" s="1192">
        <v>280</v>
      </c>
    </row>
    <row r="7101" spans="1:22" s="1192" customFormat="1" ht="14.4" x14ac:dyDescent="0.3">
      <c r="A7101" s="1192" t="s">
        <v>2041</v>
      </c>
      <c r="E7101" s="1743" t="s">
        <v>2392</v>
      </c>
      <c r="F7101" s="1743"/>
      <c r="G7101" s="1743"/>
      <c r="H7101" s="1743"/>
      <c r="K7101" s="1192" t="s">
        <v>5889</v>
      </c>
      <c r="V7101" s="1192">
        <v>411</v>
      </c>
    </row>
    <row r="7102" spans="1:22" s="1192" customFormat="1" ht="14.4" x14ac:dyDescent="0.3">
      <c r="A7102" s="1192" t="s">
        <v>2041</v>
      </c>
      <c r="E7102" s="1743" t="s">
        <v>2445</v>
      </c>
      <c r="F7102" s="1743"/>
      <c r="G7102" s="1743"/>
      <c r="H7102" s="1743"/>
      <c r="K7102" s="1192" t="s">
        <v>5889</v>
      </c>
      <c r="V7102" s="1192">
        <v>211</v>
      </c>
    </row>
    <row r="7103" spans="1:22" s="1192" customFormat="1" ht="14.4" x14ac:dyDescent="0.3">
      <c r="A7103" s="1192" t="s">
        <v>2041</v>
      </c>
      <c r="E7103" s="1743" t="s">
        <v>4500</v>
      </c>
      <c r="F7103" s="1743"/>
      <c r="G7103" s="1743"/>
      <c r="H7103" s="1743"/>
      <c r="K7103" s="1192" t="s">
        <v>5889</v>
      </c>
      <c r="V7103" s="1192">
        <v>247</v>
      </c>
    </row>
    <row r="7104" spans="1:22" s="1192" customFormat="1" ht="14.4" x14ac:dyDescent="0.3">
      <c r="A7104" s="1192" t="s">
        <v>2041</v>
      </c>
      <c r="E7104" s="1750" t="s">
        <v>2394</v>
      </c>
      <c r="F7104" s="1743"/>
      <c r="G7104" s="1743"/>
      <c r="H7104" s="1743"/>
      <c r="K7104" s="1192" t="s">
        <v>5891</v>
      </c>
      <c r="V7104" s="1192">
        <v>46</v>
      </c>
    </row>
    <row r="7105" spans="1:22" s="1192" customFormat="1" ht="14.4" x14ac:dyDescent="0.3">
      <c r="A7105" s="1192" t="s">
        <v>2041</v>
      </c>
      <c r="E7105" s="1741" t="s">
        <v>7</v>
      </c>
      <c r="F7105" s="1741"/>
      <c r="G7105" s="1277" t="s">
        <v>19</v>
      </c>
      <c r="H7105" s="1218">
        <v>5.4</v>
      </c>
      <c r="K7105" s="1192" t="s">
        <v>5889</v>
      </c>
      <c r="L7105" s="1192" t="s">
        <v>430</v>
      </c>
      <c r="P7105" s="1192" t="s">
        <v>5892</v>
      </c>
      <c r="V7105" s="1192">
        <v>14</v>
      </c>
    </row>
    <row r="7106" spans="1:22" s="1192" customFormat="1" x14ac:dyDescent="0.3">
      <c r="A7106" s="1192" t="s">
        <v>2041</v>
      </c>
      <c r="E7106" s="1260" t="s">
        <v>81</v>
      </c>
      <c r="F7106" s="1229"/>
      <c r="G7106" s="1229"/>
      <c r="H7106" s="1230"/>
      <c r="K7106" s="1192" t="s">
        <v>4973</v>
      </c>
      <c r="V7106" s="1192">
        <v>10</v>
      </c>
    </row>
    <row r="7107" spans="1:22" s="1192" customFormat="1" ht="14.4" x14ac:dyDescent="0.3">
      <c r="A7107" s="1192" t="s">
        <v>2041</v>
      </c>
      <c r="E7107" s="1741" t="s">
        <v>2449</v>
      </c>
      <c r="F7107" s="1741"/>
      <c r="G7107" s="1277" t="s">
        <v>29</v>
      </c>
      <c r="H7107" s="564">
        <v>-0.6</v>
      </c>
      <c r="V7107" s="1192">
        <v>68</v>
      </c>
    </row>
    <row r="7108" spans="1:22" s="1192" customFormat="1" ht="14.4" x14ac:dyDescent="0.3">
      <c r="A7108" s="1192" t="s">
        <v>2041</v>
      </c>
      <c r="E7108" s="1741" t="s">
        <v>2450</v>
      </c>
      <c r="F7108" s="1741"/>
      <c r="G7108" s="1277" t="s">
        <v>82</v>
      </c>
      <c r="H7108" s="1218">
        <v>-1</v>
      </c>
      <c r="V7108" s="1192">
        <v>87</v>
      </c>
    </row>
    <row r="7109" spans="1:22" s="1192" customFormat="1" x14ac:dyDescent="0.3">
      <c r="A7109" s="1192" t="s">
        <v>2041</v>
      </c>
      <c r="E7109" s="1260" t="s">
        <v>83</v>
      </c>
      <c r="F7109" s="1229"/>
      <c r="G7109" s="1229"/>
      <c r="H7109" s="1230"/>
      <c r="K7109" s="1192" t="s">
        <v>4974</v>
      </c>
      <c r="V7109" s="1192">
        <v>24</v>
      </c>
    </row>
    <row r="7110" spans="1:22" s="1192" customFormat="1" ht="14.4" x14ac:dyDescent="0.3">
      <c r="A7110" s="1192" t="s">
        <v>2041</v>
      </c>
      <c r="E7110" s="1743" t="s">
        <v>2391</v>
      </c>
      <c r="F7110" s="1743"/>
      <c r="G7110" s="1743"/>
      <c r="H7110" s="1743"/>
      <c r="V7110" s="1192">
        <v>280</v>
      </c>
    </row>
    <row r="7111" spans="1:22" s="1192" customFormat="1" ht="14.4" x14ac:dyDescent="0.3">
      <c r="A7111" s="1192" t="s">
        <v>2041</v>
      </c>
      <c r="E7111" s="1743" t="s">
        <v>2452</v>
      </c>
      <c r="F7111" s="1743"/>
      <c r="G7111" s="1743"/>
      <c r="H7111" s="1743"/>
      <c r="V7111" s="1192">
        <v>353</v>
      </c>
    </row>
    <row r="7112" spans="1:22" s="1192" customFormat="1" ht="14.4" x14ac:dyDescent="0.3">
      <c r="A7112" s="1192" t="s">
        <v>2041</v>
      </c>
      <c r="E7112" s="1743" t="s">
        <v>4500</v>
      </c>
      <c r="F7112" s="1743"/>
      <c r="G7112" s="1743"/>
      <c r="H7112" s="1743"/>
      <c r="V7112" s="1192">
        <v>247</v>
      </c>
    </row>
    <row r="7113" spans="1:22" s="1192" customFormat="1" ht="14.4" x14ac:dyDescent="0.3">
      <c r="A7113" s="1192" t="s">
        <v>2041</v>
      </c>
      <c r="E7113" s="1258" t="s">
        <v>2453</v>
      </c>
      <c r="F7113" s="1231"/>
      <c r="G7113" s="1231"/>
      <c r="H7113" s="1232"/>
      <c r="K7113" s="1192" t="s">
        <v>4975</v>
      </c>
      <c r="V7113" s="1192">
        <v>23</v>
      </c>
    </row>
    <row r="7114" spans="1:22" s="1192" customFormat="1" ht="14.4" x14ac:dyDescent="0.3">
      <c r="A7114" s="1192" t="s">
        <v>2041</v>
      </c>
      <c r="E7114" s="1942" t="s">
        <v>2639</v>
      </c>
      <c r="F7114" s="1942"/>
      <c r="G7114" s="1277" t="s">
        <v>19</v>
      </c>
      <c r="H7114" s="1218">
        <v>15</v>
      </c>
      <c r="V7114" s="1192">
        <v>19</v>
      </c>
    </row>
    <row r="7115" spans="1:22" s="1192" customFormat="1" ht="14.4" x14ac:dyDescent="0.3">
      <c r="A7115" s="1192" t="s">
        <v>2041</v>
      </c>
      <c r="E7115" s="1942" t="s">
        <v>2456</v>
      </c>
      <c r="F7115" s="1942"/>
      <c r="G7115" s="1277" t="s">
        <v>19</v>
      </c>
      <c r="H7115" s="1218">
        <v>15</v>
      </c>
      <c r="V7115" s="1192">
        <v>20</v>
      </c>
    </row>
    <row r="7116" spans="1:22" s="1192" customFormat="1" ht="14.4" x14ac:dyDescent="0.3">
      <c r="A7116" s="1192" t="s">
        <v>2041</v>
      </c>
      <c r="E7116" s="1942" t="s">
        <v>2457</v>
      </c>
      <c r="F7116" s="1942"/>
      <c r="G7116" s="1277" t="s">
        <v>19</v>
      </c>
      <c r="H7116" s="1218">
        <v>15</v>
      </c>
      <c r="V7116" s="1192">
        <v>26</v>
      </c>
    </row>
    <row r="7117" spans="1:22" s="1192" customFormat="1" ht="14.4" x14ac:dyDescent="0.3">
      <c r="A7117" s="1192" t="s">
        <v>2041</v>
      </c>
      <c r="E7117" s="1942" t="s">
        <v>2458</v>
      </c>
      <c r="F7117" s="1942"/>
      <c r="G7117" s="1277" t="s">
        <v>19</v>
      </c>
      <c r="H7117" s="1218">
        <v>15</v>
      </c>
      <c r="V7117" s="1192">
        <v>39</v>
      </c>
    </row>
    <row r="7118" spans="1:22" s="1192" customFormat="1" ht="14.4" x14ac:dyDescent="0.3">
      <c r="A7118" s="1192" t="s">
        <v>2041</v>
      </c>
      <c r="E7118" s="1942" t="s">
        <v>2459</v>
      </c>
      <c r="F7118" s="1942"/>
      <c r="G7118" s="1277" t="s">
        <v>19</v>
      </c>
      <c r="H7118" s="1218">
        <v>15</v>
      </c>
      <c r="V7118" s="1192">
        <v>37</v>
      </c>
    </row>
    <row r="7119" spans="1:22" s="1192" customFormat="1" ht="14.4" x14ac:dyDescent="0.3">
      <c r="A7119" s="1192" t="s">
        <v>2041</v>
      </c>
      <c r="E7119" s="1942" t="s">
        <v>3663</v>
      </c>
      <c r="F7119" s="1942"/>
      <c r="G7119" s="1277" t="s">
        <v>19</v>
      </c>
      <c r="H7119" s="1218">
        <v>15</v>
      </c>
      <c r="V7119" s="1192">
        <v>15</v>
      </c>
    </row>
    <row r="7120" spans="1:22" s="1192" customFormat="1" ht="14.4" x14ac:dyDescent="0.3">
      <c r="A7120" s="1192" t="s">
        <v>2041</v>
      </c>
      <c r="E7120" s="1942" t="s">
        <v>2461</v>
      </c>
      <c r="F7120" s="1942"/>
      <c r="G7120" s="1277" t="s">
        <v>19</v>
      </c>
      <c r="H7120" s="1218">
        <v>15</v>
      </c>
      <c r="V7120" s="1192">
        <v>17</v>
      </c>
    </row>
    <row r="7121" spans="1:22" s="1192" customFormat="1" ht="14.4" x14ac:dyDescent="0.3">
      <c r="A7121" s="1192" t="s">
        <v>2041</v>
      </c>
      <c r="E7121" s="1942" t="s">
        <v>2462</v>
      </c>
      <c r="F7121" s="1942"/>
      <c r="G7121" s="1277" t="s">
        <v>19</v>
      </c>
      <c r="H7121" s="1218">
        <v>15</v>
      </c>
      <c r="V7121" s="1192">
        <v>19</v>
      </c>
    </row>
    <row r="7122" spans="1:22" s="1192" customFormat="1" ht="14.4" x14ac:dyDescent="0.3">
      <c r="A7122" s="1192" t="s">
        <v>2041</v>
      </c>
      <c r="E7122" s="1942" t="s">
        <v>2463</v>
      </c>
      <c r="F7122" s="1942"/>
      <c r="G7122" s="1277" t="s">
        <v>19</v>
      </c>
      <c r="H7122" s="1218">
        <v>15</v>
      </c>
      <c r="V7122" s="1192">
        <v>15</v>
      </c>
    </row>
    <row r="7123" spans="1:22" s="1192" customFormat="1" ht="14.4" x14ac:dyDescent="0.3">
      <c r="A7123" s="1192" t="s">
        <v>2041</v>
      </c>
      <c r="E7123" s="1942" t="s">
        <v>119</v>
      </c>
      <c r="F7123" s="1942"/>
      <c r="G7123" s="1277" t="s">
        <v>19</v>
      </c>
      <c r="H7123" s="1218">
        <v>15</v>
      </c>
      <c r="V7123" s="1192">
        <v>35</v>
      </c>
    </row>
    <row r="7124" spans="1:22" s="1192" customFormat="1" ht="14.4" x14ac:dyDescent="0.3">
      <c r="A7124" s="1192" t="s">
        <v>2041</v>
      </c>
      <c r="E7124" s="1942" t="s">
        <v>2466</v>
      </c>
      <c r="F7124" s="1942"/>
      <c r="G7124" s="1277" t="s">
        <v>19</v>
      </c>
      <c r="H7124" s="1218">
        <v>15</v>
      </c>
      <c r="V7124" s="1192">
        <v>24</v>
      </c>
    </row>
    <row r="7125" spans="1:22" s="1192" customFormat="1" ht="14.4" x14ac:dyDescent="0.3">
      <c r="A7125" s="1192" t="s">
        <v>2041</v>
      </c>
      <c r="E7125" s="1942" t="s">
        <v>2467</v>
      </c>
      <c r="F7125" s="1942"/>
      <c r="G7125" s="1277" t="s">
        <v>19</v>
      </c>
      <c r="H7125" s="1218">
        <v>15</v>
      </c>
      <c r="V7125" s="1192">
        <v>19</v>
      </c>
    </row>
    <row r="7126" spans="1:22" s="1192" customFormat="1" ht="14.4" x14ac:dyDescent="0.3">
      <c r="A7126" s="1192" t="s">
        <v>2041</v>
      </c>
      <c r="E7126" s="1942" t="s">
        <v>84</v>
      </c>
      <c r="F7126" s="1942"/>
      <c r="G7126" s="1277" t="s">
        <v>19</v>
      </c>
      <c r="H7126" s="1218">
        <v>30</v>
      </c>
      <c r="V7126" s="1192">
        <v>89</v>
      </c>
    </row>
    <row r="7127" spans="1:22" s="1192" customFormat="1" ht="14.4" x14ac:dyDescent="0.3">
      <c r="A7127" s="1192" t="s">
        <v>2041</v>
      </c>
      <c r="E7127" s="1942" t="s">
        <v>90</v>
      </c>
      <c r="F7127" s="1942"/>
      <c r="G7127" s="1277" t="s">
        <v>19</v>
      </c>
      <c r="H7127" s="1218">
        <v>30</v>
      </c>
      <c r="V7127" s="1192">
        <v>19</v>
      </c>
    </row>
    <row r="7128" spans="1:22" s="1192" customFormat="1" ht="14.4" x14ac:dyDescent="0.3">
      <c r="A7128" s="1192" t="s">
        <v>2041</v>
      </c>
      <c r="E7128" s="1942" t="s">
        <v>88</v>
      </c>
      <c r="F7128" s="1942"/>
      <c r="G7128" s="1277" t="s">
        <v>19</v>
      </c>
      <c r="H7128" s="1218">
        <v>30</v>
      </c>
      <c r="V7128" s="1192">
        <v>74</v>
      </c>
    </row>
    <row r="7129" spans="1:22" s="1192" customFormat="1" ht="14.4" x14ac:dyDescent="0.3">
      <c r="A7129" s="1192" t="s">
        <v>2041</v>
      </c>
      <c r="E7129" s="1942" t="s">
        <v>2464</v>
      </c>
      <c r="F7129" s="1942"/>
      <c r="G7129" s="1277" t="s">
        <v>19</v>
      </c>
      <c r="H7129" s="1218">
        <v>15</v>
      </c>
      <c r="V7129" s="1192">
        <v>56</v>
      </c>
    </row>
    <row r="7130" spans="1:22" s="1192" customFormat="1" ht="14.4" x14ac:dyDescent="0.3">
      <c r="A7130" s="1192" t="s">
        <v>2041</v>
      </c>
      <c r="E7130" s="1258" t="s">
        <v>2468</v>
      </c>
      <c r="F7130" s="1231"/>
      <c r="G7130" s="1231"/>
      <c r="H7130" s="1232"/>
      <c r="K7130" s="1192" t="s">
        <v>4976</v>
      </c>
      <c r="V7130" s="1192">
        <v>22</v>
      </c>
    </row>
    <row r="7131" spans="1:22" s="1192" customFormat="1" ht="14.4" x14ac:dyDescent="0.3">
      <c r="A7131" s="1192" t="s">
        <v>2041</v>
      </c>
      <c r="E7131" s="1942" t="s">
        <v>5940</v>
      </c>
      <c r="F7131" s="1942"/>
      <c r="G7131" s="1277" t="s">
        <v>82</v>
      </c>
      <c r="H7131" s="1218">
        <v>1.5</v>
      </c>
      <c r="V7131" s="1192">
        <v>99</v>
      </c>
    </row>
    <row r="7132" spans="1:22" s="1192" customFormat="1" ht="14.4" x14ac:dyDescent="0.3">
      <c r="A7132" s="1192" t="s">
        <v>2041</v>
      </c>
      <c r="E7132" s="1942" t="s">
        <v>6106</v>
      </c>
      <c r="F7132" s="1942"/>
      <c r="G7132" s="1277" t="s">
        <v>19</v>
      </c>
      <c r="H7132" s="1218">
        <v>65</v>
      </c>
      <c r="V7132" s="1192">
        <v>44</v>
      </c>
    </row>
    <row r="7133" spans="1:22" s="1192" customFormat="1" ht="14.4" x14ac:dyDescent="0.3">
      <c r="A7133" s="1192" t="s">
        <v>2041</v>
      </c>
      <c r="E7133" s="1942" t="s">
        <v>6107</v>
      </c>
      <c r="F7133" s="1942"/>
      <c r="G7133" s="1277" t="s">
        <v>19</v>
      </c>
      <c r="H7133" s="1218">
        <v>185</v>
      </c>
      <c r="V7133" s="1192">
        <v>43</v>
      </c>
    </row>
    <row r="7134" spans="1:22" s="1192" customFormat="1" ht="14.4" x14ac:dyDescent="0.3">
      <c r="A7134" s="1192" t="s">
        <v>2041</v>
      </c>
      <c r="E7134" s="1942" t="s">
        <v>6108</v>
      </c>
      <c r="F7134" s="1942"/>
      <c r="G7134" s="1277" t="s">
        <v>19</v>
      </c>
      <c r="H7134" s="1218">
        <v>185</v>
      </c>
      <c r="V7134" s="1192">
        <v>43</v>
      </c>
    </row>
    <row r="7135" spans="1:22" s="1192" customFormat="1" ht="14.4" x14ac:dyDescent="0.3">
      <c r="A7135" s="1192" t="s">
        <v>2041</v>
      </c>
      <c r="E7135" s="1942" t="s">
        <v>6115</v>
      </c>
      <c r="F7135" s="1942"/>
      <c r="G7135" s="1277" t="s">
        <v>19</v>
      </c>
      <c r="H7135" s="1218">
        <v>415</v>
      </c>
      <c r="V7135" s="1192">
        <v>42</v>
      </c>
    </row>
    <row r="7136" spans="1:22" s="1192" customFormat="1" ht="14.4" x14ac:dyDescent="0.3">
      <c r="A7136" s="1192" t="s">
        <v>2041</v>
      </c>
      <c r="E7136" s="1258" t="s">
        <v>2474</v>
      </c>
      <c r="F7136" s="843"/>
      <c r="G7136" s="843"/>
      <c r="H7136" s="877"/>
      <c r="V7136" s="1192">
        <v>5</v>
      </c>
    </row>
    <row r="7137" spans="1:22" s="1192" customFormat="1" ht="14.4" x14ac:dyDescent="0.3">
      <c r="A7137" s="1192" t="s">
        <v>2041</v>
      </c>
      <c r="E7137" s="1942" t="s">
        <v>5898</v>
      </c>
      <c r="F7137" s="1942"/>
      <c r="G7137" s="1277" t="s">
        <v>19</v>
      </c>
      <c r="H7137" s="1218">
        <v>44.5</v>
      </c>
      <c r="V7137" s="1192">
        <v>438</v>
      </c>
    </row>
    <row r="7138" spans="1:22" s="1192" customFormat="1" ht="14.4" x14ac:dyDescent="0.3">
      <c r="A7138" s="1192" t="s">
        <v>2041</v>
      </c>
      <c r="E7138" s="1942" t="s">
        <v>2477</v>
      </c>
      <c r="F7138" s="1942"/>
      <c r="G7138" s="1277" t="s">
        <v>19</v>
      </c>
      <c r="H7138" s="1218">
        <v>30</v>
      </c>
      <c r="V7138" s="1192">
        <v>39</v>
      </c>
    </row>
    <row r="7139" spans="1:22" s="1192" customFormat="1" ht="14.4" x14ac:dyDescent="0.3">
      <c r="A7139" s="1192" t="s">
        <v>2041</v>
      </c>
      <c r="E7139" s="1942" t="s">
        <v>2841</v>
      </c>
      <c r="F7139" s="1942"/>
      <c r="G7139" s="1277" t="s">
        <v>19</v>
      </c>
      <c r="H7139" s="1218">
        <v>165</v>
      </c>
      <c r="V7139" s="1192">
        <v>61</v>
      </c>
    </row>
    <row r="7140" spans="1:22" s="1192" customFormat="1" ht="17.399999999999999" x14ac:dyDescent="0.3">
      <c r="A7140" s="1192" t="s">
        <v>2041</v>
      </c>
      <c r="E7140" s="1746" t="s">
        <v>73</v>
      </c>
      <c r="F7140" s="1746"/>
      <c r="G7140" s="1746"/>
      <c r="H7140" s="1746"/>
      <c r="K7140" s="1192" t="s">
        <v>4977</v>
      </c>
      <c r="V7140" s="1192">
        <v>38</v>
      </c>
    </row>
    <row r="7141" spans="1:22" s="1192" customFormat="1" ht="14.4" x14ac:dyDescent="0.3">
      <c r="A7141" s="1192" t="s">
        <v>2041</v>
      </c>
      <c r="E7141" s="1743" t="s">
        <v>2391</v>
      </c>
      <c r="F7141" s="1743"/>
      <c r="G7141" s="1743"/>
      <c r="H7141" s="1743"/>
      <c r="V7141" s="1192">
        <v>280</v>
      </c>
    </row>
    <row r="7142" spans="1:22" s="1192" customFormat="1" ht="14.4" x14ac:dyDescent="0.3">
      <c r="A7142" s="1192" t="s">
        <v>2041</v>
      </c>
      <c r="E7142" s="1743" t="s">
        <v>2392</v>
      </c>
      <c r="F7142" s="1743"/>
      <c r="G7142" s="1743"/>
      <c r="H7142" s="1743"/>
      <c r="V7142" s="1192">
        <v>411</v>
      </c>
    </row>
    <row r="7143" spans="1:22" s="1192" customFormat="1" ht="14.4" x14ac:dyDescent="0.3">
      <c r="A7143" s="1192" t="s">
        <v>2041</v>
      </c>
      <c r="E7143" s="1743" t="s">
        <v>2445</v>
      </c>
      <c r="F7143" s="1743"/>
      <c r="G7143" s="1743"/>
      <c r="H7143" s="1743"/>
      <c r="V7143" s="1192">
        <v>211</v>
      </c>
    </row>
    <row r="7144" spans="1:22" s="1192" customFormat="1" ht="14.4" x14ac:dyDescent="0.3">
      <c r="A7144" s="1192" t="s">
        <v>2041</v>
      </c>
      <c r="E7144" s="1743" t="s">
        <v>4500</v>
      </c>
      <c r="F7144" s="1743"/>
      <c r="G7144" s="1743"/>
      <c r="H7144" s="1743"/>
      <c r="V7144" s="1192">
        <v>247</v>
      </c>
    </row>
    <row r="7145" spans="1:22" s="1192" customFormat="1" ht="14.4" x14ac:dyDescent="0.3">
      <c r="A7145" s="1192" t="s">
        <v>2041</v>
      </c>
      <c r="E7145" s="1743" t="s">
        <v>2595</v>
      </c>
      <c r="F7145" s="1743"/>
      <c r="G7145" s="1743"/>
      <c r="H7145" s="1743"/>
      <c r="V7145" s="1192">
        <v>142</v>
      </c>
    </row>
    <row r="7146" spans="1:22" s="1192" customFormat="1" ht="14.4" x14ac:dyDescent="0.3">
      <c r="A7146" s="1192" t="s">
        <v>2041</v>
      </c>
      <c r="E7146" s="1741" t="s">
        <v>2485</v>
      </c>
      <c r="F7146" s="1741"/>
      <c r="G7146" s="843" t="s">
        <v>19</v>
      </c>
      <c r="H7146" s="509">
        <v>102</v>
      </c>
      <c r="V7146" s="1192">
        <v>106</v>
      </c>
    </row>
    <row r="7147" spans="1:22" s="1192" customFormat="1" ht="14.4" x14ac:dyDescent="0.3">
      <c r="A7147" s="1192" t="s">
        <v>2041</v>
      </c>
      <c r="E7147" s="1741" t="s">
        <v>3919</v>
      </c>
      <c r="F7147" s="1741"/>
      <c r="G7147" s="843" t="s">
        <v>19</v>
      </c>
      <c r="H7147" s="509">
        <v>40.799999999999997</v>
      </c>
      <c r="V7147" s="1192">
        <v>34</v>
      </c>
    </row>
    <row r="7148" spans="1:22" s="1192" customFormat="1" ht="14.4" x14ac:dyDescent="0.3">
      <c r="A7148" s="1192" t="s">
        <v>2041</v>
      </c>
      <c r="E7148" s="1741" t="s">
        <v>3920</v>
      </c>
      <c r="F7148" s="1741"/>
      <c r="G7148" s="843" t="s">
        <v>2488</v>
      </c>
      <c r="H7148" s="509">
        <v>1.02</v>
      </c>
      <c r="V7148" s="1192">
        <v>51</v>
      </c>
    </row>
    <row r="7149" spans="1:22" s="1192" customFormat="1" ht="14.4" x14ac:dyDescent="0.3">
      <c r="A7149" s="1192" t="s">
        <v>2041</v>
      </c>
      <c r="E7149" s="1741" t="s">
        <v>2489</v>
      </c>
      <c r="F7149" s="1741"/>
      <c r="G7149" s="843" t="s">
        <v>2488</v>
      </c>
      <c r="H7149" s="509">
        <v>0.61</v>
      </c>
      <c r="V7149" s="1192">
        <v>75</v>
      </c>
    </row>
    <row r="7150" spans="1:22" s="1192" customFormat="1" ht="14.4" x14ac:dyDescent="0.3">
      <c r="A7150" s="1192" t="s">
        <v>2041</v>
      </c>
      <c r="E7150" s="1741" t="s">
        <v>2490</v>
      </c>
      <c r="F7150" s="1741"/>
      <c r="G7150" s="843" t="s">
        <v>2488</v>
      </c>
      <c r="H7150" s="509">
        <v>-0.61</v>
      </c>
      <c r="V7150" s="1192">
        <v>72</v>
      </c>
    </row>
    <row r="7151" spans="1:22" s="1192" customFormat="1" ht="14.4" x14ac:dyDescent="0.3">
      <c r="A7151" s="1192" t="s">
        <v>2041</v>
      </c>
      <c r="E7151" s="1741" t="s">
        <v>2596</v>
      </c>
      <c r="F7151" s="1741"/>
      <c r="G7151" s="843"/>
      <c r="H7151" s="840"/>
      <c r="V7151" s="1192">
        <v>34</v>
      </c>
    </row>
    <row r="7152" spans="1:22" s="1192" customFormat="1" ht="14.4" x14ac:dyDescent="0.3">
      <c r="A7152" s="1192" t="s">
        <v>2041</v>
      </c>
      <c r="E7152" s="1941" t="s">
        <v>2492</v>
      </c>
      <c r="F7152" s="1941"/>
      <c r="G7152" s="843" t="s">
        <v>19</v>
      </c>
      <c r="H7152" s="509">
        <v>0.51</v>
      </c>
      <c r="V7152" s="1192">
        <v>57</v>
      </c>
    </row>
    <row r="7153" spans="1:22" s="1192" customFormat="1" ht="14.4" x14ac:dyDescent="0.3">
      <c r="A7153" s="1192" t="s">
        <v>2041</v>
      </c>
      <c r="E7153" s="1941" t="s">
        <v>2493</v>
      </c>
      <c r="F7153" s="1941"/>
      <c r="G7153" s="843" t="s">
        <v>19</v>
      </c>
      <c r="H7153" s="509">
        <v>1.02</v>
      </c>
      <c r="V7153" s="1192">
        <v>60</v>
      </c>
    </row>
    <row r="7154" spans="1:22" s="1192" customFormat="1" ht="14.4" x14ac:dyDescent="0.3">
      <c r="A7154" s="1192" t="s">
        <v>2041</v>
      </c>
      <c r="E7154" s="1741" t="s">
        <v>2494</v>
      </c>
      <c r="F7154" s="1741"/>
      <c r="G7154" s="843"/>
      <c r="H7154" s="937"/>
      <c r="V7154" s="1192">
        <v>91</v>
      </c>
    </row>
    <row r="7155" spans="1:22" s="1192" customFormat="1" ht="14.4" x14ac:dyDescent="0.3">
      <c r="A7155" s="1192" t="s">
        <v>2041</v>
      </c>
      <c r="E7155" s="1741" t="s">
        <v>2495</v>
      </c>
      <c r="F7155" s="1741"/>
      <c r="G7155" s="843"/>
      <c r="H7155" s="840"/>
      <c r="V7155" s="1192">
        <v>96</v>
      </c>
    </row>
    <row r="7156" spans="1:22" s="1192" customFormat="1" ht="14.4" x14ac:dyDescent="0.3">
      <c r="A7156" s="1192" t="s">
        <v>2041</v>
      </c>
      <c r="E7156" s="1741" t="s">
        <v>2597</v>
      </c>
      <c r="F7156" s="1741"/>
      <c r="G7156" s="843"/>
      <c r="H7156" s="840"/>
      <c r="V7156" s="1192">
        <v>77</v>
      </c>
    </row>
    <row r="7157" spans="1:22" s="1192" customFormat="1" ht="14.4" x14ac:dyDescent="0.3">
      <c r="A7157" s="1192" t="s">
        <v>2041</v>
      </c>
      <c r="E7157" s="1941" t="s">
        <v>2497</v>
      </c>
      <c r="F7157" s="1941"/>
      <c r="G7157" s="843" t="s">
        <v>19</v>
      </c>
      <c r="H7157" s="840" t="s">
        <v>2498</v>
      </c>
      <c r="V7157" s="1192">
        <v>18</v>
      </c>
    </row>
    <row r="7158" spans="1:22" s="1192" customFormat="1" ht="14.4" x14ac:dyDescent="0.3">
      <c r="A7158" s="1192" t="s">
        <v>2041</v>
      </c>
      <c r="E7158" s="1941" t="s">
        <v>2499</v>
      </c>
      <c r="F7158" s="1941"/>
      <c r="G7158" s="843" t="s">
        <v>19</v>
      </c>
      <c r="H7158" s="509">
        <v>4.08</v>
      </c>
      <c r="V7158" s="1192">
        <v>69</v>
      </c>
    </row>
    <row r="7159" spans="1:22" s="1192" customFormat="1" ht="14.4" x14ac:dyDescent="0.3">
      <c r="A7159" s="1192" t="s">
        <v>2041</v>
      </c>
      <c r="E7159" s="1741" t="s">
        <v>4608</v>
      </c>
      <c r="F7159" s="1743"/>
      <c r="G7159" s="1277" t="s">
        <v>19</v>
      </c>
      <c r="H7159" s="1218">
        <v>2.04</v>
      </c>
      <c r="V7159" s="1192">
        <v>199</v>
      </c>
    </row>
    <row r="7160" spans="1:22" s="1192" customFormat="1" x14ac:dyDescent="0.3">
      <c r="A7160" s="1192" t="s">
        <v>2041</v>
      </c>
      <c r="E7160" s="1260" t="s">
        <v>143</v>
      </c>
      <c r="F7160" s="1229"/>
      <c r="G7160" s="1229"/>
      <c r="H7160" s="1230"/>
      <c r="K7160" s="1192" t="s">
        <v>4978</v>
      </c>
      <c r="V7160" s="1192">
        <v>12</v>
      </c>
    </row>
    <row r="7161" spans="1:22" s="1192" customFormat="1" ht="14.4" x14ac:dyDescent="0.3">
      <c r="A7161" s="1192" t="s">
        <v>2041</v>
      </c>
      <c r="E7161" s="1741" t="s">
        <v>2501</v>
      </c>
      <c r="F7161" s="1741"/>
      <c r="G7161" s="1741"/>
      <c r="H7161" s="1741"/>
      <c r="V7161" s="1192">
        <v>203</v>
      </c>
    </row>
    <row r="7162" spans="1:22" s="1192" customFormat="1" ht="14.4" x14ac:dyDescent="0.3">
      <c r="A7162" s="1192" t="s">
        <v>2041</v>
      </c>
      <c r="E7162" s="1741" t="s">
        <v>2599</v>
      </c>
      <c r="F7162" s="1741"/>
      <c r="G7162" s="1277"/>
      <c r="H7162" s="837">
        <v>1.030684649944027</v>
      </c>
      <c r="V7162" s="1192">
        <v>57</v>
      </c>
    </row>
    <row r="7163" spans="1:22" s="1192" customFormat="1" ht="14.4" x14ac:dyDescent="0.3">
      <c r="A7163" s="1192" t="s">
        <v>2041</v>
      </c>
      <c r="E7163" s="1741" t="s">
        <v>2600</v>
      </c>
      <c r="F7163" s="1741"/>
      <c r="G7163" s="1277"/>
      <c r="H7163" s="837">
        <v>1.014545</v>
      </c>
      <c r="V7163" s="1192">
        <v>57</v>
      </c>
    </row>
    <row r="7164" spans="1:22" s="1192" customFormat="1" ht="14.4" x14ac:dyDescent="0.3">
      <c r="A7164" s="1192" t="s">
        <v>2041</v>
      </c>
      <c r="E7164" s="1741" t="s">
        <v>2601</v>
      </c>
      <c r="F7164" s="1741"/>
      <c r="G7164" s="1277"/>
      <c r="H7164" s="837">
        <v>1.0203778034445867</v>
      </c>
      <c r="V7164" s="1192">
        <v>55</v>
      </c>
    </row>
    <row r="7165" spans="1:22" s="1192" customFormat="1" ht="14.4" x14ac:dyDescent="0.3">
      <c r="A7165" s="1192" t="s">
        <v>2041</v>
      </c>
      <c r="E7165" s="1741" t="s">
        <v>2602</v>
      </c>
      <c r="F7165" s="1741"/>
      <c r="G7165" s="1277"/>
      <c r="H7165" s="837">
        <v>1.0044999999999999</v>
      </c>
      <c r="J7165" s="1192" t="s">
        <v>5899</v>
      </c>
      <c r="V7165" s="1192">
        <v>55</v>
      </c>
    </row>
    <row r="7166" spans="1:22" s="1192" customFormat="1" ht="22.8" x14ac:dyDescent="0.3">
      <c r="A7166" s="1192" t="s">
        <v>195</v>
      </c>
      <c r="C7166" s="1192" t="s">
        <v>2378</v>
      </c>
      <c r="E7166" s="1752" t="s">
        <v>195</v>
      </c>
      <c r="F7166" s="1752"/>
      <c r="G7166" s="1752"/>
      <c r="H7166" s="1752"/>
      <c r="I7166" s="1192" t="s">
        <v>603</v>
      </c>
      <c r="J7166" s="1192" t="s">
        <v>3674</v>
      </c>
      <c r="K7166" s="1192" t="s">
        <v>195</v>
      </c>
      <c r="M7166" s="1192">
        <v>5</v>
      </c>
      <c r="V7166" s="1192">
        <v>19</v>
      </c>
    </row>
    <row r="7167" spans="1:22" s="1192" customFormat="1" ht="17.399999999999999" x14ac:dyDescent="0.3">
      <c r="A7167" s="1192" t="s">
        <v>195</v>
      </c>
      <c r="C7167" s="1192" t="s">
        <v>2380</v>
      </c>
      <c r="E7167" s="1753" t="s">
        <v>2381</v>
      </c>
      <c r="F7167" s="1753"/>
      <c r="G7167" s="1753"/>
      <c r="H7167" s="1753"/>
      <c r="V7167" s="1192">
        <v>27</v>
      </c>
    </row>
    <row r="7168" spans="1:22" s="1192" customFormat="1" ht="15.6" x14ac:dyDescent="0.3">
      <c r="A7168" s="1192" t="s">
        <v>195</v>
      </c>
      <c r="C7168" s="1192" t="s">
        <v>2382</v>
      </c>
      <c r="E7168" s="1754" t="s">
        <v>6482</v>
      </c>
      <c r="F7168" s="1754"/>
      <c r="G7168" s="1754"/>
      <c r="H7168" s="1754"/>
      <c r="S7168" s="1192">
        <v>43952</v>
      </c>
      <c r="V7168" s="1192">
        <v>45</v>
      </c>
    </row>
    <row r="7169" spans="1:22" s="1192" customFormat="1" ht="14.4" x14ac:dyDescent="0.3">
      <c r="A7169" s="1192" t="s">
        <v>195</v>
      </c>
      <c r="C7169" s="1192" t="s">
        <v>2383</v>
      </c>
      <c r="E7169" s="1755" t="s">
        <v>2384</v>
      </c>
      <c r="F7169" s="1755"/>
      <c r="G7169" s="1755"/>
      <c r="H7169" s="1755"/>
      <c r="V7169" s="1192">
        <v>52</v>
      </c>
    </row>
    <row r="7170" spans="1:22" s="1192" customFormat="1" ht="14.4" x14ac:dyDescent="0.3">
      <c r="A7170" s="1192" t="s">
        <v>195</v>
      </c>
      <c r="E7170" s="1755" t="s">
        <v>2385</v>
      </c>
      <c r="F7170" s="1755"/>
      <c r="G7170" s="1755"/>
      <c r="H7170" s="1755"/>
      <c r="V7170" s="1192">
        <v>53</v>
      </c>
    </row>
    <row r="7171" spans="1:22" s="1192" customFormat="1" ht="14.4" x14ac:dyDescent="0.3">
      <c r="A7171" s="1192" t="s">
        <v>195</v>
      </c>
      <c r="E7171" s="1772" t="s">
        <v>6483</v>
      </c>
      <c r="F7171" s="1772"/>
      <c r="G7171" s="1772"/>
      <c r="H7171" s="1772"/>
      <c r="K7171" s="1192" t="s">
        <v>6483</v>
      </c>
      <c r="V7171" s="1192">
        <v>12</v>
      </c>
    </row>
    <row r="7172" spans="1:22" s="1192" customFormat="1" ht="14.4" x14ac:dyDescent="0.3">
      <c r="A7172" s="1192" t="s">
        <v>195</v>
      </c>
      <c r="E7172" s="1746" t="s">
        <v>427</v>
      </c>
      <c r="F7172" s="1743"/>
      <c r="G7172" s="1743"/>
      <c r="H7172" s="1743"/>
      <c r="K7172" s="1192" t="s">
        <v>2506</v>
      </c>
      <c r="V7172" s="1192">
        <v>34</v>
      </c>
    </row>
    <row r="7173" spans="1:22" s="1192" customFormat="1" ht="14.4" x14ac:dyDescent="0.3">
      <c r="A7173" s="1192" t="s">
        <v>195</v>
      </c>
      <c r="E7173" s="1743" t="s">
        <v>3912</v>
      </c>
      <c r="F7173" s="1743"/>
      <c r="G7173" s="1743"/>
      <c r="H7173" s="1743"/>
      <c r="K7173" s="1192" t="s">
        <v>2506</v>
      </c>
      <c r="V7173" s="1192">
        <v>585</v>
      </c>
    </row>
    <row r="7174" spans="1:22" s="1192" customFormat="1" ht="14.4" x14ac:dyDescent="0.3">
      <c r="A7174" s="1192" t="s">
        <v>195</v>
      </c>
      <c r="E7174" s="1750" t="s">
        <v>2389</v>
      </c>
      <c r="F7174" s="1743"/>
      <c r="G7174" s="1743"/>
      <c r="H7174" s="1743"/>
      <c r="K7174" s="1192" t="s">
        <v>2390</v>
      </c>
      <c r="V7174" s="1192">
        <v>11</v>
      </c>
    </row>
    <row r="7175" spans="1:22" s="1192" customFormat="1" ht="14.4" x14ac:dyDescent="0.3">
      <c r="A7175" s="1192" t="s">
        <v>195</v>
      </c>
      <c r="E7175" s="1743" t="s">
        <v>2391</v>
      </c>
      <c r="F7175" s="1743"/>
      <c r="G7175" s="1743"/>
      <c r="H7175" s="1743"/>
      <c r="K7175" s="1192" t="s">
        <v>2506</v>
      </c>
      <c r="V7175" s="1192">
        <v>280</v>
      </c>
    </row>
    <row r="7176" spans="1:22" s="1192" customFormat="1" ht="14.4" x14ac:dyDescent="0.3">
      <c r="A7176" s="1192" t="s">
        <v>195</v>
      </c>
      <c r="E7176" s="1743" t="s">
        <v>2392</v>
      </c>
      <c r="F7176" s="1743"/>
      <c r="G7176" s="1743"/>
      <c r="H7176" s="1743"/>
      <c r="K7176" s="1192" t="s">
        <v>2506</v>
      </c>
      <c r="V7176" s="1192">
        <v>411</v>
      </c>
    </row>
    <row r="7177" spans="1:22" s="1192" customFormat="1" ht="14.4" x14ac:dyDescent="0.3">
      <c r="A7177" s="1192" t="s">
        <v>195</v>
      </c>
      <c r="E7177" s="1743" t="s">
        <v>2393</v>
      </c>
      <c r="F7177" s="1743"/>
      <c r="G7177" s="1743"/>
      <c r="H7177" s="1743"/>
      <c r="K7177" s="1192" t="s">
        <v>2506</v>
      </c>
      <c r="V7177" s="1192">
        <v>387</v>
      </c>
    </row>
    <row r="7178" spans="1:22" s="1192" customFormat="1" ht="14.4" x14ac:dyDescent="0.3">
      <c r="A7178" s="1192" t="s">
        <v>195</v>
      </c>
      <c r="E7178" s="1743" t="s">
        <v>4500</v>
      </c>
      <c r="F7178" s="1743"/>
      <c r="G7178" s="1743"/>
      <c r="H7178" s="1743"/>
      <c r="K7178" s="1192" t="s">
        <v>2506</v>
      </c>
      <c r="V7178" s="1192">
        <v>247</v>
      </c>
    </row>
    <row r="7179" spans="1:22" s="1192" customFormat="1" ht="14.4" x14ac:dyDescent="0.3">
      <c r="A7179" s="1192" t="s">
        <v>195</v>
      </c>
      <c r="E7179" s="1750" t="s">
        <v>2394</v>
      </c>
      <c r="F7179" s="1743"/>
      <c r="G7179" s="1743"/>
      <c r="H7179" s="1743"/>
      <c r="K7179" s="1192" t="s">
        <v>2395</v>
      </c>
      <c r="V7179" s="1192">
        <v>46</v>
      </c>
    </row>
    <row r="7180" spans="1:22" s="1192" customFormat="1" ht="14.4" x14ac:dyDescent="0.3">
      <c r="A7180" s="1192" t="s">
        <v>195</v>
      </c>
      <c r="E7180" s="1741" t="s">
        <v>7</v>
      </c>
      <c r="F7180" s="1741"/>
      <c r="G7180" s="574" t="s">
        <v>19</v>
      </c>
      <c r="H7180" s="1218">
        <v>48.33</v>
      </c>
      <c r="K7180" s="1192" t="s">
        <v>2506</v>
      </c>
      <c r="L7180" s="1192" t="s">
        <v>430</v>
      </c>
      <c r="P7180" s="1192" t="s">
        <v>2510</v>
      </c>
      <c r="V7180" s="1192">
        <v>14</v>
      </c>
    </row>
    <row r="7181" spans="1:22" s="1192" customFormat="1" ht="14.4" x14ac:dyDescent="0.3">
      <c r="A7181" s="1192" t="s">
        <v>195</v>
      </c>
      <c r="E7181" s="1741" t="s">
        <v>3900</v>
      </c>
      <c r="F7181" s="1741"/>
      <c r="G7181" s="574" t="s">
        <v>19</v>
      </c>
      <c r="H7181" s="1218">
        <v>0.56999999999999995</v>
      </c>
      <c r="K7181" s="1192" t="s">
        <v>2506</v>
      </c>
      <c r="L7181" s="1192" t="s">
        <v>431</v>
      </c>
      <c r="P7181" s="1192" t="s">
        <v>2511</v>
      </c>
      <c r="T7181" s="1192">
        <v>44926</v>
      </c>
      <c r="V7181" s="1192">
        <v>64</v>
      </c>
    </row>
    <row r="7182" spans="1:22" s="1192" customFormat="1" ht="14.4" x14ac:dyDescent="0.3">
      <c r="A7182" s="1192" t="s">
        <v>195</v>
      </c>
      <c r="E7182" s="1741" t="s">
        <v>6484</v>
      </c>
      <c r="F7182" s="1998"/>
      <c r="G7182" s="574" t="s">
        <v>20</v>
      </c>
      <c r="H7182" s="1219">
        <v>-2.7000000000000001E-3</v>
      </c>
      <c r="K7182" s="1192" t="s">
        <v>2506</v>
      </c>
      <c r="L7182" s="1192" t="s">
        <v>431</v>
      </c>
      <c r="P7182" s="1192" t="s">
        <v>2514</v>
      </c>
      <c r="T7182" s="1192">
        <v>44316</v>
      </c>
      <c r="V7182" s="1192">
        <v>170</v>
      </c>
    </row>
    <row r="7183" spans="1:22" s="1192" customFormat="1" ht="14.4" x14ac:dyDescent="0.3">
      <c r="A7183" s="1192" t="s">
        <v>195</v>
      </c>
      <c r="E7183" s="1741" t="s">
        <v>6485</v>
      </c>
      <c r="F7183" s="1998"/>
      <c r="G7183" s="574" t="s">
        <v>20</v>
      </c>
      <c r="H7183" s="1219">
        <v>8.0000000000000004E-4</v>
      </c>
      <c r="K7183" s="1192" t="s">
        <v>2506</v>
      </c>
      <c r="L7183" s="1192" t="s">
        <v>431</v>
      </c>
      <c r="P7183" s="1192" t="s">
        <v>2516</v>
      </c>
      <c r="T7183" s="1192">
        <v>44316</v>
      </c>
      <c r="V7183" s="1192">
        <v>135</v>
      </c>
    </row>
    <row r="7184" spans="1:22" s="1192" customFormat="1" ht="14.4" x14ac:dyDescent="0.3">
      <c r="A7184" s="1192" t="s">
        <v>195</v>
      </c>
      <c r="E7184" s="1741" t="s">
        <v>213</v>
      </c>
      <c r="F7184" s="1741"/>
      <c r="G7184" s="524" t="s">
        <v>20</v>
      </c>
      <c r="H7184" s="1219">
        <v>6.6E-3</v>
      </c>
      <c r="K7184" s="1192" t="s">
        <v>2506</v>
      </c>
      <c r="L7184" s="1192" t="s">
        <v>432</v>
      </c>
      <c r="P7184" s="1192" t="s">
        <v>2517</v>
      </c>
      <c r="V7184" s="1192">
        <v>47</v>
      </c>
    </row>
    <row r="7185" spans="1:22" s="1192" customFormat="1" ht="14.4" x14ac:dyDescent="0.3">
      <c r="A7185" s="1192" t="s">
        <v>195</v>
      </c>
      <c r="E7185" s="1741" t="s">
        <v>219</v>
      </c>
      <c r="F7185" s="1741"/>
      <c r="G7185" s="524" t="s">
        <v>20</v>
      </c>
      <c r="H7185" s="1219">
        <v>4.4999999999999997E-3</v>
      </c>
      <c r="K7185" s="1192" t="s">
        <v>2506</v>
      </c>
      <c r="L7185" s="1192" t="s">
        <v>432</v>
      </c>
      <c r="P7185" s="1192" t="s">
        <v>3675</v>
      </c>
      <c r="V7185" s="1192">
        <v>65</v>
      </c>
    </row>
    <row r="7186" spans="1:22" s="1192" customFormat="1" ht="14.4" x14ac:dyDescent="0.3">
      <c r="A7186" s="1192" t="s">
        <v>195</v>
      </c>
      <c r="E7186" s="1750" t="s">
        <v>2405</v>
      </c>
      <c r="F7186" s="1741"/>
      <c r="G7186" s="1277"/>
      <c r="H7186" s="896"/>
      <c r="K7186" s="1192" t="s">
        <v>2406</v>
      </c>
      <c r="V7186" s="1192">
        <v>48</v>
      </c>
    </row>
    <row r="7187" spans="1:22" s="1192" customFormat="1" ht="14.4" x14ac:dyDescent="0.3">
      <c r="A7187" s="1192" t="s">
        <v>195</v>
      </c>
      <c r="E7187" s="1741" t="s">
        <v>2033</v>
      </c>
      <c r="F7187" s="1741"/>
      <c r="G7187" s="574" t="s">
        <v>20</v>
      </c>
      <c r="H7187" s="1219">
        <v>3.0000000000000001E-3</v>
      </c>
      <c r="K7187" s="1192" t="s">
        <v>2506</v>
      </c>
      <c r="L7187" s="1192" t="s">
        <v>2374</v>
      </c>
      <c r="P7187" s="1192" t="s">
        <v>2519</v>
      </c>
      <c r="V7187" s="1192">
        <v>55</v>
      </c>
    </row>
    <row r="7188" spans="1:22" s="1192" customFormat="1" ht="14.4" x14ac:dyDescent="0.3">
      <c r="A7188" s="1192" t="s">
        <v>195</v>
      </c>
      <c r="E7188" s="1741" t="s">
        <v>2034</v>
      </c>
      <c r="F7188" s="1741"/>
      <c r="G7188" s="574" t="s">
        <v>20</v>
      </c>
      <c r="H7188" s="1219">
        <v>4.0000000000000002E-4</v>
      </c>
      <c r="K7188" s="1192" t="s">
        <v>2506</v>
      </c>
      <c r="L7188" s="1192" t="s">
        <v>2374</v>
      </c>
      <c r="P7188" s="1192" t="s">
        <v>2519</v>
      </c>
      <c r="V7188" s="1192">
        <v>65</v>
      </c>
    </row>
    <row r="7189" spans="1:22" s="1192" customFormat="1" ht="14.4" x14ac:dyDescent="0.3">
      <c r="A7189" s="1192" t="s">
        <v>195</v>
      </c>
      <c r="E7189" s="1741" t="s">
        <v>428</v>
      </c>
      <c r="F7189" s="1741"/>
      <c r="G7189" s="574" t="s">
        <v>20</v>
      </c>
      <c r="H7189" s="1219">
        <v>5.0000000000000001E-4</v>
      </c>
      <c r="K7189" s="1192" t="s">
        <v>2506</v>
      </c>
      <c r="L7189" s="1192" t="s">
        <v>2374</v>
      </c>
      <c r="P7189" s="1192" t="s">
        <v>2520</v>
      </c>
      <c r="V7189" s="1192">
        <v>57</v>
      </c>
    </row>
    <row r="7190" spans="1:22" s="1192" customFormat="1" ht="14.4" x14ac:dyDescent="0.3">
      <c r="A7190" s="1192" t="s">
        <v>195</v>
      </c>
      <c r="E7190" s="1741" t="s">
        <v>28</v>
      </c>
      <c r="F7190" s="1741"/>
      <c r="G7190" s="1277" t="s">
        <v>19</v>
      </c>
      <c r="H7190" s="1218">
        <v>0.25</v>
      </c>
      <c r="K7190" s="1192" t="s">
        <v>2506</v>
      </c>
      <c r="L7190" s="1192" t="s">
        <v>2374</v>
      </c>
      <c r="P7190" s="1192" t="s">
        <v>2521</v>
      </c>
      <c r="V7190" s="1192">
        <v>63</v>
      </c>
    </row>
    <row r="7191" spans="1:22" s="1192" customFormat="1" ht="17.399999999999999" x14ac:dyDescent="0.3">
      <c r="A7191" s="1192" t="s">
        <v>195</v>
      </c>
      <c r="E7191" s="1746" t="s">
        <v>2522</v>
      </c>
      <c r="F7191" s="1747"/>
      <c r="G7191" s="1747"/>
      <c r="H7191" s="1747"/>
      <c r="K7191" s="1192" t="s">
        <v>3901</v>
      </c>
      <c r="V7191" s="1192">
        <v>54</v>
      </c>
    </row>
    <row r="7192" spans="1:22" s="1192" customFormat="1" ht="14.4" x14ac:dyDescent="0.3">
      <c r="A7192" s="1192" t="s">
        <v>195</v>
      </c>
      <c r="E7192" s="1743" t="s">
        <v>4631</v>
      </c>
      <c r="F7192" s="1743"/>
      <c r="G7192" s="1743"/>
      <c r="H7192" s="1743"/>
      <c r="K7192" s="1192" t="s">
        <v>3901</v>
      </c>
      <c r="V7192" s="1192">
        <v>271</v>
      </c>
    </row>
    <row r="7193" spans="1:22" s="1192" customFormat="1" ht="14.4" x14ac:dyDescent="0.3">
      <c r="A7193" s="1192" t="s">
        <v>195</v>
      </c>
      <c r="E7193" s="1750" t="s">
        <v>2389</v>
      </c>
      <c r="F7193" s="1743"/>
      <c r="G7193" s="1743"/>
      <c r="H7193" s="1743"/>
      <c r="K7193" s="1192" t="s">
        <v>2412</v>
      </c>
      <c r="V7193" s="1192">
        <v>11</v>
      </c>
    </row>
    <row r="7194" spans="1:22" s="1192" customFormat="1" ht="14.4" x14ac:dyDescent="0.3">
      <c r="A7194" s="1192" t="s">
        <v>195</v>
      </c>
      <c r="E7194" s="1743" t="s">
        <v>2391</v>
      </c>
      <c r="F7194" s="1743"/>
      <c r="G7194" s="1743"/>
      <c r="H7194" s="1743"/>
      <c r="K7194" s="1192" t="s">
        <v>3901</v>
      </c>
      <c r="V7194" s="1192">
        <v>280</v>
      </c>
    </row>
    <row r="7195" spans="1:22" s="1192" customFormat="1" ht="14.4" x14ac:dyDescent="0.3">
      <c r="A7195" s="1192" t="s">
        <v>195</v>
      </c>
      <c r="E7195" s="1743" t="s">
        <v>2392</v>
      </c>
      <c r="F7195" s="1743"/>
      <c r="G7195" s="1743"/>
      <c r="H7195" s="1743"/>
      <c r="K7195" s="1192" t="s">
        <v>3901</v>
      </c>
      <c r="V7195" s="1192">
        <v>411</v>
      </c>
    </row>
    <row r="7196" spans="1:22" s="1192" customFormat="1" ht="14.4" x14ac:dyDescent="0.3">
      <c r="A7196" s="1192" t="s">
        <v>195</v>
      </c>
      <c r="E7196" s="1743" t="s">
        <v>2393</v>
      </c>
      <c r="F7196" s="1743"/>
      <c r="G7196" s="1743"/>
      <c r="H7196" s="1743"/>
      <c r="K7196" s="1192" t="s">
        <v>3901</v>
      </c>
      <c r="V7196" s="1192">
        <v>387</v>
      </c>
    </row>
    <row r="7197" spans="1:22" s="1192" customFormat="1" ht="14.4" x14ac:dyDescent="0.3">
      <c r="A7197" s="1192" t="s">
        <v>195</v>
      </c>
      <c r="E7197" s="1743" t="s">
        <v>4500</v>
      </c>
      <c r="F7197" s="1743"/>
      <c r="G7197" s="1743"/>
      <c r="H7197" s="1743"/>
      <c r="K7197" s="1192" t="s">
        <v>3901</v>
      </c>
      <c r="V7197" s="1192">
        <v>247</v>
      </c>
    </row>
    <row r="7198" spans="1:22" s="1192" customFormat="1" ht="14.4" x14ac:dyDescent="0.3">
      <c r="A7198" s="1192" t="s">
        <v>195</v>
      </c>
      <c r="E7198" s="1750" t="s">
        <v>2394</v>
      </c>
      <c r="F7198" s="2037"/>
      <c r="G7198" s="1743"/>
      <c r="H7198" s="1743"/>
      <c r="K7198" s="1192" t="s">
        <v>2413</v>
      </c>
      <c r="V7198" s="1192">
        <v>46</v>
      </c>
    </row>
    <row r="7199" spans="1:22" s="1192" customFormat="1" ht="14.4" x14ac:dyDescent="0.3">
      <c r="A7199" s="1192" t="s">
        <v>195</v>
      </c>
      <c r="E7199" s="1741" t="s">
        <v>7</v>
      </c>
      <c r="F7199" s="1741"/>
      <c r="G7199" s="574" t="s">
        <v>19</v>
      </c>
      <c r="H7199" s="1218">
        <v>78.930000000000007</v>
      </c>
      <c r="K7199" s="1192" t="s">
        <v>3901</v>
      </c>
      <c r="L7199" s="1192" t="s">
        <v>430</v>
      </c>
      <c r="P7199" s="1192" t="s">
        <v>3902</v>
      </c>
      <c r="V7199" s="1192">
        <v>14</v>
      </c>
    </row>
    <row r="7200" spans="1:22" s="1192" customFormat="1" ht="14.4" x14ac:dyDescent="0.3">
      <c r="A7200" s="1192" t="s">
        <v>195</v>
      </c>
      <c r="E7200" s="1741" t="s">
        <v>3900</v>
      </c>
      <c r="F7200" s="1741"/>
      <c r="G7200" s="574" t="s">
        <v>19</v>
      </c>
      <c r="H7200" s="1218">
        <v>0.56999999999999995</v>
      </c>
      <c r="K7200" s="1192" t="s">
        <v>3901</v>
      </c>
      <c r="L7200" s="1192" t="s">
        <v>431</v>
      </c>
      <c r="P7200" s="1192" t="s">
        <v>3903</v>
      </c>
      <c r="T7200" s="1192">
        <v>44926</v>
      </c>
      <c r="V7200" s="1192">
        <v>64</v>
      </c>
    </row>
    <row r="7201" spans="1:22" s="1192" customFormat="1" ht="14.4" x14ac:dyDescent="0.3">
      <c r="A7201" s="1192" t="s">
        <v>195</v>
      </c>
      <c r="E7201" s="1741" t="s">
        <v>80</v>
      </c>
      <c r="F7201" s="1741"/>
      <c r="G7201" s="524" t="s">
        <v>20</v>
      </c>
      <c r="H7201" s="1219">
        <v>4.7999999999999996E-3</v>
      </c>
      <c r="K7201" s="1192" t="s">
        <v>3901</v>
      </c>
      <c r="L7201" s="1192" t="s">
        <v>430</v>
      </c>
      <c r="P7201" s="1192" t="s">
        <v>3904</v>
      </c>
      <c r="V7201" s="1192">
        <v>28</v>
      </c>
    </row>
    <row r="7202" spans="1:22" s="1192" customFormat="1" ht="14.4" x14ac:dyDescent="0.3">
      <c r="A7202" s="1192" t="s">
        <v>195</v>
      </c>
      <c r="E7202" s="1741" t="s">
        <v>6484</v>
      </c>
      <c r="F7202" s="1998"/>
      <c r="G7202" s="524" t="s">
        <v>20</v>
      </c>
      <c r="H7202" s="1219">
        <v>-2.7000000000000001E-3</v>
      </c>
      <c r="K7202" s="1192" t="s">
        <v>3901</v>
      </c>
      <c r="L7202" s="1192" t="s">
        <v>431</v>
      </c>
      <c r="P7202" s="1192" t="s">
        <v>3700</v>
      </c>
      <c r="T7202" s="1192">
        <v>44316</v>
      </c>
      <c r="V7202" s="1192">
        <v>170</v>
      </c>
    </row>
    <row r="7203" spans="1:22" s="1192" customFormat="1" ht="14.4" x14ac:dyDescent="0.3">
      <c r="A7203" s="1192" t="s">
        <v>195</v>
      </c>
      <c r="E7203" s="1741" t="s">
        <v>6486</v>
      </c>
      <c r="F7203" s="1998"/>
      <c r="G7203" s="524" t="s">
        <v>20</v>
      </c>
      <c r="H7203" s="1219">
        <v>8.9999999999999998E-4</v>
      </c>
      <c r="K7203" s="1192" t="s">
        <v>3901</v>
      </c>
      <c r="L7203" s="1192" t="s">
        <v>431</v>
      </c>
      <c r="P7203" s="1192" t="s">
        <v>3911</v>
      </c>
      <c r="T7203" s="1192">
        <v>44316</v>
      </c>
      <c r="V7203" s="1192">
        <v>133</v>
      </c>
    </row>
    <row r="7204" spans="1:22" s="1192" customFormat="1" ht="14.4" x14ac:dyDescent="0.3">
      <c r="A7204" s="1192" t="s">
        <v>195</v>
      </c>
      <c r="E7204" s="1741" t="s">
        <v>213</v>
      </c>
      <c r="F7204" s="1741"/>
      <c r="G7204" s="524" t="s">
        <v>20</v>
      </c>
      <c r="H7204" s="1219">
        <v>5.7999999999999996E-3</v>
      </c>
      <c r="K7204" s="1192" t="s">
        <v>3901</v>
      </c>
      <c r="L7204" s="1192" t="s">
        <v>432</v>
      </c>
      <c r="P7204" s="1192" t="s">
        <v>3906</v>
      </c>
      <c r="V7204" s="1192">
        <v>47</v>
      </c>
    </row>
    <row r="7205" spans="1:22" s="1192" customFormat="1" ht="14.4" x14ac:dyDescent="0.3">
      <c r="A7205" s="1192" t="s">
        <v>195</v>
      </c>
      <c r="E7205" s="1741" t="s">
        <v>219</v>
      </c>
      <c r="F7205" s="1741"/>
      <c r="G7205" s="524" t="s">
        <v>20</v>
      </c>
      <c r="H7205" s="1219">
        <v>3.8E-3</v>
      </c>
      <c r="K7205" s="1192" t="s">
        <v>3901</v>
      </c>
      <c r="L7205" s="1192" t="s">
        <v>432</v>
      </c>
      <c r="P7205" s="1192" t="s">
        <v>3913</v>
      </c>
      <c r="V7205" s="1192">
        <v>65</v>
      </c>
    </row>
    <row r="7206" spans="1:22" s="1192" customFormat="1" ht="14.4" x14ac:dyDescent="0.3">
      <c r="A7206" s="1192" t="s">
        <v>195</v>
      </c>
      <c r="E7206" s="1750" t="s">
        <v>2405</v>
      </c>
      <c r="F7206" s="2008"/>
      <c r="G7206" s="1277"/>
      <c r="H7206" s="896"/>
      <c r="K7206" s="1192" t="s">
        <v>2418</v>
      </c>
      <c r="V7206" s="1192">
        <v>48</v>
      </c>
    </row>
    <row r="7207" spans="1:22" s="1192" customFormat="1" ht="14.4" x14ac:dyDescent="0.3">
      <c r="A7207" s="1192" t="s">
        <v>195</v>
      </c>
      <c r="E7207" s="1741" t="s">
        <v>2033</v>
      </c>
      <c r="F7207" s="1741"/>
      <c r="G7207" s="574" t="s">
        <v>20</v>
      </c>
      <c r="H7207" s="1219">
        <v>3.0000000000000001E-3</v>
      </c>
      <c r="K7207" s="1192" t="s">
        <v>3901</v>
      </c>
      <c r="L7207" s="1192" t="s">
        <v>2374</v>
      </c>
      <c r="P7207" s="1192" t="s">
        <v>3908</v>
      </c>
      <c r="V7207" s="1192">
        <v>55</v>
      </c>
    </row>
    <row r="7208" spans="1:22" s="1192" customFormat="1" ht="14.4" x14ac:dyDescent="0.3">
      <c r="A7208" s="1192" t="s">
        <v>195</v>
      </c>
      <c r="E7208" s="1741" t="s">
        <v>2034</v>
      </c>
      <c r="F7208" s="1741"/>
      <c r="G7208" s="574" t="s">
        <v>20</v>
      </c>
      <c r="H7208" s="1219">
        <v>4.0000000000000002E-4</v>
      </c>
      <c r="K7208" s="1192" t="s">
        <v>3901</v>
      </c>
      <c r="L7208" s="1192" t="s">
        <v>2374</v>
      </c>
      <c r="P7208" s="1192" t="s">
        <v>3908</v>
      </c>
      <c r="V7208" s="1192">
        <v>65</v>
      </c>
    </row>
    <row r="7209" spans="1:22" s="1192" customFormat="1" ht="14.4" x14ac:dyDescent="0.3">
      <c r="A7209" s="1192" t="s">
        <v>195</v>
      </c>
      <c r="E7209" s="1741" t="s">
        <v>428</v>
      </c>
      <c r="F7209" s="1741"/>
      <c r="G7209" s="574" t="s">
        <v>20</v>
      </c>
      <c r="H7209" s="1219">
        <v>5.0000000000000001E-4</v>
      </c>
      <c r="K7209" s="1192" t="s">
        <v>3901</v>
      </c>
      <c r="L7209" s="1192" t="s">
        <v>2374</v>
      </c>
      <c r="P7209" s="1192" t="s">
        <v>3909</v>
      </c>
      <c r="V7209" s="1192">
        <v>57</v>
      </c>
    </row>
    <row r="7210" spans="1:22" s="1192" customFormat="1" ht="14.4" x14ac:dyDescent="0.3">
      <c r="A7210" s="1192" t="s">
        <v>195</v>
      </c>
      <c r="E7210" s="1741" t="s">
        <v>28</v>
      </c>
      <c r="F7210" s="1741"/>
      <c r="G7210" s="1277" t="s">
        <v>19</v>
      </c>
      <c r="H7210" s="1218">
        <v>0.25</v>
      </c>
      <c r="K7210" s="1192" t="s">
        <v>3901</v>
      </c>
      <c r="L7210" s="1192" t="s">
        <v>2374</v>
      </c>
      <c r="P7210" s="1192" t="s">
        <v>3910</v>
      </c>
      <c r="V7210" s="1192">
        <v>63</v>
      </c>
    </row>
    <row r="7211" spans="1:22" s="1192" customFormat="1" ht="17.399999999999999" x14ac:dyDescent="0.3">
      <c r="A7211" s="1192" t="s">
        <v>195</v>
      </c>
      <c r="E7211" s="1746" t="s">
        <v>591</v>
      </c>
      <c r="F7211" s="1747"/>
      <c r="G7211" s="1747"/>
      <c r="H7211" s="1747"/>
      <c r="K7211" s="1192" t="s">
        <v>4388</v>
      </c>
      <c r="V7211" s="1192">
        <v>53</v>
      </c>
    </row>
    <row r="7212" spans="1:22" s="1192" customFormat="1" ht="14.4" x14ac:dyDescent="0.3">
      <c r="A7212" s="1192" t="s">
        <v>195</v>
      </c>
      <c r="E7212" s="1743" t="s">
        <v>3676</v>
      </c>
      <c r="F7212" s="1743"/>
      <c r="G7212" s="1743"/>
      <c r="H7212" s="1743"/>
      <c r="K7212" s="1192" t="s">
        <v>4388</v>
      </c>
      <c r="V7212" s="1192">
        <v>308</v>
      </c>
    </row>
    <row r="7213" spans="1:22" s="1192" customFormat="1" ht="14.4" x14ac:dyDescent="0.3">
      <c r="A7213" s="1192" t="s">
        <v>195</v>
      </c>
      <c r="E7213" s="1750" t="s">
        <v>2389</v>
      </c>
      <c r="F7213" s="1743"/>
      <c r="G7213" s="1743"/>
      <c r="H7213" s="1743"/>
      <c r="K7213" s="1192" t="s">
        <v>2422</v>
      </c>
      <c r="V7213" s="1192">
        <v>11</v>
      </c>
    </row>
    <row r="7214" spans="1:22" s="1192" customFormat="1" ht="14.4" x14ac:dyDescent="0.3">
      <c r="A7214" s="1192" t="s">
        <v>195</v>
      </c>
      <c r="E7214" s="1743" t="s">
        <v>2391</v>
      </c>
      <c r="F7214" s="1743"/>
      <c r="G7214" s="1743"/>
      <c r="H7214" s="1743"/>
      <c r="K7214" s="1192" t="s">
        <v>4388</v>
      </c>
      <c r="V7214" s="1192">
        <v>280</v>
      </c>
    </row>
    <row r="7215" spans="1:22" s="1192" customFormat="1" ht="14.4" x14ac:dyDescent="0.3">
      <c r="A7215" s="1192" t="s">
        <v>195</v>
      </c>
      <c r="E7215" s="1743" t="s">
        <v>2392</v>
      </c>
      <c r="F7215" s="1743"/>
      <c r="G7215" s="1743"/>
      <c r="H7215" s="1743"/>
      <c r="K7215" s="1192" t="s">
        <v>4388</v>
      </c>
      <c r="V7215" s="1192">
        <v>411</v>
      </c>
    </row>
    <row r="7216" spans="1:22" s="1192" customFormat="1" ht="14.4" x14ac:dyDescent="0.3">
      <c r="A7216" s="1192" t="s">
        <v>195</v>
      </c>
      <c r="E7216" s="1743" t="s">
        <v>2393</v>
      </c>
      <c r="F7216" s="1743"/>
      <c r="G7216" s="1743"/>
      <c r="H7216" s="1743"/>
      <c r="K7216" s="1192" t="s">
        <v>4388</v>
      </c>
      <c r="V7216" s="1192">
        <v>387</v>
      </c>
    </row>
    <row r="7217" spans="1:22" s="1192" customFormat="1" ht="14.4" x14ac:dyDescent="0.3">
      <c r="A7217" s="1192" t="s">
        <v>195</v>
      </c>
      <c r="E7217" s="1743" t="s">
        <v>4632</v>
      </c>
      <c r="F7217" s="1743"/>
      <c r="G7217" s="1743"/>
      <c r="H7217" s="1743"/>
      <c r="K7217" s="1192" t="s">
        <v>4388</v>
      </c>
      <c r="V7217" s="1192">
        <v>680</v>
      </c>
    </row>
    <row r="7218" spans="1:22" s="1192" customFormat="1" ht="14.4" x14ac:dyDescent="0.3">
      <c r="A7218" s="1192" t="s">
        <v>195</v>
      </c>
      <c r="E7218" s="1743" t="s">
        <v>4504</v>
      </c>
      <c r="F7218" s="1743"/>
      <c r="G7218" s="1743"/>
      <c r="H7218" s="1743"/>
      <c r="K7218" s="1192" t="s">
        <v>4388</v>
      </c>
      <c r="V7218" s="1192">
        <v>725</v>
      </c>
    </row>
    <row r="7219" spans="1:22" s="1192" customFormat="1" ht="14.4" x14ac:dyDescent="0.3">
      <c r="A7219" s="1192" t="s">
        <v>195</v>
      </c>
      <c r="E7219" s="1743" t="s">
        <v>4500</v>
      </c>
      <c r="F7219" s="1743"/>
      <c r="G7219" s="1743"/>
      <c r="H7219" s="1743"/>
      <c r="K7219" s="1192" t="s">
        <v>4388</v>
      </c>
      <c r="V7219" s="1192">
        <v>247</v>
      </c>
    </row>
    <row r="7220" spans="1:22" s="1192" customFormat="1" ht="14.4" x14ac:dyDescent="0.3">
      <c r="A7220" s="1192" t="s">
        <v>195</v>
      </c>
      <c r="E7220" s="1750" t="s">
        <v>2394</v>
      </c>
      <c r="F7220" s="1743"/>
      <c r="G7220" s="1743"/>
      <c r="H7220" s="1743"/>
      <c r="K7220" s="1192" t="s">
        <v>2423</v>
      </c>
      <c r="V7220" s="1192">
        <v>46</v>
      </c>
    </row>
    <row r="7221" spans="1:22" s="1192" customFormat="1" ht="14.4" x14ac:dyDescent="0.3">
      <c r="A7221" s="1192" t="s">
        <v>195</v>
      </c>
      <c r="E7221" s="1741" t="s">
        <v>7</v>
      </c>
      <c r="F7221" s="1741"/>
      <c r="G7221" s="574" t="s">
        <v>19</v>
      </c>
      <c r="H7221" s="1218">
        <v>583.64</v>
      </c>
      <c r="K7221" s="1192" t="s">
        <v>4388</v>
      </c>
      <c r="L7221" s="1192" t="s">
        <v>430</v>
      </c>
      <c r="P7221" s="1192" t="s">
        <v>4389</v>
      </c>
      <c r="V7221" s="1192">
        <v>14</v>
      </c>
    </row>
    <row r="7222" spans="1:22" s="1192" customFormat="1" ht="14.4" x14ac:dyDescent="0.3">
      <c r="A7222" s="1192" t="s">
        <v>195</v>
      </c>
      <c r="E7222" s="1741" t="s">
        <v>80</v>
      </c>
      <c r="F7222" s="1741"/>
      <c r="G7222" s="574" t="s">
        <v>29</v>
      </c>
      <c r="H7222" s="1219">
        <v>3.8794</v>
      </c>
      <c r="K7222" s="1192" t="s">
        <v>4388</v>
      </c>
      <c r="L7222" s="1192" t="s">
        <v>430</v>
      </c>
      <c r="P7222" s="1192" t="s">
        <v>4390</v>
      </c>
      <c r="V7222" s="1192">
        <v>28</v>
      </c>
    </row>
    <row r="7223" spans="1:22" s="1192" customFormat="1" ht="14.4" x14ac:dyDescent="0.3">
      <c r="A7223" s="1192" t="s">
        <v>195</v>
      </c>
      <c r="E7223" s="1741" t="s">
        <v>6484</v>
      </c>
      <c r="F7223" s="1998"/>
      <c r="G7223" s="574" t="s">
        <v>20</v>
      </c>
      <c r="H7223" s="1219">
        <v>-2.7000000000000001E-3</v>
      </c>
      <c r="K7223" s="1192" t="s">
        <v>4388</v>
      </c>
      <c r="L7223" s="1192" t="s">
        <v>431</v>
      </c>
      <c r="P7223" s="1192" t="s">
        <v>4397</v>
      </c>
      <c r="T7223" s="1192">
        <v>44316</v>
      </c>
      <c r="V7223" s="1192">
        <v>170</v>
      </c>
    </row>
    <row r="7224" spans="1:22" s="1192" customFormat="1" ht="14.4" x14ac:dyDescent="0.3">
      <c r="A7224" s="1192" t="s">
        <v>195</v>
      </c>
      <c r="E7224" s="1741" t="s">
        <v>6486</v>
      </c>
      <c r="F7224" s="1998"/>
      <c r="G7224" s="574" t="s">
        <v>29</v>
      </c>
      <c r="H7224" s="1219">
        <v>0.26190000000000002</v>
      </c>
      <c r="K7224" s="1192" t="s">
        <v>4388</v>
      </c>
      <c r="L7224" s="1192" t="s">
        <v>431</v>
      </c>
      <c r="P7224" s="1192" t="s">
        <v>4398</v>
      </c>
      <c r="T7224" s="1192">
        <v>44316</v>
      </c>
      <c r="V7224" s="1192">
        <v>133</v>
      </c>
    </row>
    <row r="7225" spans="1:22" s="1192" customFormat="1" ht="14.4" x14ac:dyDescent="0.3">
      <c r="A7225" s="1192" t="s">
        <v>195</v>
      </c>
      <c r="E7225" s="1741" t="s">
        <v>213</v>
      </c>
      <c r="F7225" s="1741"/>
      <c r="G7225" s="574" t="s">
        <v>29</v>
      </c>
      <c r="H7225" s="1219">
        <v>2.3774000000000002</v>
      </c>
      <c r="K7225" s="1192" t="s">
        <v>4388</v>
      </c>
      <c r="L7225" s="1192" t="s">
        <v>432</v>
      </c>
      <c r="P7225" s="1192" t="s">
        <v>4392</v>
      </c>
      <c r="V7225" s="1192">
        <v>47</v>
      </c>
    </row>
    <row r="7226" spans="1:22" s="1192" customFormat="1" ht="14.4" x14ac:dyDescent="0.3">
      <c r="A7226" s="1192" t="s">
        <v>195</v>
      </c>
      <c r="E7226" s="1741" t="s">
        <v>209</v>
      </c>
      <c r="F7226" s="1741"/>
      <c r="G7226" s="574" t="s">
        <v>29</v>
      </c>
      <c r="H7226" s="1219">
        <v>1.5513999999999999</v>
      </c>
      <c r="K7226" s="1192" t="s">
        <v>4388</v>
      </c>
      <c r="L7226" s="1192" t="s">
        <v>432</v>
      </c>
      <c r="P7226" s="1192" t="s">
        <v>4393</v>
      </c>
      <c r="V7226" s="1192">
        <v>74</v>
      </c>
    </row>
    <row r="7227" spans="1:22" s="1192" customFormat="1" ht="14.4" x14ac:dyDescent="0.3">
      <c r="A7227" s="1192" t="s">
        <v>195</v>
      </c>
      <c r="E7227" s="1741" t="s">
        <v>215</v>
      </c>
      <c r="F7227" s="1741"/>
      <c r="G7227" s="574" t="s">
        <v>29</v>
      </c>
      <c r="H7227" s="1219">
        <v>2.5222000000000002</v>
      </c>
      <c r="K7227" s="1192" t="s">
        <v>4388</v>
      </c>
      <c r="L7227" s="1192" t="s">
        <v>432</v>
      </c>
      <c r="P7227" s="1192" t="s">
        <v>4392</v>
      </c>
      <c r="V7227" s="1192">
        <v>66</v>
      </c>
    </row>
    <row r="7228" spans="1:22" s="1192" customFormat="1" ht="14.4" x14ac:dyDescent="0.3">
      <c r="A7228" s="1192" t="s">
        <v>195</v>
      </c>
      <c r="E7228" s="1741" t="s">
        <v>211</v>
      </c>
      <c r="F7228" s="1741"/>
      <c r="G7228" s="574" t="s">
        <v>29</v>
      </c>
      <c r="H7228" s="1219">
        <v>1.7146999999999999</v>
      </c>
      <c r="K7228" s="1192" t="s">
        <v>4388</v>
      </c>
      <c r="L7228" s="1192" t="s">
        <v>432</v>
      </c>
      <c r="P7228" s="1192" t="s">
        <v>4393</v>
      </c>
      <c r="V7228" s="1192">
        <v>93</v>
      </c>
    </row>
    <row r="7229" spans="1:22" s="1192" customFormat="1" ht="14.4" x14ac:dyDescent="0.3">
      <c r="A7229" s="1192" t="s">
        <v>195</v>
      </c>
      <c r="E7229" s="1750" t="s">
        <v>2405</v>
      </c>
      <c r="F7229" s="1741"/>
      <c r="G7229" s="1277"/>
      <c r="H7229" s="896"/>
      <c r="K7229" s="1192" t="s">
        <v>2526</v>
      </c>
      <c r="V7229" s="1192">
        <v>48</v>
      </c>
    </row>
    <row r="7230" spans="1:22" s="1192" customFormat="1" ht="14.4" x14ac:dyDescent="0.3">
      <c r="A7230" s="1192" t="s">
        <v>195</v>
      </c>
      <c r="E7230" s="1741" t="s">
        <v>2033</v>
      </c>
      <c r="F7230" s="1741"/>
      <c r="G7230" s="574" t="s">
        <v>20</v>
      </c>
      <c r="H7230" s="1219">
        <v>3.0000000000000001E-3</v>
      </c>
      <c r="K7230" s="1192" t="s">
        <v>4388</v>
      </c>
      <c r="L7230" s="1192" t="s">
        <v>2374</v>
      </c>
      <c r="P7230" s="1192" t="s">
        <v>4394</v>
      </c>
      <c r="V7230" s="1192">
        <v>55</v>
      </c>
    </row>
    <row r="7231" spans="1:22" s="1192" customFormat="1" ht="14.4" x14ac:dyDescent="0.3">
      <c r="A7231" s="1192" t="s">
        <v>195</v>
      </c>
      <c r="E7231" s="1741" t="s">
        <v>2034</v>
      </c>
      <c r="F7231" s="1741"/>
      <c r="G7231" s="574" t="s">
        <v>20</v>
      </c>
      <c r="H7231" s="1219">
        <v>4.0000000000000002E-4</v>
      </c>
      <c r="K7231" s="1192" t="s">
        <v>4388</v>
      </c>
      <c r="L7231" s="1192" t="s">
        <v>2374</v>
      </c>
      <c r="P7231" s="1192" t="s">
        <v>4394</v>
      </c>
      <c r="V7231" s="1192">
        <v>65</v>
      </c>
    </row>
    <row r="7232" spans="1:22" s="1192" customFormat="1" ht="14.4" x14ac:dyDescent="0.3">
      <c r="A7232" s="1192" t="s">
        <v>195</v>
      </c>
      <c r="E7232" s="1741" t="s">
        <v>428</v>
      </c>
      <c r="F7232" s="1741"/>
      <c r="G7232" s="574" t="s">
        <v>20</v>
      </c>
      <c r="H7232" s="1219">
        <v>5.0000000000000001E-4</v>
      </c>
      <c r="K7232" s="1192" t="s">
        <v>4388</v>
      </c>
      <c r="L7232" s="1192" t="s">
        <v>2374</v>
      </c>
      <c r="P7232" s="1192" t="s">
        <v>4395</v>
      </c>
      <c r="V7232" s="1192">
        <v>57</v>
      </c>
    </row>
    <row r="7233" spans="1:22" s="1192" customFormat="1" ht="14.4" x14ac:dyDescent="0.3">
      <c r="A7233" s="1192" t="s">
        <v>195</v>
      </c>
      <c r="E7233" s="1741" t="s">
        <v>28</v>
      </c>
      <c r="F7233" s="1741"/>
      <c r="G7233" s="574" t="s">
        <v>19</v>
      </c>
      <c r="H7233" s="1218">
        <v>0.25</v>
      </c>
      <c r="K7233" s="1192" t="s">
        <v>4388</v>
      </c>
      <c r="L7233" s="1192" t="s">
        <v>2374</v>
      </c>
      <c r="P7233" s="1192" t="s">
        <v>4396</v>
      </c>
      <c r="V7233" s="1192">
        <v>63</v>
      </c>
    </row>
    <row r="7234" spans="1:22" s="1192" customFormat="1" ht="17.399999999999999" x14ac:dyDescent="0.3">
      <c r="A7234" s="1192" t="s">
        <v>195</v>
      </c>
      <c r="E7234" s="1746" t="s">
        <v>590</v>
      </c>
      <c r="F7234" s="1747"/>
      <c r="G7234" s="1747"/>
      <c r="H7234" s="1747"/>
      <c r="K7234" s="1192" t="s">
        <v>3465</v>
      </c>
      <c r="V7234" s="1192">
        <v>38</v>
      </c>
    </row>
    <row r="7235" spans="1:22" s="1192" customFormat="1" ht="14.4" x14ac:dyDescent="0.3">
      <c r="A7235" s="1192" t="s">
        <v>195</v>
      </c>
      <c r="E7235" s="1743" t="s">
        <v>3677</v>
      </c>
      <c r="F7235" s="1743"/>
      <c r="G7235" s="1743"/>
      <c r="H7235" s="1743"/>
      <c r="K7235" s="1192" t="s">
        <v>3465</v>
      </c>
      <c r="V7235" s="1192">
        <v>479</v>
      </c>
    </row>
    <row r="7236" spans="1:22" s="1192" customFormat="1" ht="14.4" x14ac:dyDescent="0.3">
      <c r="A7236" s="1192" t="s">
        <v>195</v>
      </c>
      <c r="E7236" s="1750" t="s">
        <v>2389</v>
      </c>
      <c r="F7236" s="1743"/>
      <c r="G7236" s="1743"/>
      <c r="H7236" s="1743"/>
      <c r="K7236" s="1192" t="s">
        <v>2529</v>
      </c>
      <c r="V7236" s="1192">
        <v>11</v>
      </c>
    </row>
    <row r="7237" spans="1:22" s="1192" customFormat="1" ht="14.4" x14ac:dyDescent="0.3">
      <c r="A7237" s="1192" t="s">
        <v>195</v>
      </c>
      <c r="E7237" s="1743" t="s">
        <v>2391</v>
      </c>
      <c r="F7237" s="1743"/>
      <c r="G7237" s="1743"/>
      <c r="H7237" s="1743"/>
      <c r="K7237" s="1192" t="s">
        <v>3465</v>
      </c>
      <c r="V7237" s="1192">
        <v>280</v>
      </c>
    </row>
    <row r="7238" spans="1:22" s="1192" customFormat="1" ht="14.4" x14ac:dyDescent="0.3">
      <c r="A7238" s="1192" t="s">
        <v>195</v>
      </c>
      <c r="E7238" s="1743" t="s">
        <v>2392</v>
      </c>
      <c r="F7238" s="1743"/>
      <c r="G7238" s="1743"/>
      <c r="H7238" s="1743"/>
      <c r="K7238" s="1192" t="s">
        <v>3465</v>
      </c>
      <c r="V7238" s="1192">
        <v>411</v>
      </c>
    </row>
    <row r="7239" spans="1:22" s="1192" customFormat="1" ht="14.4" x14ac:dyDescent="0.3">
      <c r="A7239" s="1192" t="s">
        <v>195</v>
      </c>
      <c r="E7239" s="1743" t="s">
        <v>2393</v>
      </c>
      <c r="F7239" s="1743"/>
      <c r="G7239" s="1743"/>
      <c r="H7239" s="1743"/>
      <c r="K7239" s="1192" t="s">
        <v>3465</v>
      </c>
      <c r="V7239" s="1192">
        <v>387</v>
      </c>
    </row>
    <row r="7240" spans="1:22" s="1192" customFormat="1" ht="14.4" x14ac:dyDescent="0.3">
      <c r="A7240" s="1192" t="s">
        <v>195</v>
      </c>
      <c r="E7240" s="1743" t="s">
        <v>4500</v>
      </c>
      <c r="F7240" s="1743"/>
      <c r="G7240" s="1743"/>
      <c r="H7240" s="1743"/>
      <c r="K7240" s="1192" t="s">
        <v>3465</v>
      </c>
      <c r="V7240" s="1192">
        <v>247</v>
      </c>
    </row>
    <row r="7241" spans="1:22" s="1192" customFormat="1" ht="14.4" x14ac:dyDescent="0.3">
      <c r="A7241" s="1192" t="s">
        <v>195</v>
      </c>
      <c r="E7241" s="1750" t="s">
        <v>2394</v>
      </c>
      <c r="F7241" s="1743"/>
      <c r="G7241" s="1743"/>
      <c r="H7241" s="1743"/>
      <c r="K7241" s="1192" t="s">
        <v>2531</v>
      </c>
      <c r="V7241" s="1192">
        <v>46</v>
      </c>
    </row>
    <row r="7242" spans="1:22" s="1192" customFormat="1" ht="14.4" x14ac:dyDescent="0.3">
      <c r="A7242" s="1192" t="s">
        <v>195</v>
      </c>
      <c r="E7242" s="1741" t="s">
        <v>8</v>
      </c>
      <c r="F7242" s="1741"/>
      <c r="G7242" s="574" t="s">
        <v>19</v>
      </c>
      <c r="H7242" s="1218">
        <v>14.95</v>
      </c>
      <c r="K7242" s="1192" t="s">
        <v>3465</v>
      </c>
      <c r="L7242" s="1192" t="s">
        <v>430</v>
      </c>
      <c r="P7242" s="1192" t="s">
        <v>3466</v>
      </c>
      <c r="V7242" s="1192">
        <v>31</v>
      </c>
    </row>
    <row r="7243" spans="1:22" s="1192" customFormat="1" ht="14.4" x14ac:dyDescent="0.3">
      <c r="A7243" s="1192" t="s">
        <v>195</v>
      </c>
      <c r="E7243" s="1741" t="s">
        <v>80</v>
      </c>
      <c r="F7243" s="1741"/>
      <c r="G7243" s="574" t="s">
        <v>29</v>
      </c>
      <c r="H7243" s="1219">
        <v>10.5784</v>
      </c>
      <c r="K7243" s="1192" t="s">
        <v>3465</v>
      </c>
      <c r="L7243" s="1192" t="s">
        <v>430</v>
      </c>
      <c r="P7243" s="1192" t="s">
        <v>3467</v>
      </c>
      <c r="V7243" s="1192">
        <v>28</v>
      </c>
    </row>
    <row r="7244" spans="1:22" s="1192" customFormat="1" ht="14.4" x14ac:dyDescent="0.3">
      <c r="A7244" s="1192" t="s">
        <v>195</v>
      </c>
      <c r="E7244" s="1741" t="s">
        <v>6484</v>
      </c>
      <c r="F7244" s="1998"/>
      <c r="G7244" s="574" t="s">
        <v>20</v>
      </c>
      <c r="H7244" s="1219">
        <v>-2.7000000000000001E-3</v>
      </c>
      <c r="K7244" s="1192" t="s">
        <v>3465</v>
      </c>
      <c r="L7244" s="1192" t="s">
        <v>431</v>
      </c>
      <c r="P7244" s="1192" t="s">
        <v>3914</v>
      </c>
      <c r="T7244" s="1192">
        <v>44316</v>
      </c>
      <c r="V7244" s="1192">
        <v>170</v>
      </c>
    </row>
    <row r="7245" spans="1:22" s="1192" customFormat="1" ht="14.4" x14ac:dyDescent="0.3">
      <c r="A7245" s="1192" t="s">
        <v>195</v>
      </c>
      <c r="E7245" s="1741" t="s">
        <v>6487</v>
      </c>
      <c r="F7245" s="1998"/>
      <c r="G7245" s="574" t="s">
        <v>29</v>
      </c>
      <c r="H7245" s="1219">
        <v>0.29859999999999998</v>
      </c>
      <c r="K7245" s="1192" t="s">
        <v>3465</v>
      </c>
      <c r="L7245" s="1192" t="s">
        <v>431</v>
      </c>
      <c r="P7245" s="1192" t="s">
        <v>3915</v>
      </c>
      <c r="T7245" s="1192">
        <v>44316</v>
      </c>
      <c r="V7245" s="1192">
        <v>132</v>
      </c>
    </row>
    <row r="7246" spans="1:22" s="1192" customFormat="1" ht="14.4" x14ac:dyDescent="0.3">
      <c r="A7246" s="1192" t="s">
        <v>195</v>
      </c>
      <c r="E7246" s="1741" t="s">
        <v>213</v>
      </c>
      <c r="F7246" s="1741"/>
      <c r="G7246" s="574" t="s">
        <v>29</v>
      </c>
      <c r="H7246" s="1219">
        <v>1.7930999999999999</v>
      </c>
      <c r="K7246" s="1192" t="s">
        <v>3465</v>
      </c>
      <c r="L7246" s="1192" t="s">
        <v>432</v>
      </c>
      <c r="P7246" s="1192" t="s">
        <v>3468</v>
      </c>
      <c r="V7246" s="1192">
        <v>47</v>
      </c>
    </row>
    <row r="7247" spans="1:22" s="1192" customFormat="1" ht="14.4" x14ac:dyDescent="0.3">
      <c r="A7247" s="1192" t="s">
        <v>195</v>
      </c>
      <c r="E7247" s="1741" t="s">
        <v>209</v>
      </c>
      <c r="F7247" s="1741"/>
      <c r="G7247" s="574" t="s">
        <v>29</v>
      </c>
      <c r="H7247" s="1219">
        <v>1.1992</v>
      </c>
      <c r="K7247" s="1192" t="s">
        <v>3465</v>
      </c>
      <c r="L7247" s="1192" t="s">
        <v>432</v>
      </c>
      <c r="P7247" s="1192" t="s">
        <v>3469</v>
      </c>
      <c r="V7247" s="1192">
        <v>74</v>
      </c>
    </row>
    <row r="7248" spans="1:22" s="1192" customFormat="1" ht="14.4" x14ac:dyDescent="0.3">
      <c r="A7248" s="1192" t="s">
        <v>195</v>
      </c>
      <c r="E7248" s="1750" t="s">
        <v>2405</v>
      </c>
      <c r="F7248" s="1741"/>
      <c r="G7248" s="1277"/>
      <c r="H7248" s="896"/>
      <c r="K7248" s="1192" t="s">
        <v>2532</v>
      </c>
      <c r="V7248" s="1192">
        <v>48</v>
      </c>
    </row>
    <row r="7249" spans="1:22" s="1192" customFormat="1" ht="14.4" x14ac:dyDescent="0.3">
      <c r="A7249" s="1192" t="s">
        <v>195</v>
      </c>
      <c r="E7249" s="1741" t="s">
        <v>2033</v>
      </c>
      <c r="F7249" s="1741"/>
      <c r="G7249" s="574" t="s">
        <v>20</v>
      </c>
      <c r="H7249" s="1219">
        <v>3.0000000000000001E-3</v>
      </c>
      <c r="K7249" s="1192" t="s">
        <v>3465</v>
      </c>
      <c r="L7249" s="1192" t="s">
        <v>2374</v>
      </c>
      <c r="P7249" s="1192" t="s">
        <v>3470</v>
      </c>
      <c r="V7249" s="1192">
        <v>55</v>
      </c>
    </row>
    <row r="7250" spans="1:22" s="1192" customFormat="1" ht="14.4" x14ac:dyDescent="0.3">
      <c r="A7250" s="1192" t="s">
        <v>195</v>
      </c>
      <c r="E7250" s="1741" t="s">
        <v>2034</v>
      </c>
      <c r="F7250" s="1741"/>
      <c r="G7250" s="574" t="s">
        <v>20</v>
      </c>
      <c r="H7250" s="1219">
        <v>4.0000000000000002E-4</v>
      </c>
      <c r="K7250" s="1192" t="s">
        <v>3465</v>
      </c>
      <c r="L7250" s="1192" t="s">
        <v>2374</v>
      </c>
      <c r="P7250" s="1192" t="s">
        <v>3470</v>
      </c>
      <c r="V7250" s="1192">
        <v>65</v>
      </c>
    </row>
    <row r="7251" spans="1:22" s="1192" customFormat="1" ht="14.4" x14ac:dyDescent="0.3">
      <c r="A7251" s="1192" t="s">
        <v>195</v>
      </c>
      <c r="E7251" s="1741" t="s">
        <v>428</v>
      </c>
      <c r="F7251" s="1741"/>
      <c r="G7251" s="574" t="s">
        <v>20</v>
      </c>
      <c r="H7251" s="1219">
        <v>5.0000000000000001E-4</v>
      </c>
      <c r="K7251" s="1192" t="s">
        <v>3465</v>
      </c>
      <c r="L7251" s="1192" t="s">
        <v>2374</v>
      </c>
      <c r="P7251" s="1192" t="s">
        <v>3471</v>
      </c>
      <c r="V7251" s="1192">
        <v>57</v>
      </c>
    </row>
    <row r="7252" spans="1:22" s="1192" customFormat="1" ht="14.4" x14ac:dyDescent="0.3">
      <c r="A7252" s="1192" t="s">
        <v>195</v>
      </c>
      <c r="E7252" s="1741" t="s">
        <v>28</v>
      </c>
      <c r="F7252" s="1741"/>
      <c r="G7252" s="1277" t="s">
        <v>19</v>
      </c>
      <c r="H7252" s="1218">
        <v>0.25</v>
      </c>
      <c r="K7252" s="1192" t="s">
        <v>3465</v>
      </c>
      <c r="L7252" s="1192" t="s">
        <v>2374</v>
      </c>
      <c r="P7252" s="1192" t="s">
        <v>3472</v>
      </c>
      <c r="V7252" s="1192">
        <v>63</v>
      </c>
    </row>
    <row r="7253" spans="1:22" s="1192" customFormat="1" ht="17.399999999999999" x14ac:dyDescent="0.3">
      <c r="A7253" s="1192" t="s">
        <v>195</v>
      </c>
      <c r="E7253" s="1746" t="s">
        <v>593</v>
      </c>
      <c r="F7253" s="1747"/>
      <c r="G7253" s="1747"/>
      <c r="H7253" s="2243"/>
      <c r="K7253" s="1192" t="s">
        <v>3916</v>
      </c>
      <c r="V7253" s="1192">
        <v>31</v>
      </c>
    </row>
    <row r="7254" spans="1:22" s="1192" customFormat="1" ht="14.4" x14ac:dyDescent="0.3">
      <c r="A7254" s="1192" t="s">
        <v>195</v>
      </c>
      <c r="E7254" s="1743" t="s">
        <v>2966</v>
      </c>
      <c r="F7254" s="1743"/>
      <c r="G7254" s="1743"/>
      <c r="H7254" s="1743"/>
      <c r="K7254" s="1192" t="s">
        <v>3916</v>
      </c>
      <c r="V7254" s="1192">
        <v>286</v>
      </c>
    </row>
    <row r="7255" spans="1:22" s="1192" customFormat="1" ht="14.4" x14ac:dyDescent="0.3">
      <c r="A7255" s="1192" t="s">
        <v>195</v>
      </c>
      <c r="E7255" s="1750" t="s">
        <v>2389</v>
      </c>
      <c r="F7255" s="1743"/>
      <c r="G7255" s="1743"/>
      <c r="H7255" s="1743"/>
      <c r="K7255" s="1192" t="s">
        <v>2424</v>
      </c>
      <c r="V7255" s="1192">
        <v>11</v>
      </c>
    </row>
    <row r="7256" spans="1:22" s="1192" customFormat="1" ht="14.4" x14ac:dyDescent="0.3">
      <c r="A7256" s="1192" t="s">
        <v>195</v>
      </c>
      <c r="E7256" s="1743" t="s">
        <v>2391</v>
      </c>
      <c r="F7256" s="1743"/>
      <c r="G7256" s="1743"/>
      <c r="H7256" s="1743"/>
      <c r="K7256" s="1192" t="s">
        <v>3916</v>
      </c>
      <c r="V7256" s="1192">
        <v>280</v>
      </c>
    </row>
    <row r="7257" spans="1:22" s="1192" customFormat="1" ht="14.4" x14ac:dyDescent="0.3">
      <c r="A7257" s="1192" t="s">
        <v>195</v>
      </c>
      <c r="E7257" s="1743" t="s">
        <v>2392</v>
      </c>
      <c r="F7257" s="1743"/>
      <c r="G7257" s="1743"/>
      <c r="H7257" s="1743"/>
      <c r="K7257" s="1192" t="s">
        <v>3916</v>
      </c>
      <c r="V7257" s="1192">
        <v>411</v>
      </c>
    </row>
    <row r="7258" spans="1:22" s="1192" customFormat="1" ht="14.4" x14ac:dyDescent="0.3">
      <c r="A7258" s="1192" t="s">
        <v>195</v>
      </c>
      <c r="E7258" s="1743" t="s">
        <v>2445</v>
      </c>
      <c r="F7258" s="1743"/>
      <c r="G7258" s="1743"/>
      <c r="H7258" s="1743"/>
      <c r="K7258" s="1192" t="s">
        <v>3916</v>
      </c>
      <c r="V7258" s="1192">
        <v>211</v>
      </c>
    </row>
    <row r="7259" spans="1:22" s="1192" customFormat="1" ht="14.4" x14ac:dyDescent="0.3">
      <c r="A7259" s="1192" t="s">
        <v>195</v>
      </c>
      <c r="E7259" s="1743" t="s">
        <v>4500</v>
      </c>
      <c r="F7259" s="1743"/>
      <c r="G7259" s="1743"/>
      <c r="H7259" s="1743"/>
      <c r="K7259" s="1192" t="s">
        <v>3916</v>
      </c>
      <c r="V7259" s="1192">
        <v>247</v>
      </c>
    </row>
    <row r="7260" spans="1:22" s="1192" customFormat="1" ht="14.4" x14ac:dyDescent="0.3">
      <c r="A7260" s="1192" t="s">
        <v>195</v>
      </c>
      <c r="E7260" s="1750" t="s">
        <v>2394</v>
      </c>
      <c r="F7260" s="1743"/>
      <c r="G7260" s="1743"/>
      <c r="H7260" s="1743"/>
      <c r="K7260" s="1192" t="s">
        <v>2425</v>
      </c>
      <c r="V7260" s="1192">
        <v>46</v>
      </c>
    </row>
    <row r="7261" spans="1:22" s="1192" customFormat="1" ht="14.4" x14ac:dyDescent="0.3">
      <c r="A7261" s="1192" t="s">
        <v>195</v>
      </c>
      <c r="E7261" s="1741" t="s">
        <v>7</v>
      </c>
      <c r="F7261" s="1741"/>
      <c r="G7261" s="1277" t="s">
        <v>19</v>
      </c>
      <c r="H7261" s="1218">
        <v>4.55</v>
      </c>
      <c r="K7261" s="1192" t="s">
        <v>3916</v>
      </c>
      <c r="L7261" s="1192" t="s">
        <v>430</v>
      </c>
      <c r="P7261" s="1192" t="s">
        <v>3917</v>
      </c>
      <c r="V7261" s="1192">
        <v>14</v>
      </c>
    </row>
    <row r="7262" spans="1:22" s="1192" customFormat="1" x14ac:dyDescent="0.35">
      <c r="A7262" s="1192" t="s">
        <v>195</v>
      </c>
      <c r="E7262" s="1260" t="s">
        <v>81</v>
      </c>
      <c r="F7262" s="550"/>
      <c r="G7262" s="550"/>
      <c r="H7262" s="881"/>
      <c r="K7262" s="1192" t="s">
        <v>3678</v>
      </c>
      <c r="V7262" s="1192">
        <v>10</v>
      </c>
    </row>
    <row r="7263" spans="1:22" s="1192" customFormat="1" ht="14.4" x14ac:dyDescent="0.3">
      <c r="A7263" s="1192" t="s">
        <v>195</v>
      </c>
      <c r="E7263" s="1741" t="s">
        <v>2449</v>
      </c>
      <c r="F7263" s="1741"/>
      <c r="G7263" s="1277" t="s">
        <v>29</v>
      </c>
      <c r="H7263" s="1219">
        <v>-0.28999999999999998</v>
      </c>
      <c r="V7263" s="1192">
        <v>68</v>
      </c>
    </row>
    <row r="7264" spans="1:22" s="1192" customFormat="1" ht="14.4" x14ac:dyDescent="0.3">
      <c r="A7264" s="1192" t="s">
        <v>195</v>
      </c>
      <c r="E7264" s="1741" t="s">
        <v>2450</v>
      </c>
      <c r="F7264" s="1741"/>
      <c r="G7264" s="1277" t="s">
        <v>82</v>
      </c>
      <c r="H7264" s="1218">
        <v>-1</v>
      </c>
      <c r="V7264" s="1192">
        <v>87</v>
      </c>
    </row>
    <row r="7265" spans="1:22" s="1192" customFormat="1" x14ac:dyDescent="0.3">
      <c r="A7265" s="1192" t="s">
        <v>195</v>
      </c>
      <c r="E7265" s="1746" t="s">
        <v>83</v>
      </c>
      <c r="F7265" s="1999"/>
      <c r="G7265" s="1999"/>
      <c r="H7265" s="1999"/>
      <c r="K7265" s="1192" t="s">
        <v>3679</v>
      </c>
      <c r="V7265" s="1192">
        <v>24</v>
      </c>
    </row>
    <row r="7266" spans="1:22" s="1192" customFormat="1" ht="14.4" x14ac:dyDescent="0.3">
      <c r="A7266" s="1192" t="s">
        <v>195</v>
      </c>
      <c r="E7266" s="1743" t="s">
        <v>2391</v>
      </c>
      <c r="F7266" s="1743"/>
      <c r="G7266" s="1743"/>
      <c r="H7266" s="1743"/>
      <c r="V7266" s="1192">
        <v>280</v>
      </c>
    </row>
    <row r="7267" spans="1:22" s="1192" customFormat="1" ht="14.4" x14ac:dyDescent="0.3">
      <c r="A7267" s="1192" t="s">
        <v>195</v>
      </c>
      <c r="E7267" s="1743" t="s">
        <v>2452</v>
      </c>
      <c r="F7267" s="1743"/>
      <c r="G7267" s="1743"/>
      <c r="H7267" s="1743"/>
      <c r="V7267" s="1192">
        <v>353</v>
      </c>
    </row>
    <row r="7268" spans="1:22" s="1192" customFormat="1" ht="14.4" x14ac:dyDescent="0.3">
      <c r="A7268" s="1192" t="s">
        <v>195</v>
      </c>
      <c r="E7268" s="1743" t="s">
        <v>4500</v>
      </c>
      <c r="F7268" s="1743"/>
      <c r="G7268" s="1743"/>
      <c r="H7268" s="1743"/>
      <c r="V7268" s="1192">
        <v>247</v>
      </c>
    </row>
    <row r="7269" spans="1:22" s="1192" customFormat="1" ht="14.4" x14ac:dyDescent="0.3">
      <c r="A7269" s="1192" t="s">
        <v>195</v>
      </c>
      <c r="E7269" s="1258" t="s">
        <v>2453</v>
      </c>
      <c r="F7269" s="3"/>
      <c r="G7269" s="3"/>
      <c r="H7269" s="897"/>
      <c r="K7269" s="1192" t="s">
        <v>3680</v>
      </c>
      <c r="V7269" s="1192">
        <v>23</v>
      </c>
    </row>
    <row r="7270" spans="1:22" s="1192" customFormat="1" ht="14.4" x14ac:dyDescent="0.3">
      <c r="A7270" s="1192" t="s">
        <v>195</v>
      </c>
      <c r="E7270" s="1942" t="s">
        <v>4633</v>
      </c>
      <c r="F7270" s="1942"/>
      <c r="G7270" s="1277" t="s">
        <v>19</v>
      </c>
      <c r="H7270" s="1218">
        <v>25</v>
      </c>
      <c r="V7270" s="1192">
        <v>42</v>
      </c>
    </row>
    <row r="7271" spans="1:22" s="1192" customFormat="1" ht="14.4" x14ac:dyDescent="0.3">
      <c r="A7271" s="1192" t="s">
        <v>195</v>
      </c>
      <c r="E7271" s="1942" t="s">
        <v>4634</v>
      </c>
      <c r="F7271" s="1942"/>
      <c r="G7271" s="1277" t="s">
        <v>19</v>
      </c>
      <c r="H7271" s="1218">
        <v>25</v>
      </c>
      <c r="V7271" s="1192">
        <v>96</v>
      </c>
    </row>
    <row r="7272" spans="1:22" s="1192" customFormat="1" ht="14.4" x14ac:dyDescent="0.3">
      <c r="A7272" s="1192" t="s">
        <v>195</v>
      </c>
      <c r="E7272" s="1942" t="s">
        <v>4635</v>
      </c>
      <c r="F7272" s="1942"/>
      <c r="G7272" s="1277" t="s">
        <v>19</v>
      </c>
      <c r="H7272" s="1218">
        <v>25</v>
      </c>
      <c r="V7272" s="1192">
        <v>26</v>
      </c>
    </row>
    <row r="7273" spans="1:22" s="1192" customFormat="1" ht="14.4" x14ac:dyDescent="0.3">
      <c r="A7273" s="1192" t="s">
        <v>195</v>
      </c>
      <c r="E7273" s="1270" t="s">
        <v>2468</v>
      </c>
      <c r="F7273" s="3"/>
      <c r="G7273" s="3"/>
      <c r="H7273" s="897"/>
      <c r="K7273" s="1192" t="s">
        <v>6488</v>
      </c>
      <c r="V7273" s="1192">
        <v>22</v>
      </c>
    </row>
    <row r="7274" spans="1:22" s="1192" customFormat="1" ht="14.4" x14ac:dyDescent="0.3">
      <c r="A7274" s="1192" t="s">
        <v>195</v>
      </c>
      <c r="E7274" s="1942" t="s">
        <v>6489</v>
      </c>
      <c r="F7274" s="1942"/>
      <c r="G7274" s="1277" t="s">
        <v>82</v>
      </c>
      <c r="H7274" s="1218">
        <v>1.5</v>
      </c>
      <c r="V7274" s="1192">
        <v>113</v>
      </c>
    </row>
    <row r="7275" spans="1:22" s="1192" customFormat="1" ht="14.4" x14ac:dyDescent="0.3">
      <c r="A7275" s="1192" t="s">
        <v>195</v>
      </c>
      <c r="E7275" s="1942" t="s">
        <v>6490</v>
      </c>
      <c r="F7275" s="1942"/>
      <c r="G7275" s="1277" t="s">
        <v>19</v>
      </c>
      <c r="H7275" s="1218">
        <v>28</v>
      </c>
      <c r="V7275" s="1192">
        <v>51</v>
      </c>
    </row>
    <row r="7276" spans="1:22" s="1192" customFormat="1" ht="14.4" x14ac:dyDescent="0.3">
      <c r="A7276" s="1192" t="s">
        <v>195</v>
      </c>
      <c r="E7276" s="1942" t="s">
        <v>6491</v>
      </c>
      <c r="F7276" s="1942"/>
      <c r="G7276" s="1277" t="s">
        <v>19</v>
      </c>
      <c r="H7276" s="1218">
        <v>315</v>
      </c>
      <c r="V7276" s="1192">
        <v>50</v>
      </c>
    </row>
    <row r="7277" spans="1:22" s="1192" customFormat="1" ht="14.4" x14ac:dyDescent="0.3">
      <c r="A7277" s="1192" t="s">
        <v>195</v>
      </c>
      <c r="E7277" s="1942" t="s">
        <v>6492</v>
      </c>
      <c r="F7277" s="1942"/>
      <c r="G7277" s="1277" t="s">
        <v>19</v>
      </c>
      <c r="H7277" s="1218">
        <v>28</v>
      </c>
      <c r="V7277" s="1192">
        <v>50</v>
      </c>
    </row>
    <row r="7278" spans="1:22" s="1192" customFormat="1" ht="14.4" x14ac:dyDescent="0.3">
      <c r="A7278" s="1192" t="s">
        <v>195</v>
      </c>
      <c r="E7278" s="1942" t="s">
        <v>6493</v>
      </c>
      <c r="F7278" s="1942"/>
      <c r="G7278" s="1277" t="s">
        <v>19</v>
      </c>
      <c r="H7278" s="1218">
        <v>315</v>
      </c>
      <c r="V7278" s="1192">
        <v>49</v>
      </c>
    </row>
    <row r="7279" spans="1:22" s="1192" customFormat="1" ht="14.4" x14ac:dyDescent="0.3">
      <c r="A7279" s="1192" t="s">
        <v>195</v>
      </c>
      <c r="E7279" s="1258" t="s">
        <v>2474</v>
      </c>
      <c r="F7279" s="453"/>
      <c r="G7279" s="360"/>
      <c r="H7279" s="837"/>
      <c r="V7279" s="1192">
        <v>5</v>
      </c>
    </row>
    <row r="7280" spans="1:22" s="1192" customFormat="1" ht="14.4" x14ac:dyDescent="0.3">
      <c r="A7280" s="1192" t="s">
        <v>195</v>
      </c>
      <c r="E7280" s="1942" t="s">
        <v>4636</v>
      </c>
      <c r="F7280" s="1942"/>
      <c r="G7280" s="1277" t="s">
        <v>19</v>
      </c>
      <c r="H7280" s="1218">
        <v>44.5</v>
      </c>
      <c r="V7280" s="1192">
        <v>67</v>
      </c>
    </row>
    <row r="7281" spans="1:22" s="1192" customFormat="1" ht="14.4" x14ac:dyDescent="0.3">
      <c r="A7281" s="1192" t="s">
        <v>195</v>
      </c>
      <c r="E7281" s="1942" t="s">
        <v>4637</v>
      </c>
      <c r="F7281" s="1942"/>
      <c r="G7281" s="1277"/>
      <c r="H7281" s="837"/>
      <c r="V7281" s="1192">
        <v>52</v>
      </c>
    </row>
    <row r="7282" spans="1:22" s="1192" customFormat="1" x14ac:dyDescent="0.3">
      <c r="A7282" s="1192" t="s">
        <v>195</v>
      </c>
      <c r="E7282" s="1746" t="s">
        <v>73</v>
      </c>
      <c r="F7282" s="1999"/>
      <c r="G7282" s="1999"/>
      <c r="H7282" s="1999"/>
      <c r="K7282" s="1192" t="s">
        <v>3681</v>
      </c>
      <c r="V7282" s="1192">
        <v>38</v>
      </c>
    </row>
    <row r="7283" spans="1:22" s="1192" customFormat="1" ht="14.4" x14ac:dyDescent="0.3">
      <c r="A7283" s="1192" t="s">
        <v>195</v>
      </c>
      <c r="E7283" s="1743" t="s">
        <v>2391</v>
      </c>
      <c r="F7283" s="1743"/>
      <c r="G7283" s="1743"/>
      <c r="H7283" s="1743"/>
      <c r="V7283" s="1192">
        <v>280</v>
      </c>
    </row>
    <row r="7284" spans="1:22" s="1192" customFormat="1" ht="14.4" x14ac:dyDescent="0.3">
      <c r="A7284" s="1192" t="s">
        <v>195</v>
      </c>
      <c r="E7284" s="1743" t="s">
        <v>2392</v>
      </c>
      <c r="F7284" s="1743"/>
      <c r="G7284" s="1743"/>
      <c r="H7284" s="1743"/>
      <c r="V7284" s="1192">
        <v>411</v>
      </c>
    </row>
    <row r="7285" spans="1:22" s="1192" customFormat="1" ht="14.4" x14ac:dyDescent="0.3">
      <c r="A7285" s="1192" t="s">
        <v>195</v>
      </c>
      <c r="E7285" s="1743" t="s">
        <v>2445</v>
      </c>
      <c r="F7285" s="1743"/>
      <c r="G7285" s="1743"/>
      <c r="H7285" s="1743"/>
      <c r="V7285" s="1192">
        <v>211</v>
      </c>
    </row>
    <row r="7286" spans="1:22" s="1192" customFormat="1" ht="14.4" x14ac:dyDescent="0.3">
      <c r="A7286" s="1192" t="s">
        <v>195</v>
      </c>
      <c r="E7286" s="1743" t="s">
        <v>4500</v>
      </c>
      <c r="F7286" s="1743"/>
      <c r="G7286" s="1743"/>
      <c r="H7286" s="1743"/>
      <c r="V7286" s="1192">
        <v>247</v>
      </c>
    </row>
    <row r="7287" spans="1:22" s="1192" customFormat="1" ht="14.4" x14ac:dyDescent="0.3">
      <c r="A7287" s="1192" t="s">
        <v>195</v>
      </c>
      <c r="E7287" s="1743" t="s">
        <v>2595</v>
      </c>
      <c r="F7287" s="1743"/>
      <c r="G7287" s="1743"/>
      <c r="H7287" s="1743"/>
      <c r="V7287" s="1192">
        <v>142</v>
      </c>
    </row>
    <row r="7288" spans="1:22" s="1192" customFormat="1" ht="14.4" x14ac:dyDescent="0.3">
      <c r="A7288" s="1192" t="s">
        <v>195</v>
      </c>
      <c r="E7288" s="1741" t="s">
        <v>2485</v>
      </c>
      <c r="F7288" s="1741"/>
      <c r="G7288" s="1280" t="s">
        <v>19</v>
      </c>
      <c r="H7288" s="509">
        <v>102</v>
      </c>
      <c r="V7288" s="1192">
        <v>106</v>
      </c>
    </row>
    <row r="7289" spans="1:22" s="1192" customFormat="1" ht="14.4" x14ac:dyDescent="0.3">
      <c r="A7289" s="1192" t="s">
        <v>195</v>
      </c>
      <c r="E7289" s="1741" t="s">
        <v>3919</v>
      </c>
      <c r="F7289" s="1741"/>
      <c r="G7289" s="1280" t="s">
        <v>19</v>
      </c>
      <c r="H7289" s="509">
        <v>40.799999999999997</v>
      </c>
      <c r="V7289" s="1192">
        <v>34</v>
      </c>
    </row>
    <row r="7290" spans="1:22" s="1192" customFormat="1" ht="14.4" x14ac:dyDescent="0.3">
      <c r="A7290" s="1192" t="s">
        <v>195</v>
      </c>
      <c r="E7290" s="1741" t="s">
        <v>3920</v>
      </c>
      <c r="F7290" s="1741"/>
      <c r="G7290" s="1280" t="s">
        <v>2488</v>
      </c>
      <c r="H7290" s="509">
        <v>1.02</v>
      </c>
      <c r="V7290" s="1192">
        <v>51</v>
      </c>
    </row>
    <row r="7291" spans="1:22" s="1192" customFormat="1" ht="14.4" x14ac:dyDescent="0.3">
      <c r="A7291" s="1192" t="s">
        <v>195</v>
      </c>
      <c r="E7291" s="1741" t="s">
        <v>2489</v>
      </c>
      <c r="F7291" s="1741"/>
      <c r="G7291" s="1280" t="s">
        <v>2488</v>
      </c>
      <c r="H7291" s="509">
        <v>0.61</v>
      </c>
      <c r="V7291" s="1192">
        <v>75</v>
      </c>
    </row>
    <row r="7292" spans="1:22" s="1192" customFormat="1" ht="14.4" x14ac:dyDescent="0.3">
      <c r="A7292" s="1192" t="s">
        <v>195</v>
      </c>
      <c r="E7292" s="1741" t="s">
        <v>2490</v>
      </c>
      <c r="F7292" s="1741"/>
      <c r="G7292" s="1280" t="s">
        <v>2488</v>
      </c>
      <c r="H7292" s="509">
        <v>-0.61</v>
      </c>
      <c r="V7292" s="1192">
        <v>72</v>
      </c>
    </row>
    <row r="7293" spans="1:22" s="1192" customFormat="1" ht="14.4" x14ac:dyDescent="0.3">
      <c r="A7293" s="1192" t="s">
        <v>195</v>
      </c>
      <c r="E7293" s="1741" t="s">
        <v>2596</v>
      </c>
      <c r="F7293" s="1741"/>
      <c r="G7293" s="1280"/>
      <c r="H7293" s="840"/>
      <c r="V7293" s="1192">
        <v>34</v>
      </c>
    </row>
    <row r="7294" spans="1:22" s="1192" customFormat="1" ht="14.4" x14ac:dyDescent="0.3">
      <c r="A7294" s="1192" t="s">
        <v>195</v>
      </c>
      <c r="E7294" s="1941" t="s">
        <v>4638</v>
      </c>
      <c r="F7294" s="1941"/>
      <c r="G7294" s="1280" t="s">
        <v>19</v>
      </c>
      <c r="H7294" s="509">
        <v>0.51</v>
      </c>
      <c r="V7294" s="1192">
        <v>80</v>
      </c>
    </row>
    <row r="7295" spans="1:22" s="1192" customFormat="1" ht="14.4" x14ac:dyDescent="0.3">
      <c r="A7295" s="1192" t="s">
        <v>195</v>
      </c>
      <c r="E7295" s="1941" t="s">
        <v>4639</v>
      </c>
      <c r="F7295" s="1941"/>
      <c r="G7295" s="1280" t="s">
        <v>19</v>
      </c>
      <c r="H7295" s="509">
        <v>1.02</v>
      </c>
      <c r="V7295" s="1192">
        <v>83</v>
      </c>
    </row>
    <row r="7296" spans="1:22" s="1192" customFormat="1" ht="14.4" x14ac:dyDescent="0.3">
      <c r="A7296" s="1192" t="s">
        <v>195</v>
      </c>
      <c r="E7296" s="1741" t="s">
        <v>2494</v>
      </c>
      <c r="F7296" s="1741"/>
      <c r="G7296" s="1280"/>
      <c r="H7296" s="840"/>
      <c r="V7296" s="1192">
        <v>91</v>
      </c>
    </row>
    <row r="7297" spans="1:22" s="1192" customFormat="1" ht="14.4" x14ac:dyDescent="0.3">
      <c r="A7297" s="1192" t="s">
        <v>195</v>
      </c>
      <c r="E7297" s="1741" t="s">
        <v>2495</v>
      </c>
      <c r="F7297" s="1741"/>
      <c r="G7297" s="1280"/>
      <c r="H7297" s="840"/>
      <c r="V7297" s="1192">
        <v>96</v>
      </c>
    </row>
    <row r="7298" spans="1:22" s="1192" customFormat="1" ht="14.4" x14ac:dyDescent="0.3">
      <c r="A7298" s="1192" t="s">
        <v>195</v>
      </c>
      <c r="E7298" s="1741" t="s">
        <v>2597</v>
      </c>
      <c r="F7298" s="1741"/>
      <c r="G7298" s="1280"/>
      <c r="H7298" s="840"/>
      <c r="V7298" s="1192">
        <v>77</v>
      </c>
    </row>
    <row r="7299" spans="1:22" s="1192" customFormat="1" ht="14.4" x14ac:dyDescent="0.3">
      <c r="A7299" s="1192" t="s">
        <v>195</v>
      </c>
      <c r="E7299" s="1941" t="s">
        <v>4640</v>
      </c>
      <c r="F7299" s="1941"/>
      <c r="G7299" s="1280" t="s">
        <v>19</v>
      </c>
      <c r="H7299" s="840" t="s">
        <v>2498</v>
      </c>
      <c r="V7299" s="1192">
        <v>41</v>
      </c>
    </row>
    <row r="7300" spans="1:22" s="1192" customFormat="1" ht="14.4" x14ac:dyDescent="0.3">
      <c r="A7300" s="1192" t="s">
        <v>195</v>
      </c>
      <c r="E7300" s="1941" t="s">
        <v>4641</v>
      </c>
      <c r="F7300" s="1941"/>
      <c r="G7300" s="1280" t="s">
        <v>19</v>
      </c>
      <c r="H7300" s="509">
        <v>4.08</v>
      </c>
      <c r="V7300" s="1192">
        <v>92</v>
      </c>
    </row>
    <row r="7301" spans="1:22" s="1192" customFormat="1" ht="14.4" x14ac:dyDescent="0.3">
      <c r="A7301" s="1192" t="s">
        <v>195</v>
      </c>
      <c r="E7301" s="1741" t="s">
        <v>4608</v>
      </c>
      <c r="F7301" s="1741"/>
      <c r="G7301" s="452" t="s">
        <v>19</v>
      </c>
      <c r="H7301" s="1218">
        <v>2.04</v>
      </c>
      <c r="V7301" s="1192">
        <v>199</v>
      </c>
    </row>
    <row r="7302" spans="1:22" s="1192" customFormat="1" ht="14.4" x14ac:dyDescent="0.3">
      <c r="A7302" s="1192" t="s">
        <v>195</v>
      </c>
      <c r="E7302" s="1746" t="s">
        <v>143</v>
      </c>
      <c r="F7302" s="1998"/>
      <c r="G7302" s="1998"/>
      <c r="H7302" s="1998"/>
      <c r="K7302" s="1192" t="s">
        <v>3682</v>
      </c>
      <c r="V7302" s="1192">
        <v>12</v>
      </c>
    </row>
    <row r="7303" spans="1:22" s="1192" customFormat="1" ht="14.4" x14ac:dyDescent="0.3">
      <c r="A7303" s="1192" t="s">
        <v>195</v>
      </c>
      <c r="E7303" s="1741" t="s">
        <v>2501</v>
      </c>
      <c r="F7303" s="1741"/>
      <c r="G7303" s="1741"/>
      <c r="H7303" s="1741"/>
      <c r="V7303" s="1192">
        <v>203</v>
      </c>
    </row>
    <row r="7304" spans="1:22" s="1192" customFormat="1" ht="14.4" x14ac:dyDescent="0.3">
      <c r="A7304" s="1192" t="s">
        <v>195</v>
      </c>
      <c r="E7304" s="1741" t="s">
        <v>2599</v>
      </c>
      <c r="F7304" s="1741"/>
      <c r="G7304" s="1277"/>
      <c r="H7304" s="837">
        <v>1.0945</v>
      </c>
      <c r="V7304" s="1192">
        <v>57</v>
      </c>
    </row>
    <row r="7305" spans="1:22" s="1192" customFormat="1" ht="14.4" x14ac:dyDescent="0.3">
      <c r="A7305" s="1192" t="s">
        <v>195</v>
      </c>
      <c r="E7305" s="1741" t="s">
        <v>2601</v>
      </c>
      <c r="F7305" s="1741"/>
      <c r="G7305" s="1277"/>
      <c r="H7305" s="837">
        <v>1.0835999999999999</v>
      </c>
      <c r="J7305" s="1192" t="s">
        <v>3683</v>
      </c>
      <c r="V7305" s="1192">
        <v>55</v>
      </c>
    </row>
    <row r="7306" spans="1:22" s="1192" customFormat="1" ht="22.8" x14ac:dyDescent="0.3">
      <c r="A7306" s="1192" t="s">
        <v>170</v>
      </c>
      <c r="C7306" s="1192" t="s">
        <v>2378</v>
      </c>
      <c r="E7306" s="1752" t="s">
        <v>170</v>
      </c>
      <c r="F7306" s="1752"/>
      <c r="G7306" s="1752"/>
      <c r="H7306" s="1752"/>
      <c r="I7306" s="1192" t="s">
        <v>603</v>
      </c>
      <c r="J7306" s="1192" t="s">
        <v>2672</v>
      </c>
      <c r="K7306" s="1192" t="s">
        <v>170</v>
      </c>
      <c r="M7306" s="1192">
        <v>6</v>
      </c>
      <c r="V7306" s="1192">
        <v>21</v>
      </c>
    </row>
    <row r="7307" spans="1:22" s="1192" customFormat="1" ht="17.399999999999999" x14ac:dyDescent="0.3">
      <c r="A7307" s="1192" t="s">
        <v>170</v>
      </c>
      <c r="C7307" s="1192" t="s">
        <v>2380</v>
      </c>
      <c r="E7307" s="1753" t="s">
        <v>2381</v>
      </c>
      <c r="F7307" s="1753"/>
      <c r="G7307" s="1753"/>
      <c r="H7307" s="1753"/>
      <c r="V7307" s="1192">
        <v>27</v>
      </c>
    </row>
    <row r="7308" spans="1:22" s="1192" customFormat="1" ht="15.6" x14ac:dyDescent="0.3">
      <c r="A7308" s="1192" t="s">
        <v>170</v>
      </c>
      <c r="C7308" s="1192" t="s">
        <v>2382</v>
      </c>
      <c r="E7308" s="1754" t="s">
        <v>6482</v>
      </c>
      <c r="F7308" s="1754"/>
      <c r="G7308" s="1754"/>
      <c r="H7308" s="1754"/>
      <c r="S7308" s="1192">
        <v>43952</v>
      </c>
      <c r="V7308" s="1192">
        <v>45</v>
      </c>
    </row>
    <row r="7309" spans="1:22" s="1192" customFormat="1" ht="14.4" x14ac:dyDescent="0.3">
      <c r="A7309" s="1192" t="s">
        <v>170</v>
      </c>
      <c r="C7309" s="1192" t="s">
        <v>2383</v>
      </c>
      <c r="E7309" s="1755" t="s">
        <v>2384</v>
      </c>
      <c r="F7309" s="1755"/>
      <c r="G7309" s="1755"/>
      <c r="H7309" s="1755"/>
      <c r="V7309" s="1192">
        <v>52</v>
      </c>
    </row>
    <row r="7310" spans="1:22" s="1192" customFormat="1" ht="14.4" x14ac:dyDescent="0.3">
      <c r="A7310" s="1192" t="s">
        <v>170</v>
      </c>
      <c r="E7310" s="1755" t="s">
        <v>2385</v>
      </c>
      <c r="F7310" s="1755"/>
      <c r="G7310" s="1755"/>
      <c r="H7310" s="1755"/>
      <c r="V7310" s="1192">
        <v>53</v>
      </c>
    </row>
    <row r="7311" spans="1:22" s="1192" customFormat="1" ht="14.4" x14ac:dyDescent="0.3">
      <c r="A7311" s="1192" t="s">
        <v>170</v>
      </c>
      <c r="E7311" s="1772" t="s">
        <v>6494</v>
      </c>
      <c r="F7311" s="1772"/>
      <c r="G7311" s="1772"/>
      <c r="H7311" s="1772"/>
      <c r="K7311" s="1192" t="s">
        <v>6494</v>
      </c>
      <c r="V7311" s="1192">
        <v>12</v>
      </c>
    </row>
    <row r="7312" spans="1:22" s="1192" customFormat="1" ht="14.4" x14ac:dyDescent="0.3">
      <c r="A7312" s="1192" t="s">
        <v>170</v>
      </c>
      <c r="E7312" s="1746" t="s">
        <v>427</v>
      </c>
      <c r="F7312" s="1743"/>
      <c r="G7312" s="1743"/>
      <c r="H7312" s="1743"/>
      <c r="K7312" s="1192" t="s">
        <v>2506</v>
      </c>
      <c r="V7312" s="1192">
        <v>34</v>
      </c>
    </row>
    <row r="7313" spans="1:22" s="1192" customFormat="1" ht="14.4" x14ac:dyDescent="0.3">
      <c r="A7313" s="1192" t="s">
        <v>170</v>
      </c>
      <c r="E7313" s="1743" t="s">
        <v>2673</v>
      </c>
      <c r="F7313" s="1743"/>
      <c r="G7313" s="1743"/>
      <c r="H7313" s="1743"/>
      <c r="K7313" s="1192" t="s">
        <v>2506</v>
      </c>
      <c r="V7313" s="1192">
        <v>679</v>
      </c>
    </row>
    <row r="7314" spans="1:22" s="1192" customFormat="1" ht="14.4" x14ac:dyDescent="0.3">
      <c r="A7314" s="1192" t="s">
        <v>170</v>
      </c>
      <c r="E7314" s="1750" t="s">
        <v>2389</v>
      </c>
      <c r="F7314" s="1743"/>
      <c r="G7314" s="1743"/>
      <c r="H7314" s="1743"/>
      <c r="K7314" s="1192" t="s">
        <v>2390</v>
      </c>
      <c r="V7314" s="1192">
        <v>11</v>
      </c>
    </row>
    <row r="7315" spans="1:22" s="1192" customFormat="1" ht="14.4" x14ac:dyDescent="0.3">
      <c r="A7315" s="1192" t="s">
        <v>170</v>
      </c>
      <c r="E7315" s="1743" t="s">
        <v>2391</v>
      </c>
      <c r="F7315" s="1743"/>
      <c r="G7315" s="1743"/>
      <c r="H7315" s="1743"/>
      <c r="K7315" s="1192" t="s">
        <v>2506</v>
      </c>
      <c r="V7315" s="1192">
        <v>280</v>
      </c>
    </row>
    <row r="7316" spans="1:22" s="1192" customFormat="1" ht="14.4" x14ac:dyDescent="0.3">
      <c r="A7316" s="1192" t="s">
        <v>170</v>
      </c>
      <c r="E7316" s="1743" t="s">
        <v>2392</v>
      </c>
      <c r="F7316" s="1743"/>
      <c r="G7316" s="1743"/>
      <c r="H7316" s="1743"/>
      <c r="K7316" s="1192" t="s">
        <v>2506</v>
      </c>
      <c r="V7316" s="1192">
        <v>411</v>
      </c>
    </row>
    <row r="7317" spans="1:22" s="1192" customFormat="1" ht="14.4" x14ac:dyDescent="0.3">
      <c r="A7317" s="1192" t="s">
        <v>170</v>
      </c>
      <c r="E7317" s="1743" t="s">
        <v>2508</v>
      </c>
      <c r="F7317" s="1743"/>
      <c r="G7317" s="1743"/>
      <c r="H7317" s="1743"/>
      <c r="K7317" s="1192" t="s">
        <v>2506</v>
      </c>
      <c r="V7317" s="1192">
        <v>386</v>
      </c>
    </row>
    <row r="7318" spans="1:22" s="1192" customFormat="1" ht="14.4" x14ac:dyDescent="0.3">
      <c r="A7318" s="1192" t="s">
        <v>170</v>
      </c>
      <c r="E7318" s="1743" t="s">
        <v>4500</v>
      </c>
      <c r="F7318" s="1743"/>
      <c r="G7318" s="1743"/>
      <c r="H7318" s="1743"/>
      <c r="K7318" s="1192" t="s">
        <v>2506</v>
      </c>
      <c r="V7318" s="1192">
        <v>247</v>
      </c>
    </row>
    <row r="7319" spans="1:22" s="1192" customFormat="1" ht="14.4" x14ac:dyDescent="0.3">
      <c r="A7319" s="1192" t="s">
        <v>170</v>
      </c>
      <c r="E7319" s="1750" t="s">
        <v>2394</v>
      </c>
      <c r="F7319" s="1743"/>
      <c r="G7319" s="1743"/>
      <c r="H7319" s="1743"/>
      <c r="K7319" s="1192" t="s">
        <v>2395</v>
      </c>
      <c r="V7319" s="1192">
        <v>46</v>
      </c>
    </row>
    <row r="7320" spans="1:22" s="1192" customFormat="1" ht="14.4" x14ac:dyDescent="0.3">
      <c r="A7320" s="1192" t="s">
        <v>170</v>
      </c>
      <c r="E7320" s="1741" t="s">
        <v>7</v>
      </c>
      <c r="F7320" s="1741"/>
      <c r="G7320" s="1277" t="s">
        <v>19</v>
      </c>
      <c r="H7320" s="1218">
        <v>26.51</v>
      </c>
      <c r="K7320" s="1192" t="s">
        <v>2506</v>
      </c>
      <c r="L7320" s="1192" t="s">
        <v>430</v>
      </c>
      <c r="P7320" s="1192" t="s">
        <v>2510</v>
      </c>
      <c r="V7320" s="1192">
        <v>14</v>
      </c>
    </row>
    <row r="7321" spans="1:22" s="1192" customFormat="1" ht="14.4" x14ac:dyDescent="0.3">
      <c r="A7321" s="1192" t="s">
        <v>170</v>
      </c>
      <c r="E7321" s="1741" t="s">
        <v>4642</v>
      </c>
      <c r="F7321" s="1741"/>
      <c r="G7321" s="1277" t="s">
        <v>19</v>
      </c>
      <c r="H7321" s="1218">
        <v>0.12</v>
      </c>
      <c r="K7321" s="1192" t="s">
        <v>2506</v>
      </c>
      <c r="L7321" s="1192" t="s">
        <v>430</v>
      </c>
      <c r="P7321" s="1192" t="s">
        <v>4452</v>
      </c>
      <c r="V7321" s="1192">
        <v>160</v>
      </c>
    </row>
    <row r="7322" spans="1:22" s="1192" customFormat="1" ht="14.4" x14ac:dyDescent="0.3">
      <c r="A7322" s="1192" t="s">
        <v>170</v>
      </c>
      <c r="E7322" s="1741" t="s">
        <v>3900</v>
      </c>
      <c r="F7322" s="1741"/>
      <c r="G7322" s="1277" t="s">
        <v>19</v>
      </c>
      <c r="H7322" s="1218">
        <v>0.56999999999999995</v>
      </c>
      <c r="K7322" s="1192" t="s">
        <v>2506</v>
      </c>
      <c r="L7322" s="1192" t="s">
        <v>431</v>
      </c>
      <c r="P7322" s="1192" t="s">
        <v>2511</v>
      </c>
      <c r="T7322" s="1192">
        <v>44926</v>
      </c>
      <c r="V7322" s="1192">
        <v>64</v>
      </c>
    </row>
    <row r="7323" spans="1:22" s="1192" customFormat="1" ht="14.4" x14ac:dyDescent="0.3">
      <c r="A7323" s="1192" t="s">
        <v>170</v>
      </c>
      <c r="E7323" s="1741" t="s">
        <v>6484</v>
      </c>
      <c r="F7323" s="1998"/>
      <c r="G7323" s="1277" t="s">
        <v>20</v>
      </c>
      <c r="H7323" s="1219">
        <v>1.4E-3</v>
      </c>
      <c r="K7323" s="1192" t="s">
        <v>2506</v>
      </c>
      <c r="L7323" s="1192" t="s">
        <v>431</v>
      </c>
      <c r="P7323" s="1192" t="s">
        <v>2514</v>
      </c>
      <c r="T7323" s="1192">
        <v>44316</v>
      </c>
      <c r="V7323" s="1192">
        <v>170</v>
      </c>
    </row>
    <row r="7324" spans="1:22" s="1192" customFormat="1" ht="14.4" x14ac:dyDescent="0.3">
      <c r="A7324" s="1192" t="s">
        <v>170</v>
      </c>
      <c r="E7324" s="1741" t="s">
        <v>6495</v>
      </c>
      <c r="F7324" s="1998"/>
      <c r="G7324" s="1277" t="s">
        <v>20</v>
      </c>
      <c r="H7324" s="1219">
        <v>8.9999999999999998E-4</v>
      </c>
      <c r="K7324" s="1192" t="s">
        <v>2506</v>
      </c>
      <c r="L7324" s="1192" t="s">
        <v>430</v>
      </c>
      <c r="P7324" s="1192" t="s">
        <v>2515</v>
      </c>
      <c r="T7324" s="1192">
        <v>44316</v>
      </c>
      <c r="V7324" s="1192">
        <v>136</v>
      </c>
    </row>
    <row r="7325" spans="1:22" s="1192" customFormat="1" ht="14.4" x14ac:dyDescent="0.3">
      <c r="A7325" s="1192" t="s">
        <v>170</v>
      </c>
      <c r="E7325" s="1741" t="s">
        <v>6486</v>
      </c>
      <c r="F7325" s="1998"/>
      <c r="G7325" s="1277" t="s">
        <v>20</v>
      </c>
      <c r="H7325" s="1219">
        <v>-8.0000000000000004E-4</v>
      </c>
      <c r="K7325" s="1192" t="s">
        <v>2506</v>
      </c>
      <c r="L7325" s="1192" t="s">
        <v>431</v>
      </c>
      <c r="P7325" s="1192" t="s">
        <v>2516</v>
      </c>
      <c r="T7325" s="1192">
        <v>44316</v>
      </c>
      <c r="V7325" s="1192">
        <v>133</v>
      </c>
    </row>
    <row r="7326" spans="1:22" s="1192" customFormat="1" ht="14.4" x14ac:dyDescent="0.3">
      <c r="A7326" s="1192" t="s">
        <v>170</v>
      </c>
      <c r="E7326" s="1741" t="s">
        <v>6496</v>
      </c>
      <c r="F7326" s="1998"/>
      <c r="G7326" s="1277" t="s">
        <v>20</v>
      </c>
      <c r="H7326" s="1219">
        <v>-1E-4</v>
      </c>
      <c r="K7326" s="1192" t="s">
        <v>2506</v>
      </c>
      <c r="L7326" s="1192" t="s">
        <v>431</v>
      </c>
      <c r="P7326" s="1192" t="s">
        <v>3897</v>
      </c>
      <c r="T7326" s="1192">
        <v>44316</v>
      </c>
      <c r="V7326" s="1192">
        <v>177</v>
      </c>
    </row>
    <row r="7327" spans="1:22" s="1192" customFormat="1" ht="14.4" x14ac:dyDescent="0.3">
      <c r="A7327" s="1192" t="s">
        <v>170</v>
      </c>
      <c r="E7327" s="1741" t="s">
        <v>213</v>
      </c>
      <c r="F7327" s="1741"/>
      <c r="G7327" s="1277" t="s">
        <v>20</v>
      </c>
      <c r="H7327" s="1219">
        <v>7.7000000000000002E-3</v>
      </c>
      <c r="K7327" s="1192" t="s">
        <v>2506</v>
      </c>
      <c r="L7327" s="1192" t="s">
        <v>432</v>
      </c>
      <c r="P7327" s="1192" t="s">
        <v>2517</v>
      </c>
      <c r="V7327" s="1192">
        <v>47</v>
      </c>
    </row>
    <row r="7328" spans="1:22" s="1192" customFormat="1" ht="14.4" x14ac:dyDescent="0.3">
      <c r="A7328" s="1192" t="s">
        <v>170</v>
      </c>
      <c r="E7328" s="1741" t="s">
        <v>209</v>
      </c>
      <c r="F7328" s="1741"/>
      <c r="G7328" s="1277" t="s">
        <v>20</v>
      </c>
      <c r="H7328" s="1219">
        <v>6.8999999999999999E-3</v>
      </c>
      <c r="K7328" s="1192" t="s">
        <v>2506</v>
      </c>
      <c r="L7328" s="1192" t="s">
        <v>432</v>
      </c>
      <c r="P7328" s="1192" t="s">
        <v>2518</v>
      </c>
      <c r="V7328" s="1192">
        <v>74</v>
      </c>
    </row>
    <row r="7329" spans="1:22" s="1192" customFormat="1" ht="14.4" x14ac:dyDescent="0.3">
      <c r="A7329" s="1192" t="s">
        <v>170</v>
      </c>
      <c r="E7329" s="1750" t="s">
        <v>2405</v>
      </c>
      <c r="F7329" s="1741"/>
      <c r="G7329" s="1277"/>
      <c r="H7329" s="896"/>
      <c r="K7329" s="1192" t="s">
        <v>2406</v>
      </c>
      <c r="V7329" s="1192">
        <v>48</v>
      </c>
    </row>
    <row r="7330" spans="1:22" s="1192" customFormat="1" ht="14.4" x14ac:dyDescent="0.3">
      <c r="A7330" s="1192" t="s">
        <v>170</v>
      </c>
      <c r="E7330" s="1741" t="s">
        <v>2033</v>
      </c>
      <c r="F7330" s="1741"/>
      <c r="G7330" s="1277" t="s">
        <v>20</v>
      </c>
      <c r="H7330" s="1219">
        <v>3.0000000000000001E-3</v>
      </c>
      <c r="K7330" s="1192" t="s">
        <v>2506</v>
      </c>
      <c r="L7330" s="1192" t="s">
        <v>2374</v>
      </c>
      <c r="P7330" s="1192" t="s">
        <v>2519</v>
      </c>
      <c r="V7330" s="1192">
        <v>55</v>
      </c>
    </row>
    <row r="7331" spans="1:22" s="1192" customFormat="1" ht="14.4" x14ac:dyDescent="0.3">
      <c r="A7331" s="1192" t="s">
        <v>170</v>
      </c>
      <c r="E7331" s="1741" t="s">
        <v>2034</v>
      </c>
      <c r="F7331" s="1741"/>
      <c r="G7331" s="1277" t="s">
        <v>20</v>
      </c>
      <c r="H7331" s="1219">
        <v>4.0000000000000002E-4</v>
      </c>
      <c r="K7331" s="1192" t="s">
        <v>2506</v>
      </c>
      <c r="L7331" s="1192" t="s">
        <v>2374</v>
      </c>
      <c r="P7331" s="1192" t="s">
        <v>2519</v>
      </c>
      <c r="V7331" s="1192">
        <v>65</v>
      </c>
    </row>
    <row r="7332" spans="1:22" s="1192" customFormat="1" ht="14.4" x14ac:dyDescent="0.3">
      <c r="A7332" s="1192" t="s">
        <v>170</v>
      </c>
      <c r="E7332" s="1741" t="s">
        <v>428</v>
      </c>
      <c r="F7332" s="1741"/>
      <c r="G7332" s="1277" t="s">
        <v>20</v>
      </c>
      <c r="H7332" s="1219">
        <v>5.0000000000000001E-4</v>
      </c>
      <c r="K7332" s="1192" t="s">
        <v>2506</v>
      </c>
      <c r="L7332" s="1192" t="s">
        <v>2374</v>
      </c>
      <c r="P7332" s="1192" t="s">
        <v>2520</v>
      </c>
      <c r="V7332" s="1192">
        <v>57</v>
      </c>
    </row>
    <row r="7333" spans="1:22" s="1192" customFormat="1" ht="14.4" x14ac:dyDescent="0.3">
      <c r="A7333" s="1192" t="s">
        <v>170</v>
      </c>
      <c r="E7333" s="1741" t="s">
        <v>28</v>
      </c>
      <c r="F7333" s="1741"/>
      <c r="G7333" s="1277" t="s">
        <v>19</v>
      </c>
      <c r="H7333" s="1218">
        <v>0.25</v>
      </c>
      <c r="K7333" s="1192" t="s">
        <v>2506</v>
      </c>
      <c r="L7333" s="1192" t="s">
        <v>2374</v>
      </c>
      <c r="P7333" s="1192" t="s">
        <v>2521</v>
      </c>
      <c r="V7333" s="1192">
        <v>63</v>
      </c>
    </row>
    <row r="7334" spans="1:22" s="1192" customFormat="1" ht="17.399999999999999" x14ac:dyDescent="0.3">
      <c r="A7334" s="1192" t="s">
        <v>170</v>
      </c>
      <c r="E7334" s="1746" t="s">
        <v>2522</v>
      </c>
      <c r="F7334" s="1747"/>
      <c r="G7334" s="1747"/>
      <c r="H7334" s="1747"/>
      <c r="K7334" s="1192" t="s">
        <v>3901</v>
      </c>
      <c r="V7334" s="1192">
        <v>54</v>
      </c>
    </row>
    <row r="7335" spans="1:22" s="1192" customFormat="1" ht="14.4" x14ac:dyDescent="0.3">
      <c r="A7335" s="1192" t="s">
        <v>170</v>
      </c>
      <c r="E7335" s="1743" t="s">
        <v>2674</v>
      </c>
      <c r="F7335" s="1743"/>
      <c r="G7335" s="1743"/>
      <c r="H7335" s="1743"/>
      <c r="K7335" s="1192" t="s">
        <v>3901</v>
      </c>
      <c r="V7335" s="1192">
        <v>409</v>
      </c>
    </row>
    <row r="7336" spans="1:22" s="1192" customFormat="1" ht="14.4" x14ac:dyDescent="0.3">
      <c r="A7336" s="1192" t="s">
        <v>170</v>
      </c>
      <c r="E7336" s="1750" t="s">
        <v>2389</v>
      </c>
      <c r="F7336" s="1743"/>
      <c r="G7336" s="1743"/>
      <c r="H7336" s="1743"/>
      <c r="K7336" s="1192" t="s">
        <v>2412</v>
      </c>
      <c r="V7336" s="1192">
        <v>11</v>
      </c>
    </row>
    <row r="7337" spans="1:22" s="1192" customFormat="1" ht="14.4" x14ac:dyDescent="0.3">
      <c r="A7337" s="1192" t="s">
        <v>170</v>
      </c>
      <c r="E7337" s="1743" t="s">
        <v>2391</v>
      </c>
      <c r="F7337" s="1743"/>
      <c r="G7337" s="1743"/>
      <c r="H7337" s="1743"/>
      <c r="K7337" s="1192" t="s">
        <v>3901</v>
      </c>
      <c r="V7337" s="1192">
        <v>280</v>
      </c>
    </row>
    <row r="7338" spans="1:22" s="1192" customFormat="1" ht="14.4" x14ac:dyDescent="0.3">
      <c r="A7338" s="1192" t="s">
        <v>170</v>
      </c>
      <c r="E7338" s="1743" t="s">
        <v>2392</v>
      </c>
      <c r="F7338" s="1743"/>
      <c r="G7338" s="1743"/>
      <c r="H7338" s="1743"/>
      <c r="K7338" s="1192" t="s">
        <v>3901</v>
      </c>
      <c r="V7338" s="1192">
        <v>411</v>
      </c>
    </row>
    <row r="7339" spans="1:22" s="1192" customFormat="1" ht="14.4" x14ac:dyDescent="0.3">
      <c r="A7339" s="1192" t="s">
        <v>170</v>
      </c>
      <c r="E7339" s="1743" t="s">
        <v>2393</v>
      </c>
      <c r="F7339" s="1743"/>
      <c r="G7339" s="1743"/>
      <c r="H7339" s="1743"/>
      <c r="K7339" s="1192" t="s">
        <v>3901</v>
      </c>
      <c r="V7339" s="1192">
        <v>387</v>
      </c>
    </row>
    <row r="7340" spans="1:22" s="1192" customFormat="1" ht="14.4" x14ac:dyDescent="0.3">
      <c r="A7340" s="1192" t="s">
        <v>170</v>
      </c>
      <c r="E7340" s="1743" t="s">
        <v>4500</v>
      </c>
      <c r="F7340" s="1743"/>
      <c r="G7340" s="1743"/>
      <c r="H7340" s="1743"/>
      <c r="K7340" s="1192" t="s">
        <v>3901</v>
      </c>
      <c r="V7340" s="1192">
        <v>247</v>
      </c>
    </row>
    <row r="7341" spans="1:22" s="1192" customFormat="1" ht="14.4" x14ac:dyDescent="0.3">
      <c r="A7341" s="1192" t="s">
        <v>170</v>
      </c>
      <c r="E7341" s="1750" t="s">
        <v>2394</v>
      </c>
      <c r="F7341" s="1743"/>
      <c r="G7341" s="1743"/>
      <c r="H7341" s="1743"/>
      <c r="K7341" s="1192" t="s">
        <v>2413</v>
      </c>
      <c r="V7341" s="1192">
        <v>46</v>
      </c>
    </row>
    <row r="7342" spans="1:22" s="1192" customFormat="1" ht="14.4" x14ac:dyDescent="0.3">
      <c r="A7342" s="1192" t="s">
        <v>170</v>
      </c>
      <c r="E7342" s="1741" t="s">
        <v>7</v>
      </c>
      <c r="F7342" s="1741"/>
      <c r="G7342" s="1277" t="s">
        <v>19</v>
      </c>
      <c r="H7342" s="1218">
        <v>27.06</v>
      </c>
      <c r="K7342" s="1192" t="s">
        <v>3901</v>
      </c>
      <c r="L7342" s="1192" t="s">
        <v>430</v>
      </c>
      <c r="P7342" s="1192" t="s">
        <v>3902</v>
      </c>
      <c r="V7342" s="1192">
        <v>14</v>
      </c>
    </row>
    <row r="7343" spans="1:22" s="1192" customFormat="1" ht="14.4" x14ac:dyDescent="0.3">
      <c r="A7343" s="1192" t="s">
        <v>170</v>
      </c>
      <c r="E7343" s="1741" t="s">
        <v>4643</v>
      </c>
      <c r="F7343" s="1741"/>
      <c r="G7343" s="1277" t="s">
        <v>19</v>
      </c>
      <c r="H7343" s="1218">
        <v>0.13</v>
      </c>
      <c r="K7343" s="1192" t="s">
        <v>3901</v>
      </c>
      <c r="L7343" s="1192" t="s">
        <v>430</v>
      </c>
      <c r="P7343" s="1192" t="s">
        <v>6419</v>
      </c>
      <c r="V7343" s="1192">
        <v>161</v>
      </c>
    </row>
    <row r="7344" spans="1:22" s="1192" customFormat="1" ht="14.4" x14ac:dyDescent="0.3">
      <c r="A7344" s="1192" t="s">
        <v>170</v>
      </c>
      <c r="E7344" s="1741" t="s">
        <v>3900</v>
      </c>
      <c r="F7344" s="1741"/>
      <c r="G7344" s="1277" t="s">
        <v>19</v>
      </c>
      <c r="H7344" s="1218">
        <v>0.56999999999999995</v>
      </c>
      <c r="K7344" s="1192" t="s">
        <v>3901</v>
      </c>
      <c r="L7344" s="1192" t="s">
        <v>431</v>
      </c>
      <c r="P7344" s="1192" t="s">
        <v>3903</v>
      </c>
      <c r="T7344" s="1192">
        <v>44926</v>
      </c>
      <c r="V7344" s="1192">
        <v>64</v>
      </c>
    </row>
    <row r="7345" spans="1:22" s="1192" customFormat="1" ht="14.4" x14ac:dyDescent="0.3">
      <c r="A7345" s="1192" t="s">
        <v>170</v>
      </c>
      <c r="E7345" s="1741" t="s">
        <v>80</v>
      </c>
      <c r="F7345" s="1741"/>
      <c r="G7345" s="1277" t="s">
        <v>20</v>
      </c>
      <c r="H7345" s="1219">
        <v>1.4500000000000001E-2</v>
      </c>
      <c r="K7345" s="1192" t="s">
        <v>3901</v>
      </c>
      <c r="L7345" s="1192" t="s">
        <v>430</v>
      </c>
      <c r="P7345" s="1192" t="s">
        <v>3904</v>
      </c>
      <c r="V7345" s="1192">
        <v>28</v>
      </c>
    </row>
    <row r="7346" spans="1:22" s="1192" customFormat="1" ht="14.4" x14ac:dyDescent="0.3">
      <c r="A7346" s="1192" t="s">
        <v>170</v>
      </c>
      <c r="E7346" s="1741" t="s">
        <v>6484</v>
      </c>
      <c r="F7346" s="1998"/>
      <c r="G7346" s="1277" t="s">
        <v>20</v>
      </c>
      <c r="H7346" s="1219">
        <v>1.4E-3</v>
      </c>
      <c r="K7346" s="1192" t="s">
        <v>3901</v>
      </c>
      <c r="L7346" s="1192" t="s">
        <v>431</v>
      </c>
      <c r="P7346" s="1192" t="s">
        <v>3700</v>
      </c>
      <c r="T7346" s="1192">
        <v>44316</v>
      </c>
      <c r="V7346" s="1192">
        <v>170</v>
      </c>
    </row>
    <row r="7347" spans="1:22" s="1192" customFormat="1" ht="14.4" x14ac:dyDescent="0.3">
      <c r="A7347" s="1192" t="s">
        <v>170</v>
      </c>
      <c r="E7347" s="1741" t="s">
        <v>6495</v>
      </c>
      <c r="F7347" s="1998"/>
      <c r="G7347" s="1277" t="s">
        <v>20</v>
      </c>
      <c r="H7347" s="1219">
        <v>1.5E-3</v>
      </c>
      <c r="K7347" s="1192" t="s">
        <v>3901</v>
      </c>
      <c r="L7347" s="1192" t="s">
        <v>430</v>
      </c>
      <c r="P7347" s="1192" t="s">
        <v>4000</v>
      </c>
      <c r="T7347" s="1192">
        <v>44316</v>
      </c>
      <c r="V7347" s="1192">
        <v>136</v>
      </c>
    </row>
    <row r="7348" spans="1:22" s="1192" customFormat="1" ht="14.4" x14ac:dyDescent="0.3">
      <c r="A7348" s="1192" t="s">
        <v>170</v>
      </c>
      <c r="E7348" s="1741" t="s">
        <v>6486</v>
      </c>
      <c r="F7348" s="1998"/>
      <c r="G7348" s="1277" t="s">
        <v>20</v>
      </c>
      <c r="H7348" s="1219">
        <v>-6.9999999999999999E-4</v>
      </c>
      <c r="K7348" s="1192" t="s">
        <v>3901</v>
      </c>
      <c r="L7348" s="1192" t="s">
        <v>431</v>
      </c>
      <c r="P7348" s="1192" t="s">
        <v>3911</v>
      </c>
      <c r="T7348" s="1192">
        <v>44316</v>
      </c>
      <c r="V7348" s="1192">
        <v>133</v>
      </c>
    </row>
    <row r="7349" spans="1:22" s="1192" customFormat="1" ht="14.4" x14ac:dyDescent="0.3">
      <c r="A7349" s="1192" t="s">
        <v>170</v>
      </c>
      <c r="E7349" s="1741" t="s">
        <v>6496</v>
      </c>
      <c r="F7349" s="1998"/>
      <c r="G7349" s="1277" t="s">
        <v>20</v>
      </c>
      <c r="H7349" s="1219">
        <v>-1E-4</v>
      </c>
      <c r="K7349" s="1192" t="s">
        <v>3901</v>
      </c>
      <c r="L7349" s="1192" t="s">
        <v>431</v>
      </c>
      <c r="P7349" s="1192" t="s">
        <v>4001</v>
      </c>
      <c r="T7349" s="1192">
        <v>44316</v>
      </c>
      <c r="V7349" s="1192">
        <v>177</v>
      </c>
    </row>
    <row r="7350" spans="1:22" s="1192" customFormat="1" ht="14.4" x14ac:dyDescent="0.3">
      <c r="A7350" s="1192" t="s">
        <v>170</v>
      </c>
      <c r="E7350" s="1741" t="s">
        <v>4643</v>
      </c>
      <c r="F7350" s="1741"/>
      <c r="G7350" s="1277" t="s">
        <v>20</v>
      </c>
      <c r="H7350" s="1219">
        <v>1E-4</v>
      </c>
      <c r="K7350" s="1192" t="s">
        <v>3901</v>
      </c>
      <c r="L7350" s="1192" t="s">
        <v>430</v>
      </c>
      <c r="P7350" s="1192" t="s">
        <v>6497</v>
      </c>
      <c r="V7350" s="1192">
        <v>161</v>
      </c>
    </row>
    <row r="7351" spans="1:22" s="1192" customFormat="1" ht="14.4" x14ac:dyDescent="0.3">
      <c r="A7351" s="1192" t="s">
        <v>170</v>
      </c>
      <c r="E7351" s="1741" t="s">
        <v>213</v>
      </c>
      <c r="F7351" s="1741"/>
      <c r="G7351" s="1277" t="s">
        <v>20</v>
      </c>
      <c r="H7351" s="1219">
        <v>7.4000000000000003E-3</v>
      </c>
      <c r="K7351" s="1192" t="s">
        <v>3901</v>
      </c>
      <c r="L7351" s="1192" t="s">
        <v>432</v>
      </c>
      <c r="P7351" s="1192" t="s">
        <v>3906</v>
      </c>
      <c r="V7351" s="1192">
        <v>47</v>
      </c>
    </row>
    <row r="7352" spans="1:22" s="1192" customFormat="1" ht="14.4" x14ac:dyDescent="0.3">
      <c r="A7352" s="1192" t="s">
        <v>170</v>
      </c>
      <c r="E7352" s="1741" t="s">
        <v>209</v>
      </c>
      <c r="F7352" s="1741"/>
      <c r="G7352" s="1277" t="s">
        <v>20</v>
      </c>
      <c r="H7352" s="1219">
        <v>6.1999999999999998E-3</v>
      </c>
      <c r="K7352" s="1192" t="s">
        <v>3901</v>
      </c>
      <c r="L7352" s="1192" t="s">
        <v>432</v>
      </c>
      <c r="P7352" s="1192" t="s">
        <v>3907</v>
      </c>
      <c r="V7352" s="1192">
        <v>74</v>
      </c>
    </row>
    <row r="7353" spans="1:22" s="1192" customFormat="1" ht="14.4" x14ac:dyDescent="0.3">
      <c r="A7353" s="1192" t="s">
        <v>170</v>
      </c>
      <c r="E7353" s="1750" t="s">
        <v>2405</v>
      </c>
      <c r="F7353" s="1741"/>
      <c r="G7353" s="1277"/>
      <c r="H7353" s="896"/>
      <c r="K7353" s="1192" t="s">
        <v>2418</v>
      </c>
      <c r="V7353" s="1192">
        <v>48</v>
      </c>
    </row>
    <row r="7354" spans="1:22" s="1192" customFormat="1" ht="14.4" x14ac:dyDescent="0.3">
      <c r="A7354" s="1192" t="s">
        <v>170</v>
      </c>
      <c r="E7354" s="1741" t="s">
        <v>2033</v>
      </c>
      <c r="F7354" s="1741"/>
      <c r="G7354" s="1277" t="s">
        <v>20</v>
      </c>
      <c r="H7354" s="1219">
        <v>3.0000000000000001E-3</v>
      </c>
      <c r="K7354" s="1192" t="s">
        <v>3901</v>
      </c>
      <c r="L7354" s="1192" t="s">
        <v>2374</v>
      </c>
      <c r="P7354" s="1192" t="s">
        <v>3908</v>
      </c>
      <c r="V7354" s="1192">
        <v>55</v>
      </c>
    </row>
    <row r="7355" spans="1:22" s="1192" customFormat="1" ht="14.4" x14ac:dyDescent="0.3">
      <c r="A7355" s="1192" t="s">
        <v>170</v>
      </c>
      <c r="E7355" s="1741" t="s">
        <v>2034</v>
      </c>
      <c r="F7355" s="1741"/>
      <c r="G7355" s="1277" t="s">
        <v>20</v>
      </c>
      <c r="H7355" s="1219">
        <v>4.0000000000000002E-4</v>
      </c>
      <c r="K7355" s="1192" t="s">
        <v>3901</v>
      </c>
      <c r="L7355" s="1192" t="s">
        <v>2374</v>
      </c>
      <c r="P7355" s="1192" t="s">
        <v>3908</v>
      </c>
      <c r="V7355" s="1192">
        <v>65</v>
      </c>
    </row>
    <row r="7356" spans="1:22" s="1192" customFormat="1" ht="14.4" x14ac:dyDescent="0.3">
      <c r="A7356" s="1192" t="s">
        <v>170</v>
      </c>
      <c r="E7356" s="1741" t="s">
        <v>428</v>
      </c>
      <c r="F7356" s="1741"/>
      <c r="G7356" s="1277" t="s">
        <v>20</v>
      </c>
      <c r="H7356" s="1219">
        <v>5.0000000000000001E-4</v>
      </c>
      <c r="K7356" s="1192" t="s">
        <v>3901</v>
      </c>
      <c r="L7356" s="1192" t="s">
        <v>2374</v>
      </c>
      <c r="P7356" s="1192" t="s">
        <v>3909</v>
      </c>
      <c r="V7356" s="1192">
        <v>57</v>
      </c>
    </row>
    <row r="7357" spans="1:22" s="1192" customFormat="1" ht="14.4" x14ac:dyDescent="0.3">
      <c r="A7357" s="1192" t="s">
        <v>170</v>
      </c>
      <c r="E7357" s="1741" t="s">
        <v>28</v>
      </c>
      <c r="F7357" s="1741"/>
      <c r="G7357" s="1277" t="s">
        <v>19</v>
      </c>
      <c r="H7357" s="1218">
        <v>0.25</v>
      </c>
      <c r="K7357" s="1192" t="s">
        <v>3901</v>
      </c>
      <c r="L7357" s="1192" t="s">
        <v>2374</v>
      </c>
      <c r="P7357" s="1192" t="s">
        <v>3910</v>
      </c>
      <c r="V7357" s="1192">
        <v>63</v>
      </c>
    </row>
    <row r="7358" spans="1:22" s="1192" customFormat="1" ht="17.399999999999999" x14ac:dyDescent="0.3">
      <c r="A7358" s="1192" t="s">
        <v>170</v>
      </c>
      <c r="E7358" s="1746" t="s">
        <v>591</v>
      </c>
      <c r="F7358" s="1747"/>
      <c r="G7358" s="1747"/>
      <c r="H7358" s="1747"/>
      <c r="K7358" s="1192" t="s">
        <v>4388</v>
      </c>
      <c r="V7358" s="1192">
        <v>53</v>
      </c>
    </row>
    <row r="7359" spans="1:22" s="1192" customFormat="1" ht="14.4" x14ac:dyDescent="0.3">
      <c r="A7359" s="1192" t="s">
        <v>170</v>
      </c>
      <c r="E7359" s="1743" t="s">
        <v>2675</v>
      </c>
      <c r="F7359" s="1743"/>
      <c r="G7359" s="1743"/>
      <c r="H7359" s="1743"/>
      <c r="K7359" s="1192" t="s">
        <v>4388</v>
      </c>
      <c r="V7359" s="1192">
        <v>403</v>
      </c>
    </row>
    <row r="7360" spans="1:22" s="1192" customFormat="1" ht="14.4" x14ac:dyDescent="0.3">
      <c r="A7360" s="1192" t="s">
        <v>170</v>
      </c>
      <c r="E7360" s="1750" t="s">
        <v>2389</v>
      </c>
      <c r="F7360" s="1743"/>
      <c r="G7360" s="1743"/>
      <c r="H7360" s="1743"/>
      <c r="K7360" s="1192" t="s">
        <v>2422</v>
      </c>
      <c r="V7360" s="1192">
        <v>11</v>
      </c>
    </row>
    <row r="7361" spans="1:22" s="1192" customFormat="1" ht="14.4" x14ac:dyDescent="0.3">
      <c r="A7361" s="1192" t="s">
        <v>170</v>
      </c>
      <c r="E7361" s="1743" t="s">
        <v>2391</v>
      </c>
      <c r="F7361" s="1743"/>
      <c r="G7361" s="1743"/>
      <c r="H7361" s="1743"/>
      <c r="K7361" s="1192" t="s">
        <v>4388</v>
      </c>
      <c r="V7361" s="1192">
        <v>280</v>
      </c>
    </row>
    <row r="7362" spans="1:22" s="1192" customFormat="1" ht="14.4" x14ac:dyDescent="0.3">
      <c r="A7362" s="1192" t="s">
        <v>170</v>
      </c>
      <c r="E7362" s="1743" t="s">
        <v>2392</v>
      </c>
      <c r="F7362" s="1743"/>
      <c r="G7362" s="1743"/>
      <c r="H7362" s="1743"/>
      <c r="K7362" s="1192" t="s">
        <v>4388</v>
      </c>
      <c r="V7362" s="1192">
        <v>411</v>
      </c>
    </row>
    <row r="7363" spans="1:22" s="1192" customFormat="1" ht="14.4" x14ac:dyDescent="0.3">
      <c r="A7363" s="1192" t="s">
        <v>170</v>
      </c>
      <c r="E7363" s="1743" t="s">
        <v>2393</v>
      </c>
      <c r="F7363" s="1743"/>
      <c r="G7363" s="1743"/>
      <c r="H7363" s="1743"/>
      <c r="K7363" s="1192" t="s">
        <v>4388</v>
      </c>
      <c r="V7363" s="1192">
        <v>387</v>
      </c>
    </row>
    <row r="7364" spans="1:22" s="1192" customFormat="1" ht="14.4" x14ac:dyDescent="0.3">
      <c r="A7364" s="1192" t="s">
        <v>170</v>
      </c>
      <c r="E7364" s="1743" t="s">
        <v>4503</v>
      </c>
      <c r="F7364" s="1743"/>
      <c r="G7364" s="1743"/>
      <c r="H7364" s="1743"/>
      <c r="K7364" s="1192" t="s">
        <v>4388</v>
      </c>
      <c r="V7364" s="1192">
        <v>677</v>
      </c>
    </row>
    <row r="7365" spans="1:22" s="1192" customFormat="1" ht="14.4" x14ac:dyDescent="0.3">
      <c r="A7365" s="1192" t="s">
        <v>170</v>
      </c>
      <c r="E7365" s="1743" t="s">
        <v>4644</v>
      </c>
      <c r="F7365" s="1743"/>
      <c r="G7365" s="1743"/>
      <c r="H7365" s="1743"/>
      <c r="K7365" s="1192" t="s">
        <v>4388</v>
      </c>
      <c r="V7365" s="1192">
        <v>693</v>
      </c>
    </row>
    <row r="7366" spans="1:22" s="1192" customFormat="1" ht="14.4" x14ac:dyDescent="0.3">
      <c r="A7366" s="1192" t="s">
        <v>170</v>
      </c>
      <c r="E7366" s="1743" t="s">
        <v>4500</v>
      </c>
      <c r="F7366" s="1743"/>
      <c r="G7366" s="1743"/>
      <c r="H7366" s="1743"/>
      <c r="K7366" s="1192" t="s">
        <v>4388</v>
      </c>
      <c r="V7366" s="1192">
        <v>247</v>
      </c>
    </row>
    <row r="7367" spans="1:22" s="1192" customFormat="1" ht="14.4" x14ac:dyDescent="0.3">
      <c r="A7367" s="1192" t="s">
        <v>170</v>
      </c>
      <c r="E7367" s="1750" t="s">
        <v>2394</v>
      </c>
      <c r="F7367" s="1743"/>
      <c r="G7367" s="1743"/>
      <c r="H7367" s="1743"/>
      <c r="K7367" s="1192" t="s">
        <v>2423</v>
      </c>
      <c r="V7367" s="1192">
        <v>46</v>
      </c>
    </row>
    <row r="7368" spans="1:22" s="1192" customFormat="1" ht="14.4" x14ac:dyDescent="0.3">
      <c r="A7368" s="1192" t="s">
        <v>170</v>
      </c>
      <c r="E7368" s="1741" t="s">
        <v>7</v>
      </c>
      <c r="F7368" s="1741"/>
      <c r="G7368" s="1277" t="s">
        <v>19</v>
      </c>
      <c r="H7368" s="1218">
        <v>63.44</v>
      </c>
      <c r="K7368" s="1192" t="s">
        <v>4388</v>
      </c>
      <c r="L7368" s="1192" t="s">
        <v>430</v>
      </c>
      <c r="P7368" s="1192" t="s">
        <v>4389</v>
      </c>
      <c r="V7368" s="1192">
        <v>14</v>
      </c>
    </row>
    <row r="7369" spans="1:22" s="1192" customFormat="1" ht="14.4" x14ac:dyDescent="0.3">
      <c r="A7369" s="1192" t="s">
        <v>170</v>
      </c>
      <c r="E7369" s="1741" t="s">
        <v>4643</v>
      </c>
      <c r="F7369" s="1741"/>
      <c r="G7369" s="1277" t="s">
        <v>19</v>
      </c>
      <c r="H7369" s="1218">
        <v>0.3</v>
      </c>
      <c r="K7369" s="1192" t="s">
        <v>4388</v>
      </c>
      <c r="L7369" s="1192" t="s">
        <v>430</v>
      </c>
      <c r="P7369" s="1192" t="s">
        <v>6420</v>
      </c>
      <c r="V7369" s="1192">
        <v>161</v>
      </c>
    </row>
    <row r="7370" spans="1:22" s="1192" customFormat="1" ht="14.4" x14ac:dyDescent="0.3">
      <c r="A7370" s="1192" t="s">
        <v>170</v>
      </c>
      <c r="E7370" s="1741" t="s">
        <v>80</v>
      </c>
      <c r="F7370" s="1741"/>
      <c r="G7370" s="1277" t="s">
        <v>29</v>
      </c>
      <c r="H7370" s="1219">
        <v>3.1231</v>
      </c>
      <c r="K7370" s="1192" t="s">
        <v>4388</v>
      </c>
      <c r="L7370" s="1192" t="s">
        <v>430</v>
      </c>
      <c r="P7370" s="1192" t="s">
        <v>4390</v>
      </c>
      <c r="V7370" s="1192">
        <v>28</v>
      </c>
    </row>
    <row r="7371" spans="1:22" s="1192" customFormat="1" ht="14.4" x14ac:dyDescent="0.3">
      <c r="A7371" s="1192" t="s">
        <v>170</v>
      </c>
      <c r="E7371" s="1741" t="s">
        <v>6484</v>
      </c>
      <c r="F7371" s="1998"/>
      <c r="G7371" s="1277" t="s">
        <v>20</v>
      </c>
      <c r="H7371" s="1219">
        <v>1.4E-3</v>
      </c>
      <c r="K7371" s="1192" t="s">
        <v>4388</v>
      </c>
      <c r="L7371" s="1192" t="s">
        <v>431</v>
      </c>
      <c r="P7371" s="1192" t="s">
        <v>4397</v>
      </c>
      <c r="T7371" s="1192">
        <v>44316</v>
      </c>
      <c r="V7371" s="1192">
        <v>170</v>
      </c>
    </row>
    <row r="7372" spans="1:22" s="1192" customFormat="1" ht="14.4" x14ac:dyDescent="0.3">
      <c r="A7372" s="1192" t="s">
        <v>170</v>
      </c>
      <c r="E7372" s="1741" t="s">
        <v>6495</v>
      </c>
      <c r="F7372" s="1998"/>
      <c r="G7372" s="1277" t="s">
        <v>29</v>
      </c>
      <c r="H7372" s="1219">
        <v>0.17030000000000001</v>
      </c>
      <c r="K7372" s="1192" t="s">
        <v>4388</v>
      </c>
      <c r="L7372" s="1192" t="s">
        <v>430</v>
      </c>
      <c r="P7372" s="1192" t="s">
        <v>4400</v>
      </c>
      <c r="T7372" s="1192">
        <v>44316</v>
      </c>
      <c r="V7372" s="1192">
        <v>136</v>
      </c>
    </row>
    <row r="7373" spans="1:22" s="1192" customFormat="1" ht="14.4" x14ac:dyDescent="0.3">
      <c r="A7373" s="1192" t="s">
        <v>170</v>
      </c>
      <c r="E7373" s="1741" t="s">
        <v>6486</v>
      </c>
      <c r="F7373" s="1998"/>
      <c r="G7373" s="1277" t="s">
        <v>29</v>
      </c>
      <c r="H7373" s="1219">
        <v>-0.2452</v>
      </c>
      <c r="K7373" s="1192" t="s">
        <v>4388</v>
      </c>
      <c r="L7373" s="1192" t="s">
        <v>431</v>
      </c>
      <c r="P7373" s="1192" t="s">
        <v>4398</v>
      </c>
      <c r="T7373" s="1192">
        <v>44316</v>
      </c>
      <c r="V7373" s="1192">
        <v>133</v>
      </c>
    </row>
    <row r="7374" spans="1:22" s="1192" customFormat="1" ht="14.4" x14ac:dyDescent="0.3">
      <c r="A7374" s="1192" t="s">
        <v>170</v>
      </c>
      <c r="E7374" s="1741" t="s">
        <v>6496</v>
      </c>
      <c r="F7374" s="1998"/>
      <c r="G7374" s="1277" t="s">
        <v>29</v>
      </c>
      <c r="H7374" s="1219">
        <v>-0.03</v>
      </c>
      <c r="K7374" s="1192" t="s">
        <v>4388</v>
      </c>
      <c r="L7374" s="1192" t="s">
        <v>431</v>
      </c>
      <c r="P7374" s="1192" t="s">
        <v>4401</v>
      </c>
      <c r="T7374" s="1192">
        <v>44316</v>
      </c>
      <c r="V7374" s="1192">
        <v>177</v>
      </c>
    </row>
    <row r="7375" spans="1:22" s="1192" customFormat="1" ht="14.4" x14ac:dyDescent="0.3">
      <c r="A7375" s="1192" t="s">
        <v>170</v>
      </c>
      <c r="E7375" s="1741" t="s">
        <v>4643</v>
      </c>
      <c r="F7375" s="1741"/>
      <c r="G7375" s="1277" t="s">
        <v>29</v>
      </c>
      <c r="H7375" s="1219">
        <v>1.4800000000000001E-2</v>
      </c>
      <c r="K7375" s="1192" t="s">
        <v>4388</v>
      </c>
      <c r="L7375" s="1192" t="s">
        <v>430</v>
      </c>
      <c r="P7375" s="1192" t="s">
        <v>6498</v>
      </c>
      <c r="V7375" s="1192">
        <v>161</v>
      </c>
    </row>
    <row r="7376" spans="1:22" s="1192" customFormat="1" ht="14.4" x14ac:dyDescent="0.3">
      <c r="A7376" s="1192" t="s">
        <v>170</v>
      </c>
      <c r="E7376" s="1741" t="s">
        <v>215</v>
      </c>
      <c r="F7376" s="1741"/>
      <c r="G7376" s="1277" t="s">
        <v>29</v>
      </c>
      <c r="H7376" s="1219">
        <v>3.0608</v>
      </c>
      <c r="K7376" s="1192" t="s">
        <v>4388</v>
      </c>
      <c r="L7376" s="1192" t="s">
        <v>432</v>
      </c>
      <c r="P7376" s="1192" t="s">
        <v>4392</v>
      </c>
      <c r="V7376" s="1192">
        <v>66</v>
      </c>
    </row>
    <row r="7377" spans="1:22" s="1192" customFormat="1" ht="14.4" x14ac:dyDescent="0.3">
      <c r="A7377" s="1192" t="s">
        <v>170</v>
      </c>
      <c r="E7377" s="1741" t="s">
        <v>3703</v>
      </c>
      <c r="F7377" s="1741"/>
      <c r="G7377" s="1277" t="s">
        <v>29</v>
      </c>
      <c r="H7377" s="1219">
        <v>2.7031999999999998</v>
      </c>
      <c r="K7377" s="1192" t="s">
        <v>4388</v>
      </c>
      <c r="L7377" s="1192" t="s">
        <v>432</v>
      </c>
      <c r="P7377" s="1192" t="s">
        <v>4393</v>
      </c>
      <c r="V7377" s="1192">
        <v>94</v>
      </c>
    </row>
    <row r="7378" spans="1:22" s="1192" customFormat="1" ht="14.4" x14ac:dyDescent="0.3">
      <c r="A7378" s="1192" t="s">
        <v>170</v>
      </c>
      <c r="E7378" s="1750" t="s">
        <v>2405</v>
      </c>
      <c r="F7378" s="1741"/>
      <c r="G7378" s="1277"/>
      <c r="H7378" s="896"/>
      <c r="K7378" s="1192" t="s">
        <v>2526</v>
      </c>
      <c r="V7378" s="1192">
        <v>48</v>
      </c>
    </row>
    <row r="7379" spans="1:22" s="1192" customFormat="1" ht="14.4" x14ac:dyDescent="0.3">
      <c r="A7379" s="1192" t="s">
        <v>170</v>
      </c>
      <c r="E7379" s="1741" t="s">
        <v>2033</v>
      </c>
      <c r="F7379" s="1741"/>
      <c r="G7379" s="1277" t="s">
        <v>20</v>
      </c>
      <c r="H7379" s="1219">
        <v>3.0000000000000001E-3</v>
      </c>
      <c r="K7379" s="1192" t="s">
        <v>4388</v>
      </c>
      <c r="L7379" s="1192" t="s">
        <v>2374</v>
      </c>
      <c r="P7379" s="1192" t="s">
        <v>4394</v>
      </c>
      <c r="V7379" s="1192">
        <v>55</v>
      </c>
    </row>
    <row r="7380" spans="1:22" s="1192" customFormat="1" ht="14.4" x14ac:dyDescent="0.3">
      <c r="A7380" s="1192" t="s">
        <v>170</v>
      </c>
      <c r="E7380" s="1741" t="s">
        <v>2034</v>
      </c>
      <c r="F7380" s="1741"/>
      <c r="G7380" s="1277" t="s">
        <v>20</v>
      </c>
      <c r="H7380" s="1219">
        <v>4.0000000000000002E-4</v>
      </c>
      <c r="K7380" s="1192" t="s">
        <v>4388</v>
      </c>
      <c r="L7380" s="1192" t="s">
        <v>2374</v>
      </c>
      <c r="P7380" s="1192" t="s">
        <v>4394</v>
      </c>
      <c r="V7380" s="1192">
        <v>65</v>
      </c>
    </row>
    <row r="7381" spans="1:22" s="1192" customFormat="1" ht="14.4" x14ac:dyDescent="0.3">
      <c r="A7381" s="1192" t="s">
        <v>170</v>
      </c>
      <c r="E7381" s="1741" t="s">
        <v>428</v>
      </c>
      <c r="F7381" s="1741"/>
      <c r="G7381" s="1277" t="s">
        <v>20</v>
      </c>
      <c r="H7381" s="1219">
        <v>5.0000000000000001E-4</v>
      </c>
      <c r="K7381" s="1192" t="s">
        <v>4388</v>
      </c>
      <c r="L7381" s="1192" t="s">
        <v>2374</v>
      </c>
      <c r="P7381" s="1192" t="s">
        <v>4395</v>
      </c>
      <c r="V7381" s="1192">
        <v>57</v>
      </c>
    </row>
    <row r="7382" spans="1:22" s="1192" customFormat="1" ht="14.4" x14ac:dyDescent="0.3">
      <c r="A7382" s="1192" t="s">
        <v>170</v>
      </c>
      <c r="E7382" s="1741" t="s">
        <v>28</v>
      </c>
      <c r="F7382" s="1741"/>
      <c r="G7382" s="1277" t="s">
        <v>19</v>
      </c>
      <c r="H7382" s="1218">
        <v>0.25</v>
      </c>
      <c r="K7382" s="1192" t="s">
        <v>4388</v>
      </c>
      <c r="L7382" s="1192" t="s">
        <v>2374</v>
      </c>
      <c r="P7382" s="1192" t="s">
        <v>4396</v>
      </c>
      <c r="V7382" s="1192">
        <v>63</v>
      </c>
    </row>
    <row r="7383" spans="1:22" s="1192" customFormat="1" ht="17.399999999999999" x14ac:dyDescent="0.3">
      <c r="A7383" s="1192" t="s">
        <v>170</v>
      </c>
      <c r="E7383" s="1746" t="s">
        <v>592</v>
      </c>
      <c r="F7383" s="1747"/>
      <c r="G7383" s="1747"/>
      <c r="H7383" s="1747"/>
      <c r="K7383" s="1192" t="s">
        <v>2676</v>
      </c>
      <c r="V7383" s="1192">
        <v>47</v>
      </c>
    </row>
    <row r="7384" spans="1:22" s="1192" customFormat="1" ht="14.4" x14ac:dyDescent="0.3">
      <c r="A7384" s="1192" t="s">
        <v>170</v>
      </c>
      <c r="E7384" s="1743" t="s">
        <v>2677</v>
      </c>
      <c r="F7384" s="1743"/>
      <c r="G7384" s="1743"/>
      <c r="H7384" s="1743"/>
      <c r="K7384" s="1192" t="s">
        <v>2676</v>
      </c>
      <c r="V7384" s="1192">
        <v>732</v>
      </c>
    </row>
    <row r="7385" spans="1:22" s="1192" customFormat="1" ht="14.4" x14ac:dyDescent="0.3">
      <c r="A7385" s="1192" t="s">
        <v>170</v>
      </c>
      <c r="E7385" s="1750" t="s">
        <v>2389</v>
      </c>
      <c r="F7385" s="1743"/>
      <c r="G7385" s="1743"/>
      <c r="H7385" s="1743"/>
      <c r="K7385" s="1192" t="s">
        <v>2529</v>
      </c>
      <c r="V7385" s="1192">
        <v>11</v>
      </c>
    </row>
    <row r="7386" spans="1:22" s="1192" customFormat="1" ht="14.4" x14ac:dyDescent="0.3">
      <c r="A7386" s="1192" t="s">
        <v>170</v>
      </c>
      <c r="E7386" s="1743" t="s">
        <v>2391</v>
      </c>
      <c r="F7386" s="1743"/>
      <c r="G7386" s="1743"/>
      <c r="H7386" s="1743"/>
      <c r="K7386" s="1192" t="s">
        <v>2676</v>
      </c>
      <c r="V7386" s="1192">
        <v>280</v>
      </c>
    </row>
    <row r="7387" spans="1:22" s="1192" customFormat="1" ht="14.4" x14ac:dyDescent="0.3">
      <c r="A7387" s="1192" t="s">
        <v>170</v>
      </c>
      <c r="E7387" s="1743" t="s">
        <v>2392</v>
      </c>
      <c r="F7387" s="1743"/>
      <c r="G7387" s="1743"/>
      <c r="H7387" s="1743"/>
      <c r="K7387" s="1192" t="s">
        <v>2676</v>
      </c>
      <c r="V7387" s="1192">
        <v>411</v>
      </c>
    </row>
    <row r="7388" spans="1:22" s="1192" customFormat="1" ht="14.4" x14ac:dyDescent="0.3">
      <c r="A7388" s="1192" t="s">
        <v>170</v>
      </c>
      <c r="E7388" s="1743" t="s">
        <v>2393</v>
      </c>
      <c r="F7388" s="1743"/>
      <c r="G7388" s="1743"/>
      <c r="H7388" s="1743"/>
      <c r="K7388" s="1192" t="s">
        <v>2676</v>
      </c>
      <c r="V7388" s="1192">
        <v>387</v>
      </c>
    </row>
    <row r="7389" spans="1:22" s="1192" customFormat="1" ht="14.4" x14ac:dyDescent="0.3">
      <c r="A7389" s="1192" t="s">
        <v>170</v>
      </c>
      <c r="E7389" s="1743" t="s">
        <v>4500</v>
      </c>
      <c r="F7389" s="1743"/>
      <c r="G7389" s="1743"/>
      <c r="H7389" s="1743"/>
      <c r="K7389" s="1192" t="s">
        <v>2676</v>
      </c>
      <c r="V7389" s="1192">
        <v>247</v>
      </c>
    </row>
    <row r="7390" spans="1:22" s="1192" customFormat="1" ht="14.4" x14ac:dyDescent="0.3">
      <c r="A7390" s="1192" t="s">
        <v>170</v>
      </c>
      <c r="E7390" s="1750" t="s">
        <v>2394</v>
      </c>
      <c r="F7390" s="1743"/>
      <c r="G7390" s="1743"/>
      <c r="H7390" s="1743"/>
      <c r="K7390" s="1192" t="s">
        <v>2531</v>
      </c>
      <c r="V7390" s="1192">
        <v>46</v>
      </c>
    </row>
    <row r="7391" spans="1:22" s="1192" customFormat="1" ht="14.4" x14ac:dyDescent="0.3">
      <c r="A7391" s="1192" t="s">
        <v>170</v>
      </c>
      <c r="E7391" s="1741" t="s">
        <v>7</v>
      </c>
      <c r="F7391" s="1741"/>
      <c r="G7391" s="1277" t="s">
        <v>19</v>
      </c>
      <c r="H7391" s="1218">
        <v>9.73</v>
      </c>
      <c r="K7391" s="1192" t="s">
        <v>2676</v>
      </c>
      <c r="L7391" s="1192" t="s">
        <v>430</v>
      </c>
      <c r="P7391" s="1192" t="s">
        <v>2678</v>
      </c>
      <c r="V7391" s="1192">
        <v>14</v>
      </c>
    </row>
    <row r="7392" spans="1:22" s="1192" customFormat="1" ht="14.4" x14ac:dyDescent="0.3">
      <c r="A7392" s="1192" t="s">
        <v>170</v>
      </c>
      <c r="E7392" s="1741" t="s">
        <v>4643</v>
      </c>
      <c r="F7392" s="1741"/>
      <c r="G7392" s="1277" t="s">
        <v>19</v>
      </c>
      <c r="H7392" s="1218">
        <v>0.05</v>
      </c>
      <c r="K7392" s="1192" t="s">
        <v>2676</v>
      </c>
      <c r="L7392" s="1192" t="s">
        <v>430</v>
      </c>
      <c r="P7392" s="1192" t="s">
        <v>6499</v>
      </c>
      <c r="V7392" s="1192">
        <v>161</v>
      </c>
    </row>
    <row r="7393" spans="1:22" s="1192" customFormat="1" ht="14.4" x14ac:dyDescent="0.3">
      <c r="A7393" s="1192" t="s">
        <v>170</v>
      </c>
      <c r="E7393" s="1741" t="s">
        <v>80</v>
      </c>
      <c r="F7393" s="1741"/>
      <c r="G7393" s="1277" t="s">
        <v>20</v>
      </c>
      <c r="H7393" s="1219">
        <v>1.6899999999999998E-2</v>
      </c>
      <c r="K7393" s="1192" t="s">
        <v>2676</v>
      </c>
      <c r="L7393" s="1192" t="s">
        <v>430</v>
      </c>
      <c r="P7393" s="1192" t="s">
        <v>2679</v>
      </c>
      <c r="V7393" s="1192">
        <v>28</v>
      </c>
    </row>
    <row r="7394" spans="1:22" s="1192" customFormat="1" ht="14.4" x14ac:dyDescent="0.3">
      <c r="A7394" s="1192" t="s">
        <v>170</v>
      </c>
      <c r="E7394" s="1741" t="s">
        <v>6496</v>
      </c>
      <c r="F7394" s="1998"/>
      <c r="G7394" s="1277" t="s">
        <v>20</v>
      </c>
      <c r="H7394" s="1219">
        <v>-1E-4</v>
      </c>
      <c r="K7394" s="1192" t="s">
        <v>2676</v>
      </c>
      <c r="L7394" s="1192" t="s">
        <v>431</v>
      </c>
      <c r="P7394" s="1192" t="s">
        <v>3898</v>
      </c>
      <c r="T7394" s="1192">
        <v>44316</v>
      </c>
      <c r="V7394" s="1192">
        <v>177</v>
      </c>
    </row>
    <row r="7395" spans="1:22" s="1192" customFormat="1" ht="14.4" x14ac:dyDescent="0.3">
      <c r="A7395" s="1192" t="s">
        <v>170</v>
      </c>
      <c r="E7395" s="1741" t="s">
        <v>6495</v>
      </c>
      <c r="F7395" s="1998"/>
      <c r="G7395" s="1277" t="s">
        <v>20</v>
      </c>
      <c r="H7395" s="1219">
        <v>-4.0000000000000002E-4</v>
      </c>
      <c r="K7395" s="1192" t="s">
        <v>2676</v>
      </c>
      <c r="L7395" s="1192" t="s">
        <v>430</v>
      </c>
      <c r="P7395" s="1192" t="s">
        <v>2680</v>
      </c>
      <c r="T7395" s="1192">
        <v>44316</v>
      </c>
      <c r="V7395" s="1192">
        <v>136</v>
      </c>
    </row>
    <row r="7396" spans="1:22" s="1192" customFormat="1" ht="14.4" x14ac:dyDescent="0.3">
      <c r="A7396" s="1192" t="s">
        <v>170</v>
      </c>
      <c r="E7396" s="1741" t="s">
        <v>6486</v>
      </c>
      <c r="F7396" s="1998"/>
      <c r="G7396" s="1277" t="s">
        <v>20</v>
      </c>
      <c r="H7396" s="1219">
        <v>-6.9999999999999999E-4</v>
      </c>
      <c r="K7396" s="1192" t="s">
        <v>2676</v>
      </c>
      <c r="L7396" s="1192" t="s">
        <v>431</v>
      </c>
      <c r="P7396" s="1192" t="s">
        <v>2681</v>
      </c>
      <c r="T7396" s="1192">
        <v>44316</v>
      </c>
      <c r="V7396" s="1192">
        <v>133</v>
      </c>
    </row>
    <row r="7397" spans="1:22" s="1192" customFormat="1" ht="14.4" x14ac:dyDescent="0.3">
      <c r="A7397" s="1192" t="s">
        <v>170</v>
      </c>
      <c r="E7397" s="1741" t="s">
        <v>4643</v>
      </c>
      <c r="F7397" s="1741"/>
      <c r="G7397" s="1277" t="s">
        <v>20</v>
      </c>
      <c r="H7397" s="1219">
        <v>1E-4</v>
      </c>
      <c r="K7397" s="1192" t="s">
        <v>2676</v>
      </c>
      <c r="L7397" s="1192" t="s">
        <v>430</v>
      </c>
      <c r="P7397" s="1192" t="s">
        <v>6500</v>
      </c>
      <c r="V7397" s="1192">
        <v>161</v>
      </c>
    </row>
    <row r="7398" spans="1:22" s="1192" customFormat="1" ht="14.4" x14ac:dyDescent="0.3">
      <c r="A7398" s="1192" t="s">
        <v>170</v>
      </c>
      <c r="E7398" s="1741" t="s">
        <v>213</v>
      </c>
      <c r="F7398" s="1741"/>
      <c r="G7398" s="1277" t="s">
        <v>20</v>
      </c>
      <c r="H7398" s="1219">
        <v>7.4000000000000003E-3</v>
      </c>
      <c r="K7398" s="1192" t="s">
        <v>2676</v>
      </c>
      <c r="L7398" s="1192" t="s">
        <v>432</v>
      </c>
      <c r="P7398" s="1192" t="s">
        <v>2682</v>
      </c>
      <c r="V7398" s="1192">
        <v>47</v>
      </c>
    </row>
    <row r="7399" spans="1:22" s="1192" customFormat="1" ht="14.4" x14ac:dyDescent="0.3">
      <c r="A7399" s="1192" t="s">
        <v>170</v>
      </c>
      <c r="E7399" s="1741" t="s">
        <v>209</v>
      </c>
      <c r="F7399" s="1741"/>
      <c r="G7399" s="1277" t="s">
        <v>20</v>
      </c>
      <c r="H7399" s="1219">
        <v>6.1999999999999998E-3</v>
      </c>
      <c r="K7399" s="1192" t="s">
        <v>2676</v>
      </c>
      <c r="L7399" s="1192" t="s">
        <v>432</v>
      </c>
      <c r="P7399" s="1192" t="s">
        <v>2683</v>
      </c>
      <c r="V7399" s="1192">
        <v>74</v>
      </c>
    </row>
    <row r="7400" spans="1:22" s="1192" customFormat="1" ht="14.4" x14ac:dyDescent="0.3">
      <c r="A7400" s="1192" t="s">
        <v>170</v>
      </c>
      <c r="E7400" s="1750" t="s">
        <v>2405</v>
      </c>
      <c r="F7400" s="1741"/>
      <c r="G7400" s="1277"/>
      <c r="H7400" s="896"/>
      <c r="K7400" s="1192" t="s">
        <v>2532</v>
      </c>
      <c r="V7400" s="1192">
        <v>48</v>
      </c>
    </row>
    <row r="7401" spans="1:22" s="1192" customFormat="1" ht="14.4" x14ac:dyDescent="0.3">
      <c r="A7401" s="1192" t="s">
        <v>170</v>
      </c>
      <c r="E7401" s="1741" t="s">
        <v>2033</v>
      </c>
      <c r="F7401" s="1741"/>
      <c r="G7401" s="1277" t="s">
        <v>20</v>
      </c>
      <c r="H7401" s="1219">
        <v>3.0000000000000001E-3</v>
      </c>
      <c r="K7401" s="1192" t="s">
        <v>2676</v>
      </c>
      <c r="L7401" s="1192" t="s">
        <v>2374</v>
      </c>
      <c r="P7401" s="1192" t="s">
        <v>2684</v>
      </c>
      <c r="V7401" s="1192">
        <v>55</v>
      </c>
    </row>
    <row r="7402" spans="1:22" s="1192" customFormat="1" ht="14.4" x14ac:dyDescent="0.3">
      <c r="A7402" s="1192" t="s">
        <v>170</v>
      </c>
      <c r="E7402" s="1741" t="s">
        <v>2034</v>
      </c>
      <c r="F7402" s="1741"/>
      <c r="G7402" s="1277" t="s">
        <v>20</v>
      </c>
      <c r="H7402" s="1219">
        <v>4.0000000000000002E-4</v>
      </c>
      <c r="K7402" s="1192" t="s">
        <v>2676</v>
      </c>
      <c r="L7402" s="1192" t="s">
        <v>2374</v>
      </c>
      <c r="P7402" s="1192" t="s">
        <v>2684</v>
      </c>
      <c r="V7402" s="1192">
        <v>65</v>
      </c>
    </row>
    <row r="7403" spans="1:22" s="1192" customFormat="1" ht="14.4" x14ac:dyDescent="0.3">
      <c r="A7403" s="1192" t="s">
        <v>170</v>
      </c>
      <c r="E7403" s="1741" t="s">
        <v>428</v>
      </c>
      <c r="F7403" s="1741"/>
      <c r="G7403" s="1277" t="s">
        <v>20</v>
      </c>
      <c r="H7403" s="1219">
        <v>5.0000000000000001E-4</v>
      </c>
      <c r="K7403" s="1192" t="s">
        <v>2676</v>
      </c>
      <c r="L7403" s="1192" t="s">
        <v>2374</v>
      </c>
      <c r="P7403" s="1192" t="s">
        <v>2685</v>
      </c>
      <c r="V7403" s="1192">
        <v>57</v>
      </c>
    </row>
    <row r="7404" spans="1:22" s="1192" customFormat="1" ht="14.4" x14ac:dyDescent="0.3">
      <c r="A7404" s="1192" t="s">
        <v>170</v>
      </c>
      <c r="E7404" s="1741" t="s">
        <v>28</v>
      </c>
      <c r="F7404" s="1741"/>
      <c r="G7404" s="1277" t="s">
        <v>19</v>
      </c>
      <c r="H7404" s="1218">
        <v>0.25</v>
      </c>
      <c r="K7404" s="1192" t="s">
        <v>2676</v>
      </c>
      <c r="L7404" s="1192" t="s">
        <v>2374</v>
      </c>
      <c r="P7404" s="1192" t="s">
        <v>2686</v>
      </c>
      <c r="V7404" s="1192">
        <v>63</v>
      </c>
    </row>
    <row r="7405" spans="1:22" s="1192" customFormat="1" ht="17.399999999999999" x14ac:dyDescent="0.3">
      <c r="A7405" s="1192" t="s">
        <v>170</v>
      </c>
      <c r="E7405" s="1746" t="s">
        <v>590</v>
      </c>
      <c r="F7405" s="1747"/>
      <c r="G7405" s="1747"/>
      <c r="H7405" s="1747"/>
      <c r="K7405" s="1192" t="s">
        <v>2687</v>
      </c>
      <c r="V7405" s="1192">
        <v>38</v>
      </c>
    </row>
    <row r="7406" spans="1:22" s="1192" customFormat="1" ht="14.4" x14ac:dyDescent="0.3">
      <c r="A7406" s="1192" t="s">
        <v>170</v>
      </c>
      <c r="E7406" s="1743" t="s">
        <v>2688</v>
      </c>
      <c r="F7406" s="1743"/>
      <c r="G7406" s="1743"/>
      <c r="H7406" s="1743"/>
      <c r="K7406" s="1192" t="s">
        <v>2687</v>
      </c>
      <c r="V7406" s="1192">
        <v>582</v>
      </c>
    </row>
    <row r="7407" spans="1:22" s="1192" customFormat="1" ht="14.4" x14ac:dyDescent="0.3">
      <c r="A7407" s="1192" t="s">
        <v>170</v>
      </c>
      <c r="E7407" s="1750" t="s">
        <v>2389</v>
      </c>
      <c r="F7407" s="1743"/>
      <c r="G7407" s="1743"/>
      <c r="H7407" s="1743"/>
      <c r="K7407" s="1192" t="s">
        <v>2424</v>
      </c>
      <c r="V7407" s="1192">
        <v>11</v>
      </c>
    </row>
    <row r="7408" spans="1:22" s="1192" customFormat="1" ht="14.4" x14ac:dyDescent="0.3">
      <c r="A7408" s="1192" t="s">
        <v>170</v>
      </c>
      <c r="E7408" s="1743" t="s">
        <v>2391</v>
      </c>
      <c r="F7408" s="1743"/>
      <c r="G7408" s="1743"/>
      <c r="H7408" s="1743"/>
      <c r="K7408" s="1192" t="s">
        <v>2687</v>
      </c>
      <c r="V7408" s="1192">
        <v>280</v>
      </c>
    </row>
    <row r="7409" spans="1:22" s="1192" customFormat="1" ht="14.4" x14ac:dyDescent="0.3">
      <c r="A7409" s="1192" t="s">
        <v>170</v>
      </c>
      <c r="E7409" s="1743" t="s">
        <v>2392</v>
      </c>
      <c r="F7409" s="1743"/>
      <c r="G7409" s="1743"/>
      <c r="H7409" s="1743"/>
      <c r="K7409" s="1192" t="s">
        <v>2687</v>
      </c>
      <c r="V7409" s="1192">
        <v>411</v>
      </c>
    </row>
    <row r="7410" spans="1:22" s="1192" customFormat="1" ht="14.4" x14ac:dyDescent="0.3">
      <c r="A7410" s="1192" t="s">
        <v>170</v>
      </c>
      <c r="E7410" s="1743" t="s">
        <v>2393</v>
      </c>
      <c r="F7410" s="1743"/>
      <c r="G7410" s="1743"/>
      <c r="H7410" s="1743"/>
      <c r="K7410" s="1192" t="s">
        <v>2687</v>
      </c>
      <c r="V7410" s="1192">
        <v>387</v>
      </c>
    </row>
    <row r="7411" spans="1:22" s="1192" customFormat="1" ht="14.4" x14ac:dyDescent="0.3">
      <c r="A7411" s="1192" t="s">
        <v>170</v>
      </c>
      <c r="E7411" s="1743" t="s">
        <v>4500</v>
      </c>
      <c r="F7411" s="1743"/>
      <c r="G7411" s="1743"/>
      <c r="H7411" s="1743"/>
      <c r="K7411" s="1192" t="s">
        <v>2687</v>
      </c>
      <c r="V7411" s="1192">
        <v>247</v>
      </c>
    </row>
    <row r="7412" spans="1:22" s="1192" customFormat="1" ht="14.4" x14ac:dyDescent="0.3">
      <c r="A7412" s="1192" t="s">
        <v>170</v>
      </c>
      <c r="E7412" s="1750" t="s">
        <v>2394</v>
      </c>
      <c r="F7412" s="1743"/>
      <c r="G7412" s="1743"/>
      <c r="H7412" s="1743"/>
      <c r="K7412" s="1192" t="s">
        <v>2425</v>
      </c>
      <c r="V7412" s="1192">
        <v>46</v>
      </c>
    </row>
    <row r="7413" spans="1:22" s="1192" customFormat="1" ht="14.4" x14ac:dyDescent="0.3">
      <c r="A7413" s="1192" t="s">
        <v>170</v>
      </c>
      <c r="E7413" s="1741" t="s">
        <v>7</v>
      </c>
      <c r="F7413" s="1741"/>
      <c r="G7413" s="1277" t="s">
        <v>19</v>
      </c>
      <c r="H7413" s="1218">
        <v>0.65</v>
      </c>
      <c r="K7413" s="1192" t="s">
        <v>2687</v>
      </c>
      <c r="L7413" s="1192" t="s">
        <v>430</v>
      </c>
      <c r="P7413" s="1192" t="s">
        <v>2689</v>
      </c>
      <c r="V7413" s="1192">
        <v>14</v>
      </c>
    </row>
    <row r="7414" spans="1:22" s="1192" customFormat="1" ht="14.4" x14ac:dyDescent="0.3">
      <c r="A7414" s="1192" t="s">
        <v>170</v>
      </c>
      <c r="E7414" s="1741" t="s">
        <v>80</v>
      </c>
      <c r="F7414" s="1741"/>
      <c r="G7414" s="1277" t="s">
        <v>29</v>
      </c>
      <c r="H7414" s="1219">
        <v>4.7037000000000004</v>
      </c>
      <c r="K7414" s="1192" t="s">
        <v>2687</v>
      </c>
      <c r="L7414" s="1192" t="s">
        <v>430</v>
      </c>
      <c r="P7414" s="1192" t="s">
        <v>2690</v>
      </c>
      <c r="V7414" s="1192">
        <v>28</v>
      </c>
    </row>
    <row r="7415" spans="1:22" s="1192" customFormat="1" ht="14.4" x14ac:dyDescent="0.3">
      <c r="A7415" s="1192" t="s">
        <v>170</v>
      </c>
      <c r="E7415" s="1741" t="s">
        <v>6484</v>
      </c>
      <c r="F7415" s="1998"/>
      <c r="G7415" s="1277" t="s">
        <v>20</v>
      </c>
      <c r="H7415" s="1219">
        <v>1.4E-3</v>
      </c>
      <c r="K7415" s="1192" t="s">
        <v>2687</v>
      </c>
      <c r="L7415" s="1192" t="s">
        <v>431</v>
      </c>
      <c r="P7415" s="1192" t="s">
        <v>2691</v>
      </c>
      <c r="T7415" s="1192">
        <v>44316</v>
      </c>
      <c r="V7415" s="1192">
        <v>170</v>
      </c>
    </row>
    <row r="7416" spans="1:22" s="1192" customFormat="1" ht="14.4" x14ac:dyDescent="0.3">
      <c r="A7416" s="1192" t="s">
        <v>170</v>
      </c>
      <c r="E7416" s="1741" t="s">
        <v>6495</v>
      </c>
      <c r="F7416" s="1998"/>
      <c r="G7416" s="1277" t="s">
        <v>29</v>
      </c>
      <c r="H7416" s="1219">
        <v>1.7199</v>
      </c>
      <c r="K7416" s="1192" t="s">
        <v>2687</v>
      </c>
      <c r="L7416" s="1192" t="s">
        <v>430</v>
      </c>
      <c r="P7416" s="1192" t="s">
        <v>2692</v>
      </c>
      <c r="T7416" s="1192">
        <v>44316</v>
      </c>
      <c r="V7416" s="1192">
        <v>136</v>
      </c>
    </row>
    <row r="7417" spans="1:22" s="1192" customFormat="1" ht="14.4" x14ac:dyDescent="0.3">
      <c r="A7417" s="1192" t="s">
        <v>170</v>
      </c>
      <c r="E7417" s="1741" t="s">
        <v>6486</v>
      </c>
      <c r="F7417" s="1998"/>
      <c r="G7417" s="1277" t="s">
        <v>29</v>
      </c>
      <c r="H7417" s="1219">
        <v>-0.26229999999999998</v>
      </c>
      <c r="K7417" s="1192" t="s">
        <v>2687</v>
      </c>
      <c r="L7417" s="1192" t="s">
        <v>431</v>
      </c>
      <c r="P7417" s="1192" t="s">
        <v>2693</v>
      </c>
      <c r="T7417" s="1192">
        <v>44316</v>
      </c>
      <c r="V7417" s="1192">
        <v>133</v>
      </c>
    </row>
    <row r="7418" spans="1:22" s="1192" customFormat="1" ht="14.4" x14ac:dyDescent="0.3">
      <c r="A7418" s="1192" t="s">
        <v>170</v>
      </c>
      <c r="E7418" s="1741" t="s">
        <v>6496</v>
      </c>
      <c r="F7418" s="1998"/>
      <c r="G7418" s="1277" t="s">
        <v>29</v>
      </c>
      <c r="H7418" s="1219">
        <v>-0.03</v>
      </c>
      <c r="K7418" s="1192" t="s">
        <v>2687</v>
      </c>
      <c r="L7418" s="1192" t="s">
        <v>431</v>
      </c>
      <c r="P7418" s="1192" t="s">
        <v>3899</v>
      </c>
      <c r="T7418" s="1192">
        <v>44316</v>
      </c>
      <c r="V7418" s="1192">
        <v>177</v>
      </c>
    </row>
    <row r="7419" spans="1:22" s="1192" customFormat="1" ht="14.4" x14ac:dyDescent="0.3">
      <c r="A7419" s="1192" t="s">
        <v>170</v>
      </c>
      <c r="E7419" s="1741" t="s">
        <v>4643</v>
      </c>
      <c r="F7419" s="1741"/>
      <c r="G7419" s="1277" t="s">
        <v>29</v>
      </c>
      <c r="H7419" s="1219">
        <v>2.2200000000000001E-2</v>
      </c>
      <c r="K7419" s="1192" t="s">
        <v>2687</v>
      </c>
      <c r="L7419" s="1192" t="s">
        <v>430</v>
      </c>
      <c r="P7419" s="1192" t="s">
        <v>6501</v>
      </c>
      <c r="V7419" s="1192">
        <v>161</v>
      </c>
    </row>
    <row r="7420" spans="1:22" s="1192" customFormat="1" ht="14.4" x14ac:dyDescent="0.3">
      <c r="A7420" s="1192" t="s">
        <v>170</v>
      </c>
      <c r="E7420" s="1741" t="s">
        <v>213</v>
      </c>
      <c r="F7420" s="1741"/>
      <c r="G7420" s="1277" t="s">
        <v>29</v>
      </c>
      <c r="H7420" s="1219">
        <v>2.2368999999999999</v>
      </c>
      <c r="K7420" s="1192" t="s">
        <v>2687</v>
      </c>
      <c r="L7420" s="1192" t="s">
        <v>432</v>
      </c>
      <c r="P7420" s="1192" t="s">
        <v>2694</v>
      </c>
      <c r="V7420" s="1192">
        <v>47</v>
      </c>
    </row>
    <row r="7421" spans="1:22" s="1192" customFormat="1" ht="14.4" x14ac:dyDescent="0.3">
      <c r="A7421" s="1192" t="s">
        <v>170</v>
      </c>
      <c r="E7421" s="1741" t="s">
        <v>212</v>
      </c>
      <c r="F7421" s="1741"/>
      <c r="G7421" s="1277" t="s">
        <v>29</v>
      </c>
      <c r="H7421" s="1219">
        <v>1.9238</v>
      </c>
      <c r="K7421" s="1192" t="s">
        <v>2687</v>
      </c>
      <c r="L7421" s="1192" t="s">
        <v>432</v>
      </c>
      <c r="P7421" s="1192" t="s">
        <v>2695</v>
      </c>
      <c r="V7421" s="1192">
        <v>55</v>
      </c>
    </row>
    <row r="7422" spans="1:22" s="1192" customFormat="1" ht="14.4" x14ac:dyDescent="0.3">
      <c r="A7422" s="1192" t="s">
        <v>170</v>
      </c>
      <c r="E7422" s="1750" t="s">
        <v>2405</v>
      </c>
      <c r="F7422" s="1741"/>
      <c r="G7422" s="1277"/>
      <c r="H7422" s="896"/>
      <c r="K7422" s="1192" t="s">
        <v>2427</v>
      </c>
      <c r="V7422" s="1192">
        <v>48</v>
      </c>
    </row>
    <row r="7423" spans="1:22" s="1192" customFormat="1" ht="14.4" x14ac:dyDescent="0.3">
      <c r="A7423" s="1192" t="s">
        <v>170</v>
      </c>
      <c r="E7423" s="1741" t="s">
        <v>2033</v>
      </c>
      <c r="F7423" s="1741"/>
      <c r="G7423" s="1277" t="s">
        <v>20</v>
      </c>
      <c r="H7423" s="1219">
        <v>3.0000000000000001E-3</v>
      </c>
      <c r="K7423" s="1192" t="s">
        <v>2687</v>
      </c>
      <c r="L7423" s="1192" t="s">
        <v>2374</v>
      </c>
      <c r="P7423" s="1192" t="s">
        <v>2696</v>
      </c>
      <c r="V7423" s="1192">
        <v>55</v>
      </c>
    </row>
    <row r="7424" spans="1:22" s="1192" customFormat="1" ht="14.4" x14ac:dyDescent="0.3">
      <c r="A7424" s="1192" t="s">
        <v>170</v>
      </c>
      <c r="E7424" s="1741" t="s">
        <v>2034</v>
      </c>
      <c r="F7424" s="1741"/>
      <c r="G7424" s="1277" t="s">
        <v>20</v>
      </c>
      <c r="H7424" s="1219">
        <v>4.0000000000000002E-4</v>
      </c>
      <c r="K7424" s="1192" t="s">
        <v>2687</v>
      </c>
      <c r="L7424" s="1192" t="s">
        <v>2374</v>
      </c>
      <c r="P7424" s="1192" t="s">
        <v>2696</v>
      </c>
      <c r="V7424" s="1192">
        <v>65</v>
      </c>
    </row>
    <row r="7425" spans="1:22" s="1192" customFormat="1" ht="14.4" x14ac:dyDescent="0.3">
      <c r="A7425" s="1192" t="s">
        <v>170</v>
      </c>
      <c r="E7425" s="1741" t="s">
        <v>428</v>
      </c>
      <c r="F7425" s="1741"/>
      <c r="G7425" s="1277" t="s">
        <v>20</v>
      </c>
      <c r="H7425" s="1219">
        <v>5.0000000000000001E-4</v>
      </c>
      <c r="K7425" s="1192" t="s">
        <v>2687</v>
      </c>
      <c r="L7425" s="1192" t="s">
        <v>2374</v>
      </c>
      <c r="P7425" s="1192" t="s">
        <v>2697</v>
      </c>
      <c r="V7425" s="1192">
        <v>57</v>
      </c>
    </row>
    <row r="7426" spans="1:22" s="1192" customFormat="1" ht="14.4" x14ac:dyDescent="0.3">
      <c r="A7426" s="1192" t="s">
        <v>170</v>
      </c>
      <c r="E7426" s="1741" t="s">
        <v>28</v>
      </c>
      <c r="F7426" s="1741"/>
      <c r="G7426" s="1277" t="s">
        <v>19</v>
      </c>
      <c r="H7426" s="1218">
        <v>0.25</v>
      </c>
      <c r="K7426" s="1192" t="s">
        <v>2687</v>
      </c>
      <c r="L7426" s="1192" t="s">
        <v>2374</v>
      </c>
      <c r="P7426" s="1192" t="s">
        <v>2698</v>
      </c>
      <c r="V7426" s="1192">
        <v>63</v>
      </c>
    </row>
    <row r="7427" spans="1:22" s="1192" customFormat="1" ht="17.399999999999999" x14ac:dyDescent="0.3">
      <c r="A7427" s="1192" t="s">
        <v>170</v>
      </c>
      <c r="E7427" s="1746" t="s">
        <v>593</v>
      </c>
      <c r="F7427" s="1747"/>
      <c r="G7427" s="1747"/>
      <c r="H7427" s="1747"/>
      <c r="K7427" s="1192" t="s">
        <v>2651</v>
      </c>
      <c r="V7427" s="1192">
        <v>31</v>
      </c>
    </row>
    <row r="7428" spans="1:22" s="1192" customFormat="1" ht="14.4" x14ac:dyDescent="0.3">
      <c r="A7428" s="1192" t="s">
        <v>170</v>
      </c>
      <c r="E7428" s="1743" t="s">
        <v>2699</v>
      </c>
      <c r="F7428" s="1743"/>
      <c r="G7428" s="1743"/>
      <c r="H7428" s="1743"/>
      <c r="K7428" s="1192" t="s">
        <v>2651</v>
      </c>
      <c r="V7428" s="1192">
        <v>285</v>
      </c>
    </row>
    <row r="7429" spans="1:22" s="1192" customFormat="1" ht="14.4" x14ac:dyDescent="0.3">
      <c r="A7429" s="1192" t="s">
        <v>170</v>
      </c>
      <c r="E7429" s="1750" t="s">
        <v>2389</v>
      </c>
      <c r="F7429" s="1743"/>
      <c r="G7429" s="1743"/>
      <c r="H7429" s="1743"/>
      <c r="K7429" s="1192" t="s">
        <v>2430</v>
      </c>
      <c r="V7429" s="1192">
        <v>11</v>
      </c>
    </row>
    <row r="7430" spans="1:22" s="1192" customFormat="1" ht="14.4" x14ac:dyDescent="0.3">
      <c r="A7430" s="1192" t="s">
        <v>170</v>
      </c>
      <c r="E7430" s="1743" t="s">
        <v>2391</v>
      </c>
      <c r="F7430" s="1743"/>
      <c r="G7430" s="1743"/>
      <c r="H7430" s="1743"/>
      <c r="K7430" s="1192" t="s">
        <v>2651</v>
      </c>
      <c r="V7430" s="1192">
        <v>280</v>
      </c>
    </row>
    <row r="7431" spans="1:22" s="1192" customFormat="1" ht="14.4" x14ac:dyDescent="0.3">
      <c r="A7431" s="1192" t="s">
        <v>170</v>
      </c>
      <c r="E7431" s="1743" t="s">
        <v>2392</v>
      </c>
      <c r="F7431" s="1743"/>
      <c r="G7431" s="1743"/>
      <c r="H7431" s="1743"/>
      <c r="K7431" s="1192" t="s">
        <v>2651</v>
      </c>
      <c r="V7431" s="1192">
        <v>411</v>
      </c>
    </row>
    <row r="7432" spans="1:22" s="1192" customFormat="1" ht="14.4" x14ac:dyDescent="0.3">
      <c r="A7432" s="1192" t="s">
        <v>170</v>
      </c>
      <c r="E7432" s="1743" t="s">
        <v>2445</v>
      </c>
      <c r="F7432" s="1743"/>
      <c r="G7432" s="1743"/>
      <c r="H7432" s="1743"/>
      <c r="K7432" s="1192" t="s">
        <v>2651</v>
      </c>
      <c r="V7432" s="1192">
        <v>211</v>
      </c>
    </row>
    <row r="7433" spans="1:22" s="1192" customFormat="1" ht="14.4" x14ac:dyDescent="0.3">
      <c r="A7433" s="1192" t="s">
        <v>170</v>
      </c>
      <c r="E7433" s="1743" t="s">
        <v>4500</v>
      </c>
      <c r="F7433" s="1743"/>
      <c r="G7433" s="1743"/>
      <c r="H7433" s="1743"/>
      <c r="K7433" s="1192" t="s">
        <v>2651</v>
      </c>
      <c r="V7433" s="1192">
        <v>247</v>
      </c>
    </row>
    <row r="7434" spans="1:22" s="1192" customFormat="1" ht="14.4" x14ac:dyDescent="0.3">
      <c r="A7434" s="1192" t="s">
        <v>170</v>
      </c>
      <c r="E7434" s="1750" t="s">
        <v>2394</v>
      </c>
      <c r="F7434" s="1743"/>
      <c r="G7434" s="1743"/>
      <c r="H7434" s="1743"/>
      <c r="K7434" s="1192" t="s">
        <v>2431</v>
      </c>
      <c r="V7434" s="1192">
        <v>46</v>
      </c>
    </row>
    <row r="7435" spans="1:22" s="1192" customFormat="1" ht="14.4" x14ac:dyDescent="0.3">
      <c r="A7435" s="1192" t="s">
        <v>170</v>
      </c>
      <c r="E7435" s="1741" t="s">
        <v>7</v>
      </c>
      <c r="F7435" s="1741"/>
      <c r="G7435" s="1277" t="s">
        <v>19</v>
      </c>
      <c r="H7435" s="1218">
        <v>4.55</v>
      </c>
      <c r="K7435" s="1192" t="s">
        <v>2651</v>
      </c>
      <c r="L7435" s="1192" t="s">
        <v>430</v>
      </c>
      <c r="P7435" s="1192" t="s">
        <v>2653</v>
      </c>
      <c r="V7435" s="1192">
        <v>14</v>
      </c>
    </row>
    <row r="7436" spans="1:22" s="1192" customFormat="1" x14ac:dyDescent="0.3">
      <c r="A7436" s="1192" t="s">
        <v>170</v>
      </c>
      <c r="E7436" s="1260" t="s">
        <v>81</v>
      </c>
      <c r="F7436" s="554"/>
      <c r="G7436" s="554"/>
      <c r="H7436" s="917"/>
      <c r="K7436" s="1192" t="s">
        <v>2700</v>
      </c>
      <c r="V7436" s="1192">
        <v>10</v>
      </c>
    </row>
    <row r="7437" spans="1:22" s="1192" customFormat="1" ht="14.4" x14ac:dyDescent="0.3">
      <c r="A7437" s="1192" t="s">
        <v>170</v>
      </c>
      <c r="E7437" s="1741" t="s">
        <v>2449</v>
      </c>
      <c r="F7437" s="1741"/>
      <c r="G7437" s="1277" t="s">
        <v>29</v>
      </c>
      <c r="H7437" s="564">
        <v>-0.6</v>
      </c>
      <c r="V7437" s="1192">
        <v>68</v>
      </c>
    </row>
    <row r="7438" spans="1:22" s="1192" customFormat="1" ht="14.4" x14ac:dyDescent="0.3">
      <c r="A7438" s="1192" t="s">
        <v>170</v>
      </c>
      <c r="E7438" s="1741" t="s">
        <v>2450</v>
      </c>
      <c r="F7438" s="1741"/>
      <c r="G7438" s="1277" t="s">
        <v>82</v>
      </c>
      <c r="H7438" s="1218">
        <v>-1</v>
      </c>
      <c r="V7438" s="1192">
        <v>87</v>
      </c>
    </row>
    <row r="7439" spans="1:22" s="1192" customFormat="1" x14ac:dyDescent="0.3">
      <c r="A7439" s="1192" t="s">
        <v>170</v>
      </c>
      <c r="E7439" s="1260" t="s">
        <v>83</v>
      </c>
      <c r="F7439" s="554"/>
      <c r="G7439" s="554"/>
      <c r="H7439" s="917"/>
      <c r="K7439" s="1192" t="s">
        <v>2701</v>
      </c>
      <c r="V7439" s="1192">
        <v>24</v>
      </c>
    </row>
    <row r="7440" spans="1:22" s="1192" customFormat="1" ht="14.4" x14ac:dyDescent="0.3">
      <c r="A7440" s="1192" t="s">
        <v>170</v>
      </c>
      <c r="E7440" s="1743" t="s">
        <v>2391</v>
      </c>
      <c r="F7440" s="1743"/>
      <c r="G7440" s="1743"/>
      <c r="H7440" s="1743"/>
      <c r="V7440" s="1192">
        <v>280</v>
      </c>
    </row>
    <row r="7441" spans="1:22" s="1192" customFormat="1" ht="14.4" x14ac:dyDescent="0.3">
      <c r="A7441" s="1192" t="s">
        <v>170</v>
      </c>
      <c r="E7441" s="1743" t="s">
        <v>2452</v>
      </c>
      <c r="F7441" s="1743"/>
      <c r="G7441" s="1743"/>
      <c r="H7441" s="1743"/>
      <c r="V7441" s="1192">
        <v>353</v>
      </c>
    </row>
    <row r="7442" spans="1:22" s="1192" customFormat="1" ht="14.4" x14ac:dyDescent="0.3">
      <c r="A7442" s="1192" t="s">
        <v>170</v>
      </c>
      <c r="E7442" s="1743" t="s">
        <v>4500</v>
      </c>
      <c r="F7442" s="1743"/>
      <c r="G7442" s="1743"/>
      <c r="H7442" s="1743"/>
      <c r="V7442" s="1192">
        <v>247</v>
      </c>
    </row>
    <row r="7443" spans="1:22" s="1192" customFormat="1" ht="14.4" x14ac:dyDescent="0.3">
      <c r="A7443" s="1192" t="s">
        <v>170</v>
      </c>
      <c r="E7443" s="1258" t="s">
        <v>2453</v>
      </c>
      <c r="F7443" s="450"/>
      <c r="G7443" s="450"/>
      <c r="H7443" s="926"/>
      <c r="K7443" s="1192" t="s">
        <v>2702</v>
      </c>
      <c r="V7443" s="1192">
        <v>23</v>
      </c>
    </row>
    <row r="7444" spans="1:22" s="1192" customFormat="1" ht="14.4" x14ac:dyDescent="0.3">
      <c r="A7444" s="1192" t="s">
        <v>170</v>
      </c>
      <c r="E7444" s="1942" t="s">
        <v>2639</v>
      </c>
      <c r="F7444" s="1942"/>
      <c r="G7444" s="1277" t="s">
        <v>19</v>
      </c>
      <c r="H7444" s="1218">
        <v>15</v>
      </c>
      <c r="V7444" s="1192">
        <v>19</v>
      </c>
    </row>
    <row r="7445" spans="1:22" s="1192" customFormat="1" ht="14.4" x14ac:dyDescent="0.3">
      <c r="A7445" s="1192" t="s">
        <v>170</v>
      </c>
      <c r="E7445" s="1942" t="s">
        <v>2464</v>
      </c>
      <c r="F7445" s="1942"/>
      <c r="G7445" s="1277" t="s">
        <v>19</v>
      </c>
      <c r="H7445" s="1218">
        <v>15</v>
      </c>
      <c r="V7445" s="1192">
        <v>56</v>
      </c>
    </row>
    <row r="7446" spans="1:22" s="1192" customFormat="1" ht="14.4" x14ac:dyDescent="0.3">
      <c r="A7446" s="1192" t="s">
        <v>170</v>
      </c>
      <c r="E7446" s="1942" t="s">
        <v>2456</v>
      </c>
      <c r="F7446" s="1942"/>
      <c r="G7446" s="1277" t="s">
        <v>19</v>
      </c>
      <c r="H7446" s="1218">
        <v>15</v>
      </c>
      <c r="V7446" s="1192">
        <v>20</v>
      </c>
    </row>
    <row r="7447" spans="1:22" s="1192" customFormat="1" ht="14.4" x14ac:dyDescent="0.3">
      <c r="A7447" s="1192" t="s">
        <v>170</v>
      </c>
      <c r="E7447" s="1942" t="s">
        <v>84</v>
      </c>
      <c r="F7447" s="1942"/>
      <c r="G7447" s="1277" t="s">
        <v>19</v>
      </c>
      <c r="H7447" s="1218">
        <v>30</v>
      </c>
      <c r="V7447" s="1192">
        <v>89</v>
      </c>
    </row>
    <row r="7448" spans="1:22" s="1192" customFormat="1" ht="14.4" x14ac:dyDescent="0.3">
      <c r="A7448" s="1192" t="s">
        <v>170</v>
      </c>
      <c r="E7448" s="1942" t="s">
        <v>119</v>
      </c>
      <c r="F7448" s="1942"/>
      <c r="G7448" s="1277" t="s">
        <v>19</v>
      </c>
      <c r="H7448" s="1218">
        <v>15</v>
      </c>
      <c r="V7448" s="1192">
        <v>35</v>
      </c>
    </row>
    <row r="7449" spans="1:22" s="1192" customFormat="1" ht="14.4" x14ac:dyDescent="0.3">
      <c r="A7449" s="1192" t="s">
        <v>170</v>
      </c>
      <c r="E7449" s="1258" t="s">
        <v>2468</v>
      </c>
      <c r="F7449" s="450"/>
      <c r="G7449" s="450"/>
      <c r="H7449" s="926"/>
      <c r="K7449" s="1192" t="s">
        <v>6502</v>
      </c>
      <c r="V7449" s="1192">
        <v>22</v>
      </c>
    </row>
    <row r="7450" spans="1:22" s="1192" customFormat="1" ht="14.4" x14ac:dyDescent="0.3">
      <c r="A7450" s="1192" t="s">
        <v>170</v>
      </c>
      <c r="E7450" s="1942" t="s">
        <v>6503</v>
      </c>
      <c r="F7450" s="1942"/>
      <c r="G7450" s="1277" t="s">
        <v>82</v>
      </c>
      <c r="H7450" s="1218">
        <v>1.5</v>
      </c>
      <c r="V7450" s="1192">
        <v>100</v>
      </c>
    </row>
    <row r="7451" spans="1:22" s="1192" customFormat="1" ht="14.4" x14ac:dyDescent="0.3">
      <c r="A7451" s="1192" t="s">
        <v>170</v>
      </c>
      <c r="E7451" s="1942" t="s">
        <v>6106</v>
      </c>
      <c r="F7451" s="1942"/>
      <c r="G7451" s="1277" t="s">
        <v>19</v>
      </c>
      <c r="H7451" s="1218">
        <v>65</v>
      </c>
      <c r="V7451" s="1192">
        <v>44</v>
      </c>
    </row>
    <row r="7452" spans="1:22" s="1192" customFormat="1" ht="14.4" x14ac:dyDescent="0.3">
      <c r="A7452" s="1192" t="s">
        <v>170</v>
      </c>
      <c r="E7452" s="1942" t="s">
        <v>6107</v>
      </c>
      <c r="F7452" s="1942"/>
      <c r="G7452" s="1277" t="s">
        <v>19</v>
      </c>
      <c r="H7452" s="1218">
        <v>185</v>
      </c>
      <c r="V7452" s="1192">
        <v>43</v>
      </c>
    </row>
    <row r="7453" spans="1:22" s="1192" customFormat="1" ht="14.4" x14ac:dyDescent="0.3">
      <c r="A7453" s="1192" t="s">
        <v>170</v>
      </c>
      <c r="E7453" s="1258" t="s">
        <v>2474</v>
      </c>
      <c r="F7453" s="1266"/>
      <c r="G7453" s="451"/>
      <c r="H7453" s="899"/>
      <c r="V7453" s="1192">
        <v>5</v>
      </c>
    </row>
    <row r="7454" spans="1:22" s="1192" customFormat="1" ht="14.4" x14ac:dyDescent="0.3">
      <c r="A7454" s="1192" t="s">
        <v>170</v>
      </c>
      <c r="E7454" s="1942" t="s">
        <v>2703</v>
      </c>
      <c r="F7454" s="1942"/>
      <c r="G7454" s="1277" t="s">
        <v>19</v>
      </c>
      <c r="H7454" s="1218">
        <v>500</v>
      </c>
      <c r="V7454" s="1192">
        <v>64</v>
      </c>
    </row>
    <row r="7455" spans="1:22" s="1192" customFormat="1" ht="14.4" x14ac:dyDescent="0.3">
      <c r="A7455" s="1192" t="s">
        <v>170</v>
      </c>
      <c r="E7455" s="1942" t="s">
        <v>2704</v>
      </c>
      <c r="F7455" s="1942"/>
      <c r="G7455" s="1277" t="s">
        <v>19</v>
      </c>
      <c r="H7455" s="1218">
        <v>44.5</v>
      </c>
      <c r="V7455" s="1192">
        <v>68</v>
      </c>
    </row>
    <row r="7456" spans="1:22" s="1192" customFormat="1" ht="14.4" x14ac:dyDescent="0.3">
      <c r="A7456" s="1192" t="s">
        <v>170</v>
      </c>
      <c r="E7456" s="1942" t="s">
        <v>2476</v>
      </c>
      <c r="F7456" s="1942"/>
      <c r="G7456" s="1277"/>
      <c r="H7456" s="837"/>
      <c r="V7456" s="1192">
        <v>44</v>
      </c>
    </row>
    <row r="7457" spans="1:22" s="1192" customFormat="1" x14ac:dyDescent="0.3">
      <c r="A7457" s="1192" t="s">
        <v>170</v>
      </c>
      <c r="E7457" s="1269" t="s">
        <v>73</v>
      </c>
      <c r="F7457" s="554"/>
      <c r="G7457" s="554"/>
      <c r="H7457" s="917"/>
      <c r="K7457" s="1192" t="s">
        <v>2705</v>
      </c>
      <c r="V7457" s="1192">
        <v>38</v>
      </c>
    </row>
    <row r="7458" spans="1:22" s="1192" customFormat="1" ht="14.4" x14ac:dyDescent="0.3">
      <c r="A7458" s="1192" t="s">
        <v>170</v>
      </c>
      <c r="E7458" s="1743" t="s">
        <v>2391</v>
      </c>
      <c r="F7458" s="1743"/>
      <c r="G7458" s="1743"/>
      <c r="H7458" s="1743"/>
      <c r="V7458" s="1192">
        <v>280</v>
      </c>
    </row>
    <row r="7459" spans="1:22" s="1192" customFormat="1" ht="14.4" x14ac:dyDescent="0.3">
      <c r="A7459" s="1192" t="s">
        <v>170</v>
      </c>
      <c r="E7459" s="1743" t="s">
        <v>2392</v>
      </c>
      <c r="F7459" s="1743"/>
      <c r="G7459" s="1743"/>
      <c r="H7459" s="1743"/>
      <c r="V7459" s="1192">
        <v>411</v>
      </c>
    </row>
    <row r="7460" spans="1:22" s="1192" customFormat="1" ht="14.4" x14ac:dyDescent="0.3">
      <c r="A7460" s="1192" t="s">
        <v>170</v>
      </c>
      <c r="E7460" s="1743" t="s">
        <v>2445</v>
      </c>
      <c r="F7460" s="1743"/>
      <c r="G7460" s="1743"/>
      <c r="H7460" s="1743"/>
      <c r="V7460" s="1192">
        <v>211</v>
      </c>
    </row>
    <row r="7461" spans="1:22" s="1192" customFormat="1" ht="14.4" x14ac:dyDescent="0.3">
      <c r="A7461" s="1192" t="s">
        <v>170</v>
      </c>
      <c r="E7461" s="1743" t="s">
        <v>4500</v>
      </c>
      <c r="F7461" s="1743"/>
      <c r="G7461" s="1743"/>
      <c r="H7461" s="1743"/>
      <c r="V7461" s="1192">
        <v>247</v>
      </c>
    </row>
    <row r="7462" spans="1:22" s="1192" customFormat="1" ht="14.4" x14ac:dyDescent="0.3">
      <c r="A7462" s="1192" t="s">
        <v>170</v>
      </c>
      <c r="E7462" s="1743" t="s">
        <v>2595</v>
      </c>
      <c r="F7462" s="1743"/>
      <c r="G7462" s="1743"/>
      <c r="H7462" s="1743"/>
      <c r="V7462" s="1192">
        <v>142</v>
      </c>
    </row>
    <row r="7463" spans="1:22" s="1192" customFormat="1" ht="14.4" x14ac:dyDescent="0.3">
      <c r="A7463" s="1192" t="s">
        <v>170</v>
      </c>
      <c r="E7463" s="1741" t="s">
        <v>2485</v>
      </c>
      <c r="F7463" s="1741"/>
      <c r="G7463" s="451" t="s">
        <v>19</v>
      </c>
      <c r="H7463" s="358">
        <v>102</v>
      </c>
      <c r="V7463" s="1192">
        <v>106</v>
      </c>
    </row>
    <row r="7464" spans="1:22" s="1192" customFormat="1" ht="14.4" x14ac:dyDescent="0.3">
      <c r="A7464" s="1192" t="s">
        <v>170</v>
      </c>
      <c r="E7464" s="1741" t="s">
        <v>2486</v>
      </c>
      <c r="F7464" s="1741"/>
      <c r="G7464" s="451" t="s">
        <v>19</v>
      </c>
      <c r="H7464" s="358">
        <v>40.799999999999997</v>
      </c>
      <c r="V7464" s="1192">
        <v>34</v>
      </c>
    </row>
    <row r="7465" spans="1:22" s="1192" customFormat="1" ht="14.4" x14ac:dyDescent="0.3">
      <c r="A7465" s="1192" t="s">
        <v>170</v>
      </c>
      <c r="E7465" s="1741" t="s">
        <v>2487</v>
      </c>
      <c r="F7465" s="1741"/>
      <c r="G7465" s="451" t="s">
        <v>2488</v>
      </c>
      <c r="H7465" s="358">
        <v>1.02</v>
      </c>
      <c r="V7465" s="1192">
        <v>51</v>
      </c>
    </row>
    <row r="7466" spans="1:22" s="1192" customFormat="1" ht="14.4" x14ac:dyDescent="0.3">
      <c r="A7466" s="1192" t="s">
        <v>170</v>
      </c>
      <c r="E7466" s="1741" t="s">
        <v>2489</v>
      </c>
      <c r="F7466" s="1741"/>
      <c r="G7466" s="451" t="s">
        <v>2488</v>
      </c>
      <c r="H7466" s="358">
        <v>0.61</v>
      </c>
      <c r="V7466" s="1192">
        <v>75</v>
      </c>
    </row>
    <row r="7467" spans="1:22" s="1192" customFormat="1" ht="14.4" x14ac:dyDescent="0.3">
      <c r="A7467" s="1192" t="s">
        <v>170</v>
      </c>
      <c r="E7467" s="1741" t="s">
        <v>2490</v>
      </c>
      <c r="F7467" s="1741"/>
      <c r="G7467" s="451" t="s">
        <v>2488</v>
      </c>
      <c r="H7467" s="358">
        <v>-0.61</v>
      </c>
      <c r="V7467" s="1192">
        <v>72</v>
      </c>
    </row>
    <row r="7468" spans="1:22" s="1192" customFormat="1" ht="14.4" x14ac:dyDescent="0.3">
      <c r="A7468" s="1192" t="s">
        <v>170</v>
      </c>
      <c r="E7468" s="1741" t="s">
        <v>2596</v>
      </c>
      <c r="F7468" s="1741"/>
      <c r="G7468" s="451"/>
      <c r="H7468" s="899"/>
      <c r="V7468" s="1192">
        <v>34</v>
      </c>
    </row>
    <row r="7469" spans="1:22" s="1192" customFormat="1" ht="14.4" x14ac:dyDescent="0.3">
      <c r="A7469" s="1192" t="s">
        <v>170</v>
      </c>
      <c r="E7469" s="1941" t="s">
        <v>2492</v>
      </c>
      <c r="F7469" s="1941"/>
      <c r="G7469" s="451" t="s">
        <v>19</v>
      </c>
      <c r="H7469" s="358">
        <v>0.51</v>
      </c>
      <c r="V7469" s="1192">
        <v>57</v>
      </c>
    </row>
    <row r="7470" spans="1:22" s="1192" customFormat="1" ht="14.4" x14ac:dyDescent="0.3">
      <c r="A7470" s="1192" t="s">
        <v>170</v>
      </c>
      <c r="E7470" s="1941" t="s">
        <v>2493</v>
      </c>
      <c r="F7470" s="1941"/>
      <c r="G7470" s="451" t="s">
        <v>19</v>
      </c>
      <c r="H7470" s="358">
        <v>1.02</v>
      </c>
      <c r="V7470" s="1192">
        <v>60</v>
      </c>
    </row>
    <row r="7471" spans="1:22" s="1192" customFormat="1" ht="14.4" x14ac:dyDescent="0.3">
      <c r="A7471" s="1192" t="s">
        <v>170</v>
      </c>
      <c r="E7471" s="1741" t="s">
        <v>2494</v>
      </c>
      <c r="F7471" s="1741"/>
      <c r="G7471" s="451"/>
      <c r="H7471" s="899"/>
      <c r="V7471" s="1192">
        <v>91</v>
      </c>
    </row>
    <row r="7472" spans="1:22" s="1192" customFormat="1" ht="14.4" x14ac:dyDescent="0.3">
      <c r="A7472" s="1192" t="s">
        <v>170</v>
      </c>
      <c r="E7472" s="1741" t="s">
        <v>2495</v>
      </c>
      <c r="F7472" s="1741"/>
      <c r="G7472" s="451"/>
      <c r="H7472" s="899"/>
      <c r="V7472" s="1192">
        <v>96</v>
      </c>
    </row>
    <row r="7473" spans="1:22" s="1192" customFormat="1" ht="14.4" x14ac:dyDescent="0.3">
      <c r="A7473" s="1192" t="s">
        <v>170</v>
      </c>
      <c r="E7473" s="1741" t="s">
        <v>2597</v>
      </c>
      <c r="F7473" s="1741"/>
      <c r="G7473" s="451"/>
      <c r="H7473" s="899"/>
      <c r="V7473" s="1192">
        <v>77</v>
      </c>
    </row>
    <row r="7474" spans="1:22" s="1192" customFormat="1" ht="14.4" x14ac:dyDescent="0.3">
      <c r="A7474" s="1192" t="s">
        <v>170</v>
      </c>
      <c r="E7474" s="1941" t="s">
        <v>2497</v>
      </c>
      <c r="F7474" s="1941"/>
      <c r="G7474" s="451" t="s">
        <v>19</v>
      </c>
      <c r="H7474" s="899" t="s">
        <v>2498</v>
      </c>
      <c r="V7474" s="1192">
        <v>18</v>
      </c>
    </row>
    <row r="7475" spans="1:22" s="1192" customFormat="1" ht="14.4" x14ac:dyDescent="0.3">
      <c r="A7475" s="1192" t="s">
        <v>170</v>
      </c>
      <c r="E7475" s="1941" t="s">
        <v>2499</v>
      </c>
      <c r="F7475" s="1941"/>
      <c r="G7475" s="451" t="s">
        <v>19</v>
      </c>
      <c r="H7475" s="358">
        <v>4.08</v>
      </c>
      <c r="V7475" s="1192">
        <v>69</v>
      </c>
    </row>
    <row r="7476" spans="1:22" s="1192" customFormat="1" ht="14.4" x14ac:dyDescent="0.3">
      <c r="A7476" s="1192" t="s">
        <v>170</v>
      </c>
      <c r="E7476" s="1741" t="s">
        <v>4608</v>
      </c>
      <c r="F7476" s="1741"/>
      <c r="G7476" s="360" t="s">
        <v>19</v>
      </c>
      <c r="H7476" s="1218">
        <v>2.04</v>
      </c>
      <c r="V7476" s="1192">
        <v>199</v>
      </c>
    </row>
    <row r="7477" spans="1:22" s="1192" customFormat="1" x14ac:dyDescent="0.3">
      <c r="A7477" s="1192" t="s">
        <v>170</v>
      </c>
      <c r="E7477" s="1260" t="s">
        <v>143</v>
      </c>
      <c r="F7477" s="554"/>
      <c r="G7477" s="554"/>
      <c r="H7477" s="917"/>
      <c r="K7477" s="1192" t="s">
        <v>2706</v>
      </c>
      <c r="V7477" s="1192">
        <v>12</v>
      </c>
    </row>
    <row r="7478" spans="1:22" s="1192" customFormat="1" ht="14.4" x14ac:dyDescent="0.3">
      <c r="A7478" s="1192" t="s">
        <v>170</v>
      </c>
      <c r="E7478" s="1741" t="s">
        <v>2501</v>
      </c>
      <c r="F7478" s="1741"/>
      <c r="G7478" s="1741"/>
      <c r="H7478" s="1741"/>
      <c r="V7478" s="1192">
        <v>203</v>
      </c>
    </row>
    <row r="7479" spans="1:22" s="1192" customFormat="1" ht="14.4" x14ac:dyDescent="0.3">
      <c r="A7479" s="1192" t="s">
        <v>170</v>
      </c>
      <c r="E7479" s="1741" t="s">
        <v>2599</v>
      </c>
      <c r="F7479" s="1741"/>
      <c r="G7479" s="1277"/>
      <c r="H7479" s="837">
        <v>1.0373000000000001</v>
      </c>
      <c r="V7479" s="1192">
        <v>57</v>
      </c>
    </row>
    <row r="7480" spans="1:22" s="1192" customFormat="1" ht="14.4" x14ac:dyDescent="0.3">
      <c r="A7480" s="1192" t="s">
        <v>170</v>
      </c>
      <c r="E7480" s="1741" t="s">
        <v>2601</v>
      </c>
      <c r="F7480" s="1741"/>
      <c r="G7480" s="1277"/>
      <c r="H7480" s="837">
        <v>1.0269999999999999</v>
      </c>
      <c r="J7480" s="1192" t="s">
        <v>2707</v>
      </c>
      <c r="V7480" s="1192">
        <v>55</v>
      </c>
    </row>
    <row r="7481" spans="1:22" s="1192" customFormat="1" ht="22.8" x14ac:dyDescent="0.3">
      <c r="A7481" s="1192" t="s">
        <v>4649</v>
      </c>
      <c r="C7481" s="1192" t="s">
        <v>2378</v>
      </c>
      <c r="E7481" s="1752" t="s">
        <v>4649</v>
      </c>
      <c r="F7481" s="1752"/>
      <c r="G7481" s="1752"/>
      <c r="H7481" s="1752"/>
      <c r="I7481" s="1192" t="s">
        <v>603</v>
      </c>
      <c r="J7481" s="1192" t="s">
        <v>4650</v>
      </c>
      <c r="K7481" s="1192" t="s">
        <v>4649</v>
      </c>
      <c r="M7481" s="1192">
        <v>6</v>
      </c>
      <c r="V7481" s="1192">
        <v>43</v>
      </c>
    </row>
    <row r="7482" spans="1:22" s="1192" customFormat="1" ht="17.399999999999999" x14ac:dyDescent="0.3">
      <c r="A7482" s="1192" t="s">
        <v>4649</v>
      </c>
      <c r="C7482" s="1192" t="s">
        <v>2380</v>
      </c>
      <c r="E7482" s="1753" t="s">
        <v>2381</v>
      </c>
      <c r="F7482" s="1753"/>
      <c r="G7482" s="1753"/>
      <c r="H7482" s="1753"/>
      <c r="V7482" s="1192">
        <v>27</v>
      </c>
    </row>
    <row r="7483" spans="1:22" s="1192" customFormat="1" ht="15.6" x14ac:dyDescent="0.3">
      <c r="A7483" s="1192" t="s">
        <v>4649</v>
      </c>
      <c r="C7483" s="1192" t="s">
        <v>2382</v>
      </c>
      <c r="E7483" s="1754" t="s">
        <v>6482</v>
      </c>
      <c r="F7483" s="1754"/>
      <c r="G7483" s="1754"/>
      <c r="H7483" s="1754"/>
      <c r="S7483" s="1192">
        <v>43952</v>
      </c>
      <c r="V7483" s="1192">
        <v>45</v>
      </c>
    </row>
    <row r="7484" spans="1:22" s="1192" customFormat="1" ht="14.4" x14ac:dyDescent="0.3">
      <c r="A7484" s="1192" t="s">
        <v>4649</v>
      </c>
      <c r="C7484" s="1192" t="s">
        <v>2383</v>
      </c>
      <c r="E7484" s="1755" t="s">
        <v>2384</v>
      </c>
      <c r="F7484" s="1755"/>
      <c r="G7484" s="1755"/>
      <c r="H7484" s="1755"/>
      <c r="V7484" s="1192">
        <v>52</v>
      </c>
    </row>
    <row r="7485" spans="1:22" s="1192" customFormat="1" ht="14.4" x14ac:dyDescent="0.3">
      <c r="A7485" s="1192" t="s">
        <v>4649</v>
      </c>
      <c r="E7485" s="1755" t="s">
        <v>2385</v>
      </c>
      <c r="F7485" s="1755"/>
      <c r="G7485" s="1755"/>
      <c r="H7485" s="1755"/>
      <c r="V7485" s="1192">
        <v>53</v>
      </c>
    </row>
    <row r="7486" spans="1:22" s="1192" customFormat="1" ht="14.4" x14ac:dyDescent="0.3">
      <c r="A7486" s="1192" t="s">
        <v>4649</v>
      </c>
      <c r="E7486" s="1772" t="s">
        <v>6504</v>
      </c>
      <c r="F7486" s="1772"/>
      <c r="G7486" s="1772"/>
      <c r="H7486" s="1772"/>
      <c r="K7486" s="1192" t="s">
        <v>6504</v>
      </c>
      <c r="V7486" s="1192">
        <v>12</v>
      </c>
    </row>
    <row r="7487" spans="1:22" s="1192" customFormat="1" ht="14.4" x14ac:dyDescent="0.3">
      <c r="A7487" s="1192" t="s">
        <v>4649</v>
      </c>
      <c r="E7487" s="1746" t="s">
        <v>427</v>
      </c>
      <c r="F7487" s="1743"/>
      <c r="G7487" s="1743"/>
      <c r="H7487" s="1743"/>
      <c r="K7487" s="1192" t="s">
        <v>2506</v>
      </c>
      <c r="V7487" s="1192">
        <v>34</v>
      </c>
    </row>
    <row r="7488" spans="1:22" s="1192" customFormat="1" ht="14.4" x14ac:dyDescent="0.3">
      <c r="A7488" s="1192" t="s">
        <v>4649</v>
      </c>
      <c r="E7488" s="1743" t="s">
        <v>3371</v>
      </c>
      <c r="F7488" s="1743"/>
      <c r="G7488" s="1743"/>
      <c r="H7488" s="1743"/>
      <c r="K7488" s="1192" t="s">
        <v>2506</v>
      </c>
      <c r="V7488" s="1192">
        <v>615</v>
      </c>
    </row>
    <row r="7489" spans="1:22" s="1192" customFormat="1" ht="14.4" x14ac:dyDescent="0.3">
      <c r="A7489" s="1192" t="s">
        <v>4649</v>
      </c>
      <c r="E7489" s="1750" t="s">
        <v>2389</v>
      </c>
      <c r="F7489" s="1743"/>
      <c r="G7489" s="1743"/>
      <c r="H7489" s="1743"/>
      <c r="K7489" s="1192" t="s">
        <v>2390</v>
      </c>
      <c r="V7489" s="1192">
        <v>11</v>
      </c>
    </row>
    <row r="7490" spans="1:22" s="1192" customFormat="1" ht="14.4" x14ac:dyDescent="0.3">
      <c r="A7490" s="1192" t="s">
        <v>4649</v>
      </c>
      <c r="E7490" s="1743" t="s">
        <v>2391</v>
      </c>
      <c r="F7490" s="1743"/>
      <c r="G7490" s="1743"/>
      <c r="H7490" s="1743"/>
      <c r="K7490" s="1192" t="s">
        <v>2506</v>
      </c>
      <c r="V7490" s="1192">
        <v>280</v>
      </c>
    </row>
    <row r="7491" spans="1:22" s="1192" customFormat="1" ht="14.4" x14ac:dyDescent="0.3">
      <c r="A7491" s="1192" t="s">
        <v>4649</v>
      </c>
      <c r="E7491" s="1743" t="s">
        <v>2392</v>
      </c>
      <c r="F7491" s="1743"/>
      <c r="G7491" s="1743"/>
      <c r="H7491" s="1743"/>
      <c r="K7491" s="1192" t="s">
        <v>2506</v>
      </c>
      <c r="V7491" s="1192">
        <v>411</v>
      </c>
    </row>
    <row r="7492" spans="1:22" s="1192" customFormat="1" ht="14.4" x14ac:dyDescent="0.3">
      <c r="A7492" s="1192" t="s">
        <v>4649</v>
      </c>
      <c r="E7492" s="1743" t="s">
        <v>2508</v>
      </c>
      <c r="F7492" s="1743"/>
      <c r="G7492" s="1743"/>
      <c r="H7492" s="1743"/>
      <c r="K7492" s="1192" t="s">
        <v>2506</v>
      </c>
      <c r="V7492" s="1192">
        <v>386</v>
      </c>
    </row>
    <row r="7493" spans="1:22" s="1192" customFormat="1" ht="14.4" x14ac:dyDescent="0.3">
      <c r="A7493" s="1192" t="s">
        <v>4649</v>
      </c>
      <c r="E7493" s="1743" t="s">
        <v>4500</v>
      </c>
      <c r="F7493" s="1743"/>
      <c r="G7493" s="1743"/>
      <c r="H7493" s="1743"/>
      <c r="K7493" s="1192" t="s">
        <v>2506</v>
      </c>
      <c r="V7493" s="1192">
        <v>247</v>
      </c>
    </row>
    <row r="7494" spans="1:22" s="1192" customFormat="1" ht="14.4" x14ac:dyDescent="0.3">
      <c r="A7494" s="1192" t="s">
        <v>4649</v>
      </c>
      <c r="E7494" s="1750" t="s">
        <v>2394</v>
      </c>
      <c r="F7494" s="1743"/>
      <c r="G7494" s="1743"/>
      <c r="H7494" s="1743"/>
      <c r="K7494" s="1192" t="s">
        <v>2395</v>
      </c>
      <c r="V7494" s="1192">
        <v>46</v>
      </c>
    </row>
    <row r="7495" spans="1:22" s="1192" customFormat="1" ht="14.4" x14ac:dyDescent="0.3">
      <c r="A7495" s="1192" t="s">
        <v>4649</v>
      </c>
      <c r="E7495" s="1741" t="s">
        <v>3372</v>
      </c>
      <c r="F7495" s="1741"/>
      <c r="G7495" s="1277" t="s">
        <v>19</v>
      </c>
      <c r="H7495" s="1218">
        <v>25.88</v>
      </c>
      <c r="K7495" s="1192" t="s">
        <v>2506</v>
      </c>
      <c r="L7495" s="1192" t="s">
        <v>430</v>
      </c>
      <c r="P7495" s="1192" t="s">
        <v>2510</v>
      </c>
      <c r="V7495" s="1192">
        <v>38</v>
      </c>
    </row>
    <row r="7496" spans="1:22" s="1192" customFormat="1" ht="14.4" x14ac:dyDescent="0.3">
      <c r="A7496" s="1192" t="s">
        <v>4649</v>
      </c>
      <c r="E7496" s="1741" t="s">
        <v>3900</v>
      </c>
      <c r="F7496" s="1741"/>
      <c r="G7496" s="1277" t="s">
        <v>19</v>
      </c>
      <c r="H7496" s="1218">
        <v>0.56999999999999995</v>
      </c>
      <c r="K7496" s="1192" t="s">
        <v>2506</v>
      </c>
      <c r="L7496" s="1192" t="s">
        <v>431</v>
      </c>
      <c r="P7496" s="1192" t="s">
        <v>2511</v>
      </c>
      <c r="T7496" s="1192">
        <v>44926</v>
      </c>
      <c r="V7496" s="1192">
        <v>64</v>
      </c>
    </row>
    <row r="7497" spans="1:22" s="1192" customFormat="1" ht="14.4" x14ac:dyDescent="0.3">
      <c r="A7497" s="1192" t="s">
        <v>4649</v>
      </c>
      <c r="E7497" s="1741" t="s">
        <v>6505</v>
      </c>
      <c r="F7497" s="1998"/>
      <c r="G7497" s="1277" t="s">
        <v>19</v>
      </c>
      <c r="H7497" s="1218">
        <v>0.11</v>
      </c>
      <c r="K7497" s="1192" t="s">
        <v>2506</v>
      </c>
      <c r="L7497" s="1192" t="s">
        <v>430</v>
      </c>
      <c r="P7497" s="1192" t="s">
        <v>3085</v>
      </c>
      <c r="T7497" s="1192">
        <v>44316</v>
      </c>
      <c r="V7497" s="1192">
        <v>80</v>
      </c>
    </row>
    <row r="7498" spans="1:22" s="1192" customFormat="1" ht="14.4" x14ac:dyDescent="0.3">
      <c r="A7498" s="1192" t="s">
        <v>4649</v>
      </c>
      <c r="E7498" s="1741" t="s">
        <v>4651</v>
      </c>
      <c r="F7498" s="1741"/>
      <c r="G7498" s="1277" t="s">
        <v>19</v>
      </c>
      <c r="H7498" s="1218">
        <v>-0.25</v>
      </c>
      <c r="K7498" s="1192" t="s">
        <v>2506</v>
      </c>
      <c r="L7498" s="1192" t="s">
        <v>430</v>
      </c>
      <c r="P7498" s="1192" t="s">
        <v>4629</v>
      </c>
      <c r="T7498" s="1192">
        <v>45199</v>
      </c>
      <c r="V7498" s="1192">
        <v>116</v>
      </c>
    </row>
    <row r="7499" spans="1:22" s="1192" customFormat="1" ht="14.4" x14ac:dyDescent="0.3">
      <c r="A7499" s="1192" t="s">
        <v>4649</v>
      </c>
      <c r="E7499" s="1741" t="s">
        <v>14</v>
      </c>
      <c r="F7499" s="1741"/>
      <c r="G7499" s="1277" t="s">
        <v>20</v>
      </c>
      <c r="H7499" s="1219">
        <v>1.6000000000000001E-3</v>
      </c>
      <c r="K7499" s="1192" t="s">
        <v>2506</v>
      </c>
      <c r="L7499" s="1192" t="s">
        <v>431</v>
      </c>
      <c r="P7499" s="1192" t="s">
        <v>2513</v>
      </c>
      <c r="V7499" s="1192">
        <v>24</v>
      </c>
    </row>
    <row r="7500" spans="1:22" s="1192" customFormat="1" ht="14.4" x14ac:dyDescent="0.3">
      <c r="A7500" s="1192" t="s">
        <v>4649</v>
      </c>
      <c r="E7500" s="1741" t="s">
        <v>6506</v>
      </c>
      <c r="F7500" s="1998"/>
      <c r="G7500" s="1277" t="s">
        <v>20</v>
      </c>
      <c r="H7500" s="1219">
        <v>2E-3</v>
      </c>
      <c r="K7500" s="1192" t="s">
        <v>2506</v>
      </c>
      <c r="L7500" s="1192" t="s">
        <v>431</v>
      </c>
      <c r="P7500" s="1192" t="s">
        <v>2514</v>
      </c>
      <c r="T7500" s="1192">
        <v>44316</v>
      </c>
      <c r="V7500" s="1192">
        <v>139</v>
      </c>
    </row>
    <row r="7501" spans="1:22" s="1192" customFormat="1" ht="14.4" x14ac:dyDescent="0.3">
      <c r="A7501" s="1192" t="s">
        <v>4649</v>
      </c>
      <c r="E7501" s="1741" t="s">
        <v>6507</v>
      </c>
      <c r="F7501" s="1998"/>
      <c r="G7501" s="1277" t="s">
        <v>20</v>
      </c>
      <c r="H7501" s="1219">
        <v>8.9999999999999998E-4</v>
      </c>
      <c r="K7501" s="1192" t="s">
        <v>2506</v>
      </c>
      <c r="L7501" s="1192" t="s">
        <v>430</v>
      </c>
      <c r="P7501" s="1192" t="s">
        <v>2515</v>
      </c>
      <c r="T7501" s="1192">
        <v>44681</v>
      </c>
      <c r="V7501" s="1192">
        <v>136</v>
      </c>
    </row>
    <row r="7502" spans="1:22" s="1192" customFormat="1" ht="14.4" x14ac:dyDescent="0.3">
      <c r="A7502" s="1192" t="s">
        <v>4649</v>
      </c>
      <c r="E7502" s="1741" t="s">
        <v>6508</v>
      </c>
      <c r="F7502" s="1998"/>
      <c r="G7502" s="1277" t="s">
        <v>20</v>
      </c>
      <c r="H7502" s="1219">
        <v>8.0000000000000004E-4</v>
      </c>
      <c r="K7502" s="1192" t="s">
        <v>2506</v>
      </c>
      <c r="L7502" s="1192" t="s">
        <v>431</v>
      </c>
      <c r="P7502" s="1192" t="s">
        <v>2516</v>
      </c>
      <c r="T7502" s="1192">
        <v>44316</v>
      </c>
      <c r="V7502" s="1192">
        <v>96</v>
      </c>
    </row>
    <row r="7503" spans="1:22" s="1192" customFormat="1" ht="14.4" x14ac:dyDescent="0.3">
      <c r="A7503" s="1192" t="s">
        <v>4649</v>
      </c>
      <c r="E7503" s="1741" t="s">
        <v>213</v>
      </c>
      <c r="F7503" s="1741"/>
      <c r="G7503" s="1277" t="s">
        <v>20</v>
      </c>
      <c r="H7503" s="1219">
        <v>7.1000000000000004E-3</v>
      </c>
      <c r="K7503" s="1192" t="s">
        <v>2506</v>
      </c>
      <c r="L7503" s="1192" t="s">
        <v>432</v>
      </c>
      <c r="P7503" s="1192" t="s">
        <v>2517</v>
      </c>
      <c r="V7503" s="1192">
        <v>47</v>
      </c>
    </row>
    <row r="7504" spans="1:22" s="1192" customFormat="1" ht="14.4" x14ac:dyDescent="0.3">
      <c r="A7504" s="1192" t="s">
        <v>4649</v>
      </c>
      <c r="E7504" s="1741" t="s">
        <v>209</v>
      </c>
      <c r="F7504" s="1741"/>
      <c r="G7504" s="1277" t="s">
        <v>20</v>
      </c>
      <c r="H7504" s="1219">
        <v>4.4999999999999997E-3</v>
      </c>
      <c r="K7504" s="1192" t="s">
        <v>2506</v>
      </c>
      <c r="L7504" s="1192" t="s">
        <v>432</v>
      </c>
      <c r="P7504" s="1192" t="s">
        <v>2518</v>
      </c>
      <c r="V7504" s="1192">
        <v>74</v>
      </c>
    </row>
    <row r="7505" spans="1:22" s="1192" customFormat="1" ht="14.4" x14ac:dyDescent="0.3">
      <c r="A7505" s="1192" t="s">
        <v>4649</v>
      </c>
      <c r="E7505" s="1750" t="s">
        <v>2405</v>
      </c>
      <c r="F7505" s="1741"/>
      <c r="G7505" s="1277"/>
      <c r="H7505" s="896"/>
      <c r="K7505" s="1192" t="s">
        <v>2406</v>
      </c>
      <c r="V7505" s="1192">
        <v>48</v>
      </c>
    </row>
    <row r="7506" spans="1:22" s="1192" customFormat="1" ht="14.4" x14ac:dyDescent="0.3">
      <c r="A7506" s="1192" t="s">
        <v>4649</v>
      </c>
      <c r="E7506" s="1741" t="s">
        <v>2033</v>
      </c>
      <c r="F7506" s="1741"/>
      <c r="G7506" s="1277" t="s">
        <v>20</v>
      </c>
      <c r="H7506" s="1219">
        <v>3.0000000000000001E-3</v>
      </c>
      <c r="K7506" s="1192" t="s">
        <v>2506</v>
      </c>
      <c r="L7506" s="1192" t="s">
        <v>2374</v>
      </c>
      <c r="P7506" s="1192" t="s">
        <v>2519</v>
      </c>
      <c r="V7506" s="1192">
        <v>55</v>
      </c>
    </row>
    <row r="7507" spans="1:22" s="1192" customFormat="1" ht="14.4" x14ac:dyDescent="0.3">
      <c r="A7507" s="1192" t="s">
        <v>4649</v>
      </c>
      <c r="E7507" s="1741" t="s">
        <v>2034</v>
      </c>
      <c r="F7507" s="1741"/>
      <c r="G7507" s="1277" t="s">
        <v>20</v>
      </c>
      <c r="H7507" s="1219">
        <v>4.0000000000000002E-4</v>
      </c>
      <c r="K7507" s="1192" t="s">
        <v>2506</v>
      </c>
      <c r="L7507" s="1192" t="s">
        <v>2374</v>
      </c>
      <c r="P7507" s="1192" t="s">
        <v>2519</v>
      </c>
      <c r="V7507" s="1192">
        <v>65</v>
      </c>
    </row>
    <row r="7508" spans="1:22" s="1192" customFormat="1" ht="14.4" x14ac:dyDescent="0.3">
      <c r="A7508" s="1192" t="s">
        <v>4649</v>
      </c>
      <c r="E7508" s="1741" t="s">
        <v>428</v>
      </c>
      <c r="F7508" s="1741"/>
      <c r="G7508" s="1277" t="s">
        <v>20</v>
      </c>
      <c r="H7508" s="1219">
        <v>5.0000000000000001E-4</v>
      </c>
      <c r="K7508" s="1192" t="s">
        <v>2506</v>
      </c>
      <c r="L7508" s="1192" t="s">
        <v>2374</v>
      </c>
      <c r="P7508" s="1192" t="s">
        <v>2520</v>
      </c>
      <c r="V7508" s="1192">
        <v>57</v>
      </c>
    </row>
    <row r="7509" spans="1:22" s="1192" customFormat="1" ht="14.4" x14ac:dyDescent="0.3">
      <c r="A7509" s="1192" t="s">
        <v>4649</v>
      </c>
      <c r="E7509" s="1741" t="s">
        <v>28</v>
      </c>
      <c r="F7509" s="1741"/>
      <c r="G7509" s="1277" t="s">
        <v>19</v>
      </c>
      <c r="H7509" s="1218">
        <v>0.25</v>
      </c>
      <c r="K7509" s="1192" t="s">
        <v>2506</v>
      </c>
      <c r="L7509" s="1192" t="s">
        <v>2374</v>
      </c>
      <c r="P7509" s="1192" t="s">
        <v>2521</v>
      </c>
      <c r="V7509" s="1192">
        <v>63</v>
      </c>
    </row>
    <row r="7510" spans="1:22" s="1192" customFormat="1" ht="17.399999999999999" x14ac:dyDescent="0.3">
      <c r="A7510" s="1192" t="s">
        <v>4649</v>
      </c>
      <c r="E7510" s="1746" t="s">
        <v>2522</v>
      </c>
      <c r="F7510" s="1747"/>
      <c r="G7510" s="1747"/>
      <c r="H7510" s="1747"/>
      <c r="K7510" s="1192" t="s">
        <v>3901</v>
      </c>
      <c r="V7510" s="1192">
        <v>54</v>
      </c>
    </row>
    <row r="7511" spans="1:22" s="1192" customFormat="1" ht="14.4" x14ac:dyDescent="0.3">
      <c r="A7511" s="1192" t="s">
        <v>4649</v>
      </c>
      <c r="E7511" s="1743" t="s">
        <v>2822</v>
      </c>
      <c r="F7511" s="1743"/>
      <c r="G7511" s="1743"/>
      <c r="H7511" s="1743"/>
      <c r="K7511" s="1192" t="s">
        <v>3901</v>
      </c>
      <c r="V7511" s="1192">
        <v>335</v>
      </c>
    </row>
    <row r="7512" spans="1:22" s="1192" customFormat="1" ht="14.4" x14ac:dyDescent="0.3">
      <c r="A7512" s="1192" t="s">
        <v>4649</v>
      </c>
      <c r="E7512" s="1750" t="s">
        <v>2389</v>
      </c>
      <c r="F7512" s="1743"/>
      <c r="G7512" s="1743"/>
      <c r="H7512" s="1743"/>
      <c r="K7512" s="1192" t="s">
        <v>2412</v>
      </c>
      <c r="V7512" s="1192">
        <v>11</v>
      </c>
    </row>
    <row r="7513" spans="1:22" s="1192" customFormat="1" ht="14.4" x14ac:dyDescent="0.3">
      <c r="A7513" s="1192" t="s">
        <v>4649</v>
      </c>
      <c r="E7513" s="1743" t="s">
        <v>2391</v>
      </c>
      <c r="F7513" s="1743"/>
      <c r="G7513" s="1743"/>
      <c r="H7513" s="1743"/>
      <c r="K7513" s="1192" t="s">
        <v>3901</v>
      </c>
      <c r="V7513" s="1192">
        <v>280</v>
      </c>
    </row>
    <row r="7514" spans="1:22" s="1192" customFormat="1" ht="14.4" x14ac:dyDescent="0.3">
      <c r="A7514" s="1192" t="s">
        <v>4649</v>
      </c>
      <c r="E7514" s="1743" t="s">
        <v>2392</v>
      </c>
      <c r="F7514" s="1743"/>
      <c r="G7514" s="1743"/>
      <c r="H7514" s="1743"/>
      <c r="K7514" s="1192" t="s">
        <v>3901</v>
      </c>
      <c r="V7514" s="1192">
        <v>411</v>
      </c>
    </row>
    <row r="7515" spans="1:22" s="1192" customFormat="1" ht="14.4" x14ac:dyDescent="0.3">
      <c r="A7515" s="1192" t="s">
        <v>4649</v>
      </c>
      <c r="E7515" s="1743" t="s">
        <v>2508</v>
      </c>
      <c r="F7515" s="1743"/>
      <c r="G7515" s="1743"/>
      <c r="H7515" s="1743"/>
      <c r="K7515" s="1192" t="s">
        <v>3901</v>
      </c>
      <c r="V7515" s="1192">
        <v>386</v>
      </c>
    </row>
    <row r="7516" spans="1:22" s="1192" customFormat="1" ht="14.4" x14ac:dyDescent="0.3">
      <c r="A7516" s="1192" t="s">
        <v>4649</v>
      </c>
      <c r="E7516" s="1743" t="s">
        <v>4652</v>
      </c>
      <c r="F7516" s="1743"/>
      <c r="G7516" s="1743"/>
      <c r="H7516" s="1743"/>
      <c r="K7516" s="1192" t="s">
        <v>3901</v>
      </c>
      <c r="V7516" s="1192">
        <v>251</v>
      </c>
    </row>
    <row r="7517" spans="1:22" s="1192" customFormat="1" ht="14.4" x14ac:dyDescent="0.3">
      <c r="A7517" s="1192" t="s">
        <v>4649</v>
      </c>
      <c r="E7517" s="1750" t="s">
        <v>2394</v>
      </c>
      <c r="F7517" s="1743"/>
      <c r="G7517" s="1743"/>
      <c r="H7517" s="1743"/>
      <c r="K7517" s="1192" t="s">
        <v>2413</v>
      </c>
      <c r="V7517" s="1192">
        <v>46</v>
      </c>
    </row>
    <row r="7518" spans="1:22" s="1192" customFormat="1" ht="14.4" x14ac:dyDescent="0.3">
      <c r="A7518" s="1192" t="s">
        <v>4649</v>
      </c>
      <c r="E7518" s="1741" t="s">
        <v>3372</v>
      </c>
      <c r="F7518" s="1741"/>
      <c r="G7518" s="1277" t="s">
        <v>19</v>
      </c>
      <c r="H7518" s="1218">
        <v>21.92</v>
      </c>
      <c r="K7518" s="1192" t="s">
        <v>3901</v>
      </c>
      <c r="L7518" s="1192" t="s">
        <v>430</v>
      </c>
      <c r="P7518" s="1192" t="s">
        <v>3902</v>
      </c>
      <c r="V7518" s="1192">
        <v>38</v>
      </c>
    </row>
    <row r="7519" spans="1:22" s="1192" customFormat="1" ht="14.4" x14ac:dyDescent="0.3">
      <c r="A7519" s="1192" t="s">
        <v>4649</v>
      </c>
      <c r="E7519" s="1741" t="s">
        <v>3900</v>
      </c>
      <c r="F7519" s="1741"/>
      <c r="G7519" s="1277" t="s">
        <v>19</v>
      </c>
      <c r="H7519" s="1218">
        <v>0.56999999999999995</v>
      </c>
      <c r="K7519" s="1192" t="s">
        <v>3901</v>
      </c>
      <c r="L7519" s="1192" t="s">
        <v>431</v>
      </c>
      <c r="P7519" s="1192" t="s">
        <v>3903</v>
      </c>
      <c r="T7519" s="1192">
        <v>44926</v>
      </c>
      <c r="V7519" s="1192">
        <v>64</v>
      </c>
    </row>
    <row r="7520" spans="1:22" s="1192" customFormat="1" ht="14.4" x14ac:dyDescent="0.3">
      <c r="A7520" s="1192" t="s">
        <v>4649</v>
      </c>
      <c r="E7520" s="1741" t="s">
        <v>80</v>
      </c>
      <c r="F7520" s="1741"/>
      <c r="G7520" s="1277" t="s">
        <v>20</v>
      </c>
      <c r="H7520" s="1219">
        <v>1.4500000000000001E-2</v>
      </c>
      <c r="K7520" s="1192" t="s">
        <v>3901</v>
      </c>
      <c r="L7520" s="1192" t="s">
        <v>430</v>
      </c>
      <c r="P7520" s="1192" t="s">
        <v>3904</v>
      </c>
      <c r="V7520" s="1192">
        <v>28</v>
      </c>
    </row>
    <row r="7521" spans="1:22" s="1192" customFormat="1" ht="14.4" x14ac:dyDescent="0.3">
      <c r="A7521" s="1192" t="s">
        <v>4649</v>
      </c>
      <c r="E7521" s="1741" t="s">
        <v>14</v>
      </c>
      <c r="F7521" s="1741"/>
      <c r="G7521" s="1277" t="s">
        <v>20</v>
      </c>
      <c r="H7521" s="1219">
        <v>1.4E-3</v>
      </c>
      <c r="K7521" s="1192" t="s">
        <v>3901</v>
      </c>
      <c r="L7521" s="1192" t="s">
        <v>431</v>
      </c>
      <c r="P7521" s="1192" t="s">
        <v>3905</v>
      </c>
      <c r="V7521" s="1192">
        <v>24</v>
      </c>
    </row>
    <row r="7522" spans="1:22" s="1192" customFormat="1" ht="14.4" x14ac:dyDescent="0.3">
      <c r="A7522" s="1192" t="s">
        <v>4649</v>
      </c>
      <c r="E7522" s="1741" t="s">
        <v>6506</v>
      </c>
      <c r="F7522" s="1998"/>
      <c r="G7522" s="1277" t="s">
        <v>20</v>
      </c>
      <c r="H7522" s="1219">
        <v>2E-3</v>
      </c>
      <c r="K7522" s="1192" t="s">
        <v>3901</v>
      </c>
      <c r="L7522" s="1192" t="s">
        <v>431</v>
      </c>
      <c r="P7522" s="1192" t="s">
        <v>3700</v>
      </c>
      <c r="T7522" s="1192">
        <v>44316</v>
      </c>
      <c r="V7522" s="1192">
        <v>139</v>
      </c>
    </row>
    <row r="7523" spans="1:22" s="1192" customFormat="1" ht="14.4" x14ac:dyDescent="0.3">
      <c r="A7523" s="1192" t="s">
        <v>4649</v>
      </c>
      <c r="E7523" s="1741" t="s">
        <v>6507</v>
      </c>
      <c r="F7523" s="1998"/>
      <c r="G7523" s="1277" t="s">
        <v>20</v>
      </c>
      <c r="H7523" s="1219">
        <v>1.6999999999999999E-3</v>
      </c>
      <c r="K7523" s="1192" t="s">
        <v>3901</v>
      </c>
      <c r="L7523" s="1192" t="s">
        <v>430</v>
      </c>
      <c r="P7523" s="1192" t="s">
        <v>4000</v>
      </c>
      <c r="T7523" s="1192">
        <v>44681</v>
      </c>
      <c r="V7523" s="1192">
        <v>136</v>
      </c>
    </row>
    <row r="7524" spans="1:22" s="1192" customFormat="1" ht="14.4" x14ac:dyDescent="0.3">
      <c r="A7524" s="1192" t="s">
        <v>4649</v>
      </c>
      <c r="E7524" s="1741" t="s">
        <v>6508</v>
      </c>
      <c r="F7524" s="1998"/>
      <c r="G7524" s="1277" t="s">
        <v>20</v>
      </c>
      <c r="H7524" s="1219">
        <v>8.9999999999999998E-4</v>
      </c>
      <c r="K7524" s="1192" t="s">
        <v>3901</v>
      </c>
      <c r="L7524" s="1192" t="s">
        <v>431</v>
      </c>
      <c r="P7524" s="1192" t="s">
        <v>3911</v>
      </c>
      <c r="T7524" s="1192">
        <v>44316</v>
      </c>
      <c r="V7524" s="1192">
        <v>96</v>
      </c>
    </row>
    <row r="7525" spans="1:22" s="1192" customFormat="1" ht="14.4" x14ac:dyDescent="0.3">
      <c r="A7525" s="1192" t="s">
        <v>4649</v>
      </c>
      <c r="E7525" s="1741" t="s">
        <v>6505</v>
      </c>
      <c r="F7525" s="1998"/>
      <c r="G7525" s="1277" t="s">
        <v>20</v>
      </c>
      <c r="H7525" s="1219">
        <v>1E-4</v>
      </c>
      <c r="K7525" s="1192" t="s">
        <v>3901</v>
      </c>
      <c r="L7525" s="1192" t="s">
        <v>430</v>
      </c>
      <c r="P7525" s="1192" t="s">
        <v>4062</v>
      </c>
      <c r="T7525" s="1192">
        <v>44316</v>
      </c>
      <c r="V7525" s="1192">
        <v>80</v>
      </c>
    </row>
    <row r="7526" spans="1:22" s="1192" customFormat="1" ht="14.4" x14ac:dyDescent="0.3">
      <c r="A7526" s="1192" t="s">
        <v>4649</v>
      </c>
      <c r="E7526" s="1741" t="s">
        <v>213</v>
      </c>
      <c r="F7526" s="1741"/>
      <c r="G7526" s="1277" t="s">
        <v>20</v>
      </c>
      <c r="H7526" s="1219">
        <v>6.4999999999999997E-3</v>
      </c>
      <c r="K7526" s="1192" t="s">
        <v>3901</v>
      </c>
      <c r="L7526" s="1192" t="s">
        <v>432</v>
      </c>
      <c r="P7526" s="1192" t="s">
        <v>3906</v>
      </c>
      <c r="V7526" s="1192">
        <v>47</v>
      </c>
    </row>
    <row r="7527" spans="1:22" s="1192" customFormat="1" ht="14.4" x14ac:dyDescent="0.3">
      <c r="A7527" s="1192" t="s">
        <v>4649</v>
      </c>
      <c r="E7527" s="1741" t="s">
        <v>209</v>
      </c>
      <c r="F7527" s="1741"/>
      <c r="G7527" s="1277" t="s">
        <v>20</v>
      </c>
      <c r="H7527" s="1219">
        <v>3.7000000000000002E-3</v>
      </c>
      <c r="K7527" s="1192" t="s">
        <v>3901</v>
      </c>
      <c r="L7527" s="1192" t="s">
        <v>432</v>
      </c>
      <c r="P7527" s="1192" t="s">
        <v>3907</v>
      </c>
      <c r="V7527" s="1192">
        <v>74</v>
      </c>
    </row>
    <row r="7528" spans="1:22" s="1192" customFormat="1" ht="14.4" x14ac:dyDescent="0.3">
      <c r="A7528" s="1192" t="s">
        <v>4649</v>
      </c>
      <c r="E7528" s="1750" t="s">
        <v>2405</v>
      </c>
      <c r="F7528" s="1743"/>
      <c r="G7528" s="1743"/>
      <c r="H7528" s="1743"/>
      <c r="K7528" s="1192" t="s">
        <v>2418</v>
      </c>
      <c r="V7528" s="1192">
        <v>48</v>
      </c>
    </row>
    <row r="7529" spans="1:22" s="1192" customFormat="1" ht="14.4" x14ac:dyDescent="0.3">
      <c r="A7529" s="1192" t="s">
        <v>4649</v>
      </c>
      <c r="E7529" s="1741" t="s">
        <v>2033</v>
      </c>
      <c r="F7529" s="1741"/>
      <c r="G7529" s="1277" t="s">
        <v>20</v>
      </c>
      <c r="H7529" s="1219">
        <v>3.0000000000000001E-3</v>
      </c>
      <c r="K7529" s="1192" t="s">
        <v>3901</v>
      </c>
      <c r="L7529" s="1192" t="s">
        <v>2374</v>
      </c>
      <c r="P7529" s="1192" t="s">
        <v>3908</v>
      </c>
      <c r="V7529" s="1192">
        <v>55</v>
      </c>
    </row>
    <row r="7530" spans="1:22" s="1192" customFormat="1" ht="14.4" x14ac:dyDescent="0.3">
      <c r="A7530" s="1192" t="s">
        <v>4649</v>
      </c>
      <c r="E7530" s="1741" t="s">
        <v>2034</v>
      </c>
      <c r="F7530" s="1741"/>
      <c r="G7530" s="1277" t="s">
        <v>20</v>
      </c>
      <c r="H7530" s="1219">
        <v>4.0000000000000002E-4</v>
      </c>
      <c r="K7530" s="1192" t="s">
        <v>3901</v>
      </c>
      <c r="L7530" s="1192" t="s">
        <v>2374</v>
      </c>
      <c r="P7530" s="1192" t="s">
        <v>3908</v>
      </c>
      <c r="V7530" s="1192">
        <v>65</v>
      </c>
    </row>
    <row r="7531" spans="1:22" s="1192" customFormat="1" ht="14.4" x14ac:dyDescent="0.3">
      <c r="A7531" s="1192" t="s">
        <v>4649</v>
      </c>
      <c r="E7531" s="1741" t="s">
        <v>428</v>
      </c>
      <c r="F7531" s="1741"/>
      <c r="G7531" s="1277" t="s">
        <v>20</v>
      </c>
      <c r="H7531" s="1219">
        <v>5.0000000000000001E-4</v>
      </c>
      <c r="K7531" s="1192" t="s">
        <v>3901</v>
      </c>
      <c r="L7531" s="1192" t="s">
        <v>2374</v>
      </c>
      <c r="P7531" s="1192" t="s">
        <v>3909</v>
      </c>
      <c r="V7531" s="1192">
        <v>57</v>
      </c>
    </row>
    <row r="7532" spans="1:22" s="1192" customFormat="1" ht="14.4" x14ac:dyDescent="0.3">
      <c r="A7532" s="1192" t="s">
        <v>4649</v>
      </c>
      <c r="E7532" s="1741" t="s">
        <v>28</v>
      </c>
      <c r="F7532" s="1741"/>
      <c r="G7532" s="1277" t="s">
        <v>19</v>
      </c>
      <c r="H7532" s="1218">
        <v>0.25</v>
      </c>
      <c r="K7532" s="1192" t="s">
        <v>3901</v>
      </c>
      <c r="L7532" s="1192" t="s">
        <v>2374</v>
      </c>
      <c r="P7532" s="1192" t="s">
        <v>3910</v>
      </c>
      <c r="V7532" s="1192">
        <v>63</v>
      </c>
    </row>
    <row r="7533" spans="1:22" s="1192" customFormat="1" ht="17.399999999999999" x14ac:dyDescent="0.3">
      <c r="A7533" s="1192" t="s">
        <v>4649</v>
      </c>
      <c r="E7533" s="1746" t="s">
        <v>591</v>
      </c>
      <c r="F7533" s="1747"/>
      <c r="G7533" s="1747"/>
      <c r="H7533" s="1747"/>
      <c r="K7533" s="1192" t="s">
        <v>4388</v>
      </c>
      <c r="V7533" s="1192">
        <v>53</v>
      </c>
    </row>
    <row r="7534" spans="1:22" s="1192" customFormat="1" ht="14.4" x14ac:dyDescent="0.3">
      <c r="A7534" s="1192" t="s">
        <v>4649</v>
      </c>
      <c r="E7534" s="1743" t="s">
        <v>3066</v>
      </c>
      <c r="F7534" s="1743"/>
      <c r="G7534" s="1743"/>
      <c r="H7534" s="1743"/>
      <c r="K7534" s="1192" t="s">
        <v>4388</v>
      </c>
      <c r="V7534" s="1192">
        <v>386</v>
      </c>
    </row>
    <row r="7535" spans="1:22" s="1192" customFormat="1" ht="14.4" x14ac:dyDescent="0.3">
      <c r="A7535" s="1192" t="s">
        <v>4649</v>
      </c>
      <c r="E7535" s="1750" t="s">
        <v>2389</v>
      </c>
      <c r="F7535" s="1743"/>
      <c r="G7535" s="1743"/>
      <c r="H7535" s="1743"/>
      <c r="K7535" s="1192" t="s">
        <v>2422</v>
      </c>
      <c r="V7535" s="1192">
        <v>11</v>
      </c>
    </row>
    <row r="7536" spans="1:22" s="1192" customFormat="1" ht="14.4" x14ac:dyDescent="0.3">
      <c r="A7536" s="1192" t="s">
        <v>4649</v>
      </c>
      <c r="E7536" s="1743" t="s">
        <v>2391</v>
      </c>
      <c r="F7536" s="1743"/>
      <c r="G7536" s="1743"/>
      <c r="H7536" s="1743"/>
      <c r="K7536" s="1192" t="s">
        <v>4388</v>
      </c>
      <c r="V7536" s="1192">
        <v>280</v>
      </c>
    </row>
    <row r="7537" spans="1:22" s="1192" customFormat="1" ht="14.4" x14ac:dyDescent="0.3">
      <c r="A7537" s="1192" t="s">
        <v>4649</v>
      </c>
      <c r="E7537" s="1743" t="s">
        <v>2392</v>
      </c>
      <c r="F7537" s="1743"/>
      <c r="G7537" s="1743"/>
      <c r="H7537" s="1743"/>
      <c r="K7537" s="1192" t="s">
        <v>4388</v>
      </c>
      <c r="V7537" s="1192">
        <v>411</v>
      </c>
    </row>
    <row r="7538" spans="1:22" s="1192" customFormat="1" ht="14.4" x14ac:dyDescent="0.3">
      <c r="A7538" s="1192" t="s">
        <v>4649</v>
      </c>
      <c r="E7538" s="1743" t="s">
        <v>2508</v>
      </c>
      <c r="F7538" s="1743"/>
      <c r="G7538" s="1743"/>
      <c r="H7538" s="1743"/>
      <c r="K7538" s="1192" t="s">
        <v>4388</v>
      </c>
      <c r="V7538" s="1192">
        <v>386</v>
      </c>
    </row>
    <row r="7539" spans="1:22" s="1192" customFormat="1" ht="14.4" x14ac:dyDescent="0.3">
      <c r="A7539" s="1192" t="s">
        <v>4649</v>
      </c>
      <c r="E7539" s="1743" t="s">
        <v>4503</v>
      </c>
      <c r="F7539" s="1743"/>
      <c r="G7539" s="1743"/>
      <c r="H7539" s="1743"/>
      <c r="K7539" s="1192" t="s">
        <v>4388</v>
      </c>
      <c r="V7539" s="1192">
        <v>677</v>
      </c>
    </row>
    <row r="7540" spans="1:22" s="1192" customFormat="1" ht="14.4" x14ac:dyDescent="0.3">
      <c r="A7540" s="1192" t="s">
        <v>4649</v>
      </c>
      <c r="E7540" s="1743" t="s">
        <v>4644</v>
      </c>
      <c r="F7540" s="1743"/>
      <c r="G7540" s="1743"/>
      <c r="H7540" s="1743"/>
      <c r="K7540" s="1192" t="s">
        <v>4388</v>
      </c>
      <c r="V7540" s="1192">
        <v>693</v>
      </c>
    </row>
    <row r="7541" spans="1:22" s="1192" customFormat="1" ht="14.4" x14ac:dyDescent="0.3">
      <c r="A7541" s="1192" t="s">
        <v>4649</v>
      </c>
      <c r="E7541" s="1743" t="s">
        <v>4652</v>
      </c>
      <c r="F7541" s="1743"/>
      <c r="G7541" s="1743"/>
      <c r="H7541" s="1743"/>
      <c r="K7541" s="1192" t="s">
        <v>4388</v>
      </c>
      <c r="V7541" s="1192">
        <v>251</v>
      </c>
    </row>
    <row r="7542" spans="1:22" s="1192" customFormat="1" ht="14.4" x14ac:dyDescent="0.3">
      <c r="A7542" s="1192" t="s">
        <v>4649</v>
      </c>
      <c r="E7542" s="1750" t="s">
        <v>2394</v>
      </c>
      <c r="F7542" s="1743"/>
      <c r="G7542" s="1743"/>
      <c r="H7542" s="1743"/>
      <c r="K7542" s="1192" t="s">
        <v>2423</v>
      </c>
      <c r="V7542" s="1192">
        <v>46</v>
      </c>
    </row>
    <row r="7543" spans="1:22" s="1192" customFormat="1" ht="14.4" x14ac:dyDescent="0.3">
      <c r="A7543" s="1192" t="s">
        <v>4649</v>
      </c>
      <c r="E7543" s="1741" t="s">
        <v>3372</v>
      </c>
      <c r="F7543" s="1741"/>
      <c r="G7543" s="1277" t="s">
        <v>19</v>
      </c>
      <c r="H7543" s="1218">
        <v>104.69</v>
      </c>
      <c r="K7543" s="1192" t="s">
        <v>4388</v>
      </c>
      <c r="L7543" s="1192" t="s">
        <v>430</v>
      </c>
      <c r="P7543" s="1192" t="s">
        <v>4389</v>
      </c>
      <c r="V7543" s="1192">
        <v>38</v>
      </c>
    </row>
    <row r="7544" spans="1:22" s="1192" customFormat="1" ht="14.4" x14ac:dyDescent="0.3">
      <c r="A7544" s="1192" t="s">
        <v>4649</v>
      </c>
      <c r="E7544" s="1741" t="s">
        <v>80</v>
      </c>
      <c r="F7544" s="1741"/>
      <c r="G7544" s="1277" t="s">
        <v>29</v>
      </c>
      <c r="H7544" s="1219">
        <v>3.4239000000000002</v>
      </c>
      <c r="K7544" s="1192" t="s">
        <v>4388</v>
      </c>
      <c r="L7544" s="1192" t="s">
        <v>430</v>
      </c>
      <c r="P7544" s="1192" t="s">
        <v>4390</v>
      </c>
      <c r="V7544" s="1192">
        <v>28</v>
      </c>
    </row>
    <row r="7545" spans="1:22" s="1192" customFormat="1" ht="14.4" x14ac:dyDescent="0.3">
      <c r="A7545" s="1192" t="s">
        <v>4649</v>
      </c>
      <c r="E7545" s="1741" t="s">
        <v>14</v>
      </c>
      <c r="F7545" s="1741"/>
      <c r="G7545" s="1277" t="s">
        <v>29</v>
      </c>
      <c r="H7545" s="1219">
        <v>0.52149999999999996</v>
      </c>
      <c r="K7545" s="1192" t="s">
        <v>4388</v>
      </c>
      <c r="L7545" s="1192" t="s">
        <v>431</v>
      </c>
      <c r="P7545" s="1192" t="s">
        <v>4391</v>
      </c>
      <c r="V7545" s="1192">
        <v>24</v>
      </c>
    </row>
    <row r="7546" spans="1:22" s="1192" customFormat="1" ht="14.4" x14ac:dyDescent="0.3">
      <c r="A7546" s="1192" t="s">
        <v>4649</v>
      </c>
      <c r="E7546" s="1741" t="s">
        <v>6506</v>
      </c>
      <c r="F7546" s="1998"/>
      <c r="G7546" s="1277" t="s">
        <v>20</v>
      </c>
      <c r="H7546" s="1219">
        <v>2E-3</v>
      </c>
      <c r="K7546" s="1192" t="s">
        <v>4388</v>
      </c>
      <c r="L7546" s="1192" t="s">
        <v>431</v>
      </c>
      <c r="P7546" s="1192" t="s">
        <v>4397</v>
      </c>
      <c r="T7546" s="1192">
        <v>44316</v>
      </c>
      <c r="V7546" s="1192">
        <v>139</v>
      </c>
    </row>
    <row r="7547" spans="1:22" s="1192" customFormat="1" ht="14.4" x14ac:dyDescent="0.3">
      <c r="A7547" s="1192" t="s">
        <v>4649</v>
      </c>
      <c r="E7547" s="1741" t="s">
        <v>6507</v>
      </c>
      <c r="F7547" s="1998"/>
      <c r="G7547" s="1277" t="s">
        <v>29</v>
      </c>
      <c r="H7547" s="1219">
        <v>3.5499999999999997E-2</v>
      </c>
      <c r="K7547" s="1192" t="s">
        <v>4388</v>
      </c>
      <c r="L7547" s="1192" t="s">
        <v>430</v>
      </c>
      <c r="P7547" s="1192" t="s">
        <v>4400</v>
      </c>
      <c r="T7547" s="1192">
        <v>44681</v>
      </c>
      <c r="V7547" s="1192">
        <v>136</v>
      </c>
    </row>
    <row r="7548" spans="1:22" s="1192" customFormat="1" ht="14.4" x14ac:dyDescent="0.3">
      <c r="A7548" s="1192" t="s">
        <v>4649</v>
      </c>
      <c r="E7548" s="1741" t="s">
        <v>6509</v>
      </c>
      <c r="F7548" s="1998"/>
      <c r="G7548" s="1277" t="s">
        <v>29</v>
      </c>
      <c r="H7548" s="1219">
        <v>-0.25769999999999998</v>
      </c>
      <c r="K7548" s="1192" t="s">
        <v>4388</v>
      </c>
      <c r="L7548" s="1192" t="s">
        <v>431</v>
      </c>
      <c r="P7548" s="1192" t="s">
        <v>4398</v>
      </c>
      <c r="T7548" s="1192">
        <v>44316</v>
      </c>
      <c r="V7548" s="1192">
        <v>156</v>
      </c>
    </row>
    <row r="7549" spans="1:22" s="1192" customFormat="1" ht="14.4" x14ac:dyDescent="0.3">
      <c r="A7549" s="1192" t="s">
        <v>4649</v>
      </c>
      <c r="E7549" s="1741" t="s">
        <v>6508</v>
      </c>
      <c r="F7549" s="1998"/>
      <c r="G7549" s="1277" t="s">
        <v>29</v>
      </c>
      <c r="H7549" s="1219">
        <v>0.66320000000000001</v>
      </c>
      <c r="K7549" s="1192" t="s">
        <v>4388</v>
      </c>
      <c r="L7549" s="1192" t="s">
        <v>431</v>
      </c>
      <c r="P7549" s="1192" t="s">
        <v>4398</v>
      </c>
      <c r="T7549" s="1192">
        <v>44316</v>
      </c>
      <c r="V7549" s="1192">
        <v>96</v>
      </c>
    </row>
    <row r="7550" spans="1:22" s="1192" customFormat="1" ht="14.4" x14ac:dyDescent="0.3">
      <c r="A7550" s="1192" t="s">
        <v>4649</v>
      </c>
      <c r="E7550" s="1741" t="s">
        <v>6505</v>
      </c>
      <c r="F7550" s="1998"/>
      <c r="G7550" s="1277" t="s">
        <v>29</v>
      </c>
      <c r="H7550" s="1219">
        <v>1.9199999999999998E-2</v>
      </c>
      <c r="K7550" s="1192" t="s">
        <v>4388</v>
      </c>
      <c r="L7550" s="1192" t="s">
        <v>430</v>
      </c>
      <c r="P7550" s="1192" t="s">
        <v>4424</v>
      </c>
      <c r="T7550" s="1192">
        <v>44316</v>
      </c>
      <c r="V7550" s="1192">
        <v>80</v>
      </c>
    </row>
    <row r="7551" spans="1:22" s="1192" customFormat="1" ht="14.4" x14ac:dyDescent="0.3">
      <c r="A7551" s="1192" t="s">
        <v>4649</v>
      </c>
      <c r="E7551" s="1741" t="s">
        <v>213</v>
      </c>
      <c r="F7551" s="1741"/>
      <c r="G7551" s="1277" t="s">
        <v>29</v>
      </c>
      <c r="H7551" s="1219">
        <v>2.5747</v>
      </c>
      <c r="K7551" s="1192" t="s">
        <v>4388</v>
      </c>
      <c r="L7551" s="1192" t="s">
        <v>432</v>
      </c>
      <c r="P7551" s="1192" t="s">
        <v>4392</v>
      </c>
      <c r="V7551" s="1192">
        <v>47</v>
      </c>
    </row>
    <row r="7552" spans="1:22" s="1192" customFormat="1" ht="14.4" x14ac:dyDescent="0.3">
      <c r="A7552" s="1192" t="s">
        <v>4649</v>
      </c>
      <c r="E7552" s="1741" t="s">
        <v>2847</v>
      </c>
      <c r="F7552" s="1741"/>
      <c r="G7552" s="1277" t="s">
        <v>29</v>
      </c>
      <c r="H7552" s="1219">
        <v>1.5711999999999999</v>
      </c>
      <c r="K7552" s="1192" t="s">
        <v>4388</v>
      </c>
      <c r="L7552" s="1192" t="s">
        <v>432</v>
      </c>
      <c r="P7552" s="1192" t="s">
        <v>4393</v>
      </c>
      <c r="V7552" s="1192">
        <v>75</v>
      </c>
    </row>
    <row r="7553" spans="1:22" s="1192" customFormat="1" ht="14.4" x14ac:dyDescent="0.3">
      <c r="A7553" s="1192" t="s">
        <v>4649</v>
      </c>
      <c r="E7553" s="1750" t="s">
        <v>2405</v>
      </c>
      <c r="F7553" s="1741"/>
      <c r="G7553" s="1277"/>
      <c r="H7553" s="896"/>
      <c r="K7553" s="1192" t="s">
        <v>2526</v>
      </c>
      <c r="V7553" s="1192">
        <v>48</v>
      </c>
    </row>
    <row r="7554" spans="1:22" s="1192" customFormat="1" ht="14.4" x14ac:dyDescent="0.3">
      <c r="A7554" s="1192" t="s">
        <v>4649</v>
      </c>
      <c r="E7554" s="1741" t="s">
        <v>2033</v>
      </c>
      <c r="F7554" s="1741"/>
      <c r="G7554" s="1277" t="s">
        <v>20</v>
      </c>
      <c r="H7554" s="1219">
        <v>3.0000000000000001E-3</v>
      </c>
      <c r="K7554" s="1192" t="s">
        <v>4388</v>
      </c>
      <c r="L7554" s="1192" t="s">
        <v>2374</v>
      </c>
      <c r="P7554" s="1192" t="s">
        <v>4394</v>
      </c>
      <c r="V7554" s="1192">
        <v>55</v>
      </c>
    </row>
    <row r="7555" spans="1:22" s="1192" customFormat="1" ht="14.4" x14ac:dyDescent="0.3">
      <c r="A7555" s="1192" t="s">
        <v>4649</v>
      </c>
      <c r="E7555" s="1741" t="s">
        <v>2034</v>
      </c>
      <c r="F7555" s="1741"/>
      <c r="G7555" s="1277" t="s">
        <v>20</v>
      </c>
      <c r="H7555" s="1219">
        <v>4.0000000000000002E-4</v>
      </c>
      <c r="K7555" s="1192" t="s">
        <v>4388</v>
      </c>
      <c r="L7555" s="1192" t="s">
        <v>2374</v>
      </c>
      <c r="P7555" s="1192" t="s">
        <v>4394</v>
      </c>
      <c r="V7555" s="1192">
        <v>65</v>
      </c>
    </row>
    <row r="7556" spans="1:22" s="1192" customFormat="1" ht="14.4" x14ac:dyDescent="0.3">
      <c r="A7556" s="1192" t="s">
        <v>4649</v>
      </c>
      <c r="E7556" s="1741" t="s">
        <v>428</v>
      </c>
      <c r="F7556" s="1741"/>
      <c r="G7556" s="1277" t="s">
        <v>20</v>
      </c>
      <c r="H7556" s="1219">
        <v>5.0000000000000001E-4</v>
      </c>
      <c r="K7556" s="1192" t="s">
        <v>4388</v>
      </c>
      <c r="L7556" s="1192" t="s">
        <v>2374</v>
      </c>
      <c r="P7556" s="1192" t="s">
        <v>4395</v>
      </c>
      <c r="V7556" s="1192">
        <v>57</v>
      </c>
    </row>
    <row r="7557" spans="1:22" s="1192" customFormat="1" ht="14.4" x14ac:dyDescent="0.3">
      <c r="A7557" s="1192" t="s">
        <v>4649</v>
      </c>
      <c r="E7557" s="1741" t="s">
        <v>28</v>
      </c>
      <c r="F7557" s="1741"/>
      <c r="G7557" s="1277" t="s">
        <v>19</v>
      </c>
      <c r="H7557" s="1218">
        <v>0.25</v>
      </c>
      <c r="K7557" s="1192" t="s">
        <v>4388</v>
      </c>
      <c r="L7557" s="1192" t="s">
        <v>2374</v>
      </c>
      <c r="P7557" s="1192" t="s">
        <v>4396</v>
      </c>
      <c r="V7557" s="1192">
        <v>63</v>
      </c>
    </row>
    <row r="7558" spans="1:22" s="1192" customFormat="1" ht="17.399999999999999" x14ac:dyDescent="0.3">
      <c r="A7558" s="1192" t="s">
        <v>4649</v>
      </c>
      <c r="E7558" s="1746" t="s">
        <v>592</v>
      </c>
      <c r="F7558" s="1747"/>
      <c r="G7558" s="1747"/>
      <c r="H7558" s="1747"/>
      <c r="K7558" s="1192" t="s">
        <v>2676</v>
      </c>
      <c r="V7558" s="1192">
        <v>47</v>
      </c>
    </row>
    <row r="7559" spans="1:22" s="1192" customFormat="1" ht="14.4" x14ac:dyDescent="0.3">
      <c r="A7559" s="1192" t="s">
        <v>4649</v>
      </c>
      <c r="E7559" s="1743" t="s">
        <v>3179</v>
      </c>
      <c r="F7559" s="1743"/>
      <c r="G7559" s="1743"/>
      <c r="H7559" s="1743"/>
      <c r="K7559" s="1192" t="s">
        <v>2676</v>
      </c>
      <c r="V7559" s="1192">
        <v>720</v>
      </c>
    </row>
    <row r="7560" spans="1:22" s="1192" customFormat="1" ht="14.4" x14ac:dyDescent="0.3">
      <c r="A7560" s="1192" t="s">
        <v>4649</v>
      </c>
      <c r="E7560" s="1750" t="s">
        <v>2389</v>
      </c>
      <c r="F7560" s="1743"/>
      <c r="G7560" s="1743"/>
      <c r="H7560" s="1743"/>
      <c r="K7560" s="1192" t="s">
        <v>2529</v>
      </c>
      <c r="V7560" s="1192">
        <v>11</v>
      </c>
    </row>
    <row r="7561" spans="1:22" s="1192" customFormat="1" ht="14.4" x14ac:dyDescent="0.3">
      <c r="A7561" s="1192" t="s">
        <v>4649</v>
      </c>
      <c r="E7561" s="1743" t="s">
        <v>2391</v>
      </c>
      <c r="F7561" s="1743"/>
      <c r="G7561" s="1743"/>
      <c r="H7561" s="1743"/>
      <c r="K7561" s="1192" t="s">
        <v>2676</v>
      </c>
      <c r="V7561" s="1192">
        <v>280</v>
      </c>
    </row>
    <row r="7562" spans="1:22" s="1192" customFormat="1" ht="14.4" x14ac:dyDescent="0.3">
      <c r="A7562" s="1192" t="s">
        <v>4649</v>
      </c>
      <c r="E7562" s="1743" t="s">
        <v>2392</v>
      </c>
      <c r="F7562" s="1743"/>
      <c r="G7562" s="1743"/>
      <c r="H7562" s="1743"/>
      <c r="K7562" s="1192" t="s">
        <v>2676</v>
      </c>
      <c r="V7562" s="1192">
        <v>411</v>
      </c>
    </row>
    <row r="7563" spans="1:22" s="1192" customFormat="1" ht="14.4" x14ac:dyDescent="0.3">
      <c r="A7563" s="1192" t="s">
        <v>4649</v>
      </c>
      <c r="E7563" s="1743" t="s">
        <v>2508</v>
      </c>
      <c r="F7563" s="1743"/>
      <c r="G7563" s="1743"/>
      <c r="H7563" s="1743"/>
      <c r="K7563" s="1192" t="s">
        <v>2676</v>
      </c>
      <c r="V7563" s="1192">
        <v>386</v>
      </c>
    </row>
    <row r="7564" spans="1:22" s="1192" customFormat="1" ht="14.4" x14ac:dyDescent="0.3">
      <c r="A7564" s="1192" t="s">
        <v>4649</v>
      </c>
      <c r="E7564" s="1743" t="s">
        <v>4652</v>
      </c>
      <c r="F7564" s="1743"/>
      <c r="G7564" s="1743"/>
      <c r="H7564" s="1743"/>
      <c r="K7564" s="1192" t="s">
        <v>2676</v>
      </c>
      <c r="V7564" s="1192">
        <v>251</v>
      </c>
    </row>
    <row r="7565" spans="1:22" s="1192" customFormat="1" ht="14.4" x14ac:dyDescent="0.3">
      <c r="A7565" s="1192" t="s">
        <v>4649</v>
      </c>
      <c r="E7565" s="1750" t="s">
        <v>2394</v>
      </c>
      <c r="F7565" s="1743"/>
      <c r="G7565" s="1743"/>
      <c r="H7565" s="1743"/>
      <c r="K7565" s="1192" t="s">
        <v>2531</v>
      </c>
      <c r="V7565" s="1192">
        <v>46</v>
      </c>
    </row>
    <row r="7566" spans="1:22" s="1192" customFormat="1" ht="14.4" x14ac:dyDescent="0.3">
      <c r="A7566" s="1192" t="s">
        <v>4649</v>
      </c>
      <c r="E7566" s="1741" t="s">
        <v>3372</v>
      </c>
      <c r="F7566" s="1741"/>
      <c r="G7566" s="1277" t="s">
        <v>19</v>
      </c>
      <c r="H7566" s="1218">
        <v>0.53</v>
      </c>
      <c r="K7566" s="1192" t="s">
        <v>2676</v>
      </c>
      <c r="L7566" s="1192" t="s">
        <v>430</v>
      </c>
      <c r="P7566" s="1192" t="s">
        <v>2678</v>
      </c>
      <c r="V7566" s="1192">
        <v>38</v>
      </c>
    </row>
    <row r="7567" spans="1:22" s="1192" customFormat="1" ht="14.4" x14ac:dyDescent="0.3">
      <c r="A7567" s="1192" t="s">
        <v>4649</v>
      </c>
      <c r="E7567" s="1741" t="s">
        <v>80</v>
      </c>
      <c r="F7567" s="1741"/>
      <c r="G7567" s="1277" t="s">
        <v>20</v>
      </c>
      <c r="H7567" s="1219">
        <v>1.2500000000000001E-2</v>
      </c>
      <c r="K7567" s="1192" t="s">
        <v>2676</v>
      </c>
      <c r="L7567" s="1192" t="s">
        <v>430</v>
      </c>
      <c r="P7567" s="1192" t="s">
        <v>2679</v>
      </c>
      <c r="V7567" s="1192">
        <v>28</v>
      </c>
    </row>
    <row r="7568" spans="1:22" s="1192" customFormat="1" ht="14.4" x14ac:dyDescent="0.3">
      <c r="A7568" s="1192" t="s">
        <v>4649</v>
      </c>
      <c r="E7568" s="1741" t="s">
        <v>14</v>
      </c>
      <c r="F7568" s="1741"/>
      <c r="G7568" s="1277" t="s">
        <v>20</v>
      </c>
      <c r="H7568" s="1219">
        <v>1.4E-3</v>
      </c>
      <c r="K7568" s="1192" t="s">
        <v>2676</v>
      </c>
      <c r="L7568" s="1192" t="s">
        <v>431</v>
      </c>
      <c r="P7568" s="1192" t="s">
        <v>2809</v>
      </c>
      <c r="V7568" s="1192">
        <v>24</v>
      </c>
    </row>
    <row r="7569" spans="1:22" s="1192" customFormat="1" ht="14.4" x14ac:dyDescent="0.3">
      <c r="A7569" s="1192" t="s">
        <v>4649</v>
      </c>
      <c r="E7569" s="1741" t="s">
        <v>6506</v>
      </c>
      <c r="F7569" s="1998"/>
      <c r="G7569" s="1277" t="s">
        <v>20</v>
      </c>
      <c r="H7569" s="1219">
        <v>2E-3</v>
      </c>
      <c r="K7569" s="1192" t="s">
        <v>2676</v>
      </c>
      <c r="L7569" s="1192" t="s">
        <v>431</v>
      </c>
      <c r="P7569" s="1192" t="s">
        <v>2810</v>
      </c>
      <c r="T7569" s="1192">
        <v>44316</v>
      </c>
      <c r="V7569" s="1192">
        <v>139</v>
      </c>
    </row>
    <row r="7570" spans="1:22" s="1192" customFormat="1" ht="14.4" x14ac:dyDescent="0.3">
      <c r="A7570" s="1192" t="s">
        <v>4649</v>
      </c>
      <c r="E7570" s="1741" t="s">
        <v>6507</v>
      </c>
      <c r="F7570" s="1998"/>
      <c r="G7570" s="1277" t="s">
        <v>20</v>
      </c>
      <c r="H7570" s="1219">
        <v>-2.9999999999999997E-4</v>
      </c>
      <c r="K7570" s="1192" t="s">
        <v>2676</v>
      </c>
      <c r="L7570" s="1192" t="s">
        <v>430</v>
      </c>
      <c r="P7570" s="1192" t="s">
        <v>2680</v>
      </c>
      <c r="T7570" s="1192">
        <v>44681</v>
      </c>
      <c r="V7570" s="1192">
        <v>136</v>
      </c>
    </row>
    <row r="7571" spans="1:22" s="1192" customFormat="1" ht="14.4" x14ac:dyDescent="0.3">
      <c r="A7571" s="1192" t="s">
        <v>4649</v>
      </c>
      <c r="E7571" s="1741" t="s">
        <v>6508</v>
      </c>
      <c r="F7571" s="1998"/>
      <c r="G7571" s="1277" t="s">
        <v>20</v>
      </c>
      <c r="H7571" s="1219">
        <v>1E-3</v>
      </c>
      <c r="K7571" s="1192" t="s">
        <v>2676</v>
      </c>
      <c r="L7571" s="1192" t="s">
        <v>431</v>
      </c>
      <c r="P7571" s="1192" t="s">
        <v>2681</v>
      </c>
      <c r="T7571" s="1192">
        <v>44316</v>
      </c>
      <c r="V7571" s="1192">
        <v>96</v>
      </c>
    </row>
    <row r="7572" spans="1:22" s="1192" customFormat="1" ht="14.4" x14ac:dyDescent="0.3">
      <c r="A7572" s="1192" t="s">
        <v>4649</v>
      </c>
      <c r="E7572" s="1741" t="s">
        <v>6505</v>
      </c>
      <c r="F7572" s="1998"/>
      <c r="G7572" s="1277" t="s">
        <v>20</v>
      </c>
      <c r="H7572" s="1219">
        <v>1E-4</v>
      </c>
      <c r="K7572" s="1192" t="s">
        <v>2676</v>
      </c>
      <c r="L7572" s="1192" t="s">
        <v>430</v>
      </c>
      <c r="P7572" s="1192" t="s">
        <v>3254</v>
      </c>
      <c r="T7572" s="1192">
        <v>44316</v>
      </c>
      <c r="V7572" s="1192">
        <v>80</v>
      </c>
    </row>
    <row r="7573" spans="1:22" s="1192" customFormat="1" ht="14.4" x14ac:dyDescent="0.3">
      <c r="A7573" s="1192" t="s">
        <v>4649</v>
      </c>
      <c r="E7573" s="1741" t="s">
        <v>213</v>
      </c>
      <c r="F7573" s="1741"/>
      <c r="G7573" s="1277" t="s">
        <v>20</v>
      </c>
      <c r="H7573" s="1219">
        <v>6.4999999999999997E-3</v>
      </c>
      <c r="K7573" s="1192" t="s">
        <v>2676</v>
      </c>
      <c r="L7573" s="1192" t="s">
        <v>432</v>
      </c>
      <c r="P7573" s="1192" t="s">
        <v>2682</v>
      </c>
      <c r="V7573" s="1192">
        <v>47</v>
      </c>
    </row>
    <row r="7574" spans="1:22" s="1192" customFormat="1" ht="14.4" x14ac:dyDescent="0.3">
      <c r="A7574" s="1192" t="s">
        <v>4649</v>
      </c>
      <c r="E7574" s="1741" t="s">
        <v>209</v>
      </c>
      <c r="F7574" s="1741"/>
      <c r="G7574" s="1277" t="s">
        <v>20</v>
      </c>
      <c r="H7574" s="1219">
        <v>3.7000000000000002E-3</v>
      </c>
      <c r="K7574" s="1192" t="s">
        <v>2676</v>
      </c>
      <c r="L7574" s="1192" t="s">
        <v>432</v>
      </c>
      <c r="P7574" s="1192" t="s">
        <v>2683</v>
      </c>
      <c r="V7574" s="1192">
        <v>74</v>
      </c>
    </row>
    <row r="7575" spans="1:22" s="1192" customFormat="1" ht="14.4" x14ac:dyDescent="0.3">
      <c r="A7575" s="1192" t="s">
        <v>4649</v>
      </c>
      <c r="E7575" s="1750" t="s">
        <v>2405</v>
      </c>
      <c r="F7575" s="1741"/>
      <c r="G7575" s="1277"/>
      <c r="H7575" s="896"/>
      <c r="K7575" s="1192" t="s">
        <v>2532</v>
      </c>
      <c r="V7575" s="1192">
        <v>48</v>
      </c>
    </row>
    <row r="7576" spans="1:22" s="1192" customFormat="1" ht="14.4" x14ac:dyDescent="0.3">
      <c r="A7576" s="1192" t="s">
        <v>4649</v>
      </c>
      <c r="E7576" s="1741" t="s">
        <v>2033</v>
      </c>
      <c r="F7576" s="1741"/>
      <c r="G7576" s="1277" t="s">
        <v>20</v>
      </c>
      <c r="H7576" s="1219">
        <v>3.0000000000000001E-3</v>
      </c>
      <c r="K7576" s="1192" t="s">
        <v>2676</v>
      </c>
      <c r="L7576" s="1192" t="s">
        <v>2374</v>
      </c>
      <c r="P7576" s="1192" t="s">
        <v>2684</v>
      </c>
      <c r="V7576" s="1192">
        <v>55</v>
      </c>
    </row>
    <row r="7577" spans="1:22" s="1192" customFormat="1" ht="14.4" x14ac:dyDescent="0.3">
      <c r="A7577" s="1192" t="s">
        <v>4649</v>
      </c>
      <c r="E7577" s="1741" t="s">
        <v>2034</v>
      </c>
      <c r="F7577" s="1741"/>
      <c r="G7577" s="1277" t="s">
        <v>20</v>
      </c>
      <c r="H7577" s="1219">
        <v>4.0000000000000002E-4</v>
      </c>
      <c r="K7577" s="1192" t="s">
        <v>2676</v>
      </c>
      <c r="L7577" s="1192" t="s">
        <v>2374</v>
      </c>
      <c r="P7577" s="1192" t="s">
        <v>2684</v>
      </c>
      <c r="V7577" s="1192">
        <v>65</v>
      </c>
    </row>
    <row r="7578" spans="1:22" s="1192" customFormat="1" ht="14.4" x14ac:dyDescent="0.3">
      <c r="A7578" s="1192" t="s">
        <v>4649</v>
      </c>
      <c r="E7578" s="1741" t="s">
        <v>428</v>
      </c>
      <c r="F7578" s="1741"/>
      <c r="G7578" s="1277" t="s">
        <v>20</v>
      </c>
      <c r="H7578" s="1219">
        <v>5.0000000000000001E-4</v>
      </c>
      <c r="K7578" s="1192" t="s">
        <v>2676</v>
      </c>
      <c r="L7578" s="1192" t="s">
        <v>2374</v>
      </c>
      <c r="P7578" s="1192" t="s">
        <v>2685</v>
      </c>
      <c r="V7578" s="1192">
        <v>57</v>
      </c>
    </row>
    <row r="7579" spans="1:22" s="1192" customFormat="1" ht="14.4" x14ac:dyDescent="0.3">
      <c r="A7579" s="1192" t="s">
        <v>4649</v>
      </c>
      <c r="E7579" s="1741" t="s">
        <v>28</v>
      </c>
      <c r="F7579" s="1741"/>
      <c r="G7579" s="1277" t="s">
        <v>19</v>
      </c>
      <c r="H7579" s="1218">
        <v>0.25</v>
      </c>
      <c r="K7579" s="1192" t="s">
        <v>2676</v>
      </c>
      <c r="L7579" s="1192" t="s">
        <v>2374</v>
      </c>
      <c r="P7579" s="1192" t="s">
        <v>2686</v>
      </c>
      <c r="V7579" s="1192">
        <v>63</v>
      </c>
    </row>
    <row r="7580" spans="1:22" s="1192" customFormat="1" ht="17.399999999999999" x14ac:dyDescent="0.3">
      <c r="A7580" s="1192" t="s">
        <v>4649</v>
      </c>
      <c r="E7580" s="1746" t="s">
        <v>590</v>
      </c>
      <c r="F7580" s="1747"/>
      <c r="G7580" s="1747"/>
      <c r="H7580" s="1747"/>
      <c r="K7580" s="1192" t="s">
        <v>2687</v>
      </c>
      <c r="V7580" s="1192">
        <v>38</v>
      </c>
    </row>
    <row r="7581" spans="1:22" s="1192" customFormat="1" ht="14.4" x14ac:dyDescent="0.3">
      <c r="A7581" s="1192" t="s">
        <v>4649</v>
      </c>
      <c r="E7581" s="1743" t="s">
        <v>3180</v>
      </c>
      <c r="F7581" s="1743"/>
      <c r="G7581" s="1743"/>
      <c r="H7581" s="1743"/>
      <c r="K7581" s="1192" t="s">
        <v>2687</v>
      </c>
      <c r="V7581" s="1192">
        <v>542</v>
      </c>
    </row>
    <row r="7582" spans="1:22" s="1192" customFormat="1" ht="14.4" x14ac:dyDescent="0.3">
      <c r="A7582" s="1192" t="s">
        <v>4649</v>
      </c>
      <c r="E7582" s="1750" t="s">
        <v>2389</v>
      </c>
      <c r="F7582" s="1743"/>
      <c r="G7582" s="1743"/>
      <c r="H7582" s="1743"/>
      <c r="K7582" s="1192" t="s">
        <v>2424</v>
      </c>
      <c r="V7582" s="1192">
        <v>11</v>
      </c>
    </row>
    <row r="7583" spans="1:22" s="1192" customFormat="1" ht="14.4" x14ac:dyDescent="0.3">
      <c r="A7583" s="1192" t="s">
        <v>4649</v>
      </c>
      <c r="E7583" s="1743" t="s">
        <v>2391</v>
      </c>
      <c r="F7583" s="1743"/>
      <c r="G7583" s="1743"/>
      <c r="H7583" s="1743"/>
      <c r="K7583" s="1192" t="s">
        <v>2687</v>
      </c>
      <c r="V7583" s="1192">
        <v>280</v>
      </c>
    </row>
    <row r="7584" spans="1:22" s="1192" customFormat="1" ht="14.4" x14ac:dyDescent="0.3">
      <c r="A7584" s="1192" t="s">
        <v>4649</v>
      </c>
      <c r="E7584" s="1743" t="s">
        <v>2392</v>
      </c>
      <c r="F7584" s="1743"/>
      <c r="G7584" s="1743"/>
      <c r="H7584" s="1743"/>
      <c r="K7584" s="1192" t="s">
        <v>2687</v>
      </c>
      <c r="V7584" s="1192">
        <v>411</v>
      </c>
    </row>
    <row r="7585" spans="1:22" s="1192" customFormat="1" ht="14.4" x14ac:dyDescent="0.3">
      <c r="A7585" s="1192" t="s">
        <v>4649</v>
      </c>
      <c r="E7585" s="1743" t="s">
        <v>2508</v>
      </c>
      <c r="F7585" s="1743"/>
      <c r="G7585" s="1743"/>
      <c r="H7585" s="1743"/>
      <c r="K7585" s="1192" t="s">
        <v>2687</v>
      </c>
      <c r="V7585" s="1192">
        <v>386</v>
      </c>
    </row>
    <row r="7586" spans="1:22" s="1192" customFormat="1" ht="14.4" x14ac:dyDescent="0.3">
      <c r="A7586" s="1192" t="s">
        <v>4649</v>
      </c>
      <c r="E7586" s="1743" t="s">
        <v>4652</v>
      </c>
      <c r="F7586" s="1743"/>
      <c r="G7586" s="1743"/>
      <c r="H7586" s="1743"/>
      <c r="K7586" s="1192" t="s">
        <v>2687</v>
      </c>
      <c r="V7586" s="1192">
        <v>251</v>
      </c>
    </row>
    <row r="7587" spans="1:22" s="1192" customFormat="1" ht="14.4" x14ac:dyDescent="0.3">
      <c r="A7587" s="1192" t="s">
        <v>4649</v>
      </c>
      <c r="E7587" s="1750" t="s">
        <v>2394</v>
      </c>
      <c r="F7587" s="1743"/>
      <c r="G7587" s="1743"/>
      <c r="H7587" s="1743"/>
      <c r="K7587" s="1192" t="s">
        <v>2425</v>
      </c>
      <c r="V7587" s="1192">
        <v>46</v>
      </c>
    </row>
    <row r="7588" spans="1:22" s="1192" customFormat="1" ht="14.4" x14ac:dyDescent="0.3">
      <c r="A7588" s="1192" t="s">
        <v>4649</v>
      </c>
      <c r="E7588" s="1741" t="s">
        <v>8</v>
      </c>
      <c r="F7588" s="1741"/>
      <c r="G7588" s="1277" t="s">
        <v>19</v>
      </c>
      <c r="H7588" s="1218">
        <v>3.83</v>
      </c>
      <c r="K7588" s="1192" t="s">
        <v>2687</v>
      </c>
      <c r="L7588" s="1192" t="s">
        <v>430</v>
      </c>
      <c r="P7588" s="1192" t="s">
        <v>2689</v>
      </c>
      <c r="V7588" s="1192">
        <v>31</v>
      </c>
    </row>
    <row r="7589" spans="1:22" s="1192" customFormat="1" ht="14.4" x14ac:dyDescent="0.3">
      <c r="A7589" s="1192" t="s">
        <v>4649</v>
      </c>
      <c r="E7589" s="1741" t="s">
        <v>80</v>
      </c>
      <c r="F7589" s="1741"/>
      <c r="G7589" s="1277" t="s">
        <v>29</v>
      </c>
      <c r="H7589" s="1219">
        <v>15.9673</v>
      </c>
      <c r="K7589" s="1192" t="s">
        <v>2687</v>
      </c>
      <c r="L7589" s="1192" t="s">
        <v>430</v>
      </c>
      <c r="P7589" s="1192" t="s">
        <v>2690</v>
      </c>
      <c r="V7589" s="1192">
        <v>28</v>
      </c>
    </row>
    <row r="7590" spans="1:22" s="1192" customFormat="1" ht="14.4" x14ac:dyDescent="0.3">
      <c r="A7590" s="1192" t="s">
        <v>4649</v>
      </c>
      <c r="E7590" s="1741" t="s">
        <v>14</v>
      </c>
      <c r="F7590" s="1741"/>
      <c r="G7590" s="1277" t="s">
        <v>29</v>
      </c>
      <c r="H7590" s="1219">
        <v>0.40310000000000001</v>
      </c>
      <c r="K7590" s="1192" t="s">
        <v>2687</v>
      </c>
      <c r="L7590" s="1192" t="s">
        <v>431</v>
      </c>
      <c r="P7590" s="1192" t="s">
        <v>2812</v>
      </c>
      <c r="V7590" s="1192">
        <v>24</v>
      </c>
    </row>
    <row r="7591" spans="1:22" s="1192" customFormat="1" ht="14.4" x14ac:dyDescent="0.3">
      <c r="A7591" s="1192" t="s">
        <v>4649</v>
      </c>
      <c r="E7591" s="1741" t="s">
        <v>6506</v>
      </c>
      <c r="F7591" s="1998"/>
      <c r="G7591" s="1277" t="s">
        <v>20</v>
      </c>
      <c r="H7591" s="1219">
        <v>2E-3</v>
      </c>
      <c r="K7591" s="1192" t="s">
        <v>2687</v>
      </c>
      <c r="L7591" s="1192" t="s">
        <v>431</v>
      </c>
      <c r="P7591" s="1192" t="s">
        <v>2691</v>
      </c>
      <c r="T7591" s="1192">
        <v>44316</v>
      </c>
      <c r="V7591" s="1192">
        <v>139</v>
      </c>
    </row>
    <row r="7592" spans="1:22" s="1192" customFormat="1" ht="14.4" x14ac:dyDescent="0.3">
      <c r="A7592" s="1192" t="s">
        <v>4649</v>
      </c>
      <c r="E7592" s="1741" t="s">
        <v>6507</v>
      </c>
      <c r="F7592" s="1998"/>
      <c r="G7592" s="1277" t="s">
        <v>29</v>
      </c>
      <c r="H7592" s="1219">
        <v>22.770099999999999</v>
      </c>
      <c r="K7592" s="1192" t="s">
        <v>2687</v>
      </c>
      <c r="L7592" s="1192" t="s">
        <v>430</v>
      </c>
      <c r="P7592" s="1192" t="s">
        <v>2692</v>
      </c>
      <c r="T7592" s="1192">
        <v>44681</v>
      </c>
      <c r="V7592" s="1192">
        <v>136</v>
      </c>
    </row>
    <row r="7593" spans="1:22" s="1192" customFormat="1" ht="14.4" x14ac:dyDescent="0.3">
      <c r="A7593" s="1192" t="s">
        <v>4649</v>
      </c>
      <c r="E7593" s="1741" t="s">
        <v>6508</v>
      </c>
      <c r="F7593" s="1998"/>
      <c r="G7593" s="1277" t="s">
        <v>29</v>
      </c>
      <c r="H7593" s="1219">
        <v>0.34160000000000001</v>
      </c>
      <c r="K7593" s="1192" t="s">
        <v>2687</v>
      </c>
      <c r="L7593" s="1192" t="s">
        <v>431</v>
      </c>
      <c r="P7593" s="1192" t="s">
        <v>2693</v>
      </c>
      <c r="T7593" s="1192">
        <v>44316</v>
      </c>
      <c r="V7593" s="1192">
        <v>96</v>
      </c>
    </row>
    <row r="7594" spans="1:22" s="1192" customFormat="1" ht="14.4" x14ac:dyDescent="0.3">
      <c r="A7594" s="1192" t="s">
        <v>4649</v>
      </c>
      <c r="E7594" s="1741" t="s">
        <v>6505</v>
      </c>
      <c r="F7594" s="1998"/>
      <c r="G7594" s="1277" t="s">
        <v>29</v>
      </c>
      <c r="H7594" s="1219">
        <v>0.32769999999999999</v>
      </c>
      <c r="K7594" s="1192" t="s">
        <v>2687</v>
      </c>
      <c r="L7594" s="1192" t="s">
        <v>430</v>
      </c>
      <c r="P7594" s="1192" t="s">
        <v>3262</v>
      </c>
      <c r="T7594" s="1192">
        <v>44316</v>
      </c>
      <c r="V7594" s="1192">
        <v>80</v>
      </c>
    </row>
    <row r="7595" spans="1:22" s="1192" customFormat="1" ht="14.4" x14ac:dyDescent="0.3">
      <c r="A7595" s="1192" t="s">
        <v>4649</v>
      </c>
      <c r="E7595" s="1741" t="s">
        <v>213</v>
      </c>
      <c r="F7595" s="1741"/>
      <c r="G7595" s="1277" t="s">
        <v>29</v>
      </c>
      <c r="H7595" s="1219">
        <v>1.9417</v>
      </c>
      <c r="K7595" s="1192" t="s">
        <v>2687</v>
      </c>
      <c r="L7595" s="1192" t="s">
        <v>432</v>
      </c>
      <c r="P7595" s="1192" t="s">
        <v>2694</v>
      </c>
      <c r="V7595" s="1192">
        <v>47</v>
      </c>
    </row>
    <row r="7596" spans="1:22" s="1192" customFormat="1" ht="14.4" x14ac:dyDescent="0.3">
      <c r="A7596" s="1192" t="s">
        <v>4649</v>
      </c>
      <c r="E7596" s="1741" t="s">
        <v>209</v>
      </c>
      <c r="F7596" s="1741"/>
      <c r="G7596" s="1277" t="s">
        <v>29</v>
      </c>
      <c r="H7596" s="1219">
        <v>1.2146999999999999</v>
      </c>
      <c r="K7596" s="1192" t="s">
        <v>2687</v>
      </c>
      <c r="L7596" s="1192" t="s">
        <v>432</v>
      </c>
      <c r="P7596" s="1192" t="s">
        <v>2813</v>
      </c>
      <c r="V7596" s="1192">
        <v>74</v>
      </c>
    </row>
    <row r="7597" spans="1:22" s="1192" customFormat="1" ht="14.4" x14ac:dyDescent="0.3">
      <c r="A7597" s="1192" t="s">
        <v>4649</v>
      </c>
      <c r="E7597" s="1750" t="s">
        <v>2405</v>
      </c>
      <c r="F7597" s="1741"/>
      <c r="G7597" s="1277"/>
      <c r="H7597" s="896"/>
      <c r="K7597" s="1192" t="s">
        <v>2427</v>
      </c>
      <c r="V7597" s="1192">
        <v>48</v>
      </c>
    </row>
    <row r="7598" spans="1:22" s="1192" customFormat="1" ht="14.4" x14ac:dyDescent="0.3">
      <c r="A7598" s="1192" t="s">
        <v>4649</v>
      </c>
      <c r="E7598" s="1741" t="s">
        <v>2033</v>
      </c>
      <c r="F7598" s="1741"/>
      <c r="G7598" s="1277" t="s">
        <v>20</v>
      </c>
      <c r="H7598" s="1219">
        <v>3.0000000000000001E-3</v>
      </c>
      <c r="K7598" s="1192" t="s">
        <v>2687</v>
      </c>
      <c r="L7598" s="1192" t="s">
        <v>2374</v>
      </c>
      <c r="P7598" s="1192" t="s">
        <v>2696</v>
      </c>
      <c r="V7598" s="1192">
        <v>55</v>
      </c>
    </row>
    <row r="7599" spans="1:22" s="1192" customFormat="1" ht="14.4" x14ac:dyDescent="0.3">
      <c r="A7599" s="1192" t="s">
        <v>4649</v>
      </c>
      <c r="E7599" s="1741" t="s">
        <v>2034</v>
      </c>
      <c r="F7599" s="1741"/>
      <c r="G7599" s="1277" t="s">
        <v>20</v>
      </c>
      <c r="H7599" s="1219">
        <v>4.0000000000000002E-4</v>
      </c>
      <c r="K7599" s="1192" t="s">
        <v>2687</v>
      </c>
      <c r="L7599" s="1192" t="s">
        <v>2374</v>
      </c>
      <c r="P7599" s="1192" t="s">
        <v>2696</v>
      </c>
      <c r="V7599" s="1192">
        <v>65</v>
      </c>
    </row>
    <row r="7600" spans="1:22" s="1192" customFormat="1" ht="14.4" x14ac:dyDescent="0.3">
      <c r="A7600" s="1192" t="s">
        <v>4649</v>
      </c>
      <c r="E7600" s="1741" t="s">
        <v>428</v>
      </c>
      <c r="F7600" s="1741"/>
      <c r="G7600" s="1277" t="s">
        <v>20</v>
      </c>
      <c r="H7600" s="1219">
        <v>5.0000000000000001E-4</v>
      </c>
      <c r="K7600" s="1192" t="s">
        <v>2687</v>
      </c>
      <c r="L7600" s="1192" t="s">
        <v>2374</v>
      </c>
      <c r="P7600" s="1192" t="s">
        <v>2697</v>
      </c>
      <c r="V7600" s="1192">
        <v>57</v>
      </c>
    </row>
    <row r="7601" spans="1:22" s="1192" customFormat="1" ht="14.4" x14ac:dyDescent="0.3">
      <c r="A7601" s="1192" t="s">
        <v>4649</v>
      </c>
      <c r="E7601" s="1741" t="s">
        <v>28</v>
      </c>
      <c r="F7601" s="1741"/>
      <c r="G7601" s="1277" t="s">
        <v>19</v>
      </c>
      <c r="H7601" s="1218">
        <v>0.25</v>
      </c>
      <c r="K7601" s="1192" t="s">
        <v>2687</v>
      </c>
      <c r="L7601" s="1192" t="s">
        <v>2374</v>
      </c>
      <c r="P7601" s="1192" t="s">
        <v>2698</v>
      </c>
      <c r="V7601" s="1192">
        <v>63</v>
      </c>
    </row>
    <row r="7602" spans="1:22" s="1192" customFormat="1" ht="17.399999999999999" x14ac:dyDescent="0.3">
      <c r="A7602" s="1192" t="s">
        <v>4649</v>
      </c>
      <c r="E7602" s="1746" t="s">
        <v>593</v>
      </c>
      <c r="F7602" s="1747"/>
      <c r="G7602" s="1747"/>
      <c r="H7602" s="1747"/>
      <c r="K7602" s="1192" t="s">
        <v>2651</v>
      </c>
      <c r="V7602" s="1192">
        <v>31</v>
      </c>
    </row>
    <row r="7603" spans="1:22" s="1192" customFormat="1" ht="14.4" x14ac:dyDescent="0.3">
      <c r="A7603" s="1192" t="s">
        <v>4649</v>
      </c>
      <c r="E7603" s="1743" t="s">
        <v>2699</v>
      </c>
      <c r="F7603" s="1743"/>
      <c r="G7603" s="1743"/>
      <c r="H7603" s="1743"/>
      <c r="K7603" s="1192" t="s">
        <v>2651</v>
      </c>
      <c r="V7603" s="1192">
        <v>285</v>
      </c>
    </row>
    <row r="7604" spans="1:22" s="1192" customFormat="1" ht="14.4" x14ac:dyDescent="0.3">
      <c r="A7604" s="1192" t="s">
        <v>4649</v>
      </c>
      <c r="E7604" s="1750" t="s">
        <v>2389</v>
      </c>
      <c r="F7604" s="1743"/>
      <c r="G7604" s="1743"/>
      <c r="H7604" s="1743"/>
      <c r="K7604" s="1192" t="s">
        <v>2430</v>
      </c>
      <c r="V7604" s="1192">
        <v>11</v>
      </c>
    </row>
    <row r="7605" spans="1:22" s="1192" customFormat="1" ht="14.4" x14ac:dyDescent="0.3">
      <c r="A7605" s="1192" t="s">
        <v>4649</v>
      </c>
      <c r="E7605" s="1743" t="s">
        <v>2391</v>
      </c>
      <c r="F7605" s="1743"/>
      <c r="G7605" s="1743"/>
      <c r="H7605" s="1743"/>
      <c r="K7605" s="1192" t="s">
        <v>2651</v>
      </c>
      <c r="V7605" s="1192">
        <v>280</v>
      </c>
    </row>
    <row r="7606" spans="1:22" s="1192" customFormat="1" ht="14.4" x14ac:dyDescent="0.3">
      <c r="A7606" s="1192" t="s">
        <v>4649</v>
      </c>
      <c r="E7606" s="1743" t="s">
        <v>2392</v>
      </c>
      <c r="F7606" s="1743"/>
      <c r="G7606" s="1743"/>
      <c r="H7606" s="1743"/>
      <c r="K7606" s="1192" t="s">
        <v>2651</v>
      </c>
      <c r="V7606" s="1192">
        <v>411</v>
      </c>
    </row>
    <row r="7607" spans="1:22" s="1192" customFormat="1" ht="14.4" x14ac:dyDescent="0.3">
      <c r="A7607" s="1192" t="s">
        <v>4649</v>
      </c>
      <c r="E7607" s="1743" t="s">
        <v>2445</v>
      </c>
      <c r="F7607" s="1743"/>
      <c r="G7607" s="1743"/>
      <c r="H7607" s="1743"/>
      <c r="K7607" s="1192" t="s">
        <v>2651</v>
      </c>
      <c r="V7607" s="1192">
        <v>211</v>
      </c>
    </row>
    <row r="7608" spans="1:22" s="1192" customFormat="1" ht="14.4" x14ac:dyDescent="0.3">
      <c r="A7608" s="1192" t="s">
        <v>4649</v>
      </c>
      <c r="E7608" s="1743" t="s">
        <v>4652</v>
      </c>
      <c r="F7608" s="1743"/>
      <c r="G7608" s="1743"/>
      <c r="H7608" s="1743"/>
      <c r="K7608" s="1192" t="s">
        <v>2651</v>
      </c>
      <c r="V7608" s="1192">
        <v>251</v>
      </c>
    </row>
    <row r="7609" spans="1:22" s="1192" customFormat="1" ht="14.4" x14ac:dyDescent="0.3">
      <c r="A7609" s="1192" t="s">
        <v>4649</v>
      </c>
      <c r="E7609" s="1750" t="s">
        <v>2394</v>
      </c>
      <c r="F7609" s="1743"/>
      <c r="G7609" s="1743"/>
      <c r="H7609" s="1743"/>
      <c r="K7609" s="1192" t="s">
        <v>2431</v>
      </c>
      <c r="V7609" s="1192">
        <v>46</v>
      </c>
    </row>
    <row r="7610" spans="1:22" s="1192" customFormat="1" ht="14.4" x14ac:dyDescent="0.3">
      <c r="A7610" s="1192" t="s">
        <v>4649</v>
      </c>
      <c r="E7610" s="1741" t="s">
        <v>7</v>
      </c>
      <c r="F7610" s="1741"/>
      <c r="G7610" s="1277" t="s">
        <v>19</v>
      </c>
      <c r="H7610" s="1218">
        <v>4.55</v>
      </c>
      <c r="K7610" s="1192" t="s">
        <v>2651</v>
      </c>
      <c r="L7610" s="1192" t="s">
        <v>430</v>
      </c>
      <c r="P7610" s="1192" t="s">
        <v>2653</v>
      </c>
      <c r="V7610" s="1192">
        <v>14</v>
      </c>
    </row>
    <row r="7611" spans="1:22" s="1192" customFormat="1" x14ac:dyDescent="0.35">
      <c r="A7611" s="1192" t="s">
        <v>4649</v>
      </c>
      <c r="E7611" s="1260" t="s">
        <v>81</v>
      </c>
      <c r="F7611" s="550"/>
      <c r="G7611" s="550"/>
      <c r="H7611" s="881"/>
      <c r="K7611" s="1192" t="s">
        <v>4653</v>
      </c>
      <c r="V7611" s="1192">
        <v>10</v>
      </c>
    </row>
    <row r="7612" spans="1:22" s="1192" customFormat="1" ht="14.4" x14ac:dyDescent="0.3">
      <c r="A7612" s="1192" t="s">
        <v>4649</v>
      </c>
      <c r="E7612" s="1741" t="s">
        <v>2449</v>
      </c>
      <c r="F7612" s="1741"/>
      <c r="G7612" s="1277" t="s">
        <v>29</v>
      </c>
      <c r="H7612" s="1219">
        <v>-0.6</v>
      </c>
      <c r="V7612" s="1192">
        <v>68</v>
      </c>
    </row>
    <row r="7613" spans="1:22" s="1192" customFormat="1" ht="14.4" x14ac:dyDescent="0.3">
      <c r="A7613" s="1192" t="s">
        <v>4649</v>
      </c>
      <c r="E7613" s="1741" t="s">
        <v>2450</v>
      </c>
      <c r="F7613" s="1741"/>
      <c r="G7613" s="1277" t="s">
        <v>82</v>
      </c>
      <c r="H7613" s="1218">
        <v>-1</v>
      </c>
      <c r="V7613" s="1192">
        <v>87</v>
      </c>
    </row>
    <row r="7614" spans="1:22" s="1192" customFormat="1" x14ac:dyDescent="0.35">
      <c r="A7614" s="1192" t="s">
        <v>4649</v>
      </c>
      <c r="E7614" s="1260" t="s">
        <v>83</v>
      </c>
      <c r="F7614" s="550"/>
      <c r="G7614" s="550"/>
      <c r="H7614" s="881"/>
      <c r="K7614" s="1192" t="s">
        <v>4654</v>
      </c>
      <c r="V7614" s="1192">
        <v>24</v>
      </c>
    </row>
    <row r="7615" spans="1:22" s="1192" customFormat="1" ht="14.4" x14ac:dyDescent="0.3">
      <c r="A7615" s="1192" t="s">
        <v>4649</v>
      </c>
      <c r="E7615" s="1743" t="s">
        <v>2391</v>
      </c>
      <c r="F7615" s="1743"/>
      <c r="G7615" s="1743"/>
      <c r="H7615" s="1743"/>
      <c r="V7615" s="1192">
        <v>280</v>
      </c>
    </row>
    <row r="7616" spans="1:22" s="1192" customFormat="1" ht="14.4" x14ac:dyDescent="0.3">
      <c r="A7616" s="1192" t="s">
        <v>4649</v>
      </c>
      <c r="E7616" s="1743" t="s">
        <v>2452</v>
      </c>
      <c r="F7616" s="1743"/>
      <c r="G7616" s="1743"/>
      <c r="H7616" s="1743"/>
      <c r="V7616" s="1192">
        <v>353</v>
      </c>
    </row>
    <row r="7617" spans="1:22" s="1192" customFormat="1" ht="14.4" x14ac:dyDescent="0.3">
      <c r="A7617" s="1192" t="s">
        <v>4649</v>
      </c>
      <c r="E7617" s="1743" t="s">
        <v>4652</v>
      </c>
      <c r="F7617" s="1743"/>
      <c r="G7617" s="1743"/>
      <c r="H7617" s="1743"/>
      <c r="V7617" s="1192">
        <v>251</v>
      </c>
    </row>
    <row r="7618" spans="1:22" s="1192" customFormat="1" ht="14.4" x14ac:dyDescent="0.3">
      <c r="A7618" s="1192" t="s">
        <v>4649</v>
      </c>
      <c r="E7618" s="1258" t="s">
        <v>2453</v>
      </c>
      <c r="F7618" s="3"/>
      <c r="G7618" s="3"/>
      <c r="H7618" s="897"/>
      <c r="K7618" s="1192" t="s">
        <v>4655</v>
      </c>
      <c r="V7618" s="1192">
        <v>23</v>
      </c>
    </row>
    <row r="7619" spans="1:22" s="1192" customFormat="1" ht="14.4" x14ac:dyDescent="0.3">
      <c r="A7619" s="1192" t="s">
        <v>4649</v>
      </c>
      <c r="E7619" s="1942" t="s">
        <v>2466</v>
      </c>
      <c r="F7619" s="1942"/>
      <c r="G7619" s="1277" t="s">
        <v>19</v>
      </c>
      <c r="H7619" s="1218">
        <v>15</v>
      </c>
      <c r="V7619" s="1192">
        <v>24</v>
      </c>
    </row>
    <row r="7620" spans="1:22" s="1192" customFormat="1" ht="14.4" x14ac:dyDescent="0.3">
      <c r="A7620" s="1192" t="s">
        <v>4649</v>
      </c>
      <c r="E7620" s="1942" t="s">
        <v>2639</v>
      </c>
      <c r="F7620" s="1942"/>
      <c r="G7620" s="1277" t="s">
        <v>19</v>
      </c>
      <c r="H7620" s="1218">
        <v>15</v>
      </c>
      <c r="V7620" s="1192">
        <v>19</v>
      </c>
    </row>
    <row r="7621" spans="1:22" s="1192" customFormat="1" ht="14.4" x14ac:dyDescent="0.3">
      <c r="A7621" s="1192" t="s">
        <v>4649</v>
      </c>
      <c r="E7621" s="1942" t="s">
        <v>2456</v>
      </c>
      <c r="F7621" s="1942"/>
      <c r="G7621" s="1277" t="s">
        <v>19</v>
      </c>
      <c r="H7621" s="1218">
        <v>15</v>
      </c>
      <c r="V7621" s="1192">
        <v>20</v>
      </c>
    </row>
    <row r="7622" spans="1:22" s="1192" customFormat="1" ht="14.4" x14ac:dyDescent="0.3">
      <c r="A7622" s="1192" t="s">
        <v>4649</v>
      </c>
      <c r="E7622" s="1942" t="s">
        <v>2457</v>
      </c>
      <c r="F7622" s="1942"/>
      <c r="G7622" s="1277" t="s">
        <v>19</v>
      </c>
      <c r="H7622" s="1218">
        <v>15</v>
      </c>
      <c r="V7622" s="1192">
        <v>26</v>
      </c>
    </row>
    <row r="7623" spans="1:22" s="1192" customFormat="1" ht="14.4" x14ac:dyDescent="0.3">
      <c r="A7623" s="1192" t="s">
        <v>4649</v>
      </c>
      <c r="E7623" s="1942" t="s">
        <v>2458</v>
      </c>
      <c r="F7623" s="1942"/>
      <c r="G7623" s="1277" t="s">
        <v>19</v>
      </c>
      <c r="H7623" s="1218">
        <v>15</v>
      </c>
      <c r="V7623" s="1192">
        <v>39</v>
      </c>
    </row>
    <row r="7624" spans="1:22" s="1192" customFormat="1" ht="14.4" x14ac:dyDescent="0.3">
      <c r="A7624" s="1192" t="s">
        <v>4649</v>
      </c>
      <c r="E7624" s="1942" t="s">
        <v>2463</v>
      </c>
      <c r="F7624" s="1942"/>
      <c r="G7624" s="1277" t="s">
        <v>19</v>
      </c>
      <c r="H7624" s="1218">
        <v>15</v>
      </c>
      <c r="V7624" s="1192">
        <v>15</v>
      </c>
    </row>
    <row r="7625" spans="1:22" s="1192" customFormat="1" ht="14.4" x14ac:dyDescent="0.3">
      <c r="A7625" s="1192" t="s">
        <v>4649</v>
      </c>
      <c r="E7625" s="1942" t="s">
        <v>2464</v>
      </c>
      <c r="F7625" s="1942"/>
      <c r="G7625" s="1277" t="s">
        <v>19</v>
      </c>
      <c r="H7625" s="1218">
        <v>15</v>
      </c>
      <c r="V7625" s="1192">
        <v>56</v>
      </c>
    </row>
    <row r="7626" spans="1:22" s="1192" customFormat="1" ht="14.4" x14ac:dyDescent="0.3">
      <c r="A7626" s="1192" t="s">
        <v>4649</v>
      </c>
      <c r="E7626" s="1942" t="s">
        <v>119</v>
      </c>
      <c r="F7626" s="1942"/>
      <c r="G7626" s="1277" t="s">
        <v>19</v>
      </c>
      <c r="H7626" s="1218">
        <v>15</v>
      </c>
      <c r="V7626" s="1192">
        <v>35</v>
      </c>
    </row>
    <row r="7627" spans="1:22" s="1192" customFormat="1" ht="14.4" x14ac:dyDescent="0.3">
      <c r="A7627" s="1192" t="s">
        <v>4649</v>
      </c>
      <c r="E7627" s="1942" t="s">
        <v>2467</v>
      </c>
      <c r="F7627" s="1942"/>
      <c r="G7627" s="1277" t="s">
        <v>19</v>
      </c>
      <c r="H7627" s="1218">
        <v>15</v>
      </c>
      <c r="V7627" s="1192">
        <v>19</v>
      </c>
    </row>
    <row r="7628" spans="1:22" s="1192" customFormat="1" ht="14.4" x14ac:dyDescent="0.3">
      <c r="A7628" s="1192" t="s">
        <v>4649</v>
      </c>
      <c r="E7628" s="1942" t="s">
        <v>84</v>
      </c>
      <c r="F7628" s="1942"/>
      <c r="G7628" s="1277" t="s">
        <v>19</v>
      </c>
      <c r="H7628" s="1218">
        <v>15</v>
      </c>
      <c r="V7628" s="1192">
        <v>89</v>
      </c>
    </row>
    <row r="7629" spans="1:22" s="1192" customFormat="1" ht="14.4" x14ac:dyDescent="0.3">
      <c r="A7629" s="1192" t="s">
        <v>4649</v>
      </c>
      <c r="E7629" s="1942" t="s">
        <v>90</v>
      </c>
      <c r="F7629" s="1942"/>
      <c r="G7629" s="1277" t="s">
        <v>19</v>
      </c>
      <c r="H7629" s="1218">
        <v>30</v>
      </c>
      <c r="V7629" s="1192">
        <v>19</v>
      </c>
    </row>
    <row r="7630" spans="1:22" s="1192" customFormat="1" ht="14.4" x14ac:dyDescent="0.3">
      <c r="A7630" s="1192" t="s">
        <v>4649</v>
      </c>
      <c r="E7630" s="1942" t="s">
        <v>88</v>
      </c>
      <c r="F7630" s="1942"/>
      <c r="G7630" s="1277" t="s">
        <v>19</v>
      </c>
      <c r="H7630" s="1218">
        <v>30</v>
      </c>
      <c r="V7630" s="1192">
        <v>74</v>
      </c>
    </row>
    <row r="7631" spans="1:22" s="1192" customFormat="1" ht="14.4" x14ac:dyDescent="0.3">
      <c r="A7631" s="1192" t="s">
        <v>4649</v>
      </c>
      <c r="E7631" s="1258" t="s">
        <v>2468</v>
      </c>
      <c r="F7631" s="3"/>
      <c r="G7631" s="3"/>
      <c r="H7631" s="897"/>
      <c r="K7631" s="1192" t="s">
        <v>6510</v>
      </c>
      <c r="V7631" s="1192">
        <v>22</v>
      </c>
    </row>
    <row r="7632" spans="1:22" s="1192" customFormat="1" ht="14.4" x14ac:dyDescent="0.3">
      <c r="A7632" s="1192" t="s">
        <v>4649</v>
      </c>
      <c r="E7632" s="1942" t="s">
        <v>3918</v>
      </c>
      <c r="F7632" s="1942"/>
      <c r="G7632" s="1277"/>
      <c r="H7632" s="837"/>
      <c r="V7632" s="1192">
        <v>24</v>
      </c>
    </row>
    <row r="7633" spans="1:22" s="1192" customFormat="1" ht="14.4" x14ac:dyDescent="0.3">
      <c r="A7633" s="1192" t="s">
        <v>4649</v>
      </c>
      <c r="E7633" s="1942" t="s">
        <v>6511</v>
      </c>
      <c r="F7633" s="1942"/>
      <c r="G7633" s="1277" t="s">
        <v>82</v>
      </c>
      <c r="H7633" s="1218">
        <v>1.5</v>
      </c>
      <c r="V7633" s="1192">
        <v>69</v>
      </c>
    </row>
    <row r="7634" spans="1:22" s="1192" customFormat="1" ht="14.4" x14ac:dyDescent="0.3">
      <c r="A7634" s="1192" t="s">
        <v>4649</v>
      </c>
      <c r="E7634" s="1942" t="s">
        <v>6106</v>
      </c>
      <c r="F7634" s="1942"/>
      <c r="G7634" s="1277" t="s">
        <v>19</v>
      </c>
      <c r="H7634" s="1218">
        <v>40</v>
      </c>
      <c r="V7634" s="1192">
        <v>44</v>
      </c>
    </row>
    <row r="7635" spans="1:22" s="1192" customFormat="1" ht="14.4" x14ac:dyDescent="0.3">
      <c r="A7635" s="1192" t="s">
        <v>4649</v>
      </c>
      <c r="E7635" s="1942" t="s">
        <v>6107</v>
      </c>
      <c r="F7635" s="1942"/>
      <c r="G7635" s="1277" t="s">
        <v>19</v>
      </c>
      <c r="H7635" s="1218">
        <v>185</v>
      </c>
      <c r="V7635" s="1192">
        <v>43</v>
      </c>
    </row>
    <row r="7636" spans="1:22" s="1192" customFormat="1" ht="14.4" x14ac:dyDescent="0.3">
      <c r="A7636" s="1192" t="s">
        <v>4649</v>
      </c>
      <c r="E7636" s="1942" t="s">
        <v>6108</v>
      </c>
      <c r="F7636" s="1942"/>
      <c r="G7636" s="1277" t="s">
        <v>19</v>
      </c>
      <c r="H7636" s="1218">
        <v>185</v>
      </c>
      <c r="V7636" s="1192">
        <v>43</v>
      </c>
    </row>
    <row r="7637" spans="1:22" s="1192" customFormat="1" ht="14.4" x14ac:dyDescent="0.3">
      <c r="A7637" s="1192" t="s">
        <v>4649</v>
      </c>
      <c r="E7637" s="1942" t="s">
        <v>6115</v>
      </c>
      <c r="F7637" s="1942"/>
      <c r="G7637" s="1277" t="s">
        <v>19</v>
      </c>
      <c r="H7637" s="1218">
        <v>415</v>
      </c>
      <c r="V7637" s="1192">
        <v>42</v>
      </c>
    </row>
    <row r="7638" spans="1:22" s="1192" customFormat="1" ht="14.4" x14ac:dyDescent="0.3">
      <c r="A7638" s="1192" t="s">
        <v>4649</v>
      </c>
      <c r="E7638" s="1258" t="s">
        <v>2474</v>
      </c>
      <c r="F7638" s="3"/>
      <c r="G7638" s="3"/>
      <c r="H7638" s="897"/>
      <c r="V7638" s="1192">
        <v>5</v>
      </c>
    </row>
    <row r="7639" spans="1:22" s="1192" customFormat="1" ht="14.4" x14ac:dyDescent="0.3">
      <c r="A7639" s="1192" t="s">
        <v>4649</v>
      </c>
      <c r="E7639" s="1942" t="s">
        <v>2478</v>
      </c>
      <c r="F7639" s="1942"/>
      <c r="G7639" s="1277" t="s">
        <v>19</v>
      </c>
      <c r="H7639" s="1218">
        <v>165</v>
      </c>
      <c r="V7639" s="1192">
        <v>34</v>
      </c>
    </row>
    <row r="7640" spans="1:22" s="1192" customFormat="1" ht="14.4" x14ac:dyDescent="0.3">
      <c r="A7640" s="1192" t="s">
        <v>4649</v>
      </c>
      <c r="E7640" s="1942" t="s">
        <v>2768</v>
      </c>
      <c r="F7640" s="1942"/>
      <c r="G7640" s="1277" t="s">
        <v>19</v>
      </c>
      <c r="H7640" s="1218">
        <v>44.5</v>
      </c>
      <c r="V7640" s="1192">
        <v>104</v>
      </c>
    </row>
    <row r="7641" spans="1:22" s="1192" customFormat="1" ht="34.799999999999997" x14ac:dyDescent="0.35">
      <c r="A7641" s="1192" t="s">
        <v>4649</v>
      </c>
      <c r="E7641" s="1260" t="s">
        <v>73</v>
      </c>
      <c r="F7641" s="550"/>
      <c r="G7641" s="550"/>
      <c r="H7641" s="881"/>
      <c r="K7641" s="1192" t="s">
        <v>4656</v>
      </c>
      <c r="V7641" s="1192">
        <v>38</v>
      </c>
    </row>
    <row r="7642" spans="1:22" s="1192" customFormat="1" ht="14.4" x14ac:dyDescent="0.3">
      <c r="A7642" s="1192" t="s">
        <v>4649</v>
      </c>
      <c r="E7642" s="1743" t="s">
        <v>2391</v>
      </c>
      <c r="F7642" s="1743"/>
      <c r="G7642" s="1743"/>
      <c r="H7642" s="1743"/>
      <c r="V7642" s="1192">
        <v>280</v>
      </c>
    </row>
    <row r="7643" spans="1:22" s="1192" customFormat="1" ht="14.4" x14ac:dyDescent="0.3">
      <c r="A7643" s="1192" t="s">
        <v>4649</v>
      </c>
      <c r="E7643" s="1743" t="s">
        <v>2392</v>
      </c>
      <c r="F7643" s="1743"/>
      <c r="G7643" s="1743"/>
      <c r="H7643" s="1743"/>
      <c r="V7643" s="1192">
        <v>411</v>
      </c>
    </row>
    <row r="7644" spans="1:22" s="1192" customFormat="1" ht="14.4" x14ac:dyDescent="0.3">
      <c r="A7644" s="1192" t="s">
        <v>4649</v>
      </c>
      <c r="E7644" s="1743" t="s">
        <v>2445</v>
      </c>
      <c r="F7644" s="1743"/>
      <c r="G7644" s="1743"/>
      <c r="H7644" s="1743"/>
      <c r="V7644" s="1192">
        <v>211</v>
      </c>
    </row>
    <row r="7645" spans="1:22" s="1192" customFormat="1" ht="14.4" x14ac:dyDescent="0.3">
      <c r="A7645" s="1192" t="s">
        <v>4649</v>
      </c>
      <c r="E7645" s="1743" t="s">
        <v>4652</v>
      </c>
      <c r="F7645" s="1743"/>
      <c r="G7645" s="1743"/>
      <c r="H7645" s="1743"/>
      <c r="V7645" s="1192">
        <v>251</v>
      </c>
    </row>
    <row r="7646" spans="1:22" s="1192" customFormat="1" ht="14.4" x14ac:dyDescent="0.3">
      <c r="A7646" s="1192" t="s">
        <v>4649</v>
      </c>
      <c r="E7646" s="1743" t="s">
        <v>2595</v>
      </c>
      <c r="F7646" s="1743"/>
      <c r="G7646" s="1743"/>
      <c r="H7646" s="1743"/>
      <c r="V7646" s="1192">
        <v>142</v>
      </c>
    </row>
    <row r="7647" spans="1:22" s="1192" customFormat="1" ht="14.4" x14ac:dyDescent="0.3">
      <c r="A7647" s="1192" t="s">
        <v>4649</v>
      </c>
      <c r="E7647" s="1741" t="s">
        <v>2485</v>
      </c>
      <c r="F7647" s="1741"/>
      <c r="G7647" s="360" t="s">
        <v>19</v>
      </c>
      <c r="H7647" s="1218">
        <v>102</v>
      </c>
      <c r="V7647" s="1192">
        <v>106</v>
      </c>
    </row>
    <row r="7648" spans="1:22" s="1192" customFormat="1" ht="14.4" x14ac:dyDescent="0.3">
      <c r="A7648" s="1192" t="s">
        <v>4649</v>
      </c>
      <c r="E7648" s="1741" t="s">
        <v>2486</v>
      </c>
      <c r="F7648" s="1741"/>
      <c r="G7648" s="360" t="s">
        <v>19</v>
      </c>
      <c r="H7648" s="1218">
        <v>40.799999999999997</v>
      </c>
      <c r="V7648" s="1192">
        <v>34</v>
      </c>
    </row>
    <row r="7649" spans="1:22" s="1192" customFormat="1" ht="14.4" x14ac:dyDescent="0.3">
      <c r="A7649" s="1192" t="s">
        <v>4649</v>
      </c>
      <c r="E7649" s="1741" t="s">
        <v>2487</v>
      </c>
      <c r="F7649" s="1741"/>
      <c r="G7649" s="360" t="s">
        <v>2488</v>
      </c>
      <c r="H7649" s="1218">
        <v>1.02</v>
      </c>
      <c r="V7649" s="1192">
        <v>51</v>
      </c>
    </row>
    <row r="7650" spans="1:22" s="1192" customFormat="1" ht="14.4" x14ac:dyDescent="0.3">
      <c r="A7650" s="1192" t="s">
        <v>4649</v>
      </c>
      <c r="E7650" s="1741" t="s">
        <v>2489</v>
      </c>
      <c r="F7650" s="1741"/>
      <c r="G7650" s="360" t="s">
        <v>2488</v>
      </c>
      <c r="H7650" s="1218">
        <v>0.61</v>
      </c>
      <c r="V7650" s="1192">
        <v>75</v>
      </c>
    </row>
    <row r="7651" spans="1:22" s="1192" customFormat="1" ht="14.4" x14ac:dyDescent="0.3">
      <c r="A7651" s="1192" t="s">
        <v>4649</v>
      </c>
      <c r="E7651" s="1741" t="s">
        <v>2490</v>
      </c>
      <c r="F7651" s="1741"/>
      <c r="G7651" s="360" t="s">
        <v>2488</v>
      </c>
      <c r="H7651" s="1218">
        <v>-0.61</v>
      </c>
      <c r="V7651" s="1192">
        <v>72</v>
      </c>
    </row>
    <row r="7652" spans="1:22" s="1192" customFormat="1" ht="14.4" x14ac:dyDescent="0.3">
      <c r="A7652" s="1192" t="s">
        <v>4649</v>
      </c>
      <c r="E7652" s="1741" t="s">
        <v>2596</v>
      </c>
      <c r="F7652" s="1741"/>
      <c r="G7652" s="360"/>
      <c r="H7652" s="837"/>
      <c r="V7652" s="1192">
        <v>34</v>
      </c>
    </row>
    <row r="7653" spans="1:22" s="1192" customFormat="1" ht="14.4" x14ac:dyDescent="0.3">
      <c r="A7653" s="1192" t="s">
        <v>4649</v>
      </c>
      <c r="E7653" s="1941" t="s">
        <v>2492</v>
      </c>
      <c r="F7653" s="1941"/>
      <c r="G7653" s="360" t="s">
        <v>19</v>
      </c>
      <c r="H7653" s="1218">
        <v>0.51</v>
      </c>
      <c r="V7653" s="1192">
        <v>57</v>
      </c>
    </row>
    <row r="7654" spans="1:22" s="1192" customFormat="1" ht="14.4" x14ac:dyDescent="0.3">
      <c r="A7654" s="1192" t="s">
        <v>4649</v>
      </c>
      <c r="E7654" s="1941" t="s">
        <v>2493</v>
      </c>
      <c r="F7654" s="1941"/>
      <c r="G7654" s="360" t="s">
        <v>19</v>
      </c>
      <c r="H7654" s="1218">
        <v>1.02</v>
      </c>
      <c r="V7654" s="1192">
        <v>60</v>
      </c>
    </row>
    <row r="7655" spans="1:22" s="1192" customFormat="1" ht="14.4" x14ac:dyDescent="0.3">
      <c r="A7655" s="1192" t="s">
        <v>4649</v>
      </c>
      <c r="E7655" s="1741" t="s">
        <v>2494</v>
      </c>
      <c r="F7655" s="1741"/>
      <c r="G7655" s="360"/>
      <c r="H7655" s="837"/>
      <c r="V7655" s="1192">
        <v>91</v>
      </c>
    </row>
    <row r="7656" spans="1:22" s="1192" customFormat="1" ht="14.4" x14ac:dyDescent="0.3">
      <c r="A7656" s="1192" t="s">
        <v>4649</v>
      </c>
      <c r="E7656" s="1741" t="s">
        <v>2495</v>
      </c>
      <c r="F7656" s="1741"/>
      <c r="G7656" s="360"/>
      <c r="H7656" s="837"/>
      <c r="V7656" s="1192">
        <v>96</v>
      </c>
    </row>
    <row r="7657" spans="1:22" s="1192" customFormat="1" ht="14.4" x14ac:dyDescent="0.3">
      <c r="A7657" s="1192" t="s">
        <v>4649</v>
      </c>
      <c r="E7657" s="1741" t="s">
        <v>2597</v>
      </c>
      <c r="F7657" s="1741"/>
      <c r="G7657" s="360"/>
      <c r="H7657" s="837"/>
      <c r="V7657" s="1192">
        <v>77</v>
      </c>
    </row>
    <row r="7658" spans="1:22" s="1192" customFormat="1" ht="14.4" x14ac:dyDescent="0.3">
      <c r="A7658" s="1192" t="s">
        <v>4649</v>
      </c>
      <c r="E7658" s="1941" t="s">
        <v>2497</v>
      </c>
      <c r="F7658" s="1941"/>
      <c r="G7658" s="360" t="s">
        <v>19</v>
      </c>
      <c r="H7658" s="837" t="s">
        <v>2498</v>
      </c>
      <c r="V7658" s="1192">
        <v>18</v>
      </c>
    </row>
    <row r="7659" spans="1:22" s="1192" customFormat="1" ht="14.4" x14ac:dyDescent="0.3">
      <c r="A7659" s="1192" t="s">
        <v>4649</v>
      </c>
      <c r="E7659" s="1941" t="s">
        <v>2499</v>
      </c>
      <c r="F7659" s="1941"/>
      <c r="G7659" s="360" t="s">
        <v>19</v>
      </c>
      <c r="H7659" s="1218">
        <v>4.08</v>
      </c>
      <c r="V7659" s="1192">
        <v>69</v>
      </c>
    </row>
    <row r="7660" spans="1:22" s="1192" customFormat="1" ht="14.4" x14ac:dyDescent="0.3">
      <c r="A7660" s="1192" t="s">
        <v>4649</v>
      </c>
      <c r="E7660" s="1741" t="s">
        <v>4608</v>
      </c>
      <c r="F7660" s="1741"/>
      <c r="G7660" s="360" t="s">
        <v>19</v>
      </c>
      <c r="H7660" s="1218">
        <v>2.04</v>
      </c>
      <c r="V7660" s="1192">
        <v>199</v>
      </c>
    </row>
    <row r="7661" spans="1:22" s="1192" customFormat="1" x14ac:dyDescent="0.35">
      <c r="A7661" s="1192" t="s">
        <v>4649</v>
      </c>
      <c r="E7661" s="1260" t="s">
        <v>143</v>
      </c>
      <c r="F7661" s="550"/>
      <c r="G7661" s="550"/>
      <c r="H7661" s="881"/>
      <c r="K7661" s="1192" t="s">
        <v>4657</v>
      </c>
      <c r="V7661" s="1192">
        <v>12</v>
      </c>
    </row>
    <row r="7662" spans="1:22" s="1192" customFormat="1" ht="14.4" x14ac:dyDescent="0.3">
      <c r="A7662" s="1192" t="s">
        <v>4649</v>
      </c>
      <c r="E7662" s="1741" t="s">
        <v>2501</v>
      </c>
      <c r="F7662" s="1741"/>
      <c r="G7662" s="1741"/>
      <c r="H7662" s="1741"/>
      <c r="V7662" s="1192">
        <v>203</v>
      </c>
    </row>
    <row r="7663" spans="1:22" s="1192" customFormat="1" ht="14.4" x14ac:dyDescent="0.3">
      <c r="A7663" s="1192" t="s">
        <v>4649</v>
      </c>
      <c r="E7663" s="1741" t="s">
        <v>2599</v>
      </c>
      <c r="F7663" s="1741"/>
      <c r="G7663" s="1277"/>
      <c r="H7663" s="837">
        <v>1.071</v>
      </c>
      <c r="V7663" s="1192">
        <v>57</v>
      </c>
    </row>
    <row r="7664" spans="1:22" s="1192" customFormat="1" ht="14.4" x14ac:dyDescent="0.3">
      <c r="A7664" s="1192" t="s">
        <v>4649</v>
      </c>
      <c r="E7664" s="1741" t="s">
        <v>2601</v>
      </c>
      <c r="F7664" s="1741"/>
      <c r="G7664" s="1277"/>
      <c r="H7664" s="837">
        <v>1.0603</v>
      </c>
      <c r="J7664" s="1192" t="s">
        <v>4658</v>
      </c>
      <c r="V7664" s="1192">
        <v>55</v>
      </c>
    </row>
    <row r="7665" spans="1:22" s="1192" customFormat="1" ht="22.8" x14ac:dyDescent="0.3">
      <c r="A7665" s="1192" t="s">
        <v>182</v>
      </c>
      <c r="C7665" s="1192" t="s">
        <v>2378</v>
      </c>
      <c r="E7665" s="1752" t="s">
        <v>182</v>
      </c>
      <c r="F7665" s="1752"/>
      <c r="G7665" s="1752"/>
      <c r="H7665" s="1752"/>
      <c r="I7665" s="1192" t="s">
        <v>603</v>
      </c>
      <c r="J7665" s="1192" t="s">
        <v>3198</v>
      </c>
      <c r="K7665" s="1192" t="s">
        <v>182</v>
      </c>
      <c r="M7665" s="1192">
        <v>10</v>
      </c>
      <c r="V7665" s="1192">
        <v>17</v>
      </c>
    </row>
    <row r="7666" spans="1:22" s="1192" customFormat="1" ht="17.399999999999999" x14ac:dyDescent="0.3">
      <c r="A7666" s="1192" t="s">
        <v>182</v>
      </c>
      <c r="C7666" s="1192" t="s">
        <v>2380</v>
      </c>
      <c r="E7666" s="1753" t="s">
        <v>2381</v>
      </c>
      <c r="F7666" s="1753"/>
      <c r="G7666" s="1753"/>
      <c r="H7666" s="1753"/>
      <c r="V7666" s="1192">
        <v>27</v>
      </c>
    </row>
    <row r="7667" spans="1:22" s="1192" customFormat="1" ht="15.6" x14ac:dyDescent="0.3">
      <c r="A7667" s="1192" t="s">
        <v>182</v>
      </c>
      <c r="C7667" s="1192" t="s">
        <v>2382</v>
      </c>
      <c r="E7667" s="1754" t="s">
        <v>6482</v>
      </c>
      <c r="F7667" s="1754"/>
      <c r="G7667" s="1754"/>
      <c r="H7667" s="1754"/>
      <c r="S7667" s="1192">
        <v>43952</v>
      </c>
      <c r="V7667" s="1192">
        <v>45</v>
      </c>
    </row>
    <row r="7668" spans="1:22" s="1192" customFormat="1" ht="14.4" x14ac:dyDescent="0.3">
      <c r="A7668" s="1192" t="s">
        <v>182</v>
      </c>
      <c r="C7668" s="1192" t="s">
        <v>2383</v>
      </c>
      <c r="E7668" s="1755" t="s">
        <v>2384</v>
      </c>
      <c r="F7668" s="1755"/>
      <c r="G7668" s="1755"/>
      <c r="H7668" s="1755"/>
      <c r="V7668" s="1192">
        <v>52</v>
      </c>
    </row>
    <row r="7669" spans="1:22" s="1192" customFormat="1" ht="14.4" x14ac:dyDescent="0.3">
      <c r="A7669" s="1192" t="s">
        <v>182</v>
      </c>
      <c r="E7669" s="1755" t="s">
        <v>2385</v>
      </c>
      <c r="F7669" s="1755"/>
      <c r="G7669" s="1755"/>
      <c r="H7669" s="1755"/>
      <c r="V7669" s="1192">
        <v>53</v>
      </c>
    </row>
    <row r="7670" spans="1:22" s="1192" customFormat="1" ht="14.4" x14ac:dyDescent="0.3">
      <c r="A7670" s="1192" t="s">
        <v>182</v>
      </c>
      <c r="E7670" s="1772" t="s">
        <v>6512</v>
      </c>
      <c r="F7670" s="1772"/>
      <c r="G7670" s="1772"/>
      <c r="H7670" s="1772"/>
      <c r="K7670" s="1192" t="s">
        <v>6512</v>
      </c>
      <c r="V7670" s="1192">
        <v>12</v>
      </c>
    </row>
    <row r="7671" spans="1:22" s="1192" customFormat="1" ht="14.4" x14ac:dyDescent="0.3">
      <c r="A7671" s="1192" t="s">
        <v>182</v>
      </c>
      <c r="E7671" s="1746" t="s">
        <v>427</v>
      </c>
      <c r="F7671" s="1743"/>
      <c r="G7671" s="1743"/>
      <c r="H7671" s="1743"/>
      <c r="K7671" s="1192" t="s">
        <v>2506</v>
      </c>
      <c r="V7671" s="1192">
        <v>34</v>
      </c>
    </row>
    <row r="7672" spans="1:22" s="1192" customFormat="1" ht="14.4" x14ac:dyDescent="0.3">
      <c r="A7672" s="1192" t="s">
        <v>182</v>
      </c>
      <c r="E7672" s="1743" t="s">
        <v>3199</v>
      </c>
      <c r="F7672" s="1743"/>
      <c r="G7672" s="1743"/>
      <c r="H7672" s="1743"/>
      <c r="K7672" s="1192" t="s">
        <v>2506</v>
      </c>
      <c r="V7672" s="1192">
        <v>1111</v>
      </c>
    </row>
    <row r="7673" spans="1:22" s="1192" customFormat="1" ht="14.4" x14ac:dyDescent="0.3">
      <c r="A7673" s="1192" t="s">
        <v>182</v>
      </c>
      <c r="E7673" s="1750" t="s">
        <v>2389</v>
      </c>
      <c r="F7673" s="1743"/>
      <c r="G7673" s="1743"/>
      <c r="H7673" s="1743"/>
      <c r="K7673" s="1192" t="s">
        <v>2390</v>
      </c>
      <c r="V7673" s="1192">
        <v>11</v>
      </c>
    </row>
    <row r="7674" spans="1:22" s="1192" customFormat="1" ht="14.4" x14ac:dyDescent="0.3">
      <c r="A7674" s="1192" t="s">
        <v>182</v>
      </c>
      <c r="E7674" s="1743" t="s">
        <v>2391</v>
      </c>
      <c r="F7674" s="1743"/>
      <c r="G7674" s="1743"/>
      <c r="H7674" s="1743"/>
      <c r="K7674" s="1192" t="s">
        <v>2506</v>
      </c>
      <c r="V7674" s="1192">
        <v>280</v>
      </c>
    </row>
    <row r="7675" spans="1:22" s="1192" customFormat="1" ht="14.4" x14ac:dyDescent="0.3">
      <c r="A7675" s="1192" t="s">
        <v>182</v>
      </c>
      <c r="E7675" s="1743" t="s">
        <v>2392</v>
      </c>
      <c r="F7675" s="1743"/>
      <c r="G7675" s="1743"/>
      <c r="H7675" s="1743"/>
      <c r="K7675" s="1192" t="s">
        <v>2506</v>
      </c>
      <c r="V7675" s="1192">
        <v>411</v>
      </c>
    </row>
    <row r="7676" spans="1:22" s="1192" customFormat="1" ht="14.4" x14ac:dyDescent="0.3">
      <c r="A7676" s="1192" t="s">
        <v>182</v>
      </c>
      <c r="E7676" s="1743" t="s">
        <v>2508</v>
      </c>
      <c r="F7676" s="1743"/>
      <c r="G7676" s="1743"/>
      <c r="H7676" s="1743"/>
      <c r="K7676" s="1192" t="s">
        <v>2506</v>
      </c>
      <c r="V7676" s="1192">
        <v>386</v>
      </c>
    </row>
    <row r="7677" spans="1:22" s="1192" customFormat="1" ht="14.4" x14ac:dyDescent="0.3">
      <c r="A7677" s="1192" t="s">
        <v>182</v>
      </c>
      <c r="E7677" s="1743" t="s">
        <v>4500</v>
      </c>
      <c r="F7677" s="1743"/>
      <c r="G7677" s="1743"/>
      <c r="H7677" s="1743"/>
      <c r="K7677" s="1192" t="s">
        <v>2506</v>
      </c>
      <c r="V7677" s="1192">
        <v>247</v>
      </c>
    </row>
    <row r="7678" spans="1:22" s="1192" customFormat="1" ht="14.4" x14ac:dyDescent="0.3">
      <c r="A7678" s="1192" t="s">
        <v>182</v>
      </c>
      <c r="E7678" s="1750" t="s">
        <v>2394</v>
      </c>
      <c r="F7678" s="1743"/>
      <c r="G7678" s="1743"/>
      <c r="H7678" s="1743"/>
      <c r="K7678" s="1192" t="s">
        <v>2395</v>
      </c>
      <c r="V7678" s="1192">
        <v>46</v>
      </c>
    </row>
    <row r="7679" spans="1:22" s="1192" customFormat="1" ht="14.4" x14ac:dyDescent="0.3">
      <c r="A7679" s="1192" t="s">
        <v>182</v>
      </c>
      <c r="E7679" s="1741" t="s">
        <v>7</v>
      </c>
      <c r="F7679" s="1741"/>
      <c r="G7679" s="1277" t="s">
        <v>19</v>
      </c>
      <c r="H7679" s="1218">
        <v>25.5</v>
      </c>
      <c r="K7679" s="1192" t="s">
        <v>2506</v>
      </c>
      <c r="L7679" s="1192" t="s">
        <v>430</v>
      </c>
      <c r="P7679" s="1192" t="s">
        <v>2510</v>
      </c>
      <c r="V7679" s="1192">
        <v>14</v>
      </c>
    </row>
    <row r="7680" spans="1:22" s="1192" customFormat="1" ht="14.4" x14ac:dyDescent="0.3">
      <c r="A7680" s="1192" t="s">
        <v>182</v>
      </c>
      <c r="E7680" s="1741" t="s">
        <v>4226</v>
      </c>
      <c r="F7680" s="1741"/>
      <c r="G7680" s="1277" t="s">
        <v>19</v>
      </c>
      <c r="H7680" s="1218">
        <v>0.31</v>
      </c>
      <c r="K7680" s="1192" t="s">
        <v>2506</v>
      </c>
      <c r="L7680" s="1192" t="s">
        <v>430</v>
      </c>
      <c r="P7680" s="1192" t="s">
        <v>6513</v>
      </c>
      <c r="V7680" s="1192">
        <v>146</v>
      </c>
    </row>
    <row r="7681" spans="1:22" s="1192" customFormat="1" ht="14.4" x14ac:dyDescent="0.3">
      <c r="A7681" s="1192" t="s">
        <v>182</v>
      </c>
      <c r="E7681" s="1741" t="s">
        <v>4012</v>
      </c>
      <c r="F7681" s="1741"/>
      <c r="G7681" s="1277" t="s">
        <v>19</v>
      </c>
      <c r="H7681" s="1218">
        <v>0.56999999999999995</v>
      </c>
      <c r="K7681" s="1192" t="s">
        <v>2506</v>
      </c>
      <c r="L7681" s="1192" t="s">
        <v>431</v>
      </c>
      <c r="P7681" s="1192" t="s">
        <v>2511</v>
      </c>
      <c r="T7681" s="1192">
        <v>44926</v>
      </c>
      <c r="V7681" s="1192">
        <v>79</v>
      </c>
    </row>
    <row r="7682" spans="1:22" s="1192" customFormat="1" ht="14.4" x14ac:dyDescent="0.3">
      <c r="A7682" s="1192" t="s">
        <v>182</v>
      </c>
      <c r="E7682" s="1741" t="s">
        <v>4703</v>
      </c>
      <c r="F7682" s="1741"/>
      <c r="G7682" s="1277" t="s">
        <v>20</v>
      </c>
      <c r="H7682" s="1219">
        <v>1.6000000000000001E-3</v>
      </c>
      <c r="K7682" s="1192" t="s">
        <v>2506</v>
      </c>
      <c r="L7682" s="1192" t="s">
        <v>430</v>
      </c>
      <c r="P7682" s="1192" t="s">
        <v>6514</v>
      </c>
      <c r="T7682" s="1192">
        <v>44135</v>
      </c>
      <c r="V7682" s="1192">
        <v>89</v>
      </c>
    </row>
    <row r="7683" spans="1:22" s="1192" customFormat="1" ht="14.4" x14ac:dyDescent="0.3">
      <c r="A7683" s="1192" t="s">
        <v>182</v>
      </c>
      <c r="E7683" s="1741" t="s">
        <v>213</v>
      </c>
      <c r="F7683" s="1741"/>
      <c r="G7683" s="1277" t="s">
        <v>20</v>
      </c>
      <c r="H7683" s="1219">
        <v>7.4000000000000003E-3</v>
      </c>
      <c r="K7683" s="1192" t="s">
        <v>2506</v>
      </c>
      <c r="L7683" s="1192" t="s">
        <v>432</v>
      </c>
      <c r="P7683" s="1192" t="s">
        <v>2517</v>
      </c>
      <c r="V7683" s="1192">
        <v>47</v>
      </c>
    </row>
    <row r="7684" spans="1:22" s="1192" customFormat="1" ht="14.4" x14ac:dyDescent="0.3">
      <c r="A7684" s="1192" t="s">
        <v>182</v>
      </c>
      <c r="E7684" s="1741" t="s">
        <v>209</v>
      </c>
      <c r="F7684" s="1741"/>
      <c r="G7684" s="1277" t="s">
        <v>20</v>
      </c>
      <c r="H7684" s="1219">
        <v>6.6E-3</v>
      </c>
      <c r="K7684" s="1192" t="s">
        <v>2506</v>
      </c>
      <c r="L7684" s="1192" t="s">
        <v>432</v>
      </c>
      <c r="P7684" s="1192" t="s">
        <v>2518</v>
      </c>
      <c r="V7684" s="1192">
        <v>74</v>
      </c>
    </row>
    <row r="7685" spans="1:22" s="1192" customFormat="1" ht="14.4" x14ac:dyDescent="0.3">
      <c r="A7685" s="1192" t="s">
        <v>182</v>
      </c>
      <c r="E7685" s="1750" t="s">
        <v>2405</v>
      </c>
      <c r="F7685" s="1741"/>
      <c r="G7685" s="1277"/>
      <c r="H7685" s="896"/>
      <c r="K7685" s="1192" t="s">
        <v>2406</v>
      </c>
      <c r="V7685" s="1192">
        <v>48</v>
      </c>
    </row>
    <row r="7686" spans="1:22" s="1192" customFormat="1" ht="14.4" x14ac:dyDescent="0.3">
      <c r="A7686" s="1192" t="s">
        <v>182</v>
      </c>
      <c r="E7686" s="2007" t="s">
        <v>2033</v>
      </c>
      <c r="F7686" s="2007"/>
      <c r="G7686" s="1273" t="s">
        <v>20</v>
      </c>
      <c r="H7686" s="1219">
        <v>3.0000000000000001E-3</v>
      </c>
      <c r="K7686" s="1192" t="s">
        <v>2506</v>
      </c>
      <c r="L7686" s="1192" t="s">
        <v>2374</v>
      </c>
      <c r="P7686" s="1192" t="s">
        <v>2519</v>
      </c>
      <c r="V7686" s="1192">
        <v>55</v>
      </c>
    </row>
    <row r="7687" spans="1:22" s="1192" customFormat="1" ht="14.4" x14ac:dyDescent="0.3">
      <c r="A7687" s="1192" t="s">
        <v>182</v>
      </c>
      <c r="E7687" s="2007" t="s">
        <v>2034</v>
      </c>
      <c r="F7687" s="2007"/>
      <c r="G7687" s="1273" t="s">
        <v>20</v>
      </c>
      <c r="H7687" s="1219">
        <v>4.0000000000000002E-4</v>
      </c>
      <c r="K7687" s="1192" t="s">
        <v>2506</v>
      </c>
      <c r="L7687" s="1192" t="s">
        <v>2374</v>
      </c>
      <c r="P7687" s="1192" t="s">
        <v>2519</v>
      </c>
      <c r="V7687" s="1192">
        <v>65</v>
      </c>
    </row>
    <row r="7688" spans="1:22" s="1192" customFormat="1" ht="14.4" x14ac:dyDescent="0.3">
      <c r="A7688" s="1192" t="s">
        <v>182</v>
      </c>
      <c r="E7688" s="2007" t="s">
        <v>428</v>
      </c>
      <c r="F7688" s="2007"/>
      <c r="G7688" s="1273" t="s">
        <v>20</v>
      </c>
      <c r="H7688" s="1219">
        <v>5.0000000000000001E-4</v>
      </c>
      <c r="K7688" s="1192" t="s">
        <v>2506</v>
      </c>
      <c r="L7688" s="1192" t="s">
        <v>2374</v>
      </c>
      <c r="P7688" s="1192" t="s">
        <v>2520</v>
      </c>
      <c r="V7688" s="1192">
        <v>57</v>
      </c>
    </row>
    <row r="7689" spans="1:22" s="1192" customFormat="1" ht="14.4" x14ac:dyDescent="0.3">
      <c r="A7689" s="1192" t="s">
        <v>182</v>
      </c>
      <c r="E7689" s="2007" t="s">
        <v>28</v>
      </c>
      <c r="F7689" s="2007"/>
      <c r="G7689" s="1273" t="s">
        <v>19</v>
      </c>
      <c r="H7689" s="1218">
        <v>0.25</v>
      </c>
      <c r="K7689" s="1192" t="s">
        <v>2506</v>
      </c>
      <c r="L7689" s="1192" t="s">
        <v>2374</v>
      </c>
      <c r="P7689" s="1192" t="s">
        <v>2521</v>
      </c>
      <c r="V7689" s="1192">
        <v>63</v>
      </c>
    </row>
    <row r="7690" spans="1:22" s="1192" customFormat="1" ht="17.399999999999999" x14ac:dyDescent="0.3">
      <c r="A7690" s="1192" t="s">
        <v>182</v>
      </c>
      <c r="E7690" s="1746" t="s">
        <v>2522</v>
      </c>
      <c r="F7690" s="1747"/>
      <c r="G7690" s="1747"/>
      <c r="H7690" s="1747"/>
      <c r="K7690" s="1192" t="s">
        <v>3901</v>
      </c>
      <c r="V7690" s="1192">
        <v>54</v>
      </c>
    </row>
    <row r="7691" spans="1:22" s="1192" customFormat="1" ht="14.4" x14ac:dyDescent="0.3">
      <c r="A7691" s="1192" t="s">
        <v>182</v>
      </c>
      <c r="E7691" s="1743" t="s">
        <v>3200</v>
      </c>
      <c r="F7691" s="1743"/>
      <c r="G7691" s="1743"/>
      <c r="H7691" s="1743"/>
      <c r="K7691" s="1192" t="s">
        <v>3901</v>
      </c>
      <c r="V7691" s="1192">
        <v>789</v>
      </c>
    </row>
    <row r="7692" spans="1:22" s="1192" customFormat="1" ht="14.4" x14ac:dyDescent="0.3">
      <c r="A7692" s="1192" t="s">
        <v>182</v>
      </c>
      <c r="E7692" s="1750" t="s">
        <v>2389</v>
      </c>
      <c r="F7692" s="1743"/>
      <c r="G7692" s="1743"/>
      <c r="H7692" s="1743"/>
      <c r="K7692" s="1192" t="s">
        <v>2412</v>
      </c>
      <c r="V7692" s="1192">
        <v>11</v>
      </c>
    </row>
    <row r="7693" spans="1:22" s="1192" customFormat="1" ht="14.4" x14ac:dyDescent="0.3">
      <c r="A7693" s="1192" t="s">
        <v>182</v>
      </c>
      <c r="E7693" s="1743" t="s">
        <v>2391</v>
      </c>
      <c r="F7693" s="1743"/>
      <c r="G7693" s="1743"/>
      <c r="H7693" s="1743"/>
      <c r="K7693" s="1192" t="s">
        <v>3901</v>
      </c>
      <c r="V7693" s="1192">
        <v>280</v>
      </c>
    </row>
    <row r="7694" spans="1:22" s="1192" customFormat="1" ht="14.4" x14ac:dyDescent="0.3">
      <c r="A7694" s="1192" t="s">
        <v>182</v>
      </c>
      <c r="E7694" s="1743" t="s">
        <v>2392</v>
      </c>
      <c r="F7694" s="1743"/>
      <c r="G7694" s="1743"/>
      <c r="H7694" s="1743"/>
      <c r="K7694" s="1192" t="s">
        <v>3901</v>
      </c>
      <c r="V7694" s="1192">
        <v>411</v>
      </c>
    </row>
    <row r="7695" spans="1:22" s="1192" customFormat="1" ht="14.4" x14ac:dyDescent="0.3">
      <c r="A7695" s="1192" t="s">
        <v>182</v>
      </c>
      <c r="E7695" s="1743" t="s">
        <v>2508</v>
      </c>
      <c r="F7695" s="1743"/>
      <c r="G7695" s="1743"/>
      <c r="H7695" s="1743"/>
      <c r="K7695" s="1192" t="s">
        <v>3901</v>
      </c>
      <c r="V7695" s="1192">
        <v>386</v>
      </c>
    </row>
    <row r="7696" spans="1:22" s="1192" customFormat="1" ht="14.4" x14ac:dyDescent="0.3">
      <c r="A7696" s="1192" t="s">
        <v>182</v>
      </c>
      <c r="E7696" s="1743" t="s">
        <v>4500</v>
      </c>
      <c r="F7696" s="1743"/>
      <c r="G7696" s="1743"/>
      <c r="H7696" s="1743"/>
      <c r="K7696" s="1192" t="s">
        <v>3901</v>
      </c>
      <c r="V7696" s="1192">
        <v>247</v>
      </c>
    </row>
    <row r="7697" spans="1:22" s="1192" customFormat="1" ht="14.4" x14ac:dyDescent="0.3">
      <c r="A7697" s="1192" t="s">
        <v>182</v>
      </c>
      <c r="E7697" s="1750" t="s">
        <v>2394</v>
      </c>
      <c r="F7697" s="1743"/>
      <c r="G7697" s="1743"/>
      <c r="H7697" s="1743"/>
      <c r="K7697" s="1192" t="s">
        <v>2413</v>
      </c>
      <c r="V7697" s="1192">
        <v>46</v>
      </c>
    </row>
    <row r="7698" spans="1:22" s="1192" customFormat="1" ht="14.4" x14ac:dyDescent="0.3">
      <c r="A7698" s="1192" t="s">
        <v>182</v>
      </c>
      <c r="E7698" s="1741" t="s">
        <v>7</v>
      </c>
      <c r="F7698" s="1741"/>
      <c r="G7698" s="1277" t="s">
        <v>19</v>
      </c>
      <c r="H7698" s="1218">
        <v>33.54</v>
      </c>
      <c r="K7698" s="1192" t="s">
        <v>3901</v>
      </c>
      <c r="L7698" s="1192" t="s">
        <v>430</v>
      </c>
      <c r="P7698" s="1192" t="s">
        <v>3902</v>
      </c>
      <c r="V7698" s="1192">
        <v>14</v>
      </c>
    </row>
    <row r="7699" spans="1:22" s="1192" customFormat="1" ht="14.4" x14ac:dyDescent="0.3">
      <c r="A7699" s="1192" t="s">
        <v>182</v>
      </c>
      <c r="E7699" s="1741" t="s">
        <v>4226</v>
      </c>
      <c r="F7699" s="1741"/>
      <c r="G7699" s="1277" t="s">
        <v>19</v>
      </c>
      <c r="H7699" s="1218">
        <v>0.41</v>
      </c>
      <c r="K7699" s="1192" t="s">
        <v>3901</v>
      </c>
      <c r="L7699" s="1192" t="s">
        <v>430</v>
      </c>
      <c r="P7699" s="1192" t="s">
        <v>6515</v>
      </c>
      <c r="V7699" s="1192">
        <v>146</v>
      </c>
    </row>
    <row r="7700" spans="1:22" s="1192" customFormat="1" ht="14.4" x14ac:dyDescent="0.3">
      <c r="A7700" s="1192" t="s">
        <v>182</v>
      </c>
      <c r="E7700" s="1741" t="s">
        <v>4012</v>
      </c>
      <c r="F7700" s="1741"/>
      <c r="G7700" s="1277" t="s">
        <v>19</v>
      </c>
      <c r="H7700" s="1218">
        <v>0.56999999999999995</v>
      </c>
      <c r="K7700" s="1192" t="s">
        <v>3901</v>
      </c>
      <c r="L7700" s="1192" t="s">
        <v>431</v>
      </c>
      <c r="P7700" s="1192" t="s">
        <v>3903</v>
      </c>
      <c r="T7700" s="1192">
        <v>44926</v>
      </c>
      <c r="V7700" s="1192">
        <v>79</v>
      </c>
    </row>
    <row r="7701" spans="1:22" s="1192" customFormat="1" ht="14.4" x14ac:dyDescent="0.3">
      <c r="A7701" s="1192" t="s">
        <v>182</v>
      </c>
      <c r="E7701" s="1741" t="s">
        <v>80</v>
      </c>
      <c r="F7701" s="1741"/>
      <c r="G7701" s="1277" t="s">
        <v>20</v>
      </c>
      <c r="H7701" s="1219">
        <v>1.12E-2</v>
      </c>
      <c r="K7701" s="1192" t="s">
        <v>3901</v>
      </c>
      <c r="L7701" s="1192" t="s">
        <v>430</v>
      </c>
      <c r="P7701" s="1192" t="s">
        <v>3904</v>
      </c>
      <c r="V7701" s="1192">
        <v>28</v>
      </c>
    </row>
    <row r="7702" spans="1:22" s="1192" customFormat="1" ht="14.4" x14ac:dyDescent="0.3">
      <c r="A7702" s="1192" t="s">
        <v>182</v>
      </c>
      <c r="E7702" s="1741" t="s">
        <v>4226</v>
      </c>
      <c r="F7702" s="1741"/>
      <c r="G7702" s="1277" t="s">
        <v>20</v>
      </c>
      <c r="H7702" s="1219">
        <v>1E-4</v>
      </c>
      <c r="K7702" s="1192" t="s">
        <v>3901</v>
      </c>
      <c r="L7702" s="1192" t="s">
        <v>430</v>
      </c>
      <c r="P7702" s="1192" t="s">
        <v>6516</v>
      </c>
      <c r="V7702" s="1192">
        <v>146</v>
      </c>
    </row>
    <row r="7703" spans="1:22" s="1192" customFormat="1" ht="14.4" x14ac:dyDescent="0.3">
      <c r="A7703" s="1192" t="s">
        <v>182</v>
      </c>
      <c r="E7703" s="1741" t="s">
        <v>4703</v>
      </c>
      <c r="F7703" s="1741"/>
      <c r="G7703" s="1277" t="s">
        <v>20</v>
      </c>
      <c r="H7703" s="1219">
        <v>1.6000000000000001E-3</v>
      </c>
      <c r="K7703" s="1192" t="s">
        <v>3901</v>
      </c>
      <c r="L7703" s="1192" t="s">
        <v>430</v>
      </c>
      <c r="P7703" s="1192" t="s">
        <v>6517</v>
      </c>
      <c r="T7703" s="1192">
        <v>44135</v>
      </c>
      <c r="V7703" s="1192">
        <v>89</v>
      </c>
    </row>
    <row r="7704" spans="1:22" s="1192" customFormat="1" ht="14.4" x14ac:dyDescent="0.3">
      <c r="A7704" s="1192" t="s">
        <v>182</v>
      </c>
      <c r="E7704" s="1741" t="s">
        <v>213</v>
      </c>
      <c r="F7704" s="1741"/>
      <c r="G7704" s="1277" t="s">
        <v>20</v>
      </c>
      <c r="H7704" s="1219">
        <v>7.0000000000000001E-3</v>
      </c>
      <c r="K7704" s="1192" t="s">
        <v>3901</v>
      </c>
      <c r="L7704" s="1192" t="s">
        <v>432</v>
      </c>
      <c r="P7704" s="1192" t="s">
        <v>3906</v>
      </c>
      <c r="V7704" s="1192">
        <v>47</v>
      </c>
    </row>
    <row r="7705" spans="1:22" s="1192" customFormat="1" ht="14.4" x14ac:dyDescent="0.3">
      <c r="A7705" s="1192" t="s">
        <v>182</v>
      </c>
      <c r="E7705" s="1741" t="s">
        <v>2847</v>
      </c>
      <c r="F7705" s="1741"/>
      <c r="G7705" s="1277" t="s">
        <v>20</v>
      </c>
      <c r="H7705" s="1219">
        <v>5.7999999999999996E-3</v>
      </c>
      <c r="K7705" s="1192" t="s">
        <v>3901</v>
      </c>
      <c r="L7705" s="1192" t="s">
        <v>432</v>
      </c>
      <c r="P7705" s="1192" t="s">
        <v>3907</v>
      </c>
      <c r="V7705" s="1192">
        <v>75</v>
      </c>
    </row>
    <row r="7706" spans="1:22" s="1192" customFormat="1" ht="14.4" x14ac:dyDescent="0.3">
      <c r="A7706" s="1192" t="s">
        <v>182</v>
      </c>
      <c r="E7706" s="1750" t="s">
        <v>2405</v>
      </c>
      <c r="F7706" s="1741"/>
      <c r="G7706" s="1277"/>
      <c r="H7706" s="896"/>
      <c r="K7706" s="1192" t="s">
        <v>2418</v>
      </c>
      <c r="V7706" s="1192">
        <v>48</v>
      </c>
    </row>
    <row r="7707" spans="1:22" s="1192" customFormat="1" ht="14.4" x14ac:dyDescent="0.3">
      <c r="A7707" s="1192" t="s">
        <v>182</v>
      </c>
      <c r="E7707" s="2007" t="s">
        <v>2033</v>
      </c>
      <c r="F7707" s="2007"/>
      <c r="G7707" s="1273" t="s">
        <v>20</v>
      </c>
      <c r="H7707" s="1219">
        <v>3.0000000000000001E-3</v>
      </c>
      <c r="K7707" s="1192" t="s">
        <v>3901</v>
      </c>
      <c r="L7707" s="1192" t="s">
        <v>2374</v>
      </c>
      <c r="P7707" s="1192" t="s">
        <v>3908</v>
      </c>
      <c r="V7707" s="1192">
        <v>55</v>
      </c>
    </row>
    <row r="7708" spans="1:22" s="1192" customFormat="1" ht="14.4" x14ac:dyDescent="0.3">
      <c r="A7708" s="1192" t="s">
        <v>182</v>
      </c>
      <c r="E7708" s="2007" t="s">
        <v>2034</v>
      </c>
      <c r="F7708" s="2007"/>
      <c r="G7708" s="1273" t="s">
        <v>20</v>
      </c>
      <c r="H7708" s="1219">
        <v>4.0000000000000002E-4</v>
      </c>
      <c r="K7708" s="1192" t="s">
        <v>3901</v>
      </c>
      <c r="L7708" s="1192" t="s">
        <v>2374</v>
      </c>
      <c r="P7708" s="1192" t="s">
        <v>3908</v>
      </c>
      <c r="V7708" s="1192">
        <v>65</v>
      </c>
    </row>
    <row r="7709" spans="1:22" s="1192" customFormat="1" ht="14.4" x14ac:dyDescent="0.3">
      <c r="A7709" s="1192" t="s">
        <v>182</v>
      </c>
      <c r="E7709" s="2007" t="s">
        <v>428</v>
      </c>
      <c r="F7709" s="2007"/>
      <c r="G7709" s="1273" t="s">
        <v>20</v>
      </c>
      <c r="H7709" s="1219">
        <v>5.0000000000000001E-4</v>
      </c>
      <c r="K7709" s="1192" t="s">
        <v>3901</v>
      </c>
      <c r="L7709" s="1192" t="s">
        <v>2374</v>
      </c>
      <c r="P7709" s="1192" t="s">
        <v>3909</v>
      </c>
      <c r="V7709" s="1192">
        <v>57</v>
      </c>
    </row>
    <row r="7710" spans="1:22" s="1192" customFormat="1" ht="14.4" x14ac:dyDescent="0.3">
      <c r="A7710" s="1192" t="s">
        <v>182</v>
      </c>
      <c r="E7710" s="2007" t="s">
        <v>28</v>
      </c>
      <c r="F7710" s="2007"/>
      <c r="G7710" s="1273" t="s">
        <v>19</v>
      </c>
      <c r="H7710" s="1218">
        <v>0.25</v>
      </c>
      <c r="K7710" s="1192" t="s">
        <v>3901</v>
      </c>
      <c r="L7710" s="1192" t="s">
        <v>2374</v>
      </c>
      <c r="P7710" s="1192" t="s">
        <v>3910</v>
      </c>
      <c r="V7710" s="1192">
        <v>63</v>
      </c>
    </row>
    <row r="7711" spans="1:22" s="1192" customFormat="1" ht="17.399999999999999" x14ac:dyDescent="0.3">
      <c r="A7711" s="1192" t="s">
        <v>182</v>
      </c>
      <c r="E7711" s="1746" t="s">
        <v>591</v>
      </c>
      <c r="F7711" s="1747"/>
      <c r="G7711" s="1747"/>
      <c r="H7711" s="1747"/>
      <c r="K7711" s="1192" t="s">
        <v>4388</v>
      </c>
      <c r="V7711" s="1192">
        <v>53</v>
      </c>
    </row>
    <row r="7712" spans="1:22" s="1192" customFormat="1" ht="14.4" x14ac:dyDescent="0.3">
      <c r="A7712" s="1192" t="s">
        <v>182</v>
      </c>
      <c r="E7712" s="1743" t="s">
        <v>3201</v>
      </c>
      <c r="F7712" s="1743"/>
      <c r="G7712" s="1743"/>
      <c r="H7712" s="1743"/>
      <c r="K7712" s="1192" t="s">
        <v>4388</v>
      </c>
      <c r="V7712" s="1192">
        <v>746</v>
      </c>
    </row>
    <row r="7713" spans="1:22" s="1192" customFormat="1" ht="14.4" x14ac:dyDescent="0.3">
      <c r="A7713" s="1192" t="s">
        <v>182</v>
      </c>
      <c r="E7713" s="1750" t="s">
        <v>2389</v>
      </c>
      <c r="F7713" s="1743"/>
      <c r="G7713" s="1743"/>
      <c r="H7713" s="1743"/>
      <c r="K7713" s="1192" t="s">
        <v>2422</v>
      </c>
      <c r="V7713" s="1192">
        <v>11</v>
      </c>
    </row>
    <row r="7714" spans="1:22" s="1192" customFormat="1" ht="14.4" x14ac:dyDescent="0.3">
      <c r="A7714" s="1192" t="s">
        <v>182</v>
      </c>
      <c r="E7714" s="1743" t="s">
        <v>2391</v>
      </c>
      <c r="F7714" s="1743"/>
      <c r="G7714" s="1743"/>
      <c r="H7714" s="1743"/>
      <c r="K7714" s="1192" t="s">
        <v>4388</v>
      </c>
      <c r="V7714" s="1192">
        <v>280</v>
      </c>
    </row>
    <row r="7715" spans="1:22" s="1192" customFormat="1" ht="14.4" x14ac:dyDescent="0.3">
      <c r="A7715" s="1192" t="s">
        <v>182</v>
      </c>
      <c r="E7715" s="1743" t="s">
        <v>2392</v>
      </c>
      <c r="F7715" s="1743"/>
      <c r="G7715" s="1743"/>
      <c r="H7715" s="1743"/>
      <c r="K7715" s="1192" t="s">
        <v>4388</v>
      </c>
      <c r="V7715" s="1192">
        <v>411</v>
      </c>
    </row>
    <row r="7716" spans="1:22" s="1192" customFormat="1" ht="14.4" x14ac:dyDescent="0.3">
      <c r="A7716" s="1192" t="s">
        <v>182</v>
      </c>
      <c r="E7716" s="1743" t="s">
        <v>2508</v>
      </c>
      <c r="F7716" s="1743"/>
      <c r="G7716" s="1743"/>
      <c r="H7716" s="1743"/>
      <c r="K7716" s="1192" t="s">
        <v>4388</v>
      </c>
      <c r="V7716" s="1192">
        <v>386</v>
      </c>
    </row>
    <row r="7717" spans="1:22" s="1192" customFormat="1" ht="14.4" x14ac:dyDescent="0.3">
      <c r="A7717" s="1192" t="s">
        <v>182</v>
      </c>
      <c r="E7717" s="1743" t="s">
        <v>4618</v>
      </c>
      <c r="F7717" s="1743"/>
      <c r="G7717" s="1743"/>
      <c r="H7717" s="1743"/>
      <c r="K7717" s="1192" t="s">
        <v>4388</v>
      </c>
      <c r="V7717" s="1192">
        <v>1404</v>
      </c>
    </row>
    <row r="7718" spans="1:22" s="1192" customFormat="1" ht="14.4" x14ac:dyDescent="0.3">
      <c r="A7718" s="1192" t="s">
        <v>182</v>
      </c>
      <c r="E7718" s="1743" t="s">
        <v>4500</v>
      </c>
      <c r="F7718" s="1743"/>
      <c r="G7718" s="1743"/>
      <c r="H7718" s="1743"/>
      <c r="K7718" s="1192" t="s">
        <v>4388</v>
      </c>
      <c r="V7718" s="1192">
        <v>247</v>
      </c>
    </row>
    <row r="7719" spans="1:22" s="1192" customFormat="1" ht="14.4" x14ac:dyDescent="0.3">
      <c r="A7719" s="1192" t="s">
        <v>182</v>
      </c>
      <c r="E7719" s="1750" t="s">
        <v>2394</v>
      </c>
      <c r="F7719" s="1743"/>
      <c r="G7719" s="1743"/>
      <c r="H7719" s="1743"/>
      <c r="K7719" s="1192" t="s">
        <v>2423</v>
      </c>
      <c r="V7719" s="1192">
        <v>46</v>
      </c>
    </row>
    <row r="7720" spans="1:22" s="1192" customFormat="1" ht="14.4" x14ac:dyDescent="0.3">
      <c r="A7720" s="1192" t="s">
        <v>182</v>
      </c>
      <c r="E7720" s="1741" t="s">
        <v>7</v>
      </c>
      <c r="F7720" s="1741"/>
      <c r="G7720" s="1277" t="s">
        <v>19</v>
      </c>
      <c r="H7720" s="1218">
        <v>163.85</v>
      </c>
      <c r="K7720" s="1192" t="s">
        <v>4388</v>
      </c>
      <c r="L7720" s="1192" t="s">
        <v>430</v>
      </c>
      <c r="P7720" s="1192" t="s">
        <v>4389</v>
      </c>
      <c r="V7720" s="1192">
        <v>14</v>
      </c>
    </row>
    <row r="7721" spans="1:22" s="1192" customFormat="1" ht="14.4" x14ac:dyDescent="0.3">
      <c r="A7721" s="1192" t="s">
        <v>182</v>
      </c>
      <c r="E7721" s="1741" t="s">
        <v>4226</v>
      </c>
      <c r="F7721" s="1741"/>
      <c r="G7721" s="1277" t="s">
        <v>19</v>
      </c>
      <c r="H7721" s="1218">
        <v>2.0099999999999998</v>
      </c>
      <c r="K7721" s="1192" t="s">
        <v>4388</v>
      </c>
      <c r="L7721" s="1192" t="s">
        <v>430</v>
      </c>
      <c r="P7721" s="1192" t="s">
        <v>6518</v>
      </c>
      <c r="V7721" s="1192">
        <v>146</v>
      </c>
    </row>
    <row r="7722" spans="1:22" s="1192" customFormat="1" ht="14.4" x14ac:dyDescent="0.3">
      <c r="A7722" s="1192" t="s">
        <v>182</v>
      </c>
      <c r="E7722" s="1741" t="s">
        <v>80</v>
      </c>
      <c r="F7722" s="1741"/>
      <c r="G7722" s="1277" t="s">
        <v>29</v>
      </c>
      <c r="H7722" s="1219">
        <v>2.8290999999999999</v>
      </c>
      <c r="K7722" s="1192" t="s">
        <v>4388</v>
      </c>
      <c r="L7722" s="1192" t="s">
        <v>430</v>
      </c>
      <c r="P7722" s="1192" t="s">
        <v>4390</v>
      </c>
      <c r="V7722" s="1192">
        <v>28</v>
      </c>
    </row>
    <row r="7723" spans="1:22" s="1192" customFormat="1" ht="14.4" x14ac:dyDescent="0.3">
      <c r="A7723" s="1192" t="s">
        <v>182</v>
      </c>
      <c r="E7723" s="1741" t="s">
        <v>4226</v>
      </c>
      <c r="F7723" s="1741"/>
      <c r="G7723" s="1277" t="s">
        <v>29</v>
      </c>
      <c r="H7723" s="1219">
        <v>3.4700000000000002E-2</v>
      </c>
      <c r="K7723" s="1192" t="s">
        <v>4388</v>
      </c>
      <c r="L7723" s="1192" t="s">
        <v>430</v>
      </c>
      <c r="P7723" s="1192" t="s">
        <v>4646</v>
      </c>
      <c r="V7723" s="1192">
        <v>146</v>
      </c>
    </row>
    <row r="7724" spans="1:22" s="1192" customFormat="1" ht="14.4" x14ac:dyDescent="0.3">
      <c r="A7724" s="1192" t="s">
        <v>182</v>
      </c>
      <c r="E7724" s="1741" t="s">
        <v>4703</v>
      </c>
      <c r="F7724" s="1741"/>
      <c r="G7724" s="1277" t="s">
        <v>29</v>
      </c>
      <c r="H7724" s="1219">
        <v>0.63539999999999996</v>
      </c>
      <c r="K7724" s="1192" t="s">
        <v>4388</v>
      </c>
      <c r="L7724" s="1192" t="s">
        <v>430</v>
      </c>
      <c r="P7724" s="1192" t="s">
        <v>4647</v>
      </c>
      <c r="T7724" s="1192">
        <v>44135</v>
      </c>
      <c r="V7724" s="1192">
        <v>89</v>
      </c>
    </row>
    <row r="7725" spans="1:22" s="1192" customFormat="1" ht="14.4" x14ac:dyDescent="0.3">
      <c r="A7725" s="1192" t="s">
        <v>182</v>
      </c>
      <c r="E7725" s="1741" t="s">
        <v>213</v>
      </c>
      <c r="F7725" s="1741"/>
      <c r="G7725" s="1277" t="s">
        <v>29</v>
      </c>
      <c r="H7725" s="1219">
        <v>2.4369999999999998</v>
      </c>
      <c r="K7725" s="1192" t="s">
        <v>4388</v>
      </c>
      <c r="L7725" s="1192" t="s">
        <v>432</v>
      </c>
      <c r="P7725" s="1192" t="s">
        <v>4392</v>
      </c>
      <c r="V7725" s="1192">
        <v>47</v>
      </c>
    </row>
    <row r="7726" spans="1:22" s="1192" customFormat="1" ht="14.4" x14ac:dyDescent="0.3">
      <c r="A7726" s="1192" t="s">
        <v>182</v>
      </c>
      <c r="E7726" s="1741" t="s">
        <v>2847</v>
      </c>
      <c r="F7726" s="1741"/>
      <c r="G7726" s="1277" t="s">
        <v>29</v>
      </c>
      <c r="H7726" s="1219">
        <v>2.1271</v>
      </c>
      <c r="K7726" s="1192" t="s">
        <v>4388</v>
      </c>
      <c r="L7726" s="1192" t="s">
        <v>432</v>
      </c>
      <c r="P7726" s="1192" t="s">
        <v>4393</v>
      </c>
      <c r="V7726" s="1192">
        <v>75</v>
      </c>
    </row>
    <row r="7727" spans="1:22" s="1192" customFormat="1" ht="14.4" x14ac:dyDescent="0.3">
      <c r="A7727" s="1192" t="s">
        <v>182</v>
      </c>
      <c r="E7727" s="1741" t="s">
        <v>215</v>
      </c>
      <c r="F7727" s="1741"/>
      <c r="G7727" s="1277" t="s">
        <v>29</v>
      </c>
      <c r="H7727" s="1219">
        <v>3.125</v>
      </c>
      <c r="K7727" s="1192" t="s">
        <v>4388</v>
      </c>
      <c r="L7727" s="1192" t="s">
        <v>432</v>
      </c>
      <c r="P7727" s="1192" t="s">
        <v>4392</v>
      </c>
      <c r="V7727" s="1192">
        <v>66</v>
      </c>
    </row>
    <row r="7728" spans="1:22" s="1192" customFormat="1" ht="14.4" x14ac:dyDescent="0.3">
      <c r="A7728" s="1192" t="s">
        <v>182</v>
      </c>
      <c r="E7728" s="1741" t="s">
        <v>3703</v>
      </c>
      <c r="F7728" s="1741"/>
      <c r="G7728" s="1277" t="s">
        <v>29</v>
      </c>
      <c r="H7728" s="1219">
        <v>2.964</v>
      </c>
      <c r="K7728" s="1192" t="s">
        <v>4388</v>
      </c>
      <c r="L7728" s="1192" t="s">
        <v>432</v>
      </c>
      <c r="P7728" s="1192" t="s">
        <v>4393</v>
      </c>
      <c r="V7728" s="1192">
        <v>94</v>
      </c>
    </row>
    <row r="7729" spans="1:22" s="1192" customFormat="1" ht="14.4" x14ac:dyDescent="0.3">
      <c r="A7729" s="1192" t="s">
        <v>182</v>
      </c>
      <c r="E7729" s="1750" t="s">
        <v>2405</v>
      </c>
      <c r="F7729" s="1741"/>
      <c r="G7729" s="1277"/>
      <c r="H7729" s="896"/>
      <c r="K7729" s="1192" t="s">
        <v>2526</v>
      </c>
      <c r="V7729" s="1192">
        <v>48</v>
      </c>
    </row>
    <row r="7730" spans="1:22" s="1192" customFormat="1" ht="14.4" x14ac:dyDescent="0.3">
      <c r="A7730" s="1192" t="s">
        <v>182</v>
      </c>
      <c r="E7730" s="2007" t="s">
        <v>2033</v>
      </c>
      <c r="F7730" s="2007"/>
      <c r="G7730" s="1273" t="s">
        <v>20</v>
      </c>
      <c r="H7730" s="1219">
        <v>3.0000000000000001E-3</v>
      </c>
      <c r="K7730" s="1192" t="s">
        <v>4388</v>
      </c>
      <c r="L7730" s="1192" t="s">
        <v>2374</v>
      </c>
      <c r="P7730" s="1192" t="s">
        <v>4394</v>
      </c>
      <c r="V7730" s="1192">
        <v>55</v>
      </c>
    </row>
    <row r="7731" spans="1:22" s="1192" customFormat="1" ht="14.4" x14ac:dyDescent="0.3">
      <c r="A7731" s="1192" t="s">
        <v>182</v>
      </c>
      <c r="E7731" s="2007" t="s">
        <v>2034</v>
      </c>
      <c r="F7731" s="2007"/>
      <c r="G7731" s="1273" t="s">
        <v>20</v>
      </c>
      <c r="H7731" s="1219">
        <v>4.0000000000000002E-4</v>
      </c>
      <c r="K7731" s="1192" t="s">
        <v>4388</v>
      </c>
      <c r="L7731" s="1192" t="s">
        <v>2374</v>
      </c>
      <c r="P7731" s="1192" t="s">
        <v>4394</v>
      </c>
      <c r="V7731" s="1192">
        <v>65</v>
      </c>
    </row>
    <row r="7732" spans="1:22" s="1192" customFormat="1" ht="14.4" x14ac:dyDescent="0.3">
      <c r="A7732" s="1192" t="s">
        <v>182</v>
      </c>
      <c r="E7732" s="2007" t="s">
        <v>428</v>
      </c>
      <c r="F7732" s="2007"/>
      <c r="G7732" s="1273" t="s">
        <v>20</v>
      </c>
      <c r="H7732" s="1219">
        <v>5.0000000000000001E-4</v>
      </c>
      <c r="K7732" s="1192" t="s">
        <v>4388</v>
      </c>
      <c r="L7732" s="1192" t="s">
        <v>2374</v>
      </c>
      <c r="P7732" s="1192" t="s">
        <v>4395</v>
      </c>
      <c r="V7732" s="1192">
        <v>57</v>
      </c>
    </row>
    <row r="7733" spans="1:22" s="1192" customFormat="1" ht="14.4" x14ac:dyDescent="0.3">
      <c r="A7733" s="1192" t="s">
        <v>182</v>
      </c>
      <c r="E7733" s="2007" t="s">
        <v>28</v>
      </c>
      <c r="F7733" s="2007"/>
      <c r="G7733" s="1273" t="s">
        <v>19</v>
      </c>
      <c r="H7733" s="1218">
        <v>0.25</v>
      </c>
      <c r="K7733" s="1192" t="s">
        <v>4388</v>
      </c>
      <c r="L7733" s="1192" t="s">
        <v>2374</v>
      </c>
      <c r="P7733" s="1192" t="s">
        <v>4396</v>
      </c>
      <c r="V7733" s="1192">
        <v>63</v>
      </c>
    </row>
    <row r="7734" spans="1:22" s="1192" customFormat="1" ht="36.75" customHeight="1" x14ac:dyDescent="0.3">
      <c r="A7734" s="1192" t="s">
        <v>182</v>
      </c>
      <c r="E7734" s="1746" t="s">
        <v>605</v>
      </c>
      <c r="F7734" s="1747"/>
      <c r="G7734" s="1747"/>
      <c r="H7734" s="1747"/>
      <c r="K7734" s="1192" t="s">
        <v>6933</v>
      </c>
      <c r="V7734" s="1192">
        <v>73</v>
      </c>
    </row>
    <row r="7735" spans="1:22" s="1192" customFormat="1" ht="14.4" x14ac:dyDescent="0.3">
      <c r="A7735" s="1192" t="s">
        <v>182</v>
      </c>
      <c r="E7735" s="1743" t="s">
        <v>3202</v>
      </c>
      <c r="F7735" s="1743"/>
      <c r="G7735" s="1743"/>
      <c r="H7735" s="1743"/>
      <c r="K7735" s="1192" t="s">
        <v>6933</v>
      </c>
      <c r="V7735" s="1192">
        <v>904</v>
      </c>
    </row>
    <row r="7736" spans="1:22" s="1192" customFormat="1" ht="14.4" x14ac:dyDescent="0.3">
      <c r="A7736" s="1192" t="s">
        <v>182</v>
      </c>
      <c r="E7736" s="1750" t="s">
        <v>2389</v>
      </c>
      <c r="F7736" s="1743"/>
      <c r="G7736" s="1743"/>
      <c r="H7736" s="1743"/>
      <c r="K7736" s="1192" t="s">
        <v>2529</v>
      </c>
      <c r="V7736" s="1192">
        <v>11</v>
      </c>
    </row>
    <row r="7737" spans="1:22" s="1192" customFormat="1" ht="14.4" x14ac:dyDescent="0.3">
      <c r="A7737" s="1192" t="s">
        <v>182</v>
      </c>
      <c r="E7737" s="1743" t="s">
        <v>2391</v>
      </c>
      <c r="F7737" s="1743"/>
      <c r="G7737" s="1743"/>
      <c r="H7737" s="1743"/>
      <c r="K7737" s="1192" t="s">
        <v>6933</v>
      </c>
      <c r="V7737" s="1192">
        <v>280</v>
      </c>
    </row>
    <row r="7738" spans="1:22" s="1192" customFormat="1" ht="14.4" x14ac:dyDescent="0.3">
      <c r="A7738" s="1192" t="s">
        <v>182</v>
      </c>
      <c r="E7738" s="1743" t="s">
        <v>2392</v>
      </c>
      <c r="F7738" s="1743"/>
      <c r="G7738" s="1743"/>
      <c r="H7738" s="1743"/>
      <c r="K7738" s="1192" t="s">
        <v>6933</v>
      </c>
      <c r="V7738" s="1192">
        <v>411</v>
      </c>
    </row>
    <row r="7739" spans="1:22" s="1192" customFormat="1" ht="14.4" x14ac:dyDescent="0.3">
      <c r="A7739" s="1192" t="s">
        <v>182</v>
      </c>
      <c r="E7739" s="1743" t="s">
        <v>2508</v>
      </c>
      <c r="F7739" s="1743"/>
      <c r="G7739" s="1743"/>
      <c r="H7739" s="1743"/>
      <c r="K7739" s="1192" t="s">
        <v>6933</v>
      </c>
      <c r="V7739" s="1192">
        <v>386</v>
      </c>
    </row>
    <row r="7740" spans="1:22" s="1192" customFormat="1" ht="14.4" x14ac:dyDescent="0.3">
      <c r="A7740" s="1192" t="s">
        <v>182</v>
      </c>
      <c r="E7740" s="1743" t="s">
        <v>4618</v>
      </c>
      <c r="F7740" s="1743"/>
      <c r="G7740" s="1743"/>
      <c r="H7740" s="1743"/>
      <c r="K7740" s="1192" t="s">
        <v>6933</v>
      </c>
      <c r="V7740" s="1192">
        <v>1404</v>
      </c>
    </row>
    <row r="7741" spans="1:22" s="1192" customFormat="1" ht="14.4" x14ac:dyDescent="0.3">
      <c r="A7741" s="1192" t="s">
        <v>182</v>
      </c>
      <c r="E7741" s="1743" t="s">
        <v>4500</v>
      </c>
      <c r="F7741" s="1743"/>
      <c r="G7741" s="1743"/>
      <c r="H7741" s="1743"/>
      <c r="K7741" s="1192" t="s">
        <v>6933</v>
      </c>
      <c r="V7741" s="1192">
        <v>247</v>
      </c>
    </row>
    <row r="7742" spans="1:22" s="1192" customFormat="1" ht="14.4" x14ac:dyDescent="0.3">
      <c r="A7742" s="1192" t="s">
        <v>182</v>
      </c>
      <c r="E7742" s="1750" t="s">
        <v>2394</v>
      </c>
      <c r="F7742" s="1743"/>
      <c r="G7742" s="1743"/>
      <c r="H7742" s="1743"/>
      <c r="K7742" s="1192" t="s">
        <v>2531</v>
      </c>
      <c r="V7742" s="1192">
        <v>46</v>
      </c>
    </row>
    <row r="7743" spans="1:22" s="1192" customFormat="1" ht="14.4" x14ac:dyDescent="0.3">
      <c r="A7743" s="1192" t="s">
        <v>182</v>
      </c>
      <c r="E7743" s="1741" t="s">
        <v>7</v>
      </c>
      <c r="F7743" s="1741"/>
      <c r="G7743" s="1277" t="s">
        <v>19</v>
      </c>
      <c r="H7743" s="1218">
        <v>2236.9699999999998</v>
      </c>
      <c r="K7743" s="1192" t="s">
        <v>6933</v>
      </c>
      <c r="L7743" s="1192" t="s">
        <v>430</v>
      </c>
      <c r="P7743" s="1192" t="s">
        <v>6934</v>
      </c>
      <c r="V7743" s="1192">
        <v>14</v>
      </c>
    </row>
    <row r="7744" spans="1:22" s="1192" customFormat="1" ht="14.4" x14ac:dyDescent="0.3">
      <c r="A7744" s="1192" t="s">
        <v>182</v>
      </c>
      <c r="E7744" s="1741" t="s">
        <v>4226</v>
      </c>
      <c r="F7744" s="1741"/>
      <c r="G7744" s="1277" t="s">
        <v>19</v>
      </c>
      <c r="H7744" s="1218">
        <v>27.46</v>
      </c>
      <c r="K7744" s="1192" t="s">
        <v>6933</v>
      </c>
      <c r="L7744" s="1192" t="s">
        <v>430</v>
      </c>
      <c r="P7744" s="1192" t="s">
        <v>6935</v>
      </c>
      <c r="V7744" s="1192">
        <v>146</v>
      </c>
    </row>
    <row r="7745" spans="1:22" s="1192" customFormat="1" ht="14.4" x14ac:dyDescent="0.3">
      <c r="A7745" s="1192" t="s">
        <v>182</v>
      </c>
      <c r="E7745" s="1741" t="s">
        <v>4704</v>
      </c>
      <c r="F7745" s="1741"/>
      <c r="G7745" s="1277" t="s">
        <v>29</v>
      </c>
      <c r="H7745" s="1219">
        <v>3.9077000000000002</v>
      </c>
      <c r="K7745" s="1192" t="s">
        <v>6933</v>
      </c>
      <c r="L7745" s="1192" t="s">
        <v>430</v>
      </c>
      <c r="P7745" s="1192" t="s">
        <v>6936</v>
      </c>
      <c r="V7745" s="1192">
        <v>144</v>
      </c>
    </row>
    <row r="7746" spans="1:22" s="1192" customFormat="1" ht="14.4" x14ac:dyDescent="0.3">
      <c r="A7746" s="1192" t="s">
        <v>182</v>
      </c>
      <c r="E7746" s="1741" t="s">
        <v>4226</v>
      </c>
      <c r="F7746" s="1741"/>
      <c r="G7746" s="1277" t="s">
        <v>29</v>
      </c>
      <c r="H7746" s="1219">
        <v>4.8000000000000001E-2</v>
      </c>
      <c r="K7746" s="1192" t="s">
        <v>6933</v>
      </c>
      <c r="L7746" s="1192" t="s">
        <v>430</v>
      </c>
      <c r="P7746" s="1192" t="s">
        <v>6937</v>
      </c>
      <c r="V7746" s="1192">
        <v>146</v>
      </c>
    </row>
    <row r="7747" spans="1:22" s="1192" customFormat="1" ht="14.4" x14ac:dyDescent="0.3">
      <c r="A7747" s="1192" t="s">
        <v>182</v>
      </c>
      <c r="E7747" s="1741" t="s">
        <v>4703</v>
      </c>
      <c r="F7747" s="1741"/>
      <c r="G7747" s="1277" t="s">
        <v>29</v>
      </c>
      <c r="H7747" s="1219">
        <v>0.31990000000000002</v>
      </c>
      <c r="K7747" s="1192" t="s">
        <v>6933</v>
      </c>
      <c r="L7747" s="1192" t="s">
        <v>430</v>
      </c>
      <c r="P7747" s="1192" t="s">
        <v>6938</v>
      </c>
      <c r="T7747" s="1192">
        <v>44135</v>
      </c>
      <c r="V7747" s="1192">
        <v>89</v>
      </c>
    </row>
    <row r="7748" spans="1:22" s="1192" customFormat="1" ht="14.4" x14ac:dyDescent="0.3">
      <c r="A7748" s="1192" t="s">
        <v>182</v>
      </c>
      <c r="E7748" s="1741" t="s">
        <v>213</v>
      </c>
      <c r="F7748" s="1741"/>
      <c r="G7748" s="1277" t="s">
        <v>29</v>
      </c>
      <c r="H7748" s="1219">
        <v>3.6076000000000001</v>
      </c>
      <c r="K7748" s="1192" t="s">
        <v>6933</v>
      </c>
      <c r="L7748" s="1192" t="s">
        <v>432</v>
      </c>
      <c r="P7748" s="1192" t="s">
        <v>6939</v>
      </c>
      <c r="V7748" s="1192">
        <v>47</v>
      </c>
    </row>
    <row r="7749" spans="1:22" s="1192" customFormat="1" ht="14.4" x14ac:dyDescent="0.3">
      <c r="A7749" s="1192" t="s">
        <v>182</v>
      </c>
      <c r="E7749" s="1741" t="s">
        <v>2847</v>
      </c>
      <c r="F7749" s="1741"/>
      <c r="G7749" s="1277" t="s">
        <v>29</v>
      </c>
      <c r="H7749" s="1219">
        <v>3.1353</v>
      </c>
      <c r="K7749" s="1192" t="s">
        <v>6933</v>
      </c>
      <c r="L7749" s="1192" t="s">
        <v>432</v>
      </c>
      <c r="P7749" s="1192" t="s">
        <v>6940</v>
      </c>
      <c r="V7749" s="1192">
        <v>75</v>
      </c>
    </row>
    <row r="7750" spans="1:22" s="1192" customFormat="1" ht="14.4" x14ac:dyDescent="0.3">
      <c r="A7750" s="1192" t="s">
        <v>182</v>
      </c>
      <c r="E7750" s="1750" t="s">
        <v>2405</v>
      </c>
      <c r="F7750" s="1741"/>
      <c r="G7750" s="1277"/>
      <c r="H7750" s="896"/>
      <c r="K7750" s="1192" t="s">
        <v>2532</v>
      </c>
      <c r="V7750" s="1192">
        <v>48</v>
      </c>
    </row>
    <row r="7751" spans="1:22" s="1192" customFormat="1" ht="14.4" x14ac:dyDescent="0.3">
      <c r="A7751" s="1192" t="s">
        <v>182</v>
      </c>
      <c r="E7751" s="2007" t="s">
        <v>2033</v>
      </c>
      <c r="F7751" s="2007"/>
      <c r="G7751" s="1273" t="s">
        <v>20</v>
      </c>
      <c r="H7751" s="1219">
        <v>3.0000000000000001E-3</v>
      </c>
      <c r="K7751" s="1192" t="s">
        <v>6933</v>
      </c>
      <c r="L7751" s="1192" t="s">
        <v>2374</v>
      </c>
      <c r="P7751" s="1192" t="s">
        <v>6941</v>
      </c>
      <c r="V7751" s="1192">
        <v>55</v>
      </c>
    </row>
    <row r="7752" spans="1:22" s="1192" customFormat="1" ht="14.4" x14ac:dyDescent="0.3">
      <c r="A7752" s="1192" t="s">
        <v>182</v>
      </c>
      <c r="E7752" s="2007" t="s">
        <v>2034</v>
      </c>
      <c r="F7752" s="2007"/>
      <c r="G7752" s="1273" t="s">
        <v>20</v>
      </c>
      <c r="H7752" s="1219">
        <v>4.0000000000000002E-4</v>
      </c>
      <c r="K7752" s="1192" t="s">
        <v>6933</v>
      </c>
      <c r="L7752" s="1192" t="s">
        <v>2374</v>
      </c>
      <c r="P7752" s="1192" t="s">
        <v>6941</v>
      </c>
      <c r="V7752" s="1192">
        <v>65</v>
      </c>
    </row>
    <row r="7753" spans="1:22" s="1192" customFormat="1" ht="14.4" x14ac:dyDescent="0.3">
      <c r="A7753" s="1192" t="s">
        <v>182</v>
      </c>
      <c r="E7753" s="2007" t="s">
        <v>428</v>
      </c>
      <c r="F7753" s="2007"/>
      <c r="G7753" s="1273" t="s">
        <v>20</v>
      </c>
      <c r="H7753" s="1219">
        <v>5.0000000000000001E-4</v>
      </c>
      <c r="K7753" s="1192" t="s">
        <v>6933</v>
      </c>
      <c r="L7753" s="1192" t="s">
        <v>2374</v>
      </c>
      <c r="P7753" s="1192" t="s">
        <v>6942</v>
      </c>
      <c r="V7753" s="1192">
        <v>57</v>
      </c>
    </row>
    <row r="7754" spans="1:22" s="1192" customFormat="1" ht="14.4" x14ac:dyDescent="0.3">
      <c r="A7754" s="1192" t="s">
        <v>182</v>
      </c>
      <c r="E7754" s="2007" t="s">
        <v>28</v>
      </c>
      <c r="F7754" s="2007"/>
      <c r="G7754" s="1273" t="s">
        <v>19</v>
      </c>
      <c r="H7754" s="1218">
        <v>0.25</v>
      </c>
      <c r="K7754" s="1192" t="s">
        <v>6933</v>
      </c>
      <c r="L7754" s="1192" t="s">
        <v>2374</v>
      </c>
      <c r="P7754" s="1192" t="s">
        <v>6943</v>
      </c>
      <c r="V7754" s="1192">
        <v>63</v>
      </c>
    </row>
    <row r="7755" spans="1:22" s="1192" customFormat="1" ht="17.399999999999999" x14ac:dyDescent="0.3">
      <c r="A7755" s="1192" t="s">
        <v>182</v>
      </c>
      <c r="E7755" s="1746" t="s">
        <v>606</v>
      </c>
      <c r="F7755" s="1747"/>
      <c r="G7755" s="1747"/>
      <c r="H7755" s="1747"/>
      <c r="K7755" s="1192" t="s">
        <v>6944</v>
      </c>
      <c r="V7755" s="1192">
        <v>36</v>
      </c>
    </row>
    <row r="7756" spans="1:22" s="1192" customFormat="1" ht="14.4" x14ac:dyDescent="0.3">
      <c r="A7756" s="1192" t="s">
        <v>182</v>
      </c>
      <c r="E7756" s="1743" t="s">
        <v>3204</v>
      </c>
      <c r="F7756" s="1743"/>
      <c r="G7756" s="1743"/>
      <c r="H7756" s="1743"/>
      <c r="K7756" s="1192" t="s">
        <v>6944</v>
      </c>
      <c r="V7756" s="1192">
        <v>294</v>
      </c>
    </row>
    <row r="7757" spans="1:22" s="1192" customFormat="1" ht="14.4" x14ac:dyDescent="0.3">
      <c r="A7757" s="1192" t="s">
        <v>182</v>
      </c>
      <c r="E7757" s="1750" t="s">
        <v>2389</v>
      </c>
      <c r="F7757" s="1743"/>
      <c r="G7757" s="1743"/>
      <c r="H7757" s="1743"/>
      <c r="K7757" s="1192" t="s">
        <v>2424</v>
      </c>
      <c r="V7757" s="1192">
        <v>11</v>
      </c>
    </row>
    <row r="7758" spans="1:22" s="1192" customFormat="1" ht="14.4" x14ac:dyDescent="0.3">
      <c r="A7758" s="1192" t="s">
        <v>182</v>
      </c>
      <c r="E7758" s="1743" t="s">
        <v>2391</v>
      </c>
      <c r="F7758" s="1743"/>
      <c r="G7758" s="1743"/>
      <c r="H7758" s="1743"/>
      <c r="K7758" s="1192" t="s">
        <v>6944</v>
      </c>
      <c r="V7758" s="1192">
        <v>280</v>
      </c>
    </row>
    <row r="7759" spans="1:22" s="1192" customFormat="1" ht="14.4" x14ac:dyDescent="0.3">
      <c r="A7759" s="1192" t="s">
        <v>182</v>
      </c>
      <c r="E7759" s="1743" t="s">
        <v>2392</v>
      </c>
      <c r="F7759" s="1743"/>
      <c r="G7759" s="1743"/>
      <c r="H7759" s="1743"/>
      <c r="K7759" s="1192" t="s">
        <v>6944</v>
      </c>
      <c r="V7759" s="1192">
        <v>411</v>
      </c>
    </row>
    <row r="7760" spans="1:22" s="1192" customFormat="1" ht="14.4" x14ac:dyDescent="0.3">
      <c r="A7760" s="1192" t="s">
        <v>182</v>
      </c>
      <c r="E7760" s="1743" t="s">
        <v>2445</v>
      </c>
      <c r="F7760" s="1743"/>
      <c r="G7760" s="1743"/>
      <c r="H7760" s="1743"/>
      <c r="K7760" s="1192" t="s">
        <v>6944</v>
      </c>
      <c r="V7760" s="1192">
        <v>211</v>
      </c>
    </row>
    <row r="7761" spans="1:22" s="1192" customFormat="1" ht="14.4" x14ac:dyDescent="0.3">
      <c r="A7761" s="1192" t="s">
        <v>182</v>
      </c>
      <c r="E7761" s="1743" t="s">
        <v>4618</v>
      </c>
      <c r="F7761" s="1743"/>
      <c r="G7761" s="1743"/>
      <c r="H7761" s="1743"/>
      <c r="K7761" s="1192" t="s">
        <v>6944</v>
      </c>
      <c r="V7761" s="1192">
        <v>1404</v>
      </c>
    </row>
    <row r="7762" spans="1:22" s="1192" customFormat="1" ht="14.4" x14ac:dyDescent="0.3">
      <c r="A7762" s="1192" t="s">
        <v>182</v>
      </c>
      <c r="E7762" s="1743" t="s">
        <v>4500</v>
      </c>
      <c r="F7762" s="1743"/>
      <c r="G7762" s="1743"/>
      <c r="H7762" s="1743"/>
      <c r="K7762" s="1192" t="s">
        <v>6944</v>
      </c>
      <c r="V7762" s="1192">
        <v>247</v>
      </c>
    </row>
    <row r="7763" spans="1:22" s="1192" customFormat="1" ht="14.4" x14ac:dyDescent="0.3">
      <c r="A7763" s="1192" t="s">
        <v>182</v>
      </c>
      <c r="E7763" s="1750" t="s">
        <v>2394</v>
      </c>
      <c r="F7763" s="1743"/>
      <c r="G7763" s="1743"/>
      <c r="H7763" s="1743"/>
      <c r="K7763" s="1192" t="s">
        <v>2425</v>
      </c>
      <c r="V7763" s="1192">
        <v>46</v>
      </c>
    </row>
    <row r="7764" spans="1:22" s="1192" customFormat="1" ht="14.4" x14ac:dyDescent="0.3">
      <c r="A7764" s="1192" t="s">
        <v>182</v>
      </c>
      <c r="E7764" s="1741" t="s">
        <v>3205</v>
      </c>
      <c r="F7764" s="1741"/>
      <c r="G7764" s="1277" t="s">
        <v>29</v>
      </c>
      <c r="H7764" s="1219">
        <v>3.2275999999999998</v>
      </c>
      <c r="K7764" s="1192" t="s">
        <v>6944</v>
      </c>
      <c r="L7764" s="1192" t="s">
        <v>430</v>
      </c>
      <c r="P7764" s="1192" t="s">
        <v>6945</v>
      </c>
      <c r="V7764" s="1192">
        <v>102</v>
      </c>
    </row>
    <row r="7765" spans="1:22" s="1192" customFormat="1" ht="14.4" x14ac:dyDescent="0.3">
      <c r="A7765" s="1192" t="s">
        <v>182</v>
      </c>
      <c r="E7765" s="1741" t="s">
        <v>4703</v>
      </c>
      <c r="F7765" s="1741"/>
      <c r="G7765" s="1423" t="s">
        <v>29</v>
      </c>
      <c r="H7765" s="594">
        <v>0.31990000000000002</v>
      </c>
      <c r="K7765" s="1192" t="s">
        <v>6944</v>
      </c>
      <c r="L7765" s="1192" t="s">
        <v>430</v>
      </c>
      <c r="P7765" s="1192" t="s">
        <v>6946</v>
      </c>
      <c r="T7765" s="1192">
        <v>44135</v>
      </c>
      <c r="V7765" s="1192">
        <v>89</v>
      </c>
    </row>
    <row r="7766" spans="1:22" s="1192" customFormat="1" ht="14.4" x14ac:dyDescent="0.3">
      <c r="A7766" s="1192" t="s">
        <v>182</v>
      </c>
      <c r="E7766" s="1741" t="s">
        <v>4226</v>
      </c>
      <c r="F7766" s="1741"/>
      <c r="G7766" s="1277" t="s">
        <v>29</v>
      </c>
      <c r="H7766" s="594">
        <v>3.9600000000000003E-2</v>
      </c>
      <c r="K7766" s="1192" t="s">
        <v>6944</v>
      </c>
      <c r="L7766" s="1192" t="s">
        <v>430</v>
      </c>
      <c r="P7766" s="1192" t="s">
        <v>6947</v>
      </c>
      <c r="V7766" s="1192">
        <v>146</v>
      </c>
    </row>
    <row r="7767" spans="1:22" s="1192" customFormat="1" ht="17.399999999999999" x14ac:dyDescent="0.3">
      <c r="A7767" s="1192" t="s">
        <v>182</v>
      </c>
      <c r="E7767" s="1746" t="s">
        <v>596</v>
      </c>
      <c r="F7767" s="1747"/>
      <c r="G7767" s="1747"/>
      <c r="H7767" s="1747"/>
      <c r="K7767" s="1192" t="s">
        <v>2608</v>
      </c>
      <c r="V7767" s="1192">
        <v>32</v>
      </c>
    </row>
    <row r="7768" spans="1:22" s="1192" customFormat="1" ht="14.4" x14ac:dyDescent="0.3">
      <c r="A7768" s="1192" t="s">
        <v>182</v>
      </c>
      <c r="E7768" s="1743" t="s">
        <v>3207</v>
      </c>
      <c r="F7768" s="1743"/>
      <c r="G7768" s="1743"/>
      <c r="H7768" s="1743"/>
      <c r="K7768" s="1192" t="s">
        <v>2608</v>
      </c>
      <c r="V7768" s="1192">
        <v>348</v>
      </c>
    </row>
    <row r="7769" spans="1:22" s="1192" customFormat="1" ht="14.4" x14ac:dyDescent="0.3">
      <c r="A7769" s="1192" t="s">
        <v>182</v>
      </c>
      <c r="E7769" s="1750" t="s">
        <v>2389</v>
      </c>
      <c r="F7769" s="1743"/>
      <c r="G7769" s="1743"/>
      <c r="H7769" s="1743"/>
      <c r="K7769" s="1192" t="s">
        <v>2430</v>
      </c>
      <c r="V7769" s="1192">
        <v>11</v>
      </c>
    </row>
    <row r="7770" spans="1:22" s="1192" customFormat="1" ht="14.4" x14ac:dyDescent="0.3">
      <c r="A7770" s="1192" t="s">
        <v>182</v>
      </c>
      <c r="E7770" s="1743" t="s">
        <v>2391</v>
      </c>
      <c r="F7770" s="1743"/>
      <c r="G7770" s="1743"/>
      <c r="H7770" s="1743"/>
      <c r="K7770" s="1192" t="s">
        <v>2608</v>
      </c>
      <c r="V7770" s="1192">
        <v>280</v>
      </c>
    </row>
    <row r="7771" spans="1:22" s="1192" customFormat="1" ht="14.4" x14ac:dyDescent="0.3">
      <c r="A7771" s="1192" t="s">
        <v>182</v>
      </c>
      <c r="E7771" s="1743" t="s">
        <v>2392</v>
      </c>
      <c r="F7771" s="1743"/>
      <c r="G7771" s="1743"/>
      <c r="H7771" s="1743"/>
      <c r="K7771" s="1192" t="s">
        <v>2608</v>
      </c>
      <c r="V7771" s="1192">
        <v>411</v>
      </c>
    </row>
    <row r="7772" spans="1:22" s="1192" customFormat="1" ht="14.4" x14ac:dyDescent="0.3">
      <c r="A7772" s="1192" t="s">
        <v>182</v>
      </c>
      <c r="E7772" s="1743" t="s">
        <v>2508</v>
      </c>
      <c r="F7772" s="1743"/>
      <c r="G7772" s="1743"/>
      <c r="H7772" s="1743"/>
      <c r="K7772" s="1192" t="s">
        <v>2608</v>
      </c>
      <c r="V7772" s="1192">
        <v>386</v>
      </c>
    </row>
    <row r="7773" spans="1:22" s="1192" customFormat="1" ht="14.4" x14ac:dyDescent="0.3">
      <c r="A7773" s="1192" t="s">
        <v>182</v>
      </c>
      <c r="E7773" s="1743" t="s">
        <v>4618</v>
      </c>
      <c r="F7773" s="1743"/>
      <c r="G7773" s="1743"/>
      <c r="H7773" s="1743"/>
      <c r="K7773" s="1192" t="s">
        <v>2608</v>
      </c>
      <c r="V7773" s="1192">
        <v>1404</v>
      </c>
    </row>
    <row r="7774" spans="1:22" s="1192" customFormat="1" ht="14.4" x14ac:dyDescent="0.3">
      <c r="A7774" s="1192" t="s">
        <v>182</v>
      </c>
      <c r="E7774" s="1743" t="s">
        <v>4500</v>
      </c>
      <c r="F7774" s="1743"/>
      <c r="G7774" s="1743"/>
      <c r="H7774" s="1743"/>
      <c r="K7774" s="1192" t="s">
        <v>2608</v>
      </c>
      <c r="V7774" s="1192">
        <v>247</v>
      </c>
    </row>
    <row r="7775" spans="1:22" s="1192" customFormat="1" ht="14.4" x14ac:dyDescent="0.3">
      <c r="A7775" s="1192" t="s">
        <v>182</v>
      </c>
      <c r="E7775" s="1750" t="s">
        <v>2394</v>
      </c>
      <c r="F7775" s="1743"/>
      <c r="G7775" s="1743"/>
      <c r="H7775" s="1743"/>
      <c r="K7775" s="1192" t="s">
        <v>2431</v>
      </c>
      <c r="V7775" s="1192">
        <v>46</v>
      </c>
    </row>
    <row r="7776" spans="1:22" s="1192" customFormat="1" ht="14.4" x14ac:dyDescent="0.3">
      <c r="A7776" s="1192" t="s">
        <v>182</v>
      </c>
      <c r="E7776" s="1741" t="s">
        <v>7</v>
      </c>
      <c r="F7776" s="1741"/>
      <c r="G7776" s="1277" t="s">
        <v>19</v>
      </c>
      <c r="H7776" s="1218">
        <v>21098.33</v>
      </c>
      <c r="K7776" s="1192" t="s">
        <v>2608</v>
      </c>
      <c r="L7776" s="1192" t="s">
        <v>430</v>
      </c>
      <c r="P7776" s="1192" t="s">
        <v>2609</v>
      </c>
      <c r="V7776" s="1192">
        <v>14</v>
      </c>
    </row>
    <row r="7777" spans="1:22" s="1192" customFormat="1" ht="14.4" x14ac:dyDescent="0.3">
      <c r="A7777" s="1192" t="s">
        <v>182</v>
      </c>
      <c r="E7777" s="1741" t="s">
        <v>4226</v>
      </c>
      <c r="F7777" s="1741"/>
      <c r="G7777" s="1277" t="s">
        <v>19</v>
      </c>
      <c r="H7777" s="1218">
        <v>258.98</v>
      </c>
      <c r="K7777" s="1192" t="s">
        <v>2608</v>
      </c>
      <c r="L7777" s="1192" t="s">
        <v>430</v>
      </c>
      <c r="P7777" s="1192" t="s">
        <v>6948</v>
      </c>
      <c r="V7777" s="1192">
        <v>146</v>
      </c>
    </row>
    <row r="7778" spans="1:22" s="1192" customFormat="1" ht="14.4" x14ac:dyDescent="0.3">
      <c r="A7778" s="1192" t="s">
        <v>182</v>
      </c>
      <c r="E7778" s="1741" t="s">
        <v>80</v>
      </c>
      <c r="F7778" s="1741"/>
      <c r="G7778" s="1277" t="s">
        <v>29</v>
      </c>
      <c r="H7778" s="1219">
        <v>2.3544999999999998</v>
      </c>
      <c r="K7778" s="1192" t="s">
        <v>2608</v>
      </c>
      <c r="L7778" s="1192" t="s">
        <v>430</v>
      </c>
      <c r="P7778" s="1192" t="s">
        <v>2610</v>
      </c>
      <c r="V7778" s="1192">
        <v>28</v>
      </c>
    </row>
    <row r="7779" spans="1:22" s="1192" customFormat="1" ht="14.4" x14ac:dyDescent="0.3">
      <c r="A7779" s="1192" t="s">
        <v>182</v>
      </c>
      <c r="E7779" s="1741" t="s">
        <v>4226</v>
      </c>
      <c r="F7779" s="1741"/>
      <c r="G7779" s="1277" t="s">
        <v>29</v>
      </c>
      <c r="H7779" s="1219">
        <v>2.8899999999999999E-2</v>
      </c>
      <c r="K7779" s="1192" t="s">
        <v>2608</v>
      </c>
      <c r="L7779" s="1192" t="s">
        <v>430</v>
      </c>
      <c r="P7779" s="1192" t="s">
        <v>6949</v>
      </c>
      <c r="V7779" s="1192">
        <v>146</v>
      </c>
    </row>
    <row r="7780" spans="1:22" s="1192" customFormat="1" ht="14.4" x14ac:dyDescent="0.3">
      <c r="A7780" s="1192" t="s">
        <v>182</v>
      </c>
      <c r="E7780" s="1741" t="s">
        <v>4703</v>
      </c>
      <c r="F7780" s="1741"/>
      <c r="G7780" s="1277" t="s">
        <v>29</v>
      </c>
      <c r="H7780" s="1219">
        <v>0.83550000000000002</v>
      </c>
      <c r="K7780" s="1192" t="s">
        <v>2608</v>
      </c>
      <c r="L7780" s="1192" t="s">
        <v>430</v>
      </c>
      <c r="P7780" s="1192" t="s">
        <v>6950</v>
      </c>
      <c r="T7780" s="1192">
        <v>44135</v>
      </c>
      <c r="V7780" s="1192">
        <v>89</v>
      </c>
    </row>
    <row r="7781" spans="1:22" s="1192" customFormat="1" ht="14.4" x14ac:dyDescent="0.3">
      <c r="A7781" s="1192" t="s">
        <v>182</v>
      </c>
      <c r="E7781" s="1741" t="s">
        <v>215</v>
      </c>
      <c r="F7781" s="1741"/>
      <c r="G7781" s="1277" t="s">
        <v>29</v>
      </c>
      <c r="H7781" s="1219">
        <v>3.2012</v>
      </c>
      <c r="K7781" s="1192" t="s">
        <v>2608</v>
      </c>
      <c r="L7781" s="1192" t="s">
        <v>432</v>
      </c>
      <c r="P7781" s="1192" t="s">
        <v>2613</v>
      </c>
      <c r="V7781" s="1192">
        <v>66</v>
      </c>
    </row>
    <row r="7782" spans="1:22" s="1192" customFormat="1" ht="14.4" x14ac:dyDescent="0.3">
      <c r="A7782" s="1192" t="s">
        <v>182</v>
      </c>
      <c r="E7782" s="1741" t="s">
        <v>3703</v>
      </c>
      <c r="F7782" s="1741"/>
      <c r="G7782" s="1277" t="s">
        <v>29</v>
      </c>
      <c r="H7782" s="1219">
        <v>2.964</v>
      </c>
      <c r="K7782" s="1192" t="s">
        <v>2608</v>
      </c>
      <c r="L7782" s="1192" t="s">
        <v>432</v>
      </c>
      <c r="P7782" s="1192" t="s">
        <v>2614</v>
      </c>
      <c r="V7782" s="1192">
        <v>94</v>
      </c>
    </row>
    <row r="7783" spans="1:22" s="1192" customFormat="1" ht="14.4" x14ac:dyDescent="0.3">
      <c r="A7783" s="1192" t="s">
        <v>182</v>
      </c>
      <c r="E7783" s="1750" t="s">
        <v>2405</v>
      </c>
      <c r="F7783" s="1741"/>
      <c r="G7783" s="1277"/>
      <c r="H7783" s="896"/>
      <c r="K7783" s="1192" t="s">
        <v>2438</v>
      </c>
      <c r="V7783" s="1192">
        <v>48</v>
      </c>
    </row>
    <row r="7784" spans="1:22" s="1192" customFormat="1" ht="14.4" x14ac:dyDescent="0.3">
      <c r="A7784" s="1192" t="s">
        <v>182</v>
      </c>
      <c r="E7784" s="2007" t="s">
        <v>2033</v>
      </c>
      <c r="F7784" s="2007"/>
      <c r="G7784" s="1273" t="s">
        <v>20</v>
      </c>
      <c r="H7784" s="1219">
        <v>3.0000000000000001E-3</v>
      </c>
      <c r="K7784" s="1192" t="s">
        <v>2608</v>
      </c>
      <c r="L7784" s="1192" t="s">
        <v>2374</v>
      </c>
      <c r="P7784" s="1192" t="s">
        <v>2615</v>
      </c>
      <c r="V7784" s="1192">
        <v>55</v>
      </c>
    </row>
    <row r="7785" spans="1:22" s="1192" customFormat="1" ht="14.4" x14ac:dyDescent="0.3">
      <c r="A7785" s="1192" t="s">
        <v>182</v>
      </c>
      <c r="E7785" s="2007" t="s">
        <v>2034</v>
      </c>
      <c r="F7785" s="2007"/>
      <c r="G7785" s="1273" t="s">
        <v>20</v>
      </c>
      <c r="H7785" s="1219">
        <v>4.0000000000000002E-4</v>
      </c>
      <c r="K7785" s="1192" t="s">
        <v>2608</v>
      </c>
      <c r="L7785" s="1192" t="s">
        <v>2374</v>
      </c>
      <c r="P7785" s="1192" t="s">
        <v>2615</v>
      </c>
      <c r="V7785" s="1192">
        <v>65</v>
      </c>
    </row>
    <row r="7786" spans="1:22" s="1192" customFormat="1" ht="14.4" x14ac:dyDescent="0.3">
      <c r="A7786" s="1192" t="s">
        <v>182</v>
      </c>
      <c r="E7786" s="2007" t="s">
        <v>428</v>
      </c>
      <c r="F7786" s="2007"/>
      <c r="G7786" s="1273" t="s">
        <v>20</v>
      </c>
      <c r="H7786" s="1219">
        <v>5.0000000000000001E-4</v>
      </c>
      <c r="K7786" s="1192" t="s">
        <v>2608</v>
      </c>
      <c r="L7786" s="1192" t="s">
        <v>2374</v>
      </c>
      <c r="P7786" s="1192" t="s">
        <v>2616</v>
      </c>
      <c r="V7786" s="1192">
        <v>57</v>
      </c>
    </row>
    <row r="7787" spans="1:22" s="1192" customFormat="1" ht="14.4" x14ac:dyDescent="0.3">
      <c r="A7787" s="1192" t="s">
        <v>182</v>
      </c>
      <c r="E7787" s="2007" t="s">
        <v>28</v>
      </c>
      <c r="F7787" s="2007"/>
      <c r="G7787" s="1273" t="s">
        <v>19</v>
      </c>
      <c r="H7787" s="1218">
        <v>0.25</v>
      </c>
      <c r="K7787" s="1192" t="s">
        <v>2608</v>
      </c>
      <c r="L7787" s="1192" t="s">
        <v>2374</v>
      </c>
      <c r="P7787" s="1192" t="s">
        <v>2617</v>
      </c>
      <c r="V7787" s="1192">
        <v>63</v>
      </c>
    </row>
    <row r="7788" spans="1:22" s="1192" customFormat="1" ht="17.399999999999999" x14ac:dyDescent="0.3">
      <c r="A7788" s="1192" t="s">
        <v>182</v>
      </c>
      <c r="E7788" s="1746" t="s">
        <v>590</v>
      </c>
      <c r="F7788" s="1747"/>
      <c r="G7788" s="1747"/>
      <c r="H7788" s="1747"/>
      <c r="K7788" s="1192" t="s">
        <v>2746</v>
      </c>
      <c r="V7788" s="1192">
        <v>38</v>
      </c>
    </row>
    <row r="7789" spans="1:22" s="1192" customFormat="1" ht="14.4" x14ac:dyDescent="0.3">
      <c r="A7789" s="1192" t="s">
        <v>182</v>
      </c>
      <c r="E7789" s="1743" t="s">
        <v>3208</v>
      </c>
      <c r="F7789" s="1743"/>
      <c r="G7789" s="1743"/>
      <c r="H7789" s="1743"/>
      <c r="K7789" s="1192" t="s">
        <v>2746</v>
      </c>
      <c r="V7789" s="1192">
        <v>473</v>
      </c>
    </row>
    <row r="7790" spans="1:22" s="1192" customFormat="1" ht="14.4" x14ac:dyDescent="0.3">
      <c r="A7790" s="1192" t="s">
        <v>182</v>
      </c>
      <c r="E7790" s="1750" t="s">
        <v>2389</v>
      </c>
      <c r="F7790" s="1743"/>
      <c r="G7790" s="1743"/>
      <c r="H7790" s="1743"/>
      <c r="K7790" s="1192" t="s">
        <v>2444</v>
      </c>
      <c r="V7790" s="1192">
        <v>11</v>
      </c>
    </row>
    <row r="7791" spans="1:22" s="1192" customFormat="1" ht="14.4" x14ac:dyDescent="0.3">
      <c r="A7791" s="1192" t="s">
        <v>182</v>
      </c>
      <c r="E7791" s="1743" t="s">
        <v>2391</v>
      </c>
      <c r="F7791" s="1743"/>
      <c r="G7791" s="1743"/>
      <c r="H7791" s="1743"/>
      <c r="K7791" s="1192" t="s">
        <v>2746</v>
      </c>
      <c r="V7791" s="1192">
        <v>280</v>
      </c>
    </row>
    <row r="7792" spans="1:22" s="1192" customFormat="1" ht="14.4" x14ac:dyDescent="0.3">
      <c r="A7792" s="1192" t="s">
        <v>182</v>
      </c>
      <c r="E7792" s="1743" t="s">
        <v>2392</v>
      </c>
      <c r="F7792" s="1743"/>
      <c r="G7792" s="1743"/>
      <c r="H7792" s="1743"/>
      <c r="K7792" s="1192" t="s">
        <v>2746</v>
      </c>
      <c r="V7792" s="1192">
        <v>411</v>
      </c>
    </row>
    <row r="7793" spans="1:22" s="1192" customFormat="1" ht="14.4" x14ac:dyDescent="0.3">
      <c r="A7793" s="1192" t="s">
        <v>182</v>
      </c>
      <c r="E7793" s="1743" t="s">
        <v>2508</v>
      </c>
      <c r="F7793" s="1743"/>
      <c r="G7793" s="1743"/>
      <c r="H7793" s="1743"/>
      <c r="K7793" s="1192" t="s">
        <v>2746</v>
      </c>
      <c r="V7793" s="1192">
        <v>386</v>
      </c>
    </row>
    <row r="7794" spans="1:22" s="1192" customFormat="1" ht="14.4" x14ac:dyDescent="0.3">
      <c r="A7794" s="1192" t="s">
        <v>182</v>
      </c>
      <c r="E7794" s="1743" t="s">
        <v>4500</v>
      </c>
      <c r="F7794" s="1743"/>
      <c r="G7794" s="1743"/>
      <c r="H7794" s="1743"/>
      <c r="K7794" s="1192" t="s">
        <v>2746</v>
      </c>
      <c r="V7794" s="1192">
        <v>247</v>
      </c>
    </row>
    <row r="7795" spans="1:22" s="1192" customFormat="1" ht="14.4" x14ac:dyDescent="0.3">
      <c r="A7795" s="1192" t="s">
        <v>182</v>
      </c>
      <c r="E7795" s="1750" t="s">
        <v>2394</v>
      </c>
      <c r="F7795" s="1743"/>
      <c r="G7795" s="1743"/>
      <c r="H7795" s="1743"/>
      <c r="K7795" s="1192" t="s">
        <v>2446</v>
      </c>
      <c r="V7795" s="1192">
        <v>46</v>
      </c>
    </row>
    <row r="7796" spans="1:22" s="1192" customFormat="1" ht="14.4" x14ac:dyDescent="0.3">
      <c r="A7796" s="1192" t="s">
        <v>182</v>
      </c>
      <c r="E7796" s="1741" t="s">
        <v>8</v>
      </c>
      <c r="F7796" s="1741"/>
      <c r="G7796" s="1277" t="s">
        <v>19</v>
      </c>
      <c r="H7796" s="1218">
        <v>1.71</v>
      </c>
      <c r="K7796" s="1192" t="s">
        <v>2746</v>
      </c>
      <c r="L7796" s="1192" t="s">
        <v>430</v>
      </c>
      <c r="P7796" s="1192" t="s">
        <v>2747</v>
      </c>
      <c r="V7796" s="1192">
        <v>31</v>
      </c>
    </row>
    <row r="7797" spans="1:22" s="1192" customFormat="1" ht="14.4" x14ac:dyDescent="0.3">
      <c r="A7797" s="1192" t="s">
        <v>182</v>
      </c>
      <c r="E7797" s="1741" t="s">
        <v>4226</v>
      </c>
      <c r="F7797" s="1741"/>
      <c r="G7797" s="1277" t="s">
        <v>19</v>
      </c>
      <c r="H7797" s="1218">
        <v>0.02</v>
      </c>
      <c r="K7797" s="1192" t="s">
        <v>2746</v>
      </c>
      <c r="L7797" s="1192" t="s">
        <v>430</v>
      </c>
      <c r="P7797" s="1192" t="s">
        <v>6951</v>
      </c>
      <c r="V7797" s="1192">
        <v>146</v>
      </c>
    </row>
    <row r="7798" spans="1:22" s="1192" customFormat="1" ht="14.4" x14ac:dyDescent="0.3">
      <c r="A7798" s="1192" t="s">
        <v>182</v>
      </c>
      <c r="E7798" s="1741" t="s">
        <v>80</v>
      </c>
      <c r="F7798" s="1741"/>
      <c r="G7798" s="1277" t="s">
        <v>29</v>
      </c>
      <c r="H7798" s="1219">
        <v>8.5357000000000003</v>
      </c>
      <c r="K7798" s="1192" t="s">
        <v>2746</v>
      </c>
      <c r="L7798" s="1192" t="s">
        <v>430</v>
      </c>
      <c r="P7798" s="1192" t="s">
        <v>2748</v>
      </c>
      <c r="V7798" s="1192">
        <v>28</v>
      </c>
    </row>
    <row r="7799" spans="1:22" s="1192" customFormat="1" ht="14.4" x14ac:dyDescent="0.3">
      <c r="A7799" s="1192" t="s">
        <v>182</v>
      </c>
      <c r="E7799" s="1741" t="s">
        <v>4226</v>
      </c>
      <c r="F7799" s="1741"/>
      <c r="G7799" s="1277" t="s">
        <v>29</v>
      </c>
      <c r="H7799" s="1219">
        <v>0.1048</v>
      </c>
      <c r="K7799" s="1192" t="s">
        <v>2746</v>
      </c>
      <c r="L7799" s="1192" t="s">
        <v>430</v>
      </c>
      <c r="P7799" s="1192" t="s">
        <v>6952</v>
      </c>
      <c r="V7799" s="1192">
        <v>146</v>
      </c>
    </row>
    <row r="7800" spans="1:22" s="1192" customFormat="1" ht="14.4" x14ac:dyDescent="0.3">
      <c r="A7800" s="1192" t="s">
        <v>182</v>
      </c>
      <c r="E7800" s="1741" t="s">
        <v>4703</v>
      </c>
      <c r="F7800" s="1741"/>
      <c r="G7800" s="1277" t="s">
        <v>29</v>
      </c>
      <c r="H7800" s="1219">
        <v>0.57840000000000003</v>
      </c>
      <c r="K7800" s="1192" t="s">
        <v>2746</v>
      </c>
      <c r="L7800" s="1192" t="s">
        <v>430</v>
      </c>
      <c r="P7800" s="1192" t="s">
        <v>6953</v>
      </c>
      <c r="T7800" s="1192">
        <v>44135</v>
      </c>
      <c r="V7800" s="1192">
        <v>89</v>
      </c>
    </row>
    <row r="7801" spans="1:22" s="1192" customFormat="1" ht="14.4" x14ac:dyDescent="0.3">
      <c r="A7801" s="1192" t="s">
        <v>182</v>
      </c>
      <c r="E7801" s="1741" t="s">
        <v>213</v>
      </c>
      <c r="F7801" s="1741"/>
      <c r="G7801" s="1277" t="s">
        <v>29</v>
      </c>
      <c r="H7801" s="1219">
        <v>2.1457000000000002</v>
      </c>
      <c r="K7801" s="1192" t="s">
        <v>2746</v>
      </c>
      <c r="L7801" s="1192" t="s">
        <v>432</v>
      </c>
      <c r="P7801" s="1192" t="s">
        <v>2751</v>
      </c>
      <c r="V7801" s="1192">
        <v>47</v>
      </c>
    </row>
    <row r="7802" spans="1:22" s="1192" customFormat="1" ht="14.4" x14ac:dyDescent="0.3">
      <c r="A7802" s="1192" t="s">
        <v>182</v>
      </c>
      <c r="E7802" s="1741" t="s">
        <v>2847</v>
      </c>
      <c r="F7802" s="1741"/>
      <c r="G7802" s="1277" t="s">
        <v>29</v>
      </c>
      <c r="H7802" s="1219">
        <v>1.8729</v>
      </c>
      <c r="K7802" s="1192" t="s">
        <v>2746</v>
      </c>
      <c r="L7802" s="1192" t="s">
        <v>432</v>
      </c>
      <c r="P7802" s="1192" t="s">
        <v>2752</v>
      </c>
      <c r="V7802" s="1192">
        <v>75</v>
      </c>
    </row>
    <row r="7803" spans="1:22" s="1192" customFormat="1" ht="14.4" x14ac:dyDescent="0.3">
      <c r="A7803" s="1192" t="s">
        <v>182</v>
      </c>
      <c r="E7803" s="1750" t="s">
        <v>2405</v>
      </c>
      <c r="F7803" s="1741"/>
      <c r="G7803" s="1277"/>
      <c r="H7803" s="896"/>
      <c r="K7803" s="1192" t="s">
        <v>2565</v>
      </c>
      <c r="V7803" s="1192">
        <v>48</v>
      </c>
    </row>
    <row r="7804" spans="1:22" s="1192" customFormat="1" ht="14.4" x14ac:dyDescent="0.3">
      <c r="A7804" s="1192" t="s">
        <v>182</v>
      </c>
      <c r="E7804" s="2007" t="s">
        <v>2033</v>
      </c>
      <c r="F7804" s="2007"/>
      <c r="G7804" s="1273" t="s">
        <v>20</v>
      </c>
      <c r="H7804" s="1219">
        <v>3.0000000000000001E-3</v>
      </c>
      <c r="K7804" s="1192" t="s">
        <v>2746</v>
      </c>
      <c r="L7804" s="1192" t="s">
        <v>2374</v>
      </c>
      <c r="P7804" s="1192" t="s">
        <v>2753</v>
      </c>
      <c r="V7804" s="1192">
        <v>55</v>
      </c>
    </row>
    <row r="7805" spans="1:22" s="1192" customFormat="1" ht="14.4" x14ac:dyDescent="0.3">
      <c r="A7805" s="1192" t="s">
        <v>182</v>
      </c>
      <c r="E7805" s="2007" t="s">
        <v>2034</v>
      </c>
      <c r="F7805" s="2007"/>
      <c r="G7805" s="1273" t="s">
        <v>20</v>
      </c>
      <c r="H7805" s="1219">
        <v>4.0000000000000002E-4</v>
      </c>
      <c r="K7805" s="1192" t="s">
        <v>2746</v>
      </c>
      <c r="L7805" s="1192" t="s">
        <v>2374</v>
      </c>
      <c r="P7805" s="1192" t="s">
        <v>2753</v>
      </c>
      <c r="V7805" s="1192">
        <v>65</v>
      </c>
    </row>
    <row r="7806" spans="1:22" s="1192" customFormat="1" ht="14.4" x14ac:dyDescent="0.3">
      <c r="A7806" s="1192" t="s">
        <v>182</v>
      </c>
      <c r="E7806" s="2007" t="s">
        <v>428</v>
      </c>
      <c r="F7806" s="2007"/>
      <c r="G7806" s="1273" t="s">
        <v>20</v>
      </c>
      <c r="H7806" s="1219">
        <v>5.0000000000000001E-4</v>
      </c>
      <c r="K7806" s="1192" t="s">
        <v>2746</v>
      </c>
      <c r="L7806" s="1192" t="s">
        <v>2374</v>
      </c>
      <c r="P7806" s="1192" t="s">
        <v>2754</v>
      </c>
      <c r="V7806" s="1192">
        <v>57</v>
      </c>
    </row>
    <row r="7807" spans="1:22" s="1192" customFormat="1" ht="14.4" x14ac:dyDescent="0.3">
      <c r="A7807" s="1192" t="s">
        <v>182</v>
      </c>
      <c r="E7807" s="2007" t="s">
        <v>28</v>
      </c>
      <c r="F7807" s="2007"/>
      <c r="G7807" s="1273" t="s">
        <v>19</v>
      </c>
      <c r="H7807" s="1218">
        <v>0.25</v>
      </c>
      <c r="K7807" s="1192" t="s">
        <v>2746</v>
      </c>
      <c r="L7807" s="1192" t="s">
        <v>2374</v>
      </c>
      <c r="P7807" s="1192" t="s">
        <v>2755</v>
      </c>
      <c r="V7807" s="1192">
        <v>63</v>
      </c>
    </row>
    <row r="7808" spans="1:22" s="1192" customFormat="1" ht="17.399999999999999" x14ac:dyDescent="0.3">
      <c r="A7808" s="1192" t="s">
        <v>182</v>
      </c>
      <c r="E7808" s="1746" t="s">
        <v>604</v>
      </c>
      <c r="F7808" s="1747"/>
      <c r="G7808" s="1747"/>
      <c r="H7808" s="1747"/>
      <c r="K7808" s="1192" t="s">
        <v>2953</v>
      </c>
      <c r="V7808" s="1192">
        <v>40</v>
      </c>
    </row>
    <row r="7809" spans="1:22" s="1192" customFormat="1" ht="14.4" x14ac:dyDescent="0.3">
      <c r="A7809" s="1192" t="s">
        <v>182</v>
      </c>
      <c r="E7809" s="1743" t="s">
        <v>3209</v>
      </c>
      <c r="F7809" s="1743"/>
      <c r="G7809" s="1743"/>
      <c r="H7809" s="1743"/>
      <c r="K7809" s="1192" t="s">
        <v>2953</v>
      </c>
      <c r="V7809" s="1192">
        <v>185</v>
      </c>
    </row>
    <row r="7810" spans="1:22" s="1192" customFormat="1" ht="14.4" x14ac:dyDescent="0.3">
      <c r="A7810" s="1192" t="s">
        <v>182</v>
      </c>
      <c r="E7810" s="1750" t="s">
        <v>2389</v>
      </c>
      <c r="F7810" s="1743"/>
      <c r="G7810" s="1743"/>
      <c r="H7810" s="1743"/>
      <c r="K7810" s="1192" t="s">
        <v>2571</v>
      </c>
      <c r="V7810" s="1192">
        <v>11</v>
      </c>
    </row>
    <row r="7811" spans="1:22" s="1192" customFormat="1" ht="14.4" x14ac:dyDescent="0.3">
      <c r="A7811" s="1192" t="s">
        <v>182</v>
      </c>
      <c r="E7811" s="1743" t="s">
        <v>2391</v>
      </c>
      <c r="F7811" s="1743"/>
      <c r="G7811" s="1743"/>
      <c r="H7811" s="1743"/>
      <c r="K7811" s="1192" t="s">
        <v>2953</v>
      </c>
      <c r="V7811" s="1192">
        <v>280</v>
      </c>
    </row>
    <row r="7812" spans="1:22" s="1192" customFormat="1" ht="14.4" x14ac:dyDescent="0.3">
      <c r="A7812" s="1192" t="s">
        <v>182</v>
      </c>
      <c r="E7812" s="1743" t="s">
        <v>2392</v>
      </c>
      <c r="F7812" s="1743"/>
      <c r="G7812" s="1743"/>
      <c r="H7812" s="1743"/>
      <c r="K7812" s="1192" t="s">
        <v>2953</v>
      </c>
      <c r="V7812" s="1192">
        <v>411</v>
      </c>
    </row>
    <row r="7813" spans="1:22" s="1192" customFormat="1" ht="14.4" x14ac:dyDescent="0.3">
      <c r="A7813" s="1192" t="s">
        <v>182</v>
      </c>
      <c r="E7813" s="1743" t="s">
        <v>2508</v>
      </c>
      <c r="F7813" s="1743"/>
      <c r="G7813" s="1743"/>
      <c r="H7813" s="1743"/>
      <c r="K7813" s="1192" t="s">
        <v>2953</v>
      </c>
      <c r="V7813" s="1192">
        <v>386</v>
      </c>
    </row>
    <row r="7814" spans="1:22" s="1192" customFormat="1" ht="14.4" x14ac:dyDescent="0.3">
      <c r="A7814" s="1192" t="s">
        <v>182</v>
      </c>
      <c r="E7814" s="1743" t="s">
        <v>4500</v>
      </c>
      <c r="F7814" s="1743"/>
      <c r="G7814" s="1743"/>
      <c r="H7814" s="1743"/>
      <c r="K7814" s="1192" t="s">
        <v>2953</v>
      </c>
      <c r="V7814" s="1192">
        <v>247</v>
      </c>
    </row>
    <row r="7815" spans="1:22" s="1192" customFormat="1" ht="14.4" x14ac:dyDescent="0.3">
      <c r="A7815" s="1192" t="s">
        <v>182</v>
      </c>
      <c r="E7815" s="1750" t="s">
        <v>2394</v>
      </c>
      <c r="F7815" s="1743"/>
      <c r="G7815" s="1743"/>
      <c r="H7815" s="1743"/>
      <c r="K7815" s="1192" t="s">
        <v>2572</v>
      </c>
      <c r="V7815" s="1192">
        <v>46</v>
      </c>
    </row>
    <row r="7816" spans="1:22" s="1192" customFormat="1" ht="14.4" x14ac:dyDescent="0.3">
      <c r="A7816" s="1192" t="s">
        <v>182</v>
      </c>
      <c r="E7816" s="1741" t="s">
        <v>8</v>
      </c>
      <c r="F7816" s="1741"/>
      <c r="G7816" s="1277" t="s">
        <v>19</v>
      </c>
      <c r="H7816" s="1218">
        <v>4.8099999999999996</v>
      </c>
      <c r="K7816" s="1192" t="s">
        <v>2953</v>
      </c>
      <c r="L7816" s="1192" t="s">
        <v>430</v>
      </c>
      <c r="P7816" s="1192" t="s">
        <v>2955</v>
      </c>
      <c r="V7816" s="1192">
        <v>31</v>
      </c>
    </row>
    <row r="7817" spans="1:22" s="1192" customFormat="1" ht="14.4" x14ac:dyDescent="0.3">
      <c r="A7817" s="1192" t="s">
        <v>182</v>
      </c>
      <c r="E7817" s="1741" t="s">
        <v>4226</v>
      </c>
      <c r="F7817" s="1741"/>
      <c r="G7817" s="1277" t="s">
        <v>19</v>
      </c>
      <c r="H7817" s="1218">
        <v>0.06</v>
      </c>
      <c r="K7817" s="1192" t="s">
        <v>2953</v>
      </c>
      <c r="L7817" s="1192" t="s">
        <v>430</v>
      </c>
      <c r="P7817" s="1192" t="s">
        <v>6954</v>
      </c>
      <c r="V7817" s="1192">
        <v>146</v>
      </c>
    </row>
    <row r="7818" spans="1:22" s="1192" customFormat="1" ht="14.4" x14ac:dyDescent="0.3">
      <c r="A7818" s="1192" t="s">
        <v>182</v>
      </c>
      <c r="E7818" s="1741" t="s">
        <v>80</v>
      </c>
      <c r="F7818" s="1741"/>
      <c r="G7818" s="1277" t="s">
        <v>29</v>
      </c>
      <c r="H7818" s="1219">
        <v>15.826499999999999</v>
      </c>
      <c r="K7818" s="1192" t="s">
        <v>2953</v>
      </c>
      <c r="L7818" s="1192" t="s">
        <v>430</v>
      </c>
      <c r="P7818" s="1192" t="s">
        <v>2956</v>
      </c>
      <c r="V7818" s="1192">
        <v>28</v>
      </c>
    </row>
    <row r="7819" spans="1:22" s="1192" customFormat="1" ht="14.4" x14ac:dyDescent="0.3">
      <c r="A7819" s="1192" t="s">
        <v>182</v>
      </c>
      <c r="E7819" s="1741" t="s">
        <v>4226</v>
      </c>
      <c r="F7819" s="1741"/>
      <c r="G7819" s="1277" t="s">
        <v>29</v>
      </c>
      <c r="H7819" s="1219">
        <v>0.1943</v>
      </c>
      <c r="K7819" s="1192" t="s">
        <v>2953</v>
      </c>
      <c r="L7819" s="1192" t="s">
        <v>430</v>
      </c>
      <c r="P7819" s="1192" t="s">
        <v>6955</v>
      </c>
      <c r="V7819" s="1192">
        <v>146</v>
      </c>
    </row>
    <row r="7820" spans="1:22" s="1192" customFormat="1" ht="14.4" x14ac:dyDescent="0.3">
      <c r="A7820" s="1192" t="s">
        <v>182</v>
      </c>
      <c r="E7820" s="1741" t="s">
        <v>4703</v>
      </c>
      <c r="F7820" s="1741"/>
      <c r="G7820" s="1277" t="s">
        <v>29</v>
      </c>
      <c r="H7820" s="1219">
        <v>0.5978</v>
      </c>
      <c r="K7820" s="1192" t="s">
        <v>2953</v>
      </c>
      <c r="L7820" s="1192" t="s">
        <v>430</v>
      </c>
      <c r="P7820" s="1192" t="s">
        <v>6956</v>
      </c>
      <c r="T7820" s="1192">
        <v>44135</v>
      </c>
      <c r="V7820" s="1192">
        <v>89</v>
      </c>
    </row>
    <row r="7821" spans="1:22" s="1192" customFormat="1" ht="14.4" x14ac:dyDescent="0.3">
      <c r="A7821" s="1192" t="s">
        <v>182</v>
      </c>
      <c r="E7821" s="1741" t="s">
        <v>213</v>
      </c>
      <c r="F7821" s="1741"/>
      <c r="G7821" s="1277" t="s">
        <v>29</v>
      </c>
      <c r="H7821" s="1219">
        <v>2.1484999999999999</v>
      </c>
      <c r="K7821" s="1192" t="s">
        <v>2953</v>
      </c>
      <c r="L7821" s="1192" t="s">
        <v>432</v>
      </c>
      <c r="P7821" s="1192" t="s">
        <v>2959</v>
      </c>
      <c r="V7821" s="1192">
        <v>47</v>
      </c>
    </row>
    <row r="7822" spans="1:22" s="1192" customFormat="1" ht="14.4" x14ac:dyDescent="0.3">
      <c r="A7822" s="1192" t="s">
        <v>182</v>
      </c>
      <c r="E7822" s="1741" t="s">
        <v>209</v>
      </c>
      <c r="F7822" s="1741"/>
      <c r="G7822" s="1277" t="s">
        <v>29</v>
      </c>
      <c r="H7822" s="1219">
        <v>1.8754999999999999</v>
      </c>
      <c r="K7822" s="1192" t="s">
        <v>2953</v>
      </c>
      <c r="L7822" s="1192" t="s">
        <v>432</v>
      </c>
      <c r="P7822" s="1192" t="s">
        <v>2960</v>
      </c>
      <c r="V7822" s="1192">
        <v>74</v>
      </c>
    </row>
    <row r="7823" spans="1:22" s="1192" customFormat="1" ht="14.4" x14ac:dyDescent="0.3">
      <c r="A7823" s="1192" t="s">
        <v>182</v>
      </c>
      <c r="E7823" s="1750" t="s">
        <v>2405</v>
      </c>
      <c r="F7823" s="1741"/>
      <c r="G7823" s="1277"/>
      <c r="H7823" s="896"/>
      <c r="K7823" s="1192" t="s">
        <v>2581</v>
      </c>
      <c r="V7823" s="1192">
        <v>48</v>
      </c>
    </row>
    <row r="7824" spans="1:22" s="1192" customFormat="1" ht="14.4" x14ac:dyDescent="0.3">
      <c r="A7824" s="1192" t="s">
        <v>182</v>
      </c>
      <c r="E7824" s="2007" t="s">
        <v>2033</v>
      </c>
      <c r="F7824" s="2007"/>
      <c r="G7824" s="1273" t="s">
        <v>20</v>
      </c>
      <c r="H7824" s="1219">
        <v>3.0000000000000001E-3</v>
      </c>
      <c r="K7824" s="1192" t="s">
        <v>2953</v>
      </c>
      <c r="L7824" s="1192" t="s">
        <v>2374</v>
      </c>
      <c r="P7824" s="1192" t="s">
        <v>2961</v>
      </c>
      <c r="V7824" s="1192">
        <v>55</v>
      </c>
    </row>
    <row r="7825" spans="1:22" s="1192" customFormat="1" ht="14.4" x14ac:dyDescent="0.3">
      <c r="A7825" s="1192" t="s">
        <v>182</v>
      </c>
      <c r="E7825" s="2007" t="s">
        <v>2034</v>
      </c>
      <c r="F7825" s="2007"/>
      <c r="G7825" s="1273" t="s">
        <v>20</v>
      </c>
      <c r="H7825" s="1219">
        <v>4.0000000000000002E-4</v>
      </c>
      <c r="K7825" s="1192" t="s">
        <v>2953</v>
      </c>
      <c r="L7825" s="1192" t="s">
        <v>2374</v>
      </c>
      <c r="P7825" s="1192" t="s">
        <v>2961</v>
      </c>
      <c r="V7825" s="1192">
        <v>65</v>
      </c>
    </row>
    <row r="7826" spans="1:22" s="1192" customFormat="1" ht="14.4" x14ac:dyDescent="0.3">
      <c r="A7826" s="1192" t="s">
        <v>182</v>
      </c>
      <c r="E7826" s="2007" t="s">
        <v>428</v>
      </c>
      <c r="F7826" s="2007"/>
      <c r="G7826" s="1273" t="s">
        <v>20</v>
      </c>
      <c r="H7826" s="1219">
        <v>5.0000000000000001E-4</v>
      </c>
      <c r="K7826" s="1192" t="s">
        <v>2953</v>
      </c>
      <c r="L7826" s="1192" t="s">
        <v>2374</v>
      </c>
      <c r="P7826" s="1192" t="s">
        <v>2962</v>
      </c>
      <c r="V7826" s="1192">
        <v>57</v>
      </c>
    </row>
    <row r="7827" spans="1:22" s="1192" customFormat="1" ht="14.4" x14ac:dyDescent="0.3">
      <c r="A7827" s="1192" t="s">
        <v>182</v>
      </c>
      <c r="E7827" s="2007" t="s">
        <v>28</v>
      </c>
      <c r="F7827" s="2007"/>
      <c r="G7827" s="1273" t="s">
        <v>19</v>
      </c>
      <c r="H7827" s="1218">
        <v>0.25</v>
      </c>
      <c r="K7827" s="1192" t="s">
        <v>2953</v>
      </c>
      <c r="L7827" s="1192" t="s">
        <v>2374</v>
      </c>
      <c r="P7827" s="1192" t="s">
        <v>2963</v>
      </c>
      <c r="V7827" s="1192">
        <v>63</v>
      </c>
    </row>
    <row r="7828" spans="1:22" s="1192" customFormat="1" ht="17.399999999999999" x14ac:dyDescent="0.3">
      <c r="A7828" s="1192" t="s">
        <v>182</v>
      </c>
      <c r="E7828" s="1746" t="s">
        <v>592</v>
      </c>
      <c r="F7828" s="1747"/>
      <c r="G7828" s="1747"/>
      <c r="H7828" s="1747"/>
      <c r="K7828" s="1192" t="s">
        <v>6957</v>
      </c>
      <c r="V7828" s="1192">
        <v>47</v>
      </c>
    </row>
    <row r="7829" spans="1:22" s="1192" customFormat="1" ht="14.4" x14ac:dyDescent="0.3">
      <c r="A7829" s="1192" t="s">
        <v>182</v>
      </c>
      <c r="E7829" s="1743" t="s">
        <v>3210</v>
      </c>
      <c r="F7829" s="1743"/>
      <c r="G7829" s="1743"/>
      <c r="H7829" s="1743"/>
      <c r="K7829" s="1192" t="s">
        <v>6957</v>
      </c>
      <c r="V7829" s="1192">
        <v>716</v>
      </c>
    </row>
    <row r="7830" spans="1:22" s="1192" customFormat="1" ht="14.4" x14ac:dyDescent="0.3">
      <c r="A7830" s="1192" t="s">
        <v>182</v>
      </c>
      <c r="E7830" s="1750" t="s">
        <v>2389</v>
      </c>
      <c r="F7830" s="1743"/>
      <c r="G7830" s="1743"/>
      <c r="H7830" s="1743"/>
      <c r="K7830" s="1192" t="s">
        <v>2586</v>
      </c>
      <c r="V7830" s="1192">
        <v>11</v>
      </c>
    </row>
    <row r="7831" spans="1:22" s="1192" customFormat="1" ht="14.4" x14ac:dyDescent="0.3">
      <c r="A7831" s="1192" t="s">
        <v>182</v>
      </c>
      <c r="E7831" s="1743" t="s">
        <v>2391</v>
      </c>
      <c r="F7831" s="1743"/>
      <c r="G7831" s="1743"/>
      <c r="H7831" s="1743"/>
      <c r="K7831" s="1192" t="s">
        <v>6957</v>
      </c>
      <c r="V7831" s="1192">
        <v>280</v>
      </c>
    </row>
    <row r="7832" spans="1:22" s="1192" customFormat="1" ht="14.4" x14ac:dyDescent="0.3">
      <c r="A7832" s="1192" t="s">
        <v>182</v>
      </c>
      <c r="E7832" s="1743" t="s">
        <v>2392</v>
      </c>
      <c r="F7832" s="1743"/>
      <c r="G7832" s="1743"/>
      <c r="H7832" s="1743"/>
      <c r="K7832" s="1192" t="s">
        <v>6957</v>
      </c>
      <c r="V7832" s="1192">
        <v>411</v>
      </c>
    </row>
    <row r="7833" spans="1:22" s="1192" customFormat="1" ht="14.4" x14ac:dyDescent="0.3">
      <c r="A7833" s="1192" t="s">
        <v>182</v>
      </c>
      <c r="E7833" s="1743" t="s">
        <v>2508</v>
      </c>
      <c r="F7833" s="1743"/>
      <c r="G7833" s="1743"/>
      <c r="H7833" s="1743"/>
      <c r="K7833" s="1192" t="s">
        <v>6957</v>
      </c>
      <c r="V7833" s="1192">
        <v>386</v>
      </c>
    </row>
    <row r="7834" spans="1:22" s="1192" customFormat="1" ht="14.4" x14ac:dyDescent="0.3">
      <c r="A7834" s="1192" t="s">
        <v>182</v>
      </c>
      <c r="E7834" s="1743" t="s">
        <v>4500</v>
      </c>
      <c r="F7834" s="1743"/>
      <c r="G7834" s="1743"/>
      <c r="H7834" s="1743"/>
      <c r="K7834" s="1192" t="s">
        <v>6957</v>
      </c>
      <c r="V7834" s="1192">
        <v>247</v>
      </c>
    </row>
    <row r="7835" spans="1:22" s="1192" customFormat="1" ht="14.4" x14ac:dyDescent="0.3">
      <c r="A7835" s="1192" t="s">
        <v>182</v>
      </c>
      <c r="E7835" s="1750" t="s">
        <v>2394</v>
      </c>
      <c r="F7835" s="1743"/>
      <c r="G7835" s="1743"/>
      <c r="H7835" s="1743"/>
      <c r="K7835" s="1192" t="s">
        <v>2587</v>
      </c>
      <c r="V7835" s="1192">
        <v>46</v>
      </c>
    </row>
    <row r="7836" spans="1:22" s="1192" customFormat="1" ht="14.4" x14ac:dyDescent="0.3">
      <c r="A7836" s="1192" t="s">
        <v>182</v>
      </c>
      <c r="E7836" s="1741" t="s">
        <v>8</v>
      </c>
      <c r="F7836" s="1741"/>
      <c r="G7836" s="1277" t="s">
        <v>19</v>
      </c>
      <c r="H7836" s="1218">
        <v>2.41</v>
      </c>
      <c r="K7836" s="1192" t="s">
        <v>6957</v>
      </c>
      <c r="L7836" s="1192" t="s">
        <v>430</v>
      </c>
      <c r="P7836" s="1192" t="s">
        <v>6958</v>
      </c>
      <c r="V7836" s="1192">
        <v>31</v>
      </c>
    </row>
    <row r="7837" spans="1:22" s="1192" customFormat="1" ht="14.4" x14ac:dyDescent="0.3">
      <c r="A7837" s="1192" t="s">
        <v>182</v>
      </c>
      <c r="E7837" s="1741" t="s">
        <v>4226</v>
      </c>
      <c r="F7837" s="1741"/>
      <c r="G7837" s="1277" t="s">
        <v>19</v>
      </c>
      <c r="H7837" s="1218">
        <v>0.03</v>
      </c>
      <c r="K7837" s="1192" t="s">
        <v>6957</v>
      </c>
      <c r="L7837" s="1192" t="s">
        <v>430</v>
      </c>
      <c r="P7837" s="1192" t="s">
        <v>6959</v>
      </c>
      <c r="V7837" s="1192">
        <v>146</v>
      </c>
    </row>
    <row r="7838" spans="1:22" s="1192" customFormat="1" ht="14.4" x14ac:dyDescent="0.3">
      <c r="A7838" s="1192" t="s">
        <v>182</v>
      </c>
      <c r="E7838" s="1741" t="s">
        <v>80</v>
      </c>
      <c r="F7838" s="1741"/>
      <c r="G7838" s="1277" t="s">
        <v>20</v>
      </c>
      <c r="H7838" s="1219">
        <v>2.07E-2</v>
      </c>
      <c r="K7838" s="1192" t="s">
        <v>6957</v>
      </c>
      <c r="L7838" s="1192" t="s">
        <v>430</v>
      </c>
      <c r="P7838" s="1192" t="s">
        <v>6960</v>
      </c>
      <c r="V7838" s="1192">
        <v>28</v>
      </c>
    </row>
    <row r="7839" spans="1:22" s="1192" customFormat="1" ht="14.4" x14ac:dyDescent="0.3">
      <c r="A7839" s="1192" t="s">
        <v>182</v>
      </c>
      <c r="E7839" s="1741" t="s">
        <v>4226</v>
      </c>
      <c r="F7839" s="1741"/>
      <c r="G7839" s="1277" t="s">
        <v>20</v>
      </c>
      <c r="H7839" s="1219">
        <v>2.9999999999999997E-4</v>
      </c>
      <c r="K7839" s="1192" t="s">
        <v>6957</v>
      </c>
      <c r="L7839" s="1192" t="s">
        <v>430</v>
      </c>
      <c r="P7839" s="1192" t="s">
        <v>6961</v>
      </c>
      <c r="V7839" s="1192">
        <v>146</v>
      </c>
    </row>
    <row r="7840" spans="1:22" s="1192" customFormat="1" ht="14.4" x14ac:dyDescent="0.3">
      <c r="A7840" s="1192" t="s">
        <v>182</v>
      </c>
      <c r="E7840" s="1741" t="s">
        <v>4703</v>
      </c>
      <c r="F7840" s="1741"/>
      <c r="G7840" s="1277" t="s">
        <v>20</v>
      </c>
      <c r="H7840" s="1219">
        <v>1.6000000000000001E-3</v>
      </c>
      <c r="K7840" s="1192" t="s">
        <v>6957</v>
      </c>
      <c r="L7840" s="1192" t="s">
        <v>430</v>
      </c>
      <c r="P7840" s="1192" t="s">
        <v>6962</v>
      </c>
      <c r="T7840" s="1192">
        <v>44135</v>
      </c>
      <c r="V7840" s="1192">
        <v>89</v>
      </c>
    </row>
    <row r="7841" spans="1:22" s="1192" customFormat="1" ht="14.4" x14ac:dyDescent="0.3">
      <c r="A7841" s="1192" t="s">
        <v>182</v>
      </c>
      <c r="E7841" s="1741" t="s">
        <v>213</v>
      </c>
      <c r="F7841" s="1741"/>
      <c r="G7841" s="1277" t="s">
        <v>20</v>
      </c>
      <c r="H7841" s="1219">
        <v>7.0000000000000001E-3</v>
      </c>
      <c r="K7841" s="1192" t="s">
        <v>6957</v>
      </c>
      <c r="L7841" s="1192" t="s">
        <v>432</v>
      </c>
      <c r="P7841" s="1192" t="s">
        <v>6963</v>
      </c>
      <c r="V7841" s="1192">
        <v>47</v>
      </c>
    </row>
    <row r="7842" spans="1:22" s="1192" customFormat="1" ht="14.4" x14ac:dyDescent="0.3">
      <c r="A7842" s="1192" t="s">
        <v>182</v>
      </c>
      <c r="E7842" s="1741" t="s">
        <v>209</v>
      </c>
      <c r="F7842" s="1741"/>
      <c r="G7842" s="1277" t="s">
        <v>20</v>
      </c>
      <c r="H7842" s="1219">
        <v>5.7999999999999996E-3</v>
      </c>
      <c r="K7842" s="1192" t="s">
        <v>6957</v>
      </c>
      <c r="L7842" s="1192" t="s">
        <v>432</v>
      </c>
      <c r="P7842" s="1192" t="s">
        <v>6964</v>
      </c>
      <c r="V7842" s="1192">
        <v>74</v>
      </c>
    </row>
    <row r="7843" spans="1:22" s="1192" customFormat="1" ht="14.4" x14ac:dyDescent="0.3">
      <c r="A7843" s="1192" t="s">
        <v>182</v>
      </c>
      <c r="E7843" s="1750" t="s">
        <v>2405</v>
      </c>
      <c r="F7843" s="1741"/>
      <c r="G7843" s="1277"/>
      <c r="H7843" s="896"/>
      <c r="K7843" s="1192" t="s">
        <v>2657</v>
      </c>
      <c r="V7843" s="1192">
        <v>48</v>
      </c>
    </row>
    <row r="7844" spans="1:22" s="1192" customFormat="1" ht="14.4" x14ac:dyDescent="0.3">
      <c r="A7844" s="1192" t="s">
        <v>182</v>
      </c>
      <c r="E7844" s="2007" t="s">
        <v>2033</v>
      </c>
      <c r="F7844" s="2007"/>
      <c r="G7844" s="1273" t="s">
        <v>20</v>
      </c>
      <c r="H7844" s="1219">
        <v>3.0000000000000001E-3</v>
      </c>
      <c r="K7844" s="1192" t="s">
        <v>6957</v>
      </c>
      <c r="L7844" s="1192" t="s">
        <v>2374</v>
      </c>
      <c r="P7844" s="1192" t="s">
        <v>6965</v>
      </c>
      <c r="V7844" s="1192">
        <v>55</v>
      </c>
    </row>
    <row r="7845" spans="1:22" s="1192" customFormat="1" ht="14.4" x14ac:dyDescent="0.3">
      <c r="A7845" s="1192" t="s">
        <v>182</v>
      </c>
      <c r="E7845" s="2007" t="s">
        <v>2034</v>
      </c>
      <c r="F7845" s="2007"/>
      <c r="G7845" s="1273" t="s">
        <v>20</v>
      </c>
      <c r="H7845" s="1219">
        <v>4.0000000000000002E-4</v>
      </c>
      <c r="K7845" s="1192" t="s">
        <v>6957</v>
      </c>
      <c r="L7845" s="1192" t="s">
        <v>2374</v>
      </c>
      <c r="P7845" s="1192" t="s">
        <v>6965</v>
      </c>
      <c r="V7845" s="1192">
        <v>65</v>
      </c>
    </row>
    <row r="7846" spans="1:22" s="1192" customFormat="1" ht="14.4" x14ac:dyDescent="0.3">
      <c r="A7846" s="1192" t="s">
        <v>182</v>
      </c>
      <c r="E7846" s="2007" t="s">
        <v>428</v>
      </c>
      <c r="F7846" s="2007"/>
      <c r="G7846" s="1273" t="s">
        <v>20</v>
      </c>
      <c r="H7846" s="1219">
        <v>5.0000000000000001E-4</v>
      </c>
      <c r="K7846" s="1192" t="s">
        <v>6957</v>
      </c>
      <c r="L7846" s="1192" t="s">
        <v>2374</v>
      </c>
      <c r="P7846" s="1192" t="s">
        <v>6966</v>
      </c>
      <c r="V7846" s="1192">
        <v>57</v>
      </c>
    </row>
    <row r="7847" spans="1:22" s="1192" customFormat="1" ht="14.4" x14ac:dyDescent="0.3">
      <c r="A7847" s="1192" t="s">
        <v>182</v>
      </c>
      <c r="E7847" s="2007" t="s">
        <v>28</v>
      </c>
      <c r="F7847" s="2007"/>
      <c r="G7847" s="1273" t="s">
        <v>19</v>
      </c>
      <c r="H7847" s="1218">
        <v>0.25</v>
      </c>
      <c r="K7847" s="1192" t="s">
        <v>6957</v>
      </c>
      <c r="L7847" s="1192" t="s">
        <v>2374</v>
      </c>
      <c r="P7847" s="1192" t="s">
        <v>6967</v>
      </c>
      <c r="V7847" s="1192">
        <v>63</v>
      </c>
    </row>
    <row r="7848" spans="1:22" s="1192" customFormat="1" ht="17.399999999999999" x14ac:dyDescent="0.3">
      <c r="A7848" s="1192" t="s">
        <v>182</v>
      </c>
      <c r="E7848" s="1746" t="s">
        <v>593</v>
      </c>
      <c r="F7848" s="1747"/>
      <c r="G7848" s="1747"/>
      <c r="H7848" s="1747"/>
      <c r="K7848" s="1192" t="s">
        <v>2873</v>
      </c>
      <c r="V7848" s="1192">
        <v>31</v>
      </c>
    </row>
    <row r="7849" spans="1:22" s="1192" customFormat="1" ht="14.4" x14ac:dyDescent="0.3">
      <c r="A7849" s="1192" t="s">
        <v>182</v>
      </c>
      <c r="E7849" s="1743" t="s">
        <v>3212</v>
      </c>
      <c r="F7849" s="1743"/>
      <c r="G7849" s="1743"/>
      <c r="H7849" s="1743"/>
      <c r="K7849" s="1192" t="s">
        <v>2873</v>
      </c>
      <c r="V7849" s="1192">
        <v>282</v>
      </c>
    </row>
    <row r="7850" spans="1:22" s="1192" customFormat="1" ht="14.4" x14ac:dyDescent="0.3">
      <c r="A7850" s="1192" t="s">
        <v>182</v>
      </c>
      <c r="E7850" s="1750" t="s">
        <v>2389</v>
      </c>
      <c r="F7850" s="1743"/>
      <c r="G7850" s="1743"/>
      <c r="H7850" s="1743"/>
      <c r="K7850" s="1192" t="s">
        <v>2629</v>
      </c>
      <c r="V7850" s="1192">
        <v>11</v>
      </c>
    </row>
    <row r="7851" spans="1:22" s="1192" customFormat="1" ht="14.4" x14ac:dyDescent="0.3">
      <c r="A7851" s="1192" t="s">
        <v>182</v>
      </c>
      <c r="E7851" s="1743" t="s">
        <v>3213</v>
      </c>
      <c r="F7851" s="1743"/>
      <c r="G7851" s="1743"/>
      <c r="H7851" s="1743"/>
      <c r="K7851" s="1192" t="s">
        <v>2873</v>
      </c>
      <c r="V7851" s="1192">
        <v>279</v>
      </c>
    </row>
    <row r="7852" spans="1:22" s="1192" customFormat="1" ht="14.4" x14ac:dyDescent="0.3">
      <c r="A7852" s="1192" t="s">
        <v>182</v>
      </c>
      <c r="E7852" s="1743" t="s">
        <v>2392</v>
      </c>
      <c r="F7852" s="1743"/>
      <c r="G7852" s="1743"/>
      <c r="H7852" s="1743"/>
      <c r="K7852" s="1192" t="s">
        <v>2873</v>
      </c>
      <c r="V7852" s="1192">
        <v>411</v>
      </c>
    </row>
    <row r="7853" spans="1:22" s="1192" customFormat="1" ht="14.4" x14ac:dyDescent="0.3">
      <c r="A7853" s="1192" t="s">
        <v>182</v>
      </c>
      <c r="E7853" s="1743" t="s">
        <v>2445</v>
      </c>
      <c r="F7853" s="1743"/>
      <c r="G7853" s="1743"/>
      <c r="H7853" s="1743"/>
      <c r="K7853" s="1192" t="s">
        <v>2873</v>
      </c>
      <c r="V7853" s="1192">
        <v>211</v>
      </c>
    </row>
    <row r="7854" spans="1:22" s="1192" customFormat="1" ht="14.4" x14ac:dyDescent="0.3">
      <c r="A7854" s="1192" t="s">
        <v>182</v>
      </c>
      <c r="E7854" s="1743" t="s">
        <v>4500</v>
      </c>
      <c r="F7854" s="1743"/>
      <c r="G7854" s="1743"/>
      <c r="H7854" s="1743"/>
      <c r="K7854" s="1192" t="s">
        <v>2873</v>
      </c>
      <c r="V7854" s="1192">
        <v>247</v>
      </c>
    </row>
    <row r="7855" spans="1:22" s="1192" customFormat="1" ht="14.4" x14ac:dyDescent="0.3">
      <c r="A7855" s="1192" t="s">
        <v>182</v>
      </c>
      <c r="E7855" s="1750" t="s">
        <v>2394</v>
      </c>
      <c r="F7855" s="1743"/>
      <c r="G7855" s="1743"/>
      <c r="H7855" s="1743"/>
      <c r="K7855" s="1192" t="s">
        <v>2630</v>
      </c>
      <c r="V7855" s="1192">
        <v>46</v>
      </c>
    </row>
    <row r="7856" spans="1:22" s="1192" customFormat="1" ht="14.4" x14ac:dyDescent="0.3">
      <c r="A7856" s="1192" t="s">
        <v>182</v>
      </c>
      <c r="E7856" s="1741" t="s">
        <v>7</v>
      </c>
      <c r="F7856" s="1741"/>
      <c r="G7856" s="1277" t="s">
        <v>19</v>
      </c>
      <c r="H7856" s="1218">
        <v>4.55</v>
      </c>
      <c r="K7856" s="1192" t="s">
        <v>2873</v>
      </c>
      <c r="L7856" s="1192" t="s">
        <v>430</v>
      </c>
      <c r="P7856" s="1192" t="s">
        <v>2874</v>
      </c>
      <c r="V7856" s="1192">
        <v>14</v>
      </c>
    </row>
    <row r="7857" spans="1:22" s="1192" customFormat="1" x14ac:dyDescent="0.35">
      <c r="A7857" s="1192" t="s">
        <v>182</v>
      </c>
      <c r="E7857" s="1424" t="s">
        <v>81</v>
      </c>
      <c r="F7857" s="550"/>
      <c r="G7857" s="550"/>
      <c r="H7857" s="881"/>
      <c r="K7857" s="1192" t="s">
        <v>3215</v>
      </c>
      <c r="V7857" s="1192">
        <v>10</v>
      </c>
    </row>
    <row r="7858" spans="1:22" s="1192" customFormat="1" ht="14.4" x14ac:dyDescent="0.3">
      <c r="A7858" s="1192" t="s">
        <v>182</v>
      </c>
      <c r="E7858" s="1741" t="s">
        <v>2449</v>
      </c>
      <c r="F7858" s="1741"/>
      <c r="G7858" s="1277" t="s">
        <v>29</v>
      </c>
      <c r="H7858" s="1219">
        <v>-0.6</v>
      </c>
      <c r="V7858" s="1192">
        <v>68</v>
      </c>
    </row>
    <row r="7859" spans="1:22" s="1192" customFormat="1" ht="14.4" x14ac:dyDescent="0.3">
      <c r="A7859" s="1192" t="s">
        <v>182</v>
      </c>
      <c r="E7859" s="1741" t="s">
        <v>2450</v>
      </c>
      <c r="F7859" s="1741"/>
      <c r="G7859" s="1277" t="s">
        <v>82</v>
      </c>
      <c r="H7859" s="1218">
        <v>-1</v>
      </c>
      <c r="V7859" s="1192">
        <v>87</v>
      </c>
    </row>
    <row r="7860" spans="1:22" s="1192" customFormat="1" x14ac:dyDescent="0.35">
      <c r="A7860" s="1192" t="s">
        <v>182</v>
      </c>
      <c r="E7860" s="1426" t="s">
        <v>83</v>
      </c>
      <c r="F7860" s="550"/>
      <c r="G7860" s="550"/>
      <c r="H7860" s="881"/>
      <c r="K7860" s="1192" t="s">
        <v>3216</v>
      </c>
      <c r="V7860" s="1192">
        <v>24</v>
      </c>
    </row>
    <row r="7861" spans="1:22" s="1192" customFormat="1" ht="14.4" x14ac:dyDescent="0.3">
      <c r="A7861" s="1192" t="s">
        <v>182</v>
      </c>
      <c r="E7861" s="1743" t="s">
        <v>2391</v>
      </c>
      <c r="F7861" s="1743"/>
      <c r="G7861" s="1743"/>
      <c r="H7861" s="1743"/>
      <c r="V7861" s="1192">
        <v>280</v>
      </c>
    </row>
    <row r="7862" spans="1:22" s="1192" customFormat="1" ht="14.4" x14ac:dyDescent="0.3">
      <c r="A7862" s="1192" t="s">
        <v>182</v>
      </c>
      <c r="E7862" s="1743" t="s">
        <v>2452</v>
      </c>
      <c r="F7862" s="1743"/>
      <c r="G7862" s="1743"/>
      <c r="H7862" s="1743"/>
      <c r="V7862" s="1192">
        <v>353</v>
      </c>
    </row>
    <row r="7863" spans="1:22" s="1192" customFormat="1" ht="14.4" x14ac:dyDescent="0.3">
      <c r="A7863" s="1192" t="s">
        <v>182</v>
      </c>
      <c r="E7863" s="1743" t="s">
        <v>4500</v>
      </c>
      <c r="F7863" s="1743"/>
      <c r="G7863" s="1743"/>
      <c r="H7863" s="1743"/>
      <c r="V7863" s="1192">
        <v>247</v>
      </c>
    </row>
    <row r="7864" spans="1:22" s="1192" customFormat="1" ht="14.4" x14ac:dyDescent="0.3">
      <c r="A7864" s="1192" t="s">
        <v>182</v>
      </c>
      <c r="E7864" s="1425" t="s">
        <v>3217</v>
      </c>
      <c r="F7864" s="3"/>
      <c r="G7864" s="3"/>
      <c r="H7864" s="897"/>
      <c r="K7864" s="1192" t="s">
        <v>3218</v>
      </c>
      <c r="V7864" s="1192">
        <v>23</v>
      </c>
    </row>
    <row r="7865" spans="1:22" s="1192" customFormat="1" ht="14.4" x14ac:dyDescent="0.3">
      <c r="A7865" s="1192" t="s">
        <v>182</v>
      </c>
      <c r="E7865" s="1942" t="s">
        <v>3663</v>
      </c>
      <c r="F7865" s="1942"/>
      <c r="G7865" s="1277" t="s">
        <v>19</v>
      </c>
      <c r="H7865" s="1218">
        <v>15</v>
      </c>
      <c r="V7865" s="1192">
        <v>15</v>
      </c>
    </row>
    <row r="7866" spans="1:22" s="1192" customFormat="1" ht="14.4" x14ac:dyDescent="0.3">
      <c r="A7866" s="1192" t="s">
        <v>182</v>
      </c>
      <c r="E7866" s="1942" t="s">
        <v>90</v>
      </c>
      <c r="F7866" s="1942"/>
      <c r="G7866" s="1277" t="s">
        <v>19</v>
      </c>
      <c r="H7866" s="1218">
        <v>30</v>
      </c>
      <c r="V7866" s="1192">
        <v>19</v>
      </c>
    </row>
    <row r="7867" spans="1:22" s="1192" customFormat="1" ht="14.4" x14ac:dyDescent="0.3">
      <c r="A7867" s="1192" t="s">
        <v>182</v>
      </c>
      <c r="E7867" s="1942" t="s">
        <v>84</v>
      </c>
      <c r="F7867" s="1942"/>
      <c r="G7867" s="1277" t="s">
        <v>19</v>
      </c>
      <c r="H7867" s="1218">
        <v>30</v>
      </c>
      <c r="V7867" s="1192">
        <v>89</v>
      </c>
    </row>
    <row r="7868" spans="1:22" s="1192" customFormat="1" ht="14.4" x14ac:dyDescent="0.3">
      <c r="A7868" s="1192" t="s">
        <v>182</v>
      </c>
      <c r="E7868" s="1942" t="s">
        <v>119</v>
      </c>
      <c r="F7868" s="1942"/>
      <c r="G7868" s="1277" t="s">
        <v>19</v>
      </c>
      <c r="H7868" s="1218">
        <v>15</v>
      </c>
      <c r="V7868" s="1192">
        <v>35</v>
      </c>
    </row>
    <row r="7869" spans="1:22" s="1192" customFormat="1" ht="14.4" x14ac:dyDescent="0.3">
      <c r="A7869" s="1192" t="s">
        <v>182</v>
      </c>
      <c r="E7869" s="1942" t="s">
        <v>4227</v>
      </c>
      <c r="F7869" s="1942"/>
      <c r="G7869" s="1277" t="s">
        <v>19</v>
      </c>
      <c r="H7869" s="1218">
        <v>30</v>
      </c>
      <c r="V7869" s="1192">
        <v>26</v>
      </c>
    </row>
    <row r="7870" spans="1:22" s="1192" customFormat="1" ht="14.4" x14ac:dyDescent="0.3">
      <c r="A7870" s="1192" t="s">
        <v>182</v>
      </c>
      <c r="E7870" s="1425" t="s">
        <v>6519</v>
      </c>
      <c r="F7870" s="3"/>
      <c r="G7870" s="3"/>
      <c r="H7870" s="897"/>
      <c r="K7870" s="1192" t="s">
        <v>6520</v>
      </c>
      <c r="V7870" s="1192">
        <v>22</v>
      </c>
    </row>
    <row r="7871" spans="1:22" s="1192" customFormat="1" ht="14.4" x14ac:dyDescent="0.3">
      <c r="A7871" s="1192" t="s">
        <v>182</v>
      </c>
      <c r="E7871" s="1942" t="s">
        <v>3918</v>
      </c>
      <c r="F7871" s="1942"/>
      <c r="G7871" s="1277"/>
      <c r="H7871" s="837"/>
      <c r="V7871" s="1192">
        <v>24</v>
      </c>
    </row>
    <row r="7872" spans="1:22" s="1192" customFormat="1" ht="14.4" x14ac:dyDescent="0.3">
      <c r="A7872" s="1192" t="s">
        <v>182</v>
      </c>
      <c r="E7872" s="1942" t="s">
        <v>6195</v>
      </c>
      <c r="F7872" s="1942"/>
      <c r="G7872" s="1277" t="s">
        <v>82</v>
      </c>
      <c r="H7872" s="1218">
        <v>1.5</v>
      </c>
      <c r="V7872" s="1192">
        <v>74</v>
      </c>
    </row>
    <row r="7873" spans="1:22" s="1192" customFormat="1" ht="14.4" x14ac:dyDescent="0.3">
      <c r="A7873" s="1192" t="s">
        <v>182</v>
      </c>
      <c r="E7873" s="1942" t="s">
        <v>6106</v>
      </c>
      <c r="F7873" s="1942"/>
      <c r="G7873" s="1277" t="s">
        <v>19</v>
      </c>
      <c r="H7873" s="1218">
        <v>35</v>
      </c>
      <c r="V7873" s="1192">
        <v>44</v>
      </c>
    </row>
    <row r="7874" spans="1:22" s="1192" customFormat="1" ht="14.4" x14ac:dyDescent="0.3">
      <c r="A7874" s="1192" t="s">
        <v>182</v>
      </c>
      <c r="E7874" s="1942" t="s">
        <v>6107</v>
      </c>
      <c r="F7874" s="1942"/>
      <c r="G7874" s="1277" t="s">
        <v>19</v>
      </c>
      <c r="H7874" s="1218">
        <v>185</v>
      </c>
      <c r="V7874" s="1192">
        <v>43</v>
      </c>
    </row>
    <row r="7875" spans="1:22" s="1192" customFormat="1" ht="14.4" x14ac:dyDescent="0.3">
      <c r="A7875" s="1192" t="s">
        <v>182</v>
      </c>
      <c r="E7875" s="1942" t="s">
        <v>6108</v>
      </c>
      <c r="F7875" s="1942"/>
      <c r="G7875" s="1277" t="s">
        <v>19</v>
      </c>
      <c r="H7875" s="1218">
        <v>185</v>
      </c>
      <c r="V7875" s="1192">
        <v>43</v>
      </c>
    </row>
    <row r="7876" spans="1:22" s="1192" customFormat="1" ht="14.4" x14ac:dyDescent="0.3">
      <c r="A7876" s="1192" t="s">
        <v>182</v>
      </c>
      <c r="E7876" s="1942" t="s">
        <v>6115</v>
      </c>
      <c r="F7876" s="1942"/>
      <c r="G7876" s="1277" t="s">
        <v>19</v>
      </c>
      <c r="H7876" s="1218">
        <v>415</v>
      </c>
      <c r="V7876" s="1192">
        <v>42</v>
      </c>
    </row>
    <row r="7877" spans="1:22" s="1192" customFormat="1" ht="14.4" x14ac:dyDescent="0.3">
      <c r="A7877" s="1192" t="s">
        <v>182</v>
      </c>
      <c r="E7877" s="1425" t="s">
        <v>3219</v>
      </c>
      <c r="F7877" s="3"/>
      <c r="G7877" s="3"/>
      <c r="H7877" s="897"/>
      <c r="V7877" s="1192">
        <v>5</v>
      </c>
    </row>
    <row r="7878" spans="1:22" s="1192" customFormat="1" ht="14.4" x14ac:dyDescent="0.3">
      <c r="A7878" s="1192" t="s">
        <v>182</v>
      </c>
      <c r="E7878" s="1942" t="s">
        <v>3220</v>
      </c>
      <c r="F7878" s="1942"/>
      <c r="G7878" s="1277" t="s">
        <v>19</v>
      </c>
      <c r="H7878" s="1218">
        <v>5.5</v>
      </c>
      <c r="V7878" s="1192">
        <v>26</v>
      </c>
    </row>
    <row r="7879" spans="1:22" s="1192" customFormat="1" ht="14.4" x14ac:dyDescent="0.3">
      <c r="A7879" s="1192" t="s">
        <v>182</v>
      </c>
      <c r="E7879" s="1942" t="s">
        <v>2703</v>
      </c>
      <c r="F7879" s="1942"/>
      <c r="G7879" s="1277" t="s">
        <v>19</v>
      </c>
      <c r="H7879" s="1218">
        <v>500</v>
      </c>
      <c r="V7879" s="1192">
        <v>64</v>
      </c>
    </row>
    <row r="7880" spans="1:22" s="1192" customFormat="1" ht="14.4" x14ac:dyDescent="0.3">
      <c r="A7880" s="1192" t="s">
        <v>182</v>
      </c>
      <c r="E7880" s="1942" t="s">
        <v>2758</v>
      </c>
      <c r="F7880" s="1942"/>
      <c r="G7880" s="1277" t="s">
        <v>19</v>
      </c>
      <c r="H7880" s="1218">
        <v>300</v>
      </c>
      <c r="V7880" s="1192">
        <v>67</v>
      </c>
    </row>
    <row r="7881" spans="1:22" s="1192" customFormat="1" ht="14.4" x14ac:dyDescent="0.3">
      <c r="A7881" s="1192" t="s">
        <v>182</v>
      </c>
      <c r="E7881" s="1942" t="s">
        <v>2478</v>
      </c>
      <c r="F7881" s="1942"/>
      <c r="G7881" s="1277" t="s">
        <v>19</v>
      </c>
      <c r="H7881" s="1218">
        <v>165</v>
      </c>
      <c r="V7881" s="1192">
        <v>34</v>
      </c>
    </row>
    <row r="7882" spans="1:22" s="1192" customFormat="1" ht="14.4" x14ac:dyDescent="0.3">
      <c r="A7882" s="1192" t="s">
        <v>182</v>
      </c>
      <c r="E7882" s="1942" t="s">
        <v>2768</v>
      </c>
      <c r="F7882" s="1942"/>
      <c r="G7882" s="1277" t="s">
        <v>19</v>
      </c>
      <c r="H7882" s="1218">
        <v>44.5</v>
      </c>
      <c r="V7882" s="1192">
        <v>104</v>
      </c>
    </row>
    <row r="7883" spans="1:22" s="1192" customFormat="1" ht="34.799999999999997" x14ac:dyDescent="0.35">
      <c r="A7883" s="1192" t="s">
        <v>182</v>
      </c>
      <c r="E7883" s="1424" t="s">
        <v>73</v>
      </c>
      <c r="F7883" s="550"/>
      <c r="G7883" s="550"/>
      <c r="H7883" s="881"/>
      <c r="K7883" s="1192" t="s">
        <v>3221</v>
      </c>
      <c r="V7883" s="1192">
        <v>38</v>
      </c>
    </row>
    <row r="7884" spans="1:22" s="1192" customFormat="1" ht="14.4" x14ac:dyDescent="0.3">
      <c r="A7884" s="1192" t="s">
        <v>182</v>
      </c>
      <c r="E7884" s="1743" t="s">
        <v>2391</v>
      </c>
      <c r="F7884" s="1743"/>
      <c r="G7884" s="1743"/>
      <c r="H7884" s="1743"/>
      <c r="V7884" s="1192">
        <v>280</v>
      </c>
    </row>
    <row r="7885" spans="1:22" s="1192" customFormat="1" ht="14.4" x14ac:dyDescent="0.3">
      <c r="A7885" s="1192" t="s">
        <v>182</v>
      </c>
      <c r="E7885" s="1743" t="s">
        <v>2392</v>
      </c>
      <c r="F7885" s="1743"/>
      <c r="G7885" s="1743"/>
      <c r="H7885" s="1743"/>
      <c r="V7885" s="1192">
        <v>411</v>
      </c>
    </row>
    <row r="7886" spans="1:22" s="1192" customFormat="1" ht="14.4" x14ac:dyDescent="0.3">
      <c r="A7886" s="1192" t="s">
        <v>182</v>
      </c>
      <c r="E7886" s="1743" t="s">
        <v>2445</v>
      </c>
      <c r="F7886" s="1743"/>
      <c r="G7886" s="1743"/>
      <c r="H7886" s="1743"/>
      <c r="V7886" s="1192">
        <v>211</v>
      </c>
    </row>
    <row r="7887" spans="1:22" s="1192" customFormat="1" ht="14.4" x14ac:dyDescent="0.3">
      <c r="A7887" s="1192" t="s">
        <v>182</v>
      </c>
      <c r="E7887" s="1743" t="s">
        <v>4500</v>
      </c>
      <c r="F7887" s="1743"/>
      <c r="G7887" s="1743"/>
      <c r="H7887" s="1743"/>
      <c r="V7887" s="1192">
        <v>247</v>
      </c>
    </row>
    <row r="7888" spans="1:22" s="1192" customFormat="1" ht="14.4" x14ac:dyDescent="0.3">
      <c r="A7888" s="1192" t="s">
        <v>182</v>
      </c>
      <c r="E7888" s="1743" t="s">
        <v>2595</v>
      </c>
      <c r="F7888" s="1743"/>
      <c r="G7888" s="1743"/>
      <c r="H7888" s="1743"/>
      <c r="V7888" s="1192">
        <v>142</v>
      </c>
    </row>
    <row r="7889" spans="1:22" s="1192" customFormat="1" ht="14.4" x14ac:dyDescent="0.3">
      <c r="A7889" s="1192" t="s">
        <v>182</v>
      </c>
      <c r="E7889" s="1740" t="s">
        <v>2485</v>
      </c>
      <c r="F7889" s="1740"/>
      <c r="G7889" s="452" t="s">
        <v>19</v>
      </c>
      <c r="H7889" s="1218">
        <v>102</v>
      </c>
      <c r="V7889" s="1192">
        <v>106</v>
      </c>
    </row>
    <row r="7890" spans="1:22" s="1192" customFormat="1" ht="14.4" x14ac:dyDescent="0.3">
      <c r="A7890" s="1192" t="s">
        <v>182</v>
      </c>
      <c r="E7890" s="1741" t="s">
        <v>2486</v>
      </c>
      <c r="F7890" s="1741"/>
      <c r="G7890" s="360" t="s">
        <v>19</v>
      </c>
      <c r="H7890" s="1218">
        <v>40.799999999999997</v>
      </c>
      <c r="V7890" s="1192">
        <v>34</v>
      </c>
    </row>
    <row r="7891" spans="1:22" s="1192" customFormat="1" ht="14.4" x14ac:dyDescent="0.3">
      <c r="A7891" s="1192" t="s">
        <v>182</v>
      </c>
      <c r="E7891" s="1741" t="s">
        <v>2487</v>
      </c>
      <c r="F7891" s="1741"/>
      <c r="G7891" s="360" t="s">
        <v>2488</v>
      </c>
      <c r="H7891" s="1218">
        <v>1.02</v>
      </c>
      <c r="V7891" s="1192">
        <v>51</v>
      </c>
    </row>
    <row r="7892" spans="1:22" s="1192" customFormat="1" ht="14.4" x14ac:dyDescent="0.3">
      <c r="A7892" s="1192" t="s">
        <v>182</v>
      </c>
      <c r="E7892" s="1741" t="s">
        <v>2489</v>
      </c>
      <c r="F7892" s="1741"/>
      <c r="G7892" s="360" t="s">
        <v>2488</v>
      </c>
      <c r="H7892" s="1218">
        <v>0.61</v>
      </c>
      <c r="V7892" s="1192">
        <v>75</v>
      </c>
    </row>
    <row r="7893" spans="1:22" s="1192" customFormat="1" ht="14.4" x14ac:dyDescent="0.3">
      <c r="A7893" s="1192" t="s">
        <v>182</v>
      </c>
      <c r="E7893" s="1741" t="s">
        <v>2490</v>
      </c>
      <c r="F7893" s="1741"/>
      <c r="G7893" s="360" t="s">
        <v>2488</v>
      </c>
      <c r="H7893" s="511">
        <v>-0.61</v>
      </c>
      <c r="V7893" s="1192">
        <v>72</v>
      </c>
    </row>
    <row r="7894" spans="1:22" s="1192" customFormat="1" ht="14.4" x14ac:dyDescent="0.3">
      <c r="A7894" s="1192" t="s">
        <v>182</v>
      </c>
      <c r="E7894" s="1741" t="s">
        <v>2596</v>
      </c>
      <c r="F7894" s="1741"/>
      <c r="G7894" s="360"/>
      <c r="H7894" s="837"/>
      <c r="V7894" s="1192">
        <v>34</v>
      </c>
    </row>
    <row r="7895" spans="1:22" s="1192" customFormat="1" ht="14.4" x14ac:dyDescent="0.3">
      <c r="A7895" s="1192" t="s">
        <v>182</v>
      </c>
      <c r="E7895" s="1941" t="s">
        <v>2492</v>
      </c>
      <c r="F7895" s="1941"/>
      <c r="G7895" s="360" t="s">
        <v>19</v>
      </c>
      <c r="H7895" s="1218">
        <v>0.51</v>
      </c>
      <c r="V7895" s="1192">
        <v>57</v>
      </c>
    </row>
    <row r="7896" spans="1:22" s="1192" customFormat="1" ht="14.4" x14ac:dyDescent="0.3">
      <c r="A7896" s="1192" t="s">
        <v>182</v>
      </c>
      <c r="E7896" s="1941" t="s">
        <v>2493</v>
      </c>
      <c r="F7896" s="1941"/>
      <c r="G7896" s="360" t="s">
        <v>19</v>
      </c>
      <c r="H7896" s="1218">
        <v>1.02</v>
      </c>
      <c r="V7896" s="1192">
        <v>60</v>
      </c>
    </row>
    <row r="7897" spans="1:22" s="1192" customFormat="1" ht="14.4" x14ac:dyDescent="0.3">
      <c r="A7897" s="1192" t="s">
        <v>182</v>
      </c>
      <c r="E7897" s="1741" t="s">
        <v>2494</v>
      </c>
      <c r="F7897" s="1741"/>
      <c r="G7897" s="360"/>
      <c r="H7897" s="837"/>
      <c r="V7897" s="1192">
        <v>91</v>
      </c>
    </row>
    <row r="7898" spans="1:22" s="1192" customFormat="1" ht="14.4" x14ac:dyDescent="0.3">
      <c r="A7898" s="1192" t="s">
        <v>182</v>
      </c>
      <c r="E7898" s="1741" t="s">
        <v>2495</v>
      </c>
      <c r="F7898" s="1741"/>
      <c r="G7898" s="360"/>
      <c r="H7898" s="837"/>
      <c r="V7898" s="1192">
        <v>96</v>
      </c>
    </row>
    <row r="7899" spans="1:22" s="1192" customFormat="1" ht="14.4" x14ac:dyDescent="0.3">
      <c r="A7899" s="1192" t="s">
        <v>182</v>
      </c>
      <c r="E7899" s="1741" t="s">
        <v>2597</v>
      </c>
      <c r="F7899" s="1741"/>
      <c r="G7899" s="360"/>
      <c r="H7899" s="837"/>
      <c r="V7899" s="1192">
        <v>77</v>
      </c>
    </row>
    <row r="7900" spans="1:22" s="1192" customFormat="1" ht="14.4" x14ac:dyDescent="0.3">
      <c r="A7900" s="1192" t="s">
        <v>182</v>
      </c>
      <c r="E7900" s="1941" t="s">
        <v>2497</v>
      </c>
      <c r="F7900" s="1941"/>
      <c r="G7900" s="360" t="s">
        <v>19</v>
      </c>
      <c r="H7900" s="837" t="s">
        <v>2498</v>
      </c>
      <c r="V7900" s="1192">
        <v>18</v>
      </c>
    </row>
    <row r="7901" spans="1:22" s="1192" customFormat="1" ht="14.4" x14ac:dyDescent="0.3">
      <c r="A7901" s="1192" t="s">
        <v>182</v>
      </c>
      <c r="E7901" s="1941" t="s">
        <v>2499</v>
      </c>
      <c r="F7901" s="1941"/>
      <c r="G7901" s="360" t="s">
        <v>19</v>
      </c>
      <c r="H7901" s="1218">
        <v>4.08</v>
      </c>
      <c r="V7901" s="1192">
        <v>69</v>
      </c>
    </row>
    <row r="7902" spans="1:22" s="1192" customFormat="1" ht="14.4" x14ac:dyDescent="0.3">
      <c r="A7902" s="1192" t="s">
        <v>182</v>
      </c>
      <c r="E7902" s="1741" t="s">
        <v>4608</v>
      </c>
      <c r="F7902" s="1741"/>
      <c r="G7902" s="360" t="s">
        <v>19</v>
      </c>
      <c r="H7902" s="1218">
        <v>2.04</v>
      </c>
      <c r="V7902" s="1192">
        <v>199</v>
      </c>
    </row>
    <row r="7903" spans="1:22" s="1192" customFormat="1" x14ac:dyDescent="0.35">
      <c r="A7903" s="1192" t="s">
        <v>182</v>
      </c>
      <c r="E7903" s="1424" t="s">
        <v>143</v>
      </c>
      <c r="F7903" s="550"/>
      <c r="G7903" s="550"/>
      <c r="H7903" s="881"/>
      <c r="K7903" s="1192" t="s">
        <v>3222</v>
      </c>
      <c r="V7903" s="1192">
        <v>12</v>
      </c>
    </row>
    <row r="7904" spans="1:22" s="1192" customFormat="1" ht="14.4" x14ac:dyDescent="0.3">
      <c r="A7904" s="1192" t="s">
        <v>182</v>
      </c>
      <c r="E7904" s="1741" t="s">
        <v>2501</v>
      </c>
      <c r="F7904" s="1741"/>
      <c r="G7904" s="1741"/>
      <c r="H7904" s="1741"/>
      <c r="V7904" s="1192">
        <v>203</v>
      </c>
    </row>
    <row r="7905" spans="1:22" s="1192" customFormat="1" ht="14.4" x14ac:dyDescent="0.3">
      <c r="A7905" s="1192" t="s">
        <v>182</v>
      </c>
      <c r="E7905" s="1741" t="s">
        <v>2599</v>
      </c>
      <c r="F7905" s="1741"/>
      <c r="G7905" s="1277"/>
      <c r="H7905" s="837">
        <v>1.0315000000000001</v>
      </c>
      <c r="V7905" s="1192">
        <v>57</v>
      </c>
    </row>
    <row r="7906" spans="1:22" s="1192" customFormat="1" ht="14.4" x14ac:dyDescent="0.3">
      <c r="A7906" s="1192" t="s">
        <v>182</v>
      </c>
      <c r="E7906" s="1741" t="s">
        <v>2600</v>
      </c>
      <c r="F7906" s="1741"/>
      <c r="G7906" s="1277"/>
      <c r="H7906" s="837">
        <v>1.0145999999999999</v>
      </c>
      <c r="V7906" s="1192">
        <v>57</v>
      </c>
    </row>
    <row r="7907" spans="1:22" s="1192" customFormat="1" ht="14.4" x14ac:dyDescent="0.3">
      <c r="A7907" s="1192" t="s">
        <v>182</v>
      </c>
      <c r="E7907" s="1741" t="s">
        <v>2601</v>
      </c>
      <c r="F7907" s="1741"/>
      <c r="G7907" s="1277"/>
      <c r="H7907" s="837">
        <v>1.0212000000000001</v>
      </c>
      <c r="V7907" s="1192">
        <v>55</v>
      </c>
    </row>
    <row r="7908" spans="1:22" s="1192" customFormat="1" ht="14.4" x14ac:dyDescent="0.3">
      <c r="A7908" s="1192" t="s">
        <v>182</v>
      </c>
      <c r="E7908" s="1741" t="s">
        <v>2602</v>
      </c>
      <c r="F7908" s="1741"/>
      <c r="G7908" s="1277"/>
      <c r="H7908" s="837">
        <v>1.0044999999999999</v>
      </c>
      <c r="J7908" s="1192" t="s">
        <v>3223</v>
      </c>
      <c r="V7908" s="1192">
        <v>55</v>
      </c>
    </row>
    <row r="7909" spans="1:22" s="1192" customFormat="1" ht="22.8" x14ac:dyDescent="0.3">
      <c r="A7909" s="1192" t="s">
        <v>5684</v>
      </c>
      <c r="B7909" s="1192" t="s">
        <v>5691</v>
      </c>
      <c r="C7909" s="1192" t="s">
        <v>2378</v>
      </c>
      <c r="E7909" s="1752" t="s">
        <v>5684</v>
      </c>
      <c r="F7909" s="1752"/>
      <c r="G7909" s="1752"/>
      <c r="H7909" s="1752"/>
      <c r="I7909" s="1192" t="s">
        <v>603</v>
      </c>
      <c r="J7909" s="1192" t="s">
        <v>5692</v>
      </c>
      <c r="K7909" s="1192" t="s">
        <v>5684</v>
      </c>
      <c r="M7909" s="1192">
        <v>10</v>
      </c>
      <c r="V7909" s="1192">
        <v>20</v>
      </c>
    </row>
    <row r="7910" spans="1:22" s="1192" customFormat="1" ht="17.399999999999999" x14ac:dyDescent="0.3">
      <c r="A7910" s="1192" t="s">
        <v>5684</v>
      </c>
      <c r="B7910" s="1192" t="s">
        <v>5691</v>
      </c>
      <c r="C7910" s="1192" t="s">
        <v>2380</v>
      </c>
      <c r="E7910" s="2168" t="s">
        <v>5683</v>
      </c>
      <c r="F7910" s="2168"/>
      <c r="G7910" s="2168"/>
      <c r="H7910" s="2168"/>
      <c r="V7910" s="1192">
        <v>18</v>
      </c>
    </row>
    <row r="7911" spans="1:22" s="1192" customFormat="1" ht="17.399999999999999" x14ac:dyDescent="0.3">
      <c r="A7911" s="1192" t="s">
        <v>5684</v>
      </c>
      <c r="B7911" s="1192" t="s">
        <v>5691</v>
      </c>
      <c r="C7911" s="1192" t="s">
        <v>2382</v>
      </c>
      <c r="E7911" s="2168" t="s">
        <v>2381</v>
      </c>
      <c r="F7911" s="2168"/>
      <c r="G7911" s="2168"/>
      <c r="H7911" s="2168"/>
      <c r="V7911" s="1192">
        <v>27</v>
      </c>
    </row>
    <row r="7912" spans="1:22" s="1192" customFormat="1" ht="15.6" x14ac:dyDescent="0.3">
      <c r="A7912" s="1192" t="s">
        <v>5684</v>
      </c>
      <c r="B7912" s="1192" t="s">
        <v>5691</v>
      </c>
      <c r="C7912" s="1192" t="s">
        <v>2383</v>
      </c>
      <c r="E7912" s="1754" t="s">
        <v>6482</v>
      </c>
      <c r="F7912" s="1754"/>
      <c r="G7912" s="1754"/>
      <c r="H7912" s="1754"/>
      <c r="S7912" s="1192">
        <v>43952</v>
      </c>
      <c r="V7912" s="1192">
        <v>45</v>
      </c>
    </row>
    <row r="7913" spans="1:22" s="1192" customFormat="1" ht="14.4" x14ac:dyDescent="0.3">
      <c r="A7913" s="1192" t="s">
        <v>5684</v>
      </c>
      <c r="B7913" s="1192" t="s">
        <v>5691</v>
      </c>
      <c r="E7913" s="1755" t="s">
        <v>2384</v>
      </c>
      <c r="F7913" s="1755"/>
      <c r="G7913" s="1755"/>
      <c r="H7913" s="1755"/>
      <c r="V7913" s="1192">
        <v>52</v>
      </c>
    </row>
    <row r="7914" spans="1:22" s="1192" customFormat="1" ht="14.4" x14ac:dyDescent="0.3">
      <c r="A7914" s="1192" t="s">
        <v>5684</v>
      </c>
      <c r="B7914" s="1192" t="s">
        <v>5691</v>
      </c>
      <c r="E7914" s="1755" t="s">
        <v>2385</v>
      </c>
      <c r="F7914" s="1755"/>
      <c r="G7914" s="1755"/>
      <c r="H7914" s="1755"/>
      <c r="V7914" s="1192">
        <v>53</v>
      </c>
    </row>
    <row r="7915" spans="1:22" s="1192" customFormat="1" ht="14.4" x14ac:dyDescent="0.3">
      <c r="A7915" s="1192" t="s">
        <v>5684</v>
      </c>
      <c r="B7915" s="1192" t="s">
        <v>5691</v>
      </c>
      <c r="E7915" s="1772" t="s">
        <v>6521</v>
      </c>
      <c r="F7915" s="1772"/>
      <c r="G7915" s="1772"/>
      <c r="H7915" s="1772"/>
      <c r="K7915" s="1192" t="s">
        <v>6521</v>
      </c>
      <c r="V7915" s="1192">
        <v>12</v>
      </c>
    </row>
    <row r="7916" spans="1:22" s="1192" customFormat="1" ht="14.4" x14ac:dyDescent="0.3">
      <c r="A7916" s="1192" t="s">
        <v>5684</v>
      </c>
      <c r="B7916" s="1192" t="s">
        <v>5691</v>
      </c>
      <c r="E7916" s="1746" t="s">
        <v>427</v>
      </c>
      <c r="F7916" s="1743"/>
      <c r="G7916" s="1743"/>
      <c r="H7916" s="1743"/>
      <c r="K7916" s="1192" t="s">
        <v>2506</v>
      </c>
      <c r="V7916" s="1192">
        <v>34</v>
      </c>
    </row>
    <row r="7917" spans="1:22" s="1192" customFormat="1" ht="14.4" x14ac:dyDescent="0.3">
      <c r="A7917" s="1192" t="s">
        <v>5684</v>
      </c>
      <c r="B7917" s="1192" t="s">
        <v>5691</v>
      </c>
      <c r="E7917" s="1743" t="s">
        <v>4756</v>
      </c>
      <c r="F7917" s="1743"/>
      <c r="G7917" s="1743"/>
      <c r="H7917" s="1743"/>
      <c r="K7917" s="1192" t="s">
        <v>2506</v>
      </c>
      <c r="V7917" s="1192">
        <v>1430</v>
      </c>
    </row>
    <row r="7918" spans="1:22" s="1192" customFormat="1" ht="14.4" x14ac:dyDescent="0.3">
      <c r="A7918" s="1192" t="s">
        <v>5684</v>
      </c>
      <c r="B7918" s="1192" t="s">
        <v>5691</v>
      </c>
      <c r="E7918" s="1750" t="s">
        <v>2389</v>
      </c>
      <c r="F7918" s="1743"/>
      <c r="G7918" s="1743"/>
      <c r="H7918" s="1743"/>
      <c r="K7918" s="1192" t="s">
        <v>2390</v>
      </c>
      <c r="V7918" s="1192">
        <v>11</v>
      </c>
    </row>
    <row r="7919" spans="1:22" s="1192" customFormat="1" ht="14.4" x14ac:dyDescent="0.3">
      <c r="A7919" s="1192" t="s">
        <v>5684</v>
      </c>
      <c r="B7919" s="1192" t="s">
        <v>5691</v>
      </c>
      <c r="E7919" s="1743" t="s">
        <v>2391</v>
      </c>
      <c r="F7919" s="1743"/>
      <c r="G7919" s="1743"/>
      <c r="H7919" s="1743"/>
      <c r="K7919" s="1192" t="s">
        <v>2506</v>
      </c>
      <c r="V7919" s="1192">
        <v>280</v>
      </c>
    </row>
    <row r="7920" spans="1:22" s="1192" customFormat="1" ht="14.4" x14ac:dyDescent="0.3">
      <c r="A7920" s="1192" t="s">
        <v>5684</v>
      </c>
      <c r="B7920" s="1192" t="s">
        <v>5691</v>
      </c>
      <c r="E7920" s="1743" t="s">
        <v>2392</v>
      </c>
      <c r="F7920" s="1743"/>
      <c r="G7920" s="1743"/>
      <c r="H7920" s="1743"/>
      <c r="K7920" s="1192" t="s">
        <v>2506</v>
      </c>
      <c r="V7920" s="1192">
        <v>411</v>
      </c>
    </row>
    <row r="7921" spans="1:22" s="1192" customFormat="1" ht="14.4" x14ac:dyDescent="0.3">
      <c r="A7921" s="1192" t="s">
        <v>5684</v>
      </c>
      <c r="B7921" s="1192" t="s">
        <v>5691</v>
      </c>
      <c r="E7921" s="1743" t="s">
        <v>2393</v>
      </c>
      <c r="F7921" s="1743"/>
      <c r="G7921" s="1743"/>
      <c r="H7921" s="1743"/>
      <c r="K7921" s="1192" t="s">
        <v>2506</v>
      </c>
      <c r="V7921" s="1192">
        <v>387</v>
      </c>
    </row>
    <row r="7922" spans="1:22" s="1192" customFormat="1" ht="14.4" x14ac:dyDescent="0.3">
      <c r="A7922" s="1192" t="s">
        <v>5684</v>
      </c>
      <c r="B7922" s="1192" t="s">
        <v>5691</v>
      </c>
      <c r="E7922" s="1743" t="s">
        <v>4500</v>
      </c>
      <c r="F7922" s="1743"/>
      <c r="G7922" s="1743"/>
      <c r="H7922" s="1743"/>
      <c r="K7922" s="1192" t="s">
        <v>2506</v>
      </c>
      <c r="V7922" s="1192">
        <v>247</v>
      </c>
    </row>
    <row r="7923" spans="1:22" s="1192" customFormat="1" ht="14.4" x14ac:dyDescent="0.3">
      <c r="A7923" s="1192" t="s">
        <v>5684</v>
      </c>
      <c r="B7923" s="1192" t="s">
        <v>5691</v>
      </c>
      <c r="E7923" s="1750" t="s">
        <v>2394</v>
      </c>
      <c r="F7923" s="1743"/>
      <c r="G7923" s="1743"/>
      <c r="H7923" s="1743"/>
      <c r="K7923" s="1192" t="s">
        <v>2395</v>
      </c>
      <c r="V7923" s="1192">
        <v>46</v>
      </c>
    </row>
    <row r="7924" spans="1:22" s="1192" customFormat="1" ht="14.4" x14ac:dyDescent="0.3">
      <c r="A7924" s="1192" t="s">
        <v>5684</v>
      </c>
      <c r="B7924" s="1192" t="s">
        <v>5691</v>
      </c>
      <c r="E7924" s="1741" t="s">
        <v>7</v>
      </c>
      <c r="F7924" s="1741"/>
      <c r="G7924" s="1277" t="s">
        <v>19</v>
      </c>
      <c r="H7924" s="1218">
        <v>27.07</v>
      </c>
      <c r="K7924" s="1192" t="s">
        <v>2506</v>
      </c>
      <c r="L7924" s="1192" t="s">
        <v>430</v>
      </c>
      <c r="P7924" s="1192" t="s">
        <v>2510</v>
      </c>
      <c r="V7924" s="1192">
        <v>14</v>
      </c>
    </row>
    <row r="7925" spans="1:22" s="1192" customFormat="1" ht="14.4" x14ac:dyDescent="0.3">
      <c r="A7925" s="1192" t="s">
        <v>5684</v>
      </c>
      <c r="B7925" s="1192" t="s">
        <v>5691</v>
      </c>
      <c r="E7925" s="1741" t="s">
        <v>3900</v>
      </c>
      <c r="F7925" s="1741"/>
      <c r="G7925" s="1277" t="s">
        <v>19</v>
      </c>
      <c r="H7925" s="1218">
        <v>0.56999999999999995</v>
      </c>
      <c r="K7925" s="1192" t="s">
        <v>2506</v>
      </c>
      <c r="L7925" s="1192" t="s">
        <v>431</v>
      </c>
      <c r="P7925" s="1192" t="s">
        <v>2511</v>
      </c>
      <c r="T7925" s="1192">
        <v>44926</v>
      </c>
      <c r="V7925" s="1192">
        <v>64</v>
      </c>
    </row>
    <row r="7926" spans="1:22" s="1192" customFormat="1" ht="14.4" x14ac:dyDescent="0.3">
      <c r="A7926" s="1192" t="s">
        <v>5684</v>
      </c>
      <c r="B7926" s="1192" t="s">
        <v>5691</v>
      </c>
      <c r="E7926" s="1741" t="s">
        <v>14</v>
      </c>
      <c r="F7926" s="1741"/>
      <c r="G7926" s="1277" t="s">
        <v>20</v>
      </c>
      <c r="H7926" s="1219">
        <v>1E-3</v>
      </c>
      <c r="K7926" s="1192" t="s">
        <v>2506</v>
      </c>
      <c r="L7926" s="1192" t="s">
        <v>431</v>
      </c>
      <c r="P7926" s="1192" t="s">
        <v>2513</v>
      </c>
      <c r="V7926" s="1192">
        <v>24</v>
      </c>
    </row>
    <row r="7927" spans="1:22" s="1192" customFormat="1" ht="14.4" x14ac:dyDescent="0.3">
      <c r="A7927" s="1192" t="s">
        <v>5684</v>
      </c>
      <c r="B7927" s="1192" t="s">
        <v>5691</v>
      </c>
      <c r="E7927" s="1741" t="s">
        <v>213</v>
      </c>
      <c r="F7927" s="1741"/>
      <c r="G7927" s="1277" t="s">
        <v>20</v>
      </c>
      <c r="H7927" s="1219">
        <v>7.1000000000000004E-3</v>
      </c>
      <c r="K7927" s="1192" t="s">
        <v>2506</v>
      </c>
      <c r="L7927" s="1192" t="s">
        <v>432</v>
      </c>
      <c r="P7927" s="1192" t="s">
        <v>2517</v>
      </c>
      <c r="V7927" s="1192">
        <v>47</v>
      </c>
    </row>
    <row r="7928" spans="1:22" s="1192" customFormat="1" ht="14.4" x14ac:dyDescent="0.3">
      <c r="A7928" s="1192" t="s">
        <v>5684</v>
      </c>
      <c r="B7928" s="1192" t="s">
        <v>5691</v>
      </c>
      <c r="E7928" s="1741" t="s">
        <v>209</v>
      </c>
      <c r="F7928" s="1741"/>
      <c r="G7928" s="1277" t="s">
        <v>20</v>
      </c>
      <c r="H7928" s="1219">
        <v>5.1999999999999998E-3</v>
      </c>
      <c r="K7928" s="1192" t="s">
        <v>2506</v>
      </c>
      <c r="L7928" s="1192" t="s">
        <v>432</v>
      </c>
      <c r="P7928" s="1192" t="s">
        <v>2518</v>
      </c>
      <c r="V7928" s="1192">
        <v>74</v>
      </c>
    </row>
    <row r="7929" spans="1:22" s="1192" customFormat="1" ht="14.4" x14ac:dyDescent="0.3">
      <c r="A7929" s="1192" t="s">
        <v>5684</v>
      </c>
      <c r="B7929" s="1192" t="s">
        <v>5691</v>
      </c>
      <c r="E7929" s="1750" t="s">
        <v>2405</v>
      </c>
      <c r="F7929" s="1741"/>
      <c r="G7929" s="1277"/>
      <c r="H7929" s="896"/>
      <c r="K7929" s="1192" t="s">
        <v>2406</v>
      </c>
      <c r="V7929" s="1192">
        <v>48</v>
      </c>
    </row>
    <row r="7930" spans="1:22" s="1192" customFormat="1" ht="14.4" x14ac:dyDescent="0.3">
      <c r="A7930" s="1192" t="s">
        <v>5684</v>
      </c>
      <c r="B7930" s="1192" t="s">
        <v>5691</v>
      </c>
      <c r="E7930" s="1741" t="s">
        <v>2033</v>
      </c>
      <c r="F7930" s="1741"/>
      <c r="G7930" s="1277" t="s">
        <v>20</v>
      </c>
      <c r="H7930" s="1219">
        <v>3.0000000000000001E-3</v>
      </c>
      <c r="K7930" s="1192" t="s">
        <v>2506</v>
      </c>
      <c r="L7930" s="1192" t="s">
        <v>2374</v>
      </c>
      <c r="P7930" s="1192" t="s">
        <v>2519</v>
      </c>
      <c r="V7930" s="1192">
        <v>55</v>
      </c>
    </row>
    <row r="7931" spans="1:22" s="1192" customFormat="1" ht="14.4" x14ac:dyDescent="0.3">
      <c r="A7931" s="1192" t="s">
        <v>5684</v>
      </c>
      <c r="B7931" s="1192" t="s">
        <v>5691</v>
      </c>
      <c r="E7931" s="1741" t="s">
        <v>2034</v>
      </c>
      <c r="F7931" s="1741"/>
      <c r="G7931" s="1277" t="s">
        <v>20</v>
      </c>
      <c r="H7931" s="1219">
        <v>4.0000000000000002E-4</v>
      </c>
      <c r="K7931" s="1192" t="s">
        <v>2506</v>
      </c>
      <c r="L7931" s="1192" t="s">
        <v>2374</v>
      </c>
      <c r="P7931" s="1192" t="s">
        <v>2519</v>
      </c>
      <c r="V7931" s="1192">
        <v>65</v>
      </c>
    </row>
    <row r="7932" spans="1:22" s="1192" customFormat="1" ht="14.4" x14ac:dyDescent="0.3">
      <c r="A7932" s="1192" t="s">
        <v>5684</v>
      </c>
      <c r="B7932" s="1192" t="s">
        <v>5691</v>
      </c>
      <c r="E7932" s="1741" t="s">
        <v>428</v>
      </c>
      <c r="F7932" s="1741"/>
      <c r="G7932" s="1277" t="s">
        <v>20</v>
      </c>
      <c r="H7932" s="1219">
        <v>5.0000000000000001E-4</v>
      </c>
      <c r="K7932" s="1192" t="s">
        <v>2506</v>
      </c>
      <c r="L7932" s="1192" t="s">
        <v>2374</v>
      </c>
      <c r="P7932" s="1192" t="s">
        <v>2520</v>
      </c>
      <c r="V7932" s="1192">
        <v>57</v>
      </c>
    </row>
    <row r="7933" spans="1:22" s="1192" customFormat="1" ht="14.4" x14ac:dyDescent="0.3">
      <c r="A7933" s="1192" t="s">
        <v>5684</v>
      </c>
      <c r="B7933" s="1192" t="s">
        <v>5691</v>
      </c>
      <c r="E7933" s="1741" t="s">
        <v>28</v>
      </c>
      <c r="F7933" s="1741"/>
      <c r="G7933" s="1277" t="s">
        <v>19</v>
      </c>
      <c r="H7933" s="1218">
        <v>0.25</v>
      </c>
      <c r="K7933" s="1192" t="s">
        <v>2506</v>
      </c>
      <c r="L7933" s="1192" t="s">
        <v>2374</v>
      </c>
      <c r="P7933" s="1192" t="s">
        <v>2521</v>
      </c>
      <c r="V7933" s="1192">
        <v>63</v>
      </c>
    </row>
    <row r="7934" spans="1:22" s="1192" customFormat="1" ht="17.399999999999999" x14ac:dyDescent="0.3">
      <c r="A7934" s="1192" t="s">
        <v>5684</v>
      </c>
      <c r="B7934" s="1192" t="s">
        <v>5691</v>
      </c>
      <c r="E7934" s="1746" t="s">
        <v>619</v>
      </c>
      <c r="F7934" s="1747"/>
      <c r="G7934" s="1747"/>
      <c r="H7934" s="1747"/>
      <c r="K7934" s="1192" t="s">
        <v>2921</v>
      </c>
      <c r="V7934" s="1192">
        <v>43</v>
      </c>
    </row>
    <row r="7935" spans="1:22" s="1192" customFormat="1" ht="14.4" x14ac:dyDescent="0.3">
      <c r="A7935" s="1192" t="s">
        <v>5684</v>
      </c>
      <c r="B7935" s="1192" t="s">
        <v>5691</v>
      </c>
      <c r="E7935" s="1743" t="s">
        <v>2922</v>
      </c>
      <c r="F7935" s="1743"/>
      <c r="G7935" s="1743"/>
      <c r="H7935" s="1743"/>
      <c r="K7935" s="1192" t="s">
        <v>2921</v>
      </c>
      <c r="V7935" s="1192">
        <v>329</v>
      </c>
    </row>
    <row r="7936" spans="1:22" s="1192" customFormat="1" ht="14.4" x14ac:dyDescent="0.3">
      <c r="A7936" s="1192" t="s">
        <v>5684</v>
      </c>
      <c r="B7936" s="1192" t="s">
        <v>5691</v>
      </c>
      <c r="E7936" s="1750" t="s">
        <v>2389</v>
      </c>
      <c r="F7936" s="1743"/>
      <c r="G7936" s="1743"/>
      <c r="H7936" s="1743"/>
      <c r="K7936" s="1192" t="s">
        <v>2412</v>
      </c>
      <c r="V7936" s="1192">
        <v>11</v>
      </c>
    </row>
    <row r="7937" spans="1:22" s="1192" customFormat="1" ht="14.4" x14ac:dyDescent="0.3">
      <c r="A7937" s="1192" t="s">
        <v>5684</v>
      </c>
      <c r="B7937" s="1192" t="s">
        <v>5691</v>
      </c>
      <c r="E7937" s="1743" t="s">
        <v>2391</v>
      </c>
      <c r="F7937" s="1743"/>
      <c r="G7937" s="1743"/>
      <c r="H7937" s="1743"/>
      <c r="K7937" s="1192" t="s">
        <v>2921</v>
      </c>
      <c r="V7937" s="1192">
        <v>280</v>
      </c>
    </row>
    <row r="7938" spans="1:22" s="1192" customFormat="1" ht="14.4" x14ac:dyDescent="0.3">
      <c r="A7938" s="1192" t="s">
        <v>5684</v>
      </c>
      <c r="B7938" s="1192" t="s">
        <v>5691</v>
      </c>
      <c r="E7938" s="1743" t="s">
        <v>2392</v>
      </c>
      <c r="F7938" s="1743"/>
      <c r="G7938" s="1743"/>
      <c r="H7938" s="1743"/>
      <c r="K7938" s="1192" t="s">
        <v>2921</v>
      </c>
      <c r="V7938" s="1192">
        <v>411</v>
      </c>
    </row>
    <row r="7939" spans="1:22" s="1192" customFormat="1" ht="14.4" x14ac:dyDescent="0.3">
      <c r="A7939" s="1192" t="s">
        <v>5684</v>
      </c>
      <c r="B7939" s="1192" t="s">
        <v>5691</v>
      </c>
      <c r="E7939" s="1743" t="s">
        <v>2508</v>
      </c>
      <c r="F7939" s="1743"/>
      <c r="G7939" s="1743"/>
      <c r="H7939" s="1743"/>
      <c r="K7939" s="1192" t="s">
        <v>2921</v>
      </c>
      <c r="V7939" s="1192">
        <v>386</v>
      </c>
    </row>
    <row r="7940" spans="1:22" s="1192" customFormat="1" ht="14.4" x14ac:dyDescent="0.3">
      <c r="A7940" s="1192" t="s">
        <v>5684</v>
      </c>
      <c r="B7940" s="1192" t="s">
        <v>5691</v>
      </c>
      <c r="E7940" s="1743" t="s">
        <v>4500</v>
      </c>
      <c r="F7940" s="1743"/>
      <c r="G7940" s="1743"/>
      <c r="H7940" s="1743"/>
      <c r="K7940" s="1192" t="s">
        <v>2921</v>
      </c>
      <c r="V7940" s="1192">
        <v>247</v>
      </c>
    </row>
    <row r="7941" spans="1:22" s="1192" customFormat="1" ht="14.4" x14ac:dyDescent="0.3">
      <c r="A7941" s="1192" t="s">
        <v>5684</v>
      </c>
      <c r="B7941" s="1192" t="s">
        <v>5691</v>
      </c>
      <c r="E7941" s="1750" t="s">
        <v>2394</v>
      </c>
      <c r="F7941" s="1743"/>
      <c r="G7941" s="1743"/>
      <c r="H7941" s="1743"/>
      <c r="K7941" s="1192" t="s">
        <v>2413</v>
      </c>
      <c r="V7941" s="1192">
        <v>46</v>
      </c>
    </row>
    <row r="7942" spans="1:22" s="1192" customFormat="1" ht="14.4" x14ac:dyDescent="0.3">
      <c r="A7942" s="1192" t="s">
        <v>5684</v>
      </c>
      <c r="B7942" s="1192" t="s">
        <v>5691</v>
      </c>
      <c r="E7942" s="1741" t="s">
        <v>7</v>
      </c>
      <c r="F7942" s="1741"/>
      <c r="G7942" s="1277" t="s">
        <v>19</v>
      </c>
      <c r="H7942" s="1218">
        <v>49.45</v>
      </c>
      <c r="K7942" s="1192" t="s">
        <v>2921</v>
      </c>
      <c r="L7942" s="1192" t="s">
        <v>430</v>
      </c>
      <c r="P7942" s="1192" t="s">
        <v>2923</v>
      </c>
      <c r="V7942" s="1192">
        <v>14</v>
      </c>
    </row>
    <row r="7943" spans="1:22" s="1192" customFormat="1" ht="14.4" x14ac:dyDescent="0.3">
      <c r="A7943" s="1192" t="s">
        <v>5684</v>
      </c>
      <c r="B7943" s="1192" t="s">
        <v>5691</v>
      </c>
      <c r="E7943" s="1741" t="s">
        <v>3900</v>
      </c>
      <c r="F7943" s="1741"/>
      <c r="G7943" s="1277" t="s">
        <v>19</v>
      </c>
      <c r="H7943" s="1218">
        <v>0.56999999999999995</v>
      </c>
      <c r="K7943" s="1192" t="s">
        <v>2921</v>
      </c>
      <c r="L7943" s="1192" t="s">
        <v>431</v>
      </c>
      <c r="P7943" s="1192" t="s">
        <v>2924</v>
      </c>
      <c r="T7943" s="1192">
        <v>44926</v>
      </c>
      <c r="V7943" s="1192">
        <v>64</v>
      </c>
    </row>
    <row r="7944" spans="1:22" s="1192" customFormat="1" ht="14.4" x14ac:dyDescent="0.3">
      <c r="A7944" s="1192" t="s">
        <v>5684</v>
      </c>
      <c r="B7944" s="1192" t="s">
        <v>5691</v>
      </c>
      <c r="E7944" s="1741" t="s">
        <v>14</v>
      </c>
      <c r="F7944" s="1741"/>
      <c r="G7944" s="1277" t="s">
        <v>20</v>
      </c>
      <c r="H7944" s="1219">
        <v>1.2999999999999999E-3</v>
      </c>
      <c r="K7944" s="1192" t="s">
        <v>2921</v>
      </c>
      <c r="L7944" s="1192" t="s">
        <v>431</v>
      </c>
      <c r="P7944" s="1192" t="s">
        <v>2925</v>
      </c>
      <c r="V7944" s="1192">
        <v>24</v>
      </c>
    </row>
    <row r="7945" spans="1:22" s="1192" customFormat="1" ht="14.4" x14ac:dyDescent="0.3">
      <c r="A7945" s="1192" t="s">
        <v>5684</v>
      </c>
      <c r="B7945" s="1192" t="s">
        <v>5691</v>
      </c>
      <c r="E7945" s="1741" t="s">
        <v>213</v>
      </c>
      <c r="F7945" s="1741"/>
      <c r="G7945" s="1277" t="s">
        <v>20</v>
      </c>
      <c r="H7945" s="1219">
        <v>7.3000000000000001E-3</v>
      </c>
      <c r="K7945" s="1192" t="s">
        <v>2921</v>
      </c>
      <c r="L7945" s="1192" t="s">
        <v>432</v>
      </c>
      <c r="P7945" s="1192" t="s">
        <v>2926</v>
      </c>
      <c r="V7945" s="1192">
        <v>47</v>
      </c>
    </row>
    <row r="7946" spans="1:22" s="1192" customFormat="1" ht="14.4" x14ac:dyDescent="0.3">
      <c r="A7946" s="1192" t="s">
        <v>5684</v>
      </c>
      <c r="B7946" s="1192" t="s">
        <v>5691</v>
      </c>
      <c r="E7946" s="1741" t="s">
        <v>209</v>
      </c>
      <c r="F7946" s="1741"/>
      <c r="G7946" s="1277" t="s">
        <v>20</v>
      </c>
      <c r="H7946" s="1219">
        <v>6.7999999999999996E-3</v>
      </c>
      <c r="K7946" s="1192" t="s">
        <v>2921</v>
      </c>
      <c r="L7946" s="1192" t="s">
        <v>432</v>
      </c>
      <c r="P7946" s="1192" t="s">
        <v>2927</v>
      </c>
      <c r="V7946" s="1192">
        <v>74</v>
      </c>
    </row>
    <row r="7947" spans="1:22" s="1192" customFormat="1" ht="14.4" x14ac:dyDescent="0.3">
      <c r="A7947" s="1192" t="s">
        <v>5684</v>
      </c>
      <c r="B7947" s="1192" t="s">
        <v>5691</v>
      </c>
      <c r="E7947" s="1750" t="s">
        <v>2405</v>
      </c>
      <c r="F7947" s="1741"/>
      <c r="G7947" s="1277"/>
      <c r="H7947" s="896"/>
      <c r="K7947" s="1192" t="s">
        <v>2418</v>
      </c>
      <c r="V7947" s="1192">
        <v>48</v>
      </c>
    </row>
    <row r="7948" spans="1:22" s="1192" customFormat="1" ht="14.4" x14ac:dyDescent="0.3">
      <c r="A7948" s="1192" t="s">
        <v>5684</v>
      </c>
      <c r="B7948" s="1192" t="s">
        <v>5691</v>
      </c>
      <c r="E7948" s="1741" t="s">
        <v>2033</v>
      </c>
      <c r="F7948" s="1741"/>
      <c r="G7948" s="1277" t="s">
        <v>20</v>
      </c>
      <c r="H7948" s="1219">
        <v>3.0000000000000001E-3</v>
      </c>
      <c r="K7948" s="1192" t="s">
        <v>2921</v>
      </c>
      <c r="L7948" s="1192" t="s">
        <v>2374</v>
      </c>
      <c r="P7948" s="1192" t="s">
        <v>2928</v>
      </c>
      <c r="V7948" s="1192">
        <v>55</v>
      </c>
    </row>
    <row r="7949" spans="1:22" s="1192" customFormat="1" ht="14.4" x14ac:dyDescent="0.3">
      <c r="A7949" s="1192" t="s">
        <v>5684</v>
      </c>
      <c r="B7949" s="1192" t="s">
        <v>5691</v>
      </c>
      <c r="E7949" s="1741" t="s">
        <v>2034</v>
      </c>
      <c r="F7949" s="1741"/>
      <c r="G7949" s="1277" t="s">
        <v>20</v>
      </c>
      <c r="H7949" s="1219">
        <v>4.0000000000000002E-4</v>
      </c>
      <c r="K7949" s="1192" t="s">
        <v>2921</v>
      </c>
      <c r="L7949" s="1192" t="s">
        <v>2374</v>
      </c>
      <c r="P7949" s="1192" t="s">
        <v>2928</v>
      </c>
      <c r="V7949" s="1192">
        <v>65</v>
      </c>
    </row>
    <row r="7950" spans="1:22" s="1192" customFormat="1" ht="14.4" x14ac:dyDescent="0.3">
      <c r="A7950" s="1192" t="s">
        <v>5684</v>
      </c>
      <c r="B7950" s="1192" t="s">
        <v>5691</v>
      </c>
      <c r="E7950" s="1741" t="s">
        <v>428</v>
      </c>
      <c r="F7950" s="1741"/>
      <c r="G7950" s="1277" t="s">
        <v>20</v>
      </c>
      <c r="H7950" s="1219">
        <v>5.0000000000000001E-4</v>
      </c>
      <c r="K7950" s="1192" t="s">
        <v>2921</v>
      </c>
      <c r="L7950" s="1192" t="s">
        <v>2374</v>
      </c>
      <c r="P7950" s="1192" t="s">
        <v>2929</v>
      </c>
      <c r="V7950" s="1192">
        <v>57</v>
      </c>
    </row>
    <row r="7951" spans="1:22" s="1192" customFormat="1" ht="14.4" x14ac:dyDescent="0.3">
      <c r="A7951" s="1192" t="s">
        <v>5684</v>
      </c>
      <c r="B7951" s="1192" t="s">
        <v>5691</v>
      </c>
      <c r="E7951" s="1741" t="s">
        <v>28</v>
      </c>
      <c r="F7951" s="1741"/>
      <c r="G7951" s="1277" t="s">
        <v>19</v>
      </c>
      <c r="H7951" s="1218">
        <v>0.25</v>
      </c>
      <c r="K7951" s="1192" t="s">
        <v>2921</v>
      </c>
      <c r="L7951" s="1192" t="s">
        <v>2374</v>
      </c>
      <c r="P7951" s="1192" t="s">
        <v>2930</v>
      </c>
      <c r="V7951" s="1192">
        <v>63</v>
      </c>
    </row>
    <row r="7952" spans="1:22" s="1192" customFormat="1" ht="17.399999999999999" x14ac:dyDescent="0.3">
      <c r="A7952" s="1192" t="s">
        <v>5684</v>
      </c>
      <c r="B7952" s="1192" t="s">
        <v>5691</v>
      </c>
      <c r="E7952" s="1746" t="s">
        <v>2522</v>
      </c>
      <c r="F7952" s="1747"/>
      <c r="G7952" s="1747"/>
      <c r="H7952" s="1747"/>
      <c r="K7952" s="1192" t="s">
        <v>4070</v>
      </c>
      <c r="V7952" s="1192">
        <v>54</v>
      </c>
    </row>
    <row r="7953" spans="1:22" s="1192" customFormat="1" ht="14.4" x14ac:dyDescent="0.3">
      <c r="A7953" s="1192" t="s">
        <v>5684</v>
      </c>
      <c r="B7953" s="1192" t="s">
        <v>5691</v>
      </c>
      <c r="E7953" s="1743" t="s">
        <v>2931</v>
      </c>
      <c r="F7953" s="1743"/>
      <c r="G7953" s="1743"/>
      <c r="H7953" s="1743"/>
      <c r="K7953" s="1192" t="s">
        <v>4070</v>
      </c>
      <c r="V7953" s="1192">
        <v>293</v>
      </c>
    </row>
    <row r="7954" spans="1:22" s="1192" customFormat="1" ht="14.4" x14ac:dyDescent="0.3">
      <c r="A7954" s="1192" t="s">
        <v>5684</v>
      </c>
      <c r="B7954" s="1192" t="s">
        <v>5691</v>
      </c>
      <c r="E7954" s="1750" t="s">
        <v>2389</v>
      </c>
      <c r="F7954" s="1743"/>
      <c r="G7954" s="1743"/>
      <c r="H7954" s="1743"/>
      <c r="K7954" s="1192" t="s">
        <v>2422</v>
      </c>
      <c r="V7954" s="1192">
        <v>11</v>
      </c>
    </row>
    <row r="7955" spans="1:22" s="1192" customFormat="1" ht="14.4" x14ac:dyDescent="0.3">
      <c r="A7955" s="1192" t="s">
        <v>5684</v>
      </c>
      <c r="B7955" s="1192" t="s">
        <v>5691</v>
      </c>
      <c r="E7955" s="1743" t="s">
        <v>2391</v>
      </c>
      <c r="F7955" s="1743"/>
      <c r="G7955" s="1743"/>
      <c r="H7955" s="1743"/>
      <c r="K7955" s="1192" t="s">
        <v>4070</v>
      </c>
      <c r="V7955" s="1192">
        <v>280</v>
      </c>
    </row>
    <row r="7956" spans="1:22" s="1192" customFormat="1" ht="14.4" x14ac:dyDescent="0.3">
      <c r="A7956" s="1192" t="s">
        <v>5684</v>
      </c>
      <c r="B7956" s="1192" t="s">
        <v>5691</v>
      </c>
      <c r="E7956" s="1743" t="s">
        <v>2392</v>
      </c>
      <c r="F7956" s="1743"/>
      <c r="G7956" s="1743"/>
      <c r="H7956" s="1743"/>
      <c r="K7956" s="1192" t="s">
        <v>4070</v>
      </c>
      <c r="V7956" s="1192">
        <v>411</v>
      </c>
    </row>
    <row r="7957" spans="1:22" s="1192" customFormat="1" ht="14.4" x14ac:dyDescent="0.3">
      <c r="A7957" s="1192" t="s">
        <v>5684</v>
      </c>
      <c r="B7957" s="1192" t="s">
        <v>5691</v>
      </c>
      <c r="E7957" s="1743" t="s">
        <v>2393</v>
      </c>
      <c r="F7957" s="1743"/>
      <c r="G7957" s="1743"/>
      <c r="H7957" s="1743"/>
      <c r="K7957" s="1192" t="s">
        <v>4070</v>
      </c>
      <c r="V7957" s="1192">
        <v>387</v>
      </c>
    </row>
    <row r="7958" spans="1:22" s="1192" customFormat="1" ht="14.4" x14ac:dyDescent="0.3">
      <c r="A7958" s="1192" t="s">
        <v>5684</v>
      </c>
      <c r="B7958" s="1192" t="s">
        <v>5691</v>
      </c>
      <c r="E7958" s="1743" t="s">
        <v>4500</v>
      </c>
      <c r="F7958" s="1743"/>
      <c r="G7958" s="1743"/>
      <c r="H7958" s="1743"/>
      <c r="K7958" s="1192" t="s">
        <v>4070</v>
      </c>
      <c r="V7958" s="1192">
        <v>247</v>
      </c>
    </row>
    <row r="7959" spans="1:22" s="1192" customFormat="1" ht="14.4" x14ac:dyDescent="0.3">
      <c r="A7959" s="1192" t="s">
        <v>5684</v>
      </c>
      <c r="B7959" s="1192" t="s">
        <v>5691</v>
      </c>
      <c r="E7959" s="1750" t="s">
        <v>2394</v>
      </c>
      <c r="F7959" s="1743"/>
      <c r="G7959" s="1743"/>
      <c r="H7959" s="1743"/>
      <c r="K7959" s="1192" t="s">
        <v>2423</v>
      </c>
      <c r="V7959" s="1192">
        <v>46</v>
      </c>
    </row>
    <row r="7960" spans="1:22" s="1192" customFormat="1" ht="14.4" x14ac:dyDescent="0.3">
      <c r="A7960" s="1192" t="s">
        <v>5684</v>
      </c>
      <c r="B7960" s="1192" t="s">
        <v>5691</v>
      </c>
      <c r="E7960" s="1741" t="s">
        <v>7</v>
      </c>
      <c r="F7960" s="1741"/>
      <c r="G7960" s="1277" t="s">
        <v>19</v>
      </c>
      <c r="H7960" s="1218">
        <v>17.54</v>
      </c>
      <c r="K7960" s="1192" t="s">
        <v>4070</v>
      </c>
      <c r="L7960" s="1192" t="s">
        <v>430</v>
      </c>
      <c r="P7960" s="1192" t="s">
        <v>4071</v>
      </c>
      <c r="V7960" s="1192">
        <v>14</v>
      </c>
    </row>
    <row r="7961" spans="1:22" s="1192" customFormat="1" ht="14.4" x14ac:dyDescent="0.3">
      <c r="A7961" s="1192" t="s">
        <v>5684</v>
      </c>
      <c r="B7961" s="1192" t="s">
        <v>5691</v>
      </c>
      <c r="E7961" s="1741" t="s">
        <v>3900</v>
      </c>
      <c r="F7961" s="1741"/>
      <c r="G7961" s="1277" t="s">
        <v>19</v>
      </c>
      <c r="H7961" s="1218">
        <v>0.56999999999999995</v>
      </c>
      <c r="K7961" s="1192" t="s">
        <v>4070</v>
      </c>
      <c r="L7961" s="1192" t="s">
        <v>431</v>
      </c>
      <c r="P7961" s="1192" t="s">
        <v>4072</v>
      </c>
      <c r="T7961" s="1192">
        <v>44926</v>
      </c>
      <c r="V7961" s="1192">
        <v>64</v>
      </c>
    </row>
    <row r="7962" spans="1:22" s="1192" customFormat="1" ht="14.4" x14ac:dyDescent="0.3">
      <c r="A7962" s="1192" t="s">
        <v>5684</v>
      </c>
      <c r="B7962" s="1192" t="s">
        <v>5691</v>
      </c>
      <c r="E7962" s="1741" t="s">
        <v>80</v>
      </c>
      <c r="F7962" s="1741"/>
      <c r="G7962" s="1277" t="s">
        <v>20</v>
      </c>
      <c r="H7962" s="1219">
        <v>1.77E-2</v>
      </c>
      <c r="K7962" s="1192" t="s">
        <v>4070</v>
      </c>
      <c r="L7962" s="1192" t="s">
        <v>430</v>
      </c>
      <c r="P7962" s="1192" t="s">
        <v>4073</v>
      </c>
      <c r="V7962" s="1192">
        <v>28</v>
      </c>
    </row>
    <row r="7963" spans="1:22" s="1192" customFormat="1" ht="14.4" x14ac:dyDescent="0.3">
      <c r="A7963" s="1192" t="s">
        <v>5684</v>
      </c>
      <c r="B7963" s="1192" t="s">
        <v>5691</v>
      </c>
      <c r="E7963" s="1741" t="s">
        <v>14</v>
      </c>
      <c r="F7963" s="1741"/>
      <c r="G7963" s="1277" t="s">
        <v>20</v>
      </c>
      <c r="H7963" s="1219">
        <v>8.9999999999999998E-4</v>
      </c>
      <c r="K7963" s="1192" t="s">
        <v>4070</v>
      </c>
      <c r="L7963" s="1192" t="s">
        <v>431</v>
      </c>
      <c r="P7963" s="1192" t="s">
        <v>4074</v>
      </c>
      <c r="V7963" s="1192">
        <v>24</v>
      </c>
    </row>
    <row r="7964" spans="1:22" s="1192" customFormat="1" ht="14.4" x14ac:dyDescent="0.3">
      <c r="A7964" s="1192" t="s">
        <v>5684</v>
      </c>
      <c r="B7964" s="1192" t="s">
        <v>5691</v>
      </c>
      <c r="E7964" s="1741" t="s">
        <v>213</v>
      </c>
      <c r="F7964" s="1741"/>
      <c r="G7964" s="1277" t="s">
        <v>20</v>
      </c>
      <c r="H7964" s="1219">
        <v>6.4000000000000003E-3</v>
      </c>
      <c r="K7964" s="1192" t="s">
        <v>4070</v>
      </c>
      <c r="L7964" s="1192" t="s">
        <v>432</v>
      </c>
      <c r="P7964" s="1192" t="s">
        <v>4078</v>
      </c>
      <c r="V7964" s="1192">
        <v>47</v>
      </c>
    </row>
    <row r="7965" spans="1:22" s="1192" customFormat="1" ht="14.4" x14ac:dyDescent="0.3">
      <c r="A7965" s="1192" t="s">
        <v>5684</v>
      </c>
      <c r="B7965" s="1192" t="s">
        <v>5691</v>
      </c>
      <c r="E7965" s="1741" t="s">
        <v>209</v>
      </c>
      <c r="F7965" s="1741"/>
      <c r="G7965" s="1277" t="s">
        <v>20</v>
      </c>
      <c r="H7965" s="1219">
        <v>4.7999999999999996E-3</v>
      </c>
      <c r="K7965" s="1192" t="s">
        <v>4070</v>
      </c>
      <c r="L7965" s="1192" t="s">
        <v>432</v>
      </c>
      <c r="P7965" s="1192" t="s">
        <v>4079</v>
      </c>
      <c r="V7965" s="1192">
        <v>74</v>
      </c>
    </row>
    <row r="7966" spans="1:22" s="1192" customFormat="1" ht="14.4" x14ac:dyDescent="0.3">
      <c r="A7966" s="1192" t="s">
        <v>5684</v>
      </c>
      <c r="B7966" s="1192" t="s">
        <v>5691</v>
      </c>
      <c r="E7966" s="1750" t="s">
        <v>2405</v>
      </c>
      <c r="F7966" s="1741"/>
      <c r="G7966" s="1277"/>
      <c r="H7966" s="896"/>
      <c r="K7966" s="1192" t="s">
        <v>2526</v>
      </c>
      <c r="V7966" s="1192">
        <v>48</v>
      </c>
    </row>
    <row r="7967" spans="1:22" s="1192" customFormat="1" ht="14.4" x14ac:dyDescent="0.3">
      <c r="A7967" s="1192" t="s">
        <v>5684</v>
      </c>
      <c r="B7967" s="1192" t="s">
        <v>5691</v>
      </c>
      <c r="E7967" s="1741" t="s">
        <v>2033</v>
      </c>
      <c r="F7967" s="1741"/>
      <c r="G7967" s="1277" t="s">
        <v>20</v>
      </c>
      <c r="H7967" s="1219">
        <v>3.0000000000000001E-3</v>
      </c>
      <c r="K7967" s="1192" t="s">
        <v>4070</v>
      </c>
      <c r="L7967" s="1192" t="s">
        <v>2374</v>
      </c>
      <c r="P7967" s="1192" t="s">
        <v>4080</v>
      </c>
      <c r="V7967" s="1192">
        <v>55</v>
      </c>
    </row>
    <row r="7968" spans="1:22" s="1192" customFormat="1" ht="14.4" x14ac:dyDescent="0.3">
      <c r="A7968" s="1192" t="s">
        <v>5684</v>
      </c>
      <c r="B7968" s="1192" t="s">
        <v>5691</v>
      </c>
      <c r="E7968" s="1741" t="s">
        <v>2034</v>
      </c>
      <c r="F7968" s="1741"/>
      <c r="G7968" s="1277" t="s">
        <v>20</v>
      </c>
      <c r="H7968" s="1219">
        <v>4.0000000000000002E-4</v>
      </c>
      <c r="K7968" s="1192" t="s">
        <v>4070</v>
      </c>
      <c r="L7968" s="1192" t="s">
        <v>2374</v>
      </c>
      <c r="P7968" s="1192" t="s">
        <v>4080</v>
      </c>
      <c r="V7968" s="1192">
        <v>65</v>
      </c>
    </row>
    <row r="7969" spans="1:22" s="1192" customFormat="1" ht="14.4" x14ac:dyDescent="0.3">
      <c r="A7969" s="1192" t="s">
        <v>5684</v>
      </c>
      <c r="B7969" s="1192" t="s">
        <v>5691</v>
      </c>
      <c r="E7969" s="1741" t="s">
        <v>428</v>
      </c>
      <c r="F7969" s="1741"/>
      <c r="G7969" s="1277" t="s">
        <v>20</v>
      </c>
      <c r="H7969" s="1219">
        <v>5.0000000000000001E-4</v>
      </c>
      <c r="K7969" s="1192" t="s">
        <v>4070</v>
      </c>
      <c r="L7969" s="1192" t="s">
        <v>2374</v>
      </c>
      <c r="P7969" s="1192" t="s">
        <v>4081</v>
      </c>
      <c r="V7969" s="1192">
        <v>57</v>
      </c>
    </row>
    <row r="7970" spans="1:22" s="1192" customFormat="1" ht="14.4" x14ac:dyDescent="0.3">
      <c r="A7970" s="1192" t="s">
        <v>5684</v>
      </c>
      <c r="B7970" s="1192" t="s">
        <v>5691</v>
      </c>
      <c r="E7970" s="1741" t="s">
        <v>28</v>
      </c>
      <c r="F7970" s="1741"/>
      <c r="G7970" s="1277" t="s">
        <v>19</v>
      </c>
      <c r="H7970" s="1218">
        <v>0.25</v>
      </c>
      <c r="K7970" s="1192" t="s">
        <v>4070</v>
      </c>
      <c r="L7970" s="1192" t="s">
        <v>2374</v>
      </c>
      <c r="P7970" s="1192" t="s">
        <v>4082</v>
      </c>
      <c r="V7970" s="1192">
        <v>63</v>
      </c>
    </row>
    <row r="7971" spans="1:22" s="1192" customFormat="1" ht="17.399999999999999" x14ac:dyDescent="0.3">
      <c r="A7971" s="1192" t="s">
        <v>5684</v>
      </c>
      <c r="B7971" s="1192" t="s">
        <v>5691</v>
      </c>
      <c r="E7971" s="1746" t="s">
        <v>611</v>
      </c>
      <c r="F7971" s="1747"/>
      <c r="G7971" s="1747"/>
      <c r="H7971" s="1747"/>
      <c r="K7971" s="1192" t="s">
        <v>2932</v>
      </c>
      <c r="V7971" s="1192">
        <v>53</v>
      </c>
    </row>
    <row r="7972" spans="1:22" s="1192" customFormat="1" ht="14.4" x14ac:dyDescent="0.3">
      <c r="A7972" s="1192" t="s">
        <v>5684</v>
      </c>
      <c r="B7972" s="1192" t="s">
        <v>5691</v>
      </c>
      <c r="E7972" s="1743" t="s">
        <v>2933</v>
      </c>
      <c r="F7972" s="1743"/>
      <c r="G7972" s="1743"/>
      <c r="H7972" s="1743"/>
      <c r="K7972" s="1192" t="s">
        <v>2932</v>
      </c>
      <c r="V7972" s="1192">
        <v>386</v>
      </c>
    </row>
    <row r="7973" spans="1:22" s="1192" customFormat="1" ht="14.4" x14ac:dyDescent="0.3">
      <c r="A7973" s="1192" t="s">
        <v>5684</v>
      </c>
      <c r="B7973" s="1192" t="s">
        <v>5691</v>
      </c>
      <c r="E7973" s="1750" t="s">
        <v>2389</v>
      </c>
      <c r="F7973" s="1743"/>
      <c r="G7973" s="1743"/>
      <c r="H7973" s="1743"/>
      <c r="K7973" s="1192" t="s">
        <v>2529</v>
      </c>
      <c r="V7973" s="1192">
        <v>11</v>
      </c>
    </row>
    <row r="7974" spans="1:22" s="1192" customFormat="1" ht="14.4" x14ac:dyDescent="0.3">
      <c r="A7974" s="1192" t="s">
        <v>5684</v>
      </c>
      <c r="B7974" s="1192" t="s">
        <v>5691</v>
      </c>
      <c r="E7974" s="1743" t="s">
        <v>2391</v>
      </c>
      <c r="F7974" s="1743"/>
      <c r="G7974" s="1743"/>
      <c r="H7974" s="1743"/>
      <c r="K7974" s="1192" t="s">
        <v>2932</v>
      </c>
      <c r="V7974" s="1192">
        <v>280</v>
      </c>
    </row>
    <row r="7975" spans="1:22" s="1192" customFormat="1" ht="14.4" x14ac:dyDescent="0.3">
      <c r="A7975" s="1192" t="s">
        <v>5684</v>
      </c>
      <c r="B7975" s="1192" t="s">
        <v>5691</v>
      </c>
      <c r="E7975" s="1743" t="s">
        <v>2392</v>
      </c>
      <c r="F7975" s="1743"/>
      <c r="G7975" s="1743"/>
      <c r="H7975" s="1743"/>
      <c r="K7975" s="1192" t="s">
        <v>2932</v>
      </c>
      <c r="V7975" s="1192">
        <v>411</v>
      </c>
    </row>
    <row r="7976" spans="1:22" s="1192" customFormat="1" ht="14.4" x14ac:dyDescent="0.3">
      <c r="A7976" s="1192" t="s">
        <v>5684</v>
      </c>
      <c r="B7976" s="1192" t="s">
        <v>5691</v>
      </c>
      <c r="E7976" s="1743" t="s">
        <v>2393</v>
      </c>
      <c r="F7976" s="1743"/>
      <c r="G7976" s="1743"/>
      <c r="H7976" s="1743"/>
      <c r="K7976" s="1192" t="s">
        <v>2932</v>
      </c>
      <c r="V7976" s="1192">
        <v>387</v>
      </c>
    </row>
    <row r="7977" spans="1:22" s="1192" customFormat="1" ht="14.4" x14ac:dyDescent="0.3">
      <c r="A7977" s="1192" t="s">
        <v>5684</v>
      </c>
      <c r="B7977" s="1192" t="s">
        <v>5691</v>
      </c>
      <c r="E7977" s="1743" t="s">
        <v>4503</v>
      </c>
      <c r="F7977" s="1743"/>
      <c r="G7977" s="1743"/>
      <c r="H7977" s="1743"/>
      <c r="K7977" s="1192" t="s">
        <v>2932</v>
      </c>
      <c r="V7977" s="1192">
        <v>677</v>
      </c>
    </row>
    <row r="7978" spans="1:22" s="1192" customFormat="1" ht="14.4" x14ac:dyDescent="0.3">
      <c r="A7978" s="1192" t="s">
        <v>5684</v>
      </c>
      <c r="B7978" s="1192" t="s">
        <v>5691</v>
      </c>
      <c r="E7978" s="1743" t="s">
        <v>4605</v>
      </c>
      <c r="F7978" s="1743"/>
      <c r="G7978" s="1743"/>
      <c r="H7978" s="1743"/>
      <c r="K7978" s="1192" t="s">
        <v>2932</v>
      </c>
      <c r="V7978" s="1192">
        <v>684</v>
      </c>
    </row>
    <row r="7979" spans="1:22" s="1192" customFormat="1" ht="14.4" x14ac:dyDescent="0.3">
      <c r="A7979" s="1192" t="s">
        <v>5684</v>
      </c>
      <c r="B7979" s="1192" t="s">
        <v>5691</v>
      </c>
      <c r="E7979" s="1743" t="s">
        <v>4500</v>
      </c>
      <c r="F7979" s="1743"/>
      <c r="G7979" s="1743"/>
      <c r="H7979" s="1743"/>
      <c r="K7979" s="1192" t="s">
        <v>2932</v>
      </c>
      <c r="V7979" s="1192">
        <v>247</v>
      </c>
    </row>
    <row r="7980" spans="1:22" s="1192" customFormat="1" ht="14.4" x14ac:dyDescent="0.3">
      <c r="A7980" s="1192" t="s">
        <v>5684</v>
      </c>
      <c r="B7980" s="1192" t="s">
        <v>5691</v>
      </c>
      <c r="E7980" s="1750" t="s">
        <v>2394</v>
      </c>
      <c r="F7980" s="1743"/>
      <c r="G7980" s="1743"/>
      <c r="H7980" s="1743"/>
      <c r="K7980" s="1192" t="s">
        <v>2531</v>
      </c>
      <c r="V7980" s="1192">
        <v>46</v>
      </c>
    </row>
    <row r="7981" spans="1:22" s="1192" customFormat="1" ht="14.4" x14ac:dyDescent="0.3">
      <c r="A7981" s="1192" t="s">
        <v>5684</v>
      </c>
      <c r="B7981" s="1192" t="s">
        <v>5691</v>
      </c>
      <c r="E7981" s="1741" t="s">
        <v>7</v>
      </c>
      <c r="F7981" s="1741"/>
      <c r="G7981" s="1277" t="s">
        <v>19</v>
      </c>
      <c r="H7981" s="1218">
        <v>112.13</v>
      </c>
      <c r="K7981" s="1192" t="s">
        <v>2932</v>
      </c>
      <c r="L7981" s="1192" t="s">
        <v>430</v>
      </c>
      <c r="P7981" s="1192" t="s">
        <v>2934</v>
      </c>
      <c r="V7981" s="1192">
        <v>14</v>
      </c>
    </row>
    <row r="7982" spans="1:22" s="1192" customFormat="1" ht="14.4" x14ac:dyDescent="0.3">
      <c r="A7982" s="1192" t="s">
        <v>5684</v>
      </c>
      <c r="B7982" s="1192" t="s">
        <v>5691</v>
      </c>
      <c r="E7982" s="1741" t="s">
        <v>80</v>
      </c>
      <c r="F7982" s="1741"/>
      <c r="G7982" s="1277" t="s">
        <v>29</v>
      </c>
      <c r="H7982" s="1219">
        <v>3.4594999999999998</v>
      </c>
      <c r="K7982" s="1192" t="s">
        <v>2932</v>
      </c>
      <c r="L7982" s="1192" t="s">
        <v>430</v>
      </c>
      <c r="P7982" s="1192" t="s">
        <v>2935</v>
      </c>
      <c r="V7982" s="1192">
        <v>28</v>
      </c>
    </row>
    <row r="7983" spans="1:22" s="1192" customFormat="1" ht="14.4" x14ac:dyDescent="0.3">
      <c r="A7983" s="1192" t="s">
        <v>5684</v>
      </c>
      <c r="B7983" s="1192" t="s">
        <v>5691</v>
      </c>
      <c r="E7983" s="1741" t="s">
        <v>14</v>
      </c>
      <c r="F7983" s="1741"/>
      <c r="G7983" s="1277" t="s">
        <v>29</v>
      </c>
      <c r="H7983" s="1219">
        <v>0.38579999999999998</v>
      </c>
      <c r="K7983" s="1192" t="s">
        <v>2932</v>
      </c>
      <c r="L7983" s="1192" t="s">
        <v>431</v>
      </c>
      <c r="P7983" s="1192" t="s">
        <v>2936</v>
      </c>
      <c r="V7983" s="1192">
        <v>24</v>
      </c>
    </row>
    <row r="7984" spans="1:22" s="1192" customFormat="1" ht="14.4" x14ac:dyDescent="0.3">
      <c r="A7984" s="1192" t="s">
        <v>5684</v>
      </c>
      <c r="B7984" s="1192" t="s">
        <v>5691</v>
      </c>
      <c r="E7984" s="1741" t="s">
        <v>213</v>
      </c>
      <c r="F7984" s="1741"/>
      <c r="G7984" s="1277" t="s">
        <v>29</v>
      </c>
      <c r="H7984" s="1219">
        <v>3.129</v>
      </c>
      <c r="K7984" s="1192" t="s">
        <v>2932</v>
      </c>
      <c r="L7984" s="1192" t="s">
        <v>432</v>
      </c>
      <c r="P7984" s="1192" t="s">
        <v>2937</v>
      </c>
      <c r="V7984" s="1192">
        <v>47</v>
      </c>
    </row>
    <row r="7985" spans="1:22" s="1192" customFormat="1" ht="14.4" x14ac:dyDescent="0.3">
      <c r="A7985" s="1192" t="s">
        <v>5684</v>
      </c>
      <c r="B7985" s="1192" t="s">
        <v>5691</v>
      </c>
      <c r="E7985" s="1741" t="s">
        <v>209</v>
      </c>
      <c r="F7985" s="1741"/>
      <c r="G7985" s="1277" t="s">
        <v>29</v>
      </c>
      <c r="H7985" s="1219">
        <v>2.2551000000000001</v>
      </c>
      <c r="K7985" s="1192" t="s">
        <v>2932</v>
      </c>
      <c r="L7985" s="1192" t="s">
        <v>432</v>
      </c>
      <c r="P7985" s="1192" t="s">
        <v>2938</v>
      </c>
      <c r="V7985" s="1192">
        <v>74</v>
      </c>
    </row>
    <row r="7986" spans="1:22" s="1192" customFormat="1" ht="14.4" x14ac:dyDescent="0.3">
      <c r="A7986" s="1192" t="s">
        <v>5684</v>
      </c>
      <c r="B7986" s="1192" t="s">
        <v>5691</v>
      </c>
      <c r="E7986" s="1750" t="s">
        <v>2405</v>
      </c>
      <c r="F7986" s="1741"/>
      <c r="G7986" s="1277"/>
      <c r="H7986" s="896"/>
      <c r="K7986" s="1192" t="s">
        <v>2532</v>
      </c>
      <c r="V7986" s="1192">
        <v>48</v>
      </c>
    </row>
    <row r="7987" spans="1:22" s="1192" customFormat="1" ht="14.4" x14ac:dyDescent="0.3">
      <c r="A7987" s="1192" t="s">
        <v>5684</v>
      </c>
      <c r="B7987" s="1192" t="s">
        <v>5691</v>
      </c>
      <c r="E7987" s="1741" t="s">
        <v>2033</v>
      </c>
      <c r="F7987" s="1741"/>
      <c r="G7987" s="1277" t="s">
        <v>20</v>
      </c>
      <c r="H7987" s="1219">
        <v>3.0000000000000001E-3</v>
      </c>
      <c r="K7987" s="1192" t="s">
        <v>2932</v>
      </c>
      <c r="L7987" s="1192" t="s">
        <v>2374</v>
      </c>
      <c r="P7987" s="1192" t="s">
        <v>2939</v>
      </c>
      <c r="V7987" s="1192">
        <v>55</v>
      </c>
    </row>
    <row r="7988" spans="1:22" s="1192" customFormat="1" ht="14.4" x14ac:dyDescent="0.3">
      <c r="A7988" s="1192" t="s">
        <v>5684</v>
      </c>
      <c r="B7988" s="1192" t="s">
        <v>5691</v>
      </c>
      <c r="E7988" s="1741" t="s">
        <v>2034</v>
      </c>
      <c r="F7988" s="1741"/>
      <c r="G7988" s="1277" t="s">
        <v>20</v>
      </c>
      <c r="H7988" s="1219">
        <v>4.0000000000000002E-4</v>
      </c>
      <c r="K7988" s="1192" t="s">
        <v>2932</v>
      </c>
      <c r="L7988" s="1192" t="s">
        <v>2374</v>
      </c>
      <c r="P7988" s="1192" t="s">
        <v>2939</v>
      </c>
      <c r="V7988" s="1192">
        <v>65</v>
      </c>
    </row>
    <row r="7989" spans="1:22" s="1192" customFormat="1" ht="14.4" x14ac:dyDescent="0.3">
      <c r="A7989" s="1192" t="s">
        <v>5684</v>
      </c>
      <c r="B7989" s="1192" t="s">
        <v>5691</v>
      </c>
      <c r="E7989" s="1741" t="s">
        <v>428</v>
      </c>
      <c r="F7989" s="1741"/>
      <c r="G7989" s="1277" t="s">
        <v>20</v>
      </c>
      <c r="H7989" s="1219">
        <v>5.0000000000000001E-4</v>
      </c>
      <c r="K7989" s="1192" t="s">
        <v>2932</v>
      </c>
      <c r="L7989" s="1192" t="s">
        <v>2374</v>
      </c>
      <c r="P7989" s="1192" t="s">
        <v>2940</v>
      </c>
      <c r="V7989" s="1192">
        <v>57</v>
      </c>
    </row>
    <row r="7990" spans="1:22" s="1192" customFormat="1" ht="14.4" x14ac:dyDescent="0.3">
      <c r="A7990" s="1192" t="s">
        <v>5684</v>
      </c>
      <c r="B7990" s="1192" t="s">
        <v>5691</v>
      </c>
      <c r="E7990" s="1741" t="s">
        <v>28</v>
      </c>
      <c r="F7990" s="1741"/>
      <c r="G7990" s="1277" t="s">
        <v>19</v>
      </c>
      <c r="H7990" s="1218">
        <v>0.25</v>
      </c>
      <c r="K7990" s="1192" t="s">
        <v>2932</v>
      </c>
      <c r="L7990" s="1192" t="s">
        <v>2374</v>
      </c>
      <c r="P7990" s="1192" t="s">
        <v>2941</v>
      </c>
      <c r="V7990" s="1192">
        <v>63</v>
      </c>
    </row>
    <row r="7991" spans="1:22" s="1192" customFormat="1" ht="17.399999999999999" x14ac:dyDescent="0.3">
      <c r="A7991" s="1192" t="s">
        <v>5684</v>
      </c>
      <c r="B7991" s="1192" t="s">
        <v>5691</v>
      </c>
      <c r="E7991" s="1746" t="s">
        <v>612</v>
      </c>
      <c r="F7991" s="1747"/>
      <c r="G7991" s="1747"/>
      <c r="H7991" s="1747"/>
      <c r="K7991" s="1192" t="s">
        <v>2942</v>
      </c>
      <c r="V7991" s="1192">
        <v>56</v>
      </c>
    </row>
    <row r="7992" spans="1:22" s="1192" customFormat="1" ht="14.4" x14ac:dyDescent="0.3">
      <c r="A7992" s="1192" t="s">
        <v>5684</v>
      </c>
      <c r="B7992" s="1192" t="s">
        <v>5691</v>
      </c>
      <c r="E7992" s="1743" t="s">
        <v>2943</v>
      </c>
      <c r="F7992" s="1743"/>
      <c r="G7992" s="1743"/>
      <c r="H7992" s="1743"/>
      <c r="K7992" s="1192" t="s">
        <v>2942</v>
      </c>
      <c r="V7992" s="1192">
        <v>401</v>
      </c>
    </row>
    <row r="7993" spans="1:22" s="1192" customFormat="1" ht="14.4" x14ac:dyDescent="0.3">
      <c r="A7993" s="1192" t="s">
        <v>5684</v>
      </c>
      <c r="B7993" s="1192" t="s">
        <v>5691</v>
      </c>
      <c r="E7993" s="1750" t="s">
        <v>2389</v>
      </c>
      <c r="F7993" s="1743"/>
      <c r="G7993" s="1743"/>
      <c r="H7993" s="1743"/>
      <c r="K7993" s="1192" t="s">
        <v>2424</v>
      </c>
      <c r="V7993" s="1192">
        <v>11</v>
      </c>
    </row>
    <row r="7994" spans="1:22" s="1192" customFormat="1" ht="14.4" x14ac:dyDescent="0.3">
      <c r="A7994" s="1192" t="s">
        <v>5684</v>
      </c>
      <c r="B7994" s="1192" t="s">
        <v>5691</v>
      </c>
      <c r="E7994" s="1743" t="s">
        <v>2391</v>
      </c>
      <c r="F7994" s="1743"/>
      <c r="G7994" s="1743"/>
      <c r="H7994" s="1743"/>
      <c r="K7994" s="1192" t="s">
        <v>2942</v>
      </c>
      <c r="V7994" s="1192">
        <v>280</v>
      </c>
    </row>
    <row r="7995" spans="1:22" s="1192" customFormat="1" ht="14.4" x14ac:dyDescent="0.3">
      <c r="A7995" s="1192" t="s">
        <v>5684</v>
      </c>
      <c r="B7995" s="1192" t="s">
        <v>5691</v>
      </c>
      <c r="E7995" s="1743" t="s">
        <v>2392</v>
      </c>
      <c r="F7995" s="1743"/>
      <c r="G7995" s="1743"/>
      <c r="H7995" s="1743"/>
      <c r="K7995" s="1192" t="s">
        <v>2942</v>
      </c>
      <c r="V7995" s="1192">
        <v>411</v>
      </c>
    </row>
    <row r="7996" spans="1:22" s="1192" customFormat="1" ht="14.4" x14ac:dyDescent="0.3">
      <c r="A7996" s="1192" t="s">
        <v>5684</v>
      </c>
      <c r="B7996" s="1192" t="s">
        <v>5691</v>
      </c>
      <c r="E7996" s="1743" t="s">
        <v>2393</v>
      </c>
      <c r="F7996" s="1743"/>
      <c r="G7996" s="1743"/>
      <c r="H7996" s="1743"/>
      <c r="K7996" s="1192" t="s">
        <v>2942</v>
      </c>
      <c r="V7996" s="1192">
        <v>387</v>
      </c>
    </row>
    <row r="7997" spans="1:22" s="1192" customFormat="1" ht="14.4" x14ac:dyDescent="0.3">
      <c r="A7997" s="1192" t="s">
        <v>5684</v>
      </c>
      <c r="B7997" s="1192" t="s">
        <v>5691</v>
      </c>
      <c r="E7997" s="1743" t="s">
        <v>4503</v>
      </c>
      <c r="F7997" s="1743"/>
      <c r="G7997" s="1743"/>
      <c r="H7997" s="1743"/>
      <c r="K7997" s="1192" t="s">
        <v>2942</v>
      </c>
      <c r="V7997" s="1192">
        <v>677</v>
      </c>
    </row>
    <row r="7998" spans="1:22" s="1192" customFormat="1" ht="14.4" x14ac:dyDescent="0.3">
      <c r="A7998" s="1192" t="s">
        <v>5684</v>
      </c>
      <c r="B7998" s="1192" t="s">
        <v>5691</v>
      </c>
      <c r="E7998" s="1743" t="s">
        <v>4605</v>
      </c>
      <c r="F7998" s="1743"/>
      <c r="G7998" s="1743"/>
      <c r="H7998" s="1743"/>
      <c r="K7998" s="1192" t="s">
        <v>2942</v>
      </c>
      <c r="V7998" s="1192">
        <v>684</v>
      </c>
    </row>
    <row r="7999" spans="1:22" s="1192" customFormat="1" ht="14.4" x14ac:dyDescent="0.3">
      <c r="A7999" s="1192" t="s">
        <v>5684</v>
      </c>
      <c r="B7999" s="1192" t="s">
        <v>5691</v>
      </c>
      <c r="E7999" s="1743" t="s">
        <v>4500</v>
      </c>
      <c r="F7999" s="1743"/>
      <c r="G7999" s="1743"/>
      <c r="H7999" s="1743"/>
      <c r="K7999" s="1192" t="s">
        <v>2942</v>
      </c>
      <c r="V7999" s="1192">
        <v>247</v>
      </c>
    </row>
    <row r="8000" spans="1:22" s="1192" customFormat="1" ht="14.4" x14ac:dyDescent="0.3">
      <c r="A8000" s="1192" t="s">
        <v>5684</v>
      </c>
      <c r="B8000" s="1192" t="s">
        <v>5691</v>
      </c>
      <c r="E8000" s="1750" t="s">
        <v>2394</v>
      </c>
      <c r="F8000" s="1743"/>
      <c r="G8000" s="1743"/>
      <c r="H8000" s="1743"/>
      <c r="K8000" s="1192" t="s">
        <v>2425</v>
      </c>
      <c r="V8000" s="1192">
        <v>46</v>
      </c>
    </row>
    <row r="8001" spans="1:22" s="1192" customFormat="1" ht="14.4" x14ac:dyDescent="0.3">
      <c r="A8001" s="1192" t="s">
        <v>5684</v>
      </c>
      <c r="B8001" s="1192" t="s">
        <v>5691</v>
      </c>
      <c r="E8001" s="1741" t="s">
        <v>7</v>
      </c>
      <c r="F8001" s="1741"/>
      <c r="G8001" s="1277" t="s">
        <v>19</v>
      </c>
      <c r="H8001" s="1218">
        <v>5892.34</v>
      </c>
      <c r="K8001" s="1192" t="s">
        <v>2942</v>
      </c>
      <c r="L8001" s="1192" t="s">
        <v>430</v>
      </c>
      <c r="P8001" s="1192" t="s">
        <v>2944</v>
      </c>
      <c r="V8001" s="1192">
        <v>14</v>
      </c>
    </row>
    <row r="8002" spans="1:22" s="1192" customFormat="1" ht="14.4" x14ac:dyDescent="0.3">
      <c r="A8002" s="1192" t="s">
        <v>5684</v>
      </c>
      <c r="B8002" s="1192" t="s">
        <v>5691</v>
      </c>
      <c r="E8002" s="1741" t="s">
        <v>80</v>
      </c>
      <c r="F8002" s="1741"/>
      <c r="G8002" s="1277" t="s">
        <v>29</v>
      </c>
      <c r="H8002" s="1219">
        <v>2.1918000000000002</v>
      </c>
      <c r="K8002" s="1192" t="s">
        <v>2942</v>
      </c>
      <c r="L8002" s="1192" t="s">
        <v>430</v>
      </c>
      <c r="P8002" s="1192" t="s">
        <v>2945</v>
      </c>
      <c r="V8002" s="1192">
        <v>28</v>
      </c>
    </row>
    <row r="8003" spans="1:22" s="1192" customFormat="1" ht="14.4" x14ac:dyDescent="0.3">
      <c r="A8003" s="1192" t="s">
        <v>5684</v>
      </c>
      <c r="B8003" s="1192" t="s">
        <v>5691</v>
      </c>
      <c r="E8003" s="1741" t="s">
        <v>14</v>
      </c>
      <c r="F8003" s="1741"/>
      <c r="G8003" s="1277" t="s">
        <v>29</v>
      </c>
      <c r="H8003" s="1219">
        <v>0.43459999999999999</v>
      </c>
      <c r="K8003" s="1192" t="s">
        <v>2942</v>
      </c>
      <c r="L8003" s="1192" t="s">
        <v>431</v>
      </c>
      <c r="P8003" s="1192" t="s">
        <v>2946</v>
      </c>
      <c r="V8003" s="1192">
        <v>24</v>
      </c>
    </row>
    <row r="8004" spans="1:22" s="1192" customFormat="1" ht="14.4" x14ac:dyDescent="0.3">
      <c r="A8004" s="1192" t="s">
        <v>5684</v>
      </c>
      <c r="B8004" s="1192" t="s">
        <v>5691</v>
      </c>
      <c r="E8004" s="1741" t="s">
        <v>213</v>
      </c>
      <c r="F8004" s="1741"/>
      <c r="G8004" s="1277" t="s">
        <v>29</v>
      </c>
      <c r="H8004" s="1219">
        <v>3.4472999999999998</v>
      </c>
      <c r="K8004" s="1192" t="s">
        <v>2942</v>
      </c>
      <c r="L8004" s="1192" t="s">
        <v>432</v>
      </c>
      <c r="P8004" s="1192" t="s">
        <v>2947</v>
      </c>
      <c r="V8004" s="1192">
        <v>47</v>
      </c>
    </row>
    <row r="8005" spans="1:22" s="1192" customFormat="1" ht="14.4" x14ac:dyDescent="0.3">
      <c r="A8005" s="1192" t="s">
        <v>5684</v>
      </c>
      <c r="B8005" s="1192" t="s">
        <v>5691</v>
      </c>
      <c r="E8005" s="1741" t="s">
        <v>2847</v>
      </c>
      <c r="F8005" s="1741"/>
      <c r="G8005" s="1277" t="s">
        <v>29</v>
      </c>
      <c r="H8005" s="1219">
        <v>2.4767000000000001</v>
      </c>
      <c r="K8005" s="1192" t="s">
        <v>2942</v>
      </c>
      <c r="L8005" s="1192" t="s">
        <v>432</v>
      </c>
      <c r="P8005" s="1192" t="s">
        <v>6522</v>
      </c>
      <c r="V8005" s="1192">
        <v>75</v>
      </c>
    </row>
    <row r="8006" spans="1:22" s="1192" customFormat="1" ht="14.4" x14ac:dyDescent="0.3">
      <c r="A8006" s="1192" t="s">
        <v>5684</v>
      </c>
      <c r="B8006" s="1192" t="s">
        <v>5691</v>
      </c>
      <c r="E8006" s="1750" t="s">
        <v>2405</v>
      </c>
      <c r="F8006" s="1741"/>
      <c r="G8006" s="1277"/>
      <c r="H8006" s="896"/>
      <c r="K8006" s="1192" t="s">
        <v>2427</v>
      </c>
      <c r="V8006" s="1192">
        <v>48</v>
      </c>
    </row>
    <row r="8007" spans="1:22" s="1192" customFormat="1" ht="14.4" x14ac:dyDescent="0.3">
      <c r="A8007" s="1192" t="s">
        <v>5684</v>
      </c>
      <c r="B8007" s="1192" t="s">
        <v>5691</v>
      </c>
      <c r="E8007" s="1741" t="s">
        <v>2033</v>
      </c>
      <c r="F8007" s="1741"/>
      <c r="G8007" s="1277" t="s">
        <v>20</v>
      </c>
      <c r="H8007" s="1219">
        <v>3.0000000000000001E-3</v>
      </c>
      <c r="K8007" s="1192" t="s">
        <v>2942</v>
      </c>
      <c r="L8007" s="1192" t="s">
        <v>2374</v>
      </c>
      <c r="P8007" s="1192" t="s">
        <v>2948</v>
      </c>
      <c r="V8007" s="1192">
        <v>55</v>
      </c>
    </row>
    <row r="8008" spans="1:22" s="1192" customFormat="1" ht="14.4" x14ac:dyDescent="0.3">
      <c r="A8008" s="1192" t="s">
        <v>5684</v>
      </c>
      <c r="B8008" s="1192" t="s">
        <v>5691</v>
      </c>
      <c r="E8008" s="1741" t="s">
        <v>2034</v>
      </c>
      <c r="F8008" s="1741"/>
      <c r="G8008" s="1277" t="s">
        <v>20</v>
      </c>
      <c r="H8008" s="1219">
        <v>4.0000000000000002E-4</v>
      </c>
      <c r="K8008" s="1192" t="s">
        <v>2942</v>
      </c>
      <c r="L8008" s="1192" t="s">
        <v>2374</v>
      </c>
      <c r="P8008" s="1192" t="s">
        <v>2948</v>
      </c>
      <c r="V8008" s="1192">
        <v>65</v>
      </c>
    </row>
    <row r="8009" spans="1:22" s="1192" customFormat="1" ht="14.4" x14ac:dyDescent="0.3">
      <c r="A8009" s="1192" t="s">
        <v>5684</v>
      </c>
      <c r="B8009" s="1192" t="s">
        <v>5691</v>
      </c>
      <c r="E8009" s="1741" t="s">
        <v>428</v>
      </c>
      <c r="F8009" s="1741"/>
      <c r="G8009" s="1277" t="s">
        <v>20</v>
      </c>
      <c r="H8009" s="1219">
        <v>5.0000000000000001E-4</v>
      </c>
      <c r="K8009" s="1192" t="s">
        <v>2942</v>
      </c>
      <c r="L8009" s="1192" t="s">
        <v>2374</v>
      </c>
      <c r="P8009" s="1192" t="s">
        <v>2949</v>
      </c>
      <c r="V8009" s="1192">
        <v>57</v>
      </c>
    </row>
    <row r="8010" spans="1:22" s="1192" customFormat="1" ht="14.4" x14ac:dyDescent="0.3">
      <c r="A8010" s="1192" t="s">
        <v>5684</v>
      </c>
      <c r="B8010" s="1192" t="s">
        <v>5691</v>
      </c>
      <c r="E8010" s="1741" t="s">
        <v>28</v>
      </c>
      <c r="F8010" s="1741"/>
      <c r="G8010" s="1277" t="s">
        <v>19</v>
      </c>
      <c r="H8010" s="1218">
        <v>0.25</v>
      </c>
      <c r="K8010" s="1192" t="s">
        <v>2942</v>
      </c>
      <c r="L8010" s="1192" t="s">
        <v>2374</v>
      </c>
      <c r="P8010" s="1192" t="s">
        <v>2950</v>
      </c>
      <c r="V8010" s="1192">
        <v>63</v>
      </c>
    </row>
    <row r="8011" spans="1:22" s="1192" customFormat="1" ht="17.399999999999999" x14ac:dyDescent="0.3">
      <c r="A8011" s="1192" t="s">
        <v>5684</v>
      </c>
      <c r="B8011" s="1192" t="s">
        <v>5691</v>
      </c>
      <c r="E8011" s="1746" t="s">
        <v>596</v>
      </c>
      <c r="F8011" s="1747"/>
      <c r="G8011" s="1747"/>
      <c r="H8011" s="1747"/>
      <c r="K8011" s="1192" t="s">
        <v>2608</v>
      </c>
      <c r="V8011" s="1192">
        <v>32</v>
      </c>
    </row>
    <row r="8012" spans="1:22" s="1192" customFormat="1" ht="14.4" x14ac:dyDescent="0.3">
      <c r="A8012" s="1192" t="s">
        <v>5684</v>
      </c>
      <c r="B8012" s="1192" t="s">
        <v>5691</v>
      </c>
      <c r="E8012" s="1743" t="s">
        <v>2951</v>
      </c>
      <c r="F8012" s="1743"/>
      <c r="G8012" s="1743"/>
      <c r="H8012" s="1743"/>
      <c r="K8012" s="1192" t="s">
        <v>2608</v>
      </c>
      <c r="V8012" s="1192">
        <v>327</v>
      </c>
    </row>
    <row r="8013" spans="1:22" s="1192" customFormat="1" ht="14.4" x14ac:dyDescent="0.3">
      <c r="A8013" s="1192" t="s">
        <v>5684</v>
      </c>
      <c r="B8013" s="1192" t="s">
        <v>5691</v>
      </c>
      <c r="E8013" s="1750" t="s">
        <v>2389</v>
      </c>
      <c r="F8013" s="1743"/>
      <c r="G8013" s="1743"/>
      <c r="H8013" s="1743"/>
      <c r="K8013" s="1192" t="s">
        <v>2430</v>
      </c>
      <c r="V8013" s="1192">
        <v>11</v>
      </c>
    </row>
    <row r="8014" spans="1:22" s="1192" customFormat="1" ht="14.4" x14ac:dyDescent="0.3">
      <c r="A8014" s="1192" t="s">
        <v>5684</v>
      </c>
      <c r="B8014" s="1192" t="s">
        <v>5691</v>
      </c>
      <c r="E8014" s="1743" t="s">
        <v>2391</v>
      </c>
      <c r="F8014" s="1743"/>
      <c r="G8014" s="1743"/>
      <c r="H8014" s="1743"/>
      <c r="K8014" s="1192" t="s">
        <v>2608</v>
      </c>
      <c r="V8014" s="1192">
        <v>280</v>
      </c>
    </row>
    <row r="8015" spans="1:22" s="1192" customFormat="1" ht="14.4" x14ac:dyDescent="0.3">
      <c r="A8015" s="1192" t="s">
        <v>5684</v>
      </c>
      <c r="B8015" s="1192" t="s">
        <v>5691</v>
      </c>
      <c r="E8015" s="1743" t="s">
        <v>2392</v>
      </c>
      <c r="F8015" s="1743"/>
      <c r="G8015" s="1743"/>
      <c r="H8015" s="1743"/>
      <c r="K8015" s="1192" t="s">
        <v>2608</v>
      </c>
      <c r="V8015" s="1192">
        <v>411</v>
      </c>
    </row>
    <row r="8016" spans="1:22" s="1192" customFormat="1" ht="14.4" x14ac:dyDescent="0.3">
      <c r="A8016" s="1192" t="s">
        <v>5684</v>
      </c>
      <c r="B8016" s="1192" t="s">
        <v>5691</v>
      </c>
      <c r="E8016" s="1743" t="s">
        <v>2393</v>
      </c>
      <c r="F8016" s="1743"/>
      <c r="G8016" s="1743"/>
      <c r="H8016" s="1743"/>
      <c r="K8016" s="1192" t="s">
        <v>2608</v>
      </c>
      <c r="V8016" s="1192">
        <v>387</v>
      </c>
    </row>
    <row r="8017" spans="1:22" s="1192" customFormat="1" ht="14.4" x14ac:dyDescent="0.3">
      <c r="A8017" s="1192" t="s">
        <v>5684</v>
      </c>
      <c r="B8017" s="1192" t="s">
        <v>5691</v>
      </c>
      <c r="E8017" s="1743" t="s">
        <v>4503</v>
      </c>
      <c r="F8017" s="1743"/>
      <c r="G8017" s="1743"/>
      <c r="H8017" s="1743"/>
      <c r="K8017" s="1192" t="s">
        <v>2608</v>
      </c>
      <c r="V8017" s="1192">
        <v>677</v>
      </c>
    </row>
    <row r="8018" spans="1:22" s="1192" customFormat="1" ht="14.4" x14ac:dyDescent="0.3">
      <c r="A8018" s="1192" t="s">
        <v>5684</v>
      </c>
      <c r="B8018" s="1192" t="s">
        <v>5691</v>
      </c>
      <c r="E8018" s="1743" t="s">
        <v>4605</v>
      </c>
      <c r="F8018" s="1743"/>
      <c r="G8018" s="1743"/>
      <c r="H8018" s="1743"/>
      <c r="K8018" s="1192" t="s">
        <v>2608</v>
      </c>
      <c r="V8018" s="1192">
        <v>684</v>
      </c>
    </row>
    <row r="8019" spans="1:22" s="1192" customFormat="1" ht="14.4" x14ac:dyDescent="0.3">
      <c r="A8019" s="1192" t="s">
        <v>5684</v>
      </c>
      <c r="B8019" s="1192" t="s">
        <v>5691</v>
      </c>
      <c r="E8019" s="1743" t="s">
        <v>4500</v>
      </c>
      <c r="F8019" s="1743"/>
      <c r="G8019" s="1743"/>
      <c r="H8019" s="1743"/>
      <c r="K8019" s="1192" t="s">
        <v>2608</v>
      </c>
      <c r="V8019" s="1192">
        <v>247</v>
      </c>
    </row>
    <row r="8020" spans="1:22" s="1192" customFormat="1" ht="14.4" x14ac:dyDescent="0.3">
      <c r="A8020" s="1192" t="s">
        <v>5684</v>
      </c>
      <c r="B8020" s="1192" t="s">
        <v>5691</v>
      </c>
      <c r="E8020" s="1750" t="s">
        <v>2394</v>
      </c>
      <c r="F8020" s="1743"/>
      <c r="G8020" s="1743"/>
      <c r="H8020" s="1743"/>
      <c r="K8020" s="1192" t="s">
        <v>2431</v>
      </c>
      <c r="V8020" s="1192">
        <v>46</v>
      </c>
    </row>
    <row r="8021" spans="1:22" s="1192" customFormat="1" ht="14.4" x14ac:dyDescent="0.3">
      <c r="A8021" s="1192" t="s">
        <v>5684</v>
      </c>
      <c r="B8021" s="1192" t="s">
        <v>5691</v>
      </c>
      <c r="E8021" s="1741" t="s">
        <v>7</v>
      </c>
      <c r="F8021" s="1741"/>
      <c r="G8021" s="1277" t="s">
        <v>19</v>
      </c>
      <c r="H8021" s="1218">
        <v>8851.48</v>
      </c>
      <c r="K8021" s="1192" t="s">
        <v>2608</v>
      </c>
      <c r="L8021" s="1192" t="s">
        <v>430</v>
      </c>
      <c r="P8021" s="1192" t="s">
        <v>2609</v>
      </c>
      <c r="V8021" s="1192">
        <v>14</v>
      </c>
    </row>
    <row r="8022" spans="1:22" s="1192" customFormat="1" ht="14.4" x14ac:dyDescent="0.3">
      <c r="A8022" s="1192" t="s">
        <v>5684</v>
      </c>
      <c r="B8022" s="1192" t="s">
        <v>5691</v>
      </c>
      <c r="E8022" s="1741" t="s">
        <v>80</v>
      </c>
      <c r="F8022" s="1741"/>
      <c r="G8022" s="1277" t="s">
        <v>29</v>
      </c>
      <c r="H8022" s="1219">
        <v>3.0868000000000002</v>
      </c>
      <c r="K8022" s="1192" t="s">
        <v>2608</v>
      </c>
      <c r="L8022" s="1192" t="s">
        <v>430</v>
      </c>
      <c r="P8022" s="1192" t="s">
        <v>2610</v>
      </c>
      <c r="V8022" s="1192">
        <v>28</v>
      </c>
    </row>
    <row r="8023" spans="1:22" s="1192" customFormat="1" ht="14.4" x14ac:dyDescent="0.3">
      <c r="A8023" s="1192" t="s">
        <v>5684</v>
      </c>
      <c r="B8023" s="1192" t="s">
        <v>5691</v>
      </c>
      <c r="E8023" s="1741" t="s">
        <v>14</v>
      </c>
      <c r="F8023" s="1741"/>
      <c r="G8023" s="1277" t="s">
        <v>29</v>
      </c>
      <c r="H8023" s="1219">
        <v>0.41570000000000001</v>
      </c>
      <c r="K8023" s="1192" t="s">
        <v>2608</v>
      </c>
      <c r="L8023" s="1192" t="s">
        <v>431</v>
      </c>
      <c r="P8023" s="1192" t="s">
        <v>2848</v>
      </c>
      <c r="V8023" s="1192">
        <v>24</v>
      </c>
    </row>
    <row r="8024" spans="1:22" s="1192" customFormat="1" ht="14.4" x14ac:dyDescent="0.3">
      <c r="A8024" s="1192" t="s">
        <v>5684</v>
      </c>
      <c r="B8024" s="1192" t="s">
        <v>5691</v>
      </c>
      <c r="E8024" s="1741" t="s">
        <v>213</v>
      </c>
      <c r="F8024" s="1741"/>
      <c r="G8024" s="1277" t="s">
        <v>29</v>
      </c>
      <c r="H8024" s="1219">
        <v>3.4472999999999998</v>
      </c>
      <c r="K8024" s="1192" t="s">
        <v>2608</v>
      </c>
      <c r="L8024" s="1192" t="s">
        <v>432</v>
      </c>
      <c r="P8024" s="1192" t="s">
        <v>2613</v>
      </c>
      <c r="V8024" s="1192">
        <v>47</v>
      </c>
    </row>
    <row r="8025" spans="1:22" s="1192" customFormat="1" ht="14.4" x14ac:dyDescent="0.3">
      <c r="A8025" s="1192" t="s">
        <v>5684</v>
      </c>
      <c r="B8025" s="1192" t="s">
        <v>5691</v>
      </c>
      <c r="E8025" s="1741" t="s">
        <v>2847</v>
      </c>
      <c r="F8025" s="1741"/>
      <c r="G8025" s="1277" t="s">
        <v>29</v>
      </c>
      <c r="H8025" s="1219">
        <v>2.4767000000000001</v>
      </c>
      <c r="K8025" s="1192" t="s">
        <v>2608</v>
      </c>
      <c r="L8025" s="1192" t="s">
        <v>432</v>
      </c>
      <c r="P8025" s="1192" t="s">
        <v>2614</v>
      </c>
      <c r="V8025" s="1192">
        <v>75</v>
      </c>
    </row>
    <row r="8026" spans="1:22" s="1192" customFormat="1" ht="14.4" x14ac:dyDescent="0.3">
      <c r="A8026" s="1192" t="s">
        <v>5684</v>
      </c>
      <c r="B8026" s="1192" t="s">
        <v>5691</v>
      </c>
      <c r="E8026" s="1750" t="s">
        <v>2405</v>
      </c>
      <c r="F8026" s="1741"/>
      <c r="G8026" s="1277"/>
      <c r="H8026" s="896"/>
      <c r="K8026" s="1192" t="s">
        <v>2438</v>
      </c>
      <c r="V8026" s="1192">
        <v>48</v>
      </c>
    </row>
    <row r="8027" spans="1:22" s="1192" customFormat="1" ht="14.4" x14ac:dyDescent="0.3">
      <c r="A8027" s="1192" t="s">
        <v>5684</v>
      </c>
      <c r="B8027" s="1192" t="s">
        <v>5691</v>
      </c>
      <c r="E8027" s="1741" t="s">
        <v>2033</v>
      </c>
      <c r="F8027" s="1741"/>
      <c r="G8027" s="1277" t="s">
        <v>20</v>
      </c>
      <c r="H8027" s="1219">
        <v>3.0000000000000001E-3</v>
      </c>
      <c r="K8027" s="1192" t="s">
        <v>2608</v>
      </c>
      <c r="L8027" s="1192" t="s">
        <v>2374</v>
      </c>
      <c r="P8027" s="1192" t="s">
        <v>2615</v>
      </c>
      <c r="V8027" s="1192">
        <v>55</v>
      </c>
    </row>
    <row r="8028" spans="1:22" s="1192" customFormat="1" ht="14.4" x14ac:dyDescent="0.3">
      <c r="A8028" s="1192" t="s">
        <v>5684</v>
      </c>
      <c r="B8028" s="1192" t="s">
        <v>5691</v>
      </c>
      <c r="E8028" s="1741" t="s">
        <v>2034</v>
      </c>
      <c r="F8028" s="1741"/>
      <c r="G8028" s="1277" t="s">
        <v>20</v>
      </c>
      <c r="H8028" s="1219">
        <v>4.0000000000000002E-4</v>
      </c>
      <c r="K8028" s="1192" t="s">
        <v>2608</v>
      </c>
      <c r="L8028" s="1192" t="s">
        <v>2374</v>
      </c>
      <c r="P8028" s="1192" t="s">
        <v>2615</v>
      </c>
      <c r="V8028" s="1192">
        <v>65</v>
      </c>
    </row>
    <row r="8029" spans="1:22" s="1192" customFormat="1" ht="14.4" x14ac:dyDescent="0.3">
      <c r="A8029" s="1192" t="s">
        <v>5684</v>
      </c>
      <c r="B8029" s="1192" t="s">
        <v>5691</v>
      </c>
      <c r="E8029" s="1741" t="s">
        <v>428</v>
      </c>
      <c r="F8029" s="1741"/>
      <c r="G8029" s="1277" t="s">
        <v>20</v>
      </c>
      <c r="H8029" s="1219">
        <v>5.0000000000000001E-4</v>
      </c>
      <c r="K8029" s="1192" t="s">
        <v>2608</v>
      </c>
      <c r="L8029" s="1192" t="s">
        <v>2374</v>
      </c>
      <c r="P8029" s="1192" t="s">
        <v>2616</v>
      </c>
      <c r="V8029" s="1192">
        <v>57</v>
      </c>
    </row>
    <row r="8030" spans="1:22" s="1192" customFormat="1" ht="14.4" x14ac:dyDescent="0.3">
      <c r="A8030" s="1192" t="s">
        <v>5684</v>
      </c>
      <c r="B8030" s="1192" t="s">
        <v>5691</v>
      </c>
      <c r="E8030" s="1741" t="s">
        <v>28</v>
      </c>
      <c r="F8030" s="1741"/>
      <c r="G8030" s="1277" t="s">
        <v>19</v>
      </c>
      <c r="H8030" s="1218">
        <v>0.25</v>
      </c>
      <c r="K8030" s="1192" t="s">
        <v>2608</v>
      </c>
      <c r="L8030" s="1192" t="s">
        <v>2374</v>
      </c>
      <c r="P8030" s="1192" t="s">
        <v>2617</v>
      </c>
      <c r="V8030" s="1192">
        <v>63</v>
      </c>
    </row>
    <row r="8031" spans="1:22" s="1192" customFormat="1" ht="17.399999999999999" x14ac:dyDescent="0.3">
      <c r="A8031" s="1192" t="s">
        <v>5684</v>
      </c>
      <c r="B8031" s="1192" t="s">
        <v>5691</v>
      </c>
      <c r="E8031" s="1746" t="s">
        <v>592</v>
      </c>
      <c r="F8031" s="1747"/>
      <c r="G8031" s="1747"/>
      <c r="H8031" s="1747"/>
      <c r="K8031" s="1192" t="s">
        <v>2618</v>
      </c>
      <c r="V8031" s="1192">
        <v>47</v>
      </c>
    </row>
    <row r="8032" spans="1:22" s="1192" customFormat="1" ht="14.4" x14ac:dyDescent="0.3">
      <c r="A8032" s="1192" t="s">
        <v>5684</v>
      </c>
      <c r="B8032" s="1192" t="s">
        <v>5691</v>
      </c>
      <c r="E8032" s="1743" t="s">
        <v>6523</v>
      </c>
      <c r="F8032" s="1743"/>
      <c r="G8032" s="1743"/>
      <c r="H8032" s="1743"/>
      <c r="K8032" s="1192" t="s">
        <v>2618</v>
      </c>
      <c r="V8032" s="1192">
        <v>598</v>
      </c>
    </row>
    <row r="8033" spans="1:22" s="1192" customFormat="1" ht="14.4" x14ac:dyDescent="0.3">
      <c r="A8033" s="1192" t="s">
        <v>5684</v>
      </c>
      <c r="B8033" s="1192" t="s">
        <v>5691</v>
      </c>
      <c r="E8033" s="1750" t="s">
        <v>2389</v>
      </c>
      <c r="F8033" s="1743"/>
      <c r="G8033" s="1743"/>
      <c r="H8033" s="1743"/>
      <c r="K8033" s="1192" t="s">
        <v>2444</v>
      </c>
      <c r="V8033" s="1192">
        <v>11</v>
      </c>
    </row>
    <row r="8034" spans="1:22" s="1192" customFormat="1" ht="14.4" x14ac:dyDescent="0.3">
      <c r="A8034" s="1192" t="s">
        <v>5684</v>
      </c>
      <c r="B8034" s="1192" t="s">
        <v>5691</v>
      </c>
      <c r="E8034" s="1743" t="s">
        <v>2391</v>
      </c>
      <c r="F8034" s="1743"/>
      <c r="G8034" s="1743"/>
      <c r="H8034" s="1743"/>
      <c r="K8034" s="1192" t="s">
        <v>2618</v>
      </c>
      <c r="V8034" s="1192">
        <v>280</v>
      </c>
    </row>
    <row r="8035" spans="1:22" s="1192" customFormat="1" ht="14.4" x14ac:dyDescent="0.3">
      <c r="A8035" s="1192" t="s">
        <v>5684</v>
      </c>
      <c r="B8035" s="1192" t="s">
        <v>5691</v>
      </c>
      <c r="E8035" s="1743" t="s">
        <v>2392</v>
      </c>
      <c r="F8035" s="1743"/>
      <c r="G8035" s="1743"/>
      <c r="H8035" s="1743"/>
      <c r="K8035" s="1192" t="s">
        <v>2618</v>
      </c>
      <c r="V8035" s="1192">
        <v>411</v>
      </c>
    </row>
    <row r="8036" spans="1:22" s="1192" customFormat="1" ht="14.4" x14ac:dyDescent="0.3">
      <c r="A8036" s="1192" t="s">
        <v>5684</v>
      </c>
      <c r="B8036" s="1192" t="s">
        <v>5691</v>
      </c>
      <c r="E8036" s="1743" t="s">
        <v>2393</v>
      </c>
      <c r="F8036" s="1743"/>
      <c r="G8036" s="1743"/>
      <c r="H8036" s="1743"/>
      <c r="K8036" s="1192" t="s">
        <v>2618</v>
      </c>
      <c r="V8036" s="1192">
        <v>387</v>
      </c>
    </row>
    <row r="8037" spans="1:22" s="1192" customFormat="1" ht="14.4" x14ac:dyDescent="0.3">
      <c r="A8037" s="1192" t="s">
        <v>5684</v>
      </c>
      <c r="B8037" s="1192" t="s">
        <v>5691</v>
      </c>
      <c r="E8037" s="1743" t="s">
        <v>4500</v>
      </c>
      <c r="F8037" s="1743"/>
      <c r="G8037" s="1743"/>
      <c r="H8037" s="1743"/>
      <c r="K8037" s="1192" t="s">
        <v>2618</v>
      </c>
      <c r="V8037" s="1192">
        <v>247</v>
      </c>
    </row>
    <row r="8038" spans="1:22" s="1192" customFormat="1" ht="14.4" x14ac:dyDescent="0.3">
      <c r="A8038" s="1192" t="s">
        <v>5684</v>
      </c>
      <c r="B8038" s="1192" t="s">
        <v>5691</v>
      </c>
      <c r="E8038" s="1750" t="s">
        <v>2394</v>
      </c>
      <c r="F8038" s="1743"/>
      <c r="G8038" s="1743"/>
      <c r="H8038" s="1743"/>
      <c r="K8038" s="1192" t="s">
        <v>2446</v>
      </c>
      <c r="V8038" s="1192">
        <v>46</v>
      </c>
    </row>
    <row r="8039" spans="1:22" s="1192" customFormat="1" ht="14.4" x14ac:dyDescent="0.3">
      <c r="A8039" s="1192" t="s">
        <v>5684</v>
      </c>
      <c r="B8039" s="1192" t="s">
        <v>5691</v>
      </c>
      <c r="E8039" s="1741" t="s">
        <v>8</v>
      </c>
      <c r="F8039" s="1741"/>
      <c r="G8039" s="1277" t="s">
        <v>19</v>
      </c>
      <c r="H8039" s="1218">
        <v>7.15</v>
      </c>
      <c r="K8039" s="1192" t="s">
        <v>2618</v>
      </c>
      <c r="L8039" s="1192" t="s">
        <v>430</v>
      </c>
      <c r="P8039" s="1192" t="s">
        <v>2619</v>
      </c>
      <c r="V8039" s="1192">
        <v>31</v>
      </c>
    </row>
    <row r="8040" spans="1:22" s="1192" customFormat="1" ht="14.4" x14ac:dyDescent="0.3">
      <c r="A8040" s="1192" t="s">
        <v>5684</v>
      </c>
      <c r="B8040" s="1192" t="s">
        <v>5691</v>
      </c>
      <c r="E8040" s="1741" t="s">
        <v>80</v>
      </c>
      <c r="F8040" s="1741"/>
      <c r="G8040" s="1277" t="s">
        <v>20</v>
      </c>
      <c r="H8040" s="1219">
        <v>1.7600000000000001E-2</v>
      </c>
      <c r="K8040" s="1192" t="s">
        <v>2618</v>
      </c>
      <c r="L8040" s="1192" t="s">
        <v>430</v>
      </c>
      <c r="P8040" s="1192" t="s">
        <v>2620</v>
      </c>
      <c r="V8040" s="1192">
        <v>28</v>
      </c>
    </row>
    <row r="8041" spans="1:22" s="1192" customFormat="1" ht="14.4" x14ac:dyDescent="0.3">
      <c r="A8041" s="1192" t="s">
        <v>5684</v>
      </c>
      <c r="B8041" s="1192" t="s">
        <v>5691</v>
      </c>
      <c r="E8041" s="1741" t="s">
        <v>14</v>
      </c>
      <c r="F8041" s="1741"/>
      <c r="G8041" s="1277" t="s">
        <v>20</v>
      </c>
      <c r="H8041" s="1219">
        <v>8.9999999999999998E-4</v>
      </c>
      <c r="K8041" s="1192" t="s">
        <v>2618</v>
      </c>
      <c r="L8041" s="1192" t="s">
        <v>431</v>
      </c>
      <c r="P8041" s="1192" t="s">
        <v>2952</v>
      </c>
      <c r="V8041" s="1192">
        <v>24</v>
      </c>
    </row>
    <row r="8042" spans="1:22" s="1192" customFormat="1" ht="14.4" x14ac:dyDescent="0.3">
      <c r="A8042" s="1192" t="s">
        <v>5684</v>
      </c>
      <c r="B8042" s="1192" t="s">
        <v>5691</v>
      </c>
      <c r="E8042" s="1741" t="s">
        <v>213</v>
      </c>
      <c r="F8042" s="1741"/>
      <c r="G8042" s="1277" t="s">
        <v>20</v>
      </c>
      <c r="H8042" s="1219">
        <v>6.4000000000000003E-3</v>
      </c>
      <c r="K8042" s="1192" t="s">
        <v>2618</v>
      </c>
      <c r="L8042" s="1192" t="s">
        <v>432</v>
      </c>
      <c r="P8042" s="1192" t="s">
        <v>2621</v>
      </c>
      <c r="V8042" s="1192">
        <v>47</v>
      </c>
    </row>
    <row r="8043" spans="1:22" s="1192" customFormat="1" ht="14.4" x14ac:dyDescent="0.3">
      <c r="A8043" s="1192" t="s">
        <v>5684</v>
      </c>
      <c r="B8043" s="1192" t="s">
        <v>5691</v>
      </c>
      <c r="E8043" s="1741" t="s">
        <v>209</v>
      </c>
      <c r="F8043" s="1741"/>
      <c r="G8043" s="1277" t="s">
        <v>20</v>
      </c>
      <c r="H8043" s="1219">
        <v>4.7999999999999996E-3</v>
      </c>
      <c r="K8043" s="1192" t="s">
        <v>2618</v>
      </c>
      <c r="L8043" s="1192" t="s">
        <v>432</v>
      </c>
      <c r="P8043" s="1192" t="s">
        <v>2622</v>
      </c>
      <c r="V8043" s="1192">
        <v>74</v>
      </c>
    </row>
    <row r="8044" spans="1:22" s="1192" customFormat="1" ht="14.4" x14ac:dyDescent="0.3">
      <c r="A8044" s="1192" t="s">
        <v>5684</v>
      </c>
      <c r="B8044" s="1192" t="s">
        <v>5691</v>
      </c>
      <c r="E8044" s="1750" t="s">
        <v>2405</v>
      </c>
      <c r="F8044" s="1741"/>
      <c r="G8044" s="1277"/>
      <c r="H8044" s="896"/>
      <c r="K8044" s="1192" t="s">
        <v>2565</v>
      </c>
      <c r="V8044" s="1192">
        <v>48</v>
      </c>
    </row>
    <row r="8045" spans="1:22" s="1192" customFormat="1" ht="14.4" x14ac:dyDescent="0.3">
      <c r="A8045" s="1192" t="s">
        <v>5684</v>
      </c>
      <c r="B8045" s="1192" t="s">
        <v>5691</v>
      </c>
      <c r="E8045" s="1741" t="s">
        <v>2033</v>
      </c>
      <c r="F8045" s="1741"/>
      <c r="G8045" s="1277" t="s">
        <v>20</v>
      </c>
      <c r="H8045" s="1219">
        <v>3.0000000000000001E-3</v>
      </c>
      <c r="K8045" s="1192" t="s">
        <v>2618</v>
      </c>
      <c r="L8045" s="1192" t="s">
        <v>2374</v>
      </c>
      <c r="P8045" s="1192" t="s">
        <v>2623</v>
      </c>
      <c r="V8045" s="1192">
        <v>55</v>
      </c>
    </row>
    <row r="8046" spans="1:22" s="1192" customFormat="1" ht="14.4" x14ac:dyDescent="0.3">
      <c r="A8046" s="1192" t="s">
        <v>5684</v>
      </c>
      <c r="B8046" s="1192" t="s">
        <v>5691</v>
      </c>
      <c r="E8046" s="1741" t="s">
        <v>2034</v>
      </c>
      <c r="F8046" s="1741"/>
      <c r="G8046" s="1277" t="s">
        <v>20</v>
      </c>
      <c r="H8046" s="1219">
        <v>4.0000000000000002E-4</v>
      </c>
      <c r="K8046" s="1192" t="s">
        <v>2618</v>
      </c>
      <c r="L8046" s="1192" t="s">
        <v>2374</v>
      </c>
      <c r="P8046" s="1192" t="s">
        <v>2623</v>
      </c>
      <c r="V8046" s="1192">
        <v>65</v>
      </c>
    </row>
    <row r="8047" spans="1:22" s="1192" customFormat="1" ht="14.4" x14ac:dyDescent="0.3">
      <c r="A8047" s="1192" t="s">
        <v>5684</v>
      </c>
      <c r="B8047" s="1192" t="s">
        <v>5691</v>
      </c>
      <c r="E8047" s="1741" t="s">
        <v>428</v>
      </c>
      <c r="F8047" s="1741"/>
      <c r="G8047" s="1277" t="s">
        <v>20</v>
      </c>
      <c r="H8047" s="1219">
        <v>5.0000000000000001E-4</v>
      </c>
      <c r="K8047" s="1192" t="s">
        <v>2618</v>
      </c>
      <c r="L8047" s="1192" t="s">
        <v>2374</v>
      </c>
      <c r="P8047" s="1192" t="s">
        <v>2624</v>
      </c>
      <c r="V8047" s="1192">
        <v>57</v>
      </c>
    </row>
    <row r="8048" spans="1:22" s="1192" customFormat="1" ht="14.4" x14ac:dyDescent="0.3">
      <c r="A8048" s="1192" t="s">
        <v>5684</v>
      </c>
      <c r="B8048" s="1192" t="s">
        <v>5691</v>
      </c>
      <c r="E8048" s="1741" t="s">
        <v>28</v>
      </c>
      <c r="F8048" s="1741"/>
      <c r="G8048" s="1277" t="s">
        <v>19</v>
      </c>
      <c r="H8048" s="1218">
        <v>0.25</v>
      </c>
      <c r="K8048" s="1192" t="s">
        <v>2618</v>
      </c>
      <c r="L8048" s="1192" t="s">
        <v>2374</v>
      </c>
      <c r="P8048" s="1192" t="s">
        <v>2625</v>
      </c>
      <c r="V8048" s="1192">
        <v>63</v>
      </c>
    </row>
    <row r="8049" spans="1:22" s="1192" customFormat="1" ht="17.399999999999999" x14ac:dyDescent="0.3">
      <c r="A8049" s="1192" t="s">
        <v>5684</v>
      </c>
      <c r="B8049" s="1192" t="s">
        <v>5691</v>
      </c>
      <c r="E8049" s="1746" t="s">
        <v>604</v>
      </c>
      <c r="F8049" s="1747"/>
      <c r="G8049" s="1747"/>
      <c r="H8049" s="1747"/>
      <c r="K8049" s="1192" t="s">
        <v>2953</v>
      </c>
      <c r="V8049" s="1192">
        <v>40</v>
      </c>
    </row>
    <row r="8050" spans="1:22" s="1192" customFormat="1" ht="14.4" x14ac:dyDescent="0.3">
      <c r="A8050" s="1192" t="s">
        <v>5684</v>
      </c>
      <c r="B8050" s="1192" t="s">
        <v>5691</v>
      </c>
      <c r="E8050" s="1743" t="s">
        <v>2954</v>
      </c>
      <c r="F8050" s="1743"/>
      <c r="G8050" s="1743"/>
      <c r="H8050" s="1743"/>
      <c r="K8050" s="1192" t="s">
        <v>2953</v>
      </c>
      <c r="V8050" s="1192">
        <v>288</v>
      </c>
    </row>
    <row r="8051" spans="1:22" s="1192" customFormat="1" ht="14.4" x14ac:dyDescent="0.3">
      <c r="A8051" s="1192" t="s">
        <v>5684</v>
      </c>
      <c r="B8051" s="1192" t="s">
        <v>5691</v>
      </c>
      <c r="E8051" s="1750" t="s">
        <v>2389</v>
      </c>
      <c r="F8051" s="1743"/>
      <c r="G8051" s="1743"/>
      <c r="H8051" s="1743"/>
      <c r="K8051" s="1192" t="s">
        <v>2571</v>
      </c>
      <c r="V8051" s="1192">
        <v>11</v>
      </c>
    </row>
    <row r="8052" spans="1:22" s="1192" customFormat="1" ht="14.4" x14ac:dyDescent="0.3">
      <c r="A8052" s="1192" t="s">
        <v>5684</v>
      </c>
      <c r="B8052" s="1192" t="s">
        <v>5691</v>
      </c>
      <c r="E8052" s="1743" t="s">
        <v>2391</v>
      </c>
      <c r="F8052" s="1743"/>
      <c r="G8052" s="1743"/>
      <c r="H8052" s="1743"/>
      <c r="K8052" s="1192" t="s">
        <v>2953</v>
      </c>
      <c r="V8052" s="1192">
        <v>280</v>
      </c>
    </row>
    <row r="8053" spans="1:22" s="1192" customFormat="1" ht="14.4" x14ac:dyDescent="0.3">
      <c r="A8053" s="1192" t="s">
        <v>5684</v>
      </c>
      <c r="B8053" s="1192" t="s">
        <v>5691</v>
      </c>
      <c r="E8053" s="1743" t="s">
        <v>2392</v>
      </c>
      <c r="F8053" s="1743"/>
      <c r="G8053" s="1743"/>
      <c r="H8053" s="1743"/>
      <c r="K8053" s="1192" t="s">
        <v>2953</v>
      </c>
      <c r="V8053" s="1192">
        <v>411</v>
      </c>
    </row>
    <row r="8054" spans="1:22" s="1192" customFormat="1" ht="14.4" x14ac:dyDescent="0.3">
      <c r="A8054" s="1192" t="s">
        <v>5684</v>
      </c>
      <c r="B8054" s="1192" t="s">
        <v>5691</v>
      </c>
      <c r="E8054" s="1743" t="s">
        <v>2393</v>
      </c>
      <c r="F8054" s="1743"/>
      <c r="G8054" s="1743"/>
      <c r="H8054" s="1743"/>
      <c r="K8054" s="1192" t="s">
        <v>2953</v>
      </c>
      <c r="V8054" s="1192">
        <v>387</v>
      </c>
    </row>
    <row r="8055" spans="1:22" s="1192" customFormat="1" ht="14.4" x14ac:dyDescent="0.3">
      <c r="A8055" s="1192" t="s">
        <v>5684</v>
      </c>
      <c r="B8055" s="1192" t="s">
        <v>5691</v>
      </c>
      <c r="E8055" s="1743" t="s">
        <v>4500</v>
      </c>
      <c r="F8055" s="1743"/>
      <c r="G8055" s="1743"/>
      <c r="H8055" s="1743"/>
      <c r="K8055" s="1192" t="s">
        <v>2953</v>
      </c>
      <c r="V8055" s="1192">
        <v>247</v>
      </c>
    </row>
    <row r="8056" spans="1:22" s="1192" customFormat="1" ht="14.4" x14ac:dyDescent="0.3">
      <c r="A8056" s="1192" t="s">
        <v>5684</v>
      </c>
      <c r="B8056" s="1192" t="s">
        <v>5691</v>
      </c>
      <c r="E8056" s="1750" t="s">
        <v>2394</v>
      </c>
      <c r="F8056" s="1743"/>
      <c r="G8056" s="1743"/>
      <c r="H8056" s="1743"/>
      <c r="K8056" s="1192" t="s">
        <v>2572</v>
      </c>
      <c r="V8056" s="1192">
        <v>46</v>
      </c>
    </row>
    <row r="8057" spans="1:22" s="1192" customFormat="1" ht="14.4" x14ac:dyDescent="0.3">
      <c r="A8057" s="1192" t="s">
        <v>5684</v>
      </c>
      <c r="B8057" s="1192" t="s">
        <v>5691</v>
      </c>
      <c r="E8057" s="1741" t="s">
        <v>7</v>
      </c>
      <c r="F8057" s="1741"/>
      <c r="G8057" s="1277" t="s">
        <v>19</v>
      </c>
      <c r="H8057" s="1218">
        <v>4.71</v>
      </c>
      <c r="K8057" s="1192" t="s">
        <v>2953</v>
      </c>
      <c r="L8057" s="1192" t="s">
        <v>430</v>
      </c>
      <c r="P8057" s="1192" t="s">
        <v>2955</v>
      </c>
      <c r="V8057" s="1192">
        <v>14</v>
      </c>
    </row>
    <row r="8058" spans="1:22" s="1192" customFormat="1" ht="14.4" x14ac:dyDescent="0.3">
      <c r="A8058" s="1192" t="s">
        <v>5684</v>
      </c>
      <c r="B8058" s="1192" t="s">
        <v>5691</v>
      </c>
      <c r="E8058" s="1741" t="s">
        <v>80</v>
      </c>
      <c r="F8058" s="1741"/>
      <c r="G8058" s="1277" t="s">
        <v>29</v>
      </c>
      <c r="H8058" s="1219">
        <v>14.2508</v>
      </c>
      <c r="K8058" s="1192" t="s">
        <v>2953</v>
      </c>
      <c r="L8058" s="1192" t="s">
        <v>430</v>
      </c>
      <c r="P8058" s="1192" t="s">
        <v>2956</v>
      </c>
      <c r="V8058" s="1192">
        <v>28</v>
      </c>
    </row>
    <row r="8059" spans="1:22" s="1192" customFormat="1" ht="14.4" x14ac:dyDescent="0.3">
      <c r="A8059" s="1192" t="s">
        <v>5684</v>
      </c>
      <c r="B8059" s="1192" t="s">
        <v>5691</v>
      </c>
      <c r="E8059" s="1741" t="s">
        <v>14</v>
      </c>
      <c r="F8059" s="1741"/>
      <c r="G8059" s="1277" t="s">
        <v>29</v>
      </c>
      <c r="H8059" s="1219">
        <v>0.2505</v>
      </c>
      <c r="K8059" s="1192" t="s">
        <v>2953</v>
      </c>
      <c r="L8059" s="1192" t="s">
        <v>431</v>
      </c>
      <c r="P8059" s="1192" t="s">
        <v>2957</v>
      </c>
      <c r="V8059" s="1192">
        <v>24</v>
      </c>
    </row>
    <row r="8060" spans="1:22" s="1192" customFormat="1" ht="14.4" x14ac:dyDescent="0.3">
      <c r="A8060" s="1192" t="s">
        <v>5684</v>
      </c>
      <c r="B8060" s="1192" t="s">
        <v>5691</v>
      </c>
      <c r="E8060" s="1741" t="s">
        <v>213</v>
      </c>
      <c r="F8060" s="1741"/>
      <c r="G8060" s="1277" t="s">
        <v>29</v>
      </c>
      <c r="H8060" s="1219">
        <v>1.9517</v>
      </c>
      <c r="K8060" s="1192" t="s">
        <v>2953</v>
      </c>
      <c r="L8060" s="1192" t="s">
        <v>432</v>
      </c>
      <c r="P8060" s="1192" t="s">
        <v>2959</v>
      </c>
      <c r="V8060" s="1192">
        <v>47</v>
      </c>
    </row>
    <row r="8061" spans="1:22" s="1192" customFormat="1" ht="14.4" x14ac:dyDescent="0.3">
      <c r="A8061" s="1192" t="s">
        <v>5684</v>
      </c>
      <c r="B8061" s="1192" t="s">
        <v>5691</v>
      </c>
      <c r="E8061" s="1741" t="s">
        <v>209</v>
      </c>
      <c r="F8061" s="1741"/>
      <c r="G8061" s="1277" t="s">
        <v>29</v>
      </c>
      <c r="H8061" s="1219">
        <v>1.4177999999999999</v>
      </c>
      <c r="K8061" s="1192" t="s">
        <v>2953</v>
      </c>
      <c r="L8061" s="1192" t="s">
        <v>432</v>
      </c>
      <c r="P8061" s="1192" t="s">
        <v>2960</v>
      </c>
      <c r="V8061" s="1192">
        <v>74</v>
      </c>
    </row>
    <row r="8062" spans="1:22" s="1192" customFormat="1" ht="14.4" x14ac:dyDescent="0.3">
      <c r="A8062" s="1192" t="s">
        <v>5684</v>
      </c>
      <c r="B8062" s="1192" t="s">
        <v>5691</v>
      </c>
      <c r="E8062" s="1750" t="s">
        <v>2405</v>
      </c>
      <c r="F8062" s="1741"/>
      <c r="G8062" s="1277"/>
      <c r="H8062" s="896"/>
      <c r="K8062" s="1192" t="s">
        <v>2581</v>
      </c>
      <c r="V8062" s="1192">
        <v>48</v>
      </c>
    </row>
    <row r="8063" spans="1:22" s="1192" customFormat="1" ht="14.4" x14ac:dyDescent="0.3">
      <c r="A8063" s="1192" t="s">
        <v>5684</v>
      </c>
      <c r="B8063" s="1192" t="s">
        <v>5691</v>
      </c>
      <c r="E8063" s="1741" t="s">
        <v>2033</v>
      </c>
      <c r="F8063" s="1741"/>
      <c r="G8063" s="1277" t="s">
        <v>20</v>
      </c>
      <c r="H8063" s="1219">
        <v>3.0000000000000001E-3</v>
      </c>
      <c r="K8063" s="1192" t="s">
        <v>2953</v>
      </c>
      <c r="L8063" s="1192" t="s">
        <v>2374</v>
      </c>
      <c r="P8063" s="1192" t="s">
        <v>2961</v>
      </c>
      <c r="V8063" s="1192">
        <v>55</v>
      </c>
    </row>
    <row r="8064" spans="1:22" s="1192" customFormat="1" ht="14.4" x14ac:dyDescent="0.3">
      <c r="A8064" s="1192" t="s">
        <v>5684</v>
      </c>
      <c r="B8064" s="1192" t="s">
        <v>5691</v>
      </c>
      <c r="E8064" s="1741" t="s">
        <v>2034</v>
      </c>
      <c r="F8064" s="1741"/>
      <c r="G8064" s="1277" t="s">
        <v>20</v>
      </c>
      <c r="H8064" s="1219">
        <v>4.0000000000000002E-4</v>
      </c>
      <c r="K8064" s="1192" t="s">
        <v>2953</v>
      </c>
      <c r="L8064" s="1192" t="s">
        <v>2374</v>
      </c>
      <c r="P8064" s="1192" t="s">
        <v>2961</v>
      </c>
      <c r="V8064" s="1192">
        <v>65</v>
      </c>
    </row>
    <row r="8065" spans="1:22" s="1192" customFormat="1" ht="14.4" x14ac:dyDescent="0.3">
      <c r="A8065" s="1192" t="s">
        <v>5684</v>
      </c>
      <c r="B8065" s="1192" t="s">
        <v>5691</v>
      </c>
      <c r="E8065" s="1741" t="s">
        <v>428</v>
      </c>
      <c r="F8065" s="1741"/>
      <c r="G8065" s="1277" t="s">
        <v>20</v>
      </c>
      <c r="H8065" s="1219">
        <v>5.0000000000000001E-4</v>
      </c>
      <c r="K8065" s="1192" t="s">
        <v>2953</v>
      </c>
      <c r="L8065" s="1192" t="s">
        <v>2374</v>
      </c>
      <c r="P8065" s="1192" t="s">
        <v>2962</v>
      </c>
      <c r="V8065" s="1192">
        <v>57</v>
      </c>
    </row>
    <row r="8066" spans="1:22" s="1192" customFormat="1" ht="14.4" x14ac:dyDescent="0.3">
      <c r="A8066" s="1192" t="s">
        <v>5684</v>
      </c>
      <c r="B8066" s="1192" t="s">
        <v>5691</v>
      </c>
      <c r="E8066" s="1741" t="s">
        <v>28</v>
      </c>
      <c r="F8066" s="1741"/>
      <c r="G8066" s="1277" t="s">
        <v>19</v>
      </c>
      <c r="H8066" s="1218">
        <v>0.25</v>
      </c>
      <c r="K8066" s="1192" t="s">
        <v>2953</v>
      </c>
      <c r="L8066" s="1192" t="s">
        <v>2374</v>
      </c>
      <c r="P8066" s="1192" t="s">
        <v>2963</v>
      </c>
      <c r="V8066" s="1192">
        <v>63</v>
      </c>
    </row>
    <row r="8067" spans="1:22" s="1192" customFormat="1" ht="17.399999999999999" x14ac:dyDescent="0.3">
      <c r="A8067" s="1192" t="s">
        <v>5684</v>
      </c>
      <c r="B8067" s="1192" t="s">
        <v>5691</v>
      </c>
      <c r="E8067" s="1746" t="s">
        <v>590</v>
      </c>
      <c r="F8067" s="1747"/>
      <c r="G8067" s="1747"/>
      <c r="H8067" s="1747"/>
      <c r="K8067" s="1192" t="s">
        <v>2861</v>
      </c>
      <c r="V8067" s="1192">
        <v>38</v>
      </c>
    </row>
    <row r="8068" spans="1:22" s="1192" customFormat="1" ht="14.4" x14ac:dyDescent="0.3">
      <c r="A8068" s="1192" t="s">
        <v>5684</v>
      </c>
      <c r="B8068" s="1192" t="s">
        <v>5691</v>
      </c>
      <c r="E8068" s="1743" t="s">
        <v>2964</v>
      </c>
      <c r="F8068" s="1743"/>
      <c r="G8068" s="1743"/>
      <c r="H8068" s="1743"/>
      <c r="K8068" s="1192" t="s">
        <v>2861</v>
      </c>
      <c r="V8068" s="1192">
        <v>326</v>
      </c>
    </row>
    <row r="8069" spans="1:22" s="1192" customFormat="1" ht="14.4" x14ac:dyDescent="0.3">
      <c r="A8069" s="1192" t="s">
        <v>5684</v>
      </c>
      <c r="B8069" s="1192" t="s">
        <v>5691</v>
      </c>
      <c r="E8069" s="1750" t="s">
        <v>2389</v>
      </c>
      <c r="F8069" s="1743"/>
      <c r="G8069" s="1743"/>
      <c r="H8069" s="1743"/>
      <c r="K8069" s="1192" t="s">
        <v>2586</v>
      </c>
      <c r="V8069" s="1192">
        <v>11</v>
      </c>
    </row>
    <row r="8070" spans="1:22" s="1192" customFormat="1" ht="14.4" x14ac:dyDescent="0.3">
      <c r="A8070" s="1192" t="s">
        <v>5684</v>
      </c>
      <c r="B8070" s="1192" t="s">
        <v>5691</v>
      </c>
      <c r="E8070" s="1743" t="s">
        <v>2391</v>
      </c>
      <c r="F8070" s="1743"/>
      <c r="G8070" s="1743"/>
      <c r="H8070" s="1743"/>
      <c r="K8070" s="1192" t="s">
        <v>2861</v>
      </c>
      <c r="V8070" s="1192">
        <v>280</v>
      </c>
    </row>
    <row r="8071" spans="1:22" s="1192" customFormat="1" ht="14.4" x14ac:dyDescent="0.3">
      <c r="A8071" s="1192" t="s">
        <v>5684</v>
      </c>
      <c r="B8071" s="1192" t="s">
        <v>5691</v>
      </c>
      <c r="E8071" s="1743" t="s">
        <v>2392</v>
      </c>
      <c r="F8071" s="1743"/>
      <c r="G8071" s="1743"/>
      <c r="H8071" s="1743"/>
      <c r="K8071" s="1192" t="s">
        <v>2861</v>
      </c>
      <c r="V8071" s="1192">
        <v>411</v>
      </c>
    </row>
    <row r="8072" spans="1:22" s="1192" customFormat="1" ht="14.4" x14ac:dyDescent="0.3">
      <c r="A8072" s="1192" t="s">
        <v>5684</v>
      </c>
      <c r="B8072" s="1192" t="s">
        <v>5691</v>
      </c>
      <c r="E8072" s="1743" t="s">
        <v>2393</v>
      </c>
      <c r="F8072" s="1743"/>
      <c r="G8072" s="1743"/>
      <c r="H8072" s="1743"/>
      <c r="K8072" s="1192" t="s">
        <v>2861</v>
      </c>
      <c r="V8072" s="1192">
        <v>387</v>
      </c>
    </row>
    <row r="8073" spans="1:22" s="1192" customFormat="1" ht="14.4" x14ac:dyDescent="0.3">
      <c r="A8073" s="1192" t="s">
        <v>5684</v>
      </c>
      <c r="B8073" s="1192" t="s">
        <v>5691</v>
      </c>
      <c r="E8073" s="1743" t="s">
        <v>4500</v>
      </c>
      <c r="F8073" s="1743"/>
      <c r="G8073" s="1743"/>
      <c r="H8073" s="1743"/>
      <c r="K8073" s="1192" t="s">
        <v>2861</v>
      </c>
      <c r="V8073" s="1192">
        <v>247</v>
      </c>
    </row>
    <row r="8074" spans="1:22" s="1192" customFormat="1" ht="14.4" x14ac:dyDescent="0.3">
      <c r="A8074" s="1192" t="s">
        <v>5684</v>
      </c>
      <c r="B8074" s="1192" t="s">
        <v>5691</v>
      </c>
      <c r="E8074" s="1750" t="s">
        <v>2394</v>
      </c>
      <c r="F8074" s="1743"/>
      <c r="G8074" s="1743"/>
      <c r="H8074" s="1743"/>
      <c r="K8074" s="1192" t="s">
        <v>2587</v>
      </c>
      <c r="V8074" s="1192">
        <v>46</v>
      </c>
    </row>
    <row r="8075" spans="1:22" s="1192" customFormat="1" ht="14.4" x14ac:dyDescent="0.3">
      <c r="A8075" s="1192" t="s">
        <v>5684</v>
      </c>
      <c r="B8075" s="1192" t="s">
        <v>5691</v>
      </c>
      <c r="E8075" s="1741" t="s">
        <v>424</v>
      </c>
      <c r="F8075" s="1741"/>
      <c r="G8075" s="1277" t="s">
        <v>19</v>
      </c>
      <c r="H8075" s="1218">
        <v>0.73</v>
      </c>
      <c r="K8075" s="1192" t="s">
        <v>2861</v>
      </c>
      <c r="L8075" s="1192" t="s">
        <v>430</v>
      </c>
      <c r="P8075" s="1192" t="s">
        <v>2863</v>
      </c>
      <c r="V8075" s="1192">
        <v>26</v>
      </c>
    </row>
    <row r="8076" spans="1:22" s="1192" customFormat="1" ht="14.4" x14ac:dyDescent="0.3">
      <c r="A8076" s="1192" t="s">
        <v>5684</v>
      </c>
      <c r="B8076" s="1192" t="s">
        <v>5691</v>
      </c>
      <c r="E8076" s="1741" t="s">
        <v>80</v>
      </c>
      <c r="F8076" s="1741"/>
      <c r="G8076" s="1277" t="s">
        <v>29</v>
      </c>
      <c r="H8076" s="1219">
        <v>3.8967000000000001</v>
      </c>
      <c r="K8076" s="1192" t="s">
        <v>2861</v>
      </c>
      <c r="L8076" s="1192" t="s">
        <v>430</v>
      </c>
      <c r="P8076" s="1192" t="s">
        <v>2864</v>
      </c>
      <c r="V8076" s="1192">
        <v>28</v>
      </c>
    </row>
    <row r="8077" spans="1:22" s="1192" customFormat="1" ht="14.4" x14ac:dyDescent="0.3">
      <c r="A8077" s="1192" t="s">
        <v>5684</v>
      </c>
      <c r="B8077" s="1192" t="s">
        <v>5691</v>
      </c>
      <c r="E8077" s="1741" t="s">
        <v>14</v>
      </c>
      <c r="F8077" s="1741"/>
      <c r="G8077" s="1277" t="s">
        <v>29</v>
      </c>
      <c r="H8077" s="1219">
        <v>0.26179999999999998</v>
      </c>
      <c r="K8077" s="1192" t="s">
        <v>2861</v>
      </c>
      <c r="L8077" s="1192" t="s">
        <v>431</v>
      </c>
      <c r="P8077" s="1192" t="s">
        <v>2865</v>
      </c>
      <c r="V8077" s="1192">
        <v>24</v>
      </c>
    </row>
    <row r="8078" spans="1:22" s="1192" customFormat="1" ht="14.4" x14ac:dyDescent="0.3">
      <c r="A8078" s="1192" t="s">
        <v>5684</v>
      </c>
      <c r="B8078" s="1192" t="s">
        <v>5691</v>
      </c>
      <c r="E8078" s="1741" t="s">
        <v>213</v>
      </c>
      <c r="F8078" s="1741"/>
      <c r="G8078" s="1277" t="s">
        <v>29</v>
      </c>
      <c r="H8078" s="1219">
        <v>2.0550000000000002</v>
      </c>
      <c r="K8078" s="1192" t="s">
        <v>2861</v>
      </c>
      <c r="L8078" s="1192" t="s">
        <v>432</v>
      </c>
      <c r="P8078" s="1192" t="s">
        <v>2868</v>
      </c>
      <c r="V8078" s="1192">
        <v>47</v>
      </c>
    </row>
    <row r="8079" spans="1:22" s="1192" customFormat="1" ht="14.4" x14ac:dyDescent="0.3">
      <c r="A8079" s="1192" t="s">
        <v>5684</v>
      </c>
      <c r="B8079" s="1192" t="s">
        <v>5691</v>
      </c>
      <c r="E8079" s="1741" t="s">
        <v>209</v>
      </c>
      <c r="F8079" s="1741"/>
      <c r="G8079" s="1277" t="s">
        <v>29</v>
      </c>
      <c r="H8079" s="1219">
        <v>1.4816</v>
      </c>
      <c r="K8079" s="1192" t="s">
        <v>2861</v>
      </c>
      <c r="L8079" s="1192" t="s">
        <v>432</v>
      </c>
      <c r="P8079" s="1192" t="s">
        <v>2869</v>
      </c>
      <c r="V8079" s="1192">
        <v>74</v>
      </c>
    </row>
    <row r="8080" spans="1:22" s="1192" customFormat="1" ht="14.4" x14ac:dyDescent="0.3">
      <c r="A8080" s="1192" t="s">
        <v>5684</v>
      </c>
      <c r="B8080" s="1192" t="s">
        <v>5691</v>
      </c>
      <c r="E8080" s="1750" t="s">
        <v>2405</v>
      </c>
      <c r="F8080" s="1741"/>
      <c r="G8080" s="1277"/>
      <c r="H8080" s="896"/>
      <c r="K8080" s="1192" t="s">
        <v>2657</v>
      </c>
      <c r="V8080" s="1192">
        <v>48</v>
      </c>
    </row>
    <row r="8081" spans="1:22" s="1192" customFormat="1" ht="14.4" x14ac:dyDescent="0.3">
      <c r="A8081" s="1192" t="s">
        <v>5684</v>
      </c>
      <c r="B8081" s="1192" t="s">
        <v>5691</v>
      </c>
      <c r="E8081" s="1741" t="s">
        <v>2033</v>
      </c>
      <c r="F8081" s="1741"/>
      <c r="G8081" s="1277" t="s">
        <v>20</v>
      </c>
      <c r="H8081" s="1219">
        <v>3.0000000000000001E-3</v>
      </c>
      <c r="K8081" s="1192" t="s">
        <v>2861</v>
      </c>
      <c r="L8081" s="1192" t="s">
        <v>2374</v>
      </c>
      <c r="P8081" s="1192" t="s">
        <v>2870</v>
      </c>
      <c r="V8081" s="1192">
        <v>55</v>
      </c>
    </row>
    <row r="8082" spans="1:22" s="1192" customFormat="1" ht="14.4" x14ac:dyDescent="0.3">
      <c r="A8082" s="1192" t="s">
        <v>5684</v>
      </c>
      <c r="B8082" s="1192" t="s">
        <v>5691</v>
      </c>
      <c r="E8082" s="1741" t="s">
        <v>2034</v>
      </c>
      <c r="F8082" s="1741"/>
      <c r="G8082" s="1277" t="s">
        <v>20</v>
      </c>
      <c r="H8082" s="1219">
        <v>4.0000000000000002E-4</v>
      </c>
      <c r="K8082" s="1192" t="s">
        <v>2861</v>
      </c>
      <c r="L8082" s="1192" t="s">
        <v>2374</v>
      </c>
      <c r="P8082" s="1192" t="s">
        <v>2870</v>
      </c>
      <c r="V8082" s="1192">
        <v>65</v>
      </c>
    </row>
    <row r="8083" spans="1:22" s="1192" customFormat="1" ht="14.4" x14ac:dyDescent="0.3">
      <c r="A8083" s="1192" t="s">
        <v>5684</v>
      </c>
      <c r="B8083" s="1192" t="s">
        <v>5691</v>
      </c>
      <c r="E8083" s="1741" t="s">
        <v>428</v>
      </c>
      <c r="F8083" s="1741"/>
      <c r="G8083" s="1277" t="s">
        <v>20</v>
      </c>
      <c r="H8083" s="1219">
        <v>5.0000000000000001E-4</v>
      </c>
      <c r="K8083" s="1192" t="s">
        <v>2861</v>
      </c>
      <c r="L8083" s="1192" t="s">
        <v>2374</v>
      </c>
      <c r="P8083" s="1192" t="s">
        <v>2871</v>
      </c>
      <c r="V8083" s="1192">
        <v>57</v>
      </c>
    </row>
    <row r="8084" spans="1:22" s="1192" customFormat="1" ht="14.4" x14ac:dyDescent="0.3">
      <c r="A8084" s="1192" t="s">
        <v>5684</v>
      </c>
      <c r="B8084" s="1192" t="s">
        <v>5691</v>
      </c>
      <c r="E8084" s="1741" t="s">
        <v>28</v>
      </c>
      <c r="F8084" s="1741"/>
      <c r="G8084" s="1277" t="s">
        <v>19</v>
      </c>
      <c r="H8084" s="1218">
        <v>0.25</v>
      </c>
      <c r="K8084" s="1192" t="s">
        <v>2861</v>
      </c>
      <c r="L8084" s="1192" t="s">
        <v>2374</v>
      </c>
      <c r="P8084" s="1192" t="s">
        <v>2872</v>
      </c>
      <c r="V8084" s="1192">
        <v>63</v>
      </c>
    </row>
    <row r="8085" spans="1:22" s="1192" customFormat="1" ht="17.399999999999999" x14ac:dyDescent="0.3">
      <c r="A8085" s="1192" t="s">
        <v>5684</v>
      </c>
      <c r="B8085" s="1192" t="s">
        <v>5691</v>
      </c>
      <c r="E8085" s="1746" t="s">
        <v>593</v>
      </c>
      <c r="F8085" s="1747"/>
      <c r="G8085" s="1747"/>
      <c r="H8085" s="1747"/>
      <c r="K8085" s="1192" t="s">
        <v>2873</v>
      </c>
      <c r="V8085" s="1192">
        <v>31</v>
      </c>
    </row>
    <row r="8086" spans="1:22" s="1192" customFormat="1" ht="14.4" x14ac:dyDescent="0.3">
      <c r="A8086" s="1192" t="s">
        <v>5684</v>
      </c>
      <c r="B8086" s="1192" t="s">
        <v>5691</v>
      </c>
      <c r="E8086" s="1743" t="s">
        <v>2966</v>
      </c>
      <c r="F8086" s="1743"/>
      <c r="G8086" s="1743"/>
      <c r="H8086" s="1743"/>
      <c r="K8086" s="1192" t="s">
        <v>2873</v>
      </c>
      <c r="V8086" s="1192">
        <v>286</v>
      </c>
    </row>
    <row r="8087" spans="1:22" s="1192" customFormat="1" ht="14.4" x14ac:dyDescent="0.3">
      <c r="A8087" s="1192" t="s">
        <v>5684</v>
      </c>
      <c r="B8087" s="1192" t="s">
        <v>5691</v>
      </c>
      <c r="E8087" s="1750" t="s">
        <v>2389</v>
      </c>
      <c r="F8087" s="1743"/>
      <c r="G8087" s="1743"/>
      <c r="H8087" s="1743"/>
      <c r="K8087" s="1192" t="s">
        <v>2629</v>
      </c>
      <c r="V8087" s="1192">
        <v>11</v>
      </c>
    </row>
    <row r="8088" spans="1:22" s="1192" customFormat="1" ht="14.4" x14ac:dyDescent="0.3">
      <c r="A8088" s="1192" t="s">
        <v>5684</v>
      </c>
      <c r="B8088" s="1192" t="s">
        <v>5691</v>
      </c>
      <c r="E8088" s="1743" t="s">
        <v>2391</v>
      </c>
      <c r="F8088" s="1743"/>
      <c r="G8088" s="1743"/>
      <c r="H8088" s="1743"/>
      <c r="K8088" s="1192" t="s">
        <v>2873</v>
      </c>
      <c r="V8088" s="1192">
        <v>280</v>
      </c>
    </row>
    <row r="8089" spans="1:22" s="1192" customFormat="1" ht="14.4" x14ac:dyDescent="0.3">
      <c r="A8089" s="1192" t="s">
        <v>5684</v>
      </c>
      <c r="B8089" s="1192" t="s">
        <v>5691</v>
      </c>
      <c r="E8089" s="1743" t="s">
        <v>2392</v>
      </c>
      <c r="F8089" s="1743"/>
      <c r="G8089" s="1743"/>
      <c r="H8089" s="1743"/>
      <c r="K8089" s="1192" t="s">
        <v>2873</v>
      </c>
      <c r="V8089" s="1192">
        <v>411</v>
      </c>
    </row>
    <row r="8090" spans="1:22" s="1192" customFormat="1" ht="14.4" x14ac:dyDescent="0.3">
      <c r="A8090" s="1192" t="s">
        <v>5684</v>
      </c>
      <c r="B8090" s="1192" t="s">
        <v>5691</v>
      </c>
      <c r="E8090" s="1743" t="s">
        <v>2445</v>
      </c>
      <c r="F8090" s="1743"/>
      <c r="G8090" s="1743"/>
      <c r="H8090" s="1743"/>
      <c r="K8090" s="1192" t="s">
        <v>2873</v>
      </c>
      <c r="V8090" s="1192">
        <v>211</v>
      </c>
    </row>
    <row r="8091" spans="1:22" s="1192" customFormat="1" ht="14.4" x14ac:dyDescent="0.3">
      <c r="A8091" s="1192" t="s">
        <v>5684</v>
      </c>
      <c r="B8091" s="1192" t="s">
        <v>5691</v>
      </c>
      <c r="E8091" s="1743" t="s">
        <v>4500</v>
      </c>
      <c r="F8091" s="1743"/>
      <c r="G8091" s="1743"/>
      <c r="H8091" s="1743"/>
      <c r="K8091" s="1192" t="s">
        <v>2873</v>
      </c>
      <c r="V8091" s="1192">
        <v>247</v>
      </c>
    </row>
    <row r="8092" spans="1:22" s="1192" customFormat="1" ht="14.4" x14ac:dyDescent="0.3">
      <c r="A8092" s="1192" t="s">
        <v>5684</v>
      </c>
      <c r="B8092" s="1192" t="s">
        <v>5691</v>
      </c>
      <c r="E8092" s="1750" t="s">
        <v>2394</v>
      </c>
      <c r="F8092" s="1743"/>
      <c r="G8092" s="1743"/>
      <c r="H8092" s="1743"/>
      <c r="K8092" s="1192" t="s">
        <v>2630</v>
      </c>
      <c r="V8092" s="1192">
        <v>46</v>
      </c>
    </row>
    <row r="8093" spans="1:22" s="1192" customFormat="1" ht="14.4" x14ac:dyDescent="0.3">
      <c r="A8093" s="1192" t="s">
        <v>5684</v>
      </c>
      <c r="B8093" s="1192" t="s">
        <v>5691</v>
      </c>
      <c r="E8093" s="1741" t="s">
        <v>7</v>
      </c>
      <c r="F8093" s="1741"/>
      <c r="G8093" s="1277" t="s">
        <v>19</v>
      </c>
      <c r="H8093" s="1218">
        <v>4.55</v>
      </c>
      <c r="K8093" s="1192" t="s">
        <v>2873</v>
      </c>
      <c r="L8093" s="1192" t="s">
        <v>430</v>
      </c>
      <c r="P8093" s="1192" t="s">
        <v>2874</v>
      </c>
      <c r="V8093" s="1192">
        <v>14</v>
      </c>
    </row>
    <row r="8094" spans="1:22" s="1192" customFormat="1" x14ac:dyDescent="0.3">
      <c r="A8094" s="1192" t="s">
        <v>5684</v>
      </c>
      <c r="B8094" s="1192" t="s">
        <v>5691</v>
      </c>
      <c r="E8094" s="1260" t="s">
        <v>81</v>
      </c>
      <c r="F8094" s="823"/>
      <c r="G8094" s="823"/>
      <c r="H8094" s="878"/>
      <c r="K8094" s="1192" t="s">
        <v>5685</v>
      </c>
      <c r="V8094" s="1192">
        <v>10</v>
      </c>
    </row>
    <row r="8095" spans="1:22" s="1192" customFormat="1" ht="14.4" x14ac:dyDescent="0.3">
      <c r="A8095" s="1192" t="s">
        <v>5684</v>
      </c>
      <c r="B8095" s="1192" t="s">
        <v>5691</v>
      </c>
      <c r="E8095" s="1741" t="s">
        <v>2449</v>
      </c>
      <c r="F8095" s="1741"/>
      <c r="G8095" s="1277" t="s">
        <v>29</v>
      </c>
      <c r="H8095" s="1219">
        <v>-0.6</v>
      </c>
      <c r="V8095" s="1192">
        <v>68</v>
      </c>
    </row>
    <row r="8096" spans="1:22" s="1192" customFormat="1" ht="14.4" x14ac:dyDescent="0.3">
      <c r="A8096" s="1192" t="s">
        <v>5684</v>
      </c>
      <c r="B8096" s="1192" t="s">
        <v>5691</v>
      </c>
      <c r="E8096" s="1741" t="s">
        <v>2450</v>
      </c>
      <c r="F8096" s="1741"/>
      <c r="G8096" s="1277" t="s">
        <v>82</v>
      </c>
      <c r="H8096" s="1218">
        <v>-1</v>
      </c>
      <c r="V8096" s="1192">
        <v>87</v>
      </c>
    </row>
    <row r="8097" spans="1:22" s="1192" customFormat="1" x14ac:dyDescent="0.3">
      <c r="A8097" s="1192" t="s">
        <v>5684</v>
      </c>
      <c r="B8097" s="1192" t="s">
        <v>5691</v>
      </c>
      <c r="E8097" s="1260" t="s">
        <v>83</v>
      </c>
      <c r="F8097" s="823"/>
      <c r="G8097" s="823"/>
      <c r="H8097" s="878"/>
      <c r="K8097" s="1192" t="s">
        <v>5686</v>
      </c>
      <c r="V8097" s="1192">
        <v>24</v>
      </c>
    </row>
    <row r="8098" spans="1:22" s="1192" customFormat="1" ht="14.4" x14ac:dyDescent="0.3">
      <c r="A8098" s="1192" t="s">
        <v>5684</v>
      </c>
      <c r="B8098" s="1192" t="s">
        <v>5691</v>
      </c>
      <c r="E8098" s="1743" t="s">
        <v>2391</v>
      </c>
      <c r="F8098" s="1743"/>
      <c r="G8098" s="1743"/>
      <c r="H8098" s="1743"/>
      <c r="V8098" s="1192">
        <v>280</v>
      </c>
    </row>
    <row r="8099" spans="1:22" s="1192" customFormat="1" ht="14.4" x14ac:dyDescent="0.3">
      <c r="A8099" s="1192" t="s">
        <v>5684</v>
      </c>
      <c r="B8099" s="1192" t="s">
        <v>5691</v>
      </c>
      <c r="E8099" s="1743" t="s">
        <v>2452</v>
      </c>
      <c r="F8099" s="1743"/>
      <c r="G8099" s="1743"/>
      <c r="H8099" s="1743"/>
      <c r="V8099" s="1192">
        <v>353</v>
      </c>
    </row>
    <row r="8100" spans="1:22" s="1192" customFormat="1" ht="14.4" x14ac:dyDescent="0.3">
      <c r="A8100" s="1192" t="s">
        <v>5684</v>
      </c>
      <c r="B8100" s="1192" t="s">
        <v>5691</v>
      </c>
      <c r="E8100" s="1743" t="s">
        <v>4500</v>
      </c>
      <c r="F8100" s="1743"/>
      <c r="G8100" s="1743"/>
      <c r="H8100" s="1743"/>
      <c r="V8100" s="1192">
        <v>247</v>
      </c>
    </row>
    <row r="8101" spans="1:22" s="1192" customFormat="1" ht="14.4" x14ac:dyDescent="0.3">
      <c r="A8101" s="1192" t="s">
        <v>5684</v>
      </c>
      <c r="B8101" s="1192" t="s">
        <v>5691</v>
      </c>
      <c r="E8101" s="1258" t="s">
        <v>2453</v>
      </c>
      <c r="F8101" s="1287"/>
      <c r="G8101" s="1287"/>
      <c r="H8101" s="879"/>
      <c r="K8101" s="1192" t="s">
        <v>5687</v>
      </c>
      <c r="V8101" s="1192">
        <v>23</v>
      </c>
    </row>
    <row r="8102" spans="1:22" s="1192" customFormat="1" ht="14.4" x14ac:dyDescent="0.3">
      <c r="A8102" s="1192" t="s">
        <v>5684</v>
      </c>
      <c r="B8102" s="1192" t="s">
        <v>5691</v>
      </c>
      <c r="E8102" s="1942" t="s">
        <v>2639</v>
      </c>
      <c r="F8102" s="1942"/>
      <c r="G8102" s="1277" t="s">
        <v>19</v>
      </c>
      <c r="H8102" s="1218">
        <v>15</v>
      </c>
      <c r="V8102" s="1192">
        <v>19</v>
      </c>
    </row>
    <row r="8103" spans="1:22" s="1192" customFormat="1" ht="14.4" x14ac:dyDescent="0.3">
      <c r="A8103" s="1192" t="s">
        <v>5684</v>
      </c>
      <c r="B8103" s="1192" t="s">
        <v>5691</v>
      </c>
      <c r="E8103" s="1942" t="s">
        <v>2456</v>
      </c>
      <c r="F8103" s="1942"/>
      <c r="G8103" s="1277" t="s">
        <v>19</v>
      </c>
      <c r="H8103" s="1218">
        <v>15</v>
      </c>
      <c r="V8103" s="1192">
        <v>20</v>
      </c>
    </row>
    <row r="8104" spans="1:22" s="1192" customFormat="1" ht="14.4" x14ac:dyDescent="0.3">
      <c r="A8104" s="1192" t="s">
        <v>5684</v>
      </c>
      <c r="B8104" s="1192" t="s">
        <v>5691</v>
      </c>
      <c r="E8104" s="1942" t="s">
        <v>2459</v>
      </c>
      <c r="F8104" s="1942"/>
      <c r="G8104" s="1277" t="s">
        <v>19</v>
      </c>
      <c r="H8104" s="1218">
        <v>15</v>
      </c>
      <c r="V8104" s="1192">
        <v>37</v>
      </c>
    </row>
    <row r="8105" spans="1:22" s="1192" customFormat="1" ht="14.4" x14ac:dyDescent="0.3">
      <c r="A8105" s="1192" t="s">
        <v>5684</v>
      </c>
      <c r="B8105" s="1192" t="s">
        <v>5691</v>
      </c>
      <c r="E8105" s="1942" t="s">
        <v>3663</v>
      </c>
      <c r="F8105" s="1942"/>
      <c r="G8105" s="1277" t="s">
        <v>19</v>
      </c>
      <c r="H8105" s="1218">
        <v>15</v>
      </c>
      <c r="V8105" s="1192">
        <v>15</v>
      </c>
    </row>
    <row r="8106" spans="1:22" s="1192" customFormat="1" ht="14.4" x14ac:dyDescent="0.3">
      <c r="A8106" s="1192" t="s">
        <v>5684</v>
      </c>
      <c r="B8106" s="1192" t="s">
        <v>5691</v>
      </c>
      <c r="E8106" s="1942" t="s">
        <v>2463</v>
      </c>
      <c r="F8106" s="1942"/>
      <c r="G8106" s="1277" t="s">
        <v>19</v>
      </c>
      <c r="H8106" s="1218">
        <v>15</v>
      </c>
      <c r="V8106" s="1192">
        <v>15</v>
      </c>
    </row>
    <row r="8107" spans="1:22" s="1192" customFormat="1" ht="14.4" x14ac:dyDescent="0.3">
      <c r="A8107" s="1192" t="s">
        <v>5684</v>
      </c>
      <c r="B8107" s="1192" t="s">
        <v>5691</v>
      </c>
      <c r="E8107" s="1942" t="s">
        <v>2464</v>
      </c>
      <c r="F8107" s="1942"/>
      <c r="G8107" s="1277" t="s">
        <v>19</v>
      </c>
      <c r="H8107" s="1218">
        <v>15</v>
      </c>
      <c r="V8107" s="1192">
        <v>56</v>
      </c>
    </row>
    <row r="8108" spans="1:22" s="1192" customFormat="1" ht="14.4" x14ac:dyDescent="0.3">
      <c r="A8108" s="1192" t="s">
        <v>5684</v>
      </c>
      <c r="B8108" s="1192" t="s">
        <v>5691</v>
      </c>
      <c r="E8108" s="1942" t="s">
        <v>119</v>
      </c>
      <c r="F8108" s="1942"/>
      <c r="G8108" s="1277" t="s">
        <v>19</v>
      </c>
      <c r="H8108" s="1218">
        <v>15</v>
      </c>
      <c r="V8108" s="1192">
        <v>35</v>
      </c>
    </row>
    <row r="8109" spans="1:22" s="1192" customFormat="1" ht="14.4" x14ac:dyDescent="0.3">
      <c r="A8109" s="1192" t="s">
        <v>5684</v>
      </c>
      <c r="B8109" s="1192" t="s">
        <v>5691</v>
      </c>
      <c r="E8109" s="1942" t="s">
        <v>84</v>
      </c>
      <c r="F8109" s="1942"/>
      <c r="G8109" s="1277" t="s">
        <v>19</v>
      </c>
      <c r="H8109" s="1218">
        <v>30</v>
      </c>
      <c r="V8109" s="1192">
        <v>89</v>
      </c>
    </row>
    <row r="8110" spans="1:22" s="1192" customFormat="1" ht="14.4" x14ac:dyDescent="0.3">
      <c r="A8110" s="1192" t="s">
        <v>5684</v>
      </c>
      <c r="B8110" s="1192" t="s">
        <v>5691</v>
      </c>
      <c r="E8110" s="1942" t="s">
        <v>90</v>
      </c>
      <c r="F8110" s="1942"/>
      <c r="G8110" s="1277" t="s">
        <v>19</v>
      </c>
      <c r="H8110" s="1218">
        <v>30</v>
      </c>
      <c r="V8110" s="1192">
        <v>19</v>
      </c>
    </row>
    <row r="8111" spans="1:22" s="1192" customFormat="1" ht="14.4" x14ac:dyDescent="0.3">
      <c r="A8111" s="1192" t="s">
        <v>5684</v>
      </c>
      <c r="B8111" s="1192" t="s">
        <v>5691</v>
      </c>
      <c r="E8111" s="1942" t="s">
        <v>88</v>
      </c>
      <c r="F8111" s="1942"/>
      <c r="G8111" s="1277" t="s">
        <v>19</v>
      </c>
      <c r="H8111" s="1218">
        <v>30</v>
      </c>
      <c r="V8111" s="1192">
        <v>74</v>
      </c>
    </row>
    <row r="8112" spans="1:22" s="1192" customFormat="1" ht="14.4" x14ac:dyDescent="0.3">
      <c r="A8112" s="1192" t="s">
        <v>5684</v>
      </c>
      <c r="B8112" s="1192" t="s">
        <v>5691</v>
      </c>
      <c r="E8112" s="1270" t="s">
        <v>2468</v>
      </c>
      <c r="F8112" s="1287"/>
      <c r="G8112" s="1287"/>
      <c r="H8112" s="879"/>
      <c r="K8112" s="1192" t="s">
        <v>5688</v>
      </c>
      <c r="V8112" s="1192">
        <v>22</v>
      </c>
    </row>
    <row r="8113" spans="1:22" s="1192" customFormat="1" ht="14.4" x14ac:dyDescent="0.3">
      <c r="A8113" s="1192" t="s">
        <v>5684</v>
      </c>
      <c r="B8113" s="1192" t="s">
        <v>5691</v>
      </c>
      <c r="E8113" s="1745" t="s">
        <v>6205</v>
      </c>
      <c r="F8113" s="1745"/>
      <c r="G8113" s="1277" t="s">
        <v>82</v>
      </c>
      <c r="H8113" s="1218">
        <v>1.5</v>
      </c>
      <c r="V8113" s="1192">
        <v>100</v>
      </c>
    </row>
    <row r="8114" spans="1:22" s="1192" customFormat="1" ht="14.4" x14ac:dyDescent="0.3">
      <c r="A8114" s="1192" t="s">
        <v>5684</v>
      </c>
      <c r="B8114" s="1192" t="s">
        <v>5691</v>
      </c>
      <c r="E8114" s="1942" t="s">
        <v>6106</v>
      </c>
      <c r="F8114" s="1942"/>
      <c r="G8114" s="1277" t="s">
        <v>19</v>
      </c>
      <c r="H8114" s="1218">
        <v>65</v>
      </c>
      <c r="V8114" s="1192">
        <v>44</v>
      </c>
    </row>
    <row r="8115" spans="1:22" s="1192" customFormat="1" ht="14.4" x14ac:dyDescent="0.3">
      <c r="A8115" s="1192" t="s">
        <v>5684</v>
      </c>
      <c r="B8115" s="1192" t="s">
        <v>5691</v>
      </c>
      <c r="E8115" s="1942" t="s">
        <v>6107</v>
      </c>
      <c r="F8115" s="1942"/>
      <c r="G8115" s="1277" t="s">
        <v>19</v>
      </c>
      <c r="H8115" s="1218">
        <v>185</v>
      </c>
      <c r="V8115" s="1192">
        <v>43</v>
      </c>
    </row>
    <row r="8116" spans="1:22" s="1192" customFormat="1" ht="14.4" x14ac:dyDescent="0.3">
      <c r="A8116" s="1192" t="s">
        <v>5684</v>
      </c>
      <c r="B8116" s="1192" t="s">
        <v>5691</v>
      </c>
      <c r="E8116" s="1258" t="s">
        <v>2474</v>
      </c>
      <c r="F8116" s="1280"/>
      <c r="G8116" s="1280"/>
      <c r="H8116" s="840"/>
      <c r="V8116" s="1192">
        <v>5</v>
      </c>
    </row>
    <row r="8117" spans="1:22" s="1192" customFormat="1" ht="14.4" x14ac:dyDescent="0.3">
      <c r="A8117" s="1192" t="s">
        <v>5684</v>
      </c>
      <c r="B8117" s="1192" t="s">
        <v>5691</v>
      </c>
      <c r="E8117" s="1942" t="s">
        <v>3665</v>
      </c>
      <c r="F8117" s="1942"/>
      <c r="G8117" s="1277" t="s">
        <v>19</v>
      </c>
      <c r="H8117" s="1218">
        <v>65</v>
      </c>
      <c r="V8117" s="1192">
        <v>52</v>
      </c>
    </row>
    <row r="8118" spans="1:22" s="1192" customFormat="1" ht="14.4" x14ac:dyDescent="0.3">
      <c r="A8118" s="1192" t="s">
        <v>5684</v>
      </c>
      <c r="B8118" s="1192" t="s">
        <v>5691</v>
      </c>
      <c r="E8118" s="1942" t="s">
        <v>3666</v>
      </c>
      <c r="F8118" s="1942"/>
      <c r="G8118" s="1277" t="s">
        <v>19</v>
      </c>
      <c r="H8118" s="1218">
        <v>185</v>
      </c>
      <c r="V8118" s="1192">
        <v>51</v>
      </c>
    </row>
    <row r="8119" spans="1:22" s="1192" customFormat="1" ht="14.4" x14ac:dyDescent="0.3">
      <c r="A8119" s="1192" t="s">
        <v>5684</v>
      </c>
      <c r="B8119" s="1192" t="s">
        <v>5691</v>
      </c>
      <c r="E8119" s="1942" t="s">
        <v>2703</v>
      </c>
      <c r="F8119" s="1942"/>
      <c r="G8119" s="1277" t="s">
        <v>19</v>
      </c>
      <c r="H8119" s="1218">
        <v>500</v>
      </c>
      <c r="V8119" s="1192">
        <v>64</v>
      </c>
    </row>
    <row r="8120" spans="1:22" s="1192" customFormat="1" ht="14.4" x14ac:dyDescent="0.3">
      <c r="A8120" s="1192" t="s">
        <v>5684</v>
      </c>
      <c r="B8120" s="1192" t="s">
        <v>5691</v>
      </c>
      <c r="E8120" s="1942" t="s">
        <v>2759</v>
      </c>
      <c r="F8120" s="1942"/>
      <c r="G8120" s="1277" t="s">
        <v>19</v>
      </c>
      <c r="H8120" s="1218">
        <v>1000</v>
      </c>
      <c r="V8120" s="1192">
        <v>66</v>
      </c>
    </row>
    <row r="8121" spans="1:22" s="1192" customFormat="1" ht="14.4" x14ac:dyDescent="0.3">
      <c r="A8121" s="1192" t="s">
        <v>5684</v>
      </c>
      <c r="B8121" s="1192" t="s">
        <v>5691</v>
      </c>
      <c r="E8121" s="1942" t="s">
        <v>2768</v>
      </c>
      <c r="F8121" s="1942"/>
      <c r="G8121" s="1277" t="s">
        <v>19</v>
      </c>
      <c r="H8121" s="1218">
        <v>44.5</v>
      </c>
      <c r="V8121" s="1192">
        <v>104</v>
      </c>
    </row>
    <row r="8122" spans="1:22" s="1192" customFormat="1" ht="14.4" x14ac:dyDescent="0.3">
      <c r="A8122" s="1192" t="s">
        <v>5684</v>
      </c>
      <c r="B8122" s="1192" t="s">
        <v>5691</v>
      </c>
      <c r="E8122" s="1942" t="s">
        <v>2967</v>
      </c>
      <c r="F8122" s="1942"/>
      <c r="G8122" s="1277" t="s">
        <v>19</v>
      </c>
      <c r="H8122" s="1218">
        <v>905</v>
      </c>
      <c r="V8122" s="1192">
        <v>43</v>
      </c>
    </row>
    <row r="8123" spans="1:22" s="1192" customFormat="1" x14ac:dyDescent="0.35">
      <c r="A8123" s="1192" t="s">
        <v>5684</v>
      </c>
      <c r="B8123" s="1192" t="s">
        <v>5691</v>
      </c>
      <c r="E8123" s="1269" t="s">
        <v>73</v>
      </c>
      <c r="F8123" s="550"/>
      <c r="G8123" s="550"/>
      <c r="H8123" s="881"/>
      <c r="K8123" s="1192" t="s">
        <v>5689</v>
      </c>
      <c r="V8123" s="1192">
        <v>38</v>
      </c>
    </row>
    <row r="8124" spans="1:22" s="1192" customFormat="1" ht="14.4" x14ac:dyDescent="0.3">
      <c r="A8124" s="1192" t="s">
        <v>5684</v>
      </c>
      <c r="B8124" s="1192" t="s">
        <v>5691</v>
      </c>
      <c r="E8124" s="1743" t="s">
        <v>2391</v>
      </c>
      <c r="F8124" s="1743"/>
      <c r="G8124" s="1743"/>
      <c r="H8124" s="1743"/>
      <c r="V8124" s="1192">
        <v>280</v>
      </c>
    </row>
    <row r="8125" spans="1:22" s="1192" customFormat="1" ht="14.4" x14ac:dyDescent="0.3">
      <c r="A8125" s="1192" t="s">
        <v>5684</v>
      </c>
      <c r="B8125" s="1192" t="s">
        <v>5691</v>
      </c>
      <c r="E8125" s="1743" t="s">
        <v>2392</v>
      </c>
      <c r="F8125" s="1743"/>
      <c r="G8125" s="1743"/>
      <c r="H8125" s="1743"/>
      <c r="V8125" s="1192">
        <v>411</v>
      </c>
    </row>
    <row r="8126" spans="1:22" s="1192" customFormat="1" ht="14.4" x14ac:dyDescent="0.3">
      <c r="A8126" s="1192" t="s">
        <v>5684</v>
      </c>
      <c r="B8126" s="1192" t="s">
        <v>5691</v>
      </c>
      <c r="E8126" s="1743" t="s">
        <v>2445</v>
      </c>
      <c r="F8126" s="1743"/>
      <c r="G8126" s="1743"/>
      <c r="H8126" s="1743"/>
      <c r="V8126" s="1192">
        <v>211</v>
      </c>
    </row>
    <row r="8127" spans="1:22" s="1192" customFormat="1" ht="14.4" x14ac:dyDescent="0.3">
      <c r="A8127" s="1192" t="s">
        <v>5684</v>
      </c>
      <c r="B8127" s="1192" t="s">
        <v>5691</v>
      </c>
      <c r="E8127" s="1743" t="s">
        <v>4500</v>
      </c>
      <c r="F8127" s="1743"/>
      <c r="G8127" s="1743"/>
      <c r="H8127" s="1743"/>
      <c r="V8127" s="1192">
        <v>247</v>
      </c>
    </row>
    <row r="8128" spans="1:22" s="1192" customFormat="1" ht="14.4" x14ac:dyDescent="0.3">
      <c r="A8128" s="1192" t="s">
        <v>5684</v>
      </c>
      <c r="B8128" s="1192" t="s">
        <v>5691</v>
      </c>
      <c r="E8128" s="1743" t="s">
        <v>2595</v>
      </c>
      <c r="F8128" s="1743"/>
      <c r="G8128" s="1743"/>
      <c r="H8128" s="1743"/>
      <c r="V8128" s="1192">
        <v>142</v>
      </c>
    </row>
    <row r="8129" spans="1:22" s="1192" customFormat="1" ht="14.4" x14ac:dyDescent="0.3">
      <c r="A8129" s="1192" t="s">
        <v>5684</v>
      </c>
      <c r="B8129" s="1192" t="s">
        <v>5691</v>
      </c>
      <c r="E8129" s="1741" t="s">
        <v>2485</v>
      </c>
      <c r="F8129" s="1741"/>
      <c r="G8129" s="360" t="s">
        <v>19</v>
      </c>
      <c r="H8129" s="1218">
        <v>102</v>
      </c>
      <c r="V8129" s="1192">
        <v>106</v>
      </c>
    </row>
    <row r="8130" spans="1:22" s="1192" customFormat="1" ht="14.4" x14ac:dyDescent="0.3">
      <c r="A8130" s="1192" t="s">
        <v>5684</v>
      </c>
      <c r="B8130" s="1192" t="s">
        <v>5691</v>
      </c>
      <c r="E8130" s="1741" t="s">
        <v>2486</v>
      </c>
      <c r="F8130" s="1741"/>
      <c r="G8130" s="1280" t="s">
        <v>19</v>
      </c>
      <c r="H8130" s="509">
        <v>40.799999999999997</v>
      </c>
      <c r="V8130" s="1192">
        <v>34</v>
      </c>
    </row>
    <row r="8131" spans="1:22" s="1192" customFormat="1" ht="14.4" x14ac:dyDescent="0.3">
      <c r="A8131" s="1192" t="s">
        <v>5684</v>
      </c>
      <c r="B8131" s="1192" t="s">
        <v>5691</v>
      </c>
      <c r="E8131" s="1741" t="s">
        <v>2487</v>
      </c>
      <c r="F8131" s="1741"/>
      <c r="G8131" s="1280" t="s">
        <v>2488</v>
      </c>
      <c r="H8131" s="509">
        <v>1.02</v>
      </c>
      <c r="V8131" s="1192">
        <v>51</v>
      </c>
    </row>
    <row r="8132" spans="1:22" s="1192" customFormat="1" ht="14.4" x14ac:dyDescent="0.3">
      <c r="A8132" s="1192" t="s">
        <v>5684</v>
      </c>
      <c r="B8132" s="1192" t="s">
        <v>5691</v>
      </c>
      <c r="E8132" s="1741" t="s">
        <v>2489</v>
      </c>
      <c r="F8132" s="1741"/>
      <c r="G8132" s="1280" t="s">
        <v>2488</v>
      </c>
      <c r="H8132" s="509">
        <v>0.61</v>
      </c>
      <c r="V8132" s="1192">
        <v>75</v>
      </c>
    </row>
    <row r="8133" spans="1:22" s="1192" customFormat="1" ht="14.4" x14ac:dyDescent="0.3">
      <c r="A8133" s="1192" t="s">
        <v>5684</v>
      </c>
      <c r="B8133" s="1192" t="s">
        <v>5691</v>
      </c>
      <c r="E8133" s="1741" t="s">
        <v>2490</v>
      </c>
      <c r="F8133" s="1741"/>
      <c r="G8133" s="1280" t="s">
        <v>2488</v>
      </c>
      <c r="H8133" s="509">
        <v>-0.61</v>
      </c>
      <c r="V8133" s="1192">
        <v>72</v>
      </c>
    </row>
    <row r="8134" spans="1:22" s="1192" customFormat="1" ht="14.4" x14ac:dyDescent="0.3">
      <c r="A8134" s="1192" t="s">
        <v>5684</v>
      </c>
      <c r="B8134" s="1192" t="s">
        <v>5691</v>
      </c>
      <c r="E8134" s="1741" t="s">
        <v>2596</v>
      </c>
      <c r="F8134" s="1741"/>
      <c r="G8134" s="1280"/>
      <c r="H8134" s="840"/>
      <c r="V8134" s="1192">
        <v>34</v>
      </c>
    </row>
    <row r="8135" spans="1:22" s="1192" customFormat="1" ht="14.4" x14ac:dyDescent="0.3">
      <c r="A8135" s="1192" t="s">
        <v>5684</v>
      </c>
      <c r="B8135" s="1192" t="s">
        <v>5691</v>
      </c>
      <c r="E8135" s="1941" t="s">
        <v>2492</v>
      </c>
      <c r="F8135" s="1941"/>
      <c r="G8135" s="360" t="s">
        <v>19</v>
      </c>
      <c r="H8135" s="1218">
        <v>0.51</v>
      </c>
      <c r="V8135" s="1192">
        <v>57</v>
      </c>
    </row>
    <row r="8136" spans="1:22" s="1192" customFormat="1" ht="14.4" x14ac:dyDescent="0.3">
      <c r="A8136" s="1192" t="s">
        <v>5684</v>
      </c>
      <c r="B8136" s="1192" t="s">
        <v>5691</v>
      </c>
      <c r="E8136" s="1941" t="s">
        <v>2493</v>
      </c>
      <c r="F8136" s="1941"/>
      <c r="G8136" s="360" t="s">
        <v>19</v>
      </c>
      <c r="H8136" s="1218">
        <v>1.02</v>
      </c>
      <c r="V8136" s="1192">
        <v>60</v>
      </c>
    </row>
    <row r="8137" spans="1:22" s="1192" customFormat="1" ht="14.4" x14ac:dyDescent="0.3">
      <c r="A8137" s="1192" t="s">
        <v>5684</v>
      </c>
      <c r="B8137" s="1192" t="s">
        <v>5691</v>
      </c>
      <c r="E8137" s="1741" t="s">
        <v>2494</v>
      </c>
      <c r="F8137" s="1741"/>
      <c r="G8137" s="360"/>
      <c r="H8137" s="837"/>
      <c r="V8137" s="1192">
        <v>91</v>
      </c>
    </row>
    <row r="8138" spans="1:22" s="1192" customFormat="1" ht="14.4" x14ac:dyDescent="0.3">
      <c r="A8138" s="1192" t="s">
        <v>5684</v>
      </c>
      <c r="B8138" s="1192" t="s">
        <v>5691</v>
      </c>
      <c r="E8138" s="1741" t="s">
        <v>2495</v>
      </c>
      <c r="F8138" s="1741"/>
      <c r="G8138" s="360"/>
      <c r="H8138" s="837"/>
      <c r="V8138" s="1192">
        <v>96</v>
      </c>
    </row>
    <row r="8139" spans="1:22" s="1192" customFormat="1" ht="14.4" x14ac:dyDescent="0.3">
      <c r="A8139" s="1192" t="s">
        <v>5684</v>
      </c>
      <c r="B8139" s="1192" t="s">
        <v>5691</v>
      </c>
      <c r="E8139" s="1741" t="s">
        <v>2597</v>
      </c>
      <c r="F8139" s="1741"/>
      <c r="G8139" s="360"/>
      <c r="H8139" s="837"/>
      <c r="V8139" s="1192">
        <v>77</v>
      </c>
    </row>
    <row r="8140" spans="1:22" s="1192" customFormat="1" ht="14.4" x14ac:dyDescent="0.3">
      <c r="A8140" s="1192" t="s">
        <v>5684</v>
      </c>
      <c r="B8140" s="1192" t="s">
        <v>5691</v>
      </c>
      <c r="E8140" s="1941" t="s">
        <v>2497</v>
      </c>
      <c r="F8140" s="1941"/>
      <c r="G8140" s="360" t="s">
        <v>19</v>
      </c>
      <c r="H8140" s="837" t="s">
        <v>2498</v>
      </c>
      <c r="V8140" s="1192">
        <v>18</v>
      </c>
    </row>
    <row r="8141" spans="1:22" s="1192" customFormat="1" ht="14.4" x14ac:dyDescent="0.3">
      <c r="A8141" s="1192" t="s">
        <v>5684</v>
      </c>
      <c r="B8141" s="1192" t="s">
        <v>5691</v>
      </c>
      <c r="E8141" s="1941" t="s">
        <v>2499</v>
      </c>
      <c r="F8141" s="1941"/>
      <c r="G8141" s="360" t="s">
        <v>19</v>
      </c>
      <c r="H8141" s="1218">
        <v>4.08</v>
      </c>
      <c r="V8141" s="1192">
        <v>69</v>
      </c>
    </row>
    <row r="8142" spans="1:22" s="1192" customFormat="1" ht="14.4" x14ac:dyDescent="0.3">
      <c r="A8142" s="1192" t="s">
        <v>5684</v>
      </c>
      <c r="B8142" s="1192" t="s">
        <v>5691</v>
      </c>
      <c r="E8142" s="1741" t="s">
        <v>4608</v>
      </c>
      <c r="F8142" s="1741"/>
      <c r="G8142" s="360" t="s">
        <v>19</v>
      </c>
      <c r="H8142" s="1218">
        <v>2.04</v>
      </c>
      <c r="V8142" s="1192">
        <v>199</v>
      </c>
    </row>
    <row r="8143" spans="1:22" s="1192" customFormat="1" x14ac:dyDescent="0.3">
      <c r="A8143" s="1192" t="s">
        <v>5684</v>
      </c>
      <c r="B8143" s="1192" t="s">
        <v>5691</v>
      </c>
      <c r="E8143" s="1260" t="s">
        <v>143</v>
      </c>
      <c r="F8143" s="823"/>
      <c r="G8143" s="823"/>
      <c r="H8143" s="878"/>
      <c r="K8143" s="1192" t="s">
        <v>5690</v>
      </c>
      <c r="V8143" s="1192">
        <v>12</v>
      </c>
    </row>
    <row r="8144" spans="1:22" s="1192" customFormat="1" ht="14.4" x14ac:dyDescent="0.3">
      <c r="A8144" s="1192" t="s">
        <v>5684</v>
      </c>
      <c r="B8144" s="1192" t="s">
        <v>5691</v>
      </c>
      <c r="E8144" s="1741" t="s">
        <v>2501</v>
      </c>
      <c r="F8144" s="1741"/>
      <c r="G8144" s="1741"/>
      <c r="H8144" s="1741"/>
      <c r="V8144" s="1192">
        <v>203</v>
      </c>
    </row>
    <row r="8145" spans="1:22" s="1192" customFormat="1" ht="14.4" x14ac:dyDescent="0.3">
      <c r="A8145" s="1192" t="s">
        <v>5684</v>
      </c>
      <c r="B8145" s="1192" t="s">
        <v>5691</v>
      </c>
      <c r="E8145" s="1741" t="s">
        <v>2599</v>
      </c>
      <c r="F8145" s="1741"/>
      <c r="G8145" s="1277"/>
      <c r="H8145" s="837">
        <v>1.0482</v>
      </c>
      <c r="V8145" s="1192">
        <v>57</v>
      </c>
    </row>
    <row r="8146" spans="1:22" s="1192" customFormat="1" ht="14.4" x14ac:dyDescent="0.3">
      <c r="A8146" s="1192" t="s">
        <v>5684</v>
      </c>
      <c r="B8146" s="1192" t="s">
        <v>5691</v>
      </c>
      <c r="E8146" s="1741" t="s">
        <v>2600</v>
      </c>
      <c r="F8146" s="1741"/>
      <c r="G8146" s="1277"/>
      <c r="H8146" s="837">
        <v>1.0145999999999999</v>
      </c>
      <c r="V8146" s="1192">
        <v>57</v>
      </c>
    </row>
    <row r="8147" spans="1:22" s="1192" customFormat="1" ht="14.4" x14ac:dyDescent="0.3">
      <c r="A8147" s="1192" t="s">
        <v>5684</v>
      </c>
      <c r="B8147" s="1192" t="s">
        <v>5691</v>
      </c>
      <c r="E8147" s="1741" t="s">
        <v>2601</v>
      </c>
      <c r="F8147" s="1741"/>
      <c r="G8147" s="1277"/>
      <c r="H8147" s="837">
        <v>1.0344</v>
      </c>
      <c r="V8147" s="1192">
        <v>55</v>
      </c>
    </row>
    <row r="8148" spans="1:22" s="1192" customFormat="1" ht="14.4" x14ac:dyDescent="0.3">
      <c r="A8148" s="1192" t="s">
        <v>5684</v>
      </c>
      <c r="B8148" s="1192" t="s">
        <v>5691</v>
      </c>
      <c r="E8148" s="1741" t="s">
        <v>2602</v>
      </c>
      <c r="F8148" s="1741"/>
      <c r="G8148" s="1277"/>
      <c r="H8148" s="837">
        <v>1.0044999999999999</v>
      </c>
      <c r="J8148" s="1192" t="s">
        <v>5693</v>
      </c>
      <c r="V8148" s="1192">
        <v>55</v>
      </c>
    </row>
    <row r="8149" spans="1:22" s="1192" customFormat="1" ht="22.8" x14ac:dyDescent="0.3">
      <c r="A8149" s="1192" t="s">
        <v>238</v>
      </c>
      <c r="C8149" s="1192" t="s">
        <v>2378</v>
      </c>
      <c r="E8149" s="1752" t="s">
        <v>238</v>
      </c>
      <c r="F8149" s="1752"/>
      <c r="G8149" s="1752"/>
      <c r="H8149" s="1752"/>
      <c r="I8149" s="1192" t="s">
        <v>603</v>
      </c>
      <c r="J8149" s="1192" t="s">
        <v>3684</v>
      </c>
      <c r="K8149" s="1192" t="s">
        <v>238</v>
      </c>
      <c r="M8149" s="1192">
        <v>7</v>
      </c>
      <c r="V8149" s="1192">
        <v>35</v>
      </c>
    </row>
    <row r="8150" spans="1:22" s="1192" customFormat="1" ht="17.399999999999999" x14ac:dyDescent="0.3">
      <c r="A8150" s="1192" t="s">
        <v>238</v>
      </c>
      <c r="C8150" s="1192" t="s">
        <v>2380</v>
      </c>
      <c r="E8150" s="1753" t="s">
        <v>2381</v>
      </c>
      <c r="F8150" s="1753"/>
      <c r="G8150" s="1753"/>
      <c r="H8150" s="1753"/>
      <c r="V8150" s="1192">
        <v>27</v>
      </c>
    </row>
    <row r="8151" spans="1:22" s="1192" customFormat="1" ht="15.6" x14ac:dyDescent="0.3">
      <c r="A8151" s="1192" t="s">
        <v>238</v>
      </c>
      <c r="C8151" s="1192" t="s">
        <v>2382</v>
      </c>
      <c r="E8151" s="1754" t="s">
        <v>6482</v>
      </c>
      <c r="F8151" s="1754"/>
      <c r="G8151" s="1754"/>
      <c r="H8151" s="1754"/>
      <c r="S8151" s="1192">
        <v>43952</v>
      </c>
      <c r="V8151" s="1192">
        <v>45</v>
      </c>
    </row>
    <row r="8152" spans="1:22" s="1192" customFormat="1" ht="14.4" x14ac:dyDescent="0.3">
      <c r="A8152" s="1192" t="s">
        <v>238</v>
      </c>
      <c r="C8152" s="1192" t="s">
        <v>2383</v>
      </c>
      <c r="E8152" s="1755" t="s">
        <v>2384</v>
      </c>
      <c r="F8152" s="1755"/>
      <c r="G8152" s="1755"/>
      <c r="H8152" s="1755"/>
      <c r="V8152" s="1192">
        <v>52</v>
      </c>
    </row>
    <row r="8153" spans="1:22" s="1192" customFormat="1" ht="14.4" x14ac:dyDescent="0.3">
      <c r="A8153" s="1192" t="s">
        <v>238</v>
      </c>
      <c r="E8153" s="1755" t="s">
        <v>2385</v>
      </c>
      <c r="F8153" s="1755"/>
      <c r="G8153" s="1755"/>
      <c r="H8153" s="1755"/>
      <c r="V8153" s="1192">
        <v>53</v>
      </c>
    </row>
    <row r="8154" spans="1:22" s="1192" customFormat="1" ht="14.4" x14ac:dyDescent="0.3">
      <c r="A8154" s="1192" t="s">
        <v>238</v>
      </c>
      <c r="E8154" s="1772" t="s">
        <v>6524</v>
      </c>
      <c r="F8154" s="1772"/>
      <c r="G8154" s="1772"/>
      <c r="H8154" s="1772"/>
      <c r="K8154" s="1192" t="s">
        <v>6524</v>
      </c>
      <c r="V8154" s="1192">
        <v>12</v>
      </c>
    </row>
    <row r="8155" spans="1:22" s="1192" customFormat="1" ht="14.4" x14ac:dyDescent="0.3">
      <c r="A8155" s="1192" t="s">
        <v>238</v>
      </c>
      <c r="E8155" s="1746" t="s">
        <v>427</v>
      </c>
      <c r="F8155" s="1743"/>
      <c r="G8155" s="1743"/>
      <c r="H8155" s="1743"/>
      <c r="K8155" s="1192" t="s">
        <v>2506</v>
      </c>
      <c r="V8155" s="1192">
        <v>34</v>
      </c>
    </row>
    <row r="8156" spans="1:22" s="1192" customFormat="1" ht="14.4" x14ac:dyDescent="0.3">
      <c r="A8156" s="1192" t="s">
        <v>238</v>
      </c>
      <c r="E8156" s="1743" t="s">
        <v>3685</v>
      </c>
      <c r="F8156" s="1743"/>
      <c r="G8156" s="1743"/>
      <c r="H8156" s="1743"/>
      <c r="K8156" s="1192" t="s">
        <v>2506</v>
      </c>
      <c r="V8156" s="1192">
        <v>319</v>
      </c>
    </row>
    <row r="8157" spans="1:22" s="1192" customFormat="1" ht="14.4" x14ac:dyDescent="0.3">
      <c r="A8157" s="1192" t="s">
        <v>238</v>
      </c>
      <c r="E8157" s="1750" t="s">
        <v>2389</v>
      </c>
      <c r="F8157" s="2037"/>
      <c r="G8157" s="2037"/>
      <c r="H8157" s="2037"/>
      <c r="K8157" s="1192" t="s">
        <v>2390</v>
      </c>
      <c r="V8157" s="1192">
        <v>11</v>
      </c>
    </row>
    <row r="8158" spans="1:22" s="1192" customFormat="1" ht="14.4" x14ac:dyDescent="0.3">
      <c r="A8158" s="1192" t="s">
        <v>238</v>
      </c>
      <c r="E8158" s="1743" t="s">
        <v>2391</v>
      </c>
      <c r="F8158" s="1743"/>
      <c r="G8158" s="1743"/>
      <c r="H8158" s="1743"/>
      <c r="K8158" s="1192" t="s">
        <v>2506</v>
      </c>
      <c r="V8158" s="1192">
        <v>280</v>
      </c>
    </row>
    <row r="8159" spans="1:22" s="1192" customFormat="1" ht="14.4" x14ac:dyDescent="0.3">
      <c r="A8159" s="1192" t="s">
        <v>238</v>
      </c>
      <c r="E8159" s="1743" t="s">
        <v>2392</v>
      </c>
      <c r="F8159" s="1743"/>
      <c r="G8159" s="1743"/>
      <c r="H8159" s="1743"/>
      <c r="K8159" s="1192" t="s">
        <v>2506</v>
      </c>
      <c r="V8159" s="1192">
        <v>411</v>
      </c>
    </row>
    <row r="8160" spans="1:22" s="1192" customFormat="1" ht="14.4" x14ac:dyDescent="0.3">
      <c r="A8160" s="1192" t="s">
        <v>238</v>
      </c>
      <c r="E8160" s="1743" t="s">
        <v>2393</v>
      </c>
      <c r="F8160" s="1743"/>
      <c r="G8160" s="1743"/>
      <c r="H8160" s="1743"/>
      <c r="K8160" s="1192" t="s">
        <v>2506</v>
      </c>
      <c r="V8160" s="1192">
        <v>387</v>
      </c>
    </row>
    <row r="8161" spans="1:22" s="1192" customFormat="1" ht="14.4" x14ac:dyDescent="0.3">
      <c r="A8161" s="1192" t="s">
        <v>238</v>
      </c>
      <c r="E8161" s="1743" t="s">
        <v>4500</v>
      </c>
      <c r="F8161" s="1743"/>
      <c r="G8161" s="1743"/>
      <c r="H8161" s="1743"/>
      <c r="K8161" s="1192" t="s">
        <v>2506</v>
      </c>
      <c r="V8161" s="1192">
        <v>247</v>
      </c>
    </row>
    <row r="8162" spans="1:22" s="1192" customFormat="1" ht="14.4" x14ac:dyDescent="0.3">
      <c r="A8162" s="1192" t="s">
        <v>238</v>
      </c>
      <c r="E8162" s="1750" t="s">
        <v>2394</v>
      </c>
      <c r="F8162" s="1743"/>
      <c r="G8162" s="1743"/>
      <c r="H8162" s="1743"/>
      <c r="K8162" s="1192" t="s">
        <v>2395</v>
      </c>
      <c r="V8162" s="1192">
        <v>46</v>
      </c>
    </row>
    <row r="8163" spans="1:22" s="1192" customFormat="1" ht="14.4" x14ac:dyDescent="0.3">
      <c r="A8163" s="1192" t="s">
        <v>238</v>
      </c>
      <c r="E8163" s="1741" t="s">
        <v>7</v>
      </c>
      <c r="F8163" s="1741"/>
      <c r="G8163" s="574" t="s">
        <v>19</v>
      </c>
      <c r="H8163" s="1218">
        <v>28.24</v>
      </c>
      <c r="K8163" s="1192" t="s">
        <v>2506</v>
      </c>
      <c r="L8163" s="1192" t="s">
        <v>430</v>
      </c>
      <c r="P8163" s="1192" t="s">
        <v>2510</v>
      </c>
      <c r="V8163" s="1192">
        <v>14</v>
      </c>
    </row>
    <row r="8164" spans="1:22" s="1192" customFormat="1" ht="14.4" x14ac:dyDescent="0.3">
      <c r="A8164" s="1192" t="s">
        <v>238</v>
      </c>
      <c r="E8164" s="1741" t="s">
        <v>3900</v>
      </c>
      <c r="F8164" s="1741"/>
      <c r="G8164" s="524" t="s">
        <v>19</v>
      </c>
      <c r="H8164" s="1218">
        <v>0.56999999999999995</v>
      </c>
      <c r="K8164" s="1192" t="s">
        <v>2506</v>
      </c>
      <c r="L8164" s="1192" t="s">
        <v>431</v>
      </c>
      <c r="P8164" s="1192" t="s">
        <v>2511</v>
      </c>
      <c r="T8164" s="1192">
        <v>44926</v>
      </c>
      <c r="V8164" s="1192">
        <v>64</v>
      </c>
    </row>
    <row r="8165" spans="1:22" s="1192" customFormat="1" ht="14.4" x14ac:dyDescent="0.3">
      <c r="A8165" s="1192" t="s">
        <v>238</v>
      </c>
      <c r="E8165" s="1741" t="s">
        <v>6484</v>
      </c>
      <c r="F8165" s="1998"/>
      <c r="G8165" s="524" t="s">
        <v>20</v>
      </c>
      <c r="H8165" s="1219">
        <v>-2.8E-3</v>
      </c>
      <c r="K8165" s="1192" t="s">
        <v>2506</v>
      </c>
      <c r="L8165" s="1192" t="s">
        <v>431</v>
      </c>
      <c r="P8165" s="1192" t="s">
        <v>2514</v>
      </c>
      <c r="T8165" s="1192">
        <v>44316</v>
      </c>
      <c r="V8165" s="1192">
        <v>170</v>
      </c>
    </row>
    <row r="8166" spans="1:22" s="1192" customFormat="1" ht="14.4" x14ac:dyDescent="0.3">
      <c r="A8166" s="1192" t="s">
        <v>238</v>
      </c>
      <c r="E8166" s="1741" t="s">
        <v>6525</v>
      </c>
      <c r="F8166" s="1998"/>
      <c r="G8166" s="524" t="s">
        <v>20</v>
      </c>
      <c r="H8166" s="1219">
        <v>-1.8E-3</v>
      </c>
      <c r="K8166" s="1192" t="s">
        <v>2506</v>
      </c>
      <c r="L8166" s="1192" t="s">
        <v>431</v>
      </c>
      <c r="P8166" s="1192" t="s">
        <v>2516</v>
      </c>
      <c r="T8166" s="1192">
        <v>44316</v>
      </c>
      <c r="V8166" s="1192">
        <v>134</v>
      </c>
    </row>
    <row r="8167" spans="1:22" s="1192" customFormat="1" ht="14.4" x14ac:dyDescent="0.3">
      <c r="A8167" s="1192" t="s">
        <v>238</v>
      </c>
      <c r="E8167" s="1741" t="s">
        <v>213</v>
      </c>
      <c r="F8167" s="1741"/>
      <c r="G8167" s="524" t="s">
        <v>20</v>
      </c>
      <c r="H8167" s="1219">
        <v>8.3000000000000001E-3</v>
      </c>
      <c r="K8167" s="1192" t="s">
        <v>2506</v>
      </c>
      <c r="L8167" s="1192" t="s">
        <v>432</v>
      </c>
      <c r="P8167" s="1192" t="s">
        <v>2517</v>
      </c>
      <c r="V8167" s="1192">
        <v>47</v>
      </c>
    </row>
    <row r="8168" spans="1:22" s="1192" customFormat="1" ht="14.4" x14ac:dyDescent="0.3">
      <c r="A8168" s="1192" t="s">
        <v>238</v>
      </c>
      <c r="E8168" s="1741" t="s">
        <v>209</v>
      </c>
      <c r="F8168" s="1741"/>
      <c r="G8168" s="524" t="s">
        <v>20</v>
      </c>
      <c r="H8168" s="1219">
        <v>7.1000000000000004E-3</v>
      </c>
      <c r="K8168" s="1192" t="s">
        <v>2506</v>
      </c>
      <c r="L8168" s="1192" t="s">
        <v>432</v>
      </c>
      <c r="P8168" s="1192" t="s">
        <v>2518</v>
      </c>
      <c r="V8168" s="1192">
        <v>74</v>
      </c>
    </row>
    <row r="8169" spans="1:22" s="1192" customFormat="1" ht="14.4" x14ac:dyDescent="0.3">
      <c r="A8169" s="1192" t="s">
        <v>238</v>
      </c>
      <c r="E8169" s="1750" t="s">
        <v>2405</v>
      </c>
      <c r="F8169" s="2008"/>
      <c r="G8169" s="1277"/>
      <c r="H8169" s="896"/>
      <c r="K8169" s="1192" t="s">
        <v>2406</v>
      </c>
      <c r="V8169" s="1192">
        <v>48</v>
      </c>
    </row>
    <row r="8170" spans="1:22" s="1192" customFormat="1" ht="14.4" x14ac:dyDescent="0.3">
      <c r="A8170" s="1192" t="s">
        <v>238</v>
      </c>
      <c r="E8170" s="1741" t="s">
        <v>2033</v>
      </c>
      <c r="F8170" s="1741"/>
      <c r="G8170" s="574" t="s">
        <v>20</v>
      </c>
      <c r="H8170" s="1219">
        <v>3.0000000000000001E-3</v>
      </c>
      <c r="K8170" s="1192" t="s">
        <v>2506</v>
      </c>
      <c r="L8170" s="1192" t="s">
        <v>2374</v>
      </c>
      <c r="P8170" s="1192" t="s">
        <v>2519</v>
      </c>
      <c r="V8170" s="1192">
        <v>55</v>
      </c>
    </row>
    <row r="8171" spans="1:22" s="1192" customFormat="1" ht="14.4" x14ac:dyDescent="0.3">
      <c r="A8171" s="1192" t="s">
        <v>238</v>
      </c>
      <c r="E8171" s="1741" t="s">
        <v>2034</v>
      </c>
      <c r="F8171" s="1741"/>
      <c r="G8171" s="1277" t="s">
        <v>20</v>
      </c>
      <c r="H8171" s="1219">
        <v>4.0000000000000002E-4</v>
      </c>
      <c r="K8171" s="1192" t="s">
        <v>2506</v>
      </c>
      <c r="L8171" s="1192" t="s">
        <v>2374</v>
      </c>
      <c r="P8171" s="1192" t="s">
        <v>2519</v>
      </c>
      <c r="V8171" s="1192">
        <v>65</v>
      </c>
    </row>
    <row r="8172" spans="1:22" s="1192" customFormat="1" ht="14.4" x14ac:dyDescent="0.3">
      <c r="A8172" s="1192" t="s">
        <v>238</v>
      </c>
      <c r="E8172" s="1741" t="s">
        <v>428</v>
      </c>
      <c r="F8172" s="1741"/>
      <c r="G8172" s="574" t="s">
        <v>20</v>
      </c>
      <c r="H8172" s="1219">
        <v>5.0000000000000001E-4</v>
      </c>
      <c r="K8172" s="1192" t="s">
        <v>2506</v>
      </c>
      <c r="L8172" s="1192" t="s">
        <v>2374</v>
      </c>
      <c r="P8172" s="1192" t="s">
        <v>2520</v>
      </c>
      <c r="V8172" s="1192">
        <v>57</v>
      </c>
    </row>
    <row r="8173" spans="1:22" s="1192" customFormat="1" ht="14.4" x14ac:dyDescent="0.3">
      <c r="A8173" s="1192" t="s">
        <v>238</v>
      </c>
      <c r="E8173" s="1741" t="s">
        <v>28</v>
      </c>
      <c r="F8173" s="1741"/>
      <c r="G8173" s="1277" t="s">
        <v>19</v>
      </c>
      <c r="H8173" s="1218">
        <v>0.25</v>
      </c>
      <c r="K8173" s="1192" t="s">
        <v>2506</v>
      </c>
      <c r="L8173" s="1192" t="s">
        <v>2374</v>
      </c>
      <c r="P8173" s="1192" t="s">
        <v>2521</v>
      </c>
      <c r="V8173" s="1192">
        <v>63</v>
      </c>
    </row>
    <row r="8174" spans="1:22" s="1192" customFormat="1" ht="17.399999999999999" x14ac:dyDescent="0.3">
      <c r="A8174" s="1192" t="s">
        <v>238</v>
      </c>
      <c r="E8174" s="1746" t="s">
        <v>2522</v>
      </c>
      <c r="F8174" s="1746"/>
      <c r="G8174" s="1746"/>
      <c r="H8174" s="1747"/>
      <c r="K8174" s="1192" t="s">
        <v>3901</v>
      </c>
      <c r="V8174" s="1192">
        <v>54</v>
      </c>
    </row>
    <row r="8175" spans="1:22" s="1192" customFormat="1" ht="14.4" x14ac:dyDescent="0.3">
      <c r="A8175" s="1192" t="s">
        <v>238</v>
      </c>
      <c r="E8175" s="1743" t="s">
        <v>3687</v>
      </c>
      <c r="F8175" s="1743"/>
      <c r="G8175" s="1743"/>
      <c r="H8175" s="1743"/>
      <c r="K8175" s="1192" t="s">
        <v>3901</v>
      </c>
      <c r="V8175" s="1192">
        <v>468</v>
      </c>
    </row>
    <row r="8176" spans="1:22" s="1192" customFormat="1" ht="14.4" x14ac:dyDescent="0.3">
      <c r="A8176" s="1192" t="s">
        <v>238</v>
      </c>
      <c r="E8176" s="1750" t="s">
        <v>2389</v>
      </c>
      <c r="F8176" s="2037"/>
      <c r="G8176" s="2037"/>
      <c r="H8176" s="1743"/>
      <c r="K8176" s="1192" t="s">
        <v>2412</v>
      </c>
      <c r="V8176" s="1192">
        <v>11</v>
      </c>
    </row>
    <row r="8177" spans="1:22" s="1192" customFormat="1" ht="14.4" x14ac:dyDescent="0.3">
      <c r="A8177" s="1192" t="s">
        <v>238</v>
      </c>
      <c r="E8177" s="1743" t="s">
        <v>2391</v>
      </c>
      <c r="F8177" s="1743"/>
      <c r="G8177" s="1743"/>
      <c r="H8177" s="1743"/>
      <c r="K8177" s="1192" t="s">
        <v>3901</v>
      </c>
      <c r="V8177" s="1192">
        <v>280</v>
      </c>
    </row>
    <row r="8178" spans="1:22" s="1192" customFormat="1" ht="14.4" x14ac:dyDescent="0.3">
      <c r="A8178" s="1192" t="s">
        <v>238</v>
      </c>
      <c r="E8178" s="1743" t="s">
        <v>2392</v>
      </c>
      <c r="F8178" s="1743"/>
      <c r="G8178" s="1743"/>
      <c r="H8178" s="1743"/>
      <c r="K8178" s="1192" t="s">
        <v>3901</v>
      </c>
      <c r="V8178" s="1192">
        <v>411</v>
      </c>
    </row>
    <row r="8179" spans="1:22" s="1192" customFormat="1" ht="14.4" x14ac:dyDescent="0.3">
      <c r="A8179" s="1192" t="s">
        <v>238</v>
      </c>
      <c r="E8179" s="1743" t="s">
        <v>2393</v>
      </c>
      <c r="F8179" s="1743"/>
      <c r="G8179" s="1743"/>
      <c r="H8179" s="1743"/>
      <c r="K8179" s="1192" t="s">
        <v>3901</v>
      </c>
      <c r="V8179" s="1192">
        <v>387</v>
      </c>
    </row>
    <row r="8180" spans="1:22" s="1192" customFormat="1" ht="14.4" x14ac:dyDescent="0.3">
      <c r="A8180" s="1192" t="s">
        <v>238</v>
      </c>
      <c r="E8180" s="1743" t="s">
        <v>4500</v>
      </c>
      <c r="F8180" s="1743"/>
      <c r="G8180" s="1743"/>
      <c r="H8180" s="1743"/>
      <c r="K8180" s="1192" t="s">
        <v>3901</v>
      </c>
      <c r="V8180" s="1192">
        <v>247</v>
      </c>
    </row>
    <row r="8181" spans="1:22" s="1192" customFormat="1" ht="14.4" x14ac:dyDescent="0.3">
      <c r="A8181" s="1192" t="s">
        <v>238</v>
      </c>
      <c r="E8181" s="1750" t="s">
        <v>2394</v>
      </c>
      <c r="F8181" s="2037"/>
      <c r="G8181" s="2037"/>
      <c r="H8181" s="1743"/>
      <c r="K8181" s="1192" t="s">
        <v>2413</v>
      </c>
      <c r="V8181" s="1192">
        <v>46</v>
      </c>
    </row>
    <row r="8182" spans="1:22" s="1192" customFormat="1" ht="14.4" x14ac:dyDescent="0.3">
      <c r="A8182" s="1192" t="s">
        <v>238</v>
      </c>
      <c r="E8182" s="1741" t="s">
        <v>7</v>
      </c>
      <c r="F8182" s="1741"/>
      <c r="G8182" s="574" t="s">
        <v>19</v>
      </c>
      <c r="H8182" s="1218">
        <v>32.24</v>
      </c>
      <c r="K8182" s="1192" t="s">
        <v>3901</v>
      </c>
      <c r="L8182" s="1192" t="s">
        <v>430</v>
      </c>
      <c r="P8182" s="1192" t="s">
        <v>3902</v>
      </c>
      <c r="V8182" s="1192">
        <v>14</v>
      </c>
    </row>
    <row r="8183" spans="1:22" s="1192" customFormat="1" ht="14.4" x14ac:dyDescent="0.3">
      <c r="A8183" s="1192" t="s">
        <v>238</v>
      </c>
      <c r="E8183" s="1741" t="s">
        <v>3900</v>
      </c>
      <c r="F8183" s="1741"/>
      <c r="G8183" s="524" t="s">
        <v>19</v>
      </c>
      <c r="H8183" s="1218">
        <v>0.56999999999999995</v>
      </c>
      <c r="K8183" s="1192" t="s">
        <v>3901</v>
      </c>
      <c r="L8183" s="1192" t="s">
        <v>431</v>
      </c>
      <c r="P8183" s="1192" t="s">
        <v>3903</v>
      </c>
      <c r="T8183" s="1192">
        <v>44926</v>
      </c>
      <c r="V8183" s="1192">
        <v>64</v>
      </c>
    </row>
    <row r="8184" spans="1:22" s="1192" customFormat="1" ht="14.4" x14ac:dyDescent="0.3">
      <c r="A8184" s="1192" t="s">
        <v>238</v>
      </c>
      <c r="E8184" s="1741" t="s">
        <v>80</v>
      </c>
      <c r="F8184" s="1741"/>
      <c r="G8184" s="574" t="s">
        <v>20</v>
      </c>
      <c r="H8184" s="1219">
        <v>9.4999999999999998E-3</v>
      </c>
      <c r="K8184" s="1192" t="s">
        <v>3901</v>
      </c>
      <c r="L8184" s="1192" t="s">
        <v>430</v>
      </c>
      <c r="P8184" s="1192" t="s">
        <v>3904</v>
      </c>
      <c r="V8184" s="1192">
        <v>28</v>
      </c>
    </row>
    <row r="8185" spans="1:22" s="1192" customFormat="1" ht="14.4" x14ac:dyDescent="0.3">
      <c r="A8185" s="1192" t="s">
        <v>238</v>
      </c>
      <c r="E8185" s="1741" t="s">
        <v>6484</v>
      </c>
      <c r="F8185" s="1998"/>
      <c r="G8185" s="574" t="s">
        <v>20</v>
      </c>
      <c r="H8185" s="1219">
        <v>-2.8E-3</v>
      </c>
      <c r="K8185" s="1192" t="s">
        <v>3901</v>
      </c>
      <c r="L8185" s="1192" t="s">
        <v>431</v>
      </c>
      <c r="P8185" s="1192" t="s">
        <v>3700</v>
      </c>
      <c r="T8185" s="1192">
        <v>44316</v>
      </c>
      <c r="V8185" s="1192">
        <v>170</v>
      </c>
    </row>
    <row r="8186" spans="1:22" s="1192" customFormat="1" ht="14.4" x14ac:dyDescent="0.3">
      <c r="A8186" s="1192" t="s">
        <v>238</v>
      </c>
      <c r="E8186" s="1741" t="s">
        <v>6526</v>
      </c>
      <c r="F8186" s="1998"/>
      <c r="G8186" s="574" t="s">
        <v>20</v>
      </c>
      <c r="H8186" s="1219">
        <v>-1.6999999999999999E-3</v>
      </c>
      <c r="K8186" s="1192" t="s">
        <v>3901</v>
      </c>
      <c r="L8186" s="1192" t="s">
        <v>431</v>
      </c>
      <c r="P8186" s="1192" t="s">
        <v>3911</v>
      </c>
      <c r="T8186" s="1192">
        <v>44316</v>
      </c>
      <c r="V8186" s="1192">
        <v>133</v>
      </c>
    </row>
    <row r="8187" spans="1:22" s="1192" customFormat="1" ht="14.4" x14ac:dyDescent="0.3">
      <c r="A8187" s="1192" t="s">
        <v>238</v>
      </c>
      <c r="E8187" s="1741" t="s">
        <v>213</v>
      </c>
      <c r="F8187" s="1741"/>
      <c r="G8187" s="524" t="s">
        <v>20</v>
      </c>
      <c r="H8187" s="1219">
        <v>7.3000000000000001E-3</v>
      </c>
      <c r="K8187" s="1192" t="s">
        <v>3901</v>
      </c>
      <c r="L8187" s="1192" t="s">
        <v>432</v>
      </c>
      <c r="P8187" s="1192" t="s">
        <v>3906</v>
      </c>
      <c r="V8187" s="1192">
        <v>47</v>
      </c>
    </row>
    <row r="8188" spans="1:22" s="1192" customFormat="1" ht="14.4" x14ac:dyDescent="0.3">
      <c r="A8188" s="1192" t="s">
        <v>238</v>
      </c>
      <c r="E8188" s="1741" t="s">
        <v>209</v>
      </c>
      <c r="F8188" s="1741"/>
      <c r="G8188" s="524" t="s">
        <v>20</v>
      </c>
      <c r="H8188" s="1219">
        <v>5.8999999999999999E-3</v>
      </c>
      <c r="K8188" s="1192" t="s">
        <v>3901</v>
      </c>
      <c r="L8188" s="1192" t="s">
        <v>432</v>
      </c>
      <c r="P8188" s="1192" t="s">
        <v>3907</v>
      </c>
      <c r="V8188" s="1192">
        <v>74</v>
      </c>
    </row>
    <row r="8189" spans="1:22" s="1192" customFormat="1" ht="14.4" x14ac:dyDescent="0.3">
      <c r="A8189" s="1192" t="s">
        <v>238</v>
      </c>
      <c r="E8189" s="1750" t="s">
        <v>2405</v>
      </c>
      <c r="F8189" s="2008"/>
      <c r="G8189" s="1277"/>
      <c r="H8189" s="896"/>
      <c r="K8189" s="1192" t="s">
        <v>2418</v>
      </c>
      <c r="V8189" s="1192">
        <v>48</v>
      </c>
    </row>
    <row r="8190" spans="1:22" s="1192" customFormat="1" ht="14.4" x14ac:dyDescent="0.3">
      <c r="A8190" s="1192" t="s">
        <v>238</v>
      </c>
      <c r="E8190" s="1741" t="s">
        <v>2033</v>
      </c>
      <c r="F8190" s="1741"/>
      <c r="G8190" s="574" t="s">
        <v>20</v>
      </c>
      <c r="H8190" s="1219">
        <v>3.0000000000000001E-3</v>
      </c>
      <c r="K8190" s="1192" t="s">
        <v>3901</v>
      </c>
      <c r="L8190" s="1192" t="s">
        <v>2374</v>
      </c>
      <c r="P8190" s="1192" t="s">
        <v>3908</v>
      </c>
      <c r="V8190" s="1192">
        <v>55</v>
      </c>
    </row>
    <row r="8191" spans="1:22" s="1192" customFormat="1" ht="14.4" x14ac:dyDescent="0.3">
      <c r="A8191" s="1192" t="s">
        <v>238</v>
      </c>
      <c r="E8191" s="1741" t="s">
        <v>2034</v>
      </c>
      <c r="F8191" s="1741"/>
      <c r="G8191" s="1277" t="s">
        <v>20</v>
      </c>
      <c r="H8191" s="1219">
        <v>4.0000000000000002E-4</v>
      </c>
      <c r="K8191" s="1192" t="s">
        <v>3901</v>
      </c>
      <c r="L8191" s="1192" t="s">
        <v>2374</v>
      </c>
      <c r="P8191" s="1192" t="s">
        <v>3908</v>
      </c>
      <c r="V8191" s="1192">
        <v>65</v>
      </c>
    </row>
    <row r="8192" spans="1:22" s="1192" customFormat="1" ht="14.4" x14ac:dyDescent="0.3">
      <c r="A8192" s="1192" t="s">
        <v>238</v>
      </c>
      <c r="E8192" s="1741" t="s">
        <v>428</v>
      </c>
      <c r="F8192" s="1741"/>
      <c r="G8192" s="574" t="s">
        <v>20</v>
      </c>
      <c r="H8192" s="1219">
        <v>5.0000000000000001E-4</v>
      </c>
      <c r="K8192" s="1192" t="s">
        <v>3901</v>
      </c>
      <c r="L8192" s="1192" t="s">
        <v>2374</v>
      </c>
      <c r="P8192" s="1192" t="s">
        <v>3909</v>
      </c>
      <c r="V8192" s="1192">
        <v>57</v>
      </c>
    </row>
    <row r="8193" spans="1:22" s="1192" customFormat="1" ht="14.4" x14ac:dyDescent="0.3">
      <c r="A8193" s="1192" t="s">
        <v>238</v>
      </c>
      <c r="E8193" s="1741" t="s">
        <v>28</v>
      </c>
      <c r="F8193" s="1741"/>
      <c r="G8193" s="1277" t="s">
        <v>19</v>
      </c>
      <c r="H8193" s="1218">
        <v>0.25</v>
      </c>
      <c r="K8193" s="1192" t="s">
        <v>3901</v>
      </c>
      <c r="L8193" s="1192" t="s">
        <v>2374</v>
      </c>
      <c r="P8193" s="1192" t="s">
        <v>3910</v>
      </c>
      <c r="V8193" s="1192">
        <v>63</v>
      </c>
    </row>
    <row r="8194" spans="1:22" s="1192" customFormat="1" ht="17.399999999999999" x14ac:dyDescent="0.3">
      <c r="A8194" s="1192" t="s">
        <v>238</v>
      </c>
      <c r="E8194" s="1746" t="s">
        <v>591</v>
      </c>
      <c r="F8194" s="1746"/>
      <c r="G8194" s="1746"/>
      <c r="H8194" s="1747"/>
      <c r="K8194" s="1192" t="s">
        <v>4388</v>
      </c>
      <c r="V8194" s="1192">
        <v>53</v>
      </c>
    </row>
    <row r="8195" spans="1:22" s="1192" customFormat="1" ht="14.4" x14ac:dyDescent="0.3">
      <c r="A8195" s="1192" t="s">
        <v>238</v>
      </c>
      <c r="E8195" s="1743" t="s">
        <v>3688</v>
      </c>
      <c r="F8195" s="1743"/>
      <c r="G8195" s="1743"/>
      <c r="H8195" s="1743"/>
      <c r="K8195" s="1192" t="s">
        <v>4388</v>
      </c>
      <c r="V8195" s="1192">
        <v>493</v>
      </c>
    </row>
    <row r="8196" spans="1:22" s="1192" customFormat="1" ht="14.4" x14ac:dyDescent="0.3">
      <c r="A8196" s="1192" t="s">
        <v>238</v>
      </c>
      <c r="E8196" s="1750" t="s">
        <v>2389</v>
      </c>
      <c r="F8196" s="2037"/>
      <c r="G8196" s="2037"/>
      <c r="H8196" s="1743"/>
      <c r="K8196" s="1192" t="s">
        <v>2422</v>
      </c>
      <c r="V8196" s="1192">
        <v>11</v>
      </c>
    </row>
    <row r="8197" spans="1:22" s="1192" customFormat="1" ht="14.4" x14ac:dyDescent="0.3">
      <c r="A8197" s="1192" t="s">
        <v>238</v>
      </c>
      <c r="E8197" s="1743" t="s">
        <v>2391</v>
      </c>
      <c r="F8197" s="1743"/>
      <c r="G8197" s="1743"/>
      <c r="H8197" s="1743"/>
      <c r="K8197" s="1192" t="s">
        <v>4388</v>
      </c>
      <c r="V8197" s="1192">
        <v>280</v>
      </c>
    </row>
    <row r="8198" spans="1:22" s="1192" customFormat="1" ht="14.4" x14ac:dyDescent="0.3">
      <c r="A8198" s="1192" t="s">
        <v>238</v>
      </c>
      <c r="E8198" s="1743" t="s">
        <v>2392</v>
      </c>
      <c r="F8198" s="1743"/>
      <c r="G8198" s="1743"/>
      <c r="H8198" s="1743"/>
      <c r="K8198" s="1192" t="s">
        <v>4388</v>
      </c>
      <c r="V8198" s="1192">
        <v>411</v>
      </c>
    </row>
    <row r="8199" spans="1:22" s="1192" customFormat="1" ht="14.4" x14ac:dyDescent="0.3">
      <c r="A8199" s="1192" t="s">
        <v>238</v>
      </c>
      <c r="E8199" s="1743" t="s">
        <v>2393</v>
      </c>
      <c r="F8199" s="1743"/>
      <c r="G8199" s="1743"/>
      <c r="H8199" s="1743"/>
      <c r="K8199" s="1192" t="s">
        <v>4388</v>
      </c>
      <c r="V8199" s="1192">
        <v>387</v>
      </c>
    </row>
    <row r="8200" spans="1:22" s="1192" customFormat="1" ht="14.4" x14ac:dyDescent="0.3">
      <c r="A8200" s="1192" t="s">
        <v>238</v>
      </c>
      <c r="E8200" s="1743" t="s">
        <v>4632</v>
      </c>
      <c r="F8200" s="1743"/>
      <c r="G8200" s="1743"/>
      <c r="H8200" s="1743"/>
      <c r="K8200" s="1192" t="s">
        <v>4388</v>
      </c>
      <c r="V8200" s="1192">
        <v>680</v>
      </c>
    </row>
    <row r="8201" spans="1:22" s="1192" customFormat="1" ht="14.4" x14ac:dyDescent="0.3">
      <c r="A8201" s="1192" t="s">
        <v>238</v>
      </c>
      <c r="E8201" s="1743" t="s">
        <v>4504</v>
      </c>
      <c r="F8201" s="1743"/>
      <c r="G8201" s="1743"/>
      <c r="H8201" s="1743"/>
      <c r="K8201" s="1192" t="s">
        <v>4388</v>
      </c>
      <c r="V8201" s="1192">
        <v>725</v>
      </c>
    </row>
    <row r="8202" spans="1:22" s="1192" customFormat="1" ht="14.4" x14ac:dyDescent="0.3">
      <c r="A8202" s="1192" t="s">
        <v>238</v>
      </c>
      <c r="E8202" s="1743" t="s">
        <v>4500</v>
      </c>
      <c r="F8202" s="1743"/>
      <c r="G8202" s="1743"/>
      <c r="H8202" s="1743"/>
      <c r="K8202" s="1192" t="s">
        <v>4388</v>
      </c>
      <c r="V8202" s="1192">
        <v>247</v>
      </c>
    </row>
    <row r="8203" spans="1:22" s="1192" customFormat="1" ht="14.4" x14ac:dyDescent="0.3">
      <c r="A8203" s="1192" t="s">
        <v>238</v>
      </c>
      <c r="E8203" s="1750" t="s">
        <v>2394</v>
      </c>
      <c r="F8203" s="1743"/>
      <c r="G8203" s="1743"/>
      <c r="H8203" s="1743"/>
      <c r="K8203" s="1192" t="s">
        <v>2423</v>
      </c>
      <c r="V8203" s="1192">
        <v>46</v>
      </c>
    </row>
    <row r="8204" spans="1:22" s="1192" customFormat="1" ht="14.4" x14ac:dyDescent="0.3">
      <c r="A8204" s="1192" t="s">
        <v>238</v>
      </c>
      <c r="E8204" s="1741" t="s">
        <v>7</v>
      </c>
      <c r="F8204" s="1741"/>
      <c r="G8204" s="574" t="s">
        <v>19</v>
      </c>
      <c r="H8204" s="1218">
        <v>293.54000000000002</v>
      </c>
      <c r="K8204" s="1192" t="s">
        <v>4388</v>
      </c>
      <c r="L8204" s="1192" t="s">
        <v>430</v>
      </c>
      <c r="P8204" s="1192" t="s">
        <v>4389</v>
      </c>
      <c r="V8204" s="1192">
        <v>14</v>
      </c>
    </row>
    <row r="8205" spans="1:22" s="1192" customFormat="1" ht="14.4" x14ac:dyDescent="0.3">
      <c r="A8205" s="1192" t="s">
        <v>238</v>
      </c>
      <c r="E8205" s="1741" t="s">
        <v>80</v>
      </c>
      <c r="F8205" s="1741"/>
      <c r="G8205" s="574" t="s">
        <v>29</v>
      </c>
      <c r="H8205" s="1219">
        <v>3.1652999999999998</v>
      </c>
      <c r="K8205" s="1192" t="s">
        <v>4388</v>
      </c>
      <c r="L8205" s="1192" t="s">
        <v>430</v>
      </c>
      <c r="P8205" s="1192" t="s">
        <v>4390</v>
      </c>
      <c r="V8205" s="1192">
        <v>28</v>
      </c>
    </row>
    <row r="8206" spans="1:22" s="1192" customFormat="1" ht="14.4" x14ac:dyDescent="0.3">
      <c r="A8206" s="1192" t="s">
        <v>238</v>
      </c>
      <c r="E8206" s="1741" t="s">
        <v>6484</v>
      </c>
      <c r="F8206" s="1998"/>
      <c r="G8206" s="574" t="s">
        <v>20</v>
      </c>
      <c r="H8206" s="1219">
        <v>-2.8E-3</v>
      </c>
      <c r="K8206" s="1192" t="s">
        <v>4388</v>
      </c>
      <c r="L8206" s="1192" t="s">
        <v>431</v>
      </c>
      <c r="P8206" s="1192" t="s">
        <v>4397</v>
      </c>
      <c r="T8206" s="1192">
        <v>44316</v>
      </c>
      <c r="V8206" s="1192">
        <v>170</v>
      </c>
    </row>
    <row r="8207" spans="1:22" s="1192" customFormat="1" ht="14.4" x14ac:dyDescent="0.3">
      <c r="A8207" s="1192" t="s">
        <v>238</v>
      </c>
      <c r="E8207" s="1741" t="s">
        <v>6527</v>
      </c>
      <c r="F8207" s="1998"/>
      <c r="G8207" s="574" t="s">
        <v>29</v>
      </c>
      <c r="H8207" s="1219">
        <v>-0.72550000000000003</v>
      </c>
      <c r="K8207" s="1192" t="s">
        <v>4388</v>
      </c>
      <c r="L8207" s="1192" t="s">
        <v>431</v>
      </c>
      <c r="P8207" s="1192" t="s">
        <v>4398</v>
      </c>
      <c r="T8207" s="1192">
        <v>44316</v>
      </c>
      <c r="V8207" s="1192">
        <v>187</v>
      </c>
    </row>
    <row r="8208" spans="1:22" s="1192" customFormat="1" ht="14.4" x14ac:dyDescent="0.3">
      <c r="A8208" s="1192" t="s">
        <v>238</v>
      </c>
      <c r="E8208" s="1741" t="s">
        <v>6526</v>
      </c>
      <c r="F8208" s="1998"/>
      <c r="G8208" s="574" t="s">
        <v>29</v>
      </c>
      <c r="H8208" s="1219">
        <v>0.10970000000000001</v>
      </c>
      <c r="K8208" s="1192" t="s">
        <v>4388</v>
      </c>
      <c r="L8208" s="1192" t="s">
        <v>431</v>
      </c>
      <c r="P8208" s="1192" t="s">
        <v>4398</v>
      </c>
      <c r="T8208" s="1192">
        <v>44316</v>
      </c>
      <c r="V8208" s="1192">
        <v>133</v>
      </c>
    </row>
    <row r="8209" spans="1:22" s="1192" customFormat="1" ht="14.4" x14ac:dyDescent="0.3">
      <c r="A8209" s="1192" t="s">
        <v>238</v>
      </c>
      <c r="E8209" s="1741" t="s">
        <v>213</v>
      </c>
      <c r="F8209" s="1741"/>
      <c r="G8209" s="524" t="s">
        <v>29</v>
      </c>
      <c r="H8209" s="1219">
        <v>2.4866000000000001</v>
      </c>
      <c r="K8209" s="1192" t="s">
        <v>4388</v>
      </c>
      <c r="L8209" s="1192" t="s">
        <v>432</v>
      </c>
      <c r="P8209" s="1192" t="s">
        <v>4392</v>
      </c>
      <c r="V8209" s="1192">
        <v>47</v>
      </c>
    </row>
    <row r="8210" spans="1:22" s="1192" customFormat="1" ht="14.4" x14ac:dyDescent="0.3">
      <c r="A8210" s="1192" t="s">
        <v>238</v>
      </c>
      <c r="E8210" s="1741" t="s">
        <v>2847</v>
      </c>
      <c r="F8210" s="1741"/>
      <c r="G8210" s="524" t="s">
        <v>29</v>
      </c>
      <c r="H8210" s="1219">
        <v>2.3205</v>
      </c>
      <c r="K8210" s="1192" t="s">
        <v>4388</v>
      </c>
      <c r="L8210" s="1192" t="s">
        <v>432</v>
      </c>
      <c r="P8210" s="1192" t="s">
        <v>4393</v>
      </c>
      <c r="V8210" s="1192">
        <v>75</v>
      </c>
    </row>
    <row r="8211" spans="1:22" s="1192" customFormat="1" ht="14.4" x14ac:dyDescent="0.3">
      <c r="A8211" s="1192" t="s">
        <v>238</v>
      </c>
      <c r="E8211" s="1750" t="s">
        <v>2405</v>
      </c>
      <c r="F8211" s="2008"/>
      <c r="G8211" s="1277"/>
      <c r="H8211" s="896"/>
      <c r="K8211" s="1192" t="s">
        <v>2526</v>
      </c>
      <c r="V8211" s="1192">
        <v>48</v>
      </c>
    </row>
    <row r="8212" spans="1:22" s="1192" customFormat="1" ht="14.4" x14ac:dyDescent="0.3">
      <c r="A8212" s="1192" t="s">
        <v>238</v>
      </c>
      <c r="E8212" s="1741" t="s">
        <v>2033</v>
      </c>
      <c r="F8212" s="1741"/>
      <c r="G8212" s="574" t="s">
        <v>20</v>
      </c>
      <c r="H8212" s="1219">
        <v>3.0000000000000001E-3</v>
      </c>
      <c r="K8212" s="1192" t="s">
        <v>4388</v>
      </c>
      <c r="L8212" s="1192" t="s">
        <v>2374</v>
      </c>
      <c r="P8212" s="1192" t="s">
        <v>4394</v>
      </c>
      <c r="V8212" s="1192">
        <v>55</v>
      </c>
    </row>
    <row r="8213" spans="1:22" s="1192" customFormat="1" ht="14.4" x14ac:dyDescent="0.3">
      <c r="A8213" s="1192" t="s">
        <v>238</v>
      </c>
      <c r="E8213" s="1741" t="s">
        <v>2034</v>
      </c>
      <c r="F8213" s="1741"/>
      <c r="G8213" s="1277" t="s">
        <v>20</v>
      </c>
      <c r="H8213" s="1219">
        <v>4.0000000000000002E-4</v>
      </c>
      <c r="K8213" s="1192" t="s">
        <v>4388</v>
      </c>
      <c r="L8213" s="1192" t="s">
        <v>2374</v>
      </c>
      <c r="P8213" s="1192" t="s">
        <v>4394</v>
      </c>
      <c r="V8213" s="1192">
        <v>65</v>
      </c>
    </row>
    <row r="8214" spans="1:22" s="1192" customFormat="1" ht="14.4" x14ac:dyDescent="0.3">
      <c r="A8214" s="1192" t="s">
        <v>238</v>
      </c>
      <c r="E8214" s="1741" t="s">
        <v>428</v>
      </c>
      <c r="F8214" s="1741"/>
      <c r="G8214" s="574" t="s">
        <v>20</v>
      </c>
      <c r="H8214" s="1219">
        <v>5.0000000000000001E-4</v>
      </c>
      <c r="K8214" s="1192" t="s">
        <v>4388</v>
      </c>
      <c r="L8214" s="1192" t="s">
        <v>2374</v>
      </c>
      <c r="P8214" s="1192" t="s">
        <v>4395</v>
      </c>
      <c r="V8214" s="1192">
        <v>57</v>
      </c>
    </row>
    <row r="8215" spans="1:22" s="1192" customFormat="1" ht="14.4" x14ac:dyDescent="0.3">
      <c r="A8215" s="1192" t="s">
        <v>238</v>
      </c>
      <c r="E8215" s="1741" t="s">
        <v>28</v>
      </c>
      <c r="F8215" s="1741"/>
      <c r="G8215" s="1277" t="s">
        <v>19</v>
      </c>
      <c r="H8215" s="1218">
        <v>0.25</v>
      </c>
      <c r="K8215" s="1192" t="s">
        <v>4388</v>
      </c>
      <c r="L8215" s="1192" t="s">
        <v>2374</v>
      </c>
      <c r="P8215" s="1192" t="s">
        <v>4396</v>
      </c>
      <c r="V8215" s="1192">
        <v>63</v>
      </c>
    </row>
    <row r="8216" spans="1:22" s="1192" customFormat="1" ht="17.399999999999999" x14ac:dyDescent="0.3">
      <c r="A8216" s="1192" t="s">
        <v>238</v>
      </c>
      <c r="E8216" s="1746" t="s">
        <v>592</v>
      </c>
      <c r="F8216" s="1747"/>
      <c r="G8216" s="1747"/>
      <c r="H8216" s="1747"/>
      <c r="K8216" s="1192" t="s">
        <v>2676</v>
      </c>
      <c r="V8216" s="1192">
        <v>47</v>
      </c>
    </row>
    <row r="8217" spans="1:22" s="1192" customFormat="1" ht="14.4" x14ac:dyDescent="0.3">
      <c r="A8217" s="1192" t="s">
        <v>238</v>
      </c>
      <c r="E8217" s="1743" t="s">
        <v>3689</v>
      </c>
      <c r="F8217" s="1743"/>
      <c r="G8217" s="1743"/>
      <c r="H8217" s="1743"/>
      <c r="K8217" s="1192" t="s">
        <v>2676</v>
      </c>
      <c r="V8217" s="1192">
        <v>774</v>
      </c>
    </row>
    <row r="8218" spans="1:22" s="1192" customFormat="1" ht="14.4" x14ac:dyDescent="0.3">
      <c r="A8218" s="1192" t="s">
        <v>238</v>
      </c>
      <c r="E8218" s="1750" t="s">
        <v>2389</v>
      </c>
      <c r="F8218" s="1743"/>
      <c r="G8218" s="1743"/>
      <c r="H8218" s="1743"/>
      <c r="K8218" s="1192" t="s">
        <v>2529</v>
      </c>
      <c r="V8218" s="1192">
        <v>11</v>
      </c>
    </row>
    <row r="8219" spans="1:22" s="1192" customFormat="1" ht="14.4" x14ac:dyDescent="0.3">
      <c r="A8219" s="1192" t="s">
        <v>238</v>
      </c>
      <c r="E8219" s="1743" t="s">
        <v>2391</v>
      </c>
      <c r="F8219" s="1743"/>
      <c r="G8219" s="1743"/>
      <c r="H8219" s="1743"/>
      <c r="K8219" s="1192" t="s">
        <v>2676</v>
      </c>
      <c r="V8219" s="1192">
        <v>280</v>
      </c>
    </row>
    <row r="8220" spans="1:22" s="1192" customFormat="1" ht="14.4" x14ac:dyDescent="0.3">
      <c r="A8220" s="1192" t="s">
        <v>238</v>
      </c>
      <c r="E8220" s="1743" t="s">
        <v>2392</v>
      </c>
      <c r="F8220" s="1743"/>
      <c r="G8220" s="1743"/>
      <c r="H8220" s="1743"/>
      <c r="K8220" s="1192" t="s">
        <v>2676</v>
      </c>
      <c r="V8220" s="1192">
        <v>411</v>
      </c>
    </row>
    <row r="8221" spans="1:22" s="1192" customFormat="1" ht="14.4" x14ac:dyDescent="0.3">
      <c r="A8221" s="1192" t="s">
        <v>238</v>
      </c>
      <c r="E8221" s="1743" t="s">
        <v>2393</v>
      </c>
      <c r="F8221" s="1743"/>
      <c r="G8221" s="1743"/>
      <c r="H8221" s="1743"/>
      <c r="K8221" s="1192" t="s">
        <v>2676</v>
      </c>
      <c r="V8221" s="1192">
        <v>387</v>
      </c>
    </row>
    <row r="8222" spans="1:22" s="1192" customFormat="1" ht="14.4" x14ac:dyDescent="0.3">
      <c r="A8222" s="1192" t="s">
        <v>238</v>
      </c>
      <c r="E8222" s="1743" t="s">
        <v>4500</v>
      </c>
      <c r="F8222" s="1743"/>
      <c r="G8222" s="1743"/>
      <c r="H8222" s="1743"/>
      <c r="K8222" s="1192" t="s">
        <v>2676</v>
      </c>
      <c r="V8222" s="1192">
        <v>247</v>
      </c>
    </row>
    <row r="8223" spans="1:22" s="1192" customFormat="1" ht="14.4" x14ac:dyDescent="0.3">
      <c r="A8223" s="1192" t="s">
        <v>238</v>
      </c>
      <c r="E8223" s="1750" t="s">
        <v>2394</v>
      </c>
      <c r="F8223" s="1743"/>
      <c r="G8223" s="1743"/>
      <c r="H8223" s="1743"/>
      <c r="K8223" s="1192" t="s">
        <v>2531</v>
      </c>
      <c r="V8223" s="1192">
        <v>46</v>
      </c>
    </row>
    <row r="8224" spans="1:22" s="1192" customFormat="1" ht="14.4" x14ac:dyDescent="0.3">
      <c r="A8224" s="1192" t="s">
        <v>238</v>
      </c>
      <c r="E8224" s="1741" t="s">
        <v>8</v>
      </c>
      <c r="F8224" s="1741"/>
      <c r="G8224" s="574" t="s">
        <v>19</v>
      </c>
      <c r="H8224" s="1218">
        <v>10.76</v>
      </c>
      <c r="K8224" s="1192" t="s">
        <v>2676</v>
      </c>
      <c r="L8224" s="1192" t="s">
        <v>430</v>
      </c>
      <c r="P8224" s="1192" t="s">
        <v>2678</v>
      </c>
      <c r="V8224" s="1192">
        <v>31</v>
      </c>
    </row>
    <row r="8225" spans="1:22" s="1192" customFormat="1" ht="14.4" x14ac:dyDescent="0.3">
      <c r="A8225" s="1192" t="s">
        <v>238</v>
      </c>
      <c r="E8225" s="1741" t="s">
        <v>80</v>
      </c>
      <c r="F8225" s="1741"/>
      <c r="G8225" s="574" t="s">
        <v>20</v>
      </c>
      <c r="H8225" s="1219">
        <v>7.1000000000000004E-3</v>
      </c>
      <c r="K8225" s="1192" t="s">
        <v>2676</v>
      </c>
      <c r="L8225" s="1192" t="s">
        <v>430</v>
      </c>
      <c r="P8225" s="1192" t="s">
        <v>2679</v>
      </c>
      <c r="V8225" s="1192">
        <v>28</v>
      </c>
    </row>
    <row r="8226" spans="1:22" s="1192" customFormat="1" ht="14.4" x14ac:dyDescent="0.3">
      <c r="A8226" s="1192" t="s">
        <v>238</v>
      </c>
      <c r="E8226" s="1741" t="s">
        <v>6484</v>
      </c>
      <c r="F8226" s="1998"/>
      <c r="G8226" s="574" t="s">
        <v>20</v>
      </c>
      <c r="H8226" s="1219">
        <v>-2.8E-3</v>
      </c>
      <c r="K8226" s="1192" t="s">
        <v>2676</v>
      </c>
      <c r="L8226" s="1192" t="s">
        <v>431</v>
      </c>
      <c r="P8226" s="1192" t="s">
        <v>2810</v>
      </c>
      <c r="T8226" s="1192">
        <v>44316</v>
      </c>
      <c r="V8226" s="1192">
        <v>170</v>
      </c>
    </row>
    <row r="8227" spans="1:22" s="1192" customFormat="1" ht="14.4" x14ac:dyDescent="0.3">
      <c r="A8227" s="1192" t="s">
        <v>238</v>
      </c>
      <c r="E8227" s="1741" t="s">
        <v>6526</v>
      </c>
      <c r="F8227" s="1998"/>
      <c r="G8227" s="574" t="s">
        <v>20</v>
      </c>
      <c r="H8227" s="1219">
        <v>-1.6999999999999999E-3</v>
      </c>
      <c r="K8227" s="1192" t="s">
        <v>2676</v>
      </c>
      <c r="L8227" s="1192" t="s">
        <v>431</v>
      </c>
      <c r="P8227" s="1192" t="s">
        <v>2681</v>
      </c>
      <c r="T8227" s="1192">
        <v>44316</v>
      </c>
      <c r="V8227" s="1192">
        <v>133</v>
      </c>
    </row>
    <row r="8228" spans="1:22" s="1192" customFormat="1" ht="14.4" x14ac:dyDescent="0.3">
      <c r="A8228" s="1192" t="s">
        <v>238</v>
      </c>
      <c r="E8228" s="1741" t="s">
        <v>213</v>
      </c>
      <c r="F8228" s="1741"/>
      <c r="G8228" s="524" t="s">
        <v>20</v>
      </c>
      <c r="H8228" s="1219">
        <v>7.3000000000000001E-3</v>
      </c>
      <c r="K8228" s="1192" t="s">
        <v>2676</v>
      </c>
      <c r="L8228" s="1192" t="s">
        <v>432</v>
      </c>
      <c r="P8228" s="1192" t="s">
        <v>2682</v>
      </c>
      <c r="V8228" s="1192">
        <v>47</v>
      </c>
    </row>
    <row r="8229" spans="1:22" s="1192" customFormat="1" ht="14.4" x14ac:dyDescent="0.3">
      <c r="A8229" s="1192" t="s">
        <v>238</v>
      </c>
      <c r="E8229" s="1741" t="s">
        <v>209</v>
      </c>
      <c r="F8229" s="1741"/>
      <c r="G8229" s="524" t="s">
        <v>20</v>
      </c>
      <c r="H8229" s="1219">
        <v>5.8999999999999999E-3</v>
      </c>
      <c r="K8229" s="1192" t="s">
        <v>2676</v>
      </c>
      <c r="L8229" s="1192" t="s">
        <v>432</v>
      </c>
      <c r="P8229" s="1192" t="s">
        <v>2683</v>
      </c>
      <c r="V8229" s="1192">
        <v>74</v>
      </c>
    </row>
    <row r="8230" spans="1:22" s="1192" customFormat="1" ht="14.4" x14ac:dyDescent="0.3">
      <c r="A8230" s="1192" t="s">
        <v>238</v>
      </c>
      <c r="E8230" s="1750" t="s">
        <v>2405</v>
      </c>
      <c r="F8230" s="2008"/>
      <c r="G8230" s="1277"/>
      <c r="H8230" s="896"/>
      <c r="K8230" s="1192" t="s">
        <v>2532</v>
      </c>
      <c r="V8230" s="1192">
        <v>48</v>
      </c>
    </row>
    <row r="8231" spans="1:22" s="1192" customFormat="1" ht="14.4" x14ac:dyDescent="0.3">
      <c r="A8231" s="1192" t="s">
        <v>238</v>
      </c>
      <c r="E8231" s="1741" t="s">
        <v>2033</v>
      </c>
      <c r="F8231" s="1741"/>
      <c r="G8231" s="574" t="s">
        <v>20</v>
      </c>
      <c r="H8231" s="1219">
        <v>3.0000000000000001E-3</v>
      </c>
      <c r="K8231" s="1192" t="s">
        <v>2676</v>
      </c>
      <c r="L8231" s="1192" t="s">
        <v>2374</v>
      </c>
      <c r="P8231" s="1192" t="s">
        <v>2684</v>
      </c>
      <c r="V8231" s="1192">
        <v>55</v>
      </c>
    </row>
    <row r="8232" spans="1:22" s="1192" customFormat="1" ht="14.4" x14ac:dyDescent="0.3">
      <c r="A8232" s="1192" t="s">
        <v>238</v>
      </c>
      <c r="E8232" s="1741" t="s">
        <v>2034</v>
      </c>
      <c r="F8232" s="1741"/>
      <c r="G8232" s="1277" t="s">
        <v>20</v>
      </c>
      <c r="H8232" s="1219">
        <v>4.0000000000000002E-4</v>
      </c>
      <c r="K8232" s="1192" t="s">
        <v>2676</v>
      </c>
      <c r="L8232" s="1192" t="s">
        <v>2374</v>
      </c>
      <c r="P8232" s="1192" t="s">
        <v>2684</v>
      </c>
      <c r="V8232" s="1192">
        <v>65</v>
      </c>
    </row>
    <row r="8233" spans="1:22" s="1192" customFormat="1" ht="14.4" x14ac:dyDescent="0.3">
      <c r="A8233" s="1192" t="s">
        <v>238</v>
      </c>
      <c r="E8233" s="1741" t="s">
        <v>428</v>
      </c>
      <c r="F8233" s="1741"/>
      <c r="G8233" s="574" t="s">
        <v>20</v>
      </c>
      <c r="H8233" s="1219">
        <v>5.0000000000000001E-4</v>
      </c>
      <c r="K8233" s="1192" t="s">
        <v>2676</v>
      </c>
      <c r="L8233" s="1192" t="s">
        <v>2374</v>
      </c>
      <c r="P8233" s="1192" t="s">
        <v>2685</v>
      </c>
      <c r="V8233" s="1192">
        <v>57</v>
      </c>
    </row>
    <row r="8234" spans="1:22" s="1192" customFormat="1" ht="14.4" x14ac:dyDescent="0.3">
      <c r="A8234" s="1192" t="s">
        <v>238</v>
      </c>
      <c r="E8234" s="1741" t="s">
        <v>28</v>
      </c>
      <c r="F8234" s="1741"/>
      <c r="G8234" s="1277" t="s">
        <v>19</v>
      </c>
      <c r="H8234" s="1218">
        <v>0.25</v>
      </c>
      <c r="K8234" s="1192" t="s">
        <v>2676</v>
      </c>
      <c r="L8234" s="1192" t="s">
        <v>2374</v>
      </c>
      <c r="P8234" s="1192" t="s">
        <v>2686</v>
      </c>
      <c r="V8234" s="1192">
        <v>63</v>
      </c>
    </row>
    <row r="8235" spans="1:22" s="1192" customFormat="1" ht="17.399999999999999" x14ac:dyDescent="0.3">
      <c r="A8235" s="1192" t="s">
        <v>238</v>
      </c>
      <c r="E8235" s="1746" t="s">
        <v>604</v>
      </c>
      <c r="F8235" s="1747"/>
      <c r="G8235" s="1747"/>
      <c r="H8235" s="1747"/>
      <c r="K8235" s="1192" t="s">
        <v>2823</v>
      </c>
      <c r="V8235" s="1192">
        <v>40</v>
      </c>
    </row>
    <row r="8236" spans="1:22" s="1192" customFormat="1" ht="14.4" x14ac:dyDescent="0.3">
      <c r="A8236" s="1192" t="s">
        <v>238</v>
      </c>
      <c r="E8236" s="1743" t="s">
        <v>3690</v>
      </c>
      <c r="F8236" s="1743"/>
      <c r="G8236" s="1743"/>
      <c r="H8236" s="1743"/>
      <c r="K8236" s="1192" t="s">
        <v>2823</v>
      </c>
      <c r="V8236" s="1192">
        <v>401</v>
      </c>
    </row>
    <row r="8237" spans="1:22" s="1192" customFormat="1" ht="14.4" x14ac:dyDescent="0.3">
      <c r="A8237" s="1192" t="s">
        <v>238</v>
      </c>
      <c r="E8237" s="1750" t="s">
        <v>2389</v>
      </c>
      <c r="F8237" s="1743"/>
      <c r="G8237" s="1743"/>
      <c r="H8237" s="1743"/>
      <c r="K8237" s="1192" t="s">
        <v>2424</v>
      </c>
      <c r="V8237" s="1192">
        <v>11</v>
      </c>
    </row>
    <row r="8238" spans="1:22" s="1192" customFormat="1" ht="14.4" x14ac:dyDescent="0.3">
      <c r="A8238" s="1192" t="s">
        <v>238</v>
      </c>
      <c r="E8238" s="1743" t="s">
        <v>2391</v>
      </c>
      <c r="F8238" s="1743"/>
      <c r="G8238" s="1743"/>
      <c r="H8238" s="1743"/>
      <c r="K8238" s="1192" t="s">
        <v>2823</v>
      </c>
      <c r="V8238" s="1192">
        <v>280</v>
      </c>
    </row>
    <row r="8239" spans="1:22" s="1192" customFormat="1" ht="14.4" x14ac:dyDescent="0.3">
      <c r="A8239" s="1192" t="s">
        <v>238</v>
      </c>
      <c r="E8239" s="1743" t="s">
        <v>2392</v>
      </c>
      <c r="F8239" s="1743"/>
      <c r="G8239" s="1743"/>
      <c r="H8239" s="1743"/>
      <c r="K8239" s="1192" t="s">
        <v>2823</v>
      </c>
      <c r="V8239" s="1192">
        <v>411</v>
      </c>
    </row>
    <row r="8240" spans="1:22" s="1192" customFormat="1" ht="14.4" x14ac:dyDescent="0.3">
      <c r="A8240" s="1192" t="s">
        <v>238</v>
      </c>
      <c r="E8240" s="1743" t="s">
        <v>2393</v>
      </c>
      <c r="F8240" s="1743"/>
      <c r="G8240" s="1743"/>
      <c r="H8240" s="1743"/>
      <c r="K8240" s="1192" t="s">
        <v>2823</v>
      </c>
      <c r="V8240" s="1192">
        <v>387</v>
      </c>
    </row>
    <row r="8241" spans="1:22" s="1192" customFormat="1" ht="14.4" x14ac:dyDescent="0.3">
      <c r="A8241" s="1192" t="s">
        <v>238</v>
      </c>
      <c r="E8241" s="1743" t="s">
        <v>4500</v>
      </c>
      <c r="F8241" s="1743"/>
      <c r="G8241" s="1743"/>
      <c r="H8241" s="1743"/>
      <c r="K8241" s="1192" t="s">
        <v>2823</v>
      </c>
      <c r="V8241" s="1192">
        <v>247</v>
      </c>
    </row>
    <row r="8242" spans="1:22" s="1192" customFormat="1" ht="14.4" x14ac:dyDescent="0.3">
      <c r="A8242" s="1192" t="s">
        <v>238</v>
      </c>
      <c r="E8242" s="1750" t="s">
        <v>2394</v>
      </c>
      <c r="F8242" s="1743"/>
      <c r="G8242" s="1743"/>
      <c r="H8242" s="1743"/>
      <c r="K8242" s="1192" t="s">
        <v>2425</v>
      </c>
      <c r="V8242" s="1192">
        <v>46</v>
      </c>
    </row>
    <row r="8243" spans="1:22" s="1192" customFormat="1" ht="14.4" x14ac:dyDescent="0.3">
      <c r="A8243" s="1192" t="s">
        <v>238</v>
      </c>
      <c r="E8243" s="1741" t="s">
        <v>8</v>
      </c>
      <c r="F8243" s="1741"/>
      <c r="G8243" s="574" t="s">
        <v>19</v>
      </c>
      <c r="H8243" s="1218">
        <v>3.96</v>
      </c>
      <c r="K8243" s="1192" t="s">
        <v>2823</v>
      </c>
      <c r="L8243" s="1192" t="s">
        <v>430</v>
      </c>
      <c r="P8243" s="1192" t="s">
        <v>2824</v>
      </c>
      <c r="V8243" s="1192">
        <v>31</v>
      </c>
    </row>
    <row r="8244" spans="1:22" s="1192" customFormat="1" ht="14.4" x14ac:dyDescent="0.3">
      <c r="A8244" s="1192" t="s">
        <v>238</v>
      </c>
      <c r="E8244" s="1741" t="s">
        <v>80</v>
      </c>
      <c r="F8244" s="1741"/>
      <c r="G8244" s="574" t="s">
        <v>29</v>
      </c>
      <c r="H8244" s="1219">
        <v>8.8704999999999998</v>
      </c>
      <c r="K8244" s="1192" t="s">
        <v>2823</v>
      </c>
      <c r="L8244" s="1192" t="s">
        <v>430</v>
      </c>
      <c r="P8244" s="1192" t="s">
        <v>2825</v>
      </c>
      <c r="V8244" s="1192">
        <v>28</v>
      </c>
    </row>
    <row r="8245" spans="1:22" s="1192" customFormat="1" ht="14.4" x14ac:dyDescent="0.3">
      <c r="A8245" s="1192" t="s">
        <v>238</v>
      </c>
      <c r="E8245" s="1741" t="s">
        <v>6484</v>
      </c>
      <c r="F8245" s="1998"/>
      <c r="G8245" s="574" t="s">
        <v>20</v>
      </c>
      <c r="H8245" s="1219">
        <v>-2.8E-3</v>
      </c>
      <c r="K8245" s="1192" t="s">
        <v>2823</v>
      </c>
      <c r="L8245" s="1192" t="s">
        <v>431</v>
      </c>
      <c r="P8245" s="1192" t="s">
        <v>2914</v>
      </c>
      <c r="T8245" s="1192">
        <v>44316</v>
      </c>
      <c r="V8245" s="1192">
        <v>170</v>
      </c>
    </row>
    <row r="8246" spans="1:22" s="1192" customFormat="1" ht="14.4" x14ac:dyDescent="0.3">
      <c r="A8246" s="1192" t="s">
        <v>238</v>
      </c>
      <c r="E8246" s="1741" t="s">
        <v>6526</v>
      </c>
      <c r="F8246" s="1998"/>
      <c r="G8246" s="574" t="s">
        <v>29</v>
      </c>
      <c r="H8246" s="1219">
        <v>-0.60409999999999997</v>
      </c>
      <c r="K8246" s="1192" t="s">
        <v>2823</v>
      </c>
      <c r="L8246" s="1192" t="s">
        <v>431</v>
      </c>
      <c r="P8246" s="1192" t="s">
        <v>2915</v>
      </c>
      <c r="T8246" s="1192">
        <v>44316</v>
      </c>
      <c r="V8246" s="1192">
        <v>133</v>
      </c>
    </row>
    <row r="8247" spans="1:22" s="1192" customFormat="1" ht="14.4" x14ac:dyDescent="0.3">
      <c r="A8247" s="1192" t="s">
        <v>238</v>
      </c>
      <c r="E8247" s="1741" t="s">
        <v>213</v>
      </c>
      <c r="F8247" s="1741"/>
      <c r="G8247" s="524" t="s">
        <v>29</v>
      </c>
      <c r="H8247" s="1219">
        <v>2.3281000000000001</v>
      </c>
      <c r="K8247" s="1192" t="s">
        <v>2823</v>
      </c>
      <c r="L8247" s="1192" t="s">
        <v>432</v>
      </c>
      <c r="P8247" s="1192" t="s">
        <v>2827</v>
      </c>
      <c r="V8247" s="1192">
        <v>47</v>
      </c>
    </row>
    <row r="8248" spans="1:22" s="1192" customFormat="1" ht="14.4" x14ac:dyDescent="0.3">
      <c r="A8248" s="1192" t="s">
        <v>238</v>
      </c>
      <c r="E8248" s="1741" t="s">
        <v>209</v>
      </c>
      <c r="F8248" s="1741"/>
      <c r="G8248" s="524" t="s">
        <v>29</v>
      </c>
      <c r="H8248" s="1219">
        <v>1.9133</v>
      </c>
      <c r="K8248" s="1192" t="s">
        <v>2823</v>
      </c>
      <c r="L8248" s="1192" t="s">
        <v>432</v>
      </c>
      <c r="P8248" s="1192" t="s">
        <v>2828</v>
      </c>
      <c r="V8248" s="1192">
        <v>74</v>
      </c>
    </row>
    <row r="8249" spans="1:22" s="1192" customFormat="1" ht="14.4" x14ac:dyDescent="0.3">
      <c r="A8249" s="1192" t="s">
        <v>238</v>
      </c>
      <c r="E8249" s="1750" t="s">
        <v>2405</v>
      </c>
      <c r="F8249" s="1741"/>
      <c r="G8249" s="1277"/>
      <c r="H8249" s="896"/>
      <c r="K8249" s="1192" t="s">
        <v>2427</v>
      </c>
      <c r="V8249" s="1192">
        <v>48</v>
      </c>
    </row>
    <row r="8250" spans="1:22" s="1192" customFormat="1" ht="14.4" x14ac:dyDescent="0.3">
      <c r="A8250" s="1192" t="s">
        <v>238</v>
      </c>
      <c r="E8250" s="1741" t="s">
        <v>2033</v>
      </c>
      <c r="F8250" s="1741"/>
      <c r="G8250" s="574" t="s">
        <v>20</v>
      </c>
      <c r="H8250" s="1219">
        <v>3.0000000000000001E-3</v>
      </c>
      <c r="K8250" s="1192" t="s">
        <v>2823</v>
      </c>
      <c r="L8250" s="1192" t="s">
        <v>2374</v>
      </c>
      <c r="P8250" s="1192" t="s">
        <v>2829</v>
      </c>
      <c r="V8250" s="1192">
        <v>55</v>
      </c>
    </row>
    <row r="8251" spans="1:22" s="1192" customFormat="1" ht="14.4" x14ac:dyDescent="0.3">
      <c r="A8251" s="1192" t="s">
        <v>238</v>
      </c>
      <c r="E8251" s="1741" t="s">
        <v>2034</v>
      </c>
      <c r="F8251" s="1741"/>
      <c r="G8251" s="1277" t="s">
        <v>20</v>
      </c>
      <c r="H8251" s="1219">
        <v>4.0000000000000002E-4</v>
      </c>
      <c r="K8251" s="1192" t="s">
        <v>2823</v>
      </c>
      <c r="L8251" s="1192" t="s">
        <v>2374</v>
      </c>
      <c r="P8251" s="1192" t="s">
        <v>2829</v>
      </c>
      <c r="V8251" s="1192">
        <v>65</v>
      </c>
    </row>
    <row r="8252" spans="1:22" s="1192" customFormat="1" ht="14.4" x14ac:dyDescent="0.3">
      <c r="A8252" s="1192" t="s">
        <v>238</v>
      </c>
      <c r="E8252" s="1741" t="s">
        <v>428</v>
      </c>
      <c r="F8252" s="1741"/>
      <c r="G8252" s="574" t="s">
        <v>20</v>
      </c>
      <c r="H8252" s="1219">
        <v>5.0000000000000001E-4</v>
      </c>
      <c r="K8252" s="1192" t="s">
        <v>2823</v>
      </c>
      <c r="L8252" s="1192" t="s">
        <v>2374</v>
      </c>
      <c r="P8252" s="1192" t="s">
        <v>2830</v>
      </c>
      <c r="V8252" s="1192">
        <v>57</v>
      </c>
    </row>
    <row r="8253" spans="1:22" s="1192" customFormat="1" ht="14.4" x14ac:dyDescent="0.3">
      <c r="A8253" s="1192" t="s">
        <v>238</v>
      </c>
      <c r="E8253" s="1741" t="s">
        <v>28</v>
      </c>
      <c r="F8253" s="1741"/>
      <c r="G8253" s="1277" t="s">
        <v>19</v>
      </c>
      <c r="H8253" s="1218">
        <v>0.25</v>
      </c>
      <c r="K8253" s="1192" t="s">
        <v>2823</v>
      </c>
      <c r="L8253" s="1192" t="s">
        <v>2374</v>
      </c>
      <c r="P8253" s="1192" t="s">
        <v>2831</v>
      </c>
      <c r="V8253" s="1192">
        <v>63</v>
      </c>
    </row>
    <row r="8254" spans="1:22" s="1192" customFormat="1" ht="17.399999999999999" x14ac:dyDescent="0.3">
      <c r="A8254" s="1192" t="s">
        <v>238</v>
      </c>
      <c r="E8254" s="1746" t="s">
        <v>590</v>
      </c>
      <c r="F8254" s="1747"/>
      <c r="G8254" s="1747"/>
      <c r="H8254" s="1747"/>
      <c r="K8254" s="1192" t="s">
        <v>2428</v>
      </c>
      <c r="V8254" s="1192">
        <v>38</v>
      </c>
    </row>
    <row r="8255" spans="1:22" s="1192" customFormat="1" ht="14.4" x14ac:dyDescent="0.3">
      <c r="A8255" s="1192" t="s">
        <v>238</v>
      </c>
      <c r="E8255" s="1743" t="s">
        <v>3691</v>
      </c>
      <c r="F8255" s="1743"/>
      <c r="G8255" s="1743"/>
      <c r="H8255" s="1743"/>
      <c r="K8255" s="1192" t="s">
        <v>2428</v>
      </c>
      <c r="V8255" s="1192">
        <v>383</v>
      </c>
    </row>
    <row r="8256" spans="1:22" s="1192" customFormat="1" ht="14.4" x14ac:dyDescent="0.3">
      <c r="A8256" s="1192" t="s">
        <v>238</v>
      </c>
      <c r="E8256" s="1750" t="s">
        <v>2389</v>
      </c>
      <c r="F8256" s="1743"/>
      <c r="G8256" s="1743"/>
      <c r="H8256" s="1743"/>
      <c r="K8256" s="1192" t="s">
        <v>2430</v>
      </c>
      <c r="V8256" s="1192">
        <v>11</v>
      </c>
    </row>
    <row r="8257" spans="1:22" s="1192" customFormat="1" ht="14.4" x14ac:dyDescent="0.3">
      <c r="A8257" s="1192" t="s">
        <v>238</v>
      </c>
      <c r="E8257" s="1743" t="s">
        <v>2391</v>
      </c>
      <c r="F8257" s="1743"/>
      <c r="G8257" s="1743"/>
      <c r="H8257" s="1743"/>
      <c r="K8257" s="1192" t="s">
        <v>2428</v>
      </c>
      <c r="V8257" s="1192">
        <v>280</v>
      </c>
    </row>
    <row r="8258" spans="1:22" s="1192" customFormat="1" ht="14.4" x14ac:dyDescent="0.3">
      <c r="A8258" s="1192" t="s">
        <v>238</v>
      </c>
      <c r="E8258" s="1743" t="s">
        <v>2392</v>
      </c>
      <c r="F8258" s="1743"/>
      <c r="G8258" s="1743"/>
      <c r="H8258" s="1743"/>
      <c r="K8258" s="1192" t="s">
        <v>2428</v>
      </c>
      <c r="V8258" s="1192">
        <v>411</v>
      </c>
    </row>
    <row r="8259" spans="1:22" s="1192" customFormat="1" ht="14.4" x14ac:dyDescent="0.3">
      <c r="A8259" s="1192" t="s">
        <v>238</v>
      </c>
      <c r="E8259" s="1743" t="s">
        <v>2393</v>
      </c>
      <c r="F8259" s="1743"/>
      <c r="G8259" s="1743"/>
      <c r="H8259" s="1743"/>
      <c r="K8259" s="1192" t="s">
        <v>2428</v>
      </c>
      <c r="V8259" s="1192">
        <v>387</v>
      </c>
    </row>
    <row r="8260" spans="1:22" s="1192" customFormat="1" ht="14.4" x14ac:dyDescent="0.3">
      <c r="A8260" s="1192" t="s">
        <v>238</v>
      </c>
      <c r="E8260" s="1743" t="s">
        <v>4500</v>
      </c>
      <c r="F8260" s="1743"/>
      <c r="G8260" s="1743"/>
      <c r="H8260" s="1743"/>
      <c r="K8260" s="1192" t="s">
        <v>2428</v>
      </c>
      <c r="V8260" s="1192">
        <v>247</v>
      </c>
    </row>
    <row r="8261" spans="1:22" s="1192" customFormat="1" ht="14.4" x14ac:dyDescent="0.3">
      <c r="A8261" s="1192" t="s">
        <v>238</v>
      </c>
      <c r="E8261" s="1750" t="s">
        <v>2394</v>
      </c>
      <c r="F8261" s="1743"/>
      <c r="G8261" s="1743"/>
      <c r="H8261" s="1743"/>
      <c r="K8261" s="1192" t="s">
        <v>2431</v>
      </c>
      <c r="V8261" s="1192">
        <v>46</v>
      </c>
    </row>
    <row r="8262" spans="1:22" s="1192" customFormat="1" ht="14.4" x14ac:dyDescent="0.3">
      <c r="A8262" s="1192" t="s">
        <v>238</v>
      </c>
      <c r="E8262" s="1741" t="s">
        <v>3068</v>
      </c>
      <c r="F8262" s="1741"/>
      <c r="G8262" s="574" t="s">
        <v>19</v>
      </c>
      <c r="H8262" s="1218">
        <v>0.63</v>
      </c>
      <c r="K8262" s="1192" t="s">
        <v>2428</v>
      </c>
      <c r="L8262" s="1192" t="s">
        <v>430</v>
      </c>
      <c r="P8262" s="1192" t="s">
        <v>2432</v>
      </c>
      <c r="V8262" s="1192">
        <v>27</v>
      </c>
    </row>
    <row r="8263" spans="1:22" s="1192" customFormat="1" ht="14.4" x14ac:dyDescent="0.3">
      <c r="A8263" s="1192" t="s">
        <v>238</v>
      </c>
      <c r="E8263" s="1741" t="s">
        <v>80</v>
      </c>
      <c r="F8263" s="1741"/>
      <c r="G8263" s="574" t="s">
        <v>29</v>
      </c>
      <c r="H8263" s="1219">
        <v>2.6274999999999999</v>
      </c>
      <c r="K8263" s="1192" t="s">
        <v>2428</v>
      </c>
      <c r="L8263" s="1192" t="s">
        <v>430</v>
      </c>
      <c r="P8263" s="1192" t="s">
        <v>2433</v>
      </c>
      <c r="V8263" s="1192">
        <v>28</v>
      </c>
    </row>
    <row r="8264" spans="1:22" s="1192" customFormat="1" ht="14.4" x14ac:dyDescent="0.3">
      <c r="A8264" s="1192" t="s">
        <v>238</v>
      </c>
      <c r="E8264" s="1741" t="s">
        <v>6484</v>
      </c>
      <c r="F8264" s="1998"/>
      <c r="G8264" s="574" t="s">
        <v>20</v>
      </c>
      <c r="H8264" s="1219">
        <v>-2.8E-3</v>
      </c>
      <c r="K8264" s="1192" t="s">
        <v>2428</v>
      </c>
      <c r="L8264" s="1192" t="s">
        <v>431</v>
      </c>
      <c r="P8264" s="1192" t="s">
        <v>2435</v>
      </c>
      <c r="T8264" s="1192">
        <v>44316</v>
      </c>
      <c r="V8264" s="1192">
        <v>170</v>
      </c>
    </row>
    <row r="8265" spans="1:22" s="1192" customFormat="1" ht="14.4" x14ac:dyDescent="0.3">
      <c r="A8265" s="1192" t="s">
        <v>238</v>
      </c>
      <c r="E8265" s="1741" t="s">
        <v>6526</v>
      </c>
      <c r="F8265" s="1998"/>
      <c r="G8265" s="574" t="s">
        <v>29</v>
      </c>
      <c r="H8265" s="1219">
        <v>-0.60350000000000004</v>
      </c>
      <c r="K8265" s="1192" t="s">
        <v>2428</v>
      </c>
      <c r="L8265" s="1192" t="s">
        <v>431</v>
      </c>
      <c r="P8265" s="1192" t="s">
        <v>2434</v>
      </c>
      <c r="T8265" s="1192">
        <v>44316</v>
      </c>
      <c r="V8265" s="1192">
        <v>133</v>
      </c>
    </row>
    <row r="8266" spans="1:22" s="1192" customFormat="1" ht="14.4" x14ac:dyDescent="0.3">
      <c r="A8266" s="1192" t="s">
        <v>238</v>
      </c>
      <c r="E8266" s="1741" t="s">
        <v>213</v>
      </c>
      <c r="F8266" s="1741"/>
      <c r="G8266" s="524" t="s">
        <v>29</v>
      </c>
      <c r="H8266" s="1219">
        <v>2.3231000000000002</v>
      </c>
      <c r="K8266" s="1192" t="s">
        <v>2428</v>
      </c>
      <c r="L8266" s="1192" t="s">
        <v>432</v>
      </c>
      <c r="P8266" s="1192" t="s">
        <v>2436</v>
      </c>
      <c r="V8266" s="1192">
        <v>47</v>
      </c>
    </row>
    <row r="8267" spans="1:22" s="1192" customFormat="1" ht="14.4" x14ac:dyDescent="0.3">
      <c r="A8267" s="1192" t="s">
        <v>238</v>
      </c>
      <c r="E8267" s="1741" t="s">
        <v>209</v>
      </c>
      <c r="F8267" s="1741"/>
      <c r="G8267" s="524" t="s">
        <v>29</v>
      </c>
      <c r="H8267" s="1219">
        <v>1.909</v>
      </c>
      <c r="K8267" s="1192" t="s">
        <v>2428</v>
      </c>
      <c r="L8267" s="1192" t="s">
        <v>432</v>
      </c>
      <c r="P8267" s="1192" t="s">
        <v>2437</v>
      </c>
      <c r="V8267" s="1192">
        <v>74</v>
      </c>
    </row>
    <row r="8268" spans="1:22" s="1192" customFormat="1" ht="14.4" x14ac:dyDescent="0.3">
      <c r="A8268" s="1192" t="s">
        <v>238</v>
      </c>
      <c r="E8268" s="1750" t="s">
        <v>2405</v>
      </c>
      <c r="F8268" s="2008"/>
      <c r="G8268" s="1277"/>
      <c r="H8268" s="896"/>
      <c r="K8268" s="1192" t="s">
        <v>2438</v>
      </c>
      <c r="V8268" s="1192">
        <v>48</v>
      </c>
    </row>
    <row r="8269" spans="1:22" s="1192" customFormat="1" ht="14.4" x14ac:dyDescent="0.3">
      <c r="A8269" s="1192" t="s">
        <v>238</v>
      </c>
      <c r="E8269" s="1741" t="s">
        <v>2033</v>
      </c>
      <c r="F8269" s="1741"/>
      <c r="G8269" s="574" t="s">
        <v>20</v>
      </c>
      <c r="H8269" s="1219">
        <v>3.0000000000000001E-3</v>
      </c>
      <c r="K8269" s="1192" t="s">
        <v>2428</v>
      </c>
      <c r="L8269" s="1192" t="s">
        <v>2374</v>
      </c>
      <c r="P8269" s="1192" t="s">
        <v>2439</v>
      </c>
      <c r="V8269" s="1192">
        <v>55</v>
      </c>
    </row>
    <row r="8270" spans="1:22" s="1192" customFormat="1" ht="14.4" x14ac:dyDescent="0.3">
      <c r="A8270" s="1192" t="s">
        <v>238</v>
      </c>
      <c r="E8270" s="1741" t="s">
        <v>2034</v>
      </c>
      <c r="F8270" s="1741"/>
      <c r="G8270" s="1277" t="s">
        <v>20</v>
      </c>
      <c r="H8270" s="1219">
        <v>4.0000000000000002E-4</v>
      </c>
      <c r="K8270" s="1192" t="s">
        <v>2428</v>
      </c>
      <c r="L8270" s="1192" t="s">
        <v>2374</v>
      </c>
      <c r="P8270" s="1192" t="s">
        <v>2439</v>
      </c>
      <c r="V8270" s="1192">
        <v>65</v>
      </c>
    </row>
    <row r="8271" spans="1:22" s="1192" customFormat="1" ht="14.4" x14ac:dyDescent="0.3">
      <c r="A8271" s="1192" t="s">
        <v>238</v>
      </c>
      <c r="E8271" s="1741" t="s">
        <v>428</v>
      </c>
      <c r="F8271" s="1741"/>
      <c r="G8271" s="574" t="s">
        <v>20</v>
      </c>
      <c r="H8271" s="1219">
        <v>5.0000000000000001E-4</v>
      </c>
      <c r="K8271" s="1192" t="s">
        <v>2428</v>
      </c>
      <c r="L8271" s="1192" t="s">
        <v>2374</v>
      </c>
      <c r="P8271" s="1192" t="s">
        <v>2440</v>
      </c>
      <c r="V8271" s="1192">
        <v>57</v>
      </c>
    </row>
    <row r="8272" spans="1:22" s="1192" customFormat="1" ht="14.4" x14ac:dyDescent="0.3">
      <c r="A8272" s="1192" t="s">
        <v>238</v>
      </c>
      <c r="E8272" s="1741" t="s">
        <v>28</v>
      </c>
      <c r="F8272" s="1741"/>
      <c r="G8272" s="1277" t="s">
        <v>19</v>
      </c>
      <c r="H8272" s="1218">
        <v>0.25</v>
      </c>
      <c r="K8272" s="1192" t="s">
        <v>2428</v>
      </c>
      <c r="L8272" s="1192" t="s">
        <v>2374</v>
      </c>
      <c r="P8272" s="1192" t="s">
        <v>2441</v>
      </c>
      <c r="V8272" s="1192">
        <v>63</v>
      </c>
    </row>
    <row r="8273" spans="1:22" s="1192" customFormat="1" ht="17.399999999999999" x14ac:dyDescent="0.3">
      <c r="A8273" s="1192" t="s">
        <v>238</v>
      </c>
      <c r="E8273" s="1746" t="s">
        <v>593</v>
      </c>
      <c r="F8273" s="1746"/>
      <c r="G8273" s="1747"/>
      <c r="H8273" s="1747"/>
      <c r="K8273" s="1192" t="s">
        <v>2442</v>
      </c>
      <c r="V8273" s="1192">
        <v>31</v>
      </c>
    </row>
    <row r="8274" spans="1:22" s="1192" customFormat="1" ht="14.4" x14ac:dyDescent="0.3">
      <c r="A8274" s="1192" t="s">
        <v>238</v>
      </c>
      <c r="E8274" s="1743" t="s">
        <v>2966</v>
      </c>
      <c r="F8274" s="1743"/>
      <c r="G8274" s="1743"/>
      <c r="H8274" s="1743"/>
      <c r="K8274" s="1192" t="s">
        <v>2442</v>
      </c>
      <c r="V8274" s="1192">
        <v>286</v>
      </c>
    </row>
    <row r="8275" spans="1:22" s="1192" customFormat="1" ht="14.4" x14ac:dyDescent="0.3">
      <c r="A8275" s="1192" t="s">
        <v>238</v>
      </c>
      <c r="E8275" s="1750" t="s">
        <v>2389</v>
      </c>
      <c r="F8275" s="1743"/>
      <c r="G8275" s="1743"/>
      <c r="H8275" s="1743"/>
      <c r="K8275" s="1192" t="s">
        <v>2444</v>
      </c>
      <c r="V8275" s="1192">
        <v>11</v>
      </c>
    </row>
    <row r="8276" spans="1:22" s="1192" customFormat="1" ht="14.4" x14ac:dyDescent="0.3">
      <c r="A8276" s="1192" t="s">
        <v>238</v>
      </c>
      <c r="E8276" s="1743" t="s">
        <v>2391</v>
      </c>
      <c r="F8276" s="1743"/>
      <c r="G8276" s="1743"/>
      <c r="H8276" s="1743"/>
      <c r="K8276" s="1192" t="s">
        <v>2442</v>
      </c>
      <c r="V8276" s="1192">
        <v>280</v>
      </c>
    </row>
    <row r="8277" spans="1:22" s="1192" customFormat="1" ht="14.4" x14ac:dyDescent="0.3">
      <c r="A8277" s="1192" t="s">
        <v>238</v>
      </c>
      <c r="E8277" s="1743" t="s">
        <v>2392</v>
      </c>
      <c r="F8277" s="1743"/>
      <c r="G8277" s="1743"/>
      <c r="H8277" s="1743"/>
      <c r="K8277" s="1192" t="s">
        <v>2442</v>
      </c>
      <c r="V8277" s="1192">
        <v>411</v>
      </c>
    </row>
    <row r="8278" spans="1:22" s="1192" customFormat="1" ht="14.4" x14ac:dyDescent="0.3">
      <c r="A8278" s="1192" t="s">
        <v>238</v>
      </c>
      <c r="E8278" s="1743" t="s">
        <v>2445</v>
      </c>
      <c r="F8278" s="1743"/>
      <c r="G8278" s="1743"/>
      <c r="H8278" s="1743"/>
      <c r="K8278" s="1192" t="s">
        <v>2442</v>
      </c>
      <c r="V8278" s="1192">
        <v>211</v>
      </c>
    </row>
    <row r="8279" spans="1:22" s="1192" customFormat="1" ht="14.4" x14ac:dyDescent="0.3">
      <c r="A8279" s="1192" t="s">
        <v>238</v>
      </c>
      <c r="E8279" s="1743" t="s">
        <v>4500</v>
      </c>
      <c r="F8279" s="1743"/>
      <c r="G8279" s="1743"/>
      <c r="H8279" s="1743"/>
      <c r="K8279" s="1192" t="s">
        <v>2442</v>
      </c>
      <c r="V8279" s="1192">
        <v>247</v>
      </c>
    </row>
    <row r="8280" spans="1:22" s="1192" customFormat="1" ht="14.4" x14ac:dyDescent="0.3">
      <c r="A8280" s="1192" t="s">
        <v>238</v>
      </c>
      <c r="E8280" s="1750" t="s">
        <v>2394</v>
      </c>
      <c r="F8280" s="1743"/>
      <c r="G8280" s="1743"/>
      <c r="H8280" s="1743"/>
      <c r="K8280" s="1192" t="s">
        <v>2446</v>
      </c>
      <c r="V8280" s="1192">
        <v>46</v>
      </c>
    </row>
    <row r="8281" spans="1:22" s="1192" customFormat="1" ht="14.4" x14ac:dyDescent="0.3">
      <c r="A8281" s="1192" t="s">
        <v>238</v>
      </c>
      <c r="E8281" s="1741" t="s">
        <v>7</v>
      </c>
      <c r="F8281" s="1741"/>
      <c r="G8281" s="574" t="s">
        <v>19</v>
      </c>
      <c r="H8281" s="1218">
        <v>11</v>
      </c>
      <c r="K8281" s="1192" t="s">
        <v>2442</v>
      </c>
      <c r="L8281" s="1192" t="s">
        <v>430</v>
      </c>
      <c r="P8281" s="1192" t="s">
        <v>2447</v>
      </c>
      <c r="V8281" s="1192">
        <v>14</v>
      </c>
    </row>
    <row r="8282" spans="1:22" s="1192" customFormat="1" x14ac:dyDescent="0.35">
      <c r="A8282" s="1192" t="s">
        <v>238</v>
      </c>
      <c r="E8282" s="1746" t="s">
        <v>81</v>
      </c>
      <c r="F8282" s="1746"/>
      <c r="G8282" s="551"/>
      <c r="H8282" s="918"/>
      <c r="K8282" s="1192" t="s">
        <v>4284</v>
      </c>
      <c r="V8282" s="1192">
        <v>10</v>
      </c>
    </row>
    <row r="8283" spans="1:22" s="1192" customFormat="1" ht="14.4" x14ac:dyDescent="0.3">
      <c r="A8283" s="1192" t="s">
        <v>238</v>
      </c>
      <c r="E8283" s="1741" t="s">
        <v>2449</v>
      </c>
      <c r="F8283" s="1741"/>
      <c r="G8283" s="1277" t="s">
        <v>29</v>
      </c>
      <c r="H8283" s="1219">
        <v>-0.7</v>
      </c>
      <c r="V8283" s="1192">
        <v>68</v>
      </c>
    </row>
    <row r="8284" spans="1:22" s="1192" customFormat="1" ht="14.4" x14ac:dyDescent="0.3">
      <c r="A8284" s="1192" t="s">
        <v>238</v>
      </c>
      <c r="E8284" s="1741" t="s">
        <v>2450</v>
      </c>
      <c r="F8284" s="1741"/>
      <c r="G8284" s="1277" t="s">
        <v>82</v>
      </c>
      <c r="H8284" s="1218">
        <v>-1</v>
      </c>
      <c r="V8284" s="1192">
        <v>87</v>
      </c>
    </row>
    <row r="8285" spans="1:22" s="1192" customFormat="1" x14ac:dyDescent="0.35">
      <c r="A8285" s="1192" t="s">
        <v>238</v>
      </c>
      <c r="E8285" s="1746" t="s">
        <v>83</v>
      </c>
      <c r="F8285" s="1746"/>
      <c r="G8285" s="551"/>
      <c r="H8285" s="918"/>
      <c r="K8285" s="1192" t="s">
        <v>4285</v>
      </c>
      <c r="V8285" s="1192">
        <v>24</v>
      </c>
    </row>
    <row r="8286" spans="1:22" s="1192" customFormat="1" ht="14.4" x14ac:dyDescent="0.3">
      <c r="A8286" s="1192" t="s">
        <v>238</v>
      </c>
      <c r="E8286" s="1743" t="s">
        <v>2391</v>
      </c>
      <c r="F8286" s="1743"/>
      <c r="G8286" s="1743"/>
      <c r="H8286" s="1743"/>
      <c r="V8286" s="1192">
        <v>280</v>
      </c>
    </row>
    <row r="8287" spans="1:22" s="1192" customFormat="1" ht="14.4" x14ac:dyDescent="0.3">
      <c r="A8287" s="1192" t="s">
        <v>238</v>
      </c>
      <c r="E8287" s="1743" t="s">
        <v>2452</v>
      </c>
      <c r="F8287" s="1743"/>
      <c r="G8287" s="1743"/>
      <c r="H8287" s="1743"/>
      <c r="V8287" s="1192">
        <v>353</v>
      </c>
    </row>
    <row r="8288" spans="1:22" s="1192" customFormat="1" ht="14.4" x14ac:dyDescent="0.3">
      <c r="A8288" s="1192" t="s">
        <v>238</v>
      </c>
      <c r="E8288" s="1743" t="s">
        <v>4500</v>
      </c>
      <c r="F8288" s="1743"/>
      <c r="G8288" s="1743"/>
      <c r="H8288" s="1743"/>
      <c r="V8288" s="1192">
        <v>247</v>
      </c>
    </row>
    <row r="8289" spans="1:22" s="1192" customFormat="1" ht="14.4" x14ac:dyDescent="0.3">
      <c r="A8289" s="1192" t="s">
        <v>238</v>
      </c>
      <c r="E8289" s="1258" t="s">
        <v>2453</v>
      </c>
      <c r="F8289" s="1287"/>
      <c r="G8289" s="724"/>
      <c r="H8289" s="880"/>
      <c r="K8289" s="1192" t="s">
        <v>4286</v>
      </c>
      <c r="V8289" s="1192">
        <v>23</v>
      </c>
    </row>
    <row r="8290" spans="1:22" s="1192" customFormat="1" ht="14.4" x14ac:dyDescent="0.3">
      <c r="A8290" s="1192" t="s">
        <v>238</v>
      </c>
      <c r="E8290" s="1942" t="s">
        <v>2639</v>
      </c>
      <c r="F8290" s="1942"/>
      <c r="G8290" s="1277" t="s">
        <v>19</v>
      </c>
      <c r="H8290" s="1218">
        <v>15</v>
      </c>
      <c r="V8290" s="1192">
        <v>19</v>
      </c>
    </row>
    <row r="8291" spans="1:22" s="1192" customFormat="1" ht="14.4" x14ac:dyDescent="0.3">
      <c r="A8291" s="1192" t="s">
        <v>238</v>
      </c>
      <c r="E8291" s="1942" t="s">
        <v>2456</v>
      </c>
      <c r="F8291" s="1942"/>
      <c r="G8291" s="1277" t="s">
        <v>19</v>
      </c>
      <c r="H8291" s="1218">
        <v>15</v>
      </c>
      <c r="V8291" s="1192">
        <v>20</v>
      </c>
    </row>
    <row r="8292" spans="1:22" s="1192" customFormat="1" ht="14.4" x14ac:dyDescent="0.3">
      <c r="A8292" s="1192" t="s">
        <v>238</v>
      </c>
      <c r="E8292" s="1942" t="s">
        <v>2459</v>
      </c>
      <c r="F8292" s="1942"/>
      <c r="G8292" s="1277" t="s">
        <v>19</v>
      </c>
      <c r="H8292" s="1218">
        <v>15</v>
      </c>
      <c r="V8292" s="1192">
        <v>37</v>
      </c>
    </row>
    <row r="8293" spans="1:22" s="1192" customFormat="1" ht="14.4" x14ac:dyDescent="0.3">
      <c r="A8293" s="1192" t="s">
        <v>238</v>
      </c>
      <c r="E8293" s="1942" t="s">
        <v>3663</v>
      </c>
      <c r="F8293" s="1942"/>
      <c r="G8293" s="1277" t="s">
        <v>19</v>
      </c>
      <c r="H8293" s="1218">
        <v>15</v>
      </c>
      <c r="V8293" s="1192">
        <v>15</v>
      </c>
    </row>
    <row r="8294" spans="1:22" s="1192" customFormat="1" ht="14.4" x14ac:dyDescent="0.3">
      <c r="A8294" s="1192" t="s">
        <v>238</v>
      </c>
      <c r="E8294" s="1942" t="s">
        <v>2463</v>
      </c>
      <c r="F8294" s="1942"/>
      <c r="G8294" s="1277" t="s">
        <v>19</v>
      </c>
      <c r="H8294" s="1218">
        <v>15</v>
      </c>
      <c r="V8294" s="1192">
        <v>15</v>
      </c>
    </row>
    <row r="8295" spans="1:22" s="1192" customFormat="1" ht="14.4" x14ac:dyDescent="0.3">
      <c r="A8295" s="1192" t="s">
        <v>238</v>
      </c>
      <c r="E8295" s="1942" t="s">
        <v>119</v>
      </c>
      <c r="F8295" s="1942"/>
      <c r="G8295" s="1277" t="s">
        <v>19</v>
      </c>
      <c r="H8295" s="1218">
        <v>15</v>
      </c>
      <c r="V8295" s="1192">
        <v>35</v>
      </c>
    </row>
    <row r="8296" spans="1:22" s="1192" customFormat="1" ht="14.4" x14ac:dyDescent="0.3">
      <c r="A8296" s="1192" t="s">
        <v>238</v>
      </c>
      <c r="E8296" s="1942" t="s">
        <v>2466</v>
      </c>
      <c r="F8296" s="1942"/>
      <c r="G8296" s="1277" t="s">
        <v>19</v>
      </c>
      <c r="H8296" s="1218">
        <v>15</v>
      </c>
      <c r="V8296" s="1192">
        <v>24</v>
      </c>
    </row>
    <row r="8297" spans="1:22" s="1192" customFormat="1" ht="14.4" x14ac:dyDescent="0.3">
      <c r="A8297" s="1192" t="s">
        <v>238</v>
      </c>
      <c r="E8297" s="1942" t="s">
        <v>2467</v>
      </c>
      <c r="F8297" s="1942"/>
      <c r="G8297" s="1277" t="s">
        <v>19</v>
      </c>
      <c r="H8297" s="1218">
        <v>15</v>
      </c>
      <c r="V8297" s="1192">
        <v>19</v>
      </c>
    </row>
    <row r="8298" spans="1:22" s="1192" customFormat="1" ht="14.4" x14ac:dyDescent="0.3">
      <c r="A8298" s="1192" t="s">
        <v>238</v>
      </c>
      <c r="E8298" s="1942" t="s">
        <v>84</v>
      </c>
      <c r="F8298" s="1942"/>
      <c r="G8298" s="1277" t="s">
        <v>19</v>
      </c>
      <c r="H8298" s="1218">
        <v>30</v>
      </c>
      <c r="V8298" s="1192">
        <v>89</v>
      </c>
    </row>
    <row r="8299" spans="1:22" s="1192" customFormat="1" ht="14.4" x14ac:dyDescent="0.3">
      <c r="A8299" s="1192" t="s">
        <v>238</v>
      </c>
      <c r="E8299" s="1942" t="s">
        <v>90</v>
      </c>
      <c r="F8299" s="1942"/>
      <c r="G8299" s="1277" t="s">
        <v>19</v>
      </c>
      <c r="H8299" s="1218">
        <v>30</v>
      </c>
      <c r="V8299" s="1192">
        <v>19</v>
      </c>
    </row>
    <row r="8300" spans="1:22" s="1192" customFormat="1" ht="14.4" x14ac:dyDescent="0.3">
      <c r="A8300" s="1192" t="s">
        <v>238</v>
      </c>
      <c r="E8300" s="1942" t="s">
        <v>88</v>
      </c>
      <c r="F8300" s="1942"/>
      <c r="G8300" s="1277" t="s">
        <v>19</v>
      </c>
      <c r="H8300" s="1218">
        <v>30</v>
      </c>
      <c r="V8300" s="1192">
        <v>74</v>
      </c>
    </row>
    <row r="8301" spans="1:22" s="1192" customFormat="1" ht="14.4" x14ac:dyDescent="0.3">
      <c r="A8301" s="1192" t="s">
        <v>238</v>
      </c>
      <c r="E8301" s="1258" t="s">
        <v>2468</v>
      </c>
      <c r="F8301" s="1287"/>
      <c r="G8301" s="1287"/>
      <c r="H8301" s="879"/>
      <c r="K8301" s="1192" t="s">
        <v>6528</v>
      </c>
      <c r="V8301" s="1192">
        <v>22</v>
      </c>
    </row>
    <row r="8302" spans="1:22" s="1192" customFormat="1" ht="14.4" x14ac:dyDescent="0.3">
      <c r="A8302" s="1192" t="s">
        <v>238</v>
      </c>
      <c r="E8302" s="1745" t="s">
        <v>6205</v>
      </c>
      <c r="F8302" s="1745"/>
      <c r="G8302" s="1277" t="s">
        <v>82</v>
      </c>
      <c r="H8302" s="1218">
        <v>1.5</v>
      </c>
      <c r="V8302" s="1192">
        <v>100</v>
      </c>
    </row>
    <row r="8303" spans="1:22" s="1192" customFormat="1" ht="14.4" x14ac:dyDescent="0.3">
      <c r="A8303" s="1192" t="s">
        <v>238</v>
      </c>
      <c r="E8303" s="1942" t="s">
        <v>3664</v>
      </c>
      <c r="F8303" s="1942"/>
      <c r="G8303" s="1277" t="s">
        <v>82</v>
      </c>
      <c r="H8303" s="1218">
        <v>19.559999999999999</v>
      </c>
      <c r="V8303" s="1192">
        <v>24</v>
      </c>
    </row>
    <row r="8304" spans="1:22" s="1192" customFormat="1" ht="14.4" x14ac:dyDescent="0.3">
      <c r="A8304" s="1192" t="s">
        <v>238</v>
      </c>
      <c r="E8304" s="1942" t="s">
        <v>133</v>
      </c>
      <c r="F8304" s="1942"/>
      <c r="G8304" s="1277" t="s">
        <v>19</v>
      </c>
      <c r="H8304" s="1218">
        <v>30</v>
      </c>
      <c r="V8304" s="1192">
        <v>70</v>
      </c>
    </row>
    <row r="8305" spans="1:22" s="1192" customFormat="1" ht="14.4" x14ac:dyDescent="0.3">
      <c r="A8305" s="1192" t="s">
        <v>238</v>
      </c>
      <c r="E8305" s="1942" t="s">
        <v>6106</v>
      </c>
      <c r="F8305" s="1942"/>
      <c r="G8305" s="1277" t="s">
        <v>19</v>
      </c>
      <c r="H8305" s="1218">
        <v>65</v>
      </c>
      <c r="V8305" s="1192">
        <v>44</v>
      </c>
    </row>
    <row r="8306" spans="1:22" s="1192" customFormat="1" ht="14.4" x14ac:dyDescent="0.3">
      <c r="A8306" s="1192" t="s">
        <v>238</v>
      </c>
      <c r="E8306" s="1942" t="s">
        <v>6107</v>
      </c>
      <c r="F8306" s="1942"/>
      <c r="G8306" s="1277" t="s">
        <v>19</v>
      </c>
      <c r="H8306" s="1218">
        <v>185</v>
      </c>
      <c r="V8306" s="1192">
        <v>43</v>
      </c>
    </row>
    <row r="8307" spans="1:22" s="1192" customFormat="1" ht="14.4" x14ac:dyDescent="0.3">
      <c r="A8307" s="1192" t="s">
        <v>238</v>
      </c>
      <c r="E8307" s="1942" t="s">
        <v>3669</v>
      </c>
      <c r="F8307" s="1942"/>
      <c r="G8307" s="1277" t="s">
        <v>19</v>
      </c>
      <c r="H8307" s="1218">
        <v>65</v>
      </c>
      <c r="V8307" s="1192">
        <v>57</v>
      </c>
    </row>
    <row r="8308" spans="1:22" s="1192" customFormat="1" ht="14.4" x14ac:dyDescent="0.3">
      <c r="A8308" s="1192" t="s">
        <v>238</v>
      </c>
      <c r="E8308" s="1258" t="s">
        <v>2474</v>
      </c>
      <c r="F8308" s="1287"/>
      <c r="G8308" s="1287"/>
      <c r="H8308" s="879"/>
      <c r="V8308" s="1192">
        <v>5</v>
      </c>
    </row>
    <row r="8309" spans="1:22" s="1192" customFormat="1" ht="14.4" x14ac:dyDescent="0.3">
      <c r="A8309" s="1192" t="s">
        <v>238</v>
      </c>
      <c r="E8309" s="1942" t="s">
        <v>3692</v>
      </c>
      <c r="F8309" s="1942"/>
      <c r="G8309" s="1277" t="s">
        <v>19</v>
      </c>
      <c r="H8309" s="1218">
        <v>44.5</v>
      </c>
      <c r="V8309" s="1192">
        <v>487</v>
      </c>
    </row>
    <row r="8310" spans="1:22" s="1192" customFormat="1" ht="14.4" x14ac:dyDescent="0.3">
      <c r="A8310" s="1192" t="s">
        <v>238</v>
      </c>
      <c r="E8310" s="1942" t="s">
        <v>3693</v>
      </c>
      <c r="F8310" s="1942"/>
      <c r="G8310" s="1277" t="s">
        <v>19</v>
      </c>
      <c r="H8310" s="1218">
        <v>10</v>
      </c>
      <c r="V8310" s="1192">
        <v>110</v>
      </c>
    </row>
    <row r="8311" spans="1:22" s="1192" customFormat="1" x14ac:dyDescent="0.3">
      <c r="A8311" s="1192" t="s">
        <v>238</v>
      </c>
      <c r="E8311" s="1746" t="s">
        <v>73</v>
      </c>
      <c r="F8311" s="1999"/>
      <c r="G8311" s="822"/>
      <c r="H8311" s="956"/>
      <c r="K8311" s="1192" t="s">
        <v>4287</v>
      </c>
      <c r="V8311" s="1192">
        <v>38</v>
      </c>
    </row>
    <row r="8312" spans="1:22" s="1192" customFormat="1" ht="14.4" x14ac:dyDescent="0.3">
      <c r="A8312" s="1192" t="s">
        <v>238</v>
      </c>
      <c r="E8312" s="1743" t="s">
        <v>2391</v>
      </c>
      <c r="F8312" s="1743"/>
      <c r="G8312" s="1743"/>
      <c r="H8312" s="1743"/>
      <c r="V8312" s="1192">
        <v>280</v>
      </c>
    </row>
    <row r="8313" spans="1:22" s="1192" customFormat="1" ht="14.4" x14ac:dyDescent="0.3">
      <c r="A8313" s="1192" t="s">
        <v>238</v>
      </c>
      <c r="E8313" s="1743" t="s">
        <v>2392</v>
      </c>
      <c r="F8313" s="1743"/>
      <c r="G8313" s="1743"/>
      <c r="H8313" s="1743"/>
      <c r="V8313" s="1192">
        <v>411</v>
      </c>
    </row>
    <row r="8314" spans="1:22" s="1192" customFormat="1" ht="14.4" x14ac:dyDescent="0.3">
      <c r="A8314" s="1192" t="s">
        <v>238</v>
      </c>
      <c r="E8314" s="1743" t="s">
        <v>2445</v>
      </c>
      <c r="F8314" s="1743"/>
      <c r="G8314" s="1743"/>
      <c r="H8314" s="1743"/>
      <c r="V8314" s="1192">
        <v>211</v>
      </c>
    </row>
    <row r="8315" spans="1:22" s="1192" customFormat="1" ht="14.4" x14ac:dyDescent="0.3">
      <c r="A8315" s="1192" t="s">
        <v>238</v>
      </c>
      <c r="E8315" s="1743" t="s">
        <v>4500</v>
      </c>
      <c r="F8315" s="1743"/>
      <c r="G8315" s="1743"/>
      <c r="H8315" s="1743"/>
      <c r="V8315" s="1192">
        <v>247</v>
      </c>
    </row>
    <row r="8316" spans="1:22" s="1192" customFormat="1" ht="14.4" x14ac:dyDescent="0.3">
      <c r="A8316" s="1192" t="s">
        <v>238</v>
      </c>
      <c r="E8316" s="1743" t="s">
        <v>2595</v>
      </c>
      <c r="F8316" s="1743"/>
      <c r="G8316" s="1743"/>
      <c r="H8316" s="1743"/>
      <c r="V8316" s="1192">
        <v>142</v>
      </c>
    </row>
    <row r="8317" spans="1:22" s="1192" customFormat="1" ht="14.4" x14ac:dyDescent="0.3">
      <c r="A8317" s="1192" t="s">
        <v>238</v>
      </c>
      <c r="E8317" s="1741" t="s">
        <v>2485</v>
      </c>
      <c r="F8317" s="1741"/>
      <c r="G8317" s="360" t="s">
        <v>19</v>
      </c>
      <c r="H8317" s="1218">
        <v>102</v>
      </c>
      <c r="V8317" s="1192">
        <v>106</v>
      </c>
    </row>
    <row r="8318" spans="1:22" s="1192" customFormat="1" ht="14.4" x14ac:dyDescent="0.3">
      <c r="A8318" s="1192" t="s">
        <v>238</v>
      </c>
      <c r="E8318" s="1741" t="s">
        <v>2486</v>
      </c>
      <c r="F8318" s="1741"/>
      <c r="G8318" s="360" t="s">
        <v>19</v>
      </c>
      <c r="H8318" s="1218">
        <v>40.799999999999997</v>
      </c>
      <c r="V8318" s="1192">
        <v>34</v>
      </c>
    </row>
    <row r="8319" spans="1:22" s="1192" customFormat="1" ht="14.4" x14ac:dyDescent="0.3">
      <c r="A8319" s="1192" t="s">
        <v>238</v>
      </c>
      <c r="E8319" s="1741" t="s">
        <v>2487</v>
      </c>
      <c r="F8319" s="1741"/>
      <c r="G8319" s="360" t="s">
        <v>2488</v>
      </c>
      <c r="H8319" s="1218">
        <v>1.02</v>
      </c>
      <c r="V8319" s="1192">
        <v>51</v>
      </c>
    </row>
    <row r="8320" spans="1:22" s="1192" customFormat="1" ht="14.4" x14ac:dyDescent="0.3">
      <c r="A8320" s="1192" t="s">
        <v>238</v>
      </c>
      <c r="E8320" s="1741" t="s">
        <v>2489</v>
      </c>
      <c r="F8320" s="1741"/>
      <c r="G8320" s="360" t="s">
        <v>2488</v>
      </c>
      <c r="H8320" s="1218">
        <v>0.61</v>
      </c>
      <c r="V8320" s="1192">
        <v>75</v>
      </c>
    </row>
    <row r="8321" spans="1:22" s="1192" customFormat="1" ht="14.4" x14ac:dyDescent="0.3">
      <c r="A8321" s="1192" t="s">
        <v>238</v>
      </c>
      <c r="E8321" s="1741" t="s">
        <v>2490</v>
      </c>
      <c r="F8321" s="1741"/>
      <c r="G8321" s="360" t="s">
        <v>2488</v>
      </c>
      <c r="H8321" s="1218">
        <v>-0.61</v>
      </c>
      <c r="V8321" s="1192">
        <v>72</v>
      </c>
    </row>
    <row r="8322" spans="1:22" s="1192" customFormat="1" ht="14.4" x14ac:dyDescent="0.3">
      <c r="A8322" s="1192" t="s">
        <v>238</v>
      </c>
      <c r="E8322" s="1741" t="s">
        <v>2596</v>
      </c>
      <c r="F8322" s="1741"/>
      <c r="G8322" s="360"/>
      <c r="H8322" s="837"/>
      <c r="V8322" s="1192">
        <v>34</v>
      </c>
    </row>
    <row r="8323" spans="1:22" s="1192" customFormat="1" ht="14.4" x14ac:dyDescent="0.3">
      <c r="A8323" s="1192" t="s">
        <v>238</v>
      </c>
      <c r="E8323" s="1941" t="s">
        <v>2492</v>
      </c>
      <c r="F8323" s="1941"/>
      <c r="G8323" s="360" t="s">
        <v>19</v>
      </c>
      <c r="H8323" s="1218">
        <v>0.51</v>
      </c>
      <c r="V8323" s="1192">
        <v>57</v>
      </c>
    </row>
    <row r="8324" spans="1:22" s="1192" customFormat="1" ht="14.4" x14ac:dyDescent="0.3">
      <c r="A8324" s="1192" t="s">
        <v>238</v>
      </c>
      <c r="E8324" s="1941" t="s">
        <v>2493</v>
      </c>
      <c r="F8324" s="1941"/>
      <c r="G8324" s="360" t="s">
        <v>19</v>
      </c>
      <c r="H8324" s="1218">
        <v>1.02</v>
      </c>
      <c r="V8324" s="1192">
        <v>60</v>
      </c>
    </row>
    <row r="8325" spans="1:22" s="1192" customFormat="1" ht="14.4" x14ac:dyDescent="0.3">
      <c r="A8325" s="1192" t="s">
        <v>238</v>
      </c>
      <c r="E8325" s="1741" t="s">
        <v>2905</v>
      </c>
      <c r="F8325" s="1741"/>
      <c r="G8325" s="360"/>
      <c r="H8325" s="837"/>
      <c r="V8325" s="1192">
        <v>266</v>
      </c>
    </row>
    <row r="8326" spans="1:22" s="1192" customFormat="1" ht="14.4" x14ac:dyDescent="0.3">
      <c r="A8326" s="1192" t="s">
        <v>238</v>
      </c>
      <c r="E8326" s="1941" t="s">
        <v>2497</v>
      </c>
      <c r="F8326" s="1941"/>
      <c r="G8326" s="360" t="s">
        <v>19</v>
      </c>
      <c r="H8326" s="837" t="s">
        <v>2498</v>
      </c>
      <c r="V8326" s="1192">
        <v>18</v>
      </c>
    </row>
    <row r="8327" spans="1:22" s="1192" customFormat="1" ht="14.4" x14ac:dyDescent="0.3">
      <c r="A8327" s="1192" t="s">
        <v>238</v>
      </c>
      <c r="E8327" s="1941" t="s">
        <v>2499</v>
      </c>
      <c r="F8327" s="1941"/>
      <c r="G8327" s="360" t="s">
        <v>19</v>
      </c>
      <c r="H8327" s="1218">
        <v>4.08</v>
      </c>
      <c r="V8327" s="1192">
        <v>69</v>
      </c>
    </row>
    <row r="8328" spans="1:22" s="1192" customFormat="1" ht="14.4" x14ac:dyDescent="0.3">
      <c r="A8328" s="1192" t="s">
        <v>238</v>
      </c>
      <c r="E8328" s="1741" t="s">
        <v>4608</v>
      </c>
      <c r="F8328" s="1741"/>
      <c r="G8328" s="360" t="s">
        <v>19</v>
      </c>
      <c r="H8328" s="1218">
        <v>2.04</v>
      </c>
      <c r="V8328" s="1192">
        <v>199</v>
      </c>
    </row>
    <row r="8329" spans="1:22" s="1192" customFormat="1" x14ac:dyDescent="0.3">
      <c r="A8329" s="1192" t="s">
        <v>238</v>
      </c>
      <c r="E8329" s="1260" t="s">
        <v>143</v>
      </c>
      <c r="F8329" s="823"/>
      <c r="G8329" s="822"/>
      <c r="H8329" s="956"/>
      <c r="K8329" s="1192" t="s">
        <v>4288</v>
      </c>
      <c r="V8329" s="1192">
        <v>12</v>
      </c>
    </row>
    <row r="8330" spans="1:22" s="1192" customFormat="1" ht="14.4" x14ac:dyDescent="0.3">
      <c r="A8330" s="1192" t="s">
        <v>238</v>
      </c>
      <c r="E8330" s="1741" t="s">
        <v>2501</v>
      </c>
      <c r="F8330" s="1741"/>
      <c r="G8330" s="1741"/>
      <c r="H8330" s="1741"/>
      <c r="V8330" s="1192">
        <v>203</v>
      </c>
    </row>
    <row r="8331" spans="1:22" s="1192" customFormat="1" ht="14.4" x14ac:dyDescent="0.3">
      <c r="A8331" s="1192" t="s">
        <v>238</v>
      </c>
      <c r="E8331" s="1741" t="s">
        <v>2599</v>
      </c>
      <c r="F8331" s="1741"/>
      <c r="G8331" s="1277"/>
      <c r="H8331" s="837">
        <v>1.0476000000000001</v>
      </c>
      <c r="V8331" s="1192">
        <v>57</v>
      </c>
    </row>
    <row r="8332" spans="1:22" s="1192" customFormat="1" ht="14.4" x14ac:dyDescent="0.3">
      <c r="A8332" s="1192" t="s">
        <v>238</v>
      </c>
      <c r="E8332" s="1741" t="s">
        <v>2601</v>
      </c>
      <c r="F8332" s="1741"/>
      <c r="G8332" s="1277"/>
      <c r="H8332" s="837">
        <v>1.0370999999999999</v>
      </c>
      <c r="J8332" s="1192" t="s">
        <v>3599</v>
      </c>
      <c r="V8332" s="1192">
        <v>55</v>
      </c>
    </row>
    <row r="8333" spans="1:22" s="1192" customFormat="1" ht="22.8" x14ac:dyDescent="0.3">
      <c r="A8333" s="1192" t="s">
        <v>185</v>
      </c>
      <c r="C8333" s="1192" t="s">
        <v>2378</v>
      </c>
      <c r="E8333" s="1752" t="s">
        <v>185</v>
      </c>
      <c r="F8333" s="2039"/>
      <c r="G8333" s="2039"/>
      <c r="H8333" s="2039"/>
      <c r="I8333" s="1192" t="s">
        <v>603</v>
      </c>
      <c r="J8333" s="1192" t="s">
        <v>3263</v>
      </c>
      <c r="K8333" s="1192" t="s">
        <v>185</v>
      </c>
      <c r="M8333" s="1192">
        <v>8</v>
      </c>
      <c r="V8333" s="1192">
        <v>36</v>
      </c>
    </row>
    <row r="8334" spans="1:22" s="1192" customFormat="1" ht="17.399999999999999" x14ac:dyDescent="0.3">
      <c r="A8334" s="1192" t="s">
        <v>185</v>
      </c>
      <c r="C8334" s="1192" t="s">
        <v>2380</v>
      </c>
      <c r="E8334" s="1753" t="s">
        <v>2381</v>
      </c>
      <c r="F8334" s="2040"/>
      <c r="G8334" s="2040"/>
      <c r="H8334" s="2040"/>
      <c r="V8334" s="1192">
        <v>27</v>
      </c>
    </row>
    <row r="8335" spans="1:22" s="1192" customFormat="1" ht="15.6" x14ac:dyDescent="0.3">
      <c r="A8335" s="1192" t="s">
        <v>185</v>
      </c>
      <c r="C8335" s="1192" t="s">
        <v>2382</v>
      </c>
      <c r="E8335" s="1754" t="s">
        <v>6482</v>
      </c>
      <c r="F8335" s="2020"/>
      <c r="G8335" s="2020"/>
      <c r="H8335" s="2020"/>
      <c r="S8335" s="1192">
        <v>43952</v>
      </c>
      <c r="V8335" s="1192">
        <v>45</v>
      </c>
    </row>
    <row r="8336" spans="1:22" s="1192" customFormat="1" ht="14.4" x14ac:dyDescent="0.3">
      <c r="A8336" s="1192" t="s">
        <v>185</v>
      </c>
      <c r="C8336" s="1192" t="s">
        <v>2383</v>
      </c>
      <c r="E8336" s="1755" t="s">
        <v>2384</v>
      </c>
      <c r="F8336" s="2021"/>
      <c r="G8336" s="2021"/>
      <c r="H8336" s="2021"/>
      <c r="V8336" s="1192">
        <v>52</v>
      </c>
    </row>
    <row r="8337" spans="1:22" s="1192" customFormat="1" ht="14.4" x14ac:dyDescent="0.3">
      <c r="A8337" s="1192" t="s">
        <v>185</v>
      </c>
      <c r="E8337" s="1755" t="s">
        <v>2385</v>
      </c>
      <c r="F8337" s="2021"/>
      <c r="G8337" s="2021"/>
      <c r="H8337" s="2021"/>
      <c r="V8337" s="1192">
        <v>53</v>
      </c>
    </row>
    <row r="8338" spans="1:22" s="1192" customFormat="1" ht="14.4" x14ac:dyDescent="0.3">
      <c r="A8338" s="1192" t="s">
        <v>185</v>
      </c>
      <c r="E8338" s="1772" t="s">
        <v>6529</v>
      </c>
      <c r="F8338" s="2022"/>
      <c r="G8338" s="2022"/>
      <c r="H8338" s="2022"/>
      <c r="K8338" s="1192" t="s">
        <v>6529</v>
      </c>
      <c r="V8338" s="1192">
        <v>12</v>
      </c>
    </row>
    <row r="8339" spans="1:22" s="1192" customFormat="1" ht="14.4" x14ac:dyDescent="0.3">
      <c r="A8339" s="1192" t="s">
        <v>185</v>
      </c>
      <c r="E8339" s="1746" t="s">
        <v>427</v>
      </c>
      <c r="F8339" s="1743"/>
      <c r="G8339" s="1743"/>
      <c r="H8339" s="1743"/>
      <c r="K8339" s="1192" t="s">
        <v>2506</v>
      </c>
      <c r="V8339" s="1192">
        <v>34</v>
      </c>
    </row>
    <row r="8340" spans="1:22" s="1192" customFormat="1" ht="14.4" x14ac:dyDescent="0.3">
      <c r="A8340" s="1192" t="s">
        <v>185</v>
      </c>
      <c r="E8340" s="1743" t="s">
        <v>2821</v>
      </c>
      <c r="F8340" s="1743"/>
      <c r="G8340" s="1743"/>
      <c r="H8340" s="1743"/>
      <c r="K8340" s="1192" t="s">
        <v>2506</v>
      </c>
      <c r="V8340" s="1192">
        <v>648</v>
      </c>
    </row>
    <row r="8341" spans="1:22" s="1192" customFormat="1" ht="14.4" x14ac:dyDescent="0.3">
      <c r="A8341" s="1192" t="s">
        <v>185</v>
      </c>
      <c r="E8341" s="1750" t="s">
        <v>2389</v>
      </c>
      <c r="F8341" s="1743"/>
      <c r="G8341" s="1743"/>
      <c r="H8341" s="1743"/>
      <c r="K8341" s="1192" t="s">
        <v>2390</v>
      </c>
      <c r="V8341" s="1192">
        <v>11</v>
      </c>
    </row>
    <row r="8342" spans="1:22" s="1192" customFormat="1" ht="14.4" x14ac:dyDescent="0.3">
      <c r="A8342" s="1192" t="s">
        <v>185</v>
      </c>
      <c r="E8342" s="1743" t="s">
        <v>2391</v>
      </c>
      <c r="F8342" s="1743"/>
      <c r="G8342" s="1743"/>
      <c r="H8342" s="1743"/>
      <c r="K8342" s="1192" t="s">
        <v>2506</v>
      </c>
      <c r="V8342" s="1192">
        <v>280</v>
      </c>
    </row>
    <row r="8343" spans="1:22" s="1192" customFormat="1" ht="14.4" x14ac:dyDescent="0.3">
      <c r="A8343" s="1192" t="s">
        <v>185</v>
      </c>
      <c r="E8343" s="1743" t="s">
        <v>2392</v>
      </c>
      <c r="F8343" s="1743"/>
      <c r="G8343" s="1743"/>
      <c r="H8343" s="1743"/>
      <c r="K8343" s="1192" t="s">
        <v>2506</v>
      </c>
      <c r="V8343" s="1192">
        <v>411</v>
      </c>
    </row>
    <row r="8344" spans="1:22" s="1192" customFormat="1" ht="14.4" x14ac:dyDescent="0.3">
      <c r="A8344" s="1192" t="s">
        <v>185</v>
      </c>
      <c r="E8344" s="1743" t="s">
        <v>2508</v>
      </c>
      <c r="F8344" s="1743"/>
      <c r="G8344" s="1743"/>
      <c r="H8344" s="1743"/>
      <c r="K8344" s="1192" t="s">
        <v>2506</v>
      </c>
      <c r="V8344" s="1192">
        <v>386</v>
      </c>
    </row>
    <row r="8345" spans="1:22" s="1192" customFormat="1" ht="14.4" x14ac:dyDescent="0.3">
      <c r="A8345" s="1192" t="s">
        <v>185</v>
      </c>
      <c r="E8345" s="1743" t="s">
        <v>2986</v>
      </c>
      <c r="F8345" s="1743"/>
      <c r="G8345" s="1743"/>
      <c r="H8345" s="1743"/>
      <c r="K8345" s="1192" t="s">
        <v>2506</v>
      </c>
      <c r="V8345" s="1192">
        <v>246</v>
      </c>
    </row>
    <row r="8346" spans="1:22" s="1192" customFormat="1" ht="14.4" x14ac:dyDescent="0.3">
      <c r="A8346" s="1192" t="s">
        <v>185</v>
      </c>
      <c r="E8346" s="1750" t="s">
        <v>2394</v>
      </c>
      <c r="F8346" s="1743"/>
      <c r="G8346" s="1743"/>
      <c r="H8346" s="1743"/>
      <c r="K8346" s="1192" t="s">
        <v>2395</v>
      </c>
      <c r="V8346" s="1192">
        <v>46</v>
      </c>
    </row>
    <row r="8347" spans="1:22" s="1192" customFormat="1" ht="14.4" x14ac:dyDescent="0.3">
      <c r="A8347" s="1192" t="s">
        <v>185</v>
      </c>
      <c r="E8347" s="1741" t="s">
        <v>7</v>
      </c>
      <c r="F8347" s="1741"/>
      <c r="G8347" s="1277" t="s">
        <v>19</v>
      </c>
      <c r="H8347" s="1218">
        <v>29.19</v>
      </c>
      <c r="K8347" s="1192" t="s">
        <v>2506</v>
      </c>
      <c r="L8347" s="1192" t="s">
        <v>430</v>
      </c>
      <c r="P8347" s="1192" t="s">
        <v>2510</v>
      </c>
      <c r="V8347" s="1192">
        <v>14</v>
      </c>
    </row>
    <row r="8348" spans="1:22" s="1192" customFormat="1" ht="14.4" x14ac:dyDescent="0.3">
      <c r="A8348" s="1192" t="s">
        <v>185</v>
      </c>
      <c r="E8348" s="1741" t="s">
        <v>3900</v>
      </c>
      <c r="F8348" s="1741"/>
      <c r="G8348" s="1277" t="s">
        <v>19</v>
      </c>
      <c r="H8348" s="1218">
        <v>0.56999999999999995</v>
      </c>
      <c r="K8348" s="1192" t="s">
        <v>2506</v>
      </c>
      <c r="L8348" s="1192" t="s">
        <v>431</v>
      </c>
      <c r="P8348" s="1192" t="s">
        <v>2511</v>
      </c>
      <c r="T8348" s="1192">
        <v>44926</v>
      </c>
      <c r="V8348" s="1192">
        <v>64</v>
      </c>
    </row>
    <row r="8349" spans="1:22" s="1192" customFormat="1" ht="14.4" x14ac:dyDescent="0.3">
      <c r="A8349" s="1192" t="s">
        <v>185</v>
      </c>
      <c r="E8349" s="1741" t="s">
        <v>14</v>
      </c>
      <c r="F8349" s="1741"/>
      <c r="G8349" s="1277" t="s">
        <v>20</v>
      </c>
      <c r="H8349" s="1219">
        <v>1E-4</v>
      </c>
      <c r="K8349" s="1192" t="s">
        <v>2506</v>
      </c>
      <c r="L8349" s="1192" t="s">
        <v>431</v>
      </c>
      <c r="P8349" s="1192" t="s">
        <v>2513</v>
      </c>
      <c r="V8349" s="1192">
        <v>24</v>
      </c>
    </row>
    <row r="8350" spans="1:22" s="1192" customFormat="1" ht="14.4" x14ac:dyDescent="0.3">
      <c r="A8350" s="1192" t="s">
        <v>185</v>
      </c>
      <c r="E8350" s="1741" t="s">
        <v>6530</v>
      </c>
      <c r="F8350" s="1998"/>
      <c r="G8350" s="1277" t="s">
        <v>20</v>
      </c>
      <c r="H8350" s="1219">
        <v>8.0000000000000004E-4</v>
      </c>
      <c r="K8350" s="1192" t="s">
        <v>2506</v>
      </c>
      <c r="L8350" s="1192" t="s">
        <v>430</v>
      </c>
      <c r="P8350" s="1192" t="s">
        <v>2515</v>
      </c>
      <c r="T8350" s="1192">
        <v>44316</v>
      </c>
      <c r="V8350" s="1192">
        <v>136</v>
      </c>
    </row>
    <row r="8351" spans="1:22" s="1192" customFormat="1" ht="14.4" x14ac:dyDescent="0.3">
      <c r="A8351" s="1192" t="s">
        <v>185</v>
      </c>
      <c r="E8351" s="1741" t="s">
        <v>213</v>
      </c>
      <c r="F8351" s="1741"/>
      <c r="G8351" s="1277" t="s">
        <v>20</v>
      </c>
      <c r="H8351" s="1219">
        <v>7.3000000000000001E-3</v>
      </c>
      <c r="K8351" s="1192" t="s">
        <v>2506</v>
      </c>
      <c r="L8351" s="1192" t="s">
        <v>432</v>
      </c>
      <c r="P8351" s="1192" t="s">
        <v>2517</v>
      </c>
      <c r="V8351" s="1192">
        <v>47</v>
      </c>
    </row>
    <row r="8352" spans="1:22" s="1192" customFormat="1" ht="14.4" x14ac:dyDescent="0.3">
      <c r="A8352" s="1192" t="s">
        <v>185</v>
      </c>
      <c r="E8352" s="1741" t="s">
        <v>209</v>
      </c>
      <c r="F8352" s="1741"/>
      <c r="G8352" s="1277" t="s">
        <v>20</v>
      </c>
      <c r="H8352" s="1219">
        <v>6.8999999999999999E-3</v>
      </c>
      <c r="K8352" s="1192" t="s">
        <v>2506</v>
      </c>
      <c r="L8352" s="1192" t="s">
        <v>432</v>
      </c>
      <c r="P8352" s="1192" t="s">
        <v>2518</v>
      </c>
      <c r="V8352" s="1192">
        <v>74</v>
      </c>
    </row>
    <row r="8353" spans="1:22" s="1192" customFormat="1" ht="14.4" x14ac:dyDescent="0.3">
      <c r="A8353" s="1192" t="s">
        <v>185</v>
      </c>
      <c r="E8353" s="1750" t="s">
        <v>2405</v>
      </c>
      <c r="F8353" s="1741"/>
      <c r="G8353" s="1741"/>
      <c r="H8353" s="1741"/>
      <c r="K8353" s="1192" t="s">
        <v>2406</v>
      </c>
      <c r="V8353" s="1192">
        <v>48</v>
      </c>
    </row>
    <row r="8354" spans="1:22" s="1192" customFormat="1" ht="14.4" x14ac:dyDescent="0.3">
      <c r="A8354" s="1192" t="s">
        <v>185</v>
      </c>
      <c r="E8354" s="1741" t="s">
        <v>2033</v>
      </c>
      <c r="F8354" s="1741"/>
      <c r="G8354" s="1277" t="s">
        <v>20</v>
      </c>
      <c r="H8354" s="1219">
        <v>3.0000000000000001E-3</v>
      </c>
      <c r="K8354" s="1192" t="s">
        <v>2506</v>
      </c>
      <c r="L8354" s="1192" t="s">
        <v>2374</v>
      </c>
      <c r="P8354" s="1192" t="s">
        <v>2519</v>
      </c>
      <c r="V8354" s="1192">
        <v>55</v>
      </c>
    </row>
    <row r="8355" spans="1:22" s="1192" customFormat="1" ht="14.4" x14ac:dyDescent="0.3">
      <c r="A8355" s="1192" t="s">
        <v>185</v>
      </c>
      <c r="E8355" s="1741" t="s">
        <v>2034</v>
      </c>
      <c r="F8355" s="1741"/>
      <c r="G8355" s="1277" t="s">
        <v>20</v>
      </c>
      <c r="H8355" s="1219">
        <v>4.0000000000000002E-4</v>
      </c>
      <c r="K8355" s="1192" t="s">
        <v>2506</v>
      </c>
      <c r="L8355" s="1192" t="s">
        <v>2374</v>
      </c>
      <c r="P8355" s="1192" t="s">
        <v>2519</v>
      </c>
      <c r="V8355" s="1192">
        <v>65</v>
      </c>
    </row>
    <row r="8356" spans="1:22" s="1192" customFormat="1" ht="14.4" x14ac:dyDescent="0.3">
      <c r="A8356" s="1192" t="s">
        <v>185</v>
      </c>
      <c r="E8356" s="1741" t="s">
        <v>428</v>
      </c>
      <c r="F8356" s="1741"/>
      <c r="G8356" s="1277" t="s">
        <v>20</v>
      </c>
      <c r="H8356" s="1219">
        <v>5.0000000000000001E-4</v>
      </c>
      <c r="K8356" s="1192" t="s">
        <v>2506</v>
      </c>
      <c r="L8356" s="1192" t="s">
        <v>2374</v>
      </c>
      <c r="P8356" s="1192" t="s">
        <v>2520</v>
      </c>
      <c r="V8356" s="1192">
        <v>57</v>
      </c>
    </row>
    <row r="8357" spans="1:22" s="1192" customFormat="1" ht="14.4" x14ac:dyDescent="0.3">
      <c r="A8357" s="1192" t="s">
        <v>185</v>
      </c>
      <c r="E8357" s="1741" t="s">
        <v>28</v>
      </c>
      <c r="F8357" s="1741"/>
      <c r="G8357" s="1277" t="s">
        <v>19</v>
      </c>
      <c r="H8357" s="1218">
        <v>0.25</v>
      </c>
      <c r="K8357" s="1192" t="s">
        <v>2506</v>
      </c>
      <c r="L8357" s="1192" t="s">
        <v>2374</v>
      </c>
      <c r="P8357" s="1192" t="s">
        <v>2521</v>
      </c>
      <c r="V8357" s="1192">
        <v>63</v>
      </c>
    </row>
    <row r="8358" spans="1:22" s="1192" customFormat="1" ht="17.399999999999999" x14ac:dyDescent="0.3">
      <c r="A8358" s="1192" t="s">
        <v>185</v>
      </c>
      <c r="E8358" s="1746" t="s">
        <v>2522</v>
      </c>
      <c r="F8358" s="1747"/>
      <c r="G8358" s="1747"/>
      <c r="H8358" s="1747"/>
      <c r="K8358" s="1192" t="s">
        <v>3901</v>
      </c>
      <c r="V8358" s="1192">
        <v>54</v>
      </c>
    </row>
    <row r="8359" spans="1:22" s="1192" customFormat="1" ht="14.4" x14ac:dyDescent="0.3">
      <c r="A8359" s="1192" t="s">
        <v>185</v>
      </c>
      <c r="E8359" s="1743" t="s">
        <v>3264</v>
      </c>
      <c r="F8359" s="1743"/>
      <c r="G8359" s="1743"/>
      <c r="H8359" s="1743"/>
      <c r="K8359" s="1192" t="s">
        <v>3901</v>
      </c>
      <c r="V8359" s="1192">
        <v>329</v>
      </c>
    </row>
    <row r="8360" spans="1:22" s="1192" customFormat="1" ht="14.4" x14ac:dyDescent="0.3">
      <c r="A8360" s="1192" t="s">
        <v>185</v>
      </c>
      <c r="E8360" s="1750" t="s">
        <v>2389</v>
      </c>
      <c r="F8360" s="1743"/>
      <c r="G8360" s="1743"/>
      <c r="H8360" s="1743"/>
      <c r="K8360" s="1192" t="s">
        <v>2412</v>
      </c>
      <c r="V8360" s="1192">
        <v>11</v>
      </c>
    </row>
    <row r="8361" spans="1:22" s="1192" customFormat="1" ht="14.4" x14ac:dyDescent="0.3">
      <c r="A8361" s="1192" t="s">
        <v>185</v>
      </c>
      <c r="E8361" s="1743" t="s">
        <v>2391</v>
      </c>
      <c r="F8361" s="1743"/>
      <c r="G8361" s="1743"/>
      <c r="H8361" s="1743"/>
      <c r="K8361" s="1192" t="s">
        <v>3901</v>
      </c>
      <c r="V8361" s="1192">
        <v>280</v>
      </c>
    </row>
    <row r="8362" spans="1:22" s="1192" customFormat="1" ht="14.4" x14ac:dyDescent="0.3">
      <c r="A8362" s="1192" t="s">
        <v>185</v>
      </c>
      <c r="E8362" s="1743" t="s">
        <v>2392</v>
      </c>
      <c r="F8362" s="1743"/>
      <c r="G8362" s="1743"/>
      <c r="H8362" s="1743"/>
      <c r="K8362" s="1192" t="s">
        <v>3901</v>
      </c>
      <c r="V8362" s="1192">
        <v>411</v>
      </c>
    </row>
    <row r="8363" spans="1:22" s="1192" customFormat="1" ht="14.4" x14ac:dyDescent="0.3">
      <c r="A8363" s="1192" t="s">
        <v>185</v>
      </c>
      <c r="E8363" s="1743" t="s">
        <v>2508</v>
      </c>
      <c r="F8363" s="1743"/>
      <c r="G8363" s="1743"/>
      <c r="H8363" s="1743"/>
      <c r="K8363" s="1192" t="s">
        <v>3901</v>
      </c>
      <c r="V8363" s="1192">
        <v>386</v>
      </c>
    </row>
    <row r="8364" spans="1:22" s="1192" customFormat="1" ht="14.4" x14ac:dyDescent="0.3">
      <c r="A8364" s="1192" t="s">
        <v>185</v>
      </c>
      <c r="E8364" s="1743" t="s">
        <v>2986</v>
      </c>
      <c r="F8364" s="1743"/>
      <c r="G8364" s="1743"/>
      <c r="H8364" s="1743"/>
      <c r="K8364" s="1192" t="s">
        <v>3901</v>
      </c>
      <c r="V8364" s="1192">
        <v>246</v>
      </c>
    </row>
    <row r="8365" spans="1:22" s="1192" customFormat="1" ht="14.4" x14ac:dyDescent="0.3">
      <c r="A8365" s="1192" t="s">
        <v>185</v>
      </c>
      <c r="E8365" s="1750" t="s">
        <v>2394</v>
      </c>
      <c r="F8365" s="1743"/>
      <c r="G8365" s="1743"/>
      <c r="H8365" s="1743"/>
      <c r="K8365" s="1192" t="s">
        <v>2413</v>
      </c>
      <c r="V8365" s="1192">
        <v>46</v>
      </c>
    </row>
    <row r="8366" spans="1:22" s="1192" customFormat="1" ht="14.4" x14ac:dyDescent="0.3">
      <c r="A8366" s="1192" t="s">
        <v>185</v>
      </c>
      <c r="E8366" s="1741" t="s">
        <v>7</v>
      </c>
      <c r="F8366" s="1741"/>
      <c r="G8366" s="1277" t="s">
        <v>19</v>
      </c>
      <c r="H8366" s="1218">
        <v>25</v>
      </c>
      <c r="K8366" s="1192" t="s">
        <v>3901</v>
      </c>
      <c r="L8366" s="1192" t="s">
        <v>430</v>
      </c>
      <c r="P8366" s="1192" t="s">
        <v>3902</v>
      </c>
      <c r="V8366" s="1192">
        <v>14</v>
      </c>
    </row>
    <row r="8367" spans="1:22" s="1192" customFormat="1" ht="14.4" x14ac:dyDescent="0.3">
      <c r="A8367" s="1192" t="s">
        <v>185</v>
      </c>
      <c r="E8367" s="1741" t="s">
        <v>3900</v>
      </c>
      <c r="F8367" s="1741"/>
      <c r="G8367" s="1277" t="s">
        <v>19</v>
      </c>
      <c r="H8367" s="1218">
        <v>0.56999999999999995</v>
      </c>
      <c r="K8367" s="1192" t="s">
        <v>3901</v>
      </c>
      <c r="L8367" s="1192" t="s">
        <v>431</v>
      </c>
      <c r="P8367" s="1192" t="s">
        <v>3903</v>
      </c>
      <c r="T8367" s="1192">
        <v>44926</v>
      </c>
      <c r="V8367" s="1192">
        <v>64</v>
      </c>
    </row>
    <row r="8368" spans="1:22" s="1192" customFormat="1" ht="14.4" x14ac:dyDescent="0.3">
      <c r="A8368" s="1192" t="s">
        <v>185</v>
      </c>
      <c r="E8368" s="1741" t="s">
        <v>80</v>
      </c>
      <c r="F8368" s="1741"/>
      <c r="G8368" s="1277" t="s">
        <v>20</v>
      </c>
      <c r="H8368" s="1219">
        <v>1.9199999999999998E-2</v>
      </c>
      <c r="K8368" s="1192" t="s">
        <v>3901</v>
      </c>
      <c r="L8368" s="1192" t="s">
        <v>430</v>
      </c>
      <c r="P8368" s="1192" t="s">
        <v>3904</v>
      </c>
      <c r="V8368" s="1192">
        <v>28</v>
      </c>
    </row>
    <row r="8369" spans="1:22" s="1192" customFormat="1" ht="14.4" x14ac:dyDescent="0.3">
      <c r="A8369" s="1192" t="s">
        <v>185</v>
      </c>
      <c r="E8369" s="1741" t="s">
        <v>14</v>
      </c>
      <c r="F8369" s="1741"/>
      <c r="G8369" s="1277" t="s">
        <v>20</v>
      </c>
      <c r="H8369" s="1219">
        <v>1E-4</v>
      </c>
      <c r="K8369" s="1192" t="s">
        <v>3901</v>
      </c>
      <c r="L8369" s="1192" t="s">
        <v>431</v>
      </c>
      <c r="P8369" s="1192" t="s">
        <v>3905</v>
      </c>
      <c r="V8369" s="1192">
        <v>24</v>
      </c>
    </row>
    <row r="8370" spans="1:22" s="1192" customFormat="1" ht="14.4" x14ac:dyDescent="0.3">
      <c r="A8370" s="1192" t="s">
        <v>185</v>
      </c>
      <c r="E8370" s="1741" t="s">
        <v>6531</v>
      </c>
      <c r="F8370" s="1998"/>
      <c r="G8370" s="1277" t="s">
        <v>20</v>
      </c>
      <c r="H8370" s="1219">
        <v>6.9999999999999999E-4</v>
      </c>
      <c r="K8370" s="1192" t="s">
        <v>3901</v>
      </c>
      <c r="L8370" s="1192" t="s">
        <v>430</v>
      </c>
      <c r="P8370" s="1192" t="s">
        <v>4000</v>
      </c>
      <c r="T8370" s="1192">
        <v>44316</v>
      </c>
      <c r="V8370" s="1192">
        <v>135</v>
      </c>
    </row>
    <row r="8371" spans="1:22" s="1192" customFormat="1" ht="14.4" x14ac:dyDescent="0.3">
      <c r="A8371" s="1192" t="s">
        <v>185</v>
      </c>
      <c r="E8371" s="1741" t="s">
        <v>213</v>
      </c>
      <c r="F8371" s="1741"/>
      <c r="G8371" s="1277" t="s">
        <v>20</v>
      </c>
      <c r="H8371" s="1219">
        <v>7.0000000000000001E-3</v>
      </c>
      <c r="K8371" s="1192" t="s">
        <v>3901</v>
      </c>
      <c r="L8371" s="1192" t="s">
        <v>432</v>
      </c>
      <c r="P8371" s="1192" t="s">
        <v>3906</v>
      </c>
      <c r="V8371" s="1192">
        <v>47</v>
      </c>
    </row>
    <row r="8372" spans="1:22" s="1192" customFormat="1" ht="14.4" x14ac:dyDescent="0.3">
      <c r="A8372" s="1192" t="s">
        <v>185</v>
      </c>
      <c r="E8372" s="1741" t="s">
        <v>209</v>
      </c>
      <c r="F8372" s="1741"/>
      <c r="G8372" s="1277" t="s">
        <v>20</v>
      </c>
      <c r="H8372" s="1219">
        <v>6.1000000000000004E-3</v>
      </c>
      <c r="K8372" s="1192" t="s">
        <v>3901</v>
      </c>
      <c r="L8372" s="1192" t="s">
        <v>432</v>
      </c>
      <c r="P8372" s="1192" t="s">
        <v>3907</v>
      </c>
      <c r="V8372" s="1192">
        <v>74</v>
      </c>
    </row>
    <row r="8373" spans="1:22" s="1192" customFormat="1" ht="14.4" x14ac:dyDescent="0.3">
      <c r="A8373" s="1192" t="s">
        <v>185</v>
      </c>
      <c r="E8373" s="1750" t="s">
        <v>2405</v>
      </c>
      <c r="F8373" s="1741"/>
      <c r="G8373" s="1741"/>
      <c r="H8373" s="1741"/>
      <c r="K8373" s="1192" t="s">
        <v>2418</v>
      </c>
      <c r="V8373" s="1192">
        <v>48</v>
      </c>
    </row>
    <row r="8374" spans="1:22" s="1192" customFormat="1" ht="14.4" x14ac:dyDescent="0.3">
      <c r="A8374" s="1192" t="s">
        <v>185</v>
      </c>
      <c r="E8374" s="1741" t="s">
        <v>2033</v>
      </c>
      <c r="F8374" s="1741"/>
      <c r="G8374" s="1277" t="s">
        <v>20</v>
      </c>
      <c r="H8374" s="1219">
        <v>3.0000000000000001E-3</v>
      </c>
      <c r="K8374" s="1192" t="s">
        <v>3901</v>
      </c>
      <c r="L8374" s="1192" t="s">
        <v>2374</v>
      </c>
      <c r="P8374" s="1192" t="s">
        <v>3908</v>
      </c>
      <c r="V8374" s="1192">
        <v>55</v>
      </c>
    </row>
    <row r="8375" spans="1:22" s="1192" customFormat="1" ht="14.4" x14ac:dyDescent="0.3">
      <c r="A8375" s="1192" t="s">
        <v>185</v>
      </c>
      <c r="E8375" s="1741" t="s">
        <v>2034</v>
      </c>
      <c r="F8375" s="1741"/>
      <c r="G8375" s="1277" t="s">
        <v>20</v>
      </c>
      <c r="H8375" s="1219">
        <v>4.0000000000000002E-4</v>
      </c>
      <c r="K8375" s="1192" t="s">
        <v>3901</v>
      </c>
      <c r="L8375" s="1192" t="s">
        <v>2374</v>
      </c>
      <c r="P8375" s="1192" t="s">
        <v>3908</v>
      </c>
      <c r="V8375" s="1192">
        <v>65</v>
      </c>
    </row>
    <row r="8376" spans="1:22" s="1192" customFormat="1" ht="14.4" x14ac:dyDescent="0.3">
      <c r="A8376" s="1192" t="s">
        <v>185</v>
      </c>
      <c r="E8376" s="1741" t="s">
        <v>428</v>
      </c>
      <c r="F8376" s="1741"/>
      <c r="G8376" s="1277" t="s">
        <v>20</v>
      </c>
      <c r="H8376" s="1219">
        <v>5.0000000000000001E-4</v>
      </c>
      <c r="K8376" s="1192" t="s">
        <v>3901</v>
      </c>
      <c r="L8376" s="1192" t="s">
        <v>2374</v>
      </c>
      <c r="P8376" s="1192" t="s">
        <v>3909</v>
      </c>
      <c r="V8376" s="1192">
        <v>57</v>
      </c>
    </row>
    <row r="8377" spans="1:22" s="1192" customFormat="1" ht="14.4" x14ac:dyDescent="0.3">
      <c r="A8377" s="1192" t="s">
        <v>185</v>
      </c>
      <c r="E8377" s="1741" t="s">
        <v>28</v>
      </c>
      <c r="F8377" s="1741"/>
      <c r="G8377" s="1277" t="s">
        <v>19</v>
      </c>
      <c r="H8377" s="1218">
        <v>0.25</v>
      </c>
      <c r="K8377" s="1192" t="s">
        <v>3901</v>
      </c>
      <c r="L8377" s="1192" t="s">
        <v>2374</v>
      </c>
      <c r="P8377" s="1192" t="s">
        <v>3910</v>
      </c>
      <c r="V8377" s="1192">
        <v>63</v>
      </c>
    </row>
    <row r="8378" spans="1:22" s="1192" customFormat="1" ht="17.399999999999999" x14ac:dyDescent="0.3">
      <c r="A8378" s="1192" t="s">
        <v>185</v>
      </c>
      <c r="E8378" s="1746" t="s">
        <v>611</v>
      </c>
      <c r="F8378" s="1747"/>
      <c r="G8378" s="1747"/>
      <c r="H8378" s="1747"/>
      <c r="K8378" s="1192" t="s">
        <v>2708</v>
      </c>
      <c r="V8378" s="1192">
        <v>53</v>
      </c>
    </row>
    <row r="8379" spans="1:22" s="1192" customFormat="1" ht="14.4" x14ac:dyDescent="0.3">
      <c r="A8379" s="1192" t="s">
        <v>185</v>
      </c>
      <c r="E8379" s="1743" t="s">
        <v>3265</v>
      </c>
      <c r="F8379" s="1743"/>
      <c r="G8379" s="1743"/>
      <c r="H8379" s="1743"/>
      <c r="K8379" s="1192" t="s">
        <v>2708</v>
      </c>
      <c r="V8379" s="1192">
        <v>354</v>
      </c>
    </row>
    <row r="8380" spans="1:22" s="1192" customFormat="1" ht="14.4" x14ac:dyDescent="0.3">
      <c r="A8380" s="1192" t="s">
        <v>185</v>
      </c>
      <c r="E8380" s="1750" t="s">
        <v>2389</v>
      </c>
      <c r="F8380" s="1743"/>
      <c r="G8380" s="1743"/>
      <c r="H8380" s="1743"/>
      <c r="K8380" s="1192" t="s">
        <v>2422</v>
      </c>
      <c r="V8380" s="1192">
        <v>11</v>
      </c>
    </row>
    <row r="8381" spans="1:22" s="1192" customFormat="1" ht="14.4" x14ac:dyDescent="0.3">
      <c r="A8381" s="1192" t="s">
        <v>185</v>
      </c>
      <c r="E8381" s="1743" t="s">
        <v>2391</v>
      </c>
      <c r="F8381" s="1743"/>
      <c r="G8381" s="1743"/>
      <c r="H8381" s="1743"/>
      <c r="K8381" s="1192" t="s">
        <v>2708</v>
      </c>
      <c r="V8381" s="1192">
        <v>280</v>
      </c>
    </row>
    <row r="8382" spans="1:22" s="1192" customFormat="1" ht="14.4" x14ac:dyDescent="0.3">
      <c r="A8382" s="1192" t="s">
        <v>185</v>
      </c>
      <c r="E8382" s="1743" t="s">
        <v>2392</v>
      </c>
      <c r="F8382" s="1743"/>
      <c r="G8382" s="1743"/>
      <c r="H8382" s="1743"/>
      <c r="K8382" s="1192" t="s">
        <v>2708</v>
      </c>
      <c r="V8382" s="1192">
        <v>411</v>
      </c>
    </row>
    <row r="8383" spans="1:22" s="1192" customFormat="1" ht="14.4" x14ac:dyDescent="0.3">
      <c r="A8383" s="1192" t="s">
        <v>185</v>
      </c>
      <c r="E8383" s="1743" t="s">
        <v>2508</v>
      </c>
      <c r="F8383" s="1743"/>
      <c r="G8383" s="1743"/>
      <c r="H8383" s="1743"/>
      <c r="K8383" s="1192" t="s">
        <v>2708</v>
      </c>
      <c r="V8383" s="1192">
        <v>386</v>
      </c>
    </row>
    <row r="8384" spans="1:22" s="1192" customFormat="1" ht="14.4" x14ac:dyDescent="0.3">
      <c r="A8384" s="1192" t="s">
        <v>185</v>
      </c>
      <c r="E8384" s="1743" t="s">
        <v>4632</v>
      </c>
      <c r="F8384" s="1743"/>
      <c r="G8384" s="1743"/>
      <c r="H8384" s="1743"/>
      <c r="K8384" s="1192" t="s">
        <v>2708</v>
      </c>
      <c r="V8384" s="1192">
        <v>680</v>
      </c>
    </row>
    <row r="8385" spans="1:22" s="1192" customFormat="1" ht="14.4" x14ac:dyDescent="0.3">
      <c r="A8385" s="1192" t="s">
        <v>185</v>
      </c>
      <c r="E8385" s="1743" t="s">
        <v>4708</v>
      </c>
      <c r="F8385" s="1743"/>
      <c r="G8385" s="1743"/>
      <c r="H8385" s="1743"/>
      <c r="K8385" s="1192" t="s">
        <v>2708</v>
      </c>
      <c r="V8385" s="1192">
        <v>724</v>
      </c>
    </row>
    <row r="8386" spans="1:22" s="1192" customFormat="1" ht="14.4" x14ac:dyDescent="0.3">
      <c r="A8386" s="1192" t="s">
        <v>185</v>
      </c>
      <c r="E8386" s="1743" t="s">
        <v>2986</v>
      </c>
      <c r="F8386" s="1743"/>
      <c r="G8386" s="1743"/>
      <c r="H8386" s="1743"/>
      <c r="K8386" s="1192" t="s">
        <v>2708</v>
      </c>
      <c r="V8386" s="1192">
        <v>246</v>
      </c>
    </row>
    <row r="8387" spans="1:22" s="1192" customFormat="1" ht="14.4" x14ac:dyDescent="0.3">
      <c r="A8387" s="1192" t="s">
        <v>185</v>
      </c>
      <c r="E8387" s="1750" t="s">
        <v>2394</v>
      </c>
      <c r="F8387" s="1743"/>
      <c r="G8387" s="1743"/>
      <c r="H8387" s="1743"/>
      <c r="K8387" s="1192" t="s">
        <v>2423</v>
      </c>
      <c r="V8387" s="1192">
        <v>46</v>
      </c>
    </row>
    <row r="8388" spans="1:22" s="1192" customFormat="1" ht="14.4" x14ac:dyDescent="0.3">
      <c r="A8388" s="1192" t="s">
        <v>185</v>
      </c>
      <c r="E8388" s="1741" t="s">
        <v>7</v>
      </c>
      <c r="F8388" s="1741"/>
      <c r="G8388" s="1277" t="s">
        <v>19</v>
      </c>
      <c r="H8388" s="1218">
        <v>315.75</v>
      </c>
      <c r="K8388" s="1192" t="s">
        <v>2708</v>
      </c>
      <c r="L8388" s="1192" t="s">
        <v>430</v>
      </c>
      <c r="P8388" s="1192" t="s">
        <v>2709</v>
      </c>
      <c r="V8388" s="1192">
        <v>14</v>
      </c>
    </row>
    <row r="8389" spans="1:22" s="1192" customFormat="1" ht="14.4" x14ac:dyDescent="0.3">
      <c r="A8389" s="1192" t="s">
        <v>185</v>
      </c>
      <c r="E8389" s="1741" t="s">
        <v>80</v>
      </c>
      <c r="F8389" s="1741"/>
      <c r="G8389" s="1277" t="s">
        <v>29</v>
      </c>
      <c r="H8389" s="1219">
        <v>2.6358999999999999</v>
      </c>
      <c r="K8389" s="1192" t="s">
        <v>2708</v>
      </c>
      <c r="L8389" s="1192" t="s">
        <v>430</v>
      </c>
      <c r="P8389" s="1192" t="s">
        <v>2710</v>
      </c>
      <c r="V8389" s="1192">
        <v>28</v>
      </c>
    </row>
    <row r="8390" spans="1:22" s="1192" customFormat="1" ht="14.4" x14ac:dyDescent="0.3">
      <c r="A8390" s="1192" t="s">
        <v>185</v>
      </c>
      <c r="E8390" s="1741" t="s">
        <v>14</v>
      </c>
      <c r="F8390" s="1741"/>
      <c r="G8390" s="1277" t="s">
        <v>29</v>
      </c>
      <c r="H8390" s="1219">
        <v>2.5499999999999998E-2</v>
      </c>
      <c r="K8390" s="1192" t="s">
        <v>2708</v>
      </c>
      <c r="L8390" s="1192" t="s">
        <v>431</v>
      </c>
      <c r="P8390" s="1192" t="s">
        <v>2711</v>
      </c>
      <c r="V8390" s="1192">
        <v>24</v>
      </c>
    </row>
    <row r="8391" spans="1:22" s="1192" customFormat="1" ht="14.4" x14ac:dyDescent="0.3">
      <c r="A8391" s="1192" t="s">
        <v>185</v>
      </c>
      <c r="E8391" s="1741" t="s">
        <v>6532</v>
      </c>
      <c r="F8391" s="1998"/>
      <c r="G8391" s="1277" t="s">
        <v>29</v>
      </c>
      <c r="H8391" s="1219">
        <v>0.109</v>
      </c>
      <c r="K8391" s="1192" t="s">
        <v>2708</v>
      </c>
      <c r="L8391" s="1192" t="s">
        <v>430</v>
      </c>
      <c r="P8391" s="1192" t="s">
        <v>4407</v>
      </c>
      <c r="T8391" s="1192">
        <v>44316</v>
      </c>
      <c r="V8391" s="1192">
        <v>134</v>
      </c>
    </row>
    <row r="8392" spans="1:22" s="1192" customFormat="1" ht="14.4" x14ac:dyDescent="0.3">
      <c r="A8392" s="1192" t="s">
        <v>185</v>
      </c>
      <c r="E8392" s="1741" t="s">
        <v>213</v>
      </c>
      <c r="F8392" s="1741"/>
      <c r="G8392" s="1277" t="s">
        <v>29</v>
      </c>
      <c r="H8392" s="1219">
        <v>2.7749999999999999</v>
      </c>
      <c r="K8392" s="1192" t="s">
        <v>2708</v>
      </c>
      <c r="L8392" s="1192" t="s">
        <v>432</v>
      </c>
      <c r="P8392" s="1192" t="s">
        <v>2712</v>
      </c>
      <c r="V8392" s="1192">
        <v>47</v>
      </c>
    </row>
    <row r="8393" spans="1:22" s="1192" customFormat="1" ht="14.4" x14ac:dyDescent="0.3">
      <c r="A8393" s="1192" t="s">
        <v>185</v>
      </c>
      <c r="E8393" s="1741" t="s">
        <v>209</v>
      </c>
      <c r="F8393" s="1741"/>
      <c r="G8393" s="1277" t="s">
        <v>29</v>
      </c>
      <c r="H8393" s="1219">
        <v>2.4129</v>
      </c>
      <c r="K8393" s="1192" t="s">
        <v>2708</v>
      </c>
      <c r="L8393" s="1192" t="s">
        <v>432</v>
      </c>
      <c r="P8393" s="1192" t="s">
        <v>2713</v>
      </c>
      <c r="V8393" s="1192">
        <v>74</v>
      </c>
    </row>
    <row r="8394" spans="1:22" s="1192" customFormat="1" ht="14.4" x14ac:dyDescent="0.3">
      <c r="A8394" s="1192" t="s">
        <v>185</v>
      </c>
      <c r="E8394" s="1750" t="s">
        <v>2405</v>
      </c>
      <c r="F8394" s="1741"/>
      <c r="G8394" s="1741"/>
      <c r="H8394" s="1741"/>
      <c r="K8394" s="1192" t="s">
        <v>2526</v>
      </c>
      <c r="V8394" s="1192">
        <v>48</v>
      </c>
    </row>
    <row r="8395" spans="1:22" s="1192" customFormat="1" ht="14.4" x14ac:dyDescent="0.3">
      <c r="A8395" s="1192" t="s">
        <v>185</v>
      </c>
      <c r="E8395" s="1741" t="s">
        <v>2033</v>
      </c>
      <c r="F8395" s="1741"/>
      <c r="G8395" s="1277" t="s">
        <v>20</v>
      </c>
      <c r="H8395" s="1219">
        <v>3.0000000000000001E-3</v>
      </c>
      <c r="K8395" s="1192" t="s">
        <v>2708</v>
      </c>
      <c r="L8395" s="1192" t="s">
        <v>2374</v>
      </c>
      <c r="P8395" s="1192" t="s">
        <v>2714</v>
      </c>
      <c r="V8395" s="1192">
        <v>55</v>
      </c>
    </row>
    <row r="8396" spans="1:22" s="1192" customFormat="1" ht="14.4" x14ac:dyDescent="0.3">
      <c r="A8396" s="1192" t="s">
        <v>185</v>
      </c>
      <c r="E8396" s="1741" t="s">
        <v>2034</v>
      </c>
      <c r="F8396" s="1741"/>
      <c r="G8396" s="1277" t="s">
        <v>20</v>
      </c>
      <c r="H8396" s="1219">
        <v>4.0000000000000002E-4</v>
      </c>
      <c r="K8396" s="1192" t="s">
        <v>2708</v>
      </c>
      <c r="L8396" s="1192" t="s">
        <v>2374</v>
      </c>
      <c r="P8396" s="1192" t="s">
        <v>2714</v>
      </c>
      <c r="V8396" s="1192">
        <v>65</v>
      </c>
    </row>
    <row r="8397" spans="1:22" s="1192" customFormat="1" ht="14.4" x14ac:dyDescent="0.3">
      <c r="A8397" s="1192" t="s">
        <v>185</v>
      </c>
      <c r="E8397" s="1741" t="s">
        <v>428</v>
      </c>
      <c r="F8397" s="1741"/>
      <c r="G8397" s="1277" t="s">
        <v>20</v>
      </c>
      <c r="H8397" s="1219">
        <v>5.0000000000000001E-4</v>
      </c>
      <c r="K8397" s="1192" t="s">
        <v>2708</v>
      </c>
      <c r="L8397" s="1192" t="s">
        <v>2374</v>
      </c>
      <c r="P8397" s="1192" t="s">
        <v>2715</v>
      </c>
      <c r="V8397" s="1192">
        <v>57</v>
      </c>
    </row>
    <row r="8398" spans="1:22" s="1192" customFormat="1" ht="14.4" x14ac:dyDescent="0.3">
      <c r="A8398" s="1192" t="s">
        <v>185</v>
      </c>
      <c r="E8398" s="1741" t="s">
        <v>28</v>
      </c>
      <c r="F8398" s="1741"/>
      <c r="G8398" s="1277" t="s">
        <v>19</v>
      </c>
      <c r="H8398" s="1218">
        <v>0.25</v>
      </c>
      <c r="K8398" s="1192" t="s">
        <v>2708</v>
      </c>
      <c r="L8398" s="1192" t="s">
        <v>2374</v>
      </c>
      <c r="P8398" s="1192" t="s">
        <v>2716</v>
      </c>
      <c r="V8398" s="1192">
        <v>63</v>
      </c>
    </row>
    <row r="8399" spans="1:22" s="1192" customFormat="1" ht="17.399999999999999" x14ac:dyDescent="0.3">
      <c r="A8399" s="1192" t="s">
        <v>185</v>
      </c>
      <c r="E8399" s="1746" t="s">
        <v>612</v>
      </c>
      <c r="F8399" s="1747"/>
      <c r="G8399" s="1747"/>
      <c r="H8399" s="1747"/>
      <c r="K8399" s="1192" t="s">
        <v>2717</v>
      </c>
      <c r="V8399" s="1192">
        <v>56</v>
      </c>
    </row>
    <row r="8400" spans="1:22" s="1192" customFormat="1" ht="14.4" x14ac:dyDescent="0.3">
      <c r="A8400" s="1192" t="s">
        <v>185</v>
      </c>
      <c r="E8400" s="1743" t="s">
        <v>3266</v>
      </c>
      <c r="F8400" s="1743"/>
      <c r="G8400" s="1743"/>
      <c r="H8400" s="1743"/>
      <c r="K8400" s="1192" t="s">
        <v>2717</v>
      </c>
      <c r="V8400" s="1192">
        <v>356</v>
      </c>
    </row>
    <row r="8401" spans="1:22" s="1192" customFormat="1" ht="14.4" x14ac:dyDescent="0.3">
      <c r="A8401" s="1192" t="s">
        <v>185</v>
      </c>
      <c r="E8401" s="1750" t="s">
        <v>2389</v>
      </c>
      <c r="F8401" s="1743"/>
      <c r="G8401" s="1743"/>
      <c r="H8401" s="1743"/>
      <c r="K8401" s="1192" t="s">
        <v>2529</v>
      </c>
      <c r="V8401" s="1192">
        <v>11</v>
      </c>
    </row>
    <row r="8402" spans="1:22" s="1192" customFormat="1" ht="14.4" x14ac:dyDescent="0.3">
      <c r="A8402" s="1192" t="s">
        <v>185</v>
      </c>
      <c r="E8402" s="1743" t="s">
        <v>2391</v>
      </c>
      <c r="F8402" s="1743"/>
      <c r="G8402" s="1743"/>
      <c r="H8402" s="1743"/>
      <c r="K8402" s="1192" t="s">
        <v>2717</v>
      </c>
      <c r="V8402" s="1192">
        <v>280</v>
      </c>
    </row>
    <row r="8403" spans="1:22" s="1192" customFormat="1" ht="14.4" x14ac:dyDescent="0.3">
      <c r="A8403" s="1192" t="s">
        <v>185</v>
      </c>
      <c r="E8403" s="1743" t="s">
        <v>2392</v>
      </c>
      <c r="F8403" s="1743"/>
      <c r="G8403" s="1743"/>
      <c r="H8403" s="1743"/>
      <c r="K8403" s="1192" t="s">
        <v>2717</v>
      </c>
      <c r="V8403" s="1192">
        <v>411</v>
      </c>
    </row>
    <row r="8404" spans="1:22" s="1192" customFormat="1" ht="14.4" x14ac:dyDescent="0.3">
      <c r="A8404" s="1192" t="s">
        <v>185</v>
      </c>
      <c r="E8404" s="1743" t="s">
        <v>2508</v>
      </c>
      <c r="F8404" s="1743"/>
      <c r="G8404" s="1743"/>
      <c r="H8404" s="1743"/>
      <c r="K8404" s="1192" t="s">
        <v>2717</v>
      </c>
      <c r="V8404" s="1192">
        <v>386</v>
      </c>
    </row>
    <row r="8405" spans="1:22" s="1192" customFormat="1" ht="14.4" x14ac:dyDescent="0.3">
      <c r="A8405" s="1192" t="s">
        <v>185</v>
      </c>
      <c r="E8405" s="1743" t="s">
        <v>4632</v>
      </c>
      <c r="F8405" s="1743"/>
      <c r="G8405" s="1743"/>
      <c r="H8405" s="1743"/>
      <c r="K8405" s="1192" t="s">
        <v>2717</v>
      </c>
      <c r="V8405" s="1192">
        <v>680</v>
      </c>
    </row>
    <row r="8406" spans="1:22" s="1192" customFormat="1" ht="14.4" x14ac:dyDescent="0.3">
      <c r="A8406" s="1192" t="s">
        <v>185</v>
      </c>
      <c r="E8406" s="1743" t="s">
        <v>4708</v>
      </c>
      <c r="F8406" s="1743"/>
      <c r="G8406" s="1743"/>
      <c r="H8406" s="1743"/>
      <c r="K8406" s="1192" t="s">
        <v>2717</v>
      </c>
      <c r="V8406" s="1192">
        <v>724</v>
      </c>
    </row>
    <row r="8407" spans="1:22" s="1192" customFormat="1" ht="14.4" x14ac:dyDescent="0.3">
      <c r="A8407" s="1192" t="s">
        <v>185</v>
      </c>
      <c r="E8407" s="1743" t="s">
        <v>2986</v>
      </c>
      <c r="F8407" s="1743"/>
      <c r="G8407" s="1743"/>
      <c r="H8407" s="1743"/>
      <c r="K8407" s="1192" t="s">
        <v>2717</v>
      </c>
      <c r="V8407" s="1192">
        <v>246</v>
      </c>
    </row>
    <row r="8408" spans="1:22" s="1192" customFormat="1" ht="14.4" x14ac:dyDescent="0.3">
      <c r="A8408" s="1192" t="s">
        <v>185</v>
      </c>
      <c r="E8408" s="1750" t="s">
        <v>2394</v>
      </c>
      <c r="F8408" s="1743"/>
      <c r="G8408" s="1743"/>
      <c r="H8408" s="1743"/>
      <c r="K8408" s="1192" t="s">
        <v>2531</v>
      </c>
      <c r="V8408" s="1192">
        <v>46</v>
      </c>
    </row>
    <row r="8409" spans="1:22" s="1192" customFormat="1" ht="14.4" x14ac:dyDescent="0.3">
      <c r="A8409" s="1192" t="s">
        <v>185</v>
      </c>
      <c r="E8409" s="1741" t="s">
        <v>7</v>
      </c>
      <c r="F8409" s="1741"/>
      <c r="G8409" s="1277" t="s">
        <v>19</v>
      </c>
      <c r="H8409" s="1218">
        <v>6734.18</v>
      </c>
      <c r="K8409" s="1192" t="s">
        <v>2717</v>
      </c>
      <c r="L8409" s="1192" t="s">
        <v>430</v>
      </c>
      <c r="P8409" s="1192" t="s">
        <v>2718</v>
      </c>
      <c r="V8409" s="1192">
        <v>14</v>
      </c>
    </row>
    <row r="8410" spans="1:22" s="1192" customFormat="1" ht="14.4" x14ac:dyDescent="0.3">
      <c r="A8410" s="1192" t="s">
        <v>185</v>
      </c>
      <c r="E8410" s="1741" t="s">
        <v>80</v>
      </c>
      <c r="F8410" s="1741"/>
      <c r="G8410" s="1277" t="s">
        <v>29</v>
      </c>
      <c r="H8410" s="1219">
        <v>1.2378</v>
      </c>
      <c r="K8410" s="1192" t="s">
        <v>2717</v>
      </c>
      <c r="L8410" s="1192" t="s">
        <v>430</v>
      </c>
      <c r="P8410" s="1192" t="s">
        <v>2719</v>
      </c>
      <c r="V8410" s="1192">
        <v>28</v>
      </c>
    </row>
    <row r="8411" spans="1:22" s="1192" customFormat="1" ht="14.4" x14ac:dyDescent="0.3">
      <c r="A8411" s="1192" t="s">
        <v>185</v>
      </c>
      <c r="E8411" s="1741" t="s">
        <v>14</v>
      </c>
      <c r="F8411" s="1741"/>
      <c r="G8411" s="1277" t="s">
        <v>29</v>
      </c>
      <c r="H8411" s="1219">
        <v>2.8199999999999999E-2</v>
      </c>
      <c r="K8411" s="1192" t="s">
        <v>2717</v>
      </c>
      <c r="L8411" s="1192" t="s">
        <v>431</v>
      </c>
      <c r="P8411" s="1192" t="s">
        <v>2720</v>
      </c>
      <c r="V8411" s="1192">
        <v>24</v>
      </c>
    </row>
    <row r="8412" spans="1:22" s="1192" customFormat="1" ht="14.4" x14ac:dyDescent="0.3">
      <c r="A8412" s="1192" t="s">
        <v>185</v>
      </c>
      <c r="E8412" s="1741" t="s">
        <v>6531</v>
      </c>
      <c r="F8412" s="1998"/>
      <c r="G8412" s="1277" t="s">
        <v>29</v>
      </c>
      <c r="H8412" s="1219">
        <v>0.31459999999999999</v>
      </c>
      <c r="K8412" s="1192" t="s">
        <v>2717</v>
      </c>
      <c r="L8412" s="1192" t="s">
        <v>430</v>
      </c>
      <c r="P8412" s="1192" t="s">
        <v>4410</v>
      </c>
      <c r="T8412" s="1192">
        <v>44316</v>
      </c>
      <c r="V8412" s="1192">
        <v>135</v>
      </c>
    </row>
    <row r="8413" spans="1:22" s="1192" customFormat="1" ht="14.4" x14ac:dyDescent="0.3">
      <c r="A8413" s="1192" t="s">
        <v>185</v>
      </c>
      <c r="E8413" s="1741" t="s">
        <v>215</v>
      </c>
      <c r="F8413" s="1741"/>
      <c r="G8413" s="1277" t="s">
        <v>29</v>
      </c>
      <c r="H8413" s="1219">
        <v>2.9436</v>
      </c>
      <c r="K8413" s="1192" t="s">
        <v>2717</v>
      </c>
      <c r="L8413" s="1192" t="s">
        <v>432</v>
      </c>
      <c r="P8413" s="1192" t="s">
        <v>2721</v>
      </c>
      <c r="V8413" s="1192">
        <v>66</v>
      </c>
    </row>
    <row r="8414" spans="1:22" s="1192" customFormat="1" ht="14.4" x14ac:dyDescent="0.3">
      <c r="A8414" s="1192" t="s">
        <v>185</v>
      </c>
      <c r="E8414" s="1741" t="s">
        <v>211</v>
      </c>
      <c r="F8414" s="1741"/>
      <c r="G8414" s="1277" t="s">
        <v>29</v>
      </c>
      <c r="H8414" s="1219">
        <v>2.6665000000000001</v>
      </c>
      <c r="K8414" s="1192" t="s">
        <v>2717</v>
      </c>
      <c r="L8414" s="1192" t="s">
        <v>432</v>
      </c>
      <c r="P8414" s="1192" t="s">
        <v>2722</v>
      </c>
      <c r="V8414" s="1192">
        <v>93</v>
      </c>
    </row>
    <row r="8415" spans="1:22" s="1192" customFormat="1" ht="14.4" x14ac:dyDescent="0.3">
      <c r="A8415" s="1192" t="s">
        <v>185</v>
      </c>
      <c r="E8415" s="1750" t="s">
        <v>2405</v>
      </c>
      <c r="F8415" s="1741"/>
      <c r="G8415" s="1741"/>
      <c r="H8415" s="1741"/>
      <c r="K8415" s="1192" t="s">
        <v>2532</v>
      </c>
      <c r="V8415" s="1192">
        <v>48</v>
      </c>
    </row>
    <row r="8416" spans="1:22" s="1192" customFormat="1" ht="14.4" x14ac:dyDescent="0.3">
      <c r="A8416" s="1192" t="s">
        <v>185</v>
      </c>
      <c r="E8416" s="1741" t="s">
        <v>2033</v>
      </c>
      <c r="F8416" s="1741"/>
      <c r="G8416" s="1277" t="s">
        <v>20</v>
      </c>
      <c r="H8416" s="1219">
        <v>3.0000000000000001E-3</v>
      </c>
      <c r="K8416" s="1192" t="s">
        <v>2717</v>
      </c>
      <c r="L8416" s="1192" t="s">
        <v>2374</v>
      </c>
      <c r="P8416" s="1192" t="s">
        <v>2723</v>
      </c>
      <c r="V8416" s="1192">
        <v>55</v>
      </c>
    </row>
    <row r="8417" spans="1:22" s="1192" customFormat="1" ht="14.4" x14ac:dyDescent="0.3">
      <c r="A8417" s="1192" t="s">
        <v>185</v>
      </c>
      <c r="E8417" s="1741" t="s">
        <v>2034</v>
      </c>
      <c r="F8417" s="1741"/>
      <c r="G8417" s="1277" t="s">
        <v>20</v>
      </c>
      <c r="H8417" s="1219">
        <v>4.0000000000000002E-4</v>
      </c>
      <c r="K8417" s="1192" t="s">
        <v>2717</v>
      </c>
      <c r="L8417" s="1192" t="s">
        <v>2374</v>
      </c>
      <c r="P8417" s="1192" t="s">
        <v>2723</v>
      </c>
      <c r="V8417" s="1192">
        <v>65</v>
      </c>
    </row>
    <row r="8418" spans="1:22" s="1192" customFormat="1" ht="14.4" x14ac:dyDescent="0.3">
      <c r="A8418" s="1192" t="s">
        <v>185</v>
      </c>
      <c r="E8418" s="1741" t="s">
        <v>428</v>
      </c>
      <c r="F8418" s="1741"/>
      <c r="G8418" s="1277" t="s">
        <v>20</v>
      </c>
      <c r="H8418" s="1219">
        <v>5.0000000000000001E-4</v>
      </c>
      <c r="K8418" s="1192" t="s">
        <v>2717</v>
      </c>
      <c r="L8418" s="1192" t="s">
        <v>2374</v>
      </c>
      <c r="P8418" s="1192" t="s">
        <v>2724</v>
      </c>
      <c r="V8418" s="1192">
        <v>57</v>
      </c>
    </row>
    <row r="8419" spans="1:22" s="1192" customFormat="1" ht="14.4" x14ac:dyDescent="0.3">
      <c r="A8419" s="1192" t="s">
        <v>185</v>
      </c>
      <c r="E8419" s="1741" t="s">
        <v>28</v>
      </c>
      <c r="F8419" s="1741"/>
      <c r="G8419" s="1277" t="s">
        <v>19</v>
      </c>
      <c r="H8419" s="1218">
        <v>0.25</v>
      </c>
      <c r="K8419" s="1192" t="s">
        <v>2717</v>
      </c>
      <c r="L8419" s="1192" t="s">
        <v>2374</v>
      </c>
      <c r="P8419" s="1192" t="s">
        <v>2725</v>
      </c>
      <c r="V8419" s="1192">
        <v>63</v>
      </c>
    </row>
    <row r="8420" spans="1:22" s="1192" customFormat="1" ht="17.399999999999999" x14ac:dyDescent="0.3">
      <c r="A8420" s="1192" t="s">
        <v>185</v>
      </c>
      <c r="E8420" s="1746" t="s">
        <v>592</v>
      </c>
      <c r="F8420" s="1747"/>
      <c r="G8420" s="1747"/>
      <c r="H8420" s="1747"/>
      <c r="K8420" s="1192" t="s">
        <v>2726</v>
      </c>
      <c r="V8420" s="1192">
        <v>47</v>
      </c>
    </row>
    <row r="8421" spans="1:22" s="1192" customFormat="1" ht="14.4" x14ac:dyDescent="0.3">
      <c r="A8421" s="1192" t="s">
        <v>185</v>
      </c>
      <c r="E8421" s="1743" t="s">
        <v>3267</v>
      </c>
      <c r="F8421" s="1743"/>
      <c r="G8421" s="1743"/>
      <c r="H8421" s="1743"/>
      <c r="K8421" s="1192" t="s">
        <v>2726</v>
      </c>
      <c r="V8421" s="1192">
        <v>617</v>
      </c>
    </row>
    <row r="8422" spans="1:22" s="1192" customFormat="1" ht="14.4" x14ac:dyDescent="0.3">
      <c r="A8422" s="1192" t="s">
        <v>185</v>
      </c>
      <c r="E8422" s="1750" t="s">
        <v>2389</v>
      </c>
      <c r="F8422" s="1743"/>
      <c r="G8422" s="1743"/>
      <c r="H8422" s="1743"/>
      <c r="K8422" s="1192" t="s">
        <v>2424</v>
      </c>
      <c r="V8422" s="1192">
        <v>11</v>
      </c>
    </row>
    <row r="8423" spans="1:22" s="1192" customFormat="1" ht="14.4" x14ac:dyDescent="0.3">
      <c r="A8423" s="1192" t="s">
        <v>185</v>
      </c>
      <c r="E8423" s="1743" t="s">
        <v>2391</v>
      </c>
      <c r="F8423" s="1743"/>
      <c r="G8423" s="1743"/>
      <c r="H8423" s="1743"/>
      <c r="K8423" s="1192" t="s">
        <v>2726</v>
      </c>
      <c r="V8423" s="1192">
        <v>280</v>
      </c>
    </row>
    <row r="8424" spans="1:22" s="1192" customFormat="1" ht="14.4" x14ac:dyDescent="0.3">
      <c r="A8424" s="1192" t="s">
        <v>185</v>
      </c>
      <c r="E8424" s="1743" t="s">
        <v>2392</v>
      </c>
      <c r="F8424" s="1743"/>
      <c r="G8424" s="1743"/>
      <c r="H8424" s="1743"/>
      <c r="K8424" s="1192" t="s">
        <v>2726</v>
      </c>
      <c r="V8424" s="1192">
        <v>411</v>
      </c>
    </row>
    <row r="8425" spans="1:22" s="1192" customFormat="1" ht="14.4" x14ac:dyDescent="0.3">
      <c r="A8425" s="1192" t="s">
        <v>185</v>
      </c>
      <c r="E8425" s="1743" t="s">
        <v>2508</v>
      </c>
      <c r="F8425" s="1743"/>
      <c r="G8425" s="1743"/>
      <c r="H8425" s="1743"/>
      <c r="K8425" s="1192" t="s">
        <v>2726</v>
      </c>
      <c r="V8425" s="1192">
        <v>386</v>
      </c>
    </row>
    <row r="8426" spans="1:22" s="1192" customFormat="1" ht="14.4" x14ac:dyDescent="0.3">
      <c r="A8426" s="1192" t="s">
        <v>185</v>
      </c>
      <c r="E8426" s="1743" t="s">
        <v>2986</v>
      </c>
      <c r="F8426" s="1743"/>
      <c r="G8426" s="1743"/>
      <c r="H8426" s="1743"/>
      <c r="K8426" s="1192" t="s">
        <v>2726</v>
      </c>
      <c r="V8426" s="1192">
        <v>246</v>
      </c>
    </row>
    <row r="8427" spans="1:22" s="1192" customFormat="1" ht="14.4" x14ac:dyDescent="0.3">
      <c r="A8427" s="1192" t="s">
        <v>185</v>
      </c>
      <c r="E8427" s="1750" t="s">
        <v>2394</v>
      </c>
      <c r="F8427" s="1743"/>
      <c r="G8427" s="1743"/>
      <c r="H8427" s="1743"/>
      <c r="K8427" s="1192" t="s">
        <v>2425</v>
      </c>
      <c r="V8427" s="1192">
        <v>46</v>
      </c>
    </row>
    <row r="8428" spans="1:22" s="1192" customFormat="1" ht="14.4" x14ac:dyDescent="0.3">
      <c r="A8428" s="1192" t="s">
        <v>185</v>
      </c>
      <c r="E8428" s="1741" t="s">
        <v>8</v>
      </c>
      <c r="F8428" s="1741"/>
      <c r="G8428" s="1277" t="s">
        <v>19</v>
      </c>
      <c r="H8428" s="1218">
        <v>5.53</v>
      </c>
      <c r="K8428" s="1192" t="s">
        <v>2726</v>
      </c>
      <c r="L8428" s="1192" t="s">
        <v>430</v>
      </c>
      <c r="P8428" s="1192" t="s">
        <v>2727</v>
      </c>
      <c r="V8428" s="1192">
        <v>31</v>
      </c>
    </row>
    <row r="8429" spans="1:22" s="1192" customFormat="1" ht="14.4" x14ac:dyDescent="0.3">
      <c r="A8429" s="1192" t="s">
        <v>185</v>
      </c>
      <c r="E8429" s="1741" t="s">
        <v>80</v>
      </c>
      <c r="F8429" s="1741"/>
      <c r="G8429" s="1277" t="s">
        <v>20</v>
      </c>
      <c r="H8429" s="1219">
        <v>1.2699999999999999E-2</v>
      </c>
      <c r="K8429" s="1192" t="s">
        <v>2726</v>
      </c>
      <c r="L8429" s="1192" t="s">
        <v>430</v>
      </c>
      <c r="P8429" s="1192" t="s">
        <v>2728</v>
      </c>
      <c r="V8429" s="1192">
        <v>28</v>
      </c>
    </row>
    <row r="8430" spans="1:22" s="1192" customFormat="1" ht="14.4" x14ac:dyDescent="0.3">
      <c r="A8430" s="1192" t="s">
        <v>185</v>
      </c>
      <c r="E8430" s="1741" t="s">
        <v>14</v>
      </c>
      <c r="F8430" s="1741"/>
      <c r="G8430" s="1277" t="s">
        <v>20</v>
      </c>
      <c r="H8430" s="1219">
        <v>1E-4</v>
      </c>
      <c r="K8430" s="1192" t="s">
        <v>2726</v>
      </c>
      <c r="L8430" s="1192" t="s">
        <v>431</v>
      </c>
      <c r="P8430" s="1192" t="s">
        <v>2729</v>
      </c>
      <c r="V8430" s="1192">
        <v>24</v>
      </c>
    </row>
    <row r="8431" spans="1:22" s="1192" customFormat="1" ht="14.4" x14ac:dyDescent="0.3">
      <c r="A8431" s="1192" t="s">
        <v>185</v>
      </c>
      <c r="E8431" s="1741" t="s">
        <v>213</v>
      </c>
      <c r="F8431" s="1741"/>
      <c r="G8431" s="1277" t="s">
        <v>20</v>
      </c>
      <c r="H8431" s="1219">
        <v>7.0000000000000001E-3</v>
      </c>
      <c r="K8431" s="1192" t="s">
        <v>2726</v>
      </c>
      <c r="L8431" s="1192" t="s">
        <v>432</v>
      </c>
      <c r="P8431" s="1192" t="s">
        <v>2731</v>
      </c>
      <c r="V8431" s="1192">
        <v>47</v>
      </c>
    </row>
    <row r="8432" spans="1:22" s="1192" customFormat="1" ht="14.4" x14ac:dyDescent="0.3">
      <c r="A8432" s="1192" t="s">
        <v>185</v>
      </c>
      <c r="E8432" s="1741" t="s">
        <v>209</v>
      </c>
      <c r="F8432" s="1741"/>
      <c r="G8432" s="1277" t="s">
        <v>20</v>
      </c>
      <c r="H8432" s="1219">
        <v>6.1000000000000004E-3</v>
      </c>
      <c r="K8432" s="1192" t="s">
        <v>2726</v>
      </c>
      <c r="L8432" s="1192" t="s">
        <v>432</v>
      </c>
      <c r="P8432" s="1192" t="s">
        <v>2732</v>
      </c>
      <c r="V8432" s="1192">
        <v>74</v>
      </c>
    </row>
    <row r="8433" spans="1:22" s="1192" customFormat="1" ht="14.4" x14ac:dyDescent="0.3">
      <c r="A8433" s="1192" t="s">
        <v>185</v>
      </c>
      <c r="E8433" s="1750" t="s">
        <v>2405</v>
      </c>
      <c r="F8433" s="1741"/>
      <c r="G8433" s="1741"/>
      <c r="H8433" s="1741"/>
      <c r="K8433" s="1192" t="s">
        <v>2427</v>
      </c>
      <c r="V8433" s="1192">
        <v>48</v>
      </c>
    </row>
    <row r="8434" spans="1:22" s="1192" customFormat="1" ht="14.4" x14ac:dyDescent="0.3">
      <c r="A8434" s="1192" t="s">
        <v>185</v>
      </c>
      <c r="E8434" s="1741" t="s">
        <v>2033</v>
      </c>
      <c r="F8434" s="1741"/>
      <c r="G8434" s="1277" t="s">
        <v>20</v>
      </c>
      <c r="H8434" s="1219">
        <v>3.0000000000000001E-3</v>
      </c>
      <c r="K8434" s="1192" t="s">
        <v>2726</v>
      </c>
      <c r="L8434" s="1192" t="s">
        <v>2374</v>
      </c>
      <c r="P8434" s="1192" t="s">
        <v>2733</v>
      </c>
      <c r="V8434" s="1192">
        <v>55</v>
      </c>
    </row>
    <row r="8435" spans="1:22" s="1192" customFormat="1" ht="14.4" x14ac:dyDescent="0.3">
      <c r="A8435" s="1192" t="s">
        <v>185</v>
      </c>
      <c r="E8435" s="1741" t="s">
        <v>2034</v>
      </c>
      <c r="F8435" s="1741"/>
      <c r="G8435" s="1277" t="s">
        <v>20</v>
      </c>
      <c r="H8435" s="1219">
        <v>4.0000000000000002E-4</v>
      </c>
      <c r="K8435" s="1192" t="s">
        <v>2726</v>
      </c>
      <c r="L8435" s="1192" t="s">
        <v>2374</v>
      </c>
      <c r="P8435" s="1192" t="s">
        <v>2733</v>
      </c>
      <c r="V8435" s="1192">
        <v>65</v>
      </c>
    </row>
    <row r="8436" spans="1:22" s="1192" customFormat="1" ht="14.4" x14ac:dyDescent="0.3">
      <c r="A8436" s="1192" t="s">
        <v>185</v>
      </c>
      <c r="E8436" s="1741" t="s">
        <v>428</v>
      </c>
      <c r="F8436" s="1741"/>
      <c r="G8436" s="1277" t="s">
        <v>20</v>
      </c>
      <c r="H8436" s="1219">
        <v>5.0000000000000001E-4</v>
      </c>
      <c r="K8436" s="1192" t="s">
        <v>2726</v>
      </c>
      <c r="L8436" s="1192" t="s">
        <v>2374</v>
      </c>
      <c r="P8436" s="1192" t="s">
        <v>2734</v>
      </c>
      <c r="V8436" s="1192">
        <v>57</v>
      </c>
    </row>
    <row r="8437" spans="1:22" s="1192" customFormat="1" ht="14.4" x14ac:dyDescent="0.3">
      <c r="A8437" s="1192" t="s">
        <v>185</v>
      </c>
      <c r="E8437" s="1741" t="s">
        <v>28</v>
      </c>
      <c r="F8437" s="1741"/>
      <c r="G8437" s="1277" t="s">
        <v>19</v>
      </c>
      <c r="H8437" s="1218">
        <v>0.25</v>
      </c>
      <c r="K8437" s="1192" t="s">
        <v>2726</v>
      </c>
      <c r="L8437" s="1192" t="s">
        <v>2374</v>
      </c>
      <c r="P8437" s="1192" t="s">
        <v>2735</v>
      </c>
      <c r="V8437" s="1192">
        <v>63</v>
      </c>
    </row>
    <row r="8438" spans="1:22" s="1192" customFormat="1" ht="17.399999999999999" x14ac:dyDescent="0.3">
      <c r="A8438" s="1192" t="s">
        <v>185</v>
      </c>
      <c r="E8438" s="1746" t="s">
        <v>604</v>
      </c>
      <c r="F8438" s="1747"/>
      <c r="G8438" s="1747"/>
      <c r="H8438" s="1747"/>
      <c r="K8438" s="1192" t="s">
        <v>2736</v>
      </c>
      <c r="V8438" s="1192">
        <v>40</v>
      </c>
    </row>
    <row r="8439" spans="1:22" s="1192" customFormat="1" ht="14.4" x14ac:dyDescent="0.3">
      <c r="A8439" s="1192" t="s">
        <v>185</v>
      </c>
      <c r="E8439" s="1743" t="s">
        <v>2556</v>
      </c>
      <c r="F8439" s="1743"/>
      <c r="G8439" s="1743"/>
      <c r="H8439" s="1743"/>
      <c r="K8439" s="1192" t="s">
        <v>2736</v>
      </c>
      <c r="V8439" s="1192">
        <v>253</v>
      </c>
    </row>
    <row r="8440" spans="1:22" s="1192" customFormat="1" ht="14.4" x14ac:dyDescent="0.3">
      <c r="A8440" s="1192" t="s">
        <v>185</v>
      </c>
      <c r="E8440" s="1750" t="s">
        <v>2389</v>
      </c>
      <c r="F8440" s="1743"/>
      <c r="G8440" s="1743"/>
      <c r="H8440" s="1743"/>
      <c r="K8440" s="1192" t="s">
        <v>2430</v>
      </c>
      <c r="V8440" s="1192">
        <v>11</v>
      </c>
    </row>
    <row r="8441" spans="1:22" s="1192" customFormat="1" ht="14.4" x14ac:dyDescent="0.3">
      <c r="A8441" s="1192" t="s">
        <v>185</v>
      </c>
      <c r="E8441" s="1743" t="s">
        <v>2391</v>
      </c>
      <c r="F8441" s="1743"/>
      <c r="G8441" s="1743"/>
      <c r="H8441" s="1743"/>
      <c r="K8441" s="1192" t="s">
        <v>2736</v>
      </c>
      <c r="V8441" s="1192">
        <v>280</v>
      </c>
    </row>
    <row r="8442" spans="1:22" s="1192" customFormat="1" ht="14.4" x14ac:dyDescent="0.3">
      <c r="A8442" s="1192" t="s">
        <v>185</v>
      </c>
      <c r="E8442" s="1743" t="s">
        <v>2392</v>
      </c>
      <c r="F8442" s="1743"/>
      <c r="G8442" s="1743"/>
      <c r="H8442" s="1743"/>
      <c r="K8442" s="1192" t="s">
        <v>2736</v>
      </c>
      <c r="V8442" s="1192">
        <v>411</v>
      </c>
    </row>
    <row r="8443" spans="1:22" s="1192" customFormat="1" ht="14.4" x14ac:dyDescent="0.3">
      <c r="A8443" s="1192" t="s">
        <v>185</v>
      </c>
      <c r="E8443" s="1743" t="s">
        <v>2508</v>
      </c>
      <c r="F8443" s="1743"/>
      <c r="G8443" s="1743"/>
      <c r="H8443" s="1743"/>
      <c r="K8443" s="1192" t="s">
        <v>2736</v>
      </c>
      <c r="V8443" s="1192">
        <v>386</v>
      </c>
    </row>
    <row r="8444" spans="1:22" s="1192" customFormat="1" ht="14.4" x14ac:dyDescent="0.3">
      <c r="A8444" s="1192" t="s">
        <v>185</v>
      </c>
      <c r="E8444" s="1743" t="s">
        <v>2986</v>
      </c>
      <c r="F8444" s="1743"/>
      <c r="G8444" s="1743"/>
      <c r="H8444" s="1743"/>
      <c r="K8444" s="1192" t="s">
        <v>2736</v>
      </c>
      <c r="V8444" s="1192">
        <v>246</v>
      </c>
    </row>
    <row r="8445" spans="1:22" s="1192" customFormat="1" ht="14.4" x14ac:dyDescent="0.3">
      <c r="A8445" s="1192" t="s">
        <v>185</v>
      </c>
      <c r="E8445" s="1750" t="s">
        <v>2394</v>
      </c>
      <c r="F8445" s="1743"/>
      <c r="G8445" s="1743"/>
      <c r="H8445" s="1743"/>
      <c r="K8445" s="1192" t="s">
        <v>2431</v>
      </c>
      <c r="V8445" s="1192">
        <v>46</v>
      </c>
    </row>
    <row r="8446" spans="1:22" s="1192" customFormat="1" ht="14.4" x14ac:dyDescent="0.3">
      <c r="A8446" s="1192" t="s">
        <v>185</v>
      </c>
      <c r="E8446" s="1741" t="s">
        <v>8</v>
      </c>
      <c r="F8446" s="1741"/>
      <c r="G8446" s="1277" t="s">
        <v>19</v>
      </c>
      <c r="H8446" s="1218">
        <v>5.0999999999999996</v>
      </c>
      <c r="K8446" s="1192" t="s">
        <v>2736</v>
      </c>
      <c r="L8446" s="1192" t="s">
        <v>430</v>
      </c>
      <c r="P8446" s="1192" t="s">
        <v>2737</v>
      </c>
      <c r="V8446" s="1192">
        <v>31</v>
      </c>
    </row>
    <row r="8447" spans="1:22" s="1192" customFormat="1" ht="14.4" x14ac:dyDescent="0.3">
      <c r="A8447" s="1192" t="s">
        <v>185</v>
      </c>
      <c r="E8447" s="1741" t="s">
        <v>80</v>
      </c>
      <c r="F8447" s="1741"/>
      <c r="G8447" s="1277" t="s">
        <v>29</v>
      </c>
      <c r="H8447" s="1219">
        <v>17.7881</v>
      </c>
      <c r="K8447" s="1192" t="s">
        <v>2736</v>
      </c>
      <c r="L8447" s="1192" t="s">
        <v>430</v>
      </c>
      <c r="P8447" s="1192" t="s">
        <v>2738</v>
      </c>
      <c r="V8447" s="1192">
        <v>28</v>
      </c>
    </row>
    <row r="8448" spans="1:22" s="1192" customFormat="1" ht="14.4" x14ac:dyDescent="0.3">
      <c r="A8448" s="1192" t="s">
        <v>185</v>
      </c>
      <c r="E8448" s="1741" t="s">
        <v>14</v>
      </c>
      <c r="F8448" s="1741"/>
      <c r="G8448" s="1277" t="s">
        <v>29</v>
      </c>
      <c r="H8448" s="1219">
        <v>2.01E-2</v>
      </c>
      <c r="K8448" s="1192" t="s">
        <v>2736</v>
      </c>
      <c r="L8448" s="1192" t="s">
        <v>431</v>
      </c>
      <c r="P8448" s="1192" t="s">
        <v>2739</v>
      </c>
      <c r="V8448" s="1192">
        <v>24</v>
      </c>
    </row>
    <row r="8449" spans="1:22" s="1192" customFormat="1" ht="14.4" x14ac:dyDescent="0.3">
      <c r="A8449" s="1192" t="s">
        <v>185</v>
      </c>
      <c r="E8449" s="1741" t="s">
        <v>213</v>
      </c>
      <c r="F8449" s="1741"/>
      <c r="G8449" s="1277" t="s">
        <v>29</v>
      </c>
      <c r="H8449" s="1219">
        <v>2.1032000000000002</v>
      </c>
      <c r="K8449" s="1192" t="s">
        <v>2736</v>
      </c>
      <c r="L8449" s="1192" t="s">
        <v>432</v>
      </c>
      <c r="P8449" s="1192" t="s">
        <v>2741</v>
      </c>
      <c r="V8449" s="1192">
        <v>47</v>
      </c>
    </row>
    <row r="8450" spans="1:22" s="1192" customFormat="1" ht="14.4" x14ac:dyDescent="0.3">
      <c r="A8450" s="1192" t="s">
        <v>185</v>
      </c>
      <c r="E8450" s="1741" t="s">
        <v>209</v>
      </c>
      <c r="F8450" s="1741"/>
      <c r="G8450" s="1277" t="s">
        <v>29</v>
      </c>
      <c r="H8450" s="1219">
        <v>1.9040999999999999</v>
      </c>
      <c r="K8450" s="1192" t="s">
        <v>2736</v>
      </c>
      <c r="L8450" s="1192" t="s">
        <v>432</v>
      </c>
      <c r="P8450" s="1192" t="s">
        <v>2742</v>
      </c>
      <c r="V8450" s="1192">
        <v>74</v>
      </c>
    </row>
    <row r="8451" spans="1:22" s="1192" customFormat="1" ht="14.4" x14ac:dyDescent="0.3">
      <c r="A8451" s="1192" t="s">
        <v>185</v>
      </c>
      <c r="E8451" s="1750" t="s">
        <v>2405</v>
      </c>
      <c r="F8451" s="1741"/>
      <c r="G8451" s="1741"/>
      <c r="H8451" s="1741"/>
      <c r="K8451" s="1192" t="s">
        <v>2438</v>
      </c>
      <c r="V8451" s="1192">
        <v>48</v>
      </c>
    </row>
    <row r="8452" spans="1:22" s="1192" customFormat="1" ht="14.4" x14ac:dyDescent="0.3">
      <c r="A8452" s="1192" t="s">
        <v>185</v>
      </c>
      <c r="E8452" s="1741" t="s">
        <v>2033</v>
      </c>
      <c r="F8452" s="1741"/>
      <c r="G8452" s="1277" t="s">
        <v>20</v>
      </c>
      <c r="H8452" s="1219">
        <v>3.0000000000000001E-3</v>
      </c>
      <c r="K8452" s="1192" t="s">
        <v>2736</v>
      </c>
      <c r="L8452" s="1192" t="s">
        <v>2374</v>
      </c>
      <c r="P8452" s="1192" t="s">
        <v>2743</v>
      </c>
      <c r="V8452" s="1192">
        <v>55</v>
      </c>
    </row>
    <row r="8453" spans="1:22" s="1192" customFormat="1" ht="14.4" x14ac:dyDescent="0.3">
      <c r="A8453" s="1192" t="s">
        <v>185</v>
      </c>
      <c r="E8453" s="1741" t="s">
        <v>2034</v>
      </c>
      <c r="F8453" s="1741"/>
      <c r="G8453" s="1277" t="s">
        <v>20</v>
      </c>
      <c r="H8453" s="1219">
        <v>4.0000000000000002E-4</v>
      </c>
      <c r="K8453" s="1192" t="s">
        <v>2736</v>
      </c>
      <c r="L8453" s="1192" t="s">
        <v>2374</v>
      </c>
      <c r="P8453" s="1192" t="s">
        <v>2743</v>
      </c>
      <c r="V8453" s="1192">
        <v>65</v>
      </c>
    </row>
    <row r="8454" spans="1:22" s="1192" customFormat="1" ht="14.4" x14ac:dyDescent="0.3">
      <c r="A8454" s="1192" t="s">
        <v>185</v>
      </c>
      <c r="E8454" s="1741" t="s">
        <v>428</v>
      </c>
      <c r="F8454" s="1741"/>
      <c r="G8454" s="1277" t="s">
        <v>20</v>
      </c>
      <c r="H8454" s="1219">
        <v>5.0000000000000001E-4</v>
      </c>
      <c r="K8454" s="1192" t="s">
        <v>2736</v>
      </c>
      <c r="L8454" s="1192" t="s">
        <v>2374</v>
      </c>
      <c r="P8454" s="1192" t="s">
        <v>2744</v>
      </c>
      <c r="V8454" s="1192">
        <v>57</v>
      </c>
    </row>
    <row r="8455" spans="1:22" s="1192" customFormat="1" ht="14.4" x14ac:dyDescent="0.3">
      <c r="A8455" s="1192" t="s">
        <v>185</v>
      </c>
      <c r="E8455" s="1741" t="s">
        <v>28</v>
      </c>
      <c r="F8455" s="1741"/>
      <c r="G8455" s="1277" t="s">
        <v>19</v>
      </c>
      <c r="H8455" s="1218">
        <v>0.25</v>
      </c>
      <c r="K8455" s="1192" t="s">
        <v>2736</v>
      </c>
      <c r="L8455" s="1192" t="s">
        <v>2374</v>
      </c>
      <c r="P8455" s="1192" t="s">
        <v>2745</v>
      </c>
      <c r="V8455" s="1192">
        <v>63</v>
      </c>
    </row>
    <row r="8456" spans="1:22" s="1192" customFormat="1" ht="17.399999999999999" x14ac:dyDescent="0.3">
      <c r="A8456" s="1192" t="s">
        <v>185</v>
      </c>
      <c r="E8456" s="1746" t="s">
        <v>590</v>
      </c>
      <c r="F8456" s="1747"/>
      <c r="G8456" s="1747"/>
      <c r="H8456" s="1747"/>
      <c r="K8456" s="1192" t="s">
        <v>2746</v>
      </c>
      <c r="V8456" s="1192">
        <v>38</v>
      </c>
    </row>
    <row r="8457" spans="1:22" s="1192" customFormat="1" ht="14.4" x14ac:dyDescent="0.3">
      <c r="A8457" s="1192" t="s">
        <v>185</v>
      </c>
      <c r="E8457" s="1743" t="s">
        <v>3269</v>
      </c>
      <c r="F8457" s="1743"/>
      <c r="G8457" s="1743"/>
      <c r="H8457" s="1743"/>
      <c r="K8457" s="1192" t="s">
        <v>2746</v>
      </c>
      <c r="V8457" s="1192">
        <v>411</v>
      </c>
    </row>
    <row r="8458" spans="1:22" s="1192" customFormat="1" ht="14.4" x14ac:dyDescent="0.3">
      <c r="A8458" s="1192" t="s">
        <v>185</v>
      </c>
      <c r="E8458" s="1750" t="s">
        <v>2389</v>
      </c>
      <c r="F8458" s="1743"/>
      <c r="G8458" s="1743"/>
      <c r="H8458" s="1743"/>
      <c r="K8458" s="1192" t="s">
        <v>2444</v>
      </c>
      <c r="V8458" s="1192">
        <v>11</v>
      </c>
    </row>
    <row r="8459" spans="1:22" s="1192" customFormat="1" ht="14.4" x14ac:dyDescent="0.3">
      <c r="A8459" s="1192" t="s">
        <v>185</v>
      </c>
      <c r="E8459" s="1743" t="s">
        <v>2391</v>
      </c>
      <c r="F8459" s="1743"/>
      <c r="G8459" s="1743"/>
      <c r="H8459" s="1743"/>
      <c r="K8459" s="1192" t="s">
        <v>2746</v>
      </c>
      <c r="V8459" s="1192">
        <v>280</v>
      </c>
    </row>
    <row r="8460" spans="1:22" s="1192" customFormat="1" ht="14.4" x14ac:dyDescent="0.3">
      <c r="A8460" s="1192" t="s">
        <v>185</v>
      </c>
      <c r="E8460" s="1743" t="s">
        <v>2392</v>
      </c>
      <c r="F8460" s="1743"/>
      <c r="G8460" s="1743"/>
      <c r="H8460" s="1743"/>
      <c r="K8460" s="1192" t="s">
        <v>2746</v>
      </c>
      <c r="V8460" s="1192">
        <v>411</v>
      </c>
    </row>
    <row r="8461" spans="1:22" s="1192" customFormat="1" ht="14.4" x14ac:dyDescent="0.3">
      <c r="A8461" s="1192" t="s">
        <v>185</v>
      </c>
      <c r="E8461" s="1743" t="s">
        <v>2508</v>
      </c>
      <c r="F8461" s="1743"/>
      <c r="G8461" s="1743"/>
      <c r="H8461" s="1743"/>
      <c r="K8461" s="1192" t="s">
        <v>2746</v>
      </c>
      <c r="V8461" s="1192">
        <v>386</v>
      </c>
    </row>
    <row r="8462" spans="1:22" s="1192" customFormat="1" ht="14.4" x14ac:dyDescent="0.3">
      <c r="A8462" s="1192" t="s">
        <v>185</v>
      </c>
      <c r="E8462" s="1743" t="s">
        <v>2986</v>
      </c>
      <c r="F8462" s="1743"/>
      <c r="G8462" s="1743"/>
      <c r="H8462" s="1743"/>
      <c r="K8462" s="1192" t="s">
        <v>2746</v>
      </c>
      <c r="V8462" s="1192">
        <v>246</v>
      </c>
    </row>
    <row r="8463" spans="1:22" s="1192" customFormat="1" ht="14.4" x14ac:dyDescent="0.3">
      <c r="A8463" s="1192" t="s">
        <v>185</v>
      </c>
      <c r="E8463" s="1750" t="s">
        <v>2394</v>
      </c>
      <c r="F8463" s="1743"/>
      <c r="G8463" s="1743"/>
      <c r="H8463" s="1743"/>
      <c r="K8463" s="1192" t="s">
        <v>2446</v>
      </c>
      <c r="V8463" s="1192">
        <v>46</v>
      </c>
    </row>
    <row r="8464" spans="1:22" s="1192" customFormat="1" ht="14.4" x14ac:dyDescent="0.3">
      <c r="A8464" s="1192" t="s">
        <v>185</v>
      </c>
      <c r="E8464" s="1741" t="s">
        <v>8</v>
      </c>
      <c r="F8464" s="1741"/>
      <c r="G8464" s="1277" t="s">
        <v>19</v>
      </c>
      <c r="H8464" s="1218">
        <v>5.0599999999999996</v>
      </c>
      <c r="K8464" s="1192" t="s">
        <v>2746</v>
      </c>
      <c r="L8464" s="1192" t="s">
        <v>430</v>
      </c>
      <c r="P8464" s="1192" t="s">
        <v>2747</v>
      </c>
      <c r="V8464" s="1192">
        <v>31</v>
      </c>
    </row>
    <row r="8465" spans="1:22" s="1192" customFormat="1" ht="14.4" x14ac:dyDescent="0.3">
      <c r="A8465" s="1192" t="s">
        <v>185</v>
      </c>
      <c r="E8465" s="1741" t="s">
        <v>80</v>
      </c>
      <c r="F8465" s="1741"/>
      <c r="G8465" s="1277" t="s">
        <v>29</v>
      </c>
      <c r="H8465" s="1219">
        <v>27.154499999999999</v>
      </c>
      <c r="K8465" s="1192" t="s">
        <v>2746</v>
      </c>
      <c r="L8465" s="1192" t="s">
        <v>430</v>
      </c>
      <c r="P8465" s="1192" t="s">
        <v>2748</v>
      </c>
      <c r="V8465" s="1192">
        <v>28</v>
      </c>
    </row>
    <row r="8466" spans="1:22" s="1192" customFormat="1" ht="14.4" x14ac:dyDescent="0.3">
      <c r="A8466" s="1192" t="s">
        <v>185</v>
      </c>
      <c r="E8466" s="1741" t="s">
        <v>14</v>
      </c>
      <c r="F8466" s="1741"/>
      <c r="G8466" s="1277" t="s">
        <v>29</v>
      </c>
      <c r="H8466" s="1219">
        <v>1.9699999999999999E-2</v>
      </c>
      <c r="K8466" s="1192" t="s">
        <v>2746</v>
      </c>
      <c r="L8466" s="1192" t="s">
        <v>431</v>
      </c>
      <c r="P8466" s="1192" t="s">
        <v>2749</v>
      </c>
      <c r="V8466" s="1192">
        <v>24</v>
      </c>
    </row>
    <row r="8467" spans="1:22" s="1192" customFormat="1" ht="14.4" x14ac:dyDescent="0.3">
      <c r="A8467" s="1192" t="s">
        <v>185</v>
      </c>
      <c r="E8467" s="1741" t="s">
        <v>213</v>
      </c>
      <c r="F8467" s="1741"/>
      <c r="G8467" s="1277" t="s">
        <v>29</v>
      </c>
      <c r="H8467" s="1219">
        <v>2.093</v>
      </c>
      <c r="K8467" s="1192" t="s">
        <v>2746</v>
      </c>
      <c r="L8467" s="1192" t="s">
        <v>432</v>
      </c>
      <c r="P8467" s="1192" t="s">
        <v>2751</v>
      </c>
      <c r="V8467" s="1192">
        <v>47</v>
      </c>
    </row>
    <row r="8468" spans="1:22" s="1192" customFormat="1" ht="14.4" x14ac:dyDescent="0.3">
      <c r="A8468" s="1192" t="s">
        <v>185</v>
      </c>
      <c r="E8468" s="1741" t="s">
        <v>209</v>
      </c>
      <c r="F8468" s="1741"/>
      <c r="G8468" s="1277" t="s">
        <v>29</v>
      </c>
      <c r="H8468" s="1219">
        <v>1.8651</v>
      </c>
      <c r="K8468" s="1192" t="s">
        <v>2746</v>
      </c>
      <c r="L8468" s="1192" t="s">
        <v>432</v>
      </c>
      <c r="P8468" s="1192" t="s">
        <v>2752</v>
      </c>
      <c r="V8468" s="1192">
        <v>74</v>
      </c>
    </row>
    <row r="8469" spans="1:22" s="1192" customFormat="1" ht="14.4" x14ac:dyDescent="0.3">
      <c r="A8469" s="1192" t="s">
        <v>185</v>
      </c>
      <c r="E8469" s="1750" t="s">
        <v>2405</v>
      </c>
      <c r="F8469" s="1741"/>
      <c r="G8469" s="1741"/>
      <c r="H8469" s="1741"/>
      <c r="K8469" s="1192" t="s">
        <v>2565</v>
      </c>
      <c r="V8469" s="1192">
        <v>48</v>
      </c>
    </row>
    <row r="8470" spans="1:22" s="1192" customFormat="1" ht="14.4" x14ac:dyDescent="0.3">
      <c r="A8470" s="1192" t="s">
        <v>185</v>
      </c>
      <c r="E8470" s="1741" t="s">
        <v>2033</v>
      </c>
      <c r="F8470" s="1741"/>
      <c r="G8470" s="1277" t="s">
        <v>20</v>
      </c>
      <c r="H8470" s="1219">
        <v>3.0000000000000001E-3</v>
      </c>
      <c r="K8470" s="1192" t="s">
        <v>2746</v>
      </c>
      <c r="L8470" s="1192" t="s">
        <v>2374</v>
      </c>
      <c r="P8470" s="1192" t="s">
        <v>2753</v>
      </c>
      <c r="V8470" s="1192">
        <v>55</v>
      </c>
    </row>
    <row r="8471" spans="1:22" s="1192" customFormat="1" ht="14.4" x14ac:dyDescent="0.3">
      <c r="A8471" s="1192" t="s">
        <v>185</v>
      </c>
      <c r="E8471" s="1741" t="s">
        <v>2034</v>
      </c>
      <c r="F8471" s="1741"/>
      <c r="G8471" s="1277" t="s">
        <v>20</v>
      </c>
      <c r="H8471" s="1219">
        <v>4.0000000000000002E-4</v>
      </c>
      <c r="K8471" s="1192" t="s">
        <v>2746</v>
      </c>
      <c r="L8471" s="1192" t="s">
        <v>2374</v>
      </c>
      <c r="P8471" s="1192" t="s">
        <v>2753</v>
      </c>
      <c r="V8471" s="1192">
        <v>65</v>
      </c>
    </row>
    <row r="8472" spans="1:22" s="1192" customFormat="1" ht="14.4" x14ac:dyDescent="0.3">
      <c r="A8472" s="1192" t="s">
        <v>185</v>
      </c>
      <c r="E8472" s="1741" t="s">
        <v>428</v>
      </c>
      <c r="F8472" s="1741"/>
      <c r="G8472" s="1277" t="s">
        <v>20</v>
      </c>
      <c r="H8472" s="1219">
        <v>5.0000000000000001E-4</v>
      </c>
      <c r="K8472" s="1192" t="s">
        <v>2746</v>
      </c>
      <c r="L8472" s="1192" t="s">
        <v>2374</v>
      </c>
      <c r="P8472" s="1192" t="s">
        <v>2754</v>
      </c>
      <c r="V8472" s="1192">
        <v>57</v>
      </c>
    </row>
    <row r="8473" spans="1:22" s="1192" customFormat="1" ht="14.4" x14ac:dyDescent="0.3">
      <c r="A8473" s="1192" t="s">
        <v>185</v>
      </c>
      <c r="E8473" s="1741" t="s">
        <v>28</v>
      </c>
      <c r="F8473" s="1741"/>
      <c r="G8473" s="1277" t="s">
        <v>19</v>
      </c>
      <c r="H8473" s="1218">
        <v>0.25</v>
      </c>
      <c r="K8473" s="1192" t="s">
        <v>2746</v>
      </c>
      <c r="L8473" s="1192" t="s">
        <v>2374</v>
      </c>
      <c r="P8473" s="1192" t="s">
        <v>2755</v>
      </c>
      <c r="V8473" s="1192">
        <v>63</v>
      </c>
    </row>
    <row r="8474" spans="1:22" s="1192" customFormat="1" ht="17.399999999999999" x14ac:dyDescent="0.3">
      <c r="A8474" s="1192" t="s">
        <v>185</v>
      </c>
      <c r="E8474" s="1746" t="s">
        <v>593</v>
      </c>
      <c r="F8474" s="1747"/>
      <c r="G8474" s="1747"/>
      <c r="H8474" s="1747"/>
      <c r="K8474" s="1192" t="s">
        <v>2756</v>
      </c>
      <c r="V8474" s="1192">
        <v>31</v>
      </c>
    </row>
    <row r="8475" spans="1:22" s="1192" customFormat="1" ht="14.4" x14ac:dyDescent="0.3">
      <c r="A8475" s="1192" t="s">
        <v>185</v>
      </c>
      <c r="E8475" s="1743" t="s">
        <v>2652</v>
      </c>
      <c r="F8475" s="1743"/>
      <c r="G8475" s="1743"/>
      <c r="H8475" s="1743"/>
      <c r="K8475" s="1192" t="s">
        <v>2756</v>
      </c>
      <c r="V8475" s="1192">
        <v>285</v>
      </c>
    </row>
    <row r="8476" spans="1:22" s="1192" customFormat="1" ht="14.4" x14ac:dyDescent="0.3">
      <c r="A8476" s="1192" t="s">
        <v>185</v>
      </c>
      <c r="E8476" s="1750" t="s">
        <v>2389</v>
      </c>
      <c r="F8476" s="1743"/>
      <c r="G8476" s="1743"/>
      <c r="H8476" s="1743"/>
      <c r="K8476" s="1192" t="s">
        <v>2571</v>
      </c>
      <c r="V8476" s="1192">
        <v>11</v>
      </c>
    </row>
    <row r="8477" spans="1:22" s="1192" customFormat="1" ht="14.4" x14ac:dyDescent="0.3">
      <c r="A8477" s="1192" t="s">
        <v>185</v>
      </c>
      <c r="E8477" s="1743" t="s">
        <v>2391</v>
      </c>
      <c r="F8477" s="1743"/>
      <c r="G8477" s="1743"/>
      <c r="H8477" s="1743"/>
      <c r="K8477" s="1192" t="s">
        <v>2756</v>
      </c>
      <c r="V8477" s="1192">
        <v>280</v>
      </c>
    </row>
    <row r="8478" spans="1:22" s="1192" customFormat="1" ht="14.4" x14ac:dyDescent="0.3">
      <c r="A8478" s="1192" t="s">
        <v>185</v>
      </c>
      <c r="E8478" s="1743" t="s">
        <v>2392</v>
      </c>
      <c r="F8478" s="1743"/>
      <c r="G8478" s="1743"/>
      <c r="H8478" s="1743"/>
      <c r="K8478" s="1192" t="s">
        <v>2756</v>
      </c>
      <c r="V8478" s="1192">
        <v>411</v>
      </c>
    </row>
    <row r="8479" spans="1:22" s="1192" customFormat="1" ht="14.4" x14ac:dyDescent="0.3">
      <c r="A8479" s="1192" t="s">
        <v>185</v>
      </c>
      <c r="E8479" s="1743" t="s">
        <v>2445</v>
      </c>
      <c r="F8479" s="1743"/>
      <c r="G8479" s="1743"/>
      <c r="H8479" s="1743"/>
      <c r="K8479" s="1192" t="s">
        <v>2756</v>
      </c>
      <c r="V8479" s="1192">
        <v>211</v>
      </c>
    </row>
    <row r="8480" spans="1:22" s="1192" customFormat="1" ht="14.4" x14ac:dyDescent="0.3">
      <c r="A8480" s="1192" t="s">
        <v>185</v>
      </c>
      <c r="E8480" s="1743" t="s">
        <v>2986</v>
      </c>
      <c r="F8480" s="1743"/>
      <c r="G8480" s="1743"/>
      <c r="H8480" s="1743"/>
      <c r="K8480" s="1192" t="s">
        <v>2756</v>
      </c>
      <c r="V8480" s="1192">
        <v>246</v>
      </c>
    </row>
    <row r="8481" spans="1:22" s="1192" customFormat="1" ht="14.4" x14ac:dyDescent="0.3">
      <c r="A8481" s="1192" t="s">
        <v>185</v>
      </c>
      <c r="E8481" s="1750" t="s">
        <v>2394</v>
      </c>
      <c r="F8481" s="1743"/>
      <c r="G8481" s="1743"/>
      <c r="H8481" s="1743"/>
      <c r="K8481" s="1192" t="s">
        <v>2572</v>
      </c>
      <c r="V8481" s="1192">
        <v>46</v>
      </c>
    </row>
    <row r="8482" spans="1:22" s="1192" customFormat="1" ht="14.4" x14ac:dyDescent="0.3">
      <c r="A8482" s="1192" t="s">
        <v>185</v>
      </c>
      <c r="E8482" s="1741" t="s">
        <v>7</v>
      </c>
      <c r="F8482" s="1741"/>
      <c r="G8482" s="1277" t="s">
        <v>19</v>
      </c>
      <c r="H8482" s="1218">
        <v>4.55</v>
      </c>
      <c r="K8482" s="1192" t="s">
        <v>2756</v>
      </c>
      <c r="L8482" s="1192" t="s">
        <v>430</v>
      </c>
      <c r="P8482" s="1192" t="s">
        <v>2757</v>
      </c>
      <c r="V8482" s="1192">
        <v>14</v>
      </c>
    </row>
    <row r="8483" spans="1:22" s="1192" customFormat="1" x14ac:dyDescent="0.3">
      <c r="A8483" s="1192" t="s">
        <v>185</v>
      </c>
      <c r="E8483" s="1746" t="s">
        <v>81</v>
      </c>
      <c r="F8483" s="1999"/>
      <c r="G8483" s="1999"/>
      <c r="H8483" s="1999"/>
      <c r="K8483" s="1192" t="s">
        <v>3271</v>
      </c>
      <c r="V8483" s="1192">
        <v>10</v>
      </c>
    </row>
    <row r="8484" spans="1:22" s="1192" customFormat="1" ht="14.4" x14ac:dyDescent="0.3">
      <c r="A8484" s="1192" t="s">
        <v>185</v>
      </c>
      <c r="E8484" s="1741" t="s">
        <v>2449</v>
      </c>
      <c r="F8484" s="1741"/>
      <c r="G8484" s="1277" t="s">
        <v>29</v>
      </c>
      <c r="H8484" s="1219">
        <v>-0.6</v>
      </c>
      <c r="V8484" s="1192">
        <v>68</v>
      </c>
    </row>
    <row r="8485" spans="1:22" s="1192" customFormat="1" ht="14.4" x14ac:dyDescent="0.3">
      <c r="A8485" s="1192" t="s">
        <v>185</v>
      </c>
      <c r="E8485" s="1741" t="s">
        <v>2450</v>
      </c>
      <c r="F8485" s="1741"/>
      <c r="G8485" s="843" t="s">
        <v>82</v>
      </c>
      <c r="H8485" s="509">
        <v>-1</v>
      </c>
      <c r="V8485" s="1192">
        <v>87</v>
      </c>
    </row>
    <row r="8486" spans="1:22" s="1192" customFormat="1" x14ac:dyDescent="0.3">
      <c r="A8486" s="1192" t="s">
        <v>185</v>
      </c>
      <c r="E8486" s="1746" t="s">
        <v>83</v>
      </c>
      <c r="F8486" s="1999"/>
      <c r="G8486" s="1999"/>
      <c r="H8486" s="1999"/>
      <c r="K8486" s="1192" t="s">
        <v>3272</v>
      </c>
      <c r="V8486" s="1192">
        <v>24</v>
      </c>
    </row>
    <row r="8487" spans="1:22" s="1192" customFormat="1" ht="14.4" x14ac:dyDescent="0.3">
      <c r="A8487" s="1192" t="s">
        <v>185</v>
      </c>
      <c r="E8487" s="2037" t="s">
        <v>2389</v>
      </c>
      <c r="F8487" s="1743"/>
      <c r="G8487" s="1743"/>
      <c r="H8487" s="1743"/>
      <c r="V8487" s="1192">
        <v>11</v>
      </c>
    </row>
    <row r="8488" spans="1:22" s="1192" customFormat="1" ht="14.4" x14ac:dyDescent="0.3">
      <c r="A8488" s="1192" t="s">
        <v>185</v>
      </c>
      <c r="E8488" s="1743" t="s">
        <v>2391</v>
      </c>
      <c r="F8488" s="1743"/>
      <c r="G8488" s="1743"/>
      <c r="H8488" s="1743"/>
      <c r="V8488" s="1192">
        <v>280</v>
      </c>
    </row>
    <row r="8489" spans="1:22" s="1192" customFormat="1" ht="14.4" x14ac:dyDescent="0.3">
      <c r="A8489" s="1192" t="s">
        <v>185</v>
      </c>
      <c r="E8489" s="1743" t="s">
        <v>2452</v>
      </c>
      <c r="F8489" s="1743"/>
      <c r="G8489" s="1743"/>
      <c r="H8489" s="1743"/>
      <c r="V8489" s="1192">
        <v>353</v>
      </c>
    </row>
    <row r="8490" spans="1:22" s="1192" customFormat="1" ht="14.4" x14ac:dyDescent="0.3">
      <c r="A8490" s="1192" t="s">
        <v>185</v>
      </c>
      <c r="E8490" s="1743" t="s">
        <v>2986</v>
      </c>
      <c r="F8490" s="1743"/>
      <c r="G8490" s="1743"/>
      <c r="H8490" s="1743"/>
      <c r="V8490" s="1192">
        <v>246</v>
      </c>
    </row>
    <row r="8491" spans="1:22" s="1192" customFormat="1" ht="14.4" x14ac:dyDescent="0.3">
      <c r="A8491" s="1192" t="s">
        <v>185</v>
      </c>
      <c r="E8491" s="1750" t="s">
        <v>2453</v>
      </c>
      <c r="F8491" s="1998"/>
      <c r="G8491" s="1998"/>
      <c r="H8491" s="1998"/>
      <c r="K8491" s="1192" t="s">
        <v>3273</v>
      </c>
      <c r="V8491" s="1192">
        <v>23</v>
      </c>
    </row>
    <row r="8492" spans="1:22" s="1192" customFormat="1" ht="14.4" x14ac:dyDescent="0.3">
      <c r="A8492" s="1192" t="s">
        <v>185</v>
      </c>
      <c r="E8492" s="1942" t="s">
        <v>2465</v>
      </c>
      <c r="F8492" s="1942"/>
      <c r="G8492" s="1277" t="s">
        <v>19</v>
      </c>
      <c r="H8492" s="1218">
        <v>15</v>
      </c>
      <c r="V8492" s="1192">
        <v>35</v>
      </c>
    </row>
    <row r="8493" spans="1:22" s="1192" customFormat="1" ht="14.4" x14ac:dyDescent="0.3">
      <c r="A8493" s="1192" t="s">
        <v>185</v>
      </c>
      <c r="E8493" s="1942" t="s">
        <v>2467</v>
      </c>
      <c r="F8493" s="1942"/>
      <c r="G8493" s="1277" t="s">
        <v>19</v>
      </c>
      <c r="H8493" s="1218">
        <v>15</v>
      </c>
      <c r="V8493" s="1192">
        <v>19</v>
      </c>
    </row>
    <row r="8494" spans="1:22" s="1192" customFormat="1" ht="14.4" x14ac:dyDescent="0.3">
      <c r="A8494" s="1192" t="s">
        <v>185</v>
      </c>
      <c r="E8494" s="1942" t="s">
        <v>84</v>
      </c>
      <c r="F8494" s="1942"/>
      <c r="G8494" s="1277" t="s">
        <v>19</v>
      </c>
      <c r="H8494" s="1218">
        <v>30</v>
      </c>
      <c r="V8494" s="1192">
        <v>89</v>
      </c>
    </row>
    <row r="8495" spans="1:22" s="1192" customFormat="1" ht="14.4" x14ac:dyDescent="0.3">
      <c r="A8495" s="1192" t="s">
        <v>185</v>
      </c>
      <c r="E8495" s="1942" t="s">
        <v>90</v>
      </c>
      <c r="F8495" s="1942"/>
      <c r="G8495" s="1277" t="s">
        <v>19</v>
      </c>
      <c r="H8495" s="1218">
        <v>30</v>
      </c>
      <c r="V8495" s="1192">
        <v>19</v>
      </c>
    </row>
    <row r="8496" spans="1:22" s="1192" customFormat="1" ht="14.4" x14ac:dyDescent="0.3">
      <c r="A8496" s="1192" t="s">
        <v>185</v>
      </c>
      <c r="E8496" s="1942" t="s">
        <v>88</v>
      </c>
      <c r="F8496" s="1942"/>
      <c r="G8496" s="1277" t="s">
        <v>19</v>
      </c>
      <c r="H8496" s="1218">
        <v>30</v>
      </c>
      <c r="V8496" s="1192">
        <v>74</v>
      </c>
    </row>
    <row r="8497" spans="1:22" s="1192" customFormat="1" ht="14.4" x14ac:dyDescent="0.3">
      <c r="A8497" s="1192" t="s">
        <v>185</v>
      </c>
      <c r="E8497" s="1750" t="s">
        <v>6191</v>
      </c>
      <c r="F8497" s="1998"/>
      <c r="G8497" s="1998"/>
      <c r="H8497" s="1998"/>
      <c r="V8497" s="1192">
        <v>23</v>
      </c>
    </row>
    <row r="8498" spans="1:22" s="1192" customFormat="1" ht="14.4" x14ac:dyDescent="0.3">
      <c r="A8498" s="1192" t="s">
        <v>185</v>
      </c>
      <c r="E8498" s="1942" t="s">
        <v>5940</v>
      </c>
      <c r="F8498" s="1942"/>
      <c r="G8498" s="1277" t="s">
        <v>82</v>
      </c>
      <c r="H8498" s="1218">
        <v>1.5</v>
      </c>
      <c r="V8498" s="1192">
        <v>99</v>
      </c>
    </row>
    <row r="8499" spans="1:22" s="1192" customFormat="1" ht="14.4" x14ac:dyDescent="0.3">
      <c r="A8499" s="1192" t="s">
        <v>185</v>
      </c>
      <c r="E8499" s="1942" t="s">
        <v>6106</v>
      </c>
      <c r="F8499" s="1942"/>
      <c r="G8499" s="1277" t="s">
        <v>19</v>
      </c>
      <c r="H8499" s="1218">
        <v>65</v>
      </c>
      <c r="V8499" s="1192">
        <v>44</v>
      </c>
    </row>
    <row r="8500" spans="1:22" s="1192" customFormat="1" ht="14.4" x14ac:dyDescent="0.3">
      <c r="A8500" s="1192" t="s">
        <v>185</v>
      </c>
      <c r="E8500" s="1942" t="s">
        <v>6107</v>
      </c>
      <c r="F8500" s="1942"/>
      <c r="G8500" s="1277" t="s">
        <v>19</v>
      </c>
      <c r="H8500" s="1218">
        <v>165</v>
      </c>
      <c r="V8500" s="1192">
        <v>43</v>
      </c>
    </row>
    <row r="8501" spans="1:22" s="1192" customFormat="1" ht="14.4" x14ac:dyDescent="0.3">
      <c r="A8501" s="1192" t="s">
        <v>185</v>
      </c>
      <c r="E8501" s="1750" t="s">
        <v>2474</v>
      </c>
      <c r="F8501" s="1998"/>
      <c r="G8501" s="1998"/>
      <c r="H8501" s="1998"/>
      <c r="V8501" s="1192">
        <v>5</v>
      </c>
    </row>
    <row r="8502" spans="1:22" s="1192" customFormat="1" ht="14.4" x14ac:dyDescent="0.3">
      <c r="A8502" s="1192" t="s">
        <v>185</v>
      </c>
      <c r="E8502" s="1942" t="s">
        <v>2477</v>
      </c>
      <c r="F8502" s="1942"/>
      <c r="G8502" s="1277" t="s">
        <v>19</v>
      </c>
      <c r="H8502" s="1218">
        <v>30</v>
      </c>
      <c r="V8502" s="1192">
        <v>39</v>
      </c>
    </row>
    <row r="8503" spans="1:22" s="1192" customFormat="1" ht="14.4" x14ac:dyDescent="0.3">
      <c r="A8503" s="1192" t="s">
        <v>185</v>
      </c>
      <c r="E8503" s="1942" t="s">
        <v>2768</v>
      </c>
      <c r="F8503" s="1942"/>
      <c r="G8503" s="1277" t="s">
        <v>19</v>
      </c>
      <c r="H8503" s="1218">
        <v>44.5</v>
      </c>
      <c r="V8503" s="1192">
        <v>104</v>
      </c>
    </row>
    <row r="8504" spans="1:22" s="1192" customFormat="1" x14ac:dyDescent="0.3">
      <c r="A8504" s="1192" t="s">
        <v>185</v>
      </c>
      <c r="E8504" s="1746" t="s">
        <v>73</v>
      </c>
      <c r="F8504" s="1999"/>
      <c r="G8504" s="1999"/>
      <c r="H8504" s="1999"/>
      <c r="K8504" s="1192" t="s">
        <v>3274</v>
      </c>
      <c r="V8504" s="1192">
        <v>38</v>
      </c>
    </row>
    <row r="8505" spans="1:22" s="1192" customFormat="1" ht="14.4" x14ac:dyDescent="0.3">
      <c r="A8505" s="1192" t="s">
        <v>185</v>
      </c>
      <c r="E8505" s="2037" t="s">
        <v>2389</v>
      </c>
      <c r="F8505" s="1743"/>
      <c r="G8505" s="1743"/>
      <c r="H8505" s="1743"/>
      <c r="K8505" s="1192" t="s">
        <v>2571</v>
      </c>
      <c r="V8505" s="1192">
        <v>11</v>
      </c>
    </row>
    <row r="8506" spans="1:22" s="1192" customFormat="1" ht="14.4" x14ac:dyDescent="0.3">
      <c r="A8506" s="1192" t="s">
        <v>185</v>
      </c>
      <c r="E8506" s="1743" t="s">
        <v>2391</v>
      </c>
      <c r="F8506" s="1743"/>
      <c r="G8506" s="1743"/>
      <c r="H8506" s="1743"/>
      <c r="V8506" s="1192">
        <v>280</v>
      </c>
    </row>
    <row r="8507" spans="1:22" s="1192" customFormat="1" ht="14.4" x14ac:dyDescent="0.3">
      <c r="A8507" s="1192" t="s">
        <v>185</v>
      </c>
      <c r="E8507" s="1743" t="s">
        <v>2392</v>
      </c>
      <c r="F8507" s="1743"/>
      <c r="G8507" s="1743"/>
      <c r="H8507" s="1743"/>
      <c r="V8507" s="1192">
        <v>411</v>
      </c>
    </row>
    <row r="8508" spans="1:22" s="1192" customFormat="1" ht="14.4" x14ac:dyDescent="0.3">
      <c r="A8508" s="1192" t="s">
        <v>185</v>
      </c>
      <c r="E8508" s="1743" t="s">
        <v>2445</v>
      </c>
      <c r="F8508" s="1743"/>
      <c r="G8508" s="1743"/>
      <c r="H8508" s="1743"/>
      <c r="V8508" s="1192">
        <v>211</v>
      </c>
    </row>
    <row r="8509" spans="1:22" s="1192" customFormat="1" ht="14.4" x14ac:dyDescent="0.3">
      <c r="A8509" s="1192" t="s">
        <v>185</v>
      </c>
      <c r="E8509" s="1743" t="s">
        <v>2986</v>
      </c>
      <c r="F8509" s="1743"/>
      <c r="G8509" s="1743"/>
      <c r="H8509" s="1743"/>
      <c r="V8509" s="1192">
        <v>246</v>
      </c>
    </row>
    <row r="8510" spans="1:22" s="1192" customFormat="1" ht="14.4" x14ac:dyDescent="0.3">
      <c r="A8510" s="1192" t="s">
        <v>185</v>
      </c>
      <c r="E8510" s="1741" t="s">
        <v>2876</v>
      </c>
      <c r="F8510" s="1741"/>
      <c r="G8510" s="1998"/>
      <c r="H8510" s="1998"/>
      <c r="V8510" s="1192">
        <v>117</v>
      </c>
    </row>
    <row r="8511" spans="1:22" s="1192" customFormat="1" ht="14.4" x14ac:dyDescent="0.3">
      <c r="A8511" s="1192" t="s">
        <v>185</v>
      </c>
      <c r="E8511" s="1741" t="s">
        <v>2877</v>
      </c>
      <c r="F8511" s="1741"/>
      <c r="G8511" s="1998"/>
      <c r="H8511" s="1998"/>
      <c r="V8511" s="1192">
        <v>23</v>
      </c>
    </row>
    <row r="8512" spans="1:22" s="1192" customFormat="1" ht="14.4" x14ac:dyDescent="0.3">
      <c r="A8512" s="1192" t="s">
        <v>185</v>
      </c>
      <c r="E8512" s="1741" t="s">
        <v>2485</v>
      </c>
      <c r="F8512" s="1741"/>
      <c r="G8512" s="1277" t="s">
        <v>19</v>
      </c>
      <c r="H8512" s="1218">
        <v>102</v>
      </c>
      <c r="V8512" s="1192">
        <v>106</v>
      </c>
    </row>
    <row r="8513" spans="1:22" s="1192" customFormat="1" ht="14.4" x14ac:dyDescent="0.3">
      <c r="A8513" s="1192" t="s">
        <v>185</v>
      </c>
      <c r="E8513" s="1741" t="s">
        <v>2486</v>
      </c>
      <c r="F8513" s="1741"/>
      <c r="G8513" s="1277" t="s">
        <v>19</v>
      </c>
      <c r="H8513" s="1218">
        <v>40.799999999999997</v>
      </c>
      <c r="V8513" s="1192">
        <v>34</v>
      </c>
    </row>
    <row r="8514" spans="1:22" s="1192" customFormat="1" ht="14.4" x14ac:dyDescent="0.3">
      <c r="A8514" s="1192" t="s">
        <v>185</v>
      </c>
      <c r="E8514" s="1741" t="s">
        <v>2487</v>
      </c>
      <c r="F8514" s="1741"/>
      <c r="G8514" s="1277" t="s">
        <v>19</v>
      </c>
      <c r="H8514" s="1218">
        <v>1.02</v>
      </c>
      <c r="V8514" s="1192">
        <v>51</v>
      </c>
    </row>
    <row r="8515" spans="1:22" s="1192" customFormat="1" ht="14.4" x14ac:dyDescent="0.3">
      <c r="A8515" s="1192" t="s">
        <v>185</v>
      </c>
      <c r="E8515" s="1741" t="s">
        <v>2489</v>
      </c>
      <c r="F8515" s="1741"/>
      <c r="G8515" s="1277" t="s">
        <v>19</v>
      </c>
      <c r="H8515" s="1218">
        <v>0.61</v>
      </c>
      <c r="V8515" s="1192">
        <v>75</v>
      </c>
    </row>
    <row r="8516" spans="1:22" s="1192" customFormat="1" ht="14.4" x14ac:dyDescent="0.3">
      <c r="A8516" s="1192" t="s">
        <v>185</v>
      </c>
      <c r="E8516" s="1941" t="s">
        <v>2490</v>
      </c>
      <c r="F8516" s="1941"/>
      <c r="G8516" s="1277" t="s">
        <v>19</v>
      </c>
      <c r="H8516" s="1218">
        <v>-0.61</v>
      </c>
      <c r="V8516" s="1192">
        <v>72</v>
      </c>
    </row>
    <row r="8517" spans="1:22" s="1192" customFormat="1" ht="14.4" x14ac:dyDescent="0.3">
      <c r="A8517" s="1192" t="s">
        <v>185</v>
      </c>
      <c r="E8517" s="1941" t="s">
        <v>2596</v>
      </c>
      <c r="F8517" s="1941"/>
      <c r="G8517" s="1740"/>
      <c r="H8517" s="1740"/>
      <c r="V8517" s="1192">
        <v>34</v>
      </c>
    </row>
    <row r="8518" spans="1:22" s="1192" customFormat="1" ht="14.4" x14ac:dyDescent="0.3">
      <c r="A8518" s="1192" t="s">
        <v>185</v>
      </c>
      <c r="E8518" s="1741" t="s">
        <v>4674</v>
      </c>
      <c r="F8518" s="1741"/>
      <c r="G8518" s="1277" t="s">
        <v>19</v>
      </c>
      <c r="H8518" s="1218">
        <v>0.51</v>
      </c>
      <c r="V8518" s="1192">
        <v>79</v>
      </c>
    </row>
    <row r="8519" spans="1:22" s="1192" customFormat="1" ht="14.4" x14ac:dyDescent="0.3">
      <c r="A8519" s="1192" t="s">
        <v>185</v>
      </c>
      <c r="E8519" s="1741" t="s">
        <v>4675</v>
      </c>
      <c r="F8519" s="1741"/>
      <c r="G8519" s="1277" t="s">
        <v>19</v>
      </c>
      <c r="H8519" s="1218">
        <v>1.02</v>
      </c>
      <c r="V8519" s="1192">
        <v>82</v>
      </c>
    </row>
    <row r="8520" spans="1:22" s="1192" customFormat="1" ht="14.4" x14ac:dyDescent="0.3">
      <c r="A8520" s="1192" t="s">
        <v>185</v>
      </c>
      <c r="E8520" s="1741" t="s">
        <v>2494</v>
      </c>
      <c r="F8520" s="1741"/>
      <c r="G8520" s="1998"/>
      <c r="H8520" s="1998"/>
      <c r="V8520" s="1192">
        <v>91</v>
      </c>
    </row>
    <row r="8521" spans="1:22" s="1192" customFormat="1" ht="14.4" x14ac:dyDescent="0.3">
      <c r="A8521" s="1192" t="s">
        <v>185</v>
      </c>
      <c r="E8521" s="1941" t="s">
        <v>2495</v>
      </c>
      <c r="F8521" s="1941"/>
      <c r="G8521" s="2042"/>
      <c r="H8521" s="2042"/>
      <c r="V8521" s="1192">
        <v>96</v>
      </c>
    </row>
    <row r="8522" spans="1:22" s="1192" customFormat="1" ht="14.4" x14ac:dyDescent="0.3">
      <c r="A8522" s="1192" t="s">
        <v>185</v>
      </c>
      <c r="E8522" s="1941" t="s">
        <v>2597</v>
      </c>
      <c r="F8522" s="1941"/>
      <c r="G8522" s="2042"/>
      <c r="H8522" s="2042"/>
      <c r="V8522" s="1192">
        <v>77</v>
      </c>
    </row>
    <row r="8523" spans="1:22" s="1192" customFormat="1" ht="14.4" x14ac:dyDescent="0.3">
      <c r="A8523" s="1192" t="s">
        <v>185</v>
      </c>
      <c r="E8523" s="1741" t="s">
        <v>4676</v>
      </c>
      <c r="F8523" s="1998"/>
      <c r="G8523" s="1277" t="s">
        <v>19</v>
      </c>
      <c r="H8523" s="837" t="s">
        <v>2498</v>
      </c>
      <c r="V8523" s="1192">
        <v>40</v>
      </c>
    </row>
    <row r="8524" spans="1:22" s="1192" customFormat="1" ht="14.4" x14ac:dyDescent="0.3">
      <c r="A8524" s="1192" t="s">
        <v>185</v>
      </c>
      <c r="E8524" s="1741" t="s">
        <v>4677</v>
      </c>
      <c r="F8524" s="1998"/>
      <c r="G8524" s="1277" t="s">
        <v>19</v>
      </c>
      <c r="H8524" s="1218">
        <v>4.08</v>
      </c>
      <c r="V8524" s="1192">
        <v>91</v>
      </c>
    </row>
    <row r="8525" spans="1:22" s="1192" customFormat="1" ht="14.4" x14ac:dyDescent="0.3">
      <c r="A8525" s="1192" t="s">
        <v>185</v>
      </c>
      <c r="E8525" s="1741" t="s">
        <v>4608</v>
      </c>
      <c r="F8525" s="1741"/>
      <c r="G8525" s="1277" t="s">
        <v>19</v>
      </c>
      <c r="H8525" s="1218">
        <v>2.04</v>
      </c>
      <c r="V8525" s="1192">
        <v>199</v>
      </c>
    </row>
    <row r="8526" spans="1:22" s="1192" customFormat="1" x14ac:dyDescent="0.3">
      <c r="A8526" s="1192" t="s">
        <v>185</v>
      </c>
      <c r="E8526" s="1746" t="s">
        <v>143</v>
      </c>
      <c r="F8526" s="1999"/>
      <c r="G8526" s="1999"/>
      <c r="H8526" s="1999"/>
      <c r="K8526" s="1192" t="s">
        <v>3275</v>
      </c>
      <c r="V8526" s="1192">
        <v>12</v>
      </c>
    </row>
    <row r="8527" spans="1:22" s="1192" customFormat="1" ht="14.4" x14ac:dyDescent="0.3">
      <c r="A8527" s="1192" t="s">
        <v>185</v>
      </c>
      <c r="E8527" s="1741" t="s">
        <v>2501</v>
      </c>
      <c r="F8527" s="1741"/>
      <c r="G8527" s="1741"/>
      <c r="H8527" s="1741"/>
      <c r="V8527" s="1192">
        <v>203</v>
      </c>
    </row>
    <row r="8528" spans="1:22" s="1192" customFormat="1" ht="14.4" x14ac:dyDescent="0.3">
      <c r="A8528" s="1192" t="s">
        <v>185</v>
      </c>
      <c r="E8528" s="1741" t="s">
        <v>2599</v>
      </c>
      <c r="F8528" s="1741"/>
      <c r="G8528" s="1277"/>
      <c r="H8528" s="837">
        <v>1.0470999999999999</v>
      </c>
      <c r="V8528" s="1192">
        <v>57</v>
      </c>
    </row>
    <row r="8529" spans="1:22" s="1192" customFormat="1" ht="14.4" x14ac:dyDescent="0.3">
      <c r="A8529" s="1192" t="s">
        <v>185</v>
      </c>
      <c r="E8529" s="1741" t="s">
        <v>2601</v>
      </c>
      <c r="F8529" s="1741"/>
      <c r="G8529" s="1277"/>
      <c r="H8529" s="837">
        <v>1.0366</v>
      </c>
      <c r="J8529" s="1192" t="s">
        <v>3276</v>
      </c>
      <c r="V8529" s="1192">
        <v>55</v>
      </c>
    </row>
    <row r="8530" spans="1:22" s="1192" customFormat="1" ht="22.8" x14ac:dyDescent="0.3">
      <c r="A8530" s="1192" t="s">
        <v>173</v>
      </c>
      <c r="C8530" s="1192" t="s">
        <v>2378</v>
      </c>
      <c r="E8530" s="1752" t="s">
        <v>173</v>
      </c>
      <c r="F8530" s="1752"/>
      <c r="G8530" s="1752"/>
      <c r="H8530" s="1752"/>
      <c r="I8530" s="1192" t="s">
        <v>603</v>
      </c>
      <c r="J8530" s="1192" t="s">
        <v>3638</v>
      </c>
      <c r="K8530" s="1192" t="s">
        <v>173</v>
      </c>
      <c r="M8530" s="1192">
        <v>8</v>
      </c>
      <c r="V8530" s="1192">
        <v>18</v>
      </c>
    </row>
    <row r="8531" spans="1:22" s="1192" customFormat="1" ht="17.399999999999999" x14ac:dyDescent="0.3">
      <c r="A8531" s="1192" t="s">
        <v>173</v>
      </c>
      <c r="C8531" s="1192" t="s">
        <v>2380</v>
      </c>
      <c r="E8531" s="1753" t="s">
        <v>2381</v>
      </c>
      <c r="F8531" s="1753"/>
      <c r="G8531" s="1753"/>
      <c r="H8531" s="1753"/>
      <c r="V8531" s="1192">
        <v>27</v>
      </c>
    </row>
    <row r="8532" spans="1:22" s="1192" customFormat="1" ht="15.6" x14ac:dyDescent="0.3">
      <c r="A8532" s="1192" t="s">
        <v>173</v>
      </c>
      <c r="C8532" s="1192" t="s">
        <v>2382</v>
      </c>
      <c r="E8532" s="1754" t="s">
        <v>6482</v>
      </c>
      <c r="F8532" s="1754"/>
      <c r="G8532" s="1754"/>
      <c r="H8532" s="1754"/>
      <c r="S8532" s="1192">
        <v>43952</v>
      </c>
      <c r="V8532" s="1192">
        <v>45</v>
      </c>
    </row>
    <row r="8533" spans="1:22" s="1192" customFormat="1" ht="14.4" x14ac:dyDescent="0.3">
      <c r="A8533" s="1192" t="s">
        <v>173</v>
      </c>
      <c r="C8533" s="1192" t="s">
        <v>2383</v>
      </c>
      <c r="E8533" s="1755" t="s">
        <v>2384</v>
      </c>
      <c r="F8533" s="1755"/>
      <c r="G8533" s="1755"/>
      <c r="H8533" s="1755"/>
      <c r="V8533" s="1192">
        <v>52</v>
      </c>
    </row>
    <row r="8534" spans="1:22" s="1192" customFormat="1" ht="14.4" x14ac:dyDescent="0.3">
      <c r="A8534" s="1192" t="s">
        <v>173</v>
      </c>
      <c r="E8534" s="1755" t="s">
        <v>2385</v>
      </c>
      <c r="F8534" s="1755"/>
      <c r="G8534" s="1755"/>
      <c r="H8534" s="1755"/>
      <c r="V8534" s="1192">
        <v>53</v>
      </c>
    </row>
    <row r="8535" spans="1:22" s="1192" customFormat="1" ht="14.4" x14ac:dyDescent="0.3">
      <c r="A8535" s="1192" t="s">
        <v>173</v>
      </c>
      <c r="E8535" s="1772" t="s">
        <v>6533</v>
      </c>
      <c r="F8535" s="1772"/>
      <c r="G8535" s="1772"/>
      <c r="H8535" s="1772"/>
      <c r="K8535" s="1192" t="s">
        <v>6533</v>
      </c>
      <c r="V8535" s="1192">
        <v>12</v>
      </c>
    </row>
    <row r="8536" spans="1:22" s="1192" customFormat="1" ht="14.4" x14ac:dyDescent="0.3">
      <c r="A8536" s="1192" t="s">
        <v>173</v>
      </c>
      <c r="E8536" s="1746" t="s">
        <v>427</v>
      </c>
      <c r="F8536" s="1743"/>
      <c r="G8536" s="1743"/>
      <c r="H8536" s="1743"/>
      <c r="K8536" s="1192" t="s">
        <v>2506</v>
      </c>
      <c r="V8536" s="1192">
        <v>34</v>
      </c>
    </row>
    <row r="8537" spans="1:22" s="1192" customFormat="1" ht="14.4" x14ac:dyDescent="0.3">
      <c r="A8537" s="1192" t="s">
        <v>173</v>
      </c>
      <c r="E8537" s="1743" t="s">
        <v>3639</v>
      </c>
      <c r="F8537" s="1743"/>
      <c r="G8537" s="1743"/>
      <c r="H8537" s="1743"/>
      <c r="K8537" s="1192" t="s">
        <v>2506</v>
      </c>
      <c r="V8537" s="1192">
        <v>473</v>
      </c>
    </row>
    <row r="8538" spans="1:22" s="1192" customFormat="1" ht="14.4" x14ac:dyDescent="0.3">
      <c r="A8538" s="1192" t="s">
        <v>173</v>
      </c>
      <c r="E8538" s="1750" t="s">
        <v>2389</v>
      </c>
      <c r="F8538" s="1743"/>
      <c r="G8538" s="1743"/>
      <c r="H8538" s="1743"/>
      <c r="K8538" s="1192" t="s">
        <v>2390</v>
      </c>
      <c r="V8538" s="1192">
        <v>11</v>
      </c>
    </row>
    <row r="8539" spans="1:22" s="1192" customFormat="1" ht="14.4" x14ac:dyDescent="0.3">
      <c r="A8539" s="1192" t="s">
        <v>173</v>
      </c>
      <c r="E8539" s="1743" t="s">
        <v>2391</v>
      </c>
      <c r="F8539" s="1743"/>
      <c r="G8539" s="1743"/>
      <c r="H8539" s="1743"/>
      <c r="K8539" s="1192" t="s">
        <v>2506</v>
      </c>
      <c r="V8539" s="1192">
        <v>280</v>
      </c>
    </row>
    <row r="8540" spans="1:22" s="1192" customFormat="1" ht="14.4" x14ac:dyDescent="0.3">
      <c r="A8540" s="1192" t="s">
        <v>173</v>
      </c>
      <c r="E8540" s="1743" t="s">
        <v>2392</v>
      </c>
      <c r="F8540" s="1743"/>
      <c r="G8540" s="1743"/>
      <c r="H8540" s="1743"/>
      <c r="K8540" s="1192" t="s">
        <v>2506</v>
      </c>
      <c r="V8540" s="1192">
        <v>411</v>
      </c>
    </row>
    <row r="8541" spans="1:22" s="1192" customFormat="1" ht="14.4" x14ac:dyDescent="0.3">
      <c r="A8541" s="1192" t="s">
        <v>173</v>
      </c>
      <c r="E8541" s="1743" t="s">
        <v>2508</v>
      </c>
      <c r="F8541" s="1743"/>
      <c r="G8541" s="1743"/>
      <c r="H8541" s="1743"/>
      <c r="K8541" s="1192" t="s">
        <v>2506</v>
      </c>
      <c r="V8541" s="1192">
        <v>386</v>
      </c>
    </row>
    <row r="8542" spans="1:22" s="1192" customFormat="1" ht="14.4" x14ac:dyDescent="0.3">
      <c r="A8542" s="1192" t="s">
        <v>173</v>
      </c>
      <c r="E8542" s="1743" t="s">
        <v>4500</v>
      </c>
      <c r="F8542" s="1743"/>
      <c r="G8542" s="1743"/>
      <c r="H8542" s="1743"/>
      <c r="K8542" s="1192" t="s">
        <v>2506</v>
      </c>
      <c r="V8542" s="1192">
        <v>247</v>
      </c>
    </row>
    <row r="8543" spans="1:22" s="1192" customFormat="1" ht="14.4" x14ac:dyDescent="0.3">
      <c r="A8543" s="1192" t="s">
        <v>173</v>
      </c>
      <c r="E8543" s="1750" t="s">
        <v>2394</v>
      </c>
      <c r="F8543" s="1743"/>
      <c r="G8543" s="1743"/>
      <c r="H8543" s="1743"/>
      <c r="K8543" s="1192" t="s">
        <v>2395</v>
      </c>
      <c r="V8543" s="1192">
        <v>46</v>
      </c>
    </row>
    <row r="8544" spans="1:22" s="1192" customFormat="1" ht="14.4" x14ac:dyDescent="0.3">
      <c r="A8544" s="1192" t="s">
        <v>173</v>
      </c>
      <c r="E8544" s="1741" t="s">
        <v>7</v>
      </c>
      <c r="F8544" s="1741"/>
      <c r="G8544" s="1277" t="s">
        <v>19</v>
      </c>
      <c r="H8544" s="1218">
        <v>18.8</v>
      </c>
      <c r="K8544" s="1192" t="s">
        <v>2506</v>
      </c>
      <c r="L8544" s="1192" t="s">
        <v>430</v>
      </c>
      <c r="P8544" s="1192" t="s">
        <v>2510</v>
      </c>
      <c r="V8544" s="1192">
        <v>14</v>
      </c>
    </row>
    <row r="8545" spans="1:22" s="1192" customFormat="1" ht="14.4" x14ac:dyDescent="0.3">
      <c r="A8545" s="1192" t="s">
        <v>173</v>
      </c>
      <c r="E8545" s="1741" t="s">
        <v>3900</v>
      </c>
      <c r="F8545" s="1741"/>
      <c r="G8545" s="1277" t="s">
        <v>19</v>
      </c>
      <c r="H8545" s="1218">
        <v>0.56999999999999995</v>
      </c>
      <c r="K8545" s="1192" t="s">
        <v>2506</v>
      </c>
      <c r="L8545" s="1192" t="s">
        <v>431</v>
      </c>
      <c r="P8545" s="1192" t="s">
        <v>2511</v>
      </c>
      <c r="T8545" s="1192">
        <v>44926</v>
      </c>
      <c r="V8545" s="1192">
        <v>64</v>
      </c>
    </row>
    <row r="8546" spans="1:22" s="1192" customFormat="1" ht="14.4" x14ac:dyDescent="0.3">
      <c r="A8546" s="1192" t="s">
        <v>173</v>
      </c>
      <c r="E8546" s="1741" t="s">
        <v>14</v>
      </c>
      <c r="F8546" s="1741"/>
      <c r="G8546" s="1277" t="s">
        <v>20</v>
      </c>
      <c r="H8546" s="1219">
        <v>1.1999999999999999E-3</v>
      </c>
      <c r="K8546" s="1192" t="s">
        <v>2506</v>
      </c>
      <c r="L8546" s="1192" t="s">
        <v>431</v>
      </c>
      <c r="P8546" s="1192" t="s">
        <v>2513</v>
      </c>
      <c r="V8546" s="1192">
        <v>24</v>
      </c>
    </row>
    <row r="8547" spans="1:22" s="1192" customFormat="1" ht="14.4" x14ac:dyDescent="0.3">
      <c r="A8547" s="1192" t="s">
        <v>173</v>
      </c>
      <c r="E8547" s="1741" t="s">
        <v>6534</v>
      </c>
      <c r="F8547" s="1998"/>
      <c r="G8547" s="1277" t="s">
        <v>20</v>
      </c>
      <c r="H8547" s="1219">
        <v>-1E-4</v>
      </c>
      <c r="K8547" s="1192" t="s">
        <v>2506</v>
      </c>
      <c r="L8547" s="1192" t="s">
        <v>431</v>
      </c>
      <c r="P8547" s="1192" t="s">
        <v>3897</v>
      </c>
      <c r="T8547" s="1192">
        <v>44316</v>
      </c>
      <c r="V8547" s="1192">
        <v>175</v>
      </c>
    </row>
    <row r="8548" spans="1:22" s="1192" customFormat="1" ht="14.4" x14ac:dyDescent="0.3">
      <c r="A8548" s="1192" t="s">
        <v>173</v>
      </c>
      <c r="E8548" s="1741" t="s">
        <v>6535</v>
      </c>
      <c r="F8548" s="1998"/>
      <c r="G8548" s="1277" t="s">
        <v>20</v>
      </c>
      <c r="H8548" s="1219">
        <v>1E-3</v>
      </c>
      <c r="K8548" s="1192" t="s">
        <v>2506</v>
      </c>
      <c r="L8548" s="1192" t="s">
        <v>431</v>
      </c>
      <c r="P8548" s="1192" t="s">
        <v>2516</v>
      </c>
      <c r="T8548" s="1192">
        <v>44316</v>
      </c>
      <c r="V8548" s="1192">
        <v>132</v>
      </c>
    </row>
    <row r="8549" spans="1:22" s="1192" customFormat="1" ht="14.4" x14ac:dyDescent="0.3">
      <c r="A8549" s="1192" t="s">
        <v>173</v>
      </c>
      <c r="E8549" s="1741" t="s">
        <v>4645</v>
      </c>
      <c r="F8549" s="1741"/>
      <c r="G8549" s="1277" t="s">
        <v>20</v>
      </c>
      <c r="H8549" s="1219">
        <v>4.4999999999999997E-3</v>
      </c>
      <c r="K8549" s="1192" t="s">
        <v>2506</v>
      </c>
      <c r="L8549" s="1192" t="s">
        <v>431</v>
      </c>
      <c r="P8549" s="1192" t="s">
        <v>6536</v>
      </c>
      <c r="T8549" s="1192">
        <v>44681</v>
      </c>
      <c r="V8549" s="1192">
        <v>125</v>
      </c>
    </row>
    <row r="8550" spans="1:22" s="1192" customFormat="1" ht="14.4" x14ac:dyDescent="0.3">
      <c r="A8550" s="1192" t="s">
        <v>173</v>
      </c>
      <c r="E8550" s="1741" t="s">
        <v>213</v>
      </c>
      <c r="F8550" s="1741"/>
      <c r="G8550" s="1277" t="s">
        <v>20</v>
      </c>
      <c r="H8550" s="1219">
        <v>7.7000000000000002E-3</v>
      </c>
      <c r="K8550" s="1192" t="s">
        <v>2506</v>
      </c>
      <c r="L8550" s="1192" t="s">
        <v>432</v>
      </c>
      <c r="P8550" s="1192" t="s">
        <v>2517</v>
      </c>
      <c r="V8550" s="1192">
        <v>47</v>
      </c>
    </row>
    <row r="8551" spans="1:22" s="1192" customFormat="1" ht="14.4" x14ac:dyDescent="0.3">
      <c r="A8551" s="1192" t="s">
        <v>173</v>
      </c>
      <c r="E8551" s="1741" t="s">
        <v>209</v>
      </c>
      <c r="F8551" s="1741"/>
      <c r="G8551" s="1277" t="s">
        <v>20</v>
      </c>
      <c r="H8551" s="1219">
        <v>6.0000000000000001E-3</v>
      </c>
      <c r="K8551" s="1192" t="s">
        <v>2506</v>
      </c>
      <c r="L8551" s="1192" t="s">
        <v>432</v>
      </c>
      <c r="P8551" s="1192" t="s">
        <v>2518</v>
      </c>
      <c r="V8551" s="1192">
        <v>74</v>
      </c>
    </row>
    <row r="8552" spans="1:22" s="1192" customFormat="1" ht="14.4" x14ac:dyDescent="0.3">
      <c r="A8552" s="1192" t="s">
        <v>173</v>
      </c>
      <c r="E8552" s="1750" t="s">
        <v>2405</v>
      </c>
      <c r="F8552" s="1741"/>
      <c r="G8552" s="1277"/>
      <c r="H8552" s="896"/>
      <c r="K8552" s="1192" t="s">
        <v>2406</v>
      </c>
      <c r="V8552" s="1192">
        <v>48</v>
      </c>
    </row>
    <row r="8553" spans="1:22" s="1192" customFormat="1" ht="14.4" x14ac:dyDescent="0.3">
      <c r="A8553" s="1192" t="s">
        <v>173</v>
      </c>
      <c r="E8553" s="1741" t="s">
        <v>2033</v>
      </c>
      <c r="F8553" s="1741"/>
      <c r="G8553" s="1277" t="s">
        <v>20</v>
      </c>
      <c r="H8553" s="1219">
        <v>3.0000000000000001E-3</v>
      </c>
      <c r="K8553" s="1192" t="s">
        <v>2506</v>
      </c>
      <c r="L8553" s="1192" t="s">
        <v>2374</v>
      </c>
      <c r="P8553" s="1192" t="s">
        <v>2519</v>
      </c>
      <c r="V8553" s="1192">
        <v>55</v>
      </c>
    </row>
    <row r="8554" spans="1:22" s="1192" customFormat="1" ht="14.4" x14ac:dyDescent="0.3">
      <c r="A8554" s="1192" t="s">
        <v>173</v>
      </c>
      <c r="E8554" s="1741" t="s">
        <v>2034</v>
      </c>
      <c r="F8554" s="1741"/>
      <c r="G8554" s="1277" t="s">
        <v>20</v>
      </c>
      <c r="H8554" s="1219">
        <v>4.0000000000000002E-4</v>
      </c>
      <c r="K8554" s="1192" t="s">
        <v>2506</v>
      </c>
      <c r="L8554" s="1192" t="s">
        <v>2374</v>
      </c>
      <c r="P8554" s="1192" t="s">
        <v>2519</v>
      </c>
      <c r="V8554" s="1192">
        <v>65</v>
      </c>
    </row>
    <row r="8555" spans="1:22" s="1192" customFormat="1" ht="14.4" x14ac:dyDescent="0.3">
      <c r="A8555" s="1192" t="s">
        <v>173</v>
      </c>
      <c r="E8555" s="1741" t="s">
        <v>428</v>
      </c>
      <c r="F8555" s="1741"/>
      <c r="G8555" s="1277" t="s">
        <v>20</v>
      </c>
      <c r="H8555" s="1219">
        <v>5.0000000000000001E-4</v>
      </c>
      <c r="K8555" s="1192" t="s">
        <v>2506</v>
      </c>
      <c r="L8555" s="1192" t="s">
        <v>2374</v>
      </c>
      <c r="P8555" s="1192" t="s">
        <v>2520</v>
      </c>
      <c r="V8555" s="1192">
        <v>57</v>
      </c>
    </row>
    <row r="8556" spans="1:22" s="1192" customFormat="1" ht="14.4" x14ac:dyDescent="0.3">
      <c r="A8556" s="1192" t="s">
        <v>173</v>
      </c>
      <c r="E8556" s="1741" t="s">
        <v>28</v>
      </c>
      <c r="F8556" s="1741"/>
      <c r="G8556" s="1277" t="s">
        <v>19</v>
      </c>
      <c r="H8556" s="1218">
        <v>0.25</v>
      </c>
      <c r="K8556" s="1192" t="s">
        <v>2506</v>
      </c>
      <c r="L8556" s="1192" t="s">
        <v>2374</v>
      </c>
      <c r="P8556" s="1192" t="s">
        <v>2521</v>
      </c>
      <c r="V8556" s="1192">
        <v>63</v>
      </c>
    </row>
    <row r="8557" spans="1:22" s="1192" customFormat="1" ht="17.399999999999999" x14ac:dyDescent="0.3">
      <c r="A8557" s="1192" t="s">
        <v>173</v>
      </c>
      <c r="E8557" s="1746" t="s">
        <v>2522</v>
      </c>
      <c r="F8557" s="1747"/>
      <c r="G8557" s="1747"/>
      <c r="H8557" s="1747"/>
      <c r="K8557" s="1192" t="s">
        <v>3901</v>
      </c>
      <c r="V8557" s="1192">
        <v>54</v>
      </c>
    </row>
    <row r="8558" spans="1:22" s="1192" customFormat="1" ht="14.4" x14ac:dyDescent="0.3">
      <c r="A8558" s="1192" t="s">
        <v>173</v>
      </c>
      <c r="E8558" s="1743" t="s">
        <v>3640</v>
      </c>
      <c r="F8558" s="1743"/>
      <c r="G8558" s="1743"/>
      <c r="H8558" s="1743"/>
      <c r="K8558" s="1192" t="s">
        <v>3901</v>
      </c>
      <c r="V8558" s="1192">
        <v>342</v>
      </c>
    </row>
    <row r="8559" spans="1:22" s="1192" customFormat="1" ht="14.4" x14ac:dyDescent="0.3">
      <c r="A8559" s="1192" t="s">
        <v>173</v>
      </c>
      <c r="E8559" s="1750" t="s">
        <v>2389</v>
      </c>
      <c r="F8559" s="1743"/>
      <c r="G8559" s="1743"/>
      <c r="H8559" s="1743"/>
      <c r="K8559" s="1192" t="s">
        <v>2412</v>
      </c>
      <c r="V8559" s="1192">
        <v>11</v>
      </c>
    </row>
    <row r="8560" spans="1:22" s="1192" customFormat="1" ht="14.4" x14ac:dyDescent="0.3">
      <c r="A8560" s="1192" t="s">
        <v>173</v>
      </c>
      <c r="E8560" s="1743" t="s">
        <v>2391</v>
      </c>
      <c r="F8560" s="1743"/>
      <c r="G8560" s="1743"/>
      <c r="H8560" s="1743"/>
      <c r="K8560" s="1192" t="s">
        <v>3901</v>
      </c>
      <c r="V8560" s="1192">
        <v>280</v>
      </c>
    </row>
    <row r="8561" spans="1:22" s="1192" customFormat="1" ht="14.4" x14ac:dyDescent="0.3">
      <c r="A8561" s="1192" t="s">
        <v>173</v>
      </c>
      <c r="E8561" s="1743" t="s">
        <v>2392</v>
      </c>
      <c r="F8561" s="1743"/>
      <c r="G8561" s="1743"/>
      <c r="H8561" s="1743"/>
      <c r="K8561" s="1192" t="s">
        <v>3901</v>
      </c>
      <c r="V8561" s="1192">
        <v>411</v>
      </c>
    </row>
    <row r="8562" spans="1:22" s="1192" customFormat="1" ht="14.4" x14ac:dyDescent="0.3">
      <c r="A8562" s="1192" t="s">
        <v>173</v>
      </c>
      <c r="E8562" s="1743" t="s">
        <v>2508</v>
      </c>
      <c r="F8562" s="1743"/>
      <c r="G8562" s="1743"/>
      <c r="H8562" s="1743"/>
      <c r="K8562" s="1192" t="s">
        <v>3901</v>
      </c>
      <c r="V8562" s="1192">
        <v>386</v>
      </c>
    </row>
    <row r="8563" spans="1:22" s="1192" customFormat="1" ht="14.4" x14ac:dyDescent="0.3">
      <c r="A8563" s="1192" t="s">
        <v>173</v>
      </c>
      <c r="E8563" s="1743" t="s">
        <v>4500</v>
      </c>
      <c r="F8563" s="1743"/>
      <c r="G8563" s="1743"/>
      <c r="H8563" s="1743"/>
      <c r="K8563" s="1192" t="s">
        <v>3901</v>
      </c>
      <c r="V8563" s="1192">
        <v>247</v>
      </c>
    </row>
    <row r="8564" spans="1:22" s="1192" customFormat="1" ht="14.4" x14ac:dyDescent="0.3">
      <c r="A8564" s="1192" t="s">
        <v>173</v>
      </c>
      <c r="E8564" s="1750" t="s">
        <v>2394</v>
      </c>
      <c r="F8564" s="1743"/>
      <c r="G8564" s="1743"/>
      <c r="H8564" s="1743"/>
      <c r="K8564" s="1192" t="s">
        <v>2413</v>
      </c>
      <c r="V8564" s="1192">
        <v>46</v>
      </c>
    </row>
    <row r="8565" spans="1:22" s="1192" customFormat="1" ht="14.4" x14ac:dyDescent="0.3">
      <c r="A8565" s="1192" t="s">
        <v>173</v>
      </c>
      <c r="E8565" s="1741" t="s">
        <v>7</v>
      </c>
      <c r="F8565" s="1741"/>
      <c r="G8565" s="1277" t="s">
        <v>19</v>
      </c>
      <c r="H8565" s="1218">
        <v>16.22</v>
      </c>
      <c r="K8565" s="1192" t="s">
        <v>3901</v>
      </c>
      <c r="L8565" s="1192" t="s">
        <v>430</v>
      </c>
      <c r="P8565" s="1192" t="s">
        <v>3902</v>
      </c>
      <c r="V8565" s="1192">
        <v>14</v>
      </c>
    </row>
    <row r="8566" spans="1:22" s="1192" customFormat="1" ht="14.4" x14ac:dyDescent="0.3">
      <c r="A8566" s="1192" t="s">
        <v>173</v>
      </c>
      <c r="E8566" s="1741" t="s">
        <v>3900</v>
      </c>
      <c r="F8566" s="1741"/>
      <c r="G8566" s="1277" t="s">
        <v>19</v>
      </c>
      <c r="H8566" s="1218">
        <v>0.56999999999999995</v>
      </c>
      <c r="K8566" s="1192" t="s">
        <v>3901</v>
      </c>
      <c r="L8566" s="1192" t="s">
        <v>431</v>
      </c>
      <c r="P8566" s="1192" t="s">
        <v>3903</v>
      </c>
      <c r="T8566" s="1192">
        <v>44926</v>
      </c>
      <c r="V8566" s="1192">
        <v>64</v>
      </c>
    </row>
    <row r="8567" spans="1:22" s="1192" customFormat="1" ht="14.4" x14ac:dyDescent="0.3">
      <c r="A8567" s="1192" t="s">
        <v>173</v>
      </c>
      <c r="E8567" s="1741" t="s">
        <v>80</v>
      </c>
      <c r="F8567" s="1741"/>
      <c r="G8567" s="1277" t="s">
        <v>20</v>
      </c>
      <c r="H8567" s="1219">
        <v>5.1000000000000004E-3</v>
      </c>
      <c r="K8567" s="1192" t="s">
        <v>3901</v>
      </c>
      <c r="L8567" s="1192" t="s">
        <v>430</v>
      </c>
      <c r="P8567" s="1192" t="s">
        <v>3904</v>
      </c>
      <c r="V8567" s="1192">
        <v>28</v>
      </c>
    </row>
    <row r="8568" spans="1:22" s="1192" customFormat="1" ht="14.4" x14ac:dyDescent="0.3">
      <c r="A8568" s="1192" t="s">
        <v>173</v>
      </c>
      <c r="E8568" s="1741" t="s">
        <v>14</v>
      </c>
      <c r="F8568" s="1741"/>
      <c r="G8568" s="1277" t="s">
        <v>20</v>
      </c>
      <c r="H8568" s="1219">
        <v>1.1000000000000001E-3</v>
      </c>
      <c r="K8568" s="1192" t="s">
        <v>3901</v>
      </c>
      <c r="L8568" s="1192" t="s">
        <v>431</v>
      </c>
      <c r="P8568" s="1192" t="s">
        <v>3905</v>
      </c>
      <c r="V8568" s="1192">
        <v>24</v>
      </c>
    </row>
    <row r="8569" spans="1:22" s="1192" customFormat="1" ht="14.4" x14ac:dyDescent="0.3">
      <c r="A8569" s="1192" t="s">
        <v>173</v>
      </c>
      <c r="E8569" s="1741" t="s">
        <v>6534</v>
      </c>
      <c r="F8569" s="1998"/>
      <c r="G8569" s="1277" t="s">
        <v>20</v>
      </c>
      <c r="H8569" s="1219">
        <v>-1E-4</v>
      </c>
      <c r="K8569" s="1192" t="s">
        <v>3901</v>
      </c>
      <c r="L8569" s="1192" t="s">
        <v>431</v>
      </c>
      <c r="P8569" s="1192" t="s">
        <v>4001</v>
      </c>
      <c r="T8569" s="1192">
        <v>44316</v>
      </c>
      <c r="V8569" s="1192">
        <v>175</v>
      </c>
    </row>
    <row r="8570" spans="1:22" s="1192" customFormat="1" ht="14.4" x14ac:dyDescent="0.3">
      <c r="A8570" s="1192" t="s">
        <v>173</v>
      </c>
      <c r="E8570" s="1741" t="s">
        <v>6535</v>
      </c>
      <c r="F8570" s="1998"/>
      <c r="G8570" s="1277" t="s">
        <v>20</v>
      </c>
      <c r="H8570" s="1219">
        <v>1.1000000000000001E-3</v>
      </c>
      <c r="K8570" s="1192" t="s">
        <v>3901</v>
      </c>
      <c r="L8570" s="1192" t="s">
        <v>431</v>
      </c>
      <c r="P8570" s="1192" t="s">
        <v>3911</v>
      </c>
      <c r="T8570" s="1192">
        <v>44316</v>
      </c>
      <c r="V8570" s="1192">
        <v>132</v>
      </c>
    </row>
    <row r="8571" spans="1:22" s="1192" customFormat="1" ht="14.4" x14ac:dyDescent="0.3">
      <c r="A8571" s="1192" t="s">
        <v>173</v>
      </c>
      <c r="E8571" s="1741" t="s">
        <v>4645</v>
      </c>
      <c r="F8571" s="1741"/>
      <c r="G8571" s="1277" t="s">
        <v>20</v>
      </c>
      <c r="H8571" s="1219">
        <v>4.4999999999999997E-3</v>
      </c>
      <c r="K8571" s="1192" t="s">
        <v>3901</v>
      </c>
      <c r="L8571" s="1192" t="s">
        <v>431</v>
      </c>
      <c r="P8571" s="1192" t="s">
        <v>6537</v>
      </c>
      <c r="T8571" s="1192">
        <v>44681</v>
      </c>
      <c r="V8571" s="1192">
        <v>125</v>
      </c>
    </row>
    <row r="8572" spans="1:22" s="1192" customFormat="1" ht="14.4" x14ac:dyDescent="0.3">
      <c r="A8572" s="1192" t="s">
        <v>173</v>
      </c>
      <c r="E8572" s="1740" t="s">
        <v>213</v>
      </c>
      <c r="F8572" s="1740"/>
      <c r="G8572" s="1277" t="s">
        <v>20</v>
      </c>
      <c r="H8572" s="1219">
        <v>6.7999999999999996E-3</v>
      </c>
      <c r="K8572" s="1192" t="s">
        <v>3901</v>
      </c>
      <c r="L8572" s="1192" t="s">
        <v>432</v>
      </c>
      <c r="P8572" s="1192" t="s">
        <v>3906</v>
      </c>
      <c r="V8572" s="1192">
        <v>47</v>
      </c>
    </row>
    <row r="8573" spans="1:22" s="1192" customFormat="1" ht="14.4" x14ac:dyDescent="0.3">
      <c r="A8573" s="1192" t="s">
        <v>173</v>
      </c>
      <c r="E8573" s="1740" t="s">
        <v>209</v>
      </c>
      <c r="F8573" s="1740"/>
      <c r="G8573" s="1277" t="s">
        <v>20</v>
      </c>
      <c r="H8573" s="1219">
        <v>5.1999999999999998E-3</v>
      </c>
      <c r="K8573" s="1192" t="s">
        <v>3901</v>
      </c>
      <c r="L8573" s="1192" t="s">
        <v>432</v>
      </c>
      <c r="P8573" s="1192" t="s">
        <v>3907</v>
      </c>
      <c r="V8573" s="1192">
        <v>74</v>
      </c>
    </row>
    <row r="8574" spans="1:22" s="1192" customFormat="1" ht="14.4" x14ac:dyDescent="0.3">
      <c r="A8574" s="1192" t="s">
        <v>173</v>
      </c>
      <c r="E8574" s="1750" t="s">
        <v>2405</v>
      </c>
      <c r="F8574" s="1741"/>
      <c r="G8574" s="1277"/>
      <c r="H8574" s="896"/>
      <c r="K8574" s="1192" t="s">
        <v>2418</v>
      </c>
      <c r="V8574" s="1192">
        <v>48</v>
      </c>
    </row>
    <row r="8575" spans="1:22" s="1192" customFormat="1" ht="14.4" x14ac:dyDescent="0.3">
      <c r="A8575" s="1192" t="s">
        <v>173</v>
      </c>
      <c r="E8575" s="1741" t="s">
        <v>2033</v>
      </c>
      <c r="F8575" s="1741"/>
      <c r="G8575" s="1277" t="s">
        <v>20</v>
      </c>
      <c r="H8575" s="1219">
        <v>3.0000000000000001E-3</v>
      </c>
      <c r="K8575" s="1192" t="s">
        <v>3901</v>
      </c>
      <c r="L8575" s="1192" t="s">
        <v>2374</v>
      </c>
      <c r="P8575" s="1192" t="s">
        <v>3908</v>
      </c>
      <c r="V8575" s="1192">
        <v>55</v>
      </c>
    </row>
    <row r="8576" spans="1:22" s="1192" customFormat="1" ht="14.4" x14ac:dyDescent="0.3">
      <c r="A8576" s="1192" t="s">
        <v>173</v>
      </c>
      <c r="E8576" s="1741" t="s">
        <v>2034</v>
      </c>
      <c r="F8576" s="1741"/>
      <c r="G8576" s="1277" t="s">
        <v>20</v>
      </c>
      <c r="H8576" s="1219">
        <v>4.0000000000000002E-4</v>
      </c>
      <c r="K8576" s="1192" t="s">
        <v>3901</v>
      </c>
      <c r="L8576" s="1192" t="s">
        <v>2374</v>
      </c>
      <c r="P8576" s="1192" t="s">
        <v>3908</v>
      </c>
      <c r="V8576" s="1192">
        <v>65</v>
      </c>
    </row>
    <row r="8577" spans="1:22" s="1192" customFormat="1" ht="14.4" x14ac:dyDescent="0.3">
      <c r="A8577" s="1192" t="s">
        <v>173</v>
      </c>
      <c r="E8577" s="1741" t="s">
        <v>428</v>
      </c>
      <c r="F8577" s="1741"/>
      <c r="G8577" s="1277" t="s">
        <v>20</v>
      </c>
      <c r="H8577" s="1219">
        <v>5.0000000000000001E-4</v>
      </c>
      <c r="K8577" s="1192" t="s">
        <v>3901</v>
      </c>
      <c r="L8577" s="1192" t="s">
        <v>2374</v>
      </c>
      <c r="P8577" s="1192" t="s">
        <v>3909</v>
      </c>
      <c r="V8577" s="1192">
        <v>57</v>
      </c>
    </row>
    <row r="8578" spans="1:22" s="1192" customFormat="1" ht="14.4" x14ac:dyDescent="0.3">
      <c r="A8578" s="1192" t="s">
        <v>173</v>
      </c>
      <c r="E8578" s="1741" t="s">
        <v>28</v>
      </c>
      <c r="F8578" s="1741"/>
      <c r="G8578" s="1277" t="s">
        <v>19</v>
      </c>
      <c r="H8578" s="1218">
        <v>0.25</v>
      </c>
      <c r="K8578" s="1192" t="s">
        <v>3901</v>
      </c>
      <c r="L8578" s="1192" t="s">
        <v>2374</v>
      </c>
      <c r="P8578" s="1192" t="s">
        <v>3910</v>
      </c>
      <c r="V8578" s="1192">
        <v>63</v>
      </c>
    </row>
    <row r="8579" spans="1:22" s="1192" customFormat="1" ht="17.399999999999999" x14ac:dyDescent="0.3">
      <c r="A8579" s="1192" t="s">
        <v>173</v>
      </c>
      <c r="E8579" s="1746" t="s">
        <v>591</v>
      </c>
      <c r="F8579" s="1747"/>
      <c r="G8579" s="1747"/>
      <c r="H8579" s="1747"/>
      <c r="K8579" s="1192" t="s">
        <v>4388</v>
      </c>
      <c r="V8579" s="1192">
        <v>53</v>
      </c>
    </row>
    <row r="8580" spans="1:22" s="1192" customFormat="1" ht="14.4" x14ac:dyDescent="0.3">
      <c r="A8580" s="1192" t="s">
        <v>173</v>
      </c>
      <c r="E8580" s="1743" t="s">
        <v>3641</v>
      </c>
      <c r="F8580" s="1743"/>
      <c r="G8580" s="1743"/>
      <c r="H8580" s="1743"/>
      <c r="K8580" s="1192" t="s">
        <v>4388</v>
      </c>
      <c r="V8580" s="1192">
        <v>310</v>
      </c>
    </row>
    <row r="8581" spans="1:22" s="1192" customFormat="1" ht="14.4" x14ac:dyDescent="0.3">
      <c r="A8581" s="1192" t="s">
        <v>173</v>
      </c>
      <c r="E8581" s="1750" t="s">
        <v>2389</v>
      </c>
      <c r="F8581" s="1743"/>
      <c r="G8581" s="1743"/>
      <c r="H8581" s="1743"/>
      <c r="K8581" s="1192" t="s">
        <v>2422</v>
      </c>
      <c r="V8581" s="1192">
        <v>11</v>
      </c>
    </row>
    <row r="8582" spans="1:22" s="1192" customFormat="1" ht="14.4" x14ac:dyDescent="0.3">
      <c r="A8582" s="1192" t="s">
        <v>173</v>
      </c>
      <c r="E8582" s="1743" t="s">
        <v>2392</v>
      </c>
      <c r="F8582" s="1743"/>
      <c r="G8582" s="1743"/>
      <c r="H8582" s="1743"/>
      <c r="K8582" s="1192" t="s">
        <v>4388</v>
      </c>
      <c r="V8582" s="1192">
        <v>411</v>
      </c>
    </row>
    <row r="8583" spans="1:22" s="1192" customFormat="1" ht="14.4" x14ac:dyDescent="0.3">
      <c r="A8583" s="1192" t="s">
        <v>173</v>
      </c>
      <c r="E8583" s="1743" t="s">
        <v>2508</v>
      </c>
      <c r="F8583" s="1743"/>
      <c r="G8583" s="1743"/>
      <c r="H8583" s="1743"/>
      <c r="K8583" s="1192" t="s">
        <v>4388</v>
      </c>
      <c r="V8583" s="1192">
        <v>386</v>
      </c>
    </row>
    <row r="8584" spans="1:22" s="1192" customFormat="1" ht="14.4" x14ac:dyDescent="0.3">
      <c r="A8584" s="1192" t="s">
        <v>173</v>
      </c>
      <c r="E8584" s="1743" t="s">
        <v>4618</v>
      </c>
      <c r="F8584" s="1743"/>
      <c r="G8584" s="1743"/>
      <c r="H8584" s="1743"/>
      <c r="K8584" s="1192" t="s">
        <v>4388</v>
      </c>
      <c r="V8584" s="1192">
        <v>1404</v>
      </c>
    </row>
    <row r="8585" spans="1:22" s="1192" customFormat="1" ht="14.4" x14ac:dyDescent="0.3">
      <c r="A8585" s="1192" t="s">
        <v>173</v>
      </c>
      <c r="E8585" s="1743" t="s">
        <v>4500</v>
      </c>
      <c r="F8585" s="1743"/>
      <c r="G8585" s="1743"/>
      <c r="H8585" s="1743"/>
      <c r="K8585" s="1192" t="s">
        <v>4388</v>
      </c>
      <c r="V8585" s="1192">
        <v>247</v>
      </c>
    </row>
    <row r="8586" spans="1:22" s="1192" customFormat="1" ht="14.4" x14ac:dyDescent="0.3">
      <c r="A8586" s="1192" t="s">
        <v>173</v>
      </c>
      <c r="E8586" s="1750" t="s">
        <v>2394</v>
      </c>
      <c r="F8586" s="1743"/>
      <c r="G8586" s="1743"/>
      <c r="H8586" s="1743"/>
      <c r="K8586" s="1192" t="s">
        <v>2423</v>
      </c>
      <c r="V8586" s="1192">
        <v>46</v>
      </c>
    </row>
    <row r="8587" spans="1:22" s="1192" customFormat="1" ht="14.4" x14ac:dyDescent="0.3">
      <c r="A8587" s="1192" t="s">
        <v>173</v>
      </c>
      <c r="E8587" s="1741" t="s">
        <v>7</v>
      </c>
      <c r="F8587" s="1741"/>
      <c r="G8587" s="1277" t="s">
        <v>19</v>
      </c>
      <c r="H8587" s="1218">
        <v>192.36</v>
      </c>
      <c r="K8587" s="1192" t="s">
        <v>4388</v>
      </c>
      <c r="L8587" s="1192" t="s">
        <v>430</v>
      </c>
      <c r="P8587" s="1192" t="s">
        <v>4389</v>
      </c>
      <c r="V8587" s="1192">
        <v>14</v>
      </c>
    </row>
    <row r="8588" spans="1:22" s="1192" customFormat="1" ht="14.4" x14ac:dyDescent="0.3">
      <c r="A8588" s="1192" t="s">
        <v>173</v>
      </c>
      <c r="E8588" s="1741" t="s">
        <v>80</v>
      </c>
      <c r="F8588" s="1741"/>
      <c r="G8588" s="1277" t="s">
        <v>29</v>
      </c>
      <c r="H8588" s="1219">
        <v>1.6274</v>
      </c>
      <c r="K8588" s="1192" t="s">
        <v>4388</v>
      </c>
      <c r="L8588" s="1192" t="s">
        <v>430</v>
      </c>
      <c r="P8588" s="1192" t="s">
        <v>4390</v>
      </c>
      <c r="V8588" s="1192">
        <v>28</v>
      </c>
    </row>
    <row r="8589" spans="1:22" s="1192" customFormat="1" ht="14.4" x14ac:dyDescent="0.3">
      <c r="A8589" s="1192" t="s">
        <v>173</v>
      </c>
      <c r="E8589" s="1741" t="s">
        <v>14</v>
      </c>
      <c r="F8589" s="1741"/>
      <c r="G8589" s="1277" t="s">
        <v>29</v>
      </c>
      <c r="H8589" s="1219">
        <v>0.43319999999999997</v>
      </c>
      <c r="K8589" s="1192" t="s">
        <v>4388</v>
      </c>
      <c r="L8589" s="1192" t="s">
        <v>431</v>
      </c>
      <c r="P8589" s="1192" t="s">
        <v>4391</v>
      </c>
      <c r="V8589" s="1192">
        <v>24</v>
      </c>
    </row>
    <row r="8590" spans="1:22" s="1192" customFormat="1" ht="14.4" x14ac:dyDescent="0.3">
      <c r="A8590" s="1192" t="s">
        <v>173</v>
      </c>
      <c r="E8590" s="1741" t="s">
        <v>6534</v>
      </c>
      <c r="F8590" s="1998"/>
      <c r="G8590" s="1277" t="s">
        <v>29</v>
      </c>
      <c r="H8590" s="1219">
        <v>-3.44E-2</v>
      </c>
      <c r="K8590" s="1192" t="s">
        <v>4388</v>
      </c>
      <c r="L8590" s="1192" t="s">
        <v>431</v>
      </c>
      <c r="P8590" s="1192" t="s">
        <v>4401</v>
      </c>
      <c r="T8590" s="1192">
        <v>44316</v>
      </c>
      <c r="V8590" s="1192">
        <v>175</v>
      </c>
    </row>
    <row r="8591" spans="1:22" s="1192" customFormat="1" ht="14.4" x14ac:dyDescent="0.3">
      <c r="A8591" s="1192" t="s">
        <v>173</v>
      </c>
      <c r="E8591" s="1741" t="s">
        <v>6535</v>
      </c>
      <c r="F8591" s="1998"/>
      <c r="G8591" s="1277" t="s">
        <v>29</v>
      </c>
      <c r="H8591" s="1219">
        <v>0.39369999999999999</v>
      </c>
      <c r="K8591" s="1192" t="s">
        <v>4388</v>
      </c>
      <c r="L8591" s="1192" t="s">
        <v>431</v>
      </c>
      <c r="P8591" s="1192" t="s">
        <v>4398</v>
      </c>
      <c r="T8591" s="1192">
        <v>44316</v>
      </c>
      <c r="V8591" s="1192">
        <v>132</v>
      </c>
    </row>
    <row r="8592" spans="1:22" s="1192" customFormat="1" ht="14.4" x14ac:dyDescent="0.3">
      <c r="A8592" s="1192" t="s">
        <v>173</v>
      </c>
      <c r="E8592" s="1741" t="s">
        <v>4645</v>
      </c>
      <c r="F8592" s="1741"/>
      <c r="G8592" s="1277" t="s">
        <v>20</v>
      </c>
      <c r="H8592" s="1219">
        <v>4.4999999999999997E-3</v>
      </c>
      <c r="K8592" s="1192" t="s">
        <v>4388</v>
      </c>
      <c r="L8592" s="1192" t="s">
        <v>431</v>
      </c>
      <c r="P8592" s="1192" t="s">
        <v>6538</v>
      </c>
      <c r="T8592" s="1192">
        <v>44681</v>
      </c>
      <c r="V8592" s="1192">
        <v>125</v>
      </c>
    </row>
    <row r="8593" spans="1:22" s="1192" customFormat="1" ht="14.4" x14ac:dyDescent="0.3">
      <c r="A8593" s="1192" t="s">
        <v>173</v>
      </c>
      <c r="E8593" s="1741" t="s">
        <v>4065</v>
      </c>
      <c r="F8593" s="1741"/>
      <c r="G8593" s="1277" t="s">
        <v>20</v>
      </c>
      <c r="H8593" s="1219">
        <v>5.5999999999999999E-3</v>
      </c>
      <c r="K8593" s="1192" t="s">
        <v>4388</v>
      </c>
      <c r="L8593" s="1192" t="s">
        <v>431</v>
      </c>
      <c r="P8593" s="1192" t="s">
        <v>4397</v>
      </c>
      <c r="T8593" s="1192">
        <v>44681</v>
      </c>
      <c r="V8593" s="1192">
        <v>295</v>
      </c>
    </row>
    <row r="8594" spans="1:22" s="1192" customFormat="1" ht="14.4" x14ac:dyDescent="0.3">
      <c r="A8594" s="1192" t="s">
        <v>173</v>
      </c>
      <c r="E8594" s="1741" t="s">
        <v>213</v>
      </c>
      <c r="F8594" s="1741"/>
      <c r="G8594" s="1277" t="s">
        <v>29</v>
      </c>
      <c r="H8594" s="1219">
        <v>2.8445</v>
      </c>
      <c r="K8594" s="1192" t="s">
        <v>4388</v>
      </c>
      <c r="L8594" s="1192" t="s">
        <v>432</v>
      </c>
      <c r="P8594" s="1192" t="s">
        <v>4392</v>
      </c>
      <c r="V8594" s="1192">
        <v>47</v>
      </c>
    </row>
    <row r="8595" spans="1:22" s="1192" customFormat="1" ht="14.4" x14ac:dyDescent="0.3">
      <c r="A8595" s="1192" t="s">
        <v>173</v>
      </c>
      <c r="E8595" s="1741" t="s">
        <v>2847</v>
      </c>
      <c r="F8595" s="1741"/>
      <c r="G8595" s="1277" t="s">
        <v>29</v>
      </c>
      <c r="H8595" s="1219">
        <v>2.1364000000000001</v>
      </c>
      <c r="K8595" s="1192" t="s">
        <v>4388</v>
      </c>
      <c r="L8595" s="1192" t="s">
        <v>432</v>
      </c>
      <c r="P8595" s="1192" t="s">
        <v>4393</v>
      </c>
      <c r="V8595" s="1192">
        <v>75</v>
      </c>
    </row>
    <row r="8596" spans="1:22" s="1192" customFormat="1" ht="14.4" x14ac:dyDescent="0.3">
      <c r="A8596" s="1192" t="s">
        <v>173</v>
      </c>
      <c r="E8596" s="1750" t="s">
        <v>2405</v>
      </c>
      <c r="F8596" s="1741"/>
      <c r="G8596" s="1277"/>
      <c r="H8596" s="896"/>
      <c r="K8596" s="1192" t="s">
        <v>2526</v>
      </c>
      <c r="V8596" s="1192">
        <v>48</v>
      </c>
    </row>
    <row r="8597" spans="1:22" s="1192" customFormat="1" ht="14.4" x14ac:dyDescent="0.3">
      <c r="A8597" s="1192" t="s">
        <v>173</v>
      </c>
      <c r="E8597" s="1741" t="s">
        <v>2033</v>
      </c>
      <c r="F8597" s="1741"/>
      <c r="G8597" s="1277" t="s">
        <v>20</v>
      </c>
      <c r="H8597" s="1219">
        <v>3.0000000000000001E-3</v>
      </c>
      <c r="K8597" s="1192" t="s">
        <v>4388</v>
      </c>
      <c r="L8597" s="1192" t="s">
        <v>2374</v>
      </c>
      <c r="P8597" s="1192" t="s">
        <v>4394</v>
      </c>
      <c r="V8597" s="1192">
        <v>55</v>
      </c>
    </row>
    <row r="8598" spans="1:22" s="1192" customFormat="1" ht="14.4" x14ac:dyDescent="0.3">
      <c r="A8598" s="1192" t="s">
        <v>173</v>
      </c>
      <c r="E8598" s="1741" t="s">
        <v>2034</v>
      </c>
      <c r="F8598" s="1741"/>
      <c r="G8598" s="1277" t="s">
        <v>20</v>
      </c>
      <c r="H8598" s="1219">
        <v>4.0000000000000002E-4</v>
      </c>
      <c r="K8598" s="1192" t="s">
        <v>4388</v>
      </c>
      <c r="L8598" s="1192" t="s">
        <v>2374</v>
      </c>
      <c r="P8598" s="1192" t="s">
        <v>4394</v>
      </c>
      <c r="V8598" s="1192">
        <v>65</v>
      </c>
    </row>
    <row r="8599" spans="1:22" s="1192" customFormat="1" ht="14.4" x14ac:dyDescent="0.3">
      <c r="A8599" s="1192" t="s">
        <v>173</v>
      </c>
      <c r="E8599" s="1741" t="s">
        <v>428</v>
      </c>
      <c r="F8599" s="1741"/>
      <c r="G8599" s="1277" t="s">
        <v>20</v>
      </c>
      <c r="H8599" s="1219">
        <v>5.0000000000000001E-4</v>
      </c>
      <c r="K8599" s="1192" t="s">
        <v>4388</v>
      </c>
      <c r="L8599" s="1192" t="s">
        <v>2374</v>
      </c>
      <c r="P8599" s="1192" t="s">
        <v>4395</v>
      </c>
      <c r="V8599" s="1192">
        <v>57</v>
      </c>
    </row>
    <row r="8600" spans="1:22" s="1192" customFormat="1" ht="14.4" x14ac:dyDescent="0.3">
      <c r="A8600" s="1192" t="s">
        <v>173</v>
      </c>
      <c r="E8600" s="1741" t="s">
        <v>28</v>
      </c>
      <c r="F8600" s="1741"/>
      <c r="G8600" s="1277" t="s">
        <v>19</v>
      </c>
      <c r="H8600" s="1218">
        <v>0.25</v>
      </c>
      <c r="K8600" s="1192" t="s">
        <v>4388</v>
      </c>
      <c r="L8600" s="1192" t="s">
        <v>2374</v>
      </c>
      <c r="P8600" s="1192" t="s">
        <v>4396</v>
      </c>
      <c r="V8600" s="1192">
        <v>63</v>
      </c>
    </row>
    <row r="8601" spans="1:22" s="1192" customFormat="1" ht="17.399999999999999" x14ac:dyDescent="0.3">
      <c r="A8601" s="1192" t="s">
        <v>173</v>
      </c>
      <c r="E8601" s="1746" t="s">
        <v>592</v>
      </c>
      <c r="F8601" s="1747"/>
      <c r="G8601" s="1747"/>
      <c r="H8601" s="1747"/>
      <c r="K8601" s="1192" t="s">
        <v>2676</v>
      </c>
      <c r="V8601" s="1192">
        <v>47</v>
      </c>
    </row>
    <row r="8602" spans="1:22" s="1192" customFormat="1" ht="14.4" x14ac:dyDescent="0.3">
      <c r="A8602" s="1192" t="s">
        <v>173</v>
      </c>
      <c r="E8602" s="1743" t="s">
        <v>3642</v>
      </c>
      <c r="F8602" s="1743"/>
      <c r="G8602" s="1743"/>
      <c r="H8602" s="1743"/>
      <c r="K8602" s="1192" t="s">
        <v>2676</v>
      </c>
      <c r="V8602" s="1192">
        <v>700</v>
      </c>
    </row>
    <row r="8603" spans="1:22" s="1192" customFormat="1" ht="14.4" x14ac:dyDescent="0.3">
      <c r="A8603" s="1192" t="s">
        <v>173</v>
      </c>
      <c r="E8603" s="1750" t="s">
        <v>2389</v>
      </c>
      <c r="F8603" s="1743"/>
      <c r="G8603" s="1743"/>
      <c r="H8603" s="1743"/>
      <c r="K8603" s="1192" t="s">
        <v>2529</v>
      </c>
      <c r="V8603" s="1192">
        <v>11</v>
      </c>
    </row>
    <row r="8604" spans="1:22" s="1192" customFormat="1" ht="14.4" x14ac:dyDescent="0.3">
      <c r="A8604" s="1192" t="s">
        <v>173</v>
      </c>
      <c r="E8604" s="1743" t="s">
        <v>2391</v>
      </c>
      <c r="F8604" s="1743"/>
      <c r="G8604" s="1743"/>
      <c r="H8604" s="1743"/>
      <c r="K8604" s="1192" t="s">
        <v>2676</v>
      </c>
      <c r="V8604" s="1192">
        <v>280</v>
      </c>
    </row>
    <row r="8605" spans="1:22" s="1192" customFormat="1" ht="14.4" x14ac:dyDescent="0.3">
      <c r="A8605" s="1192" t="s">
        <v>173</v>
      </c>
      <c r="E8605" s="1743" t="s">
        <v>2392</v>
      </c>
      <c r="F8605" s="1743"/>
      <c r="G8605" s="1743"/>
      <c r="H8605" s="1743"/>
      <c r="K8605" s="1192" t="s">
        <v>2676</v>
      </c>
      <c r="V8605" s="1192">
        <v>411</v>
      </c>
    </row>
    <row r="8606" spans="1:22" s="1192" customFormat="1" ht="14.4" x14ac:dyDescent="0.3">
      <c r="A8606" s="1192" t="s">
        <v>173</v>
      </c>
      <c r="E8606" s="1743" t="s">
        <v>2508</v>
      </c>
      <c r="F8606" s="1743"/>
      <c r="G8606" s="1743"/>
      <c r="H8606" s="1743"/>
      <c r="K8606" s="1192" t="s">
        <v>2676</v>
      </c>
      <c r="V8606" s="1192">
        <v>386</v>
      </c>
    </row>
    <row r="8607" spans="1:22" s="1192" customFormat="1" ht="14.4" x14ac:dyDescent="0.3">
      <c r="A8607" s="1192" t="s">
        <v>173</v>
      </c>
      <c r="E8607" s="1743" t="s">
        <v>4500</v>
      </c>
      <c r="F8607" s="1743"/>
      <c r="G8607" s="1743"/>
      <c r="H8607" s="1743"/>
      <c r="K8607" s="1192" t="s">
        <v>2676</v>
      </c>
      <c r="V8607" s="1192">
        <v>247</v>
      </c>
    </row>
    <row r="8608" spans="1:22" s="1192" customFormat="1" ht="14.4" x14ac:dyDescent="0.3">
      <c r="A8608" s="1192" t="s">
        <v>173</v>
      </c>
      <c r="E8608" s="1750" t="s">
        <v>2394</v>
      </c>
      <c r="F8608" s="1743"/>
      <c r="G8608" s="1743"/>
      <c r="H8608" s="1743"/>
      <c r="K8608" s="1192" t="s">
        <v>2531</v>
      </c>
      <c r="V8608" s="1192">
        <v>46</v>
      </c>
    </row>
    <row r="8609" spans="1:22" s="1192" customFormat="1" ht="14.4" x14ac:dyDescent="0.3">
      <c r="A8609" s="1192" t="s">
        <v>173</v>
      </c>
      <c r="E8609" s="1741" t="s">
        <v>8</v>
      </c>
      <c r="F8609" s="1741"/>
      <c r="G8609" s="1277" t="s">
        <v>19</v>
      </c>
      <c r="H8609" s="1218">
        <v>6.59</v>
      </c>
      <c r="K8609" s="1192" t="s">
        <v>2676</v>
      </c>
      <c r="L8609" s="1192" t="s">
        <v>430</v>
      </c>
      <c r="P8609" s="1192" t="s">
        <v>2678</v>
      </c>
      <c r="V8609" s="1192">
        <v>31</v>
      </c>
    </row>
    <row r="8610" spans="1:22" s="1192" customFormat="1" ht="14.4" x14ac:dyDescent="0.3">
      <c r="A8610" s="1192" t="s">
        <v>173</v>
      </c>
      <c r="E8610" s="1741" t="s">
        <v>80</v>
      </c>
      <c r="F8610" s="1741"/>
      <c r="G8610" s="1277" t="s">
        <v>20</v>
      </c>
      <c r="H8610" s="1219">
        <v>1.9E-3</v>
      </c>
      <c r="K8610" s="1192" t="s">
        <v>2676</v>
      </c>
      <c r="L8610" s="1192" t="s">
        <v>430</v>
      </c>
      <c r="P8610" s="1192" t="s">
        <v>2679</v>
      </c>
      <c r="V8610" s="1192">
        <v>28</v>
      </c>
    </row>
    <row r="8611" spans="1:22" s="1192" customFormat="1" ht="14.4" x14ac:dyDescent="0.3">
      <c r="A8611" s="1192" t="s">
        <v>173</v>
      </c>
      <c r="E8611" s="1741" t="s">
        <v>14</v>
      </c>
      <c r="F8611" s="1741"/>
      <c r="G8611" s="1277" t="s">
        <v>20</v>
      </c>
      <c r="H8611" s="1219">
        <v>1.1000000000000001E-3</v>
      </c>
      <c r="K8611" s="1192" t="s">
        <v>2676</v>
      </c>
      <c r="L8611" s="1192" t="s">
        <v>431</v>
      </c>
      <c r="P8611" s="1192" t="s">
        <v>2809</v>
      </c>
      <c r="V8611" s="1192">
        <v>24</v>
      </c>
    </row>
    <row r="8612" spans="1:22" s="1192" customFormat="1" ht="14.4" x14ac:dyDescent="0.3">
      <c r="A8612" s="1192" t="s">
        <v>173</v>
      </c>
      <c r="E8612" s="1741" t="s">
        <v>6534</v>
      </c>
      <c r="F8612" s="1998"/>
      <c r="G8612" s="1277" t="s">
        <v>20</v>
      </c>
      <c r="H8612" s="1219">
        <v>-1E-4</v>
      </c>
      <c r="K8612" s="1192" t="s">
        <v>2676</v>
      </c>
      <c r="L8612" s="1192" t="s">
        <v>431</v>
      </c>
      <c r="P8612" s="1192" t="s">
        <v>3898</v>
      </c>
      <c r="T8612" s="1192">
        <v>44316</v>
      </c>
      <c r="V8612" s="1192">
        <v>175</v>
      </c>
    </row>
    <row r="8613" spans="1:22" s="1192" customFormat="1" ht="14.4" x14ac:dyDescent="0.3">
      <c r="A8613" s="1192" t="s">
        <v>173</v>
      </c>
      <c r="E8613" s="1741" t="s">
        <v>6535</v>
      </c>
      <c r="F8613" s="1998"/>
      <c r="G8613" s="1277" t="s">
        <v>20</v>
      </c>
      <c r="H8613" s="1219">
        <v>1.1000000000000001E-3</v>
      </c>
      <c r="K8613" s="1192" t="s">
        <v>2676</v>
      </c>
      <c r="L8613" s="1192" t="s">
        <v>431</v>
      </c>
      <c r="P8613" s="1192" t="s">
        <v>2681</v>
      </c>
      <c r="T8613" s="1192">
        <v>44316</v>
      </c>
      <c r="V8613" s="1192">
        <v>132</v>
      </c>
    </row>
    <row r="8614" spans="1:22" s="1192" customFormat="1" ht="14.4" x14ac:dyDescent="0.3">
      <c r="A8614" s="1192" t="s">
        <v>173</v>
      </c>
      <c r="E8614" s="1741" t="s">
        <v>4645</v>
      </c>
      <c r="F8614" s="1741"/>
      <c r="G8614" s="1277" t="s">
        <v>20</v>
      </c>
      <c r="H8614" s="1219">
        <v>4.4999999999999997E-3</v>
      </c>
      <c r="K8614" s="1192" t="s">
        <v>2676</v>
      </c>
      <c r="L8614" s="1192" t="s">
        <v>431</v>
      </c>
      <c r="P8614" s="1192" t="s">
        <v>6539</v>
      </c>
      <c r="T8614" s="1192">
        <v>44681</v>
      </c>
      <c r="V8614" s="1192">
        <v>125</v>
      </c>
    </row>
    <row r="8615" spans="1:22" s="1192" customFormat="1" ht="14.4" x14ac:dyDescent="0.3">
      <c r="A8615" s="1192" t="s">
        <v>173</v>
      </c>
      <c r="E8615" s="1741" t="s">
        <v>213</v>
      </c>
      <c r="F8615" s="1741"/>
      <c r="G8615" s="1277" t="s">
        <v>20</v>
      </c>
      <c r="H8615" s="1219">
        <v>6.7999999999999996E-3</v>
      </c>
      <c r="K8615" s="1192" t="s">
        <v>2676</v>
      </c>
      <c r="L8615" s="1192" t="s">
        <v>432</v>
      </c>
      <c r="P8615" s="1192" t="s">
        <v>2682</v>
      </c>
      <c r="V8615" s="1192">
        <v>47</v>
      </c>
    </row>
    <row r="8616" spans="1:22" s="1192" customFormat="1" ht="14.4" x14ac:dyDescent="0.3">
      <c r="A8616" s="1192" t="s">
        <v>173</v>
      </c>
      <c r="E8616" s="1741" t="s">
        <v>209</v>
      </c>
      <c r="F8616" s="1741"/>
      <c r="G8616" s="1277" t="s">
        <v>20</v>
      </c>
      <c r="H8616" s="1219">
        <v>5.1999999999999998E-3</v>
      </c>
      <c r="K8616" s="1192" t="s">
        <v>2676</v>
      </c>
      <c r="L8616" s="1192" t="s">
        <v>432</v>
      </c>
      <c r="P8616" s="1192" t="s">
        <v>2683</v>
      </c>
      <c r="V8616" s="1192">
        <v>74</v>
      </c>
    </row>
    <row r="8617" spans="1:22" s="1192" customFormat="1" ht="14.4" x14ac:dyDescent="0.3">
      <c r="A8617" s="1192" t="s">
        <v>173</v>
      </c>
      <c r="E8617" s="1750" t="s">
        <v>2405</v>
      </c>
      <c r="F8617" s="1741"/>
      <c r="G8617" s="1277"/>
      <c r="H8617" s="896"/>
      <c r="K8617" s="1192" t="s">
        <v>2532</v>
      </c>
      <c r="V8617" s="1192">
        <v>48</v>
      </c>
    </row>
    <row r="8618" spans="1:22" s="1192" customFormat="1" ht="14.4" x14ac:dyDescent="0.3">
      <c r="A8618" s="1192" t="s">
        <v>173</v>
      </c>
      <c r="E8618" s="1741" t="s">
        <v>2033</v>
      </c>
      <c r="F8618" s="1741"/>
      <c r="G8618" s="1277" t="s">
        <v>20</v>
      </c>
      <c r="H8618" s="1219">
        <v>3.0000000000000001E-3</v>
      </c>
      <c r="K8618" s="1192" t="s">
        <v>2676</v>
      </c>
      <c r="L8618" s="1192" t="s">
        <v>2374</v>
      </c>
      <c r="P8618" s="1192" t="s">
        <v>2684</v>
      </c>
      <c r="V8618" s="1192">
        <v>55</v>
      </c>
    </row>
    <row r="8619" spans="1:22" s="1192" customFormat="1" ht="14.4" x14ac:dyDescent="0.3">
      <c r="A8619" s="1192" t="s">
        <v>173</v>
      </c>
      <c r="E8619" s="1741" t="s">
        <v>2034</v>
      </c>
      <c r="F8619" s="1741"/>
      <c r="G8619" s="1277" t="s">
        <v>20</v>
      </c>
      <c r="H8619" s="1219">
        <v>4.0000000000000002E-4</v>
      </c>
      <c r="K8619" s="1192" t="s">
        <v>2676</v>
      </c>
      <c r="L8619" s="1192" t="s">
        <v>2374</v>
      </c>
      <c r="P8619" s="1192" t="s">
        <v>2684</v>
      </c>
      <c r="V8619" s="1192">
        <v>65</v>
      </c>
    </row>
    <row r="8620" spans="1:22" s="1192" customFormat="1" ht="14.4" x14ac:dyDescent="0.3">
      <c r="A8620" s="1192" t="s">
        <v>173</v>
      </c>
      <c r="E8620" s="1741" t="s">
        <v>428</v>
      </c>
      <c r="F8620" s="1741"/>
      <c r="G8620" s="1277" t="s">
        <v>20</v>
      </c>
      <c r="H8620" s="1219">
        <v>5.0000000000000001E-4</v>
      </c>
      <c r="K8620" s="1192" t="s">
        <v>2676</v>
      </c>
      <c r="L8620" s="1192" t="s">
        <v>2374</v>
      </c>
      <c r="P8620" s="1192" t="s">
        <v>2685</v>
      </c>
      <c r="V8620" s="1192">
        <v>57</v>
      </c>
    </row>
    <row r="8621" spans="1:22" s="1192" customFormat="1" ht="14.4" x14ac:dyDescent="0.3">
      <c r="A8621" s="1192" t="s">
        <v>173</v>
      </c>
      <c r="E8621" s="1741" t="s">
        <v>28</v>
      </c>
      <c r="F8621" s="1741"/>
      <c r="G8621" s="1277" t="s">
        <v>19</v>
      </c>
      <c r="H8621" s="1218">
        <v>0.25</v>
      </c>
      <c r="K8621" s="1192" t="s">
        <v>2676</v>
      </c>
      <c r="L8621" s="1192" t="s">
        <v>2374</v>
      </c>
      <c r="P8621" s="1192" t="s">
        <v>2686</v>
      </c>
      <c r="V8621" s="1192">
        <v>63</v>
      </c>
    </row>
    <row r="8622" spans="1:22" s="1192" customFormat="1" ht="17.399999999999999" x14ac:dyDescent="0.3">
      <c r="A8622" s="1192" t="s">
        <v>173</v>
      </c>
      <c r="E8622" s="1746" t="s">
        <v>604</v>
      </c>
      <c r="F8622" s="1747"/>
      <c r="G8622" s="1747"/>
      <c r="H8622" s="1747"/>
      <c r="K8622" s="1192" t="s">
        <v>2823</v>
      </c>
      <c r="V8622" s="1192">
        <v>40</v>
      </c>
    </row>
    <row r="8623" spans="1:22" s="1192" customFormat="1" ht="14.4" x14ac:dyDescent="0.3">
      <c r="A8623" s="1192" t="s">
        <v>173</v>
      </c>
      <c r="E8623" s="1743" t="s">
        <v>3643</v>
      </c>
      <c r="F8623" s="1743"/>
      <c r="G8623" s="1743"/>
      <c r="H8623" s="1743"/>
      <c r="K8623" s="1192" t="s">
        <v>2823</v>
      </c>
      <c r="V8623" s="1192">
        <v>273</v>
      </c>
    </row>
    <row r="8624" spans="1:22" s="1192" customFormat="1" ht="14.4" x14ac:dyDescent="0.3">
      <c r="A8624" s="1192" t="s">
        <v>173</v>
      </c>
      <c r="E8624" s="1750" t="s">
        <v>2389</v>
      </c>
      <c r="F8624" s="1743"/>
      <c r="G8624" s="1743"/>
      <c r="H8624" s="1743"/>
      <c r="K8624" s="1192" t="s">
        <v>2424</v>
      </c>
      <c r="V8624" s="1192">
        <v>11</v>
      </c>
    </row>
    <row r="8625" spans="1:22" s="1192" customFormat="1" ht="14.4" x14ac:dyDescent="0.3">
      <c r="A8625" s="1192" t="s">
        <v>173</v>
      </c>
      <c r="E8625" s="1743" t="s">
        <v>2391</v>
      </c>
      <c r="F8625" s="1743"/>
      <c r="G8625" s="1743"/>
      <c r="H8625" s="1743"/>
      <c r="K8625" s="1192" t="s">
        <v>2823</v>
      </c>
      <c r="V8625" s="1192">
        <v>280</v>
      </c>
    </row>
    <row r="8626" spans="1:22" s="1192" customFormat="1" ht="14.4" x14ac:dyDescent="0.3">
      <c r="A8626" s="1192" t="s">
        <v>173</v>
      </c>
      <c r="E8626" s="1743" t="s">
        <v>2392</v>
      </c>
      <c r="F8626" s="1743"/>
      <c r="G8626" s="1743"/>
      <c r="H8626" s="1743"/>
      <c r="K8626" s="1192" t="s">
        <v>2823</v>
      </c>
      <c r="V8626" s="1192">
        <v>411</v>
      </c>
    </row>
    <row r="8627" spans="1:22" s="1192" customFormat="1" ht="14.4" x14ac:dyDescent="0.3">
      <c r="A8627" s="1192" t="s">
        <v>173</v>
      </c>
      <c r="E8627" s="1743" t="s">
        <v>2508</v>
      </c>
      <c r="F8627" s="1743"/>
      <c r="G8627" s="1743"/>
      <c r="H8627" s="1743"/>
      <c r="K8627" s="1192" t="s">
        <v>2823</v>
      </c>
      <c r="V8627" s="1192">
        <v>386</v>
      </c>
    </row>
    <row r="8628" spans="1:22" s="1192" customFormat="1" ht="14.4" x14ac:dyDescent="0.3">
      <c r="A8628" s="1192" t="s">
        <v>173</v>
      </c>
      <c r="E8628" s="1743" t="s">
        <v>4500</v>
      </c>
      <c r="F8628" s="1743"/>
      <c r="G8628" s="1743"/>
      <c r="H8628" s="1743"/>
      <c r="K8628" s="1192" t="s">
        <v>2823</v>
      </c>
      <c r="V8628" s="1192">
        <v>247</v>
      </c>
    </row>
    <row r="8629" spans="1:22" s="1192" customFormat="1" ht="14.4" x14ac:dyDescent="0.3">
      <c r="A8629" s="1192" t="s">
        <v>173</v>
      </c>
      <c r="E8629" s="1750" t="s">
        <v>2394</v>
      </c>
      <c r="F8629" s="1743"/>
      <c r="G8629" s="1743"/>
      <c r="H8629" s="1743"/>
      <c r="K8629" s="1192" t="s">
        <v>2425</v>
      </c>
      <c r="V8629" s="1192">
        <v>46</v>
      </c>
    </row>
    <row r="8630" spans="1:22" s="1192" customFormat="1" ht="14.4" x14ac:dyDescent="0.3">
      <c r="A8630" s="1192" t="s">
        <v>173</v>
      </c>
      <c r="E8630" s="1741" t="s">
        <v>8</v>
      </c>
      <c r="F8630" s="1741"/>
      <c r="G8630" s="1277" t="s">
        <v>19</v>
      </c>
      <c r="H8630" s="1218">
        <v>3.22</v>
      </c>
      <c r="K8630" s="1192" t="s">
        <v>2823</v>
      </c>
      <c r="L8630" s="1192" t="s">
        <v>430</v>
      </c>
      <c r="P8630" s="1192" t="s">
        <v>2824</v>
      </c>
      <c r="V8630" s="1192">
        <v>31</v>
      </c>
    </row>
    <row r="8631" spans="1:22" s="1192" customFormat="1" ht="14.4" x14ac:dyDescent="0.3">
      <c r="A8631" s="1192" t="s">
        <v>173</v>
      </c>
      <c r="E8631" s="1741" t="s">
        <v>80</v>
      </c>
      <c r="F8631" s="1741"/>
      <c r="G8631" s="1277" t="s">
        <v>29</v>
      </c>
      <c r="H8631" s="1219">
        <v>6.0561999999999996</v>
      </c>
      <c r="K8631" s="1192" t="s">
        <v>2823</v>
      </c>
      <c r="L8631" s="1192" t="s">
        <v>430</v>
      </c>
      <c r="P8631" s="1192" t="s">
        <v>2825</v>
      </c>
      <c r="V8631" s="1192">
        <v>28</v>
      </c>
    </row>
    <row r="8632" spans="1:22" s="1192" customFormat="1" ht="14.4" x14ac:dyDescent="0.3">
      <c r="A8632" s="1192" t="s">
        <v>173</v>
      </c>
      <c r="E8632" s="1741" t="s">
        <v>14</v>
      </c>
      <c r="F8632" s="1741"/>
      <c r="G8632" s="1277" t="s">
        <v>29</v>
      </c>
      <c r="H8632" s="1219">
        <v>0.34210000000000002</v>
      </c>
      <c r="K8632" s="1192" t="s">
        <v>2823</v>
      </c>
      <c r="L8632" s="1192" t="s">
        <v>431</v>
      </c>
      <c r="P8632" s="1192" t="s">
        <v>2826</v>
      </c>
      <c r="V8632" s="1192">
        <v>24</v>
      </c>
    </row>
    <row r="8633" spans="1:22" s="1192" customFormat="1" ht="14.4" x14ac:dyDescent="0.3">
      <c r="A8633" s="1192" t="s">
        <v>173</v>
      </c>
      <c r="E8633" s="1741" t="s">
        <v>6534</v>
      </c>
      <c r="F8633" s="1998"/>
      <c r="G8633" s="1277" t="s">
        <v>29</v>
      </c>
      <c r="H8633" s="1219">
        <v>-3.61E-2</v>
      </c>
      <c r="K8633" s="1192" t="s">
        <v>2823</v>
      </c>
      <c r="L8633" s="1192" t="s">
        <v>431</v>
      </c>
      <c r="P8633" s="1192" t="s">
        <v>4554</v>
      </c>
      <c r="T8633" s="1192">
        <v>44316</v>
      </c>
      <c r="V8633" s="1192">
        <v>175</v>
      </c>
    </row>
    <row r="8634" spans="1:22" s="1192" customFormat="1" ht="14.4" x14ac:dyDescent="0.3">
      <c r="A8634" s="1192" t="s">
        <v>173</v>
      </c>
      <c r="E8634" s="1741" t="s">
        <v>6535</v>
      </c>
      <c r="F8634" s="1998"/>
      <c r="G8634" s="1277" t="s">
        <v>29</v>
      </c>
      <c r="H8634" s="1219">
        <v>0.44119999999999998</v>
      </c>
      <c r="K8634" s="1192" t="s">
        <v>2823</v>
      </c>
      <c r="L8634" s="1192" t="s">
        <v>431</v>
      </c>
      <c r="P8634" s="1192" t="s">
        <v>2915</v>
      </c>
      <c r="T8634" s="1192">
        <v>44316</v>
      </c>
      <c r="V8634" s="1192">
        <v>132</v>
      </c>
    </row>
    <row r="8635" spans="1:22" s="1192" customFormat="1" ht="14.4" x14ac:dyDescent="0.3">
      <c r="A8635" s="1192" t="s">
        <v>173</v>
      </c>
      <c r="E8635" s="1741" t="s">
        <v>4645</v>
      </c>
      <c r="F8635" s="1741"/>
      <c r="G8635" s="1277" t="s">
        <v>20</v>
      </c>
      <c r="H8635" s="1219">
        <v>4.4999999999999997E-3</v>
      </c>
      <c r="K8635" s="1192" t="s">
        <v>2823</v>
      </c>
      <c r="L8635" s="1192" t="s">
        <v>431</v>
      </c>
      <c r="P8635" s="1192" t="s">
        <v>6540</v>
      </c>
      <c r="T8635" s="1192">
        <v>44681</v>
      </c>
      <c r="V8635" s="1192">
        <v>125</v>
      </c>
    </row>
    <row r="8636" spans="1:22" s="1192" customFormat="1" ht="14.4" x14ac:dyDescent="0.3">
      <c r="A8636" s="1192" t="s">
        <v>173</v>
      </c>
      <c r="E8636" s="1741" t="s">
        <v>213</v>
      </c>
      <c r="F8636" s="1741"/>
      <c r="G8636" s="1277" t="s">
        <v>29</v>
      </c>
      <c r="H8636" s="1219">
        <v>2.1558999999999999</v>
      </c>
      <c r="K8636" s="1192" t="s">
        <v>2823</v>
      </c>
      <c r="L8636" s="1192" t="s">
        <v>432</v>
      </c>
      <c r="P8636" s="1192" t="s">
        <v>2827</v>
      </c>
      <c r="V8636" s="1192">
        <v>47</v>
      </c>
    </row>
    <row r="8637" spans="1:22" s="1192" customFormat="1" ht="14.4" x14ac:dyDescent="0.3">
      <c r="A8637" s="1192" t="s">
        <v>173</v>
      </c>
      <c r="E8637" s="1741" t="s">
        <v>209</v>
      </c>
      <c r="F8637" s="1741"/>
      <c r="G8637" s="1277" t="s">
        <v>29</v>
      </c>
      <c r="H8637" s="1219">
        <v>1.6874</v>
      </c>
      <c r="K8637" s="1192" t="s">
        <v>2823</v>
      </c>
      <c r="L8637" s="1192" t="s">
        <v>432</v>
      </c>
      <c r="P8637" s="1192" t="s">
        <v>2828</v>
      </c>
      <c r="V8637" s="1192">
        <v>74</v>
      </c>
    </row>
    <row r="8638" spans="1:22" s="1192" customFormat="1" ht="14.4" x14ac:dyDescent="0.3">
      <c r="A8638" s="1192" t="s">
        <v>173</v>
      </c>
      <c r="E8638" s="1750" t="s">
        <v>2405</v>
      </c>
      <c r="F8638" s="1741"/>
      <c r="G8638" s="1277"/>
      <c r="H8638" s="896"/>
      <c r="K8638" s="1192" t="s">
        <v>2427</v>
      </c>
      <c r="V8638" s="1192">
        <v>48</v>
      </c>
    </row>
    <row r="8639" spans="1:22" s="1192" customFormat="1" ht="14.4" x14ac:dyDescent="0.3">
      <c r="A8639" s="1192" t="s">
        <v>173</v>
      </c>
      <c r="E8639" s="1741" t="s">
        <v>2033</v>
      </c>
      <c r="F8639" s="1741"/>
      <c r="G8639" s="1277" t="s">
        <v>20</v>
      </c>
      <c r="H8639" s="1219">
        <v>3.0000000000000001E-3</v>
      </c>
      <c r="K8639" s="1192" t="s">
        <v>2823</v>
      </c>
      <c r="L8639" s="1192" t="s">
        <v>2374</v>
      </c>
      <c r="P8639" s="1192" t="s">
        <v>2829</v>
      </c>
      <c r="V8639" s="1192">
        <v>55</v>
      </c>
    </row>
    <row r="8640" spans="1:22" s="1192" customFormat="1" ht="14.4" x14ac:dyDescent="0.3">
      <c r="A8640" s="1192" t="s">
        <v>173</v>
      </c>
      <c r="E8640" s="1741" t="s">
        <v>2034</v>
      </c>
      <c r="F8640" s="1741"/>
      <c r="G8640" s="1277" t="s">
        <v>20</v>
      </c>
      <c r="H8640" s="1219">
        <v>4.0000000000000002E-4</v>
      </c>
      <c r="K8640" s="1192" t="s">
        <v>2823</v>
      </c>
      <c r="L8640" s="1192" t="s">
        <v>2374</v>
      </c>
      <c r="P8640" s="1192" t="s">
        <v>2829</v>
      </c>
      <c r="V8640" s="1192">
        <v>65</v>
      </c>
    </row>
    <row r="8641" spans="1:22" s="1192" customFormat="1" ht="14.4" x14ac:dyDescent="0.3">
      <c r="A8641" s="1192" t="s">
        <v>173</v>
      </c>
      <c r="E8641" s="1741" t="s">
        <v>428</v>
      </c>
      <c r="F8641" s="1741"/>
      <c r="G8641" s="1277" t="s">
        <v>20</v>
      </c>
      <c r="H8641" s="1219">
        <v>5.0000000000000001E-4</v>
      </c>
      <c r="K8641" s="1192" t="s">
        <v>2823</v>
      </c>
      <c r="L8641" s="1192" t="s">
        <v>2374</v>
      </c>
      <c r="P8641" s="1192" t="s">
        <v>2830</v>
      </c>
      <c r="V8641" s="1192">
        <v>57</v>
      </c>
    </row>
    <row r="8642" spans="1:22" s="1192" customFormat="1" ht="14.4" x14ac:dyDescent="0.3">
      <c r="A8642" s="1192" t="s">
        <v>173</v>
      </c>
      <c r="E8642" s="1741" t="s">
        <v>28</v>
      </c>
      <c r="F8642" s="1741"/>
      <c r="G8642" s="1277" t="s">
        <v>19</v>
      </c>
      <c r="H8642" s="1218">
        <v>0.25</v>
      </c>
      <c r="K8642" s="1192" t="s">
        <v>2823</v>
      </c>
      <c r="L8642" s="1192" t="s">
        <v>2374</v>
      </c>
      <c r="P8642" s="1192" t="s">
        <v>2831</v>
      </c>
      <c r="V8642" s="1192">
        <v>63</v>
      </c>
    </row>
    <row r="8643" spans="1:22" s="1192" customFormat="1" ht="17.399999999999999" x14ac:dyDescent="0.3">
      <c r="A8643" s="1192" t="s">
        <v>173</v>
      </c>
      <c r="E8643" s="1746" t="s">
        <v>590</v>
      </c>
      <c r="F8643" s="1747"/>
      <c r="G8643" s="1747"/>
      <c r="H8643" s="1747"/>
      <c r="K8643" s="1192" t="s">
        <v>2428</v>
      </c>
      <c r="V8643" s="1192">
        <v>38</v>
      </c>
    </row>
    <row r="8644" spans="1:22" s="1192" customFormat="1" ht="14.4" x14ac:dyDescent="0.3">
      <c r="A8644" s="1192" t="s">
        <v>173</v>
      </c>
      <c r="E8644" s="1750" t="s">
        <v>2389</v>
      </c>
      <c r="F8644" s="1743"/>
      <c r="G8644" s="1743"/>
      <c r="H8644" s="1743"/>
      <c r="K8644" s="1192" t="s">
        <v>2430</v>
      </c>
      <c r="V8644" s="1192">
        <v>11</v>
      </c>
    </row>
    <row r="8645" spans="1:22" s="1192" customFormat="1" ht="14.4" x14ac:dyDescent="0.3">
      <c r="A8645" s="1192" t="s">
        <v>173</v>
      </c>
      <c r="E8645" s="1743" t="s">
        <v>2391</v>
      </c>
      <c r="F8645" s="1743"/>
      <c r="G8645" s="1743"/>
      <c r="H8645" s="1743"/>
      <c r="K8645" s="1192" t="s">
        <v>2428</v>
      </c>
      <c r="V8645" s="1192">
        <v>280</v>
      </c>
    </row>
    <row r="8646" spans="1:22" s="1192" customFormat="1" ht="14.4" x14ac:dyDescent="0.3">
      <c r="A8646" s="1192" t="s">
        <v>173</v>
      </c>
      <c r="E8646" s="1743" t="s">
        <v>2392</v>
      </c>
      <c r="F8646" s="1743"/>
      <c r="G8646" s="1743"/>
      <c r="H8646" s="1743"/>
      <c r="K8646" s="1192" t="s">
        <v>2428</v>
      </c>
      <c r="V8646" s="1192">
        <v>411</v>
      </c>
    </row>
    <row r="8647" spans="1:22" s="1192" customFormat="1" ht="14.4" x14ac:dyDescent="0.3">
      <c r="A8647" s="1192" t="s">
        <v>173</v>
      </c>
      <c r="E8647" s="1743" t="s">
        <v>2508</v>
      </c>
      <c r="F8647" s="1743"/>
      <c r="G8647" s="1743"/>
      <c r="H8647" s="1743"/>
      <c r="K8647" s="1192" t="s">
        <v>2428</v>
      </c>
      <c r="V8647" s="1192">
        <v>386</v>
      </c>
    </row>
    <row r="8648" spans="1:22" s="1192" customFormat="1" ht="14.4" x14ac:dyDescent="0.3">
      <c r="A8648" s="1192" t="s">
        <v>173</v>
      </c>
      <c r="E8648" s="1743" t="s">
        <v>4500</v>
      </c>
      <c r="F8648" s="1743"/>
      <c r="G8648" s="1743"/>
      <c r="H8648" s="1743"/>
      <c r="K8648" s="1192" t="s">
        <v>2428</v>
      </c>
      <c r="V8648" s="1192">
        <v>247</v>
      </c>
    </row>
    <row r="8649" spans="1:22" s="1192" customFormat="1" ht="14.4" x14ac:dyDescent="0.3">
      <c r="A8649" s="1192" t="s">
        <v>173</v>
      </c>
      <c r="E8649" s="1750" t="s">
        <v>2394</v>
      </c>
      <c r="F8649" s="1743"/>
      <c r="G8649" s="1743"/>
      <c r="H8649" s="1743"/>
      <c r="K8649" s="1192" t="s">
        <v>2431</v>
      </c>
      <c r="V8649" s="1192">
        <v>46</v>
      </c>
    </row>
    <row r="8650" spans="1:22" s="1192" customFormat="1" ht="14.4" x14ac:dyDescent="0.3">
      <c r="A8650" s="1192" t="s">
        <v>173</v>
      </c>
      <c r="E8650" s="1741" t="s">
        <v>8</v>
      </c>
      <c r="F8650" s="1741"/>
      <c r="G8650" s="1277" t="s">
        <v>19</v>
      </c>
      <c r="H8650" s="1218">
        <v>1.21</v>
      </c>
      <c r="K8650" s="1192" t="s">
        <v>2428</v>
      </c>
      <c r="L8650" s="1192" t="s">
        <v>430</v>
      </c>
      <c r="P8650" s="1192" t="s">
        <v>2432</v>
      </c>
      <c r="V8650" s="1192">
        <v>31</v>
      </c>
    </row>
    <row r="8651" spans="1:22" s="1192" customFormat="1" ht="14.4" x14ac:dyDescent="0.3">
      <c r="A8651" s="1192" t="s">
        <v>173</v>
      </c>
      <c r="E8651" s="1741" t="s">
        <v>80</v>
      </c>
      <c r="F8651" s="1741"/>
      <c r="G8651" s="1277" t="s">
        <v>29</v>
      </c>
      <c r="H8651" s="1219">
        <v>11.761200000000001</v>
      </c>
      <c r="K8651" s="1192" t="s">
        <v>2428</v>
      </c>
      <c r="L8651" s="1192" t="s">
        <v>430</v>
      </c>
      <c r="P8651" s="1192" t="s">
        <v>2433</v>
      </c>
      <c r="V8651" s="1192">
        <v>28</v>
      </c>
    </row>
    <row r="8652" spans="1:22" s="1192" customFormat="1" ht="14.4" x14ac:dyDescent="0.3">
      <c r="A8652" s="1192" t="s">
        <v>173</v>
      </c>
      <c r="E8652" s="1741" t="s">
        <v>14</v>
      </c>
      <c r="F8652" s="1741"/>
      <c r="G8652" s="1277" t="s">
        <v>29</v>
      </c>
      <c r="H8652" s="1219">
        <v>0.33510000000000001</v>
      </c>
      <c r="K8652" s="1192" t="s">
        <v>2428</v>
      </c>
      <c r="L8652" s="1192" t="s">
        <v>431</v>
      </c>
      <c r="P8652" s="1192" t="s">
        <v>2764</v>
      </c>
      <c r="V8652" s="1192">
        <v>24</v>
      </c>
    </row>
    <row r="8653" spans="1:22" s="1192" customFormat="1" ht="14.4" x14ac:dyDescent="0.3">
      <c r="A8653" s="1192" t="s">
        <v>173</v>
      </c>
      <c r="E8653" s="1741" t="s">
        <v>6534</v>
      </c>
      <c r="F8653" s="1998"/>
      <c r="G8653" s="1277" t="s">
        <v>29</v>
      </c>
      <c r="H8653" s="1219">
        <v>-3.27E-2</v>
      </c>
      <c r="K8653" s="1192" t="s">
        <v>2428</v>
      </c>
      <c r="L8653" s="1192" t="s">
        <v>431</v>
      </c>
      <c r="P8653" s="1192" t="s">
        <v>4008</v>
      </c>
      <c r="T8653" s="1192">
        <v>44316</v>
      </c>
      <c r="V8653" s="1192">
        <v>175</v>
      </c>
    </row>
    <row r="8654" spans="1:22" s="1192" customFormat="1" ht="14.4" x14ac:dyDescent="0.3">
      <c r="A8654" s="1192" t="s">
        <v>173</v>
      </c>
      <c r="E8654" s="1741" t="s">
        <v>6535</v>
      </c>
      <c r="F8654" s="1998"/>
      <c r="G8654" s="1277" t="s">
        <v>29</v>
      </c>
      <c r="H8654" s="1219">
        <v>0.39400000000000002</v>
      </c>
      <c r="K8654" s="1192" t="s">
        <v>2428</v>
      </c>
      <c r="L8654" s="1192" t="s">
        <v>431</v>
      </c>
      <c r="P8654" s="1192" t="s">
        <v>2434</v>
      </c>
      <c r="T8654" s="1192">
        <v>44316</v>
      </c>
      <c r="V8654" s="1192">
        <v>132</v>
      </c>
    </row>
    <row r="8655" spans="1:22" s="1192" customFormat="1" ht="14.4" x14ac:dyDescent="0.3">
      <c r="A8655" s="1192" t="s">
        <v>173</v>
      </c>
      <c r="E8655" s="1741" t="s">
        <v>4645</v>
      </c>
      <c r="F8655" s="1741"/>
      <c r="G8655" s="1277" t="s">
        <v>20</v>
      </c>
      <c r="H8655" s="1219">
        <v>4.4999999999999997E-3</v>
      </c>
      <c r="K8655" s="1192" t="s">
        <v>2428</v>
      </c>
      <c r="L8655" s="1192" t="s">
        <v>431</v>
      </c>
      <c r="P8655" s="1192" t="s">
        <v>6541</v>
      </c>
      <c r="T8655" s="1192">
        <v>44681</v>
      </c>
      <c r="V8655" s="1192">
        <v>125</v>
      </c>
    </row>
    <row r="8656" spans="1:22" s="1192" customFormat="1" ht="14.4" x14ac:dyDescent="0.3">
      <c r="A8656" s="1192" t="s">
        <v>173</v>
      </c>
      <c r="E8656" s="1741" t="s">
        <v>213</v>
      </c>
      <c r="F8656" s="1741"/>
      <c r="G8656" s="1277" t="s">
        <v>29</v>
      </c>
      <c r="H8656" s="1219">
        <v>2.1455000000000002</v>
      </c>
      <c r="K8656" s="1192" t="s">
        <v>2428</v>
      </c>
      <c r="L8656" s="1192" t="s">
        <v>432</v>
      </c>
      <c r="P8656" s="1192" t="s">
        <v>2436</v>
      </c>
      <c r="V8656" s="1192">
        <v>47</v>
      </c>
    </row>
    <row r="8657" spans="1:22" s="1192" customFormat="1" ht="14.4" x14ac:dyDescent="0.3">
      <c r="A8657" s="1192" t="s">
        <v>173</v>
      </c>
      <c r="E8657" s="1741" t="s">
        <v>209</v>
      </c>
      <c r="F8657" s="1741"/>
      <c r="G8657" s="1277" t="s">
        <v>29</v>
      </c>
      <c r="H8657" s="1219">
        <v>1.6526000000000001</v>
      </c>
      <c r="K8657" s="1192" t="s">
        <v>2428</v>
      </c>
      <c r="L8657" s="1192" t="s">
        <v>432</v>
      </c>
      <c r="P8657" s="1192" t="s">
        <v>2437</v>
      </c>
      <c r="V8657" s="1192">
        <v>74</v>
      </c>
    </row>
    <row r="8658" spans="1:22" s="1192" customFormat="1" ht="14.4" x14ac:dyDescent="0.3">
      <c r="A8658" s="1192" t="s">
        <v>173</v>
      </c>
      <c r="E8658" s="1750" t="s">
        <v>2405</v>
      </c>
      <c r="F8658" s="1741"/>
      <c r="G8658" s="1277"/>
      <c r="H8658" s="896"/>
      <c r="K8658" s="1192" t="s">
        <v>2438</v>
      </c>
      <c r="V8658" s="1192">
        <v>48</v>
      </c>
    </row>
    <row r="8659" spans="1:22" s="1192" customFormat="1" ht="14.4" x14ac:dyDescent="0.3">
      <c r="A8659" s="1192" t="s">
        <v>173</v>
      </c>
      <c r="E8659" s="1741" t="s">
        <v>2033</v>
      </c>
      <c r="F8659" s="1741"/>
      <c r="G8659" s="1277" t="s">
        <v>20</v>
      </c>
      <c r="H8659" s="1219">
        <v>3.0000000000000001E-3</v>
      </c>
      <c r="K8659" s="1192" t="s">
        <v>2428</v>
      </c>
      <c r="L8659" s="1192" t="s">
        <v>2374</v>
      </c>
      <c r="P8659" s="1192" t="s">
        <v>2439</v>
      </c>
      <c r="V8659" s="1192">
        <v>55</v>
      </c>
    </row>
    <row r="8660" spans="1:22" s="1192" customFormat="1" ht="14.4" x14ac:dyDescent="0.3">
      <c r="A8660" s="1192" t="s">
        <v>173</v>
      </c>
      <c r="E8660" s="1741" t="s">
        <v>2034</v>
      </c>
      <c r="F8660" s="1741"/>
      <c r="G8660" s="1277" t="s">
        <v>20</v>
      </c>
      <c r="H8660" s="1219">
        <v>4.0000000000000002E-4</v>
      </c>
      <c r="K8660" s="1192" t="s">
        <v>2428</v>
      </c>
      <c r="L8660" s="1192" t="s">
        <v>2374</v>
      </c>
      <c r="P8660" s="1192" t="s">
        <v>2439</v>
      </c>
      <c r="V8660" s="1192">
        <v>65</v>
      </c>
    </row>
    <row r="8661" spans="1:22" s="1192" customFormat="1" ht="14.4" x14ac:dyDescent="0.3">
      <c r="A8661" s="1192" t="s">
        <v>173</v>
      </c>
      <c r="E8661" s="1741" t="s">
        <v>428</v>
      </c>
      <c r="F8661" s="1741"/>
      <c r="G8661" s="1277" t="s">
        <v>20</v>
      </c>
      <c r="H8661" s="1219">
        <v>5.0000000000000001E-4</v>
      </c>
      <c r="K8661" s="1192" t="s">
        <v>2428</v>
      </c>
      <c r="L8661" s="1192" t="s">
        <v>2374</v>
      </c>
      <c r="P8661" s="1192" t="s">
        <v>2440</v>
      </c>
      <c r="V8661" s="1192">
        <v>57</v>
      </c>
    </row>
    <row r="8662" spans="1:22" s="1192" customFormat="1" ht="14.4" x14ac:dyDescent="0.3">
      <c r="A8662" s="1192" t="s">
        <v>173</v>
      </c>
      <c r="E8662" s="1741" t="s">
        <v>28</v>
      </c>
      <c r="F8662" s="1741"/>
      <c r="G8662" s="1277" t="s">
        <v>19</v>
      </c>
      <c r="H8662" s="1218">
        <v>0.25</v>
      </c>
      <c r="K8662" s="1192" t="s">
        <v>2428</v>
      </c>
      <c r="L8662" s="1192" t="s">
        <v>2374</v>
      </c>
      <c r="P8662" s="1192" t="s">
        <v>2441</v>
      </c>
      <c r="V8662" s="1192">
        <v>63</v>
      </c>
    </row>
    <row r="8663" spans="1:22" s="1192" customFormat="1" ht="17.399999999999999" x14ac:dyDescent="0.3">
      <c r="A8663" s="1192" t="s">
        <v>173</v>
      </c>
      <c r="E8663" s="1746" t="s">
        <v>597</v>
      </c>
      <c r="F8663" s="1747"/>
      <c r="G8663" s="1747"/>
      <c r="H8663" s="1747"/>
      <c r="K8663" s="1192" t="s">
        <v>2991</v>
      </c>
      <c r="V8663" s="1192">
        <v>43</v>
      </c>
    </row>
    <row r="8664" spans="1:22" s="1192" customFormat="1" ht="14.4" x14ac:dyDescent="0.3">
      <c r="A8664" s="1192" t="s">
        <v>173</v>
      </c>
      <c r="E8664" s="1743" t="s">
        <v>3644</v>
      </c>
      <c r="F8664" s="1743"/>
      <c r="G8664" s="1743"/>
      <c r="H8664" s="1743"/>
      <c r="K8664" s="1192" t="s">
        <v>2991</v>
      </c>
      <c r="V8664" s="1192">
        <v>262</v>
      </c>
    </row>
    <row r="8665" spans="1:22" s="1192" customFormat="1" ht="14.4" x14ac:dyDescent="0.3">
      <c r="A8665" s="1192" t="s">
        <v>173</v>
      </c>
      <c r="E8665" s="1750" t="s">
        <v>2389</v>
      </c>
      <c r="F8665" s="1743"/>
      <c r="G8665" s="1743"/>
      <c r="H8665" s="1743"/>
      <c r="K8665" s="1192" t="s">
        <v>2444</v>
      </c>
      <c r="V8665" s="1192">
        <v>11</v>
      </c>
    </row>
    <row r="8666" spans="1:22" s="1192" customFormat="1" ht="14.4" x14ac:dyDescent="0.3">
      <c r="A8666" s="1192" t="s">
        <v>173</v>
      </c>
      <c r="E8666" s="1743" t="s">
        <v>2391</v>
      </c>
      <c r="F8666" s="1743"/>
      <c r="G8666" s="1743"/>
      <c r="H8666" s="1743"/>
      <c r="K8666" s="1192" t="s">
        <v>2991</v>
      </c>
      <c r="V8666" s="1192">
        <v>280</v>
      </c>
    </row>
    <row r="8667" spans="1:22" s="1192" customFormat="1" ht="14.4" x14ac:dyDescent="0.3">
      <c r="A8667" s="1192" t="s">
        <v>173</v>
      </c>
      <c r="E8667" s="1743" t="s">
        <v>2392</v>
      </c>
      <c r="F8667" s="1743"/>
      <c r="G8667" s="1743"/>
      <c r="H8667" s="1743"/>
      <c r="K8667" s="1192" t="s">
        <v>2991</v>
      </c>
      <c r="V8667" s="1192">
        <v>411</v>
      </c>
    </row>
    <row r="8668" spans="1:22" s="1192" customFormat="1" ht="14.4" x14ac:dyDescent="0.3">
      <c r="A8668" s="1192" t="s">
        <v>173</v>
      </c>
      <c r="E8668" s="1743" t="s">
        <v>2508</v>
      </c>
      <c r="F8668" s="1743"/>
      <c r="G8668" s="1743"/>
      <c r="H8668" s="1743"/>
      <c r="K8668" s="1192" t="s">
        <v>2991</v>
      </c>
      <c r="V8668" s="1192">
        <v>386</v>
      </c>
    </row>
    <row r="8669" spans="1:22" s="1192" customFormat="1" ht="14.4" x14ac:dyDescent="0.3">
      <c r="A8669" s="1192" t="s">
        <v>173</v>
      </c>
      <c r="E8669" s="1743" t="s">
        <v>4500</v>
      </c>
      <c r="F8669" s="1743"/>
      <c r="G8669" s="1743"/>
      <c r="H8669" s="1743"/>
      <c r="K8669" s="1192" t="s">
        <v>2991</v>
      </c>
      <c r="V8669" s="1192">
        <v>247</v>
      </c>
    </row>
    <row r="8670" spans="1:22" s="1192" customFormat="1" ht="14.4" x14ac:dyDescent="0.3">
      <c r="A8670" s="1192" t="s">
        <v>173</v>
      </c>
      <c r="E8670" s="1750" t="s">
        <v>2394</v>
      </c>
      <c r="F8670" s="1743"/>
      <c r="G8670" s="1743"/>
      <c r="H8670" s="1743"/>
      <c r="K8670" s="1192" t="s">
        <v>2446</v>
      </c>
      <c r="V8670" s="1192">
        <v>46</v>
      </c>
    </row>
    <row r="8671" spans="1:22" s="1192" customFormat="1" ht="14.4" x14ac:dyDescent="0.3">
      <c r="A8671" s="1192" t="s">
        <v>173</v>
      </c>
      <c r="E8671" s="1741" t="s">
        <v>7</v>
      </c>
      <c r="F8671" s="1741"/>
      <c r="G8671" s="1277" t="s">
        <v>19</v>
      </c>
      <c r="H8671" s="1218">
        <v>1901.92</v>
      </c>
      <c r="K8671" s="1192" t="s">
        <v>2991</v>
      </c>
      <c r="L8671" s="1192" t="s">
        <v>430</v>
      </c>
      <c r="P8671" s="1192" t="s">
        <v>2993</v>
      </c>
      <c r="V8671" s="1192">
        <v>14</v>
      </c>
    </row>
    <row r="8672" spans="1:22" s="1192" customFormat="1" ht="14.4" x14ac:dyDescent="0.3">
      <c r="A8672" s="1192" t="s">
        <v>173</v>
      </c>
      <c r="E8672" s="1741" t="s">
        <v>80</v>
      </c>
      <c r="F8672" s="1741"/>
      <c r="G8672" s="1277" t="s">
        <v>29</v>
      </c>
      <c r="H8672" s="1219">
        <v>0.28289999999999998</v>
      </c>
      <c r="K8672" s="1192" t="s">
        <v>2991</v>
      </c>
      <c r="L8672" s="1192" t="s">
        <v>430</v>
      </c>
      <c r="P8672" s="1192" t="s">
        <v>2994</v>
      </c>
      <c r="V8672" s="1192">
        <v>28</v>
      </c>
    </row>
    <row r="8673" spans="1:22" s="1192" customFormat="1" ht="14.4" x14ac:dyDescent="0.3">
      <c r="A8673" s="1192" t="s">
        <v>173</v>
      </c>
      <c r="E8673" s="1741" t="s">
        <v>14</v>
      </c>
      <c r="F8673" s="1741"/>
      <c r="G8673" s="1277" t="s">
        <v>29</v>
      </c>
      <c r="H8673" s="1219">
        <v>0.43319999999999997</v>
      </c>
      <c r="K8673" s="1192" t="s">
        <v>2991</v>
      </c>
      <c r="L8673" s="1192" t="s">
        <v>431</v>
      </c>
      <c r="P8673" s="1192" t="s">
        <v>4066</v>
      </c>
      <c r="V8673" s="1192">
        <v>24</v>
      </c>
    </row>
    <row r="8674" spans="1:22" s="1192" customFormat="1" ht="14.4" x14ac:dyDescent="0.3">
      <c r="A8674" s="1192" t="s">
        <v>173</v>
      </c>
      <c r="E8674" s="1741" t="s">
        <v>6534</v>
      </c>
      <c r="F8674" s="1998"/>
      <c r="G8674" s="1277" t="s">
        <v>20</v>
      </c>
      <c r="H8674" s="1219">
        <v>-1E-4</v>
      </c>
      <c r="K8674" s="1192" t="s">
        <v>2991</v>
      </c>
      <c r="L8674" s="1192" t="s">
        <v>431</v>
      </c>
      <c r="P8674" s="1192" t="s">
        <v>4648</v>
      </c>
      <c r="T8674" s="1192">
        <v>44316</v>
      </c>
      <c r="V8674" s="1192">
        <v>175</v>
      </c>
    </row>
    <row r="8675" spans="1:22" s="1192" customFormat="1" ht="14.4" x14ac:dyDescent="0.3">
      <c r="A8675" s="1192" t="s">
        <v>173</v>
      </c>
      <c r="E8675" s="1741" t="s">
        <v>6535</v>
      </c>
      <c r="F8675" s="1998"/>
      <c r="G8675" s="1277" t="s">
        <v>20</v>
      </c>
      <c r="H8675" s="1219">
        <v>1.1000000000000001E-3</v>
      </c>
      <c r="K8675" s="1192" t="s">
        <v>2991</v>
      </c>
      <c r="L8675" s="1192" t="s">
        <v>431</v>
      </c>
      <c r="P8675" s="1192" t="s">
        <v>4010</v>
      </c>
      <c r="T8675" s="1192">
        <v>44316</v>
      </c>
      <c r="V8675" s="1192">
        <v>132</v>
      </c>
    </row>
    <row r="8676" spans="1:22" s="1192" customFormat="1" ht="14.4" x14ac:dyDescent="0.3">
      <c r="A8676" s="1192" t="s">
        <v>173</v>
      </c>
      <c r="E8676" s="1741" t="s">
        <v>213</v>
      </c>
      <c r="F8676" s="1741"/>
      <c r="G8676" s="1277" t="s">
        <v>29</v>
      </c>
      <c r="H8676" s="1219">
        <v>2.8445</v>
      </c>
      <c r="K8676" s="1192" t="s">
        <v>2991</v>
      </c>
      <c r="L8676" s="1192" t="s">
        <v>432</v>
      </c>
      <c r="P8676" s="1192" t="s">
        <v>4011</v>
      </c>
      <c r="V8676" s="1192">
        <v>47</v>
      </c>
    </row>
    <row r="8677" spans="1:22" s="1192" customFormat="1" ht="14.4" x14ac:dyDescent="0.3">
      <c r="A8677" s="1192" t="s">
        <v>173</v>
      </c>
      <c r="E8677" s="1741" t="s">
        <v>209</v>
      </c>
      <c r="F8677" s="1741"/>
      <c r="G8677" s="1277" t="s">
        <v>29</v>
      </c>
      <c r="H8677" s="1219">
        <v>2.1364000000000001</v>
      </c>
      <c r="K8677" s="1192" t="s">
        <v>2991</v>
      </c>
      <c r="L8677" s="1192" t="s">
        <v>432</v>
      </c>
      <c r="P8677" s="1192" t="s">
        <v>2995</v>
      </c>
      <c r="V8677" s="1192">
        <v>74</v>
      </c>
    </row>
    <row r="8678" spans="1:22" s="1192" customFormat="1" ht="14.4" x14ac:dyDescent="0.3">
      <c r="A8678" s="1192" t="s">
        <v>173</v>
      </c>
      <c r="E8678" s="1750" t="s">
        <v>2405</v>
      </c>
      <c r="F8678" s="1741"/>
      <c r="G8678" s="1277"/>
      <c r="H8678" s="896"/>
      <c r="K8678" s="1192" t="s">
        <v>2565</v>
      </c>
      <c r="V8678" s="1192">
        <v>48</v>
      </c>
    </row>
    <row r="8679" spans="1:22" s="1192" customFormat="1" ht="14.4" x14ac:dyDescent="0.3">
      <c r="A8679" s="1192" t="s">
        <v>173</v>
      </c>
      <c r="E8679" s="1741" t="s">
        <v>2033</v>
      </c>
      <c r="F8679" s="1741"/>
      <c r="G8679" s="1277" t="s">
        <v>20</v>
      </c>
      <c r="H8679" s="1219">
        <v>3.0000000000000001E-3</v>
      </c>
      <c r="K8679" s="1192" t="s">
        <v>2991</v>
      </c>
      <c r="L8679" s="1192" t="s">
        <v>2374</v>
      </c>
      <c r="P8679" s="1192" t="s">
        <v>4067</v>
      </c>
      <c r="V8679" s="1192">
        <v>55</v>
      </c>
    </row>
    <row r="8680" spans="1:22" s="1192" customFormat="1" ht="14.4" x14ac:dyDescent="0.3">
      <c r="A8680" s="1192" t="s">
        <v>173</v>
      </c>
      <c r="E8680" s="1741" t="s">
        <v>2034</v>
      </c>
      <c r="F8680" s="1741"/>
      <c r="G8680" s="1277" t="s">
        <v>20</v>
      </c>
      <c r="H8680" s="1219">
        <v>4.0000000000000002E-4</v>
      </c>
      <c r="K8680" s="1192" t="s">
        <v>2991</v>
      </c>
      <c r="L8680" s="1192" t="s">
        <v>2374</v>
      </c>
      <c r="P8680" s="1192" t="s">
        <v>4067</v>
      </c>
      <c r="V8680" s="1192">
        <v>65</v>
      </c>
    </row>
    <row r="8681" spans="1:22" s="1192" customFormat="1" ht="14.4" x14ac:dyDescent="0.3">
      <c r="A8681" s="1192" t="s">
        <v>173</v>
      </c>
      <c r="E8681" s="1741" t="s">
        <v>428</v>
      </c>
      <c r="F8681" s="1741"/>
      <c r="G8681" s="1277" t="s">
        <v>20</v>
      </c>
      <c r="H8681" s="1219">
        <v>5.0000000000000001E-4</v>
      </c>
      <c r="K8681" s="1192" t="s">
        <v>2991</v>
      </c>
      <c r="L8681" s="1192" t="s">
        <v>2374</v>
      </c>
      <c r="P8681" s="1192" t="s">
        <v>4068</v>
      </c>
      <c r="V8681" s="1192">
        <v>57</v>
      </c>
    </row>
    <row r="8682" spans="1:22" s="1192" customFormat="1" ht="14.4" x14ac:dyDescent="0.3">
      <c r="A8682" s="1192" t="s">
        <v>173</v>
      </c>
      <c r="E8682" s="1741" t="s">
        <v>28</v>
      </c>
      <c r="F8682" s="1741"/>
      <c r="G8682" s="1277" t="s">
        <v>19</v>
      </c>
      <c r="H8682" s="1218">
        <v>0.25</v>
      </c>
      <c r="K8682" s="1192" t="s">
        <v>2991</v>
      </c>
      <c r="L8682" s="1192" t="s">
        <v>2374</v>
      </c>
      <c r="P8682" s="1192" t="s">
        <v>4069</v>
      </c>
      <c r="V8682" s="1192">
        <v>63</v>
      </c>
    </row>
    <row r="8683" spans="1:22" s="1192" customFormat="1" ht="17.399999999999999" x14ac:dyDescent="0.3">
      <c r="A8683" s="1192" t="s">
        <v>173</v>
      </c>
      <c r="E8683" s="1746" t="s">
        <v>593</v>
      </c>
      <c r="F8683" s="1747"/>
      <c r="G8683" s="1747"/>
      <c r="H8683" s="1747"/>
      <c r="K8683" s="1192" t="s">
        <v>2756</v>
      </c>
      <c r="V8683" s="1192">
        <v>31</v>
      </c>
    </row>
    <row r="8684" spans="1:22" s="1192" customFormat="1" ht="14.4" x14ac:dyDescent="0.3">
      <c r="A8684" s="1192" t="s">
        <v>173</v>
      </c>
      <c r="E8684" s="1743" t="s">
        <v>2443</v>
      </c>
      <c r="F8684" s="1743"/>
      <c r="G8684" s="1743"/>
      <c r="H8684" s="1743"/>
      <c r="K8684" s="1192" t="s">
        <v>2756</v>
      </c>
      <c r="V8684" s="1192">
        <v>286</v>
      </c>
    </row>
    <row r="8685" spans="1:22" s="1192" customFormat="1" ht="14.4" x14ac:dyDescent="0.3">
      <c r="A8685" s="1192" t="s">
        <v>173</v>
      </c>
      <c r="E8685" s="1750" t="s">
        <v>2389</v>
      </c>
      <c r="F8685" s="1743"/>
      <c r="G8685" s="1743"/>
      <c r="H8685" s="1743"/>
      <c r="K8685" s="1192" t="s">
        <v>2571</v>
      </c>
      <c r="V8685" s="1192">
        <v>11</v>
      </c>
    </row>
    <row r="8686" spans="1:22" s="1192" customFormat="1" ht="14.4" x14ac:dyDescent="0.3">
      <c r="A8686" s="1192" t="s">
        <v>173</v>
      </c>
      <c r="E8686" s="1743" t="s">
        <v>2391</v>
      </c>
      <c r="F8686" s="1743"/>
      <c r="G8686" s="1743"/>
      <c r="H8686" s="1743"/>
      <c r="K8686" s="1192" t="s">
        <v>2756</v>
      </c>
      <c r="V8686" s="1192">
        <v>280</v>
      </c>
    </row>
    <row r="8687" spans="1:22" s="1192" customFormat="1" ht="14.4" x14ac:dyDescent="0.3">
      <c r="A8687" s="1192" t="s">
        <v>173</v>
      </c>
      <c r="E8687" s="1743" t="s">
        <v>2392</v>
      </c>
      <c r="F8687" s="1743"/>
      <c r="G8687" s="1743"/>
      <c r="H8687" s="1743"/>
      <c r="K8687" s="1192" t="s">
        <v>2756</v>
      </c>
      <c r="V8687" s="1192">
        <v>411</v>
      </c>
    </row>
    <row r="8688" spans="1:22" s="1192" customFormat="1" ht="14.4" x14ac:dyDescent="0.3">
      <c r="A8688" s="1192" t="s">
        <v>173</v>
      </c>
      <c r="E8688" s="1743" t="s">
        <v>2445</v>
      </c>
      <c r="F8688" s="1743"/>
      <c r="G8688" s="1743"/>
      <c r="H8688" s="1743"/>
      <c r="K8688" s="1192" t="s">
        <v>2756</v>
      </c>
      <c r="V8688" s="1192">
        <v>211</v>
      </c>
    </row>
    <row r="8689" spans="1:22" s="1192" customFormat="1" ht="14.4" x14ac:dyDescent="0.3">
      <c r="A8689" s="1192" t="s">
        <v>173</v>
      </c>
      <c r="E8689" s="1743" t="s">
        <v>4500</v>
      </c>
      <c r="F8689" s="1743"/>
      <c r="G8689" s="1743"/>
      <c r="H8689" s="1743"/>
      <c r="K8689" s="1192" t="s">
        <v>2756</v>
      </c>
      <c r="V8689" s="1192">
        <v>247</v>
      </c>
    </row>
    <row r="8690" spans="1:22" s="1192" customFormat="1" ht="14.4" x14ac:dyDescent="0.3">
      <c r="A8690" s="1192" t="s">
        <v>173</v>
      </c>
      <c r="E8690" s="1750" t="s">
        <v>2394</v>
      </c>
      <c r="F8690" s="1743"/>
      <c r="G8690" s="1743"/>
      <c r="H8690" s="1743"/>
      <c r="K8690" s="1192" t="s">
        <v>2572</v>
      </c>
      <c r="V8690" s="1192">
        <v>46</v>
      </c>
    </row>
    <row r="8691" spans="1:22" s="1192" customFormat="1" ht="14.4" x14ac:dyDescent="0.3">
      <c r="A8691" s="1192" t="s">
        <v>173</v>
      </c>
      <c r="E8691" s="1741" t="s">
        <v>7</v>
      </c>
      <c r="F8691" s="1741"/>
      <c r="G8691" s="1277" t="s">
        <v>19</v>
      </c>
      <c r="H8691" s="1218">
        <v>4.55</v>
      </c>
      <c r="K8691" s="1192" t="s">
        <v>2756</v>
      </c>
      <c r="L8691" s="1192" t="s">
        <v>430</v>
      </c>
      <c r="P8691" s="1192" t="s">
        <v>2757</v>
      </c>
      <c r="V8691" s="1192">
        <v>14</v>
      </c>
    </row>
    <row r="8692" spans="1:22" s="1192" customFormat="1" x14ac:dyDescent="0.35">
      <c r="A8692" s="1192" t="s">
        <v>173</v>
      </c>
      <c r="E8692" s="1260" t="s">
        <v>81</v>
      </c>
      <c r="F8692" s="550"/>
      <c r="G8692" s="550"/>
      <c r="H8692" s="881"/>
      <c r="K8692" s="1192" t="s">
        <v>3645</v>
      </c>
      <c r="V8692" s="1192">
        <v>10</v>
      </c>
    </row>
    <row r="8693" spans="1:22" s="1192" customFormat="1" ht="14.4" x14ac:dyDescent="0.3">
      <c r="A8693" s="1192" t="s">
        <v>173</v>
      </c>
      <c r="E8693" s="1741" t="s">
        <v>2449</v>
      </c>
      <c r="F8693" s="1741"/>
      <c r="G8693" s="1277" t="s">
        <v>155</v>
      </c>
      <c r="H8693" s="1219">
        <v>-0.6</v>
      </c>
      <c r="V8693" s="1192">
        <v>68</v>
      </c>
    </row>
    <row r="8694" spans="1:22" s="1192" customFormat="1" ht="14.4" x14ac:dyDescent="0.3">
      <c r="A8694" s="1192" t="s">
        <v>173</v>
      </c>
      <c r="E8694" s="1741" t="s">
        <v>3993</v>
      </c>
      <c r="F8694" s="1741"/>
      <c r="G8694" s="1277" t="s">
        <v>82</v>
      </c>
      <c r="H8694" s="1218">
        <v>-1</v>
      </c>
      <c r="V8694" s="1192">
        <v>89</v>
      </c>
    </row>
    <row r="8695" spans="1:22" s="1192" customFormat="1" x14ac:dyDescent="0.35">
      <c r="A8695" s="1192" t="s">
        <v>173</v>
      </c>
      <c r="E8695" s="1264" t="s">
        <v>83</v>
      </c>
      <c r="F8695" s="550"/>
      <c r="G8695" s="550"/>
      <c r="H8695" s="881"/>
      <c r="K8695" s="1192" t="s">
        <v>3646</v>
      </c>
      <c r="V8695" s="1192">
        <v>24</v>
      </c>
    </row>
    <row r="8696" spans="1:22" s="1192" customFormat="1" ht="14.4" x14ac:dyDescent="0.3">
      <c r="A8696" s="1192" t="s">
        <v>173</v>
      </c>
      <c r="E8696" s="1743" t="s">
        <v>2391</v>
      </c>
      <c r="F8696" s="1743"/>
      <c r="G8696" s="1743"/>
      <c r="H8696" s="1743"/>
      <c r="V8696" s="1192">
        <v>280</v>
      </c>
    </row>
    <row r="8697" spans="1:22" s="1192" customFormat="1" ht="14.4" x14ac:dyDescent="0.3">
      <c r="A8697" s="1192" t="s">
        <v>173</v>
      </c>
      <c r="E8697" s="1743" t="s">
        <v>2452</v>
      </c>
      <c r="F8697" s="1743"/>
      <c r="G8697" s="1743"/>
      <c r="H8697" s="1743"/>
      <c r="V8697" s="1192">
        <v>353</v>
      </c>
    </row>
    <row r="8698" spans="1:22" s="1192" customFormat="1" ht="14.4" x14ac:dyDescent="0.3">
      <c r="A8698" s="1192" t="s">
        <v>173</v>
      </c>
      <c r="E8698" s="1743" t="s">
        <v>4500</v>
      </c>
      <c r="F8698" s="1743"/>
      <c r="G8698" s="1743"/>
      <c r="H8698" s="1743"/>
      <c r="V8698" s="1192">
        <v>247</v>
      </c>
    </row>
    <row r="8699" spans="1:22" s="1192" customFormat="1" ht="14.4" x14ac:dyDescent="0.3">
      <c r="A8699" s="1192" t="s">
        <v>173</v>
      </c>
      <c r="E8699" s="1258" t="s">
        <v>2453</v>
      </c>
      <c r="F8699" s="3"/>
      <c r="G8699" s="3"/>
      <c r="H8699" s="897"/>
      <c r="K8699" s="1192" t="s">
        <v>3647</v>
      </c>
      <c r="V8699" s="1192">
        <v>23</v>
      </c>
    </row>
    <row r="8700" spans="1:22" s="1192" customFormat="1" ht="14.4" x14ac:dyDescent="0.3">
      <c r="A8700" s="1192" t="s">
        <v>173</v>
      </c>
      <c r="E8700" s="1942" t="s">
        <v>2639</v>
      </c>
      <c r="F8700" s="1942"/>
      <c r="G8700" s="1277" t="s">
        <v>19</v>
      </c>
      <c r="H8700" s="1218">
        <v>15</v>
      </c>
      <c r="V8700" s="1192">
        <v>19</v>
      </c>
    </row>
    <row r="8701" spans="1:22" s="1192" customFormat="1" ht="14.4" x14ac:dyDescent="0.3">
      <c r="A8701" s="1192" t="s">
        <v>173</v>
      </c>
      <c r="E8701" s="1942" t="s">
        <v>2456</v>
      </c>
      <c r="F8701" s="1942"/>
      <c r="G8701" s="1277" t="s">
        <v>19</v>
      </c>
      <c r="H8701" s="1218">
        <v>15</v>
      </c>
      <c r="V8701" s="1192">
        <v>20</v>
      </c>
    </row>
    <row r="8702" spans="1:22" s="1192" customFormat="1" ht="14.4" x14ac:dyDescent="0.3">
      <c r="A8702" s="1192" t="s">
        <v>173</v>
      </c>
      <c r="E8702" s="1942" t="s">
        <v>2457</v>
      </c>
      <c r="F8702" s="1942"/>
      <c r="G8702" s="1277" t="s">
        <v>19</v>
      </c>
      <c r="H8702" s="1218">
        <v>15</v>
      </c>
      <c r="V8702" s="1192">
        <v>26</v>
      </c>
    </row>
    <row r="8703" spans="1:22" s="1192" customFormat="1" ht="14.4" x14ac:dyDescent="0.3">
      <c r="A8703" s="1192" t="s">
        <v>173</v>
      </c>
      <c r="E8703" s="1942" t="s">
        <v>2458</v>
      </c>
      <c r="F8703" s="1942"/>
      <c r="G8703" s="1277" t="s">
        <v>19</v>
      </c>
      <c r="H8703" s="1218">
        <v>15</v>
      </c>
      <c r="V8703" s="1192">
        <v>39</v>
      </c>
    </row>
    <row r="8704" spans="1:22" s="1192" customFormat="1" ht="14.4" x14ac:dyDescent="0.3">
      <c r="A8704" s="1192" t="s">
        <v>173</v>
      </c>
      <c r="E8704" s="1942" t="s">
        <v>2459</v>
      </c>
      <c r="F8704" s="1942"/>
      <c r="G8704" s="1277" t="s">
        <v>19</v>
      </c>
      <c r="H8704" s="1218">
        <v>15</v>
      </c>
      <c r="V8704" s="1192">
        <v>37</v>
      </c>
    </row>
    <row r="8705" spans="1:22" s="1192" customFormat="1" ht="14.4" x14ac:dyDescent="0.3">
      <c r="A8705" s="1192" t="s">
        <v>173</v>
      </c>
      <c r="E8705" s="1942" t="s">
        <v>3663</v>
      </c>
      <c r="F8705" s="1942"/>
      <c r="G8705" s="1277" t="s">
        <v>19</v>
      </c>
      <c r="H8705" s="1218">
        <v>15</v>
      </c>
      <c r="V8705" s="1192">
        <v>15</v>
      </c>
    </row>
    <row r="8706" spans="1:22" s="1192" customFormat="1" ht="14.4" x14ac:dyDescent="0.3">
      <c r="A8706" s="1192" t="s">
        <v>173</v>
      </c>
      <c r="E8706" s="1942" t="s">
        <v>2461</v>
      </c>
      <c r="F8706" s="1942"/>
      <c r="G8706" s="1277" t="s">
        <v>19</v>
      </c>
      <c r="H8706" s="1218">
        <v>15</v>
      </c>
      <c r="V8706" s="1192">
        <v>17</v>
      </c>
    </row>
    <row r="8707" spans="1:22" s="1192" customFormat="1" ht="14.4" x14ac:dyDescent="0.3">
      <c r="A8707" s="1192" t="s">
        <v>173</v>
      </c>
      <c r="E8707" s="1942" t="s">
        <v>2462</v>
      </c>
      <c r="F8707" s="1942"/>
      <c r="G8707" s="1277" t="s">
        <v>19</v>
      </c>
      <c r="H8707" s="1218">
        <v>15</v>
      </c>
      <c r="V8707" s="1192">
        <v>19</v>
      </c>
    </row>
    <row r="8708" spans="1:22" s="1192" customFormat="1" ht="14.4" x14ac:dyDescent="0.3">
      <c r="A8708" s="1192" t="s">
        <v>173</v>
      </c>
      <c r="E8708" s="1942" t="s">
        <v>2463</v>
      </c>
      <c r="F8708" s="1942"/>
      <c r="G8708" s="1277" t="s">
        <v>19</v>
      </c>
      <c r="H8708" s="1218">
        <v>15</v>
      </c>
      <c r="V8708" s="1192">
        <v>15</v>
      </c>
    </row>
    <row r="8709" spans="1:22" s="1192" customFormat="1" ht="14.4" x14ac:dyDescent="0.3">
      <c r="A8709" s="1192" t="s">
        <v>173</v>
      </c>
      <c r="E8709" s="1942" t="s">
        <v>2464</v>
      </c>
      <c r="F8709" s="1942"/>
      <c r="G8709" s="1277" t="s">
        <v>19</v>
      </c>
      <c r="H8709" s="1218">
        <v>15</v>
      </c>
      <c r="V8709" s="1192">
        <v>56</v>
      </c>
    </row>
    <row r="8710" spans="1:22" s="1192" customFormat="1" ht="14.4" x14ac:dyDescent="0.3">
      <c r="A8710" s="1192" t="s">
        <v>173</v>
      </c>
      <c r="E8710" s="1942" t="s">
        <v>119</v>
      </c>
      <c r="F8710" s="1942"/>
      <c r="G8710" s="1277" t="s">
        <v>19</v>
      </c>
      <c r="H8710" s="1218">
        <v>15</v>
      </c>
      <c r="V8710" s="1192">
        <v>35</v>
      </c>
    </row>
    <row r="8711" spans="1:22" s="1192" customFormat="1" ht="14.4" x14ac:dyDescent="0.3">
      <c r="A8711" s="1192" t="s">
        <v>173</v>
      </c>
      <c r="E8711" s="1942" t="s">
        <v>2466</v>
      </c>
      <c r="F8711" s="1942"/>
      <c r="G8711" s="1277" t="s">
        <v>19</v>
      </c>
      <c r="H8711" s="1218">
        <v>15</v>
      </c>
      <c r="V8711" s="1192">
        <v>24</v>
      </c>
    </row>
    <row r="8712" spans="1:22" s="1192" customFormat="1" ht="14.4" x14ac:dyDescent="0.3">
      <c r="A8712" s="1192" t="s">
        <v>173</v>
      </c>
      <c r="E8712" s="1942" t="s">
        <v>2467</v>
      </c>
      <c r="F8712" s="1942"/>
      <c r="G8712" s="1277" t="s">
        <v>19</v>
      </c>
      <c r="H8712" s="1218">
        <v>15</v>
      </c>
      <c r="V8712" s="1192">
        <v>19</v>
      </c>
    </row>
    <row r="8713" spans="1:22" s="1192" customFormat="1" ht="14.4" x14ac:dyDescent="0.3">
      <c r="A8713" s="1192" t="s">
        <v>173</v>
      </c>
      <c r="E8713" s="1942" t="s">
        <v>84</v>
      </c>
      <c r="F8713" s="1942"/>
      <c r="G8713" s="1277" t="s">
        <v>19</v>
      </c>
      <c r="H8713" s="1218">
        <v>30</v>
      </c>
      <c r="V8713" s="1192">
        <v>89</v>
      </c>
    </row>
    <row r="8714" spans="1:22" s="1192" customFormat="1" ht="14.4" x14ac:dyDescent="0.3">
      <c r="A8714" s="1192" t="s">
        <v>173</v>
      </c>
      <c r="E8714" s="1942" t="s">
        <v>88</v>
      </c>
      <c r="F8714" s="1942"/>
      <c r="G8714" s="1277" t="s">
        <v>19</v>
      </c>
      <c r="H8714" s="1218">
        <v>30</v>
      </c>
      <c r="V8714" s="1192">
        <v>74</v>
      </c>
    </row>
    <row r="8715" spans="1:22" s="1192" customFormat="1" ht="14.4" x14ac:dyDescent="0.3">
      <c r="A8715" s="1192" t="s">
        <v>173</v>
      </c>
      <c r="E8715" s="1258" t="s">
        <v>2468</v>
      </c>
      <c r="F8715" s="3"/>
      <c r="G8715" s="3"/>
      <c r="H8715" s="897"/>
      <c r="K8715" s="1192" t="s">
        <v>6542</v>
      </c>
      <c r="V8715" s="1192">
        <v>22</v>
      </c>
    </row>
    <row r="8716" spans="1:22" s="1192" customFormat="1" ht="14.4" x14ac:dyDescent="0.3">
      <c r="A8716" s="1192" t="s">
        <v>173</v>
      </c>
      <c r="E8716" s="1942" t="s">
        <v>6543</v>
      </c>
      <c r="F8716" s="1942"/>
      <c r="G8716" s="1277" t="s">
        <v>82</v>
      </c>
      <c r="H8716" s="1218">
        <v>1.5</v>
      </c>
      <c r="V8716" s="1192">
        <v>101</v>
      </c>
    </row>
    <row r="8717" spans="1:22" s="1192" customFormat="1" ht="14.4" x14ac:dyDescent="0.3">
      <c r="A8717" s="1192" t="s">
        <v>173</v>
      </c>
      <c r="E8717" s="1942" t="s">
        <v>6106</v>
      </c>
      <c r="F8717" s="1942"/>
      <c r="G8717" s="1277" t="s">
        <v>19</v>
      </c>
      <c r="H8717" s="1218">
        <v>65</v>
      </c>
      <c r="V8717" s="1192">
        <v>44</v>
      </c>
    </row>
    <row r="8718" spans="1:22" s="1192" customFormat="1" ht="14.4" x14ac:dyDescent="0.3">
      <c r="A8718" s="1192" t="s">
        <v>173</v>
      </c>
      <c r="E8718" s="1942" t="s">
        <v>6107</v>
      </c>
      <c r="F8718" s="1942"/>
      <c r="G8718" s="1277" t="s">
        <v>19</v>
      </c>
      <c r="H8718" s="1218">
        <v>185</v>
      </c>
      <c r="V8718" s="1192">
        <v>43</v>
      </c>
    </row>
    <row r="8719" spans="1:22" s="1192" customFormat="1" ht="14.4" x14ac:dyDescent="0.3">
      <c r="A8719" s="1192" t="s">
        <v>173</v>
      </c>
      <c r="E8719" s="1942" t="s">
        <v>6108</v>
      </c>
      <c r="F8719" s="1942"/>
      <c r="G8719" s="1277" t="s">
        <v>19</v>
      </c>
      <c r="H8719" s="1218">
        <v>185</v>
      </c>
      <c r="V8719" s="1192">
        <v>43</v>
      </c>
    </row>
    <row r="8720" spans="1:22" s="1192" customFormat="1" ht="14.4" x14ac:dyDescent="0.3">
      <c r="A8720" s="1192" t="s">
        <v>173</v>
      </c>
      <c r="E8720" s="1942" t="s">
        <v>6115</v>
      </c>
      <c r="F8720" s="1942"/>
      <c r="G8720" s="1277" t="s">
        <v>19</v>
      </c>
      <c r="H8720" s="1218">
        <v>415</v>
      </c>
      <c r="V8720" s="1192">
        <v>42</v>
      </c>
    </row>
    <row r="8721" spans="1:22" s="1192" customFormat="1" ht="14.4" x14ac:dyDescent="0.3">
      <c r="A8721" s="1192" t="s">
        <v>173</v>
      </c>
      <c r="E8721" s="1258" t="s">
        <v>2474</v>
      </c>
      <c r="F8721" s="453"/>
      <c r="G8721" s="360"/>
      <c r="H8721" s="837"/>
      <c r="V8721" s="1192">
        <v>5</v>
      </c>
    </row>
    <row r="8722" spans="1:22" s="1192" customFormat="1" ht="14.4" x14ac:dyDescent="0.3">
      <c r="A8722" s="1192" t="s">
        <v>173</v>
      </c>
      <c r="E8722" s="1942" t="s">
        <v>90</v>
      </c>
      <c r="F8722" s="1942"/>
      <c r="G8722" s="1277" t="s">
        <v>19</v>
      </c>
      <c r="H8722" s="1218">
        <v>30</v>
      </c>
      <c r="V8722" s="1192">
        <v>19</v>
      </c>
    </row>
    <row r="8723" spans="1:22" s="1192" customFormat="1" ht="14.4" x14ac:dyDescent="0.3">
      <c r="A8723" s="1192" t="s">
        <v>173</v>
      </c>
      <c r="E8723" s="1942" t="s">
        <v>3671</v>
      </c>
      <c r="F8723" s="1942"/>
      <c r="G8723" s="1277" t="s">
        <v>19</v>
      </c>
      <c r="H8723" s="1218">
        <v>30</v>
      </c>
      <c r="V8723" s="1192">
        <v>39</v>
      </c>
    </row>
    <row r="8724" spans="1:22" s="1192" customFormat="1" ht="14.4" x14ac:dyDescent="0.3">
      <c r="A8724" s="1192" t="s">
        <v>173</v>
      </c>
      <c r="E8724" s="1942" t="s">
        <v>2478</v>
      </c>
      <c r="F8724" s="1942"/>
      <c r="G8724" s="1277" t="s">
        <v>19</v>
      </c>
      <c r="H8724" s="1218">
        <v>165</v>
      </c>
      <c r="V8724" s="1192">
        <v>34</v>
      </c>
    </row>
    <row r="8725" spans="1:22" s="1192" customFormat="1" ht="14.4" x14ac:dyDescent="0.3">
      <c r="A8725" s="1192" t="s">
        <v>173</v>
      </c>
      <c r="E8725" s="1942" t="s">
        <v>2703</v>
      </c>
      <c r="F8725" s="1942"/>
      <c r="G8725" s="1277" t="s">
        <v>19</v>
      </c>
      <c r="H8725" s="1218">
        <v>500</v>
      </c>
      <c r="V8725" s="1192">
        <v>64</v>
      </c>
    </row>
    <row r="8726" spans="1:22" s="1192" customFormat="1" ht="14.4" x14ac:dyDescent="0.3">
      <c r="A8726" s="1192" t="s">
        <v>173</v>
      </c>
      <c r="E8726" s="1942" t="s">
        <v>2758</v>
      </c>
      <c r="F8726" s="1942"/>
      <c r="G8726" s="1277" t="s">
        <v>19</v>
      </c>
      <c r="H8726" s="1218">
        <v>300</v>
      </c>
      <c r="V8726" s="1192">
        <v>67</v>
      </c>
    </row>
    <row r="8727" spans="1:22" s="1192" customFormat="1" ht="14.4" x14ac:dyDescent="0.3">
      <c r="A8727" s="1192" t="s">
        <v>173</v>
      </c>
      <c r="E8727" s="1942" t="s">
        <v>2759</v>
      </c>
      <c r="F8727" s="1942"/>
      <c r="G8727" s="1277" t="s">
        <v>19</v>
      </c>
      <c r="H8727" s="1218">
        <v>1000</v>
      </c>
      <c r="V8727" s="1192">
        <v>66</v>
      </c>
    </row>
    <row r="8728" spans="1:22" s="1192" customFormat="1" ht="14.4" x14ac:dyDescent="0.3">
      <c r="A8728" s="1192" t="s">
        <v>173</v>
      </c>
      <c r="E8728" s="1942" t="s">
        <v>2760</v>
      </c>
      <c r="F8728" s="1942"/>
      <c r="G8728" s="1277" t="s">
        <v>19</v>
      </c>
      <c r="H8728" s="1218">
        <v>44.5</v>
      </c>
      <c r="V8728" s="1192">
        <v>59</v>
      </c>
    </row>
    <row r="8729" spans="1:22" s="1192" customFormat="1" ht="14.4" x14ac:dyDescent="0.3">
      <c r="A8729" s="1192" t="s">
        <v>173</v>
      </c>
      <c r="E8729" s="1942" t="s">
        <v>2476</v>
      </c>
      <c r="F8729" s="1942"/>
      <c r="G8729" s="1277"/>
      <c r="H8729" s="837"/>
      <c r="V8729" s="1192">
        <v>44</v>
      </c>
    </row>
    <row r="8730" spans="1:22" s="1192" customFormat="1" x14ac:dyDescent="0.35">
      <c r="A8730" s="1192" t="s">
        <v>173</v>
      </c>
      <c r="E8730" s="1269" t="s">
        <v>73</v>
      </c>
      <c r="F8730" s="550"/>
      <c r="G8730" s="550"/>
      <c r="H8730" s="881"/>
      <c r="K8730" s="1192" t="s">
        <v>3648</v>
      </c>
      <c r="V8730" s="1192">
        <v>38</v>
      </c>
    </row>
    <row r="8731" spans="1:22" s="1192" customFormat="1" ht="14.4" x14ac:dyDescent="0.3">
      <c r="A8731" s="1192" t="s">
        <v>173</v>
      </c>
      <c r="E8731" s="1743" t="s">
        <v>2391</v>
      </c>
      <c r="F8731" s="1743"/>
      <c r="G8731" s="1743"/>
      <c r="H8731" s="1743"/>
      <c r="V8731" s="1192">
        <v>280</v>
      </c>
    </row>
    <row r="8732" spans="1:22" s="1192" customFormat="1" ht="14.4" x14ac:dyDescent="0.3">
      <c r="A8732" s="1192" t="s">
        <v>173</v>
      </c>
      <c r="E8732" s="1743" t="s">
        <v>2392</v>
      </c>
      <c r="F8732" s="1743"/>
      <c r="G8732" s="1743"/>
      <c r="H8732" s="1743"/>
      <c r="V8732" s="1192">
        <v>411</v>
      </c>
    </row>
    <row r="8733" spans="1:22" s="1192" customFormat="1" ht="14.4" x14ac:dyDescent="0.3">
      <c r="A8733" s="1192" t="s">
        <v>173</v>
      </c>
      <c r="E8733" s="1743" t="s">
        <v>2445</v>
      </c>
      <c r="F8733" s="1743"/>
      <c r="G8733" s="1743"/>
      <c r="H8733" s="1743"/>
      <c r="V8733" s="1192">
        <v>211</v>
      </c>
    </row>
    <row r="8734" spans="1:22" s="1192" customFormat="1" ht="14.4" x14ac:dyDescent="0.3">
      <c r="A8734" s="1192" t="s">
        <v>173</v>
      </c>
      <c r="E8734" s="1743" t="s">
        <v>4500</v>
      </c>
      <c r="F8734" s="1743"/>
      <c r="G8734" s="1743"/>
      <c r="H8734" s="1743"/>
      <c r="V8734" s="1192">
        <v>247</v>
      </c>
    </row>
    <row r="8735" spans="1:22" s="1192" customFormat="1" ht="14.4" x14ac:dyDescent="0.3">
      <c r="A8735" s="1192" t="s">
        <v>173</v>
      </c>
      <c r="E8735" s="1743" t="s">
        <v>2595</v>
      </c>
      <c r="F8735" s="1743"/>
      <c r="G8735" s="1743"/>
      <c r="H8735" s="1743"/>
      <c r="V8735" s="1192">
        <v>142</v>
      </c>
    </row>
    <row r="8736" spans="1:22" s="1192" customFormat="1" ht="14.4" x14ac:dyDescent="0.3">
      <c r="A8736" s="1192" t="s">
        <v>173</v>
      </c>
      <c r="E8736" s="1741" t="s">
        <v>2485</v>
      </c>
      <c r="F8736" s="1741"/>
      <c r="G8736" s="360" t="s">
        <v>19</v>
      </c>
      <c r="H8736" s="1218">
        <v>102</v>
      </c>
      <c r="V8736" s="1192">
        <v>106</v>
      </c>
    </row>
    <row r="8737" spans="1:22" s="1192" customFormat="1" ht="14.4" x14ac:dyDescent="0.3">
      <c r="A8737" s="1192" t="s">
        <v>173</v>
      </c>
      <c r="E8737" s="1741" t="s">
        <v>2486</v>
      </c>
      <c r="F8737" s="1741"/>
      <c r="G8737" s="360" t="s">
        <v>19</v>
      </c>
      <c r="H8737" s="1218">
        <v>40.799999999999997</v>
      </c>
      <c r="V8737" s="1192">
        <v>34</v>
      </c>
    </row>
    <row r="8738" spans="1:22" s="1192" customFormat="1" ht="14.4" x14ac:dyDescent="0.3">
      <c r="A8738" s="1192" t="s">
        <v>173</v>
      </c>
      <c r="E8738" s="1741" t="s">
        <v>2487</v>
      </c>
      <c r="F8738" s="1741"/>
      <c r="G8738" s="360" t="s">
        <v>2488</v>
      </c>
      <c r="H8738" s="1218">
        <v>1.02</v>
      </c>
      <c r="V8738" s="1192">
        <v>51</v>
      </c>
    </row>
    <row r="8739" spans="1:22" s="1192" customFormat="1" ht="14.4" x14ac:dyDescent="0.3">
      <c r="A8739" s="1192" t="s">
        <v>173</v>
      </c>
      <c r="E8739" s="1741" t="s">
        <v>2489</v>
      </c>
      <c r="F8739" s="1741"/>
      <c r="G8739" s="360" t="s">
        <v>2488</v>
      </c>
      <c r="H8739" s="1218">
        <v>0.61</v>
      </c>
      <c r="V8739" s="1192">
        <v>75</v>
      </c>
    </row>
    <row r="8740" spans="1:22" s="1192" customFormat="1" ht="14.4" x14ac:dyDescent="0.3">
      <c r="A8740" s="1192" t="s">
        <v>173</v>
      </c>
      <c r="E8740" s="1741" t="s">
        <v>2490</v>
      </c>
      <c r="F8740" s="1741"/>
      <c r="G8740" s="360" t="s">
        <v>2488</v>
      </c>
      <c r="H8740" s="511">
        <v>-0.61</v>
      </c>
      <c r="V8740" s="1192">
        <v>72</v>
      </c>
    </row>
    <row r="8741" spans="1:22" s="1192" customFormat="1" ht="14.4" x14ac:dyDescent="0.3">
      <c r="A8741" s="1192" t="s">
        <v>173</v>
      </c>
      <c r="E8741" s="1741" t="s">
        <v>2596</v>
      </c>
      <c r="F8741" s="1741"/>
      <c r="G8741" s="360"/>
      <c r="H8741" s="837"/>
      <c r="V8741" s="1192">
        <v>34</v>
      </c>
    </row>
    <row r="8742" spans="1:22" s="1192" customFormat="1" ht="14.4" x14ac:dyDescent="0.3">
      <c r="A8742" s="1192" t="s">
        <v>173</v>
      </c>
      <c r="E8742" s="1941" t="s">
        <v>2492</v>
      </c>
      <c r="F8742" s="1941"/>
      <c r="G8742" s="360" t="s">
        <v>19</v>
      </c>
      <c r="H8742" s="1218">
        <v>0.51</v>
      </c>
      <c r="V8742" s="1192">
        <v>57</v>
      </c>
    </row>
    <row r="8743" spans="1:22" s="1192" customFormat="1" ht="14.4" x14ac:dyDescent="0.3">
      <c r="A8743" s="1192" t="s">
        <v>173</v>
      </c>
      <c r="E8743" s="1941" t="s">
        <v>2493</v>
      </c>
      <c r="F8743" s="1941"/>
      <c r="G8743" s="360" t="s">
        <v>19</v>
      </c>
      <c r="H8743" s="1218">
        <v>1.02</v>
      </c>
      <c r="V8743" s="1192">
        <v>60</v>
      </c>
    </row>
    <row r="8744" spans="1:22" s="1192" customFormat="1" ht="14.4" x14ac:dyDescent="0.3">
      <c r="A8744" s="1192" t="s">
        <v>173</v>
      </c>
      <c r="E8744" s="1741" t="s">
        <v>2494</v>
      </c>
      <c r="F8744" s="1741"/>
      <c r="G8744" s="360"/>
      <c r="H8744" s="837"/>
      <c r="V8744" s="1192">
        <v>91</v>
      </c>
    </row>
    <row r="8745" spans="1:22" s="1192" customFormat="1" ht="14.4" x14ac:dyDescent="0.3">
      <c r="A8745" s="1192" t="s">
        <v>173</v>
      </c>
      <c r="E8745" s="1741" t="s">
        <v>2495</v>
      </c>
      <c r="F8745" s="1741"/>
      <c r="G8745" s="360"/>
      <c r="H8745" s="837"/>
      <c r="V8745" s="1192">
        <v>96</v>
      </c>
    </row>
    <row r="8746" spans="1:22" s="1192" customFormat="1" ht="14.4" x14ac:dyDescent="0.3">
      <c r="A8746" s="1192" t="s">
        <v>173</v>
      </c>
      <c r="E8746" s="1741" t="s">
        <v>2597</v>
      </c>
      <c r="F8746" s="1741"/>
      <c r="G8746" s="360"/>
      <c r="H8746" s="837"/>
      <c r="V8746" s="1192">
        <v>77</v>
      </c>
    </row>
    <row r="8747" spans="1:22" s="1192" customFormat="1" ht="14.4" x14ac:dyDescent="0.3">
      <c r="A8747" s="1192" t="s">
        <v>173</v>
      </c>
      <c r="E8747" s="1941" t="s">
        <v>2497</v>
      </c>
      <c r="F8747" s="1941"/>
      <c r="G8747" s="360" t="s">
        <v>19</v>
      </c>
      <c r="H8747" s="837" t="s">
        <v>2498</v>
      </c>
      <c r="V8747" s="1192">
        <v>18</v>
      </c>
    </row>
    <row r="8748" spans="1:22" s="1192" customFormat="1" ht="14.4" x14ac:dyDescent="0.3">
      <c r="A8748" s="1192" t="s">
        <v>173</v>
      </c>
      <c r="E8748" s="1941" t="s">
        <v>2499</v>
      </c>
      <c r="F8748" s="1941"/>
      <c r="G8748" s="360" t="s">
        <v>19</v>
      </c>
      <c r="H8748" s="1218">
        <v>4.08</v>
      </c>
      <c r="V8748" s="1192">
        <v>69</v>
      </c>
    </row>
    <row r="8749" spans="1:22" s="1192" customFormat="1" ht="14.4" x14ac:dyDescent="0.3">
      <c r="A8749" s="1192" t="s">
        <v>173</v>
      </c>
      <c r="E8749" s="1741" t="s">
        <v>4608</v>
      </c>
      <c r="F8749" s="1741"/>
      <c r="G8749" s="452" t="s">
        <v>19</v>
      </c>
      <c r="H8749" s="1218">
        <v>2.04</v>
      </c>
      <c r="V8749" s="1192">
        <v>199</v>
      </c>
    </row>
    <row r="8750" spans="1:22" s="1192" customFormat="1" x14ac:dyDescent="0.35">
      <c r="A8750" s="1192" t="s">
        <v>173</v>
      </c>
      <c r="E8750" s="1260" t="s">
        <v>143</v>
      </c>
      <c r="F8750" s="550"/>
      <c r="G8750" s="550"/>
      <c r="H8750" s="881"/>
      <c r="K8750" s="1192" t="s">
        <v>3649</v>
      </c>
      <c r="V8750" s="1192">
        <v>12</v>
      </c>
    </row>
    <row r="8751" spans="1:22" s="1192" customFormat="1" ht="14.4" x14ac:dyDescent="0.3">
      <c r="A8751" s="1192" t="s">
        <v>173</v>
      </c>
      <c r="E8751" s="1741" t="s">
        <v>2501</v>
      </c>
      <c r="F8751" s="1741"/>
      <c r="G8751" s="1741"/>
      <c r="H8751" s="1741"/>
      <c r="V8751" s="1192">
        <v>203</v>
      </c>
    </row>
    <row r="8752" spans="1:22" s="1192" customFormat="1" ht="14.4" x14ac:dyDescent="0.3">
      <c r="A8752" s="1192" t="s">
        <v>173</v>
      </c>
      <c r="E8752" s="1741" t="s">
        <v>2599</v>
      </c>
      <c r="F8752" s="1741"/>
      <c r="G8752" s="1277"/>
      <c r="H8752" s="837">
        <v>1.081</v>
      </c>
      <c r="V8752" s="1192">
        <v>57</v>
      </c>
    </row>
    <row r="8753" spans="1:22" s="1192" customFormat="1" ht="14.4" x14ac:dyDescent="0.3">
      <c r="A8753" s="1192" t="s">
        <v>173</v>
      </c>
      <c r="E8753" s="1741" t="s">
        <v>2601</v>
      </c>
      <c r="F8753" s="1741"/>
      <c r="G8753" s="1277"/>
      <c r="H8753" s="837">
        <v>1.0703</v>
      </c>
      <c r="J8753" s="1192" t="s">
        <v>3650</v>
      </c>
      <c r="V8753" s="1192">
        <v>55</v>
      </c>
    </row>
    <row r="8754" spans="1:22" s="1192" customFormat="1" ht="22.8" x14ac:dyDescent="0.3">
      <c r="A8754" s="1192" t="s">
        <v>416</v>
      </c>
      <c r="B8754" s="1192" t="s">
        <v>4599</v>
      </c>
      <c r="C8754" s="1192" t="s">
        <v>2378</v>
      </c>
      <c r="E8754" s="1752" t="s">
        <v>416</v>
      </c>
      <c r="F8754" s="1752"/>
      <c r="G8754" s="1752"/>
      <c r="H8754" s="1752"/>
      <c r="I8754" s="1192" t="s">
        <v>603</v>
      </c>
      <c r="J8754" s="1192" t="s">
        <v>4600</v>
      </c>
      <c r="K8754" s="1192" t="s">
        <v>416</v>
      </c>
      <c r="M8754" s="1192">
        <v>10</v>
      </c>
      <c r="V8754" s="1192">
        <v>24</v>
      </c>
    </row>
    <row r="8755" spans="1:22" s="1192" customFormat="1" ht="22.8" x14ac:dyDescent="0.3">
      <c r="A8755" s="1192" t="s">
        <v>416</v>
      </c>
      <c r="B8755" s="1192" t="s">
        <v>4599</v>
      </c>
      <c r="C8755" s="1192" t="s">
        <v>2380</v>
      </c>
      <c r="E8755" s="1752" t="s">
        <v>4540</v>
      </c>
      <c r="F8755" s="1752"/>
      <c r="G8755" s="1752"/>
      <c r="H8755" s="1752"/>
      <c r="V8755" s="1192">
        <v>27</v>
      </c>
    </row>
    <row r="8756" spans="1:22" s="1192" customFormat="1" ht="17.399999999999999" x14ac:dyDescent="0.3">
      <c r="A8756" s="1192" t="s">
        <v>416</v>
      </c>
      <c r="B8756" s="1192" t="s">
        <v>4599</v>
      </c>
      <c r="C8756" s="1192" t="s">
        <v>2382</v>
      </c>
      <c r="E8756" s="1753" t="s">
        <v>2381</v>
      </c>
      <c r="F8756" s="1753"/>
      <c r="G8756" s="1753"/>
      <c r="H8756" s="1753"/>
      <c r="V8756" s="1192">
        <v>27</v>
      </c>
    </row>
    <row r="8757" spans="1:22" s="1192" customFormat="1" ht="15.6" x14ac:dyDescent="0.3">
      <c r="A8757" s="1192" t="s">
        <v>416</v>
      </c>
      <c r="B8757" s="1192" t="s">
        <v>4599</v>
      </c>
      <c r="C8757" s="1192" t="s">
        <v>2383</v>
      </c>
      <c r="E8757" s="2020" t="s">
        <v>6482</v>
      </c>
      <c r="F8757" s="2020"/>
      <c r="G8757" s="2020"/>
      <c r="H8757" s="2020"/>
      <c r="S8757" s="1192">
        <v>43952</v>
      </c>
      <c r="V8757" s="1192">
        <v>45</v>
      </c>
    </row>
    <row r="8758" spans="1:22" s="1192" customFormat="1" ht="14.4" x14ac:dyDescent="0.3">
      <c r="A8758" s="1192" t="s">
        <v>416</v>
      </c>
      <c r="B8758" s="1192" t="s">
        <v>4599</v>
      </c>
      <c r="E8758" s="2021" t="s">
        <v>2384</v>
      </c>
      <c r="F8758" s="2021"/>
      <c r="G8758" s="2021"/>
      <c r="H8758" s="2021"/>
      <c r="V8758" s="1192">
        <v>52</v>
      </c>
    </row>
    <row r="8759" spans="1:22" s="1192" customFormat="1" ht="14.4" x14ac:dyDescent="0.3">
      <c r="A8759" s="1192" t="s">
        <v>416</v>
      </c>
      <c r="B8759" s="1192" t="s">
        <v>4599</v>
      </c>
      <c r="E8759" s="2021" t="s">
        <v>2385</v>
      </c>
      <c r="F8759" s="2021"/>
      <c r="G8759" s="2021"/>
      <c r="H8759" s="2021"/>
      <c r="V8759" s="1192">
        <v>53</v>
      </c>
    </row>
    <row r="8760" spans="1:22" s="1192" customFormat="1" ht="14.4" x14ac:dyDescent="0.3">
      <c r="A8760" s="1192" t="s">
        <v>416</v>
      </c>
      <c r="B8760" s="1192" t="s">
        <v>4599</v>
      </c>
      <c r="E8760" s="2022" t="s">
        <v>6143</v>
      </c>
      <c r="F8760" s="2022"/>
      <c r="G8760" s="2022"/>
      <c r="H8760" s="2022"/>
      <c r="K8760" s="1192" t="s">
        <v>6143</v>
      </c>
      <c r="V8760" s="1192">
        <v>12</v>
      </c>
    </row>
    <row r="8761" spans="1:22" s="1192" customFormat="1" ht="14.4" x14ac:dyDescent="0.3">
      <c r="A8761" s="1192" t="s">
        <v>416</v>
      </c>
      <c r="B8761" s="1192" t="s">
        <v>4599</v>
      </c>
      <c r="E8761" s="1746" t="s">
        <v>427</v>
      </c>
      <c r="F8761" s="1743"/>
      <c r="G8761" s="1743"/>
      <c r="H8761" s="1743"/>
      <c r="K8761" s="1192" t="s">
        <v>2506</v>
      </c>
      <c r="V8761" s="1192">
        <v>34</v>
      </c>
    </row>
    <row r="8762" spans="1:22" s="1192" customFormat="1" ht="14.4" x14ac:dyDescent="0.3">
      <c r="A8762" s="1192" t="s">
        <v>416</v>
      </c>
      <c r="B8762" s="1192" t="s">
        <v>4599</v>
      </c>
      <c r="E8762" s="1743" t="s">
        <v>3400</v>
      </c>
      <c r="F8762" s="1743"/>
      <c r="G8762" s="1743"/>
      <c r="H8762" s="1743"/>
      <c r="K8762" s="1192" t="s">
        <v>2506</v>
      </c>
      <c r="V8762" s="1192">
        <v>95</v>
      </c>
    </row>
    <row r="8763" spans="1:22" s="1192" customFormat="1" ht="14.4" x14ac:dyDescent="0.3">
      <c r="A8763" s="1192" t="s">
        <v>416</v>
      </c>
      <c r="B8763" s="1192" t="s">
        <v>4599</v>
      </c>
      <c r="E8763" s="1743" t="s">
        <v>3401</v>
      </c>
      <c r="F8763" s="1743"/>
      <c r="G8763" s="1743"/>
      <c r="H8763" s="1743"/>
      <c r="K8763" s="1192" t="s">
        <v>2506</v>
      </c>
      <c r="V8763" s="1192">
        <v>96</v>
      </c>
    </row>
    <row r="8764" spans="1:22" s="1192" customFormat="1" ht="14.4" x14ac:dyDescent="0.3">
      <c r="A8764" s="1192" t="s">
        <v>416</v>
      </c>
      <c r="B8764" s="1192" t="s">
        <v>4599</v>
      </c>
      <c r="E8764" s="1743" t="s">
        <v>3402</v>
      </c>
      <c r="F8764" s="1743"/>
      <c r="G8764" s="1743"/>
      <c r="H8764" s="1743"/>
      <c r="K8764" s="1192" t="s">
        <v>2506</v>
      </c>
      <c r="V8764" s="1192">
        <v>87</v>
      </c>
    </row>
    <row r="8765" spans="1:22" s="1192" customFormat="1" ht="14.4" x14ac:dyDescent="0.3">
      <c r="A8765" s="1192" t="s">
        <v>416</v>
      </c>
      <c r="B8765" s="1192" t="s">
        <v>4599</v>
      </c>
      <c r="E8765" s="1743" t="s">
        <v>6544</v>
      </c>
      <c r="F8765" s="1743"/>
      <c r="G8765" s="1743"/>
      <c r="H8765" s="1743"/>
      <c r="K8765" s="1192" t="s">
        <v>2506</v>
      </c>
      <c r="V8765" s="1192">
        <v>219</v>
      </c>
    </row>
    <row r="8766" spans="1:22" s="1192" customFormat="1" ht="14.4" x14ac:dyDescent="0.3">
      <c r="A8766" s="1192" t="s">
        <v>416</v>
      </c>
      <c r="B8766" s="1192" t="s">
        <v>4599</v>
      </c>
      <c r="E8766" s="1743" t="s">
        <v>2894</v>
      </c>
      <c r="F8766" s="1743"/>
      <c r="G8766" s="1743"/>
      <c r="H8766" s="1743"/>
      <c r="K8766" s="1192" t="s">
        <v>2506</v>
      </c>
      <c r="V8766" s="1192">
        <v>148</v>
      </c>
    </row>
    <row r="8767" spans="1:22" s="1192" customFormat="1" ht="14.4" x14ac:dyDescent="0.3">
      <c r="A8767" s="1192" t="s">
        <v>416</v>
      </c>
      <c r="B8767" s="1192" t="s">
        <v>4599</v>
      </c>
      <c r="E8767" s="1750" t="s">
        <v>2389</v>
      </c>
      <c r="F8767" s="1743"/>
      <c r="G8767" s="1743"/>
      <c r="H8767" s="1743"/>
      <c r="K8767" s="1192" t="s">
        <v>2390</v>
      </c>
      <c r="V8767" s="1192">
        <v>11</v>
      </c>
    </row>
    <row r="8768" spans="1:22" s="1192" customFormat="1" ht="14.4" x14ac:dyDescent="0.3">
      <c r="A8768" s="1192" t="s">
        <v>416</v>
      </c>
      <c r="B8768" s="1192" t="s">
        <v>4599</v>
      </c>
      <c r="E8768" s="1743" t="s">
        <v>2391</v>
      </c>
      <c r="F8768" s="1743"/>
      <c r="G8768" s="1743"/>
      <c r="H8768" s="1743"/>
      <c r="K8768" s="1192" t="s">
        <v>2506</v>
      </c>
      <c r="V8768" s="1192">
        <v>280</v>
      </c>
    </row>
    <row r="8769" spans="1:22" s="1192" customFormat="1" ht="14.4" x14ac:dyDescent="0.3">
      <c r="A8769" s="1192" t="s">
        <v>416</v>
      </c>
      <c r="B8769" s="1192" t="s">
        <v>4599</v>
      </c>
      <c r="E8769" s="1743" t="s">
        <v>2392</v>
      </c>
      <c r="F8769" s="1743"/>
      <c r="G8769" s="1743"/>
      <c r="H8769" s="1743"/>
      <c r="K8769" s="1192" t="s">
        <v>2506</v>
      </c>
      <c r="V8769" s="1192">
        <v>411</v>
      </c>
    </row>
    <row r="8770" spans="1:22" s="1192" customFormat="1" ht="14.4" x14ac:dyDescent="0.3">
      <c r="A8770" s="1192" t="s">
        <v>416</v>
      </c>
      <c r="B8770" s="1192" t="s">
        <v>4599</v>
      </c>
      <c r="E8770" s="1743" t="s">
        <v>2508</v>
      </c>
      <c r="F8770" s="1743"/>
      <c r="G8770" s="1743"/>
      <c r="H8770" s="1743"/>
      <c r="K8770" s="1192" t="s">
        <v>2506</v>
      </c>
      <c r="V8770" s="1192">
        <v>386</v>
      </c>
    </row>
    <row r="8771" spans="1:22" s="1192" customFormat="1" ht="14.4" x14ac:dyDescent="0.3">
      <c r="A8771" s="1192" t="s">
        <v>416</v>
      </c>
      <c r="B8771" s="1192" t="s">
        <v>4599</v>
      </c>
      <c r="E8771" s="1743" t="s">
        <v>2986</v>
      </c>
      <c r="F8771" s="1743"/>
      <c r="G8771" s="1743"/>
      <c r="H8771" s="1743"/>
      <c r="K8771" s="1192" t="s">
        <v>2506</v>
      </c>
      <c r="V8771" s="1192">
        <v>246</v>
      </c>
    </row>
    <row r="8772" spans="1:22" s="1192" customFormat="1" ht="14.4" x14ac:dyDescent="0.3">
      <c r="A8772" s="1192" t="s">
        <v>416</v>
      </c>
      <c r="B8772" s="1192" t="s">
        <v>4599</v>
      </c>
      <c r="E8772" s="1750" t="s">
        <v>2394</v>
      </c>
      <c r="F8772" s="1743"/>
      <c r="G8772" s="1743"/>
      <c r="H8772" s="1743"/>
      <c r="K8772" s="1192" t="s">
        <v>2395</v>
      </c>
      <c r="V8772" s="1192">
        <v>46</v>
      </c>
    </row>
    <row r="8773" spans="1:22" s="1192" customFormat="1" ht="14.4" x14ac:dyDescent="0.3">
      <c r="A8773" s="1192" t="s">
        <v>416</v>
      </c>
      <c r="B8773" s="1192" t="s">
        <v>4599</v>
      </c>
      <c r="E8773" s="1741" t="s">
        <v>7</v>
      </c>
      <c r="F8773" s="1741"/>
      <c r="G8773" s="1255" t="s">
        <v>19</v>
      </c>
      <c r="H8773" s="1218">
        <v>25.36</v>
      </c>
      <c r="K8773" s="1192" t="s">
        <v>2506</v>
      </c>
      <c r="L8773" s="1192" t="s">
        <v>430</v>
      </c>
      <c r="P8773" s="1192" t="s">
        <v>2510</v>
      </c>
      <c r="V8773" s="1192">
        <v>14</v>
      </c>
    </row>
    <row r="8774" spans="1:22" s="1192" customFormat="1" ht="14.4" x14ac:dyDescent="0.3">
      <c r="A8774" s="1192" t="s">
        <v>416</v>
      </c>
      <c r="B8774" s="1192" t="s">
        <v>4599</v>
      </c>
      <c r="E8774" s="1741" t="s">
        <v>3900</v>
      </c>
      <c r="F8774" s="1741"/>
      <c r="G8774" s="1255" t="s">
        <v>19</v>
      </c>
      <c r="H8774" s="595">
        <v>0.56999999999999995</v>
      </c>
      <c r="K8774" s="1192" t="s">
        <v>2506</v>
      </c>
      <c r="L8774" s="1192" t="s">
        <v>431</v>
      </c>
      <c r="P8774" s="1192" t="s">
        <v>2511</v>
      </c>
      <c r="T8774" s="1192">
        <v>44926</v>
      </c>
      <c r="V8774" s="1192">
        <v>64</v>
      </c>
    </row>
    <row r="8775" spans="1:22" s="1192" customFormat="1" ht="14.4" x14ac:dyDescent="0.3">
      <c r="A8775" s="1192" t="s">
        <v>416</v>
      </c>
      <c r="B8775" s="1192" t="s">
        <v>4599</v>
      </c>
      <c r="E8775" s="1741" t="s">
        <v>14</v>
      </c>
      <c r="F8775" s="1741"/>
      <c r="G8775" s="1255" t="s">
        <v>20</v>
      </c>
      <c r="H8775" s="594">
        <v>1.6999999999999999E-3</v>
      </c>
      <c r="K8775" s="1192" t="s">
        <v>2506</v>
      </c>
      <c r="L8775" s="1192" t="s">
        <v>431</v>
      </c>
      <c r="P8775" s="1192" t="s">
        <v>2513</v>
      </c>
      <c r="V8775" s="1192">
        <v>24</v>
      </c>
    </row>
    <row r="8776" spans="1:22" s="1192" customFormat="1" ht="14.4" x14ac:dyDescent="0.3">
      <c r="A8776" s="1192" t="s">
        <v>416</v>
      </c>
      <c r="B8776" s="1192" t="s">
        <v>4599</v>
      </c>
      <c r="E8776" s="1741" t="s">
        <v>6506</v>
      </c>
      <c r="F8776" s="1998"/>
      <c r="G8776" s="1255" t="s">
        <v>20</v>
      </c>
      <c r="H8776" s="594">
        <v>-8.9999999999999998E-4</v>
      </c>
      <c r="K8776" s="1192" t="s">
        <v>2506</v>
      </c>
      <c r="L8776" s="1192" t="s">
        <v>431</v>
      </c>
      <c r="P8776" s="1192" t="s">
        <v>2514</v>
      </c>
      <c r="T8776" s="1192">
        <v>44316</v>
      </c>
      <c r="V8776" s="1192">
        <v>139</v>
      </c>
    </row>
    <row r="8777" spans="1:22" s="1192" customFormat="1" ht="14.4" x14ac:dyDescent="0.3">
      <c r="A8777" s="1192" t="s">
        <v>416</v>
      </c>
      <c r="B8777" s="1192" t="s">
        <v>4599</v>
      </c>
      <c r="E8777" s="1741" t="s">
        <v>6545</v>
      </c>
      <c r="F8777" s="1998"/>
      <c r="G8777" s="1255" t="s">
        <v>20</v>
      </c>
      <c r="H8777" s="594">
        <v>2.0000000000000001E-4</v>
      </c>
      <c r="K8777" s="1192" t="s">
        <v>2506</v>
      </c>
      <c r="L8777" s="1192" t="s">
        <v>430</v>
      </c>
      <c r="P8777" s="1192" t="s">
        <v>2515</v>
      </c>
      <c r="T8777" s="1192">
        <v>44316</v>
      </c>
      <c r="V8777" s="1192">
        <v>136</v>
      </c>
    </row>
    <row r="8778" spans="1:22" s="1192" customFormat="1" ht="14.4" x14ac:dyDescent="0.3">
      <c r="A8778" s="1192" t="s">
        <v>416</v>
      </c>
      <c r="B8778" s="1192" t="s">
        <v>4599</v>
      </c>
      <c r="E8778" s="1741" t="s">
        <v>6508</v>
      </c>
      <c r="F8778" s="1998"/>
      <c r="G8778" s="1255" t="s">
        <v>20</v>
      </c>
      <c r="H8778" s="594">
        <v>1.5E-3</v>
      </c>
      <c r="K8778" s="1192" t="s">
        <v>2506</v>
      </c>
      <c r="L8778" s="1192" t="s">
        <v>431</v>
      </c>
      <c r="P8778" s="1192" t="s">
        <v>2516</v>
      </c>
      <c r="T8778" s="1192">
        <v>44316</v>
      </c>
      <c r="V8778" s="1192">
        <v>96</v>
      </c>
    </row>
    <row r="8779" spans="1:22" s="1192" customFormat="1" ht="14.4" x14ac:dyDescent="0.3">
      <c r="A8779" s="1192" t="s">
        <v>416</v>
      </c>
      <c r="B8779" s="1192" t="s">
        <v>4599</v>
      </c>
      <c r="E8779" s="1741" t="s">
        <v>213</v>
      </c>
      <c r="F8779" s="1741"/>
      <c r="G8779" s="1255" t="s">
        <v>20</v>
      </c>
      <c r="H8779" s="1219">
        <v>7.0000000000000001E-3</v>
      </c>
      <c r="K8779" s="1192" t="s">
        <v>2506</v>
      </c>
      <c r="L8779" s="1192" t="s">
        <v>432</v>
      </c>
      <c r="P8779" s="1192" t="s">
        <v>2517</v>
      </c>
      <c r="V8779" s="1192">
        <v>47</v>
      </c>
    </row>
    <row r="8780" spans="1:22" s="1192" customFormat="1" ht="14.4" x14ac:dyDescent="0.3">
      <c r="A8780" s="1192" t="s">
        <v>416</v>
      </c>
      <c r="B8780" s="1192" t="s">
        <v>4599</v>
      </c>
      <c r="E8780" s="1741" t="s">
        <v>209</v>
      </c>
      <c r="F8780" s="1741"/>
      <c r="G8780" s="1255" t="s">
        <v>20</v>
      </c>
      <c r="H8780" s="1219">
        <v>6.0000000000000001E-3</v>
      </c>
      <c r="K8780" s="1192" t="s">
        <v>2506</v>
      </c>
      <c r="L8780" s="1192" t="s">
        <v>432</v>
      </c>
      <c r="P8780" s="1192" t="s">
        <v>2518</v>
      </c>
      <c r="V8780" s="1192">
        <v>74</v>
      </c>
    </row>
    <row r="8781" spans="1:22" s="1192" customFormat="1" ht="14.4" x14ac:dyDescent="0.3">
      <c r="A8781" s="1192" t="s">
        <v>416</v>
      </c>
      <c r="B8781" s="1192" t="s">
        <v>4599</v>
      </c>
      <c r="E8781" s="1750" t="s">
        <v>2405</v>
      </c>
      <c r="F8781" s="1741"/>
      <c r="G8781" s="1741"/>
      <c r="H8781" s="1741"/>
      <c r="K8781" s="1192" t="s">
        <v>2406</v>
      </c>
      <c r="V8781" s="1192">
        <v>48</v>
      </c>
    </row>
    <row r="8782" spans="1:22" s="1192" customFormat="1" ht="14.4" x14ac:dyDescent="0.3">
      <c r="A8782" s="1192" t="s">
        <v>416</v>
      </c>
      <c r="B8782" s="1192" t="s">
        <v>4599</v>
      </c>
      <c r="E8782" s="1741" t="s">
        <v>2033</v>
      </c>
      <c r="F8782" s="1741"/>
      <c r="G8782" s="1255" t="s">
        <v>20</v>
      </c>
      <c r="H8782" s="594">
        <v>3.0000000000000001E-3</v>
      </c>
      <c r="K8782" s="1192" t="s">
        <v>2506</v>
      </c>
      <c r="L8782" s="1192" t="s">
        <v>2374</v>
      </c>
      <c r="P8782" s="1192" t="s">
        <v>2519</v>
      </c>
      <c r="V8782" s="1192">
        <v>55</v>
      </c>
    </row>
    <row r="8783" spans="1:22" s="1192" customFormat="1" ht="14.4" x14ac:dyDescent="0.3">
      <c r="A8783" s="1192" t="s">
        <v>416</v>
      </c>
      <c r="B8783" s="1192" t="s">
        <v>4599</v>
      </c>
      <c r="E8783" s="1741" t="s">
        <v>2034</v>
      </c>
      <c r="F8783" s="1741"/>
      <c r="G8783" s="1255" t="s">
        <v>20</v>
      </c>
      <c r="H8783" s="594">
        <v>4.0000000000000002E-4</v>
      </c>
      <c r="K8783" s="1192" t="s">
        <v>2506</v>
      </c>
      <c r="L8783" s="1192" t="s">
        <v>2374</v>
      </c>
      <c r="P8783" s="1192" t="s">
        <v>2519</v>
      </c>
      <c r="V8783" s="1192">
        <v>65</v>
      </c>
    </row>
    <row r="8784" spans="1:22" s="1192" customFormat="1" ht="14.4" x14ac:dyDescent="0.3">
      <c r="A8784" s="1192" t="s">
        <v>416</v>
      </c>
      <c r="B8784" s="1192" t="s">
        <v>4599</v>
      </c>
      <c r="E8784" s="1741" t="s">
        <v>428</v>
      </c>
      <c r="F8784" s="1741"/>
      <c r="G8784" s="1255" t="s">
        <v>20</v>
      </c>
      <c r="H8784" s="594">
        <v>5.0000000000000001E-4</v>
      </c>
      <c r="K8784" s="1192" t="s">
        <v>2506</v>
      </c>
      <c r="L8784" s="1192" t="s">
        <v>2374</v>
      </c>
      <c r="P8784" s="1192" t="s">
        <v>2520</v>
      </c>
      <c r="V8784" s="1192">
        <v>57</v>
      </c>
    </row>
    <row r="8785" spans="1:22" s="1192" customFormat="1" ht="14.4" x14ac:dyDescent="0.3">
      <c r="A8785" s="1192" t="s">
        <v>416</v>
      </c>
      <c r="B8785" s="1192" t="s">
        <v>4599</v>
      </c>
      <c r="E8785" s="1741" t="s">
        <v>28</v>
      </c>
      <c r="F8785" s="1741"/>
      <c r="G8785" s="1255" t="s">
        <v>19</v>
      </c>
      <c r="H8785" s="595">
        <v>0.25</v>
      </c>
      <c r="K8785" s="1192" t="s">
        <v>2506</v>
      </c>
      <c r="L8785" s="1192" t="s">
        <v>2374</v>
      </c>
      <c r="P8785" s="1192" t="s">
        <v>2521</v>
      </c>
      <c r="V8785" s="1192">
        <v>63</v>
      </c>
    </row>
    <row r="8786" spans="1:22" s="1192" customFormat="1" ht="17.399999999999999" x14ac:dyDescent="0.3">
      <c r="A8786" s="1192" t="s">
        <v>416</v>
      </c>
      <c r="B8786" s="1192" t="s">
        <v>4599</v>
      </c>
      <c r="E8786" s="1746" t="s">
        <v>2522</v>
      </c>
      <c r="F8786" s="1747"/>
      <c r="G8786" s="1747"/>
      <c r="H8786" s="1747"/>
      <c r="K8786" s="1192" t="s">
        <v>3901</v>
      </c>
      <c r="V8786" s="1192">
        <v>54</v>
      </c>
    </row>
    <row r="8787" spans="1:22" s="1192" customFormat="1" ht="14.4" x14ac:dyDescent="0.3">
      <c r="A8787" s="1192" t="s">
        <v>416</v>
      </c>
      <c r="B8787" s="1192" t="s">
        <v>4599</v>
      </c>
      <c r="E8787" s="1743" t="s">
        <v>3403</v>
      </c>
      <c r="F8787" s="1743"/>
      <c r="G8787" s="1743"/>
      <c r="H8787" s="1743"/>
      <c r="K8787" s="1192" t="s">
        <v>3901</v>
      </c>
      <c r="V8787" s="1192">
        <v>529</v>
      </c>
    </row>
    <row r="8788" spans="1:22" s="1192" customFormat="1" ht="14.4" x14ac:dyDescent="0.3">
      <c r="A8788" s="1192" t="s">
        <v>416</v>
      </c>
      <c r="B8788" s="1192" t="s">
        <v>4599</v>
      </c>
      <c r="E8788" s="1750" t="s">
        <v>2389</v>
      </c>
      <c r="F8788" s="1743"/>
      <c r="G8788" s="1743"/>
      <c r="H8788" s="1743"/>
      <c r="K8788" s="1192" t="s">
        <v>2412</v>
      </c>
      <c r="V8788" s="1192">
        <v>11</v>
      </c>
    </row>
    <row r="8789" spans="1:22" s="1192" customFormat="1" ht="14.4" x14ac:dyDescent="0.3">
      <c r="A8789" s="1192" t="s">
        <v>416</v>
      </c>
      <c r="B8789" s="1192" t="s">
        <v>4599</v>
      </c>
      <c r="E8789" s="1743" t="s">
        <v>2391</v>
      </c>
      <c r="F8789" s="1743"/>
      <c r="G8789" s="1743"/>
      <c r="H8789" s="1743"/>
      <c r="K8789" s="1192" t="s">
        <v>3901</v>
      </c>
      <c r="V8789" s="1192">
        <v>280</v>
      </c>
    </row>
    <row r="8790" spans="1:22" s="1192" customFormat="1" ht="14.4" x14ac:dyDescent="0.3">
      <c r="A8790" s="1192" t="s">
        <v>416</v>
      </c>
      <c r="B8790" s="1192" t="s">
        <v>4599</v>
      </c>
      <c r="E8790" s="1743" t="s">
        <v>2392</v>
      </c>
      <c r="F8790" s="1743"/>
      <c r="G8790" s="1743"/>
      <c r="H8790" s="1743"/>
      <c r="K8790" s="1192" t="s">
        <v>3901</v>
      </c>
      <c r="V8790" s="1192">
        <v>411</v>
      </c>
    </row>
    <row r="8791" spans="1:22" s="1192" customFormat="1" ht="14.4" x14ac:dyDescent="0.3">
      <c r="A8791" s="1192" t="s">
        <v>416</v>
      </c>
      <c r="B8791" s="1192" t="s">
        <v>4599</v>
      </c>
      <c r="E8791" s="1743" t="s">
        <v>2508</v>
      </c>
      <c r="F8791" s="1743"/>
      <c r="G8791" s="1743"/>
      <c r="H8791" s="1743"/>
      <c r="K8791" s="1192" t="s">
        <v>3901</v>
      </c>
      <c r="V8791" s="1192">
        <v>386</v>
      </c>
    </row>
    <row r="8792" spans="1:22" s="1192" customFormat="1" ht="14.4" x14ac:dyDescent="0.3">
      <c r="A8792" s="1192" t="s">
        <v>416</v>
      </c>
      <c r="B8792" s="1192" t="s">
        <v>4599</v>
      </c>
      <c r="E8792" s="1743" t="s">
        <v>4533</v>
      </c>
      <c r="F8792" s="1743"/>
      <c r="G8792" s="1743"/>
      <c r="H8792" s="1743"/>
      <c r="K8792" s="1192" t="s">
        <v>3901</v>
      </c>
      <c r="V8792" s="1192">
        <v>250</v>
      </c>
    </row>
    <row r="8793" spans="1:22" s="1192" customFormat="1" ht="14.4" x14ac:dyDescent="0.3">
      <c r="A8793" s="1192" t="s">
        <v>416</v>
      </c>
      <c r="B8793" s="1192" t="s">
        <v>4599</v>
      </c>
      <c r="E8793" s="1750" t="s">
        <v>2394</v>
      </c>
      <c r="F8793" s="1743"/>
      <c r="G8793" s="1743"/>
      <c r="H8793" s="1743"/>
      <c r="K8793" s="1192" t="s">
        <v>2413</v>
      </c>
      <c r="V8793" s="1192">
        <v>46</v>
      </c>
    </row>
    <row r="8794" spans="1:22" s="1192" customFormat="1" ht="14.4" x14ac:dyDescent="0.3">
      <c r="A8794" s="1192" t="s">
        <v>416</v>
      </c>
      <c r="B8794" s="1192" t="s">
        <v>4599</v>
      </c>
      <c r="E8794" s="1741" t="s">
        <v>7</v>
      </c>
      <c r="F8794" s="1741"/>
      <c r="G8794" s="1255" t="s">
        <v>19</v>
      </c>
      <c r="H8794" s="1218">
        <v>31.84</v>
      </c>
      <c r="K8794" s="1192" t="s">
        <v>3901</v>
      </c>
      <c r="L8794" s="1192" t="s">
        <v>430</v>
      </c>
      <c r="P8794" s="1192" t="s">
        <v>3902</v>
      </c>
      <c r="V8794" s="1192">
        <v>14</v>
      </c>
    </row>
    <row r="8795" spans="1:22" s="1192" customFormat="1" ht="14.4" x14ac:dyDescent="0.3">
      <c r="A8795" s="1192" t="s">
        <v>416</v>
      </c>
      <c r="B8795" s="1192" t="s">
        <v>4599</v>
      </c>
      <c r="E8795" s="1741" t="s">
        <v>3900</v>
      </c>
      <c r="F8795" s="1741"/>
      <c r="G8795" s="1255" t="s">
        <v>19</v>
      </c>
      <c r="H8795" s="595">
        <v>0.56999999999999995</v>
      </c>
      <c r="K8795" s="1192" t="s">
        <v>3901</v>
      </c>
      <c r="L8795" s="1192" t="s">
        <v>431</v>
      </c>
      <c r="P8795" s="1192" t="s">
        <v>3903</v>
      </c>
      <c r="T8795" s="1192">
        <v>44926</v>
      </c>
      <c r="V8795" s="1192">
        <v>64</v>
      </c>
    </row>
    <row r="8796" spans="1:22" s="1192" customFormat="1" ht="14.4" x14ac:dyDescent="0.3">
      <c r="A8796" s="1192" t="s">
        <v>416</v>
      </c>
      <c r="B8796" s="1192" t="s">
        <v>4599</v>
      </c>
      <c r="E8796" s="1741" t="s">
        <v>80</v>
      </c>
      <c r="F8796" s="1741"/>
      <c r="G8796" s="1255" t="s">
        <v>20</v>
      </c>
      <c r="H8796" s="1219">
        <v>1.0500000000000001E-2</v>
      </c>
      <c r="K8796" s="1192" t="s">
        <v>3901</v>
      </c>
      <c r="L8796" s="1192" t="s">
        <v>430</v>
      </c>
      <c r="P8796" s="1192" t="s">
        <v>3904</v>
      </c>
      <c r="V8796" s="1192">
        <v>28</v>
      </c>
    </row>
    <row r="8797" spans="1:22" s="1192" customFormat="1" ht="14.4" x14ac:dyDescent="0.3">
      <c r="A8797" s="1192" t="s">
        <v>416</v>
      </c>
      <c r="B8797" s="1192" t="s">
        <v>4599</v>
      </c>
      <c r="E8797" s="1741" t="s">
        <v>14</v>
      </c>
      <c r="F8797" s="1741"/>
      <c r="G8797" s="1255" t="s">
        <v>20</v>
      </c>
      <c r="H8797" s="594">
        <v>1.5E-3</v>
      </c>
      <c r="K8797" s="1192" t="s">
        <v>3901</v>
      </c>
      <c r="L8797" s="1192" t="s">
        <v>431</v>
      </c>
      <c r="P8797" s="1192" t="s">
        <v>3905</v>
      </c>
      <c r="V8797" s="1192">
        <v>24</v>
      </c>
    </row>
    <row r="8798" spans="1:22" s="1192" customFormat="1" ht="14.4" x14ac:dyDescent="0.3">
      <c r="A8798" s="1192" t="s">
        <v>416</v>
      </c>
      <c r="B8798" s="1192" t="s">
        <v>4599</v>
      </c>
      <c r="E8798" s="1741" t="s">
        <v>6506</v>
      </c>
      <c r="F8798" s="1998"/>
      <c r="G8798" s="1255" t="s">
        <v>20</v>
      </c>
      <c r="H8798" s="594">
        <v>-8.9999999999999998E-4</v>
      </c>
      <c r="K8798" s="1192" t="s">
        <v>3901</v>
      </c>
      <c r="L8798" s="1192" t="s">
        <v>431</v>
      </c>
      <c r="P8798" s="1192" t="s">
        <v>3700</v>
      </c>
      <c r="T8798" s="1192">
        <v>44316</v>
      </c>
      <c r="V8798" s="1192">
        <v>139</v>
      </c>
    </row>
    <row r="8799" spans="1:22" s="1192" customFormat="1" ht="14.4" x14ac:dyDescent="0.3">
      <c r="A8799" s="1192" t="s">
        <v>416</v>
      </c>
      <c r="B8799" s="1192" t="s">
        <v>4599</v>
      </c>
      <c r="E8799" s="1741" t="s">
        <v>6546</v>
      </c>
      <c r="F8799" s="1998"/>
      <c r="G8799" s="1255" t="s">
        <v>20</v>
      </c>
      <c r="H8799" s="594">
        <v>2.0000000000000001E-4</v>
      </c>
      <c r="K8799" s="1192" t="s">
        <v>3901</v>
      </c>
      <c r="L8799" s="1192" t="s">
        <v>430</v>
      </c>
      <c r="P8799" s="1192" t="s">
        <v>4000</v>
      </c>
      <c r="T8799" s="1192">
        <v>44316</v>
      </c>
      <c r="V8799" s="1192">
        <v>135</v>
      </c>
    </row>
    <row r="8800" spans="1:22" s="1192" customFormat="1" ht="14.4" x14ac:dyDescent="0.3">
      <c r="A8800" s="1192" t="s">
        <v>416</v>
      </c>
      <c r="B8800" s="1192" t="s">
        <v>4599</v>
      </c>
      <c r="E8800" s="1741" t="s">
        <v>6508</v>
      </c>
      <c r="F8800" s="1998"/>
      <c r="G8800" s="1255" t="s">
        <v>20</v>
      </c>
      <c r="H8800" s="594">
        <v>1.6000000000000001E-3</v>
      </c>
      <c r="K8800" s="1192" t="s">
        <v>3901</v>
      </c>
      <c r="L8800" s="1192" t="s">
        <v>431</v>
      </c>
      <c r="P8800" s="1192" t="s">
        <v>3911</v>
      </c>
      <c r="T8800" s="1192">
        <v>44316</v>
      </c>
      <c r="V8800" s="1192">
        <v>96</v>
      </c>
    </row>
    <row r="8801" spans="1:22" s="1192" customFormat="1" ht="14.4" x14ac:dyDescent="0.3">
      <c r="A8801" s="1192" t="s">
        <v>416</v>
      </c>
      <c r="B8801" s="1192" t="s">
        <v>4599</v>
      </c>
      <c r="E8801" s="1741" t="s">
        <v>213</v>
      </c>
      <c r="F8801" s="1741"/>
      <c r="G8801" s="1255" t="s">
        <v>20</v>
      </c>
      <c r="H8801" s="1219">
        <v>6.1000000000000004E-3</v>
      </c>
      <c r="K8801" s="1192" t="s">
        <v>3901</v>
      </c>
      <c r="L8801" s="1192" t="s">
        <v>432</v>
      </c>
      <c r="P8801" s="1192" t="s">
        <v>3906</v>
      </c>
      <c r="V8801" s="1192">
        <v>47</v>
      </c>
    </row>
    <row r="8802" spans="1:22" s="1192" customFormat="1" ht="14.4" x14ac:dyDescent="0.3">
      <c r="A8802" s="1192" t="s">
        <v>416</v>
      </c>
      <c r="B8802" s="1192" t="s">
        <v>4599</v>
      </c>
      <c r="E8802" s="1741" t="s">
        <v>209</v>
      </c>
      <c r="F8802" s="1741"/>
      <c r="G8802" s="1255" t="s">
        <v>20</v>
      </c>
      <c r="H8802" s="1219">
        <v>5.1999999999999998E-3</v>
      </c>
      <c r="K8802" s="1192" t="s">
        <v>3901</v>
      </c>
      <c r="L8802" s="1192" t="s">
        <v>432</v>
      </c>
      <c r="P8802" s="1192" t="s">
        <v>3907</v>
      </c>
      <c r="V8802" s="1192">
        <v>74</v>
      </c>
    </row>
    <row r="8803" spans="1:22" s="1192" customFormat="1" ht="14.4" x14ac:dyDescent="0.3">
      <c r="A8803" s="1192" t="s">
        <v>416</v>
      </c>
      <c r="B8803" s="1192" t="s">
        <v>4599</v>
      </c>
      <c r="E8803" s="1750" t="s">
        <v>2405</v>
      </c>
      <c r="F8803" s="1741"/>
      <c r="G8803" s="1741"/>
      <c r="H8803" s="1741"/>
      <c r="K8803" s="1192" t="s">
        <v>2418</v>
      </c>
      <c r="V8803" s="1192">
        <v>48</v>
      </c>
    </row>
    <row r="8804" spans="1:22" s="1192" customFormat="1" ht="14.4" x14ac:dyDescent="0.3">
      <c r="A8804" s="1192" t="s">
        <v>416</v>
      </c>
      <c r="B8804" s="1192" t="s">
        <v>4599</v>
      </c>
      <c r="E8804" s="1741" t="s">
        <v>2033</v>
      </c>
      <c r="F8804" s="1741"/>
      <c r="G8804" s="1255" t="s">
        <v>20</v>
      </c>
      <c r="H8804" s="594">
        <v>3.0000000000000001E-3</v>
      </c>
      <c r="K8804" s="1192" t="s">
        <v>3901</v>
      </c>
      <c r="L8804" s="1192" t="s">
        <v>2374</v>
      </c>
      <c r="P8804" s="1192" t="s">
        <v>3908</v>
      </c>
      <c r="V8804" s="1192">
        <v>55</v>
      </c>
    </row>
    <row r="8805" spans="1:22" s="1192" customFormat="1" ht="14.4" x14ac:dyDescent="0.3">
      <c r="A8805" s="1192" t="s">
        <v>416</v>
      </c>
      <c r="B8805" s="1192" t="s">
        <v>4599</v>
      </c>
      <c r="E8805" s="1741" t="s">
        <v>2034</v>
      </c>
      <c r="F8805" s="1741"/>
      <c r="G8805" s="1255" t="s">
        <v>20</v>
      </c>
      <c r="H8805" s="594">
        <v>4.0000000000000002E-4</v>
      </c>
      <c r="K8805" s="1192" t="s">
        <v>3901</v>
      </c>
      <c r="L8805" s="1192" t="s">
        <v>2374</v>
      </c>
      <c r="P8805" s="1192" t="s">
        <v>3908</v>
      </c>
      <c r="V8805" s="1192">
        <v>65</v>
      </c>
    </row>
    <row r="8806" spans="1:22" s="1192" customFormat="1" ht="14.4" x14ac:dyDescent="0.3">
      <c r="A8806" s="1192" t="s">
        <v>416</v>
      </c>
      <c r="B8806" s="1192" t="s">
        <v>4599</v>
      </c>
      <c r="E8806" s="1741" t="s">
        <v>428</v>
      </c>
      <c r="F8806" s="1741"/>
      <c r="G8806" s="1255" t="s">
        <v>20</v>
      </c>
      <c r="H8806" s="594">
        <v>5.0000000000000001E-4</v>
      </c>
      <c r="K8806" s="1192" t="s">
        <v>3901</v>
      </c>
      <c r="L8806" s="1192" t="s">
        <v>2374</v>
      </c>
      <c r="P8806" s="1192" t="s">
        <v>3909</v>
      </c>
      <c r="V8806" s="1192">
        <v>57</v>
      </c>
    </row>
    <row r="8807" spans="1:22" s="1192" customFormat="1" ht="14.4" x14ac:dyDescent="0.3">
      <c r="A8807" s="1192" t="s">
        <v>416</v>
      </c>
      <c r="B8807" s="1192" t="s">
        <v>4599</v>
      </c>
      <c r="E8807" s="1741" t="s">
        <v>28</v>
      </c>
      <c r="F8807" s="1741"/>
      <c r="G8807" s="1255" t="s">
        <v>19</v>
      </c>
      <c r="H8807" s="595">
        <v>0.25</v>
      </c>
      <c r="K8807" s="1192" t="s">
        <v>3901</v>
      </c>
      <c r="L8807" s="1192" t="s">
        <v>2374</v>
      </c>
      <c r="P8807" s="1192" t="s">
        <v>3910</v>
      </c>
      <c r="V8807" s="1192">
        <v>63</v>
      </c>
    </row>
    <row r="8808" spans="1:22" s="1192" customFormat="1" ht="17.399999999999999" x14ac:dyDescent="0.3">
      <c r="A8808" s="1192" t="s">
        <v>416</v>
      </c>
      <c r="B8808" s="1192" t="s">
        <v>4599</v>
      </c>
      <c r="E8808" s="1746" t="s">
        <v>591</v>
      </c>
      <c r="F8808" s="1747"/>
      <c r="G8808" s="1747"/>
      <c r="H8808" s="1747"/>
      <c r="K8808" s="1192" t="s">
        <v>4388</v>
      </c>
      <c r="V8808" s="1192">
        <v>53</v>
      </c>
    </row>
    <row r="8809" spans="1:22" s="1192" customFormat="1" ht="14.4" x14ac:dyDescent="0.3">
      <c r="A8809" s="1192" t="s">
        <v>416</v>
      </c>
      <c r="B8809" s="1192" t="s">
        <v>4599</v>
      </c>
      <c r="E8809" s="1743" t="s">
        <v>3404</v>
      </c>
      <c r="F8809" s="1743"/>
      <c r="G8809" s="1743"/>
      <c r="H8809" s="1743"/>
      <c r="K8809" s="1192" t="s">
        <v>4388</v>
      </c>
      <c r="V8809" s="1192">
        <v>403</v>
      </c>
    </row>
    <row r="8810" spans="1:22" s="1192" customFormat="1" ht="14.4" x14ac:dyDescent="0.3">
      <c r="A8810" s="1192" t="s">
        <v>416</v>
      </c>
      <c r="B8810" s="1192" t="s">
        <v>4599</v>
      </c>
      <c r="E8810" s="1750" t="s">
        <v>2389</v>
      </c>
      <c r="F8810" s="1743"/>
      <c r="G8810" s="1743"/>
      <c r="H8810" s="1743"/>
      <c r="K8810" s="1192" t="s">
        <v>2422</v>
      </c>
      <c r="V8810" s="1192">
        <v>11</v>
      </c>
    </row>
    <row r="8811" spans="1:22" s="1192" customFormat="1" ht="14.4" x14ac:dyDescent="0.3">
      <c r="A8811" s="1192" t="s">
        <v>416</v>
      </c>
      <c r="B8811" s="1192" t="s">
        <v>4599</v>
      </c>
      <c r="E8811" s="1743" t="s">
        <v>2391</v>
      </c>
      <c r="F8811" s="1743"/>
      <c r="G8811" s="1743"/>
      <c r="H8811" s="1743"/>
      <c r="K8811" s="1192" t="s">
        <v>4388</v>
      </c>
      <c r="V8811" s="1192">
        <v>280</v>
      </c>
    </row>
    <row r="8812" spans="1:22" s="1192" customFormat="1" ht="14.4" x14ac:dyDescent="0.3">
      <c r="A8812" s="1192" t="s">
        <v>416</v>
      </c>
      <c r="B8812" s="1192" t="s">
        <v>4599</v>
      </c>
      <c r="E8812" s="1743" t="s">
        <v>2392</v>
      </c>
      <c r="F8812" s="1743"/>
      <c r="G8812" s="1743"/>
      <c r="H8812" s="1743"/>
      <c r="K8812" s="1192" t="s">
        <v>4388</v>
      </c>
      <c r="V8812" s="1192">
        <v>411</v>
      </c>
    </row>
    <row r="8813" spans="1:22" s="1192" customFormat="1" ht="14.4" x14ac:dyDescent="0.3">
      <c r="A8813" s="1192" t="s">
        <v>416</v>
      </c>
      <c r="B8813" s="1192" t="s">
        <v>4599</v>
      </c>
      <c r="E8813" s="1743" t="s">
        <v>2508</v>
      </c>
      <c r="F8813" s="1743"/>
      <c r="G8813" s="1743"/>
      <c r="H8813" s="1743"/>
      <c r="K8813" s="1192" t="s">
        <v>4388</v>
      </c>
      <c r="V8813" s="1192">
        <v>386</v>
      </c>
    </row>
    <row r="8814" spans="1:22" s="1192" customFormat="1" ht="14.4" x14ac:dyDescent="0.3">
      <c r="A8814" s="1192" t="s">
        <v>416</v>
      </c>
      <c r="B8814" s="1192" t="s">
        <v>4599</v>
      </c>
      <c r="E8814" s="1743" t="s">
        <v>4503</v>
      </c>
      <c r="F8814" s="1743"/>
      <c r="G8814" s="1743"/>
      <c r="H8814" s="1743"/>
      <c r="K8814" s="1192" t="s">
        <v>4388</v>
      </c>
      <c r="V8814" s="1192">
        <v>677</v>
      </c>
    </row>
    <row r="8815" spans="1:22" s="1192" customFormat="1" ht="14.4" x14ac:dyDescent="0.3">
      <c r="A8815" s="1192" t="s">
        <v>416</v>
      </c>
      <c r="B8815" s="1192" t="s">
        <v>4599</v>
      </c>
      <c r="E8815" s="1743" t="s">
        <v>4644</v>
      </c>
      <c r="F8815" s="1743"/>
      <c r="G8815" s="1743"/>
      <c r="H8815" s="1743"/>
      <c r="K8815" s="1192" t="s">
        <v>4388</v>
      </c>
      <c r="V8815" s="1192">
        <v>693</v>
      </c>
    </row>
    <row r="8816" spans="1:22" s="1192" customFormat="1" ht="14.4" x14ac:dyDescent="0.3">
      <c r="A8816" s="1192" t="s">
        <v>416</v>
      </c>
      <c r="B8816" s="1192" t="s">
        <v>4599</v>
      </c>
      <c r="E8816" s="1743" t="s">
        <v>4533</v>
      </c>
      <c r="F8816" s="1743"/>
      <c r="G8816" s="1743"/>
      <c r="H8816" s="1743"/>
      <c r="K8816" s="1192" t="s">
        <v>4388</v>
      </c>
      <c r="V8816" s="1192">
        <v>250</v>
      </c>
    </row>
    <row r="8817" spans="1:22" s="1192" customFormat="1" ht="14.4" x14ac:dyDescent="0.3">
      <c r="A8817" s="1192" t="s">
        <v>416</v>
      </c>
      <c r="B8817" s="1192" t="s">
        <v>4599</v>
      </c>
      <c r="E8817" s="1750" t="s">
        <v>2394</v>
      </c>
      <c r="F8817" s="1743"/>
      <c r="G8817" s="1743"/>
      <c r="H8817" s="1743"/>
      <c r="K8817" s="1192" t="s">
        <v>2423</v>
      </c>
      <c r="V8817" s="1192">
        <v>46</v>
      </c>
    </row>
    <row r="8818" spans="1:22" s="1192" customFormat="1" ht="14.4" x14ac:dyDescent="0.3">
      <c r="A8818" s="1192" t="s">
        <v>416</v>
      </c>
      <c r="B8818" s="1192" t="s">
        <v>4599</v>
      </c>
      <c r="E8818" s="1741" t="s">
        <v>7</v>
      </c>
      <c r="F8818" s="1741"/>
      <c r="G8818" s="1255" t="s">
        <v>19</v>
      </c>
      <c r="H8818" s="1218">
        <v>103.24</v>
      </c>
      <c r="K8818" s="1192" t="s">
        <v>4388</v>
      </c>
      <c r="L8818" s="1192" t="s">
        <v>430</v>
      </c>
      <c r="P8818" s="1192" t="s">
        <v>4389</v>
      </c>
      <c r="V8818" s="1192">
        <v>14</v>
      </c>
    </row>
    <row r="8819" spans="1:22" s="1192" customFormat="1" ht="14.4" x14ac:dyDescent="0.3">
      <c r="A8819" s="1192" t="s">
        <v>416</v>
      </c>
      <c r="B8819" s="1192" t="s">
        <v>4599</v>
      </c>
      <c r="E8819" s="1741" t="s">
        <v>80</v>
      </c>
      <c r="F8819" s="1741"/>
      <c r="G8819" s="1255" t="s">
        <v>29</v>
      </c>
      <c r="H8819" s="1219">
        <v>3.4194</v>
      </c>
      <c r="K8819" s="1192" t="s">
        <v>4388</v>
      </c>
      <c r="L8819" s="1192" t="s">
        <v>430</v>
      </c>
      <c r="P8819" s="1192" t="s">
        <v>4390</v>
      </c>
      <c r="V8819" s="1192">
        <v>28</v>
      </c>
    </row>
    <row r="8820" spans="1:22" s="1192" customFormat="1" ht="14.4" x14ac:dyDescent="0.3">
      <c r="A8820" s="1192" t="s">
        <v>416</v>
      </c>
      <c r="B8820" s="1192" t="s">
        <v>4599</v>
      </c>
      <c r="E8820" s="1741" t="s">
        <v>3405</v>
      </c>
      <c r="F8820" s="1741"/>
      <c r="G8820" s="1255" t="s">
        <v>29</v>
      </c>
      <c r="H8820" s="594">
        <v>0.62009999999999998</v>
      </c>
      <c r="K8820" s="1192" t="s">
        <v>4388</v>
      </c>
      <c r="L8820" s="1192" t="s">
        <v>431</v>
      </c>
      <c r="P8820" s="1192" t="s">
        <v>4391</v>
      </c>
      <c r="V8820" s="1192">
        <v>37</v>
      </c>
    </row>
    <row r="8821" spans="1:22" s="1192" customFormat="1" ht="14.4" x14ac:dyDescent="0.3">
      <c r="A8821" s="1192" t="s">
        <v>416</v>
      </c>
      <c r="B8821" s="1192" t="s">
        <v>4599</v>
      </c>
      <c r="E8821" s="1741" t="s">
        <v>6506</v>
      </c>
      <c r="F8821" s="1998"/>
      <c r="G8821" s="1255" t="s">
        <v>20</v>
      </c>
      <c r="H8821" s="594">
        <v>-8.9999999999999998E-4</v>
      </c>
      <c r="K8821" s="1192" t="s">
        <v>4388</v>
      </c>
      <c r="L8821" s="1192" t="s">
        <v>431</v>
      </c>
      <c r="P8821" s="1192" t="s">
        <v>4397</v>
      </c>
      <c r="T8821" s="1192">
        <v>44316</v>
      </c>
      <c r="V8821" s="1192">
        <v>139</v>
      </c>
    </row>
    <row r="8822" spans="1:22" s="1192" customFormat="1" ht="14.4" x14ac:dyDescent="0.3">
      <c r="A8822" s="1192" t="s">
        <v>416</v>
      </c>
      <c r="B8822" s="1192" t="s">
        <v>4599</v>
      </c>
      <c r="E8822" s="1741" t="s">
        <v>6546</v>
      </c>
      <c r="F8822" s="1998"/>
      <c r="G8822" s="1255" t="s">
        <v>29</v>
      </c>
      <c r="H8822" s="594">
        <v>0.1172</v>
      </c>
      <c r="K8822" s="1192" t="s">
        <v>4388</v>
      </c>
      <c r="L8822" s="1192" t="s">
        <v>430</v>
      </c>
      <c r="P8822" s="1192" t="s">
        <v>4400</v>
      </c>
      <c r="T8822" s="1192">
        <v>44316</v>
      </c>
      <c r="V8822" s="1192">
        <v>135</v>
      </c>
    </row>
    <row r="8823" spans="1:22" s="1192" customFormat="1" ht="14.4" x14ac:dyDescent="0.3">
      <c r="A8823" s="1192" t="s">
        <v>416</v>
      </c>
      <c r="B8823" s="1192" t="s">
        <v>4599</v>
      </c>
      <c r="E8823" s="1741" t="s">
        <v>6509</v>
      </c>
      <c r="F8823" s="1998"/>
      <c r="G8823" s="1255" t="s">
        <v>29</v>
      </c>
      <c r="H8823" s="594">
        <v>0.15310000000000001</v>
      </c>
      <c r="K8823" s="1192" t="s">
        <v>4388</v>
      </c>
      <c r="L8823" s="1192" t="s">
        <v>431</v>
      </c>
      <c r="P8823" s="1192" t="s">
        <v>4398</v>
      </c>
      <c r="T8823" s="1192">
        <v>44316</v>
      </c>
      <c r="V8823" s="1192">
        <v>156</v>
      </c>
    </row>
    <row r="8824" spans="1:22" s="1192" customFormat="1" ht="14.4" x14ac:dyDescent="0.3">
      <c r="A8824" s="1192" t="s">
        <v>416</v>
      </c>
      <c r="B8824" s="1192" t="s">
        <v>4599</v>
      </c>
      <c r="E8824" s="1741" t="s">
        <v>6508</v>
      </c>
      <c r="F8824" s="1998"/>
      <c r="G8824" s="1255" t="s">
        <v>29</v>
      </c>
      <c r="H8824" s="594">
        <v>0.47270000000000001</v>
      </c>
      <c r="K8824" s="1192" t="s">
        <v>4388</v>
      </c>
      <c r="L8824" s="1192" t="s">
        <v>431</v>
      </c>
      <c r="P8824" s="1192" t="s">
        <v>4398</v>
      </c>
      <c r="T8824" s="1192">
        <v>44316</v>
      </c>
      <c r="V8824" s="1192">
        <v>96</v>
      </c>
    </row>
    <row r="8825" spans="1:22" s="1192" customFormat="1" ht="14.4" x14ac:dyDescent="0.3">
      <c r="A8825" s="1192" t="s">
        <v>416</v>
      </c>
      <c r="B8825" s="1192" t="s">
        <v>4599</v>
      </c>
      <c r="E8825" s="1741" t="s">
        <v>213</v>
      </c>
      <c r="F8825" s="1741"/>
      <c r="G8825" s="1255" t="s">
        <v>29</v>
      </c>
      <c r="H8825" s="1219">
        <v>2.6857000000000002</v>
      </c>
      <c r="K8825" s="1192" t="s">
        <v>4388</v>
      </c>
      <c r="L8825" s="1192" t="s">
        <v>432</v>
      </c>
      <c r="P8825" s="1192" t="s">
        <v>4392</v>
      </c>
      <c r="V8825" s="1192">
        <v>47</v>
      </c>
    </row>
    <row r="8826" spans="1:22" s="1192" customFormat="1" ht="14.4" x14ac:dyDescent="0.3">
      <c r="A8826" s="1192" t="s">
        <v>416</v>
      </c>
      <c r="B8826" s="1192" t="s">
        <v>4599</v>
      </c>
      <c r="E8826" s="1741" t="s">
        <v>3406</v>
      </c>
      <c r="F8826" s="1741"/>
      <c r="G8826" s="1255" t="s">
        <v>29</v>
      </c>
      <c r="H8826" s="1219">
        <v>2.2443</v>
      </c>
      <c r="K8826" s="1192" t="s">
        <v>4388</v>
      </c>
      <c r="L8826" s="1192" t="s">
        <v>432</v>
      </c>
      <c r="P8826" s="1192" t="s">
        <v>4393</v>
      </c>
      <c r="V8826" s="1192">
        <v>87</v>
      </c>
    </row>
    <row r="8827" spans="1:22" s="1192" customFormat="1" ht="14.4" x14ac:dyDescent="0.3">
      <c r="A8827" s="1192" t="s">
        <v>416</v>
      </c>
      <c r="B8827" s="1192" t="s">
        <v>4599</v>
      </c>
      <c r="E8827" s="1750" t="s">
        <v>2405</v>
      </c>
      <c r="F8827" s="1741"/>
      <c r="G8827" s="1741"/>
      <c r="H8827" s="1741"/>
      <c r="K8827" s="1192" t="s">
        <v>2526</v>
      </c>
      <c r="V8827" s="1192">
        <v>48</v>
      </c>
    </row>
    <row r="8828" spans="1:22" s="1192" customFormat="1" ht="14.4" x14ac:dyDescent="0.3">
      <c r="A8828" s="1192" t="s">
        <v>416</v>
      </c>
      <c r="B8828" s="1192" t="s">
        <v>4599</v>
      </c>
      <c r="E8828" s="1741" t="s">
        <v>2033</v>
      </c>
      <c r="F8828" s="1741"/>
      <c r="G8828" s="1255" t="s">
        <v>20</v>
      </c>
      <c r="H8828" s="594">
        <v>3.0000000000000001E-3</v>
      </c>
      <c r="K8828" s="1192" t="s">
        <v>4388</v>
      </c>
      <c r="L8828" s="1192" t="s">
        <v>2374</v>
      </c>
      <c r="P8828" s="1192" t="s">
        <v>4394</v>
      </c>
      <c r="V8828" s="1192">
        <v>55</v>
      </c>
    </row>
    <row r="8829" spans="1:22" s="1192" customFormat="1" ht="14.4" x14ac:dyDescent="0.3">
      <c r="A8829" s="1192" t="s">
        <v>416</v>
      </c>
      <c r="B8829" s="1192" t="s">
        <v>4599</v>
      </c>
      <c r="E8829" s="1741" t="s">
        <v>2034</v>
      </c>
      <c r="F8829" s="1741"/>
      <c r="G8829" s="1255" t="s">
        <v>20</v>
      </c>
      <c r="H8829" s="594">
        <v>4.0000000000000002E-4</v>
      </c>
      <c r="K8829" s="1192" t="s">
        <v>4388</v>
      </c>
      <c r="L8829" s="1192" t="s">
        <v>2374</v>
      </c>
      <c r="P8829" s="1192" t="s">
        <v>4394</v>
      </c>
      <c r="V8829" s="1192">
        <v>65</v>
      </c>
    </row>
    <row r="8830" spans="1:22" s="1192" customFormat="1" ht="14.4" x14ac:dyDescent="0.3">
      <c r="A8830" s="1192" t="s">
        <v>416</v>
      </c>
      <c r="B8830" s="1192" t="s">
        <v>4599</v>
      </c>
      <c r="E8830" s="1741" t="s">
        <v>428</v>
      </c>
      <c r="F8830" s="1741"/>
      <c r="G8830" s="1255" t="s">
        <v>20</v>
      </c>
      <c r="H8830" s="594">
        <v>5.0000000000000001E-4</v>
      </c>
      <c r="K8830" s="1192" t="s">
        <v>4388</v>
      </c>
      <c r="L8830" s="1192" t="s">
        <v>2374</v>
      </c>
      <c r="P8830" s="1192" t="s">
        <v>4395</v>
      </c>
      <c r="V8830" s="1192">
        <v>57</v>
      </c>
    </row>
    <row r="8831" spans="1:22" s="1192" customFormat="1" ht="14.4" x14ac:dyDescent="0.3">
      <c r="A8831" s="1192" t="s">
        <v>416</v>
      </c>
      <c r="B8831" s="1192" t="s">
        <v>4599</v>
      </c>
      <c r="E8831" s="1741" t="s">
        <v>28</v>
      </c>
      <c r="F8831" s="1741"/>
      <c r="G8831" s="1255" t="s">
        <v>19</v>
      </c>
      <c r="H8831" s="595">
        <v>0.25</v>
      </c>
      <c r="K8831" s="1192" t="s">
        <v>4388</v>
      </c>
      <c r="L8831" s="1192" t="s">
        <v>2374</v>
      </c>
      <c r="P8831" s="1192" t="s">
        <v>4396</v>
      </c>
      <c r="V8831" s="1192">
        <v>63</v>
      </c>
    </row>
    <row r="8832" spans="1:22" s="1192" customFormat="1" ht="17.399999999999999" x14ac:dyDescent="0.3">
      <c r="A8832" s="1192" t="s">
        <v>416</v>
      </c>
      <c r="B8832" s="1192" t="s">
        <v>4599</v>
      </c>
      <c r="E8832" s="1746" t="s">
        <v>596</v>
      </c>
      <c r="F8832" s="1747"/>
      <c r="G8832" s="1747"/>
      <c r="H8832" s="1747"/>
      <c r="K8832" s="1192" t="s">
        <v>3407</v>
      </c>
      <c r="V8832" s="1192">
        <v>32</v>
      </c>
    </row>
    <row r="8833" spans="1:22" s="1192" customFormat="1" ht="14.4" x14ac:dyDescent="0.3">
      <c r="A8833" s="1192" t="s">
        <v>416</v>
      </c>
      <c r="B8833" s="1192" t="s">
        <v>4599</v>
      </c>
      <c r="E8833" s="1743" t="s">
        <v>3408</v>
      </c>
      <c r="F8833" s="1743"/>
      <c r="G8833" s="1743"/>
      <c r="H8833" s="1743"/>
      <c r="K8833" s="1192" t="s">
        <v>3407</v>
      </c>
      <c r="V8833" s="1192">
        <v>370</v>
      </c>
    </row>
    <row r="8834" spans="1:22" s="1192" customFormat="1" ht="14.4" x14ac:dyDescent="0.3">
      <c r="A8834" s="1192" t="s">
        <v>416</v>
      </c>
      <c r="B8834" s="1192" t="s">
        <v>4599</v>
      </c>
      <c r="E8834" s="1750" t="s">
        <v>2389</v>
      </c>
      <c r="F8834" s="1743"/>
      <c r="G8834" s="1743"/>
      <c r="H8834" s="1743"/>
      <c r="K8834" s="1192" t="s">
        <v>2529</v>
      </c>
      <c r="V8834" s="1192">
        <v>11</v>
      </c>
    </row>
    <row r="8835" spans="1:22" s="1192" customFormat="1" ht="14.4" x14ac:dyDescent="0.3">
      <c r="A8835" s="1192" t="s">
        <v>416</v>
      </c>
      <c r="B8835" s="1192" t="s">
        <v>4599</v>
      </c>
      <c r="E8835" s="1743" t="s">
        <v>2391</v>
      </c>
      <c r="F8835" s="1743"/>
      <c r="G8835" s="1743"/>
      <c r="H8835" s="1743"/>
      <c r="K8835" s="1192" t="s">
        <v>3407</v>
      </c>
      <c r="V8835" s="1192">
        <v>280</v>
      </c>
    </row>
    <row r="8836" spans="1:22" s="1192" customFormat="1" ht="14.4" x14ac:dyDescent="0.3">
      <c r="A8836" s="1192" t="s">
        <v>416</v>
      </c>
      <c r="B8836" s="1192" t="s">
        <v>4599</v>
      </c>
      <c r="E8836" s="1743" t="s">
        <v>2392</v>
      </c>
      <c r="F8836" s="1743"/>
      <c r="G8836" s="1743"/>
      <c r="H8836" s="1743"/>
      <c r="K8836" s="1192" t="s">
        <v>3407</v>
      </c>
      <c r="V8836" s="1192">
        <v>411</v>
      </c>
    </row>
    <row r="8837" spans="1:22" s="1192" customFormat="1" ht="14.4" x14ac:dyDescent="0.3">
      <c r="A8837" s="1192" t="s">
        <v>416</v>
      </c>
      <c r="B8837" s="1192" t="s">
        <v>4599</v>
      </c>
      <c r="E8837" s="1743" t="s">
        <v>2508</v>
      </c>
      <c r="F8837" s="1743"/>
      <c r="G8837" s="1743"/>
      <c r="H8837" s="1743"/>
      <c r="K8837" s="1192" t="s">
        <v>3407</v>
      </c>
      <c r="V8837" s="1192">
        <v>386</v>
      </c>
    </row>
    <row r="8838" spans="1:22" s="1192" customFormat="1" ht="14.4" x14ac:dyDescent="0.3">
      <c r="A8838" s="1192" t="s">
        <v>416</v>
      </c>
      <c r="B8838" s="1192" t="s">
        <v>4599</v>
      </c>
      <c r="E8838" s="1743" t="s">
        <v>4503</v>
      </c>
      <c r="F8838" s="1743"/>
      <c r="G8838" s="1743"/>
      <c r="H8838" s="1743"/>
      <c r="K8838" s="1192" t="s">
        <v>3407</v>
      </c>
      <c r="V8838" s="1192">
        <v>677</v>
      </c>
    </row>
    <row r="8839" spans="1:22" s="1192" customFormat="1" ht="14.4" x14ac:dyDescent="0.3">
      <c r="A8839" s="1192" t="s">
        <v>416</v>
      </c>
      <c r="B8839" s="1192" t="s">
        <v>4599</v>
      </c>
      <c r="E8839" s="1743" t="s">
        <v>4644</v>
      </c>
      <c r="F8839" s="1743"/>
      <c r="G8839" s="1743"/>
      <c r="H8839" s="1743"/>
      <c r="K8839" s="1192" t="s">
        <v>3407</v>
      </c>
      <c r="V8839" s="1192">
        <v>693</v>
      </c>
    </row>
    <row r="8840" spans="1:22" s="1192" customFormat="1" ht="14.4" x14ac:dyDescent="0.3">
      <c r="A8840" s="1192" t="s">
        <v>416</v>
      </c>
      <c r="B8840" s="1192" t="s">
        <v>4599</v>
      </c>
      <c r="E8840" s="1743" t="s">
        <v>2986</v>
      </c>
      <c r="F8840" s="1743"/>
      <c r="G8840" s="1743"/>
      <c r="H8840" s="1743"/>
      <c r="K8840" s="1192" t="s">
        <v>3407</v>
      </c>
      <c r="V8840" s="1192">
        <v>246</v>
      </c>
    </row>
    <row r="8841" spans="1:22" s="1192" customFormat="1" ht="14.4" x14ac:dyDescent="0.3">
      <c r="A8841" s="1192" t="s">
        <v>416</v>
      </c>
      <c r="B8841" s="1192" t="s">
        <v>4599</v>
      </c>
      <c r="E8841" s="1750" t="s">
        <v>2394</v>
      </c>
      <c r="F8841" s="1743"/>
      <c r="G8841" s="1743"/>
      <c r="H8841" s="1743"/>
      <c r="K8841" s="1192" t="s">
        <v>2531</v>
      </c>
      <c r="V8841" s="1192">
        <v>46</v>
      </c>
    </row>
    <row r="8842" spans="1:22" s="1192" customFormat="1" ht="14.4" x14ac:dyDescent="0.3">
      <c r="A8842" s="1192" t="s">
        <v>416</v>
      </c>
      <c r="B8842" s="1192" t="s">
        <v>4599</v>
      </c>
      <c r="E8842" s="1741" t="s">
        <v>7</v>
      </c>
      <c r="F8842" s="1741"/>
      <c r="G8842" s="1255" t="s">
        <v>19</v>
      </c>
      <c r="H8842" s="1218">
        <v>1575.42</v>
      </c>
      <c r="K8842" s="1192" t="s">
        <v>3407</v>
      </c>
      <c r="L8842" s="1192" t="s">
        <v>430</v>
      </c>
      <c r="P8842" s="1192" t="s">
        <v>3409</v>
      </c>
      <c r="V8842" s="1192">
        <v>14</v>
      </c>
    </row>
    <row r="8843" spans="1:22" s="1192" customFormat="1" ht="14.4" x14ac:dyDescent="0.3">
      <c r="A8843" s="1192" t="s">
        <v>416</v>
      </c>
      <c r="B8843" s="1192" t="s">
        <v>4599</v>
      </c>
      <c r="E8843" s="1741" t="s">
        <v>80</v>
      </c>
      <c r="F8843" s="1741"/>
      <c r="G8843" s="1255" t="s">
        <v>29</v>
      </c>
      <c r="H8843" s="1219">
        <v>2.4058999999999999</v>
      </c>
      <c r="K8843" s="1192" t="s">
        <v>3407</v>
      </c>
      <c r="L8843" s="1192" t="s">
        <v>430</v>
      </c>
      <c r="P8843" s="1192" t="s">
        <v>3410</v>
      </c>
      <c r="V8843" s="1192">
        <v>28</v>
      </c>
    </row>
    <row r="8844" spans="1:22" s="1192" customFormat="1" ht="14.4" x14ac:dyDescent="0.3">
      <c r="A8844" s="1192" t="s">
        <v>416</v>
      </c>
      <c r="B8844" s="1192" t="s">
        <v>4599</v>
      </c>
      <c r="E8844" s="1741" t="s">
        <v>3405</v>
      </c>
      <c r="F8844" s="1741"/>
      <c r="G8844" s="1255" t="s">
        <v>29</v>
      </c>
      <c r="H8844" s="1219">
        <v>0.68179999999999996</v>
      </c>
      <c r="K8844" s="1192" t="s">
        <v>3407</v>
      </c>
      <c r="L8844" s="1192" t="s">
        <v>431</v>
      </c>
      <c r="P8844" s="1192" t="s">
        <v>3411</v>
      </c>
      <c r="V8844" s="1192">
        <v>37</v>
      </c>
    </row>
    <row r="8845" spans="1:22" s="1192" customFormat="1" ht="14.4" x14ac:dyDescent="0.3">
      <c r="A8845" s="1192" t="s">
        <v>416</v>
      </c>
      <c r="B8845" s="1192" t="s">
        <v>4599</v>
      </c>
      <c r="E8845" s="1741" t="s">
        <v>6506</v>
      </c>
      <c r="F8845" s="1998"/>
      <c r="G8845" s="1255" t="s">
        <v>20</v>
      </c>
      <c r="H8845" s="1219">
        <v>-8.9999999999999998E-4</v>
      </c>
      <c r="K8845" s="1192" t="s">
        <v>3407</v>
      </c>
      <c r="L8845" s="1192" t="s">
        <v>431</v>
      </c>
      <c r="P8845" s="1192" t="s">
        <v>4057</v>
      </c>
      <c r="T8845" s="1192">
        <v>44316</v>
      </c>
      <c r="V8845" s="1192">
        <v>139</v>
      </c>
    </row>
    <row r="8846" spans="1:22" s="1192" customFormat="1" ht="14.4" x14ac:dyDescent="0.3">
      <c r="A8846" s="1192" t="s">
        <v>416</v>
      </c>
      <c r="B8846" s="1192" t="s">
        <v>4599</v>
      </c>
      <c r="E8846" s="1741" t="s">
        <v>6532</v>
      </c>
      <c r="F8846" s="1998"/>
      <c r="G8846" s="1255" t="s">
        <v>29</v>
      </c>
      <c r="H8846" s="1219">
        <v>1.2200000000000001E-2</v>
      </c>
      <c r="K8846" s="1192" t="s">
        <v>3407</v>
      </c>
      <c r="L8846" s="1192" t="s">
        <v>430</v>
      </c>
      <c r="P8846" s="1192" t="s">
        <v>3412</v>
      </c>
      <c r="T8846" s="1192">
        <v>44316</v>
      </c>
      <c r="V8846" s="1192">
        <v>134</v>
      </c>
    </row>
    <row r="8847" spans="1:22" s="1192" customFormat="1" ht="14.4" x14ac:dyDescent="0.3">
      <c r="A8847" s="1192" t="s">
        <v>416</v>
      </c>
      <c r="B8847" s="1192" t="s">
        <v>4599</v>
      </c>
      <c r="E8847" s="1741" t="s">
        <v>6508</v>
      </c>
      <c r="F8847" s="1998"/>
      <c r="G8847" s="1255" t="s">
        <v>29</v>
      </c>
      <c r="H8847" s="1219">
        <v>0.36080000000000001</v>
      </c>
      <c r="K8847" s="1192" t="s">
        <v>3407</v>
      </c>
      <c r="L8847" s="1192" t="s">
        <v>431</v>
      </c>
      <c r="P8847" s="1192" t="s">
        <v>3413</v>
      </c>
      <c r="T8847" s="1192">
        <v>44316</v>
      </c>
      <c r="V8847" s="1192">
        <v>96</v>
      </c>
    </row>
    <row r="8848" spans="1:22" s="1192" customFormat="1" ht="14.4" x14ac:dyDescent="0.3">
      <c r="A8848" s="1192" t="s">
        <v>416</v>
      </c>
      <c r="B8848" s="1192" t="s">
        <v>4599</v>
      </c>
      <c r="E8848" s="1741" t="s">
        <v>213</v>
      </c>
      <c r="F8848" s="1741"/>
      <c r="G8848" s="1255" t="s">
        <v>29</v>
      </c>
      <c r="H8848" s="1219">
        <v>2.8496999999999999</v>
      </c>
      <c r="K8848" s="1192" t="s">
        <v>3407</v>
      </c>
      <c r="L8848" s="1192" t="s">
        <v>432</v>
      </c>
      <c r="P8848" s="1192" t="s">
        <v>3414</v>
      </c>
      <c r="V8848" s="1192">
        <v>47</v>
      </c>
    </row>
    <row r="8849" spans="1:22" s="1192" customFormat="1" ht="14.4" x14ac:dyDescent="0.3">
      <c r="A8849" s="1192" t="s">
        <v>416</v>
      </c>
      <c r="B8849" s="1192" t="s">
        <v>4599</v>
      </c>
      <c r="E8849" s="1741" t="s">
        <v>3406</v>
      </c>
      <c r="F8849" s="1741"/>
      <c r="G8849" s="1255" t="s">
        <v>29</v>
      </c>
      <c r="H8849" s="1219">
        <v>2.4674999999999998</v>
      </c>
      <c r="K8849" s="1192" t="s">
        <v>3407</v>
      </c>
      <c r="L8849" s="1192" t="s">
        <v>432</v>
      </c>
      <c r="P8849" s="1192" t="s">
        <v>4132</v>
      </c>
      <c r="V8849" s="1192">
        <v>87</v>
      </c>
    </row>
    <row r="8850" spans="1:22" s="1192" customFormat="1" ht="14.4" x14ac:dyDescent="0.3">
      <c r="A8850" s="1192" t="s">
        <v>416</v>
      </c>
      <c r="B8850" s="1192" t="s">
        <v>4599</v>
      </c>
      <c r="E8850" s="1750" t="s">
        <v>2405</v>
      </c>
      <c r="F8850" s="1741"/>
      <c r="G8850" s="1741"/>
      <c r="H8850" s="1741"/>
      <c r="K8850" s="1192" t="s">
        <v>2532</v>
      </c>
      <c r="V8850" s="1192">
        <v>48</v>
      </c>
    </row>
    <row r="8851" spans="1:22" s="1192" customFormat="1" ht="14.4" x14ac:dyDescent="0.3">
      <c r="A8851" s="1192" t="s">
        <v>416</v>
      </c>
      <c r="B8851" s="1192" t="s">
        <v>4599</v>
      </c>
      <c r="E8851" s="1741" t="s">
        <v>2033</v>
      </c>
      <c r="F8851" s="1741"/>
      <c r="G8851" s="1255" t="s">
        <v>20</v>
      </c>
      <c r="H8851" s="594">
        <v>3.0000000000000001E-3</v>
      </c>
      <c r="K8851" s="1192" t="s">
        <v>3407</v>
      </c>
      <c r="L8851" s="1192" t="s">
        <v>2374</v>
      </c>
      <c r="P8851" s="1192" t="s">
        <v>3415</v>
      </c>
      <c r="V8851" s="1192">
        <v>55</v>
      </c>
    </row>
    <row r="8852" spans="1:22" s="1192" customFormat="1" ht="14.4" x14ac:dyDescent="0.3">
      <c r="A8852" s="1192" t="s">
        <v>416</v>
      </c>
      <c r="B8852" s="1192" t="s">
        <v>4599</v>
      </c>
      <c r="E8852" s="1741" t="s">
        <v>2034</v>
      </c>
      <c r="F8852" s="1741"/>
      <c r="G8852" s="1255" t="s">
        <v>20</v>
      </c>
      <c r="H8852" s="594">
        <v>4.0000000000000002E-4</v>
      </c>
      <c r="K8852" s="1192" t="s">
        <v>3407</v>
      </c>
      <c r="L8852" s="1192" t="s">
        <v>2374</v>
      </c>
      <c r="P8852" s="1192" t="s">
        <v>3415</v>
      </c>
      <c r="V8852" s="1192">
        <v>65</v>
      </c>
    </row>
    <row r="8853" spans="1:22" s="1192" customFormat="1" ht="14.4" x14ac:dyDescent="0.3">
      <c r="A8853" s="1192" t="s">
        <v>416</v>
      </c>
      <c r="B8853" s="1192" t="s">
        <v>4599</v>
      </c>
      <c r="E8853" s="1741" t="s">
        <v>428</v>
      </c>
      <c r="F8853" s="1741"/>
      <c r="G8853" s="1255" t="s">
        <v>20</v>
      </c>
      <c r="H8853" s="594">
        <v>5.0000000000000001E-4</v>
      </c>
      <c r="K8853" s="1192" t="s">
        <v>3407</v>
      </c>
      <c r="L8853" s="1192" t="s">
        <v>2374</v>
      </c>
      <c r="P8853" s="1192" t="s">
        <v>3416</v>
      </c>
      <c r="V8853" s="1192">
        <v>57</v>
      </c>
    </row>
    <row r="8854" spans="1:22" s="1192" customFormat="1" ht="14.4" x14ac:dyDescent="0.3">
      <c r="A8854" s="1192" t="s">
        <v>416</v>
      </c>
      <c r="B8854" s="1192" t="s">
        <v>4599</v>
      </c>
      <c r="E8854" s="1741" t="s">
        <v>28</v>
      </c>
      <c r="F8854" s="1741"/>
      <c r="G8854" s="1255" t="s">
        <v>19</v>
      </c>
      <c r="H8854" s="595">
        <v>0.25</v>
      </c>
      <c r="K8854" s="1192" t="s">
        <v>3407</v>
      </c>
      <c r="L8854" s="1192" t="s">
        <v>2374</v>
      </c>
      <c r="P8854" s="1192" t="s">
        <v>3417</v>
      </c>
      <c r="V8854" s="1192">
        <v>63</v>
      </c>
    </row>
    <row r="8855" spans="1:22" s="1192" customFormat="1" ht="17.399999999999999" x14ac:dyDescent="0.3">
      <c r="A8855" s="1192" t="s">
        <v>416</v>
      </c>
      <c r="B8855" s="1192" t="s">
        <v>4599</v>
      </c>
      <c r="E8855" s="1746" t="s">
        <v>592</v>
      </c>
      <c r="F8855" s="1747"/>
      <c r="G8855" s="1747"/>
      <c r="H8855" s="1747"/>
      <c r="K8855" s="1192" t="s">
        <v>2726</v>
      </c>
      <c r="V8855" s="1192">
        <v>47</v>
      </c>
    </row>
    <row r="8856" spans="1:22" s="1192" customFormat="1" ht="14.4" x14ac:dyDescent="0.3">
      <c r="A8856" s="1192" t="s">
        <v>416</v>
      </c>
      <c r="B8856" s="1192" t="s">
        <v>4599</v>
      </c>
      <c r="E8856" s="1743" t="s">
        <v>3179</v>
      </c>
      <c r="F8856" s="1743"/>
      <c r="G8856" s="1743"/>
      <c r="H8856" s="1743"/>
      <c r="K8856" s="1192" t="s">
        <v>2726</v>
      </c>
      <c r="V8856" s="1192">
        <v>720</v>
      </c>
    </row>
    <row r="8857" spans="1:22" s="1192" customFormat="1" ht="14.4" x14ac:dyDescent="0.3">
      <c r="A8857" s="1192" t="s">
        <v>416</v>
      </c>
      <c r="B8857" s="1192" t="s">
        <v>4599</v>
      </c>
      <c r="E8857" s="1750" t="s">
        <v>2389</v>
      </c>
      <c r="F8857" s="1743"/>
      <c r="G8857" s="1743"/>
      <c r="H8857" s="1743"/>
      <c r="K8857" s="1192" t="s">
        <v>2424</v>
      </c>
      <c r="V8857" s="1192">
        <v>11</v>
      </c>
    </row>
    <row r="8858" spans="1:22" s="1192" customFormat="1" ht="14.4" x14ac:dyDescent="0.3">
      <c r="A8858" s="1192" t="s">
        <v>416</v>
      </c>
      <c r="B8858" s="1192" t="s">
        <v>4599</v>
      </c>
      <c r="E8858" s="1743" t="s">
        <v>2391</v>
      </c>
      <c r="F8858" s="1743"/>
      <c r="G8858" s="1743"/>
      <c r="H8858" s="1743"/>
      <c r="K8858" s="1192" t="s">
        <v>2726</v>
      </c>
      <c r="V8858" s="1192">
        <v>280</v>
      </c>
    </row>
    <row r="8859" spans="1:22" s="1192" customFormat="1" ht="14.4" x14ac:dyDescent="0.3">
      <c r="A8859" s="1192" t="s">
        <v>416</v>
      </c>
      <c r="B8859" s="1192" t="s">
        <v>4599</v>
      </c>
      <c r="E8859" s="1743" t="s">
        <v>2392</v>
      </c>
      <c r="F8859" s="1743"/>
      <c r="G8859" s="1743"/>
      <c r="H8859" s="1743"/>
      <c r="K8859" s="1192" t="s">
        <v>2726</v>
      </c>
      <c r="V8859" s="1192">
        <v>411</v>
      </c>
    </row>
    <row r="8860" spans="1:22" s="1192" customFormat="1" ht="14.4" x14ac:dyDescent="0.3">
      <c r="A8860" s="1192" t="s">
        <v>416</v>
      </c>
      <c r="B8860" s="1192" t="s">
        <v>4599</v>
      </c>
      <c r="E8860" s="1743" t="s">
        <v>2508</v>
      </c>
      <c r="F8860" s="1743"/>
      <c r="G8860" s="1743"/>
      <c r="H8860" s="1743"/>
      <c r="K8860" s="1192" t="s">
        <v>2726</v>
      </c>
      <c r="V8860" s="1192">
        <v>386</v>
      </c>
    </row>
    <row r="8861" spans="1:22" s="1192" customFormat="1" ht="14.4" x14ac:dyDescent="0.3">
      <c r="A8861" s="1192" t="s">
        <v>416</v>
      </c>
      <c r="B8861" s="1192" t="s">
        <v>4599</v>
      </c>
      <c r="E8861" s="1743" t="s">
        <v>2986</v>
      </c>
      <c r="F8861" s="1743"/>
      <c r="G8861" s="1743"/>
      <c r="H8861" s="1743"/>
      <c r="K8861" s="1192" t="s">
        <v>2726</v>
      </c>
      <c r="V8861" s="1192">
        <v>246</v>
      </c>
    </row>
    <row r="8862" spans="1:22" s="1192" customFormat="1" ht="14.4" x14ac:dyDescent="0.3">
      <c r="A8862" s="1192" t="s">
        <v>416</v>
      </c>
      <c r="B8862" s="1192" t="s">
        <v>4599</v>
      </c>
      <c r="E8862" s="1750" t="s">
        <v>2394</v>
      </c>
      <c r="F8862" s="1743"/>
      <c r="G8862" s="1743"/>
      <c r="H8862" s="1743"/>
      <c r="K8862" s="1192" t="s">
        <v>2425</v>
      </c>
      <c r="V8862" s="1192">
        <v>46</v>
      </c>
    </row>
    <row r="8863" spans="1:22" s="1192" customFormat="1" ht="14.4" x14ac:dyDescent="0.3">
      <c r="A8863" s="1192" t="s">
        <v>416</v>
      </c>
      <c r="B8863" s="1192" t="s">
        <v>4599</v>
      </c>
      <c r="E8863" s="1741" t="s">
        <v>7</v>
      </c>
      <c r="F8863" s="1741"/>
      <c r="G8863" s="1255" t="s">
        <v>19</v>
      </c>
      <c r="H8863" s="1218">
        <v>8.52</v>
      </c>
      <c r="K8863" s="1192" t="s">
        <v>2726</v>
      </c>
      <c r="L8863" s="1192" t="s">
        <v>430</v>
      </c>
      <c r="P8863" s="1192" t="s">
        <v>2727</v>
      </c>
      <c r="V8863" s="1192">
        <v>14</v>
      </c>
    </row>
    <row r="8864" spans="1:22" s="1192" customFormat="1" ht="14.4" x14ac:dyDescent="0.3">
      <c r="A8864" s="1192" t="s">
        <v>416</v>
      </c>
      <c r="B8864" s="1192" t="s">
        <v>4599</v>
      </c>
      <c r="E8864" s="1741" t="s">
        <v>80</v>
      </c>
      <c r="F8864" s="1741"/>
      <c r="G8864" s="1255" t="s">
        <v>20</v>
      </c>
      <c r="H8864" s="1219">
        <v>1.5E-3</v>
      </c>
      <c r="K8864" s="1192" t="s">
        <v>2726</v>
      </c>
      <c r="L8864" s="1192" t="s">
        <v>430</v>
      </c>
      <c r="P8864" s="1192" t="s">
        <v>2728</v>
      </c>
      <c r="V8864" s="1192">
        <v>28</v>
      </c>
    </row>
    <row r="8865" spans="1:22" s="1192" customFormat="1" ht="14.4" x14ac:dyDescent="0.3">
      <c r="A8865" s="1192" t="s">
        <v>416</v>
      </c>
      <c r="B8865" s="1192" t="s">
        <v>4599</v>
      </c>
      <c r="E8865" s="1741" t="s">
        <v>14</v>
      </c>
      <c r="F8865" s="1741"/>
      <c r="G8865" s="1255" t="s">
        <v>20</v>
      </c>
      <c r="H8865" s="594">
        <v>1.5E-3</v>
      </c>
      <c r="K8865" s="1192" t="s">
        <v>2726</v>
      </c>
      <c r="L8865" s="1192" t="s">
        <v>431</v>
      </c>
      <c r="P8865" s="1192" t="s">
        <v>2729</v>
      </c>
      <c r="V8865" s="1192">
        <v>24</v>
      </c>
    </row>
    <row r="8866" spans="1:22" s="1192" customFormat="1" ht="14.4" x14ac:dyDescent="0.3">
      <c r="A8866" s="1192" t="s">
        <v>416</v>
      </c>
      <c r="B8866" s="1192" t="s">
        <v>4599</v>
      </c>
      <c r="E8866" s="1741" t="s">
        <v>6506</v>
      </c>
      <c r="F8866" s="1998"/>
      <c r="G8866" s="1255" t="s">
        <v>20</v>
      </c>
      <c r="H8866" s="594">
        <v>-8.9999999999999998E-4</v>
      </c>
      <c r="K8866" s="1192" t="s">
        <v>2726</v>
      </c>
      <c r="L8866" s="1192" t="s">
        <v>431</v>
      </c>
      <c r="P8866" s="1192" t="s">
        <v>2788</v>
      </c>
      <c r="T8866" s="1192">
        <v>44316</v>
      </c>
      <c r="V8866" s="1192">
        <v>139</v>
      </c>
    </row>
    <row r="8867" spans="1:22" s="1192" customFormat="1" ht="14.4" x14ac:dyDescent="0.3">
      <c r="A8867" s="1192" t="s">
        <v>416</v>
      </c>
      <c r="B8867" s="1192" t="s">
        <v>4599</v>
      </c>
      <c r="E8867" s="1741" t="s">
        <v>6508</v>
      </c>
      <c r="F8867" s="1998"/>
      <c r="G8867" s="1255" t="s">
        <v>20</v>
      </c>
      <c r="H8867" s="594">
        <v>1.6999999999999999E-3</v>
      </c>
      <c r="K8867" s="1192" t="s">
        <v>2726</v>
      </c>
      <c r="L8867" s="1192" t="s">
        <v>431</v>
      </c>
      <c r="P8867" s="1192" t="s">
        <v>2789</v>
      </c>
      <c r="T8867" s="1192">
        <v>44316</v>
      </c>
      <c r="V8867" s="1192">
        <v>96</v>
      </c>
    </row>
    <row r="8868" spans="1:22" s="1192" customFormat="1" ht="14.4" x14ac:dyDescent="0.3">
      <c r="A8868" s="1192" t="s">
        <v>416</v>
      </c>
      <c r="B8868" s="1192" t="s">
        <v>4599</v>
      </c>
      <c r="E8868" s="1741" t="s">
        <v>213</v>
      </c>
      <c r="F8868" s="1741"/>
      <c r="G8868" s="1255" t="s">
        <v>20</v>
      </c>
      <c r="H8868" s="1219">
        <v>6.1000000000000004E-3</v>
      </c>
      <c r="K8868" s="1192" t="s">
        <v>2726</v>
      </c>
      <c r="L8868" s="1192" t="s">
        <v>432</v>
      </c>
      <c r="P8868" s="1192" t="s">
        <v>2731</v>
      </c>
      <c r="V8868" s="1192">
        <v>47</v>
      </c>
    </row>
    <row r="8869" spans="1:22" s="1192" customFormat="1" ht="14.4" x14ac:dyDescent="0.3">
      <c r="A8869" s="1192" t="s">
        <v>416</v>
      </c>
      <c r="B8869" s="1192" t="s">
        <v>4599</v>
      </c>
      <c r="E8869" s="1741" t="s">
        <v>209</v>
      </c>
      <c r="F8869" s="1741"/>
      <c r="G8869" s="1255" t="s">
        <v>20</v>
      </c>
      <c r="H8869" s="1219">
        <v>5.1999999999999998E-3</v>
      </c>
      <c r="K8869" s="1192" t="s">
        <v>2726</v>
      </c>
      <c r="L8869" s="1192" t="s">
        <v>432</v>
      </c>
      <c r="P8869" s="1192" t="s">
        <v>2732</v>
      </c>
      <c r="V8869" s="1192">
        <v>74</v>
      </c>
    </row>
    <row r="8870" spans="1:22" s="1192" customFormat="1" ht="14.4" x14ac:dyDescent="0.3">
      <c r="A8870" s="1192" t="s">
        <v>416</v>
      </c>
      <c r="B8870" s="1192" t="s">
        <v>4599</v>
      </c>
      <c r="E8870" s="1750" t="s">
        <v>2405</v>
      </c>
      <c r="F8870" s="1741"/>
      <c r="G8870" s="1741"/>
      <c r="H8870" s="1741"/>
      <c r="K8870" s="1192" t="s">
        <v>2427</v>
      </c>
      <c r="V8870" s="1192">
        <v>48</v>
      </c>
    </row>
    <row r="8871" spans="1:22" s="1192" customFormat="1" ht="14.4" x14ac:dyDescent="0.3">
      <c r="A8871" s="1192" t="s">
        <v>416</v>
      </c>
      <c r="B8871" s="1192" t="s">
        <v>4599</v>
      </c>
      <c r="E8871" s="1741" t="s">
        <v>2033</v>
      </c>
      <c r="F8871" s="1741"/>
      <c r="G8871" s="1255" t="s">
        <v>20</v>
      </c>
      <c r="H8871" s="594">
        <v>3.0000000000000001E-3</v>
      </c>
      <c r="K8871" s="1192" t="s">
        <v>2726</v>
      </c>
      <c r="L8871" s="1192" t="s">
        <v>2374</v>
      </c>
      <c r="P8871" s="1192" t="s">
        <v>2733</v>
      </c>
      <c r="V8871" s="1192">
        <v>55</v>
      </c>
    </row>
    <row r="8872" spans="1:22" s="1192" customFormat="1" ht="14.4" x14ac:dyDescent="0.3">
      <c r="A8872" s="1192" t="s">
        <v>416</v>
      </c>
      <c r="B8872" s="1192" t="s">
        <v>4599</v>
      </c>
      <c r="E8872" s="1741" t="s">
        <v>2034</v>
      </c>
      <c r="F8872" s="1741"/>
      <c r="G8872" s="1255" t="s">
        <v>20</v>
      </c>
      <c r="H8872" s="594">
        <v>4.0000000000000002E-4</v>
      </c>
      <c r="K8872" s="1192" t="s">
        <v>2726</v>
      </c>
      <c r="L8872" s="1192" t="s">
        <v>2374</v>
      </c>
      <c r="P8872" s="1192" t="s">
        <v>2733</v>
      </c>
      <c r="V8872" s="1192">
        <v>65</v>
      </c>
    </row>
    <row r="8873" spans="1:22" s="1192" customFormat="1" ht="14.4" x14ac:dyDescent="0.3">
      <c r="A8873" s="1192" t="s">
        <v>416</v>
      </c>
      <c r="B8873" s="1192" t="s">
        <v>4599</v>
      </c>
      <c r="E8873" s="1741" t="s">
        <v>428</v>
      </c>
      <c r="F8873" s="1741"/>
      <c r="G8873" s="1255" t="s">
        <v>20</v>
      </c>
      <c r="H8873" s="594">
        <v>5.0000000000000001E-4</v>
      </c>
      <c r="K8873" s="1192" t="s">
        <v>2726</v>
      </c>
      <c r="L8873" s="1192" t="s">
        <v>2374</v>
      </c>
      <c r="P8873" s="1192" t="s">
        <v>2734</v>
      </c>
      <c r="V8873" s="1192">
        <v>57</v>
      </c>
    </row>
    <row r="8874" spans="1:22" s="1192" customFormat="1" ht="14.4" x14ac:dyDescent="0.3">
      <c r="A8874" s="1192" t="s">
        <v>416</v>
      </c>
      <c r="B8874" s="1192" t="s">
        <v>4599</v>
      </c>
      <c r="E8874" s="1741" t="s">
        <v>28</v>
      </c>
      <c r="F8874" s="1741"/>
      <c r="G8874" s="1255" t="s">
        <v>19</v>
      </c>
      <c r="H8874" s="595">
        <v>0.25</v>
      </c>
      <c r="K8874" s="1192" t="s">
        <v>2726</v>
      </c>
      <c r="L8874" s="1192" t="s">
        <v>2374</v>
      </c>
      <c r="P8874" s="1192" t="s">
        <v>2735</v>
      </c>
      <c r="V8874" s="1192">
        <v>63</v>
      </c>
    </row>
    <row r="8875" spans="1:22" s="1192" customFormat="1" ht="17.399999999999999" x14ac:dyDescent="0.3">
      <c r="A8875" s="1192" t="s">
        <v>416</v>
      </c>
      <c r="B8875" s="1192" t="s">
        <v>4599</v>
      </c>
      <c r="E8875" s="1746" t="s">
        <v>604</v>
      </c>
      <c r="F8875" s="1747"/>
      <c r="G8875" s="1747"/>
      <c r="H8875" s="1747"/>
      <c r="K8875" s="1192" t="s">
        <v>2736</v>
      </c>
      <c r="V8875" s="1192">
        <v>40</v>
      </c>
    </row>
    <row r="8876" spans="1:22" s="1192" customFormat="1" ht="14.4" x14ac:dyDescent="0.3">
      <c r="A8876" s="1192" t="s">
        <v>416</v>
      </c>
      <c r="B8876" s="1192" t="s">
        <v>4599</v>
      </c>
      <c r="E8876" s="1743" t="s">
        <v>2556</v>
      </c>
      <c r="F8876" s="1743"/>
      <c r="G8876" s="1743"/>
      <c r="H8876" s="1743"/>
      <c r="K8876" s="1192" t="s">
        <v>2736</v>
      </c>
      <c r="V8876" s="1192">
        <v>253</v>
      </c>
    </row>
    <row r="8877" spans="1:22" s="1192" customFormat="1" ht="14.4" x14ac:dyDescent="0.3">
      <c r="A8877" s="1192" t="s">
        <v>416</v>
      </c>
      <c r="B8877" s="1192" t="s">
        <v>4599</v>
      </c>
      <c r="E8877" s="1750" t="s">
        <v>2389</v>
      </c>
      <c r="F8877" s="1743"/>
      <c r="G8877" s="1743"/>
      <c r="H8877" s="1743"/>
      <c r="K8877" s="1192" t="s">
        <v>2430</v>
      </c>
      <c r="V8877" s="1192">
        <v>11</v>
      </c>
    </row>
    <row r="8878" spans="1:22" s="1192" customFormat="1" ht="14.4" x14ac:dyDescent="0.3">
      <c r="A8878" s="1192" t="s">
        <v>416</v>
      </c>
      <c r="B8878" s="1192" t="s">
        <v>4599</v>
      </c>
      <c r="E8878" s="1743" t="s">
        <v>2391</v>
      </c>
      <c r="F8878" s="1743"/>
      <c r="G8878" s="1743"/>
      <c r="H8878" s="1743"/>
      <c r="K8878" s="1192" t="s">
        <v>2736</v>
      </c>
      <c r="V8878" s="1192">
        <v>280</v>
      </c>
    </row>
    <row r="8879" spans="1:22" s="1192" customFormat="1" ht="14.4" x14ac:dyDescent="0.3">
      <c r="A8879" s="1192" t="s">
        <v>416</v>
      </c>
      <c r="B8879" s="1192" t="s">
        <v>4599</v>
      </c>
      <c r="E8879" s="1743" t="s">
        <v>2392</v>
      </c>
      <c r="F8879" s="1743"/>
      <c r="G8879" s="1743"/>
      <c r="H8879" s="1743"/>
      <c r="K8879" s="1192" t="s">
        <v>2736</v>
      </c>
      <c r="V8879" s="1192">
        <v>411</v>
      </c>
    </row>
    <row r="8880" spans="1:22" s="1192" customFormat="1" ht="14.4" x14ac:dyDescent="0.3">
      <c r="A8880" s="1192" t="s">
        <v>416</v>
      </c>
      <c r="B8880" s="1192" t="s">
        <v>4599</v>
      </c>
      <c r="E8880" s="1743" t="s">
        <v>2508</v>
      </c>
      <c r="F8880" s="1743"/>
      <c r="G8880" s="1743"/>
      <c r="H8880" s="1743"/>
      <c r="K8880" s="1192" t="s">
        <v>2736</v>
      </c>
      <c r="V8880" s="1192">
        <v>386</v>
      </c>
    </row>
    <row r="8881" spans="1:22" s="1192" customFormat="1" ht="14.4" x14ac:dyDescent="0.3">
      <c r="A8881" s="1192" t="s">
        <v>416</v>
      </c>
      <c r="B8881" s="1192" t="s">
        <v>4599</v>
      </c>
      <c r="E8881" s="1743" t="s">
        <v>2986</v>
      </c>
      <c r="F8881" s="1743"/>
      <c r="G8881" s="1743"/>
      <c r="H8881" s="1743"/>
      <c r="K8881" s="1192" t="s">
        <v>2736</v>
      </c>
      <c r="V8881" s="1192">
        <v>246</v>
      </c>
    </row>
    <row r="8882" spans="1:22" s="1192" customFormat="1" ht="14.4" x14ac:dyDescent="0.3">
      <c r="A8882" s="1192" t="s">
        <v>416</v>
      </c>
      <c r="B8882" s="1192" t="s">
        <v>4599</v>
      </c>
      <c r="E8882" s="1750" t="s">
        <v>2394</v>
      </c>
      <c r="F8882" s="1743"/>
      <c r="G8882" s="1743"/>
      <c r="H8882" s="1743"/>
      <c r="K8882" s="1192" t="s">
        <v>2431</v>
      </c>
      <c r="V8882" s="1192">
        <v>46</v>
      </c>
    </row>
    <row r="8883" spans="1:22" s="1192" customFormat="1" ht="14.4" x14ac:dyDescent="0.3">
      <c r="A8883" s="1192" t="s">
        <v>416</v>
      </c>
      <c r="B8883" s="1192" t="s">
        <v>4599</v>
      </c>
      <c r="E8883" s="1741" t="s">
        <v>7</v>
      </c>
      <c r="F8883" s="1741"/>
      <c r="G8883" s="1255" t="s">
        <v>19</v>
      </c>
      <c r="H8883" s="1218">
        <v>7.75</v>
      </c>
      <c r="K8883" s="1192" t="s">
        <v>2736</v>
      </c>
      <c r="L8883" s="1192" t="s">
        <v>430</v>
      </c>
      <c r="P8883" s="1192" t="s">
        <v>2737</v>
      </c>
      <c r="V8883" s="1192">
        <v>14</v>
      </c>
    </row>
    <row r="8884" spans="1:22" s="1192" customFormat="1" ht="14.4" x14ac:dyDescent="0.3">
      <c r="A8884" s="1192" t="s">
        <v>416</v>
      </c>
      <c r="B8884" s="1192" t="s">
        <v>4599</v>
      </c>
      <c r="E8884" s="1741" t="s">
        <v>80</v>
      </c>
      <c r="F8884" s="1741"/>
      <c r="G8884" s="1255" t="s">
        <v>29</v>
      </c>
      <c r="H8884" s="1219">
        <v>0.69450000000000001</v>
      </c>
      <c r="K8884" s="1192" t="s">
        <v>2736</v>
      </c>
      <c r="L8884" s="1192" t="s">
        <v>430</v>
      </c>
      <c r="P8884" s="1192" t="s">
        <v>2738</v>
      </c>
      <c r="V8884" s="1192">
        <v>28</v>
      </c>
    </row>
    <row r="8885" spans="1:22" s="1192" customFormat="1" ht="14.4" x14ac:dyDescent="0.3">
      <c r="A8885" s="1192" t="s">
        <v>416</v>
      </c>
      <c r="B8885" s="1192" t="s">
        <v>4599</v>
      </c>
      <c r="E8885" s="1741" t="s">
        <v>14</v>
      </c>
      <c r="F8885" s="1741"/>
      <c r="G8885" s="1255" t="s">
        <v>29</v>
      </c>
      <c r="H8885" s="594">
        <v>0.46610000000000001</v>
      </c>
      <c r="K8885" s="1192" t="s">
        <v>2736</v>
      </c>
      <c r="L8885" s="1192" t="s">
        <v>431</v>
      </c>
      <c r="P8885" s="1192" t="s">
        <v>2739</v>
      </c>
      <c r="V8885" s="1192">
        <v>24</v>
      </c>
    </row>
    <row r="8886" spans="1:22" s="1192" customFormat="1" ht="14.4" x14ac:dyDescent="0.3">
      <c r="A8886" s="1192" t="s">
        <v>416</v>
      </c>
      <c r="B8886" s="1192" t="s">
        <v>4599</v>
      </c>
      <c r="E8886" s="1741" t="s">
        <v>6506</v>
      </c>
      <c r="F8886" s="1998"/>
      <c r="G8886" s="1255" t="s">
        <v>20</v>
      </c>
      <c r="H8886" s="594">
        <v>-8.9999999999999998E-4</v>
      </c>
      <c r="K8886" s="1192" t="s">
        <v>2736</v>
      </c>
      <c r="L8886" s="1192" t="s">
        <v>431</v>
      </c>
      <c r="P8886" s="1192" t="s">
        <v>3268</v>
      </c>
      <c r="T8886" s="1192">
        <v>44316</v>
      </c>
      <c r="V8886" s="1192">
        <v>139</v>
      </c>
    </row>
    <row r="8887" spans="1:22" s="1192" customFormat="1" ht="14.4" x14ac:dyDescent="0.3">
      <c r="A8887" s="1192" t="s">
        <v>416</v>
      </c>
      <c r="B8887" s="1192" t="s">
        <v>4599</v>
      </c>
      <c r="E8887" s="1741" t="s">
        <v>6508</v>
      </c>
      <c r="F8887" s="1998"/>
      <c r="G8887" s="1255" t="s">
        <v>29</v>
      </c>
      <c r="H8887" s="594">
        <v>0.59640000000000004</v>
      </c>
      <c r="K8887" s="1192" t="s">
        <v>2736</v>
      </c>
      <c r="L8887" s="1192" t="s">
        <v>431</v>
      </c>
      <c r="P8887" s="1192" t="s">
        <v>3034</v>
      </c>
      <c r="T8887" s="1192">
        <v>44316</v>
      </c>
      <c r="V8887" s="1192">
        <v>96</v>
      </c>
    </row>
    <row r="8888" spans="1:22" s="1192" customFormat="1" ht="14.4" x14ac:dyDescent="0.3">
      <c r="A8888" s="1192" t="s">
        <v>416</v>
      </c>
      <c r="B8888" s="1192" t="s">
        <v>4599</v>
      </c>
      <c r="E8888" s="1741" t="s">
        <v>213</v>
      </c>
      <c r="F8888" s="1741"/>
      <c r="G8888" s="1255" t="s">
        <v>29</v>
      </c>
      <c r="H8888" s="1219">
        <v>1.9729000000000001</v>
      </c>
      <c r="K8888" s="1192" t="s">
        <v>2736</v>
      </c>
      <c r="L8888" s="1192" t="s">
        <v>432</v>
      </c>
      <c r="P8888" s="1192" t="s">
        <v>2741</v>
      </c>
      <c r="V8888" s="1192">
        <v>47</v>
      </c>
    </row>
    <row r="8889" spans="1:22" s="1192" customFormat="1" ht="14.4" x14ac:dyDescent="0.3">
      <c r="A8889" s="1192" t="s">
        <v>416</v>
      </c>
      <c r="B8889" s="1192" t="s">
        <v>4599</v>
      </c>
      <c r="E8889" s="1741" t="s">
        <v>209</v>
      </c>
      <c r="F8889" s="1741"/>
      <c r="G8889" s="1255" t="s">
        <v>29</v>
      </c>
      <c r="H8889" s="1219">
        <v>1.6868000000000001</v>
      </c>
      <c r="K8889" s="1192" t="s">
        <v>2736</v>
      </c>
      <c r="L8889" s="1192" t="s">
        <v>432</v>
      </c>
      <c r="P8889" s="1192" t="s">
        <v>2742</v>
      </c>
      <c r="V8889" s="1192">
        <v>74</v>
      </c>
    </row>
    <row r="8890" spans="1:22" s="1192" customFormat="1" ht="14.4" x14ac:dyDescent="0.3">
      <c r="A8890" s="1192" t="s">
        <v>416</v>
      </c>
      <c r="B8890" s="1192" t="s">
        <v>4599</v>
      </c>
      <c r="E8890" s="1750" t="s">
        <v>2405</v>
      </c>
      <c r="F8890" s="1741"/>
      <c r="G8890" s="1741"/>
      <c r="H8890" s="1741"/>
      <c r="K8890" s="1192" t="s">
        <v>2438</v>
      </c>
      <c r="V8890" s="1192">
        <v>48</v>
      </c>
    </row>
    <row r="8891" spans="1:22" s="1192" customFormat="1" ht="14.4" x14ac:dyDescent="0.3">
      <c r="A8891" s="1192" t="s">
        <v>416</v>
      </c>
      <c r="B8891" s="1192" t="s">
        <v>4599</v>
      </c>
      <c r="E8891" s="1741" t="s">
        <v>2033</v>
      </c>
      <c r="F8891" s="1741"/>
      <c r="G8891" s="1255" t="s">
        <v>20</v>
      </c>
      <c r="H8891" s="594">
        <v>3.0000000000000001E-3</v>
      </c>
      <c r="K8891" s="1192" t="s">
        <v>2736</v>
      </c>
      <c r="L8891" s="1192" t="s">
        <v>2374</v>
      </c>
      <c r="P8891" s="1192" t="s">
        <v>2743</v>
      </c>
      <c r="V8891" s="1192">
        <v>55</v>
      </c>
    </row>
    <row r="8892" spans="1:22" s="1192" customFormat="1" ht="14.4" x14ac:dyDescent="0.3">
      <c r="A8892" s="1192" t="s">
        <v>416</v>
      </c>
      <c r="B8892" s="1192" t="s">
        <v>4599</v>
      </c>
      <c r="E8892" s="1741" t="s">
        <v>2034</v>
      </c>
      <c r="F8892" s="1741"/>
      <c r="G8892" s="1255" t="s">
        <v>20</v>
      </c>
      <c r="H8892" s="594">
        <v>4.0000000000000002E-4</v>
      </c>
      <c r="K8892" s="1192" t="s">
        <v>2736</v>
      </c>
      <c r="L8892" s="1192" t="s">
        <v>2374</v>
      </c>
      <c r="P8892" s="1192" t="s">
        <v>2743</v>
      </c>
      <c r="V8892" s="1192">
        <v>65</v>
      </c>
    </row>
    <row r="8893" spans="1:22" s="1192" customFormat="1" ht="14.4" x14ac:dyDescent="0.3">
      <c r="A8893" s="1192" t="s">
        <v>416</v>
      </c>
      <c r="B8893" s="1192" t="s">
        <v>4599</v>
      </c>
      <c r="E8893" s="1741" t="s">
        <v>428</v>
      </c>
      <c r="F8893" s="1741"/>
      <c r="G8893" s="1255" t="s">
        <v>20</v>
      </c>
      <c r="H8893" s="594">
        <v>5.0000000000000001E-4</v>
      </c>
      <c r="K8893" s="1192" t="s">
        <v>2736</v>
      </c>
      <c r="L8893" s="1192" t="s">
        <v>2374</v>
      </c>
      <c r="P8893" s="1192" t="s">
        <v>2744</v>
      </c>
      <c r="V8893" s="1192">
        <v>57</v>
      </c>
    </row>
    <row r="8894" spans="1:22" s="1192" customFormat="1" ht="14.4" x14ac:dyDescent="0.3">
      <c r="A8894" s="1192" t="s">
        <v>416</v>
      </c>
      <c r="B8894" s="1192" t="s">
        <v>4599</v>
      </c>
      <c r="E8894" s="1741" t="s">
        <v>28</v>
      </c>
      <c r="F8894" s="1741"/>
      <c r="G8894" s="1255" t="s">
        <v>19</v>
      </c>
      <c r="H8894" s="595">
        <v>0.25</v>
      </c>
      <c r="K8894" s="1192" t="s">
        <v>2736</v>
      </c>
      <c r="L8894" s="1192" t="s">
        <v>2374</v>
      </c>
      <c r="P8894" s="1192" t="s">
        <v>2745</v>
      </c>
      <c r="V8894" s="1192">
        <v>63</v>
      </c>
    </row>
    <row r="8895" spans="1:22" s="1192" customFormat="1" ht="17.399999999999999" x14ac:dyDescent="0.3">
      <c r="A8895" s="1192" t="s">
        <v>416</v>
      </c>
      <c r="B8895" s="1192" t="s">
        <v>4599</v>
      </c>
      <c r="E8895" s="1746" t="s">
        <v>590</v>
      </c>
      <c r="F8895" s="1747"/>
      <c r="G8895" s="1747"/>
      <c r="H8895" s="1747"/>
      <c r="K8895" s="1192" t="s">
        <v>2746</v>
      </c>
      <c r="V8895" s="1192">
        <v>38</v>
      </c>
    </row>
    <row r="8896" spans="1:22" s="1192" customFormat="1" ht="14.4" x14ac:dyDescent="0.3">
      <c r="A8896" s="1192" t="s">
        <v>416</v>
      </c>
      <c r="B8896" s="1192" t="s">
        <v>4599</v>
      </c>
      <c r="E8896" s="1743" t="s">
        <v>3180</v>
      </c>
      <c r="F8896" s="1743"/>
      <c r="G8896" s="1743"/>
      <c r="H8896" s="1743"/>
      <c r="K8896" s="1192" t="s">
        <v>2746</v>
      </c>
      <c r="V8896" s="1192">
        <v>542</v>
      </c>
    </row>
    <row r="8897" spans="1:22" s="1192" customFormat="1" ht="14.4" x14ac:dyDescent="0.3">
      <c r="A8897" s="1192" t="s">
        <v>416</v>
      </c>
      <c r="B8897" s="1192" t="s">
        <v>4599</v>
      </c>
      <c r="E8897" s="1750" t="s">
        <v>2389</v>
      </c>
      <c r="F8897" s="1743"/>
      <c r="G8897" s="1743"/>
      <c r="H8897" s="1743"/>
      <c r="K8897" s="1192" t="s">
        <v>2444</v>
      </c>
      <c r="V8897" s="1192">
        <v>11</v>
      </c>
    </row>
    <row r="8898" spans="1:22" s="1192" customFormat="1" ht="14.4" x14ac:dyDescent="0.3">
      <c r="A8898" s="1192" t="s">
        <v>416</v>
      </c>
      <c r="B8898" s="1192" t="s">
        <v>4599</v>
      </c>
      <c r="E8898" s="1743" t="s">
        <v>2391</v>
      </c>
      <c r="F8898" s="1743"/>
      <c r="G8898" s="1743"/>
      <c r="H8898" s="1743"/>
      <c r="K8898" s="1192" t="s">
        <v>2746</v>
      </c>
      <c r="V8898" s="1192">
        <v>280</v>
      </c>
    </row>
    <row r="8899" spans="1:22" s="1192" customFormat="1" ht="14.4" x14ac:dyDescent="0.3">
      <c r="A8899" s="1192" t="s">
        <v>416</v>
      </c>
      <c r="B8899" s="1192" t="s">
        <v>4599</v>
      </c>
      <c r="E8899" s="1743" t="s">
        <v>2392</v>
      </c>
      <c r="F8899" s="1743"/>
      <c r="G8899" s="1743"/>
      <c r="H8899" s="1743"/>
      <c r="K8899" s="1192" t="s">
        <v>2746</v>
      </c>
      <c r="V8899" s="1192">
        <v>411</v>
      </c>
    </row>
    <row r="8900" spans="1:22" s="1192" customFormat="1" ht="14.4" x14ac:dyDescent="0.3">
      <c r="A8900" s="1192" t="s">
        <v>416</v>
      </c>
      <c r="B8900" s="1192" t="s">
        <v>4599</v>
      </c>
      <c r="E8900" s="1743" t="s">
        <v>2508</v>
      </c>
      <c r="F8900" s="1743"/>
      <c r="G8900" s="1743"/>
      <c r="H8900" s="1743"/>
      <c r="K8900" s="1192" t="s">
        <v>2746</v>
      </c>
      <c r="V8900" s="1192">
        <v>386</v>
      </c>
    </row>
    <row r="8901" spans="1:22" s="1192" customFormat="1" ht="14.4" x14ac:dyDescent="0.3">
      <c r="A8901" s="1192" t="s">
        <v>416</v>
      </c>
      <c r="B8901" s="1192" t="s">
        <v>4599</v>
      </c>
      <c r="E8901" s="1743" t="s">
        <v>2986</v>
      </c>
      <c r="F8901" s="1743"/>
      <c r="G8901" s="1743"/>
      <c r="H8901" s="1743"/>
      <c r="K8901" s="1192" t="s">
        <v>2746</v>
      </c>
      <c r="V8901" s="1192">
        <v>246</v>
      </c>
    </row>
    <row r="8902" spans="1:22" s="1192" customFormat="1" ht="14.4" x14ac:dyDescent="0.3">
      <c r="A8902" s="1192" t="s">
        <v>416</v>
      </c>
      <c r="B8902" s="1192" t="s">
        <v>4599</v>
      </c>
      <c r="E8902" s="1750" t="s">
        <v>2394</v>
      </c>
      <c r="F8902" s="1743"/>
      <c r="G8902" s="1743"/>
      <c r="H8902" s="1743"/>
      <c r="K8902" s="1192" t="s">
        <v>2446</v>
      </c>
      <c r="V8902" s="1192">
        <v>46</v>
      </c>
    </row>
    <row r="8903" spans="1:22" s="1192" customFormat="1" ht="14.4" x14ac:dyDescent="0.3">
      <c r="A8903" s="1192" t="s">
        <v>416</v>
      </c>
      <c r="B8903" s="1192" t="s">
        <v>4599</v>
      </c>
      <c r="E8903" s="1741" t="s">
        <v>7</v>
      </c>
      <c r="F8903" s="1741"/>
      <c r="G8903" s="1255" t="s">
        <v>19</v>
      </c>
      <c r="H8903" s="1218">
        <v>1.18</v>
      </c>
      <c r="K8903" s="1192" t="s">
        <v>2746</v>
      </c>
      <c r="L8903" s="1192" t="s">
        <v>430</v>
      </c>
      <c r="P8903" s="1192" t="s">
        <v>2747</v>
      </c>
      <c r="V8903" s="1192">
        <v>14</v>
      </c>
    </row>
    <row r="8904" spans="1:22" s="1192" customFormat="1" ht="14.4" x14ac:dyDescent="0.3">
      <c r="A8904" s="1192" t="s">
        <v>416</v>
      </c>
      <c r="B8904" s="1192" t="s">
        <v>4599</v>
      </c>
      <c r="E8904" s="1741" t="s">
        <v>80</v>
      </c>
      <c r="F8904" s="1741"/>
      <c r="G8904" s="1255" t="s">
        <v>29</v>
      </c>
      <c r="H8904" s="1219">
        <v>0.99039999999999995</v>
      </c>
      <c r="K8904" s="1192" t="s">
        <v>2746</v>
      </c>
      <c r="L8904" s="1192" t="s">
        <v>430</v>
      </c>
      <c r="P8904" s="1192" t="s">
        <v>2748</v>
      </c>
      <c r="V8904" s="1192">
        <v>28</v>
      </c>
    </row>
    <row r="8905" spans="1:22" s="1192" customFormat="1" ht="14.4" x14ac:dyDescent="0.3">
      <c r="A8905" s="1192" t="s">
        <v>416</v>
      </c>
      <c r="B8905" s="1192" t="s">
        <v>4599</v>
      </c>
      <c r="E8905" s="1741" t="s">
        <v>14</v>
      </c>
      <c r="F8905" s="1741"/>
      <c r="G8905" s="1255" t="s">
        <v>29</v>
      </c>
      <c r="H8905" s="594">
        <v>0.45519999999999999</v>
      </c>
      <c r="K8905" s="1192" t="s">
        <v>2746</v>
      </c>
      <c r="L8905" s="1192" t="s">
        <v>431</v>
      </c>
      <c r="P8905" s="1192" t="s">
        <v>2749</v>
      </c>
      <c r="V8905" s="1192">
        <v>24</v>
      </c>
    </row>
    <row r="8906" spans="1:22" s="1192" customFormat="1" ht="14.4" x14ac:dyDescent="0.3">
      <c r="A8906" s="1192" t="s">
        <v>416</v>
      </c>
      <c r="B8906" s="1192" t="s">
        <v>4599</v>
      </c>
      <c r="E8906" s="1741" t="s">
        <v>6506</v>
      </c>
      <c r="F8906" s="1998"/>
      <c r="G8906" s="1255" t="s">
        <v>20</v>
      </c>
      <c r="H8906" s="594">
        <v>-8.9999999999999998E-4</v>
      </c>
      <c r="K8906" s="1192" t="s">
        <v>2746</v>
      </c>
      <c r="L8906" s="1192" t="s">
        <v>431</v>
      </c>
      <c r="P8906" s="1192" t="s">
        <v>3270</v>
      </c>
      <c r="T8906" s="1192">
        <v>44316</v>
      </c>
      <c r="V8906" s="1192">
        <v>139</v>
      </c>
    </row>
    <row r="8907" spans="1:22" s="1192" customFormat="1" ht="14.4" x14ac:dyDescent="0.3">
      <c r="A8907" s="1192" t="s">
        <v>416</v>
      </c>
      <c r="B8907" s="1192" t="s">
        <v>4599</v>
      </c>
      <c r="E8907" s="1741" t="s">
        <v>6546</v>
      </c>
      <c r="F8907" s="1998"/>
      <c r="G8907" s="1255" t="s">
        <v>29</v>
      </c>
      <c r="H8907" s="594">
        <v>0.92520000000000002</v>
      </c>
      <c r="K8907" s="1192" t="s">
        <v>2746</v>
      </c>
      <c r="L8907" s="1192" t="s">
        <v>430</v>
      </c>
      <c r="P8907" s="1192" t="s">
        <v>2750</v>
      </c>
      <c r="T8907" s="1192">
        <v>44316</v>
      </c>
      <c r="V8907" s="1192">
        <v>135</v>
      </c>
    </row>
    <row r="8908" spans="1:22" s="1192" customFormat="1" ht="14.4" x14ac:dyDescent="0.3">
      <c r="A8908" s="1192" t="s">
        <v>416</v>
      </c>
      <c r="B8908" s="1192" t="s">
        <v>4599</v>
      </c>
      <c r="E8908" s="1741" t="s">
        <v>6508</v>
      </c>
      <c r="F8908" s="1998"/>
      <c r="G8908" s="1255" t="s">
        <v>29</v>
      </c>
      <c r="H8908" s="594">
        <v>0.57550000000000001</v>
      </c>
      <c r="K8908" s="1192" t="s">
        <v>2746</v>
      </c>
      <c r="L8908" s="1192" t="s">
        <v>431</v>
      </c>
      <c r="P8908" s="1192" t="s">
        <v>3036</v>
      </c>
      <c r="T8908" s="1192">
        <v>44316</v>
      </c>
      <c r="V8908" s="1192">
        <v>96</v>
      </c>
    </row>
    <row r="8909" spans="1:22" s="1192" customFormat="1" ht="14.4" x14ac:dyDescent="0.3">
      <c r="A8909" s="1192" t="s">
        <v>416</v>
      </c>
      <c r="B8909" s="1192" t="s">
        <v>4599</v>
      </c>
      <c r="E8909" s="1741" t="s">
        <v>213</v>
      </c>
      <c r="F8909" s="1741"/>
      <c r="G8909" s="1255" t="s">
        <v>29</v>
      </c>
      <c r="H8909" s="1219">
        <v>1.9527000000000001</v>
      </c>
      <c r="K8909" s="1192" t="s">
        <v>2746</v>
      </c>
      <c r="L8909" s="1192" t="s">
        <v>432</v>
      </c>
      <c r="P8909" s="1192" t="s">
        <v>2751</v>
      </c>
      <c r="V8909" s="1192">
        <v>47</v>
      </c>
    </row>
    <row r="8910" spans="1:22" s="1192" customFormat="1" ht="14.4" x14ac:dyDescent="0.3">
      <c r="A8910" s="1192" t="s">
        <v>416</v>
      </c>
      <c r="B8910" s="1192" t="s">
        <v>4599</v>
      </c>
      <c r="E8910" s="1741" t="s">
        <v>209</v>
      </c>
      <c r="F8910" s="1741"/>
      <c r="G8910" s="1255" t="s">
        <v>29</v>
      </c>
      <c r="H8910" s="1219">
        <v>1.6475</v>
      </c>
      <c r="K8910" s="1192" t="s">
        <v>2746</v>
      </c>
      <c r="L8910" s="1192" t="s">
        <v>432</v>
      </c>
      <c r="P8910" s="1192" t="s">
        <v>2752</v>
      </c>
      <c r="V8910" s="1192">
        <v>74</v>
      </c>
    </row>
    <row r="8911" spans="1:22" s="1192" customFormat="1" ht="14.4" x14ac:dyDescent="0.3">
      <c r="A8911" s="1192" t="s">
        <v>416</v>
      </c>
      <c r="B8911" s="1192" t="s">
        <v>4599</v>
      </c>
      <c r="E8911" s="1750" t="s">
        <v>2405</v>
      </c>
      <c r="F8911" s="1741"/>
      <c r="G8911" s="1741"/>
      <c r="H8911" s="1741"/>
      <c r="K8911" s="1192" t="s">
        <v>2565</v>
      </c>
      <c r="V8911" s="1192">
        <v>48</v>
      </c>
    </row>
    <row r="8912" spans="1:22" s="1192" customFormat="1" ht="14.4" x14ac:dyDescent="0.3">
      <c r="A8912" s="1192" t="s">
        <v>416</v>
      </c>
      <c r="B8912" s="1192" t="s">
        <v>4599</v>
      </c>
      <c r="E8912" s="1741" t="s">
        <v>2033</v>
      </c>
      <c r="F8912" s="1741"/>
      <c r="G8912" s="1255" t="s">
        <v>20</v>
      </c>
      <c r="H8912" s="594">
        <v>3.0000000000000001E-3</v>
      </c>
      <c r="K8912" s="1192" t="s">
        <v>2746</v>
      </c>
      <c r="L8912" s="1192" t="s">
        <v>2374</v>
      </c>
      <c r="P8912" s="1192" t="s">
        <v>2753</v>
      </c>
      <c r="V8912" s="1192">
        <v>55</v>
      </c>
    </row>
    <row r="8913" spans="1:22" s="1192" customFormat="1" ht="14.4" x14ac:dyDescent="0.3">
      <c r="A8913" s="1192" t="s">
        <v>416</v>
      </c>
      <c r="B8913" s="1192" t="s">
        <v>4599</v>
      </c>
      <c r="E8913" s="1741" t="s">
        <v>2034</v>
      </c>
      <c r="F8913" s="1741"/>
      <c r="G8913" s="1255" t="s">
        <v>20</v>
      </c>
      <c r="H8913" s="594">
        <v>4.0000000000000002E-4</v>
      </c>
      <c r="K8913" s="1192" t="s">
        <v>2746</v>
      </c>
      <c r="L8913" s="1192" t="s">
        <v>2374</v>
      </c>
      <c r="P8913" s="1192" t="s">
        <v>2753</v>
      </c>
      <c r="V8913" s="1192">
        <v>65</v>
      </c>
    </row>
    <row r="8914" spans="1:22" s="1192" customFormat="1" ht="14.4" x14ac:dyDescent="0.3">
      <c r="A8914" s="1192" t="s">
        <v>416</v>
      </c>
      <c r="B8914" s="1192" t="s">
        <v>4599</v>
      </c>
      <c r="E8914" s="1741" t="s">
        <v>428</v>
      </c>
      <c r="F8914" s="1741"/>
      <c r="G8914" s="1255" t="s">
        <v>20</v>
      </c>
      <c r="H8914" s="594">
        <v>5.0000000000000001E-4</v>
      </c>
      <c r="K8914" s="1192" t="s">
        <v>2746</v>
      </c>
      <c r="L8914" s="1192" t="s">
        <v>2374</v>
      </c>
      <c r="P8914" s="1192" t="s">
        <v>2754</v>
      </c>
      <c r="V8914" s="1192">
        <v>57</v>
      </c>
    </row>
    <row r="8915" spans="1:22" s="1192" customFormat="1" ht="14.4" x14ac:dyDescent="0.3">
      <c r="A8915" s="1192" t="s">
        <v>416</v>
      </c>
      <c r="B8915" s="1192" t="s">
        <v>4599</v>
      </c>
      <c r="E8915" s="1741" t="s">
        <v>28</v>
      </c>
      <c r="F8915" s="1741"/>
      <c r="G8915" s="1255" t="s">
        <v>19</v>
      </c>
      <c r="H8915" s="595">
        <v>0.25</v>
      </c>
      <c r="K8915" s="1192" t="s">
        <v>2746</v>
      </c>
      <c r="L8915" s="1192" t="s">
        <v>2374</v>
      </c>
      <c r="P8915" s="1192" t="s">
        <v>2755</v>
      </c>
      <c r="V8915" s="1192">
        <v>63</v>
      </c>
    </row>
    <row r="8916" spans="1:22" s="1192" customFormat="1" ht="17.399999999999999" x14ac:dyDescent="0.3">
      <c r="A8916" s="1192" t="s">
        <v>416</v>
      </c>
      <c r="B8916" s="1192" t="s">
        <v>4599</v>
      </c>
      <c r="E8916" s="1746" t="s">
        <v>597</v>
      </c>
      <c r="F8916" s="1747"/>
      <c r="G8916" s="1747"/>
      <c r="H8916" s="1747"/>
      <c r="K8916" s="1192" t="s">
        <v>2835</v>
      </c>
      <c r="V8916" s="1192">
        <v>43</v>
      </c>
    </row>
    <row r="8917" spans="1:22" s="1192" customFormat="1" ht="14.4" x14ac:dyDescent="0.3">
      <c r="A8917" s="1192" t="s">
        <v>416</v>
      </c>
      <c r="B8917" s="1192" t="s">
        <v>4599</v>
      </c>
      <c r="E8917" s="1743" t="s">
        <v>2649</v>
      </c>
      <c r="F8917" s="1743"/>
      <c r="G8917" s="1743"/>
      <c r="H8917" s="1743"/>
      <c r="K8917" s="1192" t="s">
        <v>2835</v>
      </c>
      <c r="V8917" s="1192">
        <v>250</v>
      </c>
    </row>
    <row r="8918" spans="1:22" s="1192" customFormat="1" ht="14.4" x14ac:dyDescent="0.3">
      <c r="A8918" s="1192" t="s">
        <v>416</v>
      </c>
      <c r="B8918" s="1192" t="s">
        <v>4599</v>
      </c>
      <c r="E8918" s="1750" t="s">
        <v>2389</v>
      </c>
      <c r="F8918" s="1743"/>
      <c r="G8918" s="1743"/>
      <c r="H8918" s="1743"/>
      <c r="K8918" s="1192" t="s">
        <v>2571</v>
      </c>
      <c r="V8918" s="1192">
        <v>11</v>
      </c>
    </row>
    <row r="8919" spans="1:22" s="1192" customFormat="1" ht="14.4" x14ac:dyDescent="0.3">
      <c r="A8919" s="1192" t="s">
        <v>416</v>
      </c>
      <c r="B8919" s="1192" t="s">
        <v>4599</v>
      </c>
      <c r="E8919" s="1743" t="s">
        <v>2391</v>
      </c>
      <c r="F8919" s="1743"/>
      <c r="G8919" s="1743"/>
      <c r="H8919" s="1743"/>
      <c r="K8919" s="1192" t="s">
        <v>2835</v>
      </c>
      <c r="V8919" s="1192">
        <v>280</v>
      </c>
    </row>
    <row r="8920" spans="1:22" s="1192" customFormat="1" ht="14.4" x14ac:dyDescent="0.3">
      <c r="A8920" s="1192" t="s">
        <v>416</v>
      </c>
      <c r="B8920" s="1192" t="s">
        <v>4599</v>
      </c>
      <c r="E8920" s="1743" t="s">
        <v>2392</v>
      </c>
      <c r="F8920" s="1743"/>
      <c r="G8920" s="1743"/>
      <c r="H8920" s="1743"/>
      <c r="K8920" s="1192" t="s">
        <v>2835</v>
      </c>
      <c r="V8920" s="1192">
        <v>411</v>
      </c>
    </row>
    <row r="8921" spans="1:22" s="1192" customFormat="1" ht="14.4" x14ac:dyDescent="0.3">
      <c r="A8921" s="1192" t="s">
        <v>416</v>
      </c>
      <c r="B8921" s="1192" t="s">
        <v>4599</v>
      </c>
      <c r="E8921" s="1743" t="s">
        <v>2508</v>
      </c>
      <c r="F8921" s="1743"/>
      <c r="G8921" s="1743"/>
      <c r="H8921" s="1743"/>
      <c r="K8921" s="1192" t="s">
        <v>2835</v>
      </c>
      <c r="V8921" s="1192">
        <v>386</v>
      </c>
    </row>
    <row r="8922" spans="1:22" s="1192" customFormat="1" ht="14.4" x14ac:dyDescent="0.3">
      <c r="A8922" s="1192" t="s">
        <v>416</v>
      </c>
      <c r="B8922" s="1192" t="s">
        <v>4599</v>
      </c>
      <c r="E8922" s="1743" t="s">
        <v>2986</v>
      </c>
      <c r="F8922" s="1743"/>
      <c r="G8922" s="1743"/>
      <c r="H8922" s="1743"/>
      <c r="K8922" s="1192" t="s">
        <v>2835</v>
      </c>
      <c r="V8922" s="1192">
        <v>246</v>
      </c>
    </row>
    <row r="8923" spans="1:22" s="1192" customFormat="1" ht="14.4" x14ac:dyDescent="0.3">
      <c r="A8923" s="1192" t="s">
        <v>416</v>
      </c>
      <c r="B8923" s="1192" t="s">
        <v>4599</v>
      </c>
      <c r="E8923" s="1750" t="s">
        <v>2394</v>
      </c>
      <c r="F8923" s="1743"/>
      <c r="G8923" s="1743"/>
      <c r="H8923" s="1743"/>
      <c r="K8923" s="1192" t="s">
        <v>2572</v>
      </c>
      <c r="V8923" s="1192">
        <v>46</v>
      </c>
    </row>
    <row r="8924" spans="1:22" s="1192" customFormat="1" ht="14.4" x14ac:dyDescent="0.3">
      <c r="A8924" s="1192" t="s">
        <v>416</v>
      </c>
      <c r="B8924" s="1192" t="s">
        <v>4599</v>
      </c>
      <c r="E8924" s="1741" t="s">
        <v>7</v>
      </c>
      <c r="F8924" s="1741"/>
      <c r="G8924" s="1255" t="s">
        <v>19</v>
      </c>
      <c r="H8924" s="1218">
        <v>136.77000000000001</v>
      </c>
      <c r="K8924" s="1192" t="s">
        <v>2835</v>
      </c>
      <c r="L8924" s="1192" t="s">
        <v>430</v>
      </c>
      <c r="P8924" s="1192" t="s">
        <v>3418</v>
      </c>
      <c r="V8924" s="1192">
        <v>14</v>
      </c>
    </row>
    <row r="8925" spans="1:22" s="1192" customFormat="1" ht="14.4" x14ac:dyDescent="0.3">
      <c r="A8925" s="1192" t="s">
        <v>416</v>
      </c>
      <c r="B8925" s="1192" t="s">
        <v>4599</v>
      </c>
      <c r="E8925" s="1741" t="s">
        <v>14</v>
      </c>
      <c r="F8925" s="1741"/>
      <c r="G8925" s="1255" t="s">
        <v>29</v>
      </c>
      <c r="H8925" s="594">
        <v>0.62009999999999998</v>
      </c>
      <c r="K8925" s="1192" t="s">
        <v>2835</v>
      </c>
      <c r="L8925" s="1192" t="s">
        <v>431</v>
      </c>
      <c r="P8925" s="1192" t="s">
        <v>3419</v>
      </c>
      <c r="V8925" s="1192">
        <v>24</v>
      </c>
    </row>
    <row r="8926" spans="1:22" s="1192" customFormat="1" ht="14.4" x14ac:dyDescent="0.3">
      <c r="A8926" s="1192" t="s">
        <v>416</v>
      </c>
      <c r="B8926" s="1192" t="s">
        <v>4599</v>
      </c>
      <c r="E8926" s="1741" t="s">
        <v>6506</v>
      </c>
      <c r="F8926" s="1998"/>
      <c r="G8926" s="1255" t="s">
        <v>20</v>
      </c>
      <c r="H8926" s="594">
        <v>-8.9999999999999998E-4</v>
      </c>
      <c r="K8926" s="1192" t="s">
        <v>2835</v>
      </c>
      <c r="L8926" s="1192" t="s">
        <v>431</v>
      </c>
      <c r="P8926" s="1192" t="s">
        <v>3420</v>
      </c>
      <c r="T8926" s="1192">
        <v>44316</v>
      </c>
      <c r="V8926" s="1192">
        <v>139</v>
      </c>
    </row>
    <row r="8927" spans="1:22" s="1192" customFormat="1" ht="14.4" x14ac:dyDescent="0.3">
      <c r="A8927" s="1192" t="s">
        <v>416</v>
      </c>
      <c r="B8927" s="1192" t="s">
        <v>4599</v>
      </c>
      <c r="E8927" s="1741" t="s">
        <v>6508</v>
      </c>
      <c r="F8927" s="1998"/>
      <c r="G8927" s="1255" t="s">
        <v>29</v>
      </c>
      <c r="H8927" s="594">
        <v>0.75209999999999999</v>
      </c>
      <c r="K8927" s="1192" t="s">
        <v>2835</v>
      </c>
      <c r="L8927" s="1192" t="s">
        <v>431</v>
      </c>
      <c r="P8927" s="1192" t="s">
        <v>3421</v>
      </c>
      <c r="T8927" s="1192">
        <v>44316</v>
      </c>
      <c r="V8927" s="1192">
        <v>96</v>
      </c>
    </row>
    <row r="8928" spans="1:22" s="1192" customFormat="1" ht="14.4" x14ac:dyDescent="0.3">
      <c r="A8928" s="1192" t="s">
        <v>416</v>
      </c>
      <c r="B8928" s="1192" t="s">
        <v>4599</v>
      </c>
      <c r="E8928" s="1741" t="s">
        <v>213</v>
      </c>
      <c r="F8928" s="1741"/>
      <c r="G8928" s="1255" t="s">
        <v>29</v>
      </c>
      <c r="H8928" s="1219">
        <v>2.6857000000000002</v>
      </c>
      <c r="K8928" s="1192" t="s">
        <v>2835</v>
      </c>
      <c r="L8928" s="1192" t="s">
        <v>432</v>
      </c>
      <c r="P8928" s="1192" t="s">
        <v>2836</v>
      </c>
      <c r="V8928" s="1192">
        <v>47</v>
      </c>
    </row>
    <row r="8929" spans="1:22" s="1192" customFormat="1" ht="14.4" x14ac:dyDescent="0.3">
      <c r="A8929" s="1192" t="s">
        <v>416</v>
      </c>
      <c r="B8929" s="1192" t="s">
        <v>4599</v>
      </c>
      <c r="E8929" s="1741" t="s">
        <v>209</v>
      </c>
      <c r="F8929" s="1741"/>
      <c r="G8929" s="1255" t="s">
        <v>29</v>
      </c>
      <c r="H8929" s="1219">
        <v>2.2443</v>
      </c>
      <c r="K8929" s="1192" t="s">
        <v>2835</v>
      </c>
      <c r="L8929" s="1192" t="s">
        <v>432</v>
      </c>
      <c r="P8929" s="1192" t="s">
        <v>2837</v>
      </c>
      <c r="V8929" s="1192">
        <v>74</v>
      </c>
    </row>
    <row r="8930" spans="1:22" s="1192" customFormat="1" ht="14.4" x14ac:dyDescent="0.3">
      <c r="A8930" s="1192" t="s">
        <v>416</v>
      </c>
      <c r="B8930" s="1192" t="s">
        <v>4599</v>
      </c>
      <c r="E8930" s="1750" t="s">
        <v>2405</v>
      </c>
      <c r="F8930" s="1741"/>
      <c r="G8930" s="1741"/>
      <c r="H8930" s="1741"/>
      <c r="K8930" s="1192" t="s">
        <v>2581</v>
      </c>
      <c r="V8930" s="1192">
        <v>48</v>
      </c>
    </row>
    <row r="8931" spans="1:22" s="1192" customFormat="1" ht="14.4" x14ac:dyDescent="0.3">
      <c r="A8931" s="1192" t="s">
        <v>416</v>
      </c>
      <c r="B8931" s="1192" t="s">
        <v>4599</v>
      </c>
      <c r="E8931" s="1741" t="s">
        <v>2033</v>
      </c>
      <c r="F8931" s="1741"/>
      <c r="G8931" s="1255" t="s">
        <v>20</v>
      </c>
      <c r="H8931" s="594">
        <v>3.0000000000000001E-3</v>
      </c>
      <c r="K8931" s="1192" t="s">
        <v>2835</v>
      </c>
      <c r="L8931" s="1192" t="s">
        <v>2374</v>
      </c>
      <c r="P8931" s="1192" t="s">
        <v>2838</v>
      </c>
      <c r="V8931" s="1192">
        <v>55</v>
      </c>
    </row>
    <row r="8932" spans="1:22" s="1192" customFormat="1" ht="14.4" x14ac:dyDescent="0.3">
      <c r="A8932" s="1192" t="s">
        <v>416</v>
      </c>
      <c r="B8932" s="1192" t="s">
        <v>4599</v>
      </c>
      <c r="E8932" s="1741" t="s">
        <v>2034</v>
      </c>
      <c r="F8932" s="1741"/>
      <c r="G8932" s="1255" t="s">
        <v>20</v>
      </c>
      <c r="H8932" s="594">
        <v>4.0000000000000002E-4</v>
      </c>
      <c r="K8932" s="1192" t="s">
        <v>2835</v>
      </c>
      <c r="L8932" s="1192" t="s">
        <v>2374</v>
      </c>
      <c r="P8932" s="1192" t="s">
        <v>2838</v>
      </c>
      <c r="V8932" s="1192">
        <v>65</v>
      </c>
    </row>
    <row r="8933" spans="1:22" s="1192" customFormat="1" ht="14.4" x14ac:dyDescent="0.3">
      <c r="A8933" s="1192" t="s">
        <v>416</v>
      </c>
      <c r="B8933" s="1192" t="s">
        <v>4599</v>
      </c>
      <c r="E8933" s="1741" t="s">
        <v>428</v>
      </c>
      <c r="F8933" s="1741"/>
      <c r="G8933" s="1255" t="s">
        <v>20</v>
      </c>
      <c r="H8933" s="594">
        <v>5.0000000000000001E-4</v>
      </c>
      <c r="K8933" s="1192" t="s">
        <v>2835</v>
      </c>
      <c r="L8933" s="1192" t="s">
        <v>2374</v>
      </c>
      <c r="P8933" s="1192" t="s">
        <v>2839</v>
      </c>
      <c r="V8933" s="1192">
        <v>57</v>
      </c>
    </row>
    <row r="8934" spans="1:22" s="1192" customFormat="1" ht="14.4" x14ac:dyDescent="0.3">
      <c r="A8934" s="1192" t="s">
        <v>416</v>
      </c>
      <c r="B8934" s="1192" t="s">
        <v>4599</v>
      </c>
      <c r="E8934" s="1741" t="s">
        <v>28</v>
      </c>
      <c r="F8934" s="1741"/>
      <c r="G8934" s="1255" t="s">
        <v>19</v>
      </c>
      <c r="H8934" s="595">
        <v>0.25</v>
      </c>
      <c r="K8934" s="1192" t="s">
        <v>2835</v>
      </c>
      <c r="L8934" s="1192" t="s">
        <v>2374</v>
      </c>
      <c r="P8934" s="1192" t="s">
        <v>2840</v>
      </c>
      <c r="V8934" s="1192">
        <v>63</v>
      </c>
    </row>
    <row r="8935" spans="1:22" s="1192" customFormat="1" ht="17.399999999999999" x14ac:dyDescent="0.3">
      <c r="A8935" s="1192" t="s">
        <v>416</v>
      </c>
      <c r="B8935" s="1192" t="s">
        <v>4599</v>
      </c>
      <c r="E8935" s="1746" t="s">
        <v>606</v>
      </c>
      <c r="F8935" s="1747"/>
      <c r="G8935" s="1747"/>
      <c r="H8935" s="1747"/>
      <c r="K8935" s="1192" t="s">
        <v>2626</v>
      </c>
      <c r="V8935" s="1192">
        <v>36</v>
      </c>
    </row>
    <row r="8936" spans="1:22" s="1192" customFormat="1" ht="14.4" x14ac:dyDescent="0.3">
      <c r="A8936" s="1192" t="s">
        <v>416</v>
      </c>
      <c r="B8936" s="1192" t="s">
        <v>4599</v>
      </c>
      <c r="E8936" s="1743" t="s">
        <v>3422</v>
      </c>
      <c r="F8936" s="1743"/>
      <c r="G8936" s="1743"/>
      <c r="H8936" s="1743"/>
      <c r="K8936" s="1192" t="s">
        <v>2626</v>
      </c>
      <c r="V8936" s="1192">
        <v>218</v>
      </c>
    </row>
    <row r="8937" spans="1:22" s="1192" customFormat="1" ht="14.4" x14ac:dyDescent="0.3">
      <c r="A8937" s="1192" t="s">
        <v>416</v>
      </c>
      <c r="B8937" s="1192" t="s">
        <v>4599</v>
      </c>
      <c r="E8937" s="1750" t="s">
        <v>2389</v>
      </c>
      <c r="F8937" s="1743"/>
      <c r="G8937" s="1743"/>
      <c r="H8937" s="1743"/>
      <c r="K8937" s="1192" t="s">
        <v>2586</v>
      </c>
      <c r="V8937" s="1192">
        <v>11</v>
      </c>
    </row>
    <row r="8938" spans="1:22" s="1192" customFormat="1" ht="14.4" x14ac:dyDescent="0.3">
      <c r="A8938" s="1192" t="s">
        <v>416</v>
      </c>
      <c r="B8938" s="1192" t="s">
        <v>4599</v>
      </c>
      <c r="E8938" s="1743" t="s">
        <v>2391</v>
      </c>
      <c r="F8938" s="1743"/>
      <c r="G8938" s="1743"/>
      <c r="H8938" s="1743"/>
      <c r="K8938" s="1192" t="s">
        <v>2626</v>
      </c>
      <c r="V8938" s="1192">
        <v>280</v>
      </c>
    </row>
    <row r="8939" spans="1:22" s="1192" customFormat="1" ht="14.4" x14ac:dyDescent="0.3">
      <c r="A8939" s="1192" t="s">
        <v>416</v>
      </c>
      <c r="B8939" s="1192" t="s">
        <v>4599</v>
      </c>
      <c r="E8939" s="1743" t="s">
        <v>2392</v>
      </c>
      <c r="F8939" s="1743"/>
      <c r="G8939" s="1743"/>
      <c r="H8939" s="1743"/>
      <c r="K8939" s="1192" t="s">
        <v>2626</v>
      </c>
      <c r="V8939" s="1192">
        <v>411</v>
      </c>
    </row>
    <row r="8940" spans="1:22" s="1192" customFormat="1" ht="14.4" x14ac:dyDescent="0.3">
      <c r="A8940" s="1192" t="s">
        <v>416</v>
      </c>
      <c r="B8940" s="1192" t="s">
        <v>4599</v>
      </c>
      <c r="E8940" s="1743" t="s">
        <v>2508</v>
      </c>
      <c r="F8940" s="1743"/>
      <c r="G8940" s="1743"/>
      <c r="H8940" s="1743"/>
      <c r="K8940" s="1192" t="s">
        <v>2626</v>
      </c>
      <c r="V8940" s="1192">
        <v>386</v>
      </c>
    </row>
    <row r="8941" spans="1:22" s="1192" customFormat="1" ht="14.4" x14ac:dyDescent="0.3">
      <c r="A8941" s="1192" t="s">
        <v>416</v>
      </c>
      <c r="B8941" s="1192" t="s">
        <v>4599</v>
      </c>
      <c r="E8941" s="1743" t="s">
        <v>2986</v>
      </c>
      <c r="F8941" s="1743"/>
      <c r="G8941" s="1743"/>
      <c r="H8941" s="1743"/>
      <c r="K8941" s="1192" t="s">
        <v>2626</v>
      </c>
      <c r="V8941" s="1192">
        <v>246</v>
      </c>
    </row>
    <row r="8942" spans="1:22" s="1192" customFormat="1" ht="14.4" x14ac:dyDescent="0.3">
      <c r="A8942" s="1192" t="s">
        <v>416</v>
      </c>
      <c r="B8942" s="1192" t="s">
        <v>4599</v>
      </c>
      <c r="E8942" s="1750" t="s">
        <v>2394</v>
      </c>
      <c r="F8942" s="1743"/>
      <c r="G8942" s="1743"/>
      <c r="H8942" s="1743"/>
      <c r="K8942" s="1192" t="s">
        <v>2587</v>
      </c>
      <c r="V8942" s="1192">
        <v>46</v>
      </c>
    </row>
    <row r="8943" spans="1:22" s="1192" customFormat="1" ht="14.4" x14ac:dyDescent="0.3">
      <c r="A8943" s="1192" t="s">
        <v>416</v>
      </c>
      <c r="B8943" s="1192" t="s">
        <v>4599</v>
      </c>
      <c r="E8943" s="1741" t="s">
        <v>4541</v>
      </c>
      <c r="F8943" s="1741"/>
      <c r="G8943" s="1255" t="s">
        <v>29</v>
      </c>
      <c r="H8943" s="594">
        <v>3.4194</v>
      </c>
      <c r="K8943" s="1192" t="s">
        <v>2626</v>
      </c>
      <c r="L8943" s="1192" t="s">
        <v>430</v>
      </c>
      <c r="P8943" s="1192" t="s">
        <v>4422</v>
      </c>
      <c r="V8943" s="1192">
        <v>302</v>
      </c>
    </row>
    <row r="8944" spans="1:22" s="1192" customFormat="1" ht="14.4" x14ac:dyDescent="0.3">
      <c r="A8944" s="1192" t="s">
        <v>416</v>
      </c>
      <c r="B8944" s="1192" t="s">
        <v>4599</v>
      </c>
      <c r="E8944" s="1741" t="s">
        <v>3423</v>
      </c>
      <c r="F8944" s="1741"/>
      <c r="G8944" s="1255" t="s">
        <v>29</v>
      </c>
      <c r="H8944" s="594">
        <v>2.4058999999999999</v>
      </c>
      <c r="K8944" s="1192" t="s">
        <v>2626</v>
      </c>
      <c r="L8944" s="1192" t="s">
        <v>430</v>
      </c>
      <c r="P8944" s="1192" t="s">
        <v>4422</v>
      </c>
      <c r="V8944" s="1192">
        <v>290</v>
      </c>
    </row>
    <row r="8945" spans="1:22" s="1192" customFormat="1" ht="17.399999999999999" x14ac:dyDescent="0.3">
      <c r="A8945" s="1192" t="s">
        <v>416</v>
      </c>
      <c r="B8945" s="1192" t="s">
        <v>4599</v>
      </c>
      <c r="E8945" s="1746" t="s">
        <v>593</v>
      </c>
      <c r="F8945" s="1747"/>
      <c r="G8945" s="1747"/>
      <c r="H8945" s="1747"/>
      <c r="K8945" s="1192" t="s">
        <v>2873</v>
      </c>
      <c r="V8945" s="1192">
        <v>31</v>
      </c>
    </row>
    <row r="8946" spans="1:22" s="1192" customFormat="1" ht="14.4" x14ac:dyDescent="0.3">
      <c r="A8946" s="1192" t="s">
        <v>416</v>
      </c>
      <c r="B8946" s="1192" t="s">
        <v>4599</v>
      </c>
      <c r="E8946" s="1743" t="s">
        <v>2652</v>
      </c>
      <c r="F8946" s="1743"/>
      <c r="G8946" s="1743"/>
      <c r="H8946" s="1743"/>
      <c r="K8946" s="1192" t="s">
        <v>2873</v>
      </c>
      <c r="V8946" s="1192">
        <v>285</v>
      </c>
    </row>
    <row r="8947" spans="1:22" s="1192" customFormat="1" ht="14.4" x14ac:dyDescent="0.3">
      <c r="A8947" s="1192" t="s">
        <v>416</v>
      </c>
      <c r="B8947" s="1192" t="s">
        <v>4599</v>
      </c>
      <c r="E8947" s="1750" t="s">
        <v>2389</v>
      </c>
      <c r="F8947" s="1743"/>
      <c r="G8947" s="1743"/>
      <c r="H8947" s="1743"/>
      <c r="K8947" s="1192" t="s">
        <v>2629</v>
      </c>
      <c r="V8947" s="1192">
        <v>11</v>
      </c>
    </row>
    <row r="8948" spans="1:22" s="1192" customFormat="1" ht="14.4" x14ac:dyDescent="0.3">
      <c r="A8948" s="1192" t="s">
        <v>416</v>
      </c>
      <c r="B8948" s="1192" t="s">
        <v>4599</v>
      </c>
      <c r="E8948" s="1743" t="s">
        <v>2391</v>
      </c>
      <c r="F8948" s="1743"/>
      <c r="G8948" s="1743"/>
      <c r="H8948" s="1743"/>
      <c r="K8948" s="1192" t="s">
        <v>2873</v>
      </c>
      <c r="V8948" s="1192">
        <v>280</v>
      </c>
    </row>
    <row r="8949" spans="1:22" s="1192" customFormat="1" ht="14.4" x14ac:dyDescent="0.3">
      <c r="A8949" s="1192" t="s">
        <v>416</v>
      </c>
      <c r="B8949" s="1192" t="s">
        <v>4599</v>
      </c>
      <c r="E8949" s="1743" t="s">
        <v>2392</v>
      </c>
      <c r="F8949" s="1743"/>
      <c r="G8949" s="1743"/>
      <c r="H8949" s="1743"/>
      <c r="K8949" s="1192" t="s">
        <v>2873</v>
      </c>
      <c r="V8949" s="1192">
        <v>411</v>
      </c>
    </row>
    <row r="8950" spans="1:22" s="1192" customFormat="1" ht="14.4" x14ac:dyDescent="0.3">
      <c r="A8950" s="1192" t="s">
        <v>416</v>
      </c>
      <c r="B8950" s="1192" t="s">
        <v>4599</v>
      </c>
      <c r="E8950" s="1743" t="s">
        <v>2508</v>
      </c>
      <c r="F8950" s="1743"/>
      <c r="G8950" s="1743"/>
      <c r="H8950" s="1743"/>
      <c r="K8950" s="1192" t="s">
        <v>2873</v>
      </c>
      <c r="V8950" s="1192">
        <v>386</v>
      </c>
    </row>
    <row r="8951" spans="1:22" s="1192" customFormat="1" ht="14.4" x14ac:dyDescent="0.3">
      <c r="A8951" s="1192" t="s">
        <v>416</v>
      </c>
      <c r="B8951" s="1192" t="s">
        <v>4599</v>
      </c>
      <c r="E8951" s="1743" t="s">
        <v>2986</v>
      </c>
      <c r="F8951" s="1743"/>
      <c r="G8951" s="1743"/>
      <c r="H8951" s="1743"/>
      <c r="K8951" s="1192" t="s">
        <v>2873</v>
      </c>
      <c r="V8951" s="1192">
        <v>246</v>
      </c>
    </row>
    <row r="8952" spans="1:22" s="1192" customFormat="1" ht="14.4" x14ac:dyDescent="0.3">
      <c r="A8952" s="1192" t="s">
        <v>416</v>
      </c>
      <c r="B8952" s="1192" t="s">
        <v>4599</v>
      </c>
      <c r="E8952" s="1750" t="s">
        <v>2394</v>
      </c>
      <c r="F8952" s="1743"/>
      <c r="G8952" s="1743"/>
      <c r="H8952" s="1743"/>
      <c r="K8952" s="1192" t="s">
        <v>2630</v>
      </c>
      <c r="V8952" s="1192">
        <v>46</v>
      </c>
    </row>
    <row r="8953" spans="1:22" s="1192" customFormat="1" ht="14.4" x14ac:dyDescent="0.3">
      <c r="A8953" s="1192" t="s">
        <v>416</v>
      </c>
      <c r="B8953" s="1192" t="s">
        <v>4599</v>
      </c>
      <c r="E8953" s="1741" t="s">
        <v>7</v>
      </c>
      <c r="F8953" s="1741"/>
      <c r="G8953" s="1255" t="s">
        <v>19</v>
      </c>
      <c r="H8953" s="1218">
        <v>5.4</v>
      </c>
      <c r="K8953" s="1192" t="s">
        <v>2873</v>
      </c>
      <c r="L8953" s="1192" t="s">
        <v>430</v>
      </c>
      <c r="P8953" s="1192" t="s">
        <v>2874</v>
      </c>
      <c r="V8953" s="1192">
        <v>14</v>
      </c>
    </row>
    <row r="8954" spans="1:22" s="1192" customFormat="1" x14ac:dyDescent="0.3">
      <c r="A8954" s="1192" t="s">
        <v>416</v>
      </c>
      <c r="B8954" s="1192" t="s">
        <v>4599</v>
      </c>
      <c r="E8954" s="1746" t="s">
        <v>81</v>
      </c>
      <c r="F8954" s="1999"/>
      <c r="G8954" s="1999"/>
      <c r="H8954" s="1999"/>
      <c r="K8954" s="1192" t="s">
        <v>3424</v>
      </c>
      <c r="V8954" s="1192">
        <v>10</v>
      </c>
    </row>
    <row r="8955" spans="1:22" s="1192" customFormat="1" ht="15" thickBot="1" x14ac:dyDescent="0.35">
      <c r="A8955" s="1192" t="s">
        <v>416</v>
      </c>
      <c r="B8955" s="1192" t="s">
        <v>4599</v>
      </c>
      <c r="E8955" s="2181" t="s">
        <v>2449</v>
      </c>
      <c r="F8955" s="1741"/>
      <c r="G8955" s="892" t="s">
        <v>29</v>
      </c>
      <c r="H8955" s="893">
        <v>-0.6</v>
      </c>
      <c r="V8955" s="1192">
        <v>68</v>
      </c>
    </row>
    <row r="8956" spans="1:22" s="1192" customFormat="1" ht="15" thickBot="1" x14ac:dyDescent="0.35">
      <c r="A8956" s="1192" t="s">
        <v>416</v>
      </c>
      <c r="B8956" s="1192" t="s">
        <v>4599</v>
      </c>
      <c r="E8956" s="2181" t="s">
        <v>2450</v>
      </c>
      <c r="F8956" s="1741"/>
      <c r="G8956" s="892" t="s">
        <v>82</v>
      </c>
      <c r="H8956" s="894">
        <v>-1</v>
      </c>
      <c r="V8956" s="1192">
        <v>87</v>
      </c>
    </row>
    <row r="8957" spans="1:22" s="1192" customFormat="1" x14ac:dyDescent="0.3">
      <c r="A8957" s="1192" t="s">
        <v>416</v>
      </c>
      <c r="B8957" s="1192" t="s">
        <v>4599</v>
      </c>
      <c r="E8957" s="1746" t="s">
        <v>83</v>
      </c>
      <c r="F8957" s="1999"/>
      <c r="G8957" s="1999"/>
      <c r="H8957" s="1999"/>
      <c r="K8957" s="1192" t="s">
        <v>3425</v>
      </c>
      <c r="V8957" s="1192">
        <v>24</v>
      </c>
    </row>
    <row r="8958" spans="1:22" s="1192" customFormat="1" ht="14.4" x14ac:dyDescent="0.3">
      <c r="A8958" s="1192" t="s">
        <v>416</v>
      </c>
      <c r="B8958" s="1192" t="s">
        <v>4599</v>
      </c>
      <c r="E8958" s="1743" t="s">
        <v>2391</v>
      </c>
      <c r="F8958" s="1743"/>
      <c r="G8958" s="1743"/>
      <c r="H8958" s="1743"/>
      <c r="V8958" s="1192">
        <v>280</v>
      </c>
    </row>
    <row r="8959" spans="1:22" s="1192" customFormat="1" ht="14.4" x14ac:dyDescent="0.3">
      <c r="A8959" s="1192" t="s">
        <v>416</v>
      </c>
      <c r="B8959" s="1192" t="s">
        <v>4599</v>
      </c>
      <c r="E8959" s="1743" t="s">
        <v>2452</v>
      </c>
      <c r="F8959" s="1743"/>
      <c r="G8959" s="1743"/>
      <c r="H8959" s="1743"/>
      <c r="V8959" s="1192">
        <v>353</v>
      </c>
    </row>
    <row r="8960" spans="1:22" s="1192" customFormat="1" ht="14.4" x14ac:dyDescent="0.3">
      <c r="A8960" s="1192" t="s">
        <v>416</v>
      </c>
      <c r="B8960" s="1192" t="s">
        <v>4599</v>
      </c>
      <c r="E8960" s="1743" t="s">
        <v>4500</v>
      </c>
      <c r="F8960" s="1743"/>
      <c r="G8960" s="1743"/>
      <c r="H8960" s="1743"/>
      <c r="V8960" s="1192">
        <v>247</v>
      </c>
    </row>
    <row r="8961" spans="1:22" s="1192" customFormat="1" ht="14.4" x14ac:dyDescent="0.3">
      <c r="A8961" s="1192" t="s">
        <v>416</v>
      </c>
      <c r="B8961" s="1192" t="s">
        <v>4599</v>
      </c>
      <c r="E8961" s="1750" t="s">
        <v>2453</v>
      </c>
      <c r="F8961" s="1998"/>
      <c r="G8961" s="1998"/>
      <c r="H8961" s="1998"/>
      <c r="K8961" s="1192" t="s">
        <v>3426</v>
      </c>
      <c r="V8961" s="1192">
        <v>23</v>
      </c>
    </row>
    <row r="8962" spans="1:22" s="1192" customFormat="1" ht="14.4" x14ac:dyDescent="0.3">
      <c r="A8962" s="1192" t="s">
        <v>416</v>
      </c>
      <c r="B8962" s="1192" t="s">
        <v>4599</v>
      </c>
      <c r="E8962" s="1942" t="s">
        <v>2639</v>
      </c>
      <c r="F8962" s="1942"/>
      <c r="G8962" s="1255" t="s">
        <v>19</v>
      </c>
      <c r="H8962" s="595">
        <v>15</v>
      </c>
      <c r="V8962" s="1192">
        <v>19</v>
      </c>
    </row>
    <row r="8963" spans="1:22" s="1192" customFormat="1" ht="14.4" x14ac:dyDescent="0.3">
      <c r="A8963" s="1192" t="s">
        <v>416</v>
      </c>
      <c r="B8963" s="1192" t="s">
        <v>4599</v>
      </c>
      <c r="E8963" s="1942" t="s">
        <v>2456</v>
      </c>
      <c r="F8963" s="1942"/>
      <c r="G8963" s="1255" t="s">
        <v>19</v>
      </c>
      <c r="H8963" s="595">
        <v>15</v>
      </c>
      <c r="V8963" s="1192">
        <v>20</v>
      </c>
    </row>
    <row r="8964" spans="1:22" s="1192" customFormat="1" ht="14.4" x14ac:dyDescent="0.3">
      <c r="A8964" s="1192" t="s">
        <v>416</v>
      </c>
      <c r="B8964" s="1192" t="s">
        <v>4599</v>
      </c>
      <c r="E8964" s="1942" t="s">
        <v>3663</v>
      </c>
      <c r="F8964" s="1942"/>
      <c r="G8964" s="1255" t="s">
        <v>19</v>
      </c>
      <c r="H8964" s="595">
        <v>15</v>
      </c>
      <c r="V8964" s="1192">
        <v>15</v>
      </c>
    </row>
    <row r="8965" spans="1:22" s="1192" customFormat="1" ht="14.4" x14ac:dyDescent="0.3">
      <c r="A8965" s="1192" t="s">
        <v>416</v>
      </c>
      <c r="B8965" s="1192" t="s">
        <v>4599</v>
      </c>
      <c r="E8965" s="1942" t="s">
        <v>119</v>
      </c>
      <c r="F8965" s="1942"/>
      <c r="G8965" s="1255" t="s">
        <v>19</v>
      </c>
      <c r="H8965" s="595">
        <v>15</v>
      </c>
      <c r="V8965" s="1192">
        <v>35</v>
      </c>
    </row>
    <row r="8966" spans="1:22" s="1192" customFormat="1" ht="14.4" x14ac:dyDescent="0.3">
      <c r="A8966" s="1192" t="s">
        <v>416</v>
      </c>
      <c r="B8966" s="1192" t="s">
        <v>4599</v>
      </c>
      <c r="E8966" s="1942" t="s">
        <v>3427</v>
      </c>
      <c r="F8966" s="1942"/>
      <c r="G8966" s="1255" t="s">
        <v>19</v>
      </c>
      <c r="H8966" s="595">
        <v>30</v>
      </c>
      <c r="V8966" s="1192">
        <v>47</v>
      </c>
    </row>
    <row r="8967" spans="1:22" s="1192" customFormat="1" ht="14.4" x14ac:dyDescent="0.3">
      <c r="A8967" s="1192" t="s">
        <v>416</v>
      </c>
      <c r="B8967" s="1192" t="s">
        <v>4599</v>
      </c>
      <c r="E8967" s="1942" t="s">
        <v>88</v>
      </c>
      <c r="F8967" s="1942"/>
      <c r="G8967" s="1255" t="s">
        <v>19</v>
      </c>
      <c r="H8967" s="595">
        <v>30</v>
      </c>
      <c r="V8967" s="1192">
        <v>74</v>
      </c>
    </row>
    <row r="8968" spans="1:22" s="1192" customFormat="1" ht="14.4" x14ac:dyDescent="0.3">
      <c r="A8968" s="1192" t="s">
        <v>416</v>
      </c>
      <c r="B8968" s="1192" t="s">
        <v>4599</v>
      </c>
      <c r="E8968" s="1750" t="s">
        <v>2468</v>
      </c>
      <c r="F8968" s="1998"/>
      <c r="G8968" s="1998"/>
      <c r="H8968" s="1998"/>
      <c r="K8968" s="1192" t="s">
        <v>3428</v>
      </c>
      <c r="V8968" s="1192">
        <v>22</v>
      </c>
    </row>
    <row r="8969" spans="1:22" s="1192" customFormat="1" ht="14.4" x14ac:dyDescent="0.3">
      <c r="A8969" s="1192" t="s">
        <v>416</v>
      </c>
      <c r="B8969" s="1192" t="s">
        <v>4599</v>
      </c>
      <c r="E8969" s="1942" t="s">
        <v>5940</v>
      </c>
      <c r="F8969" s="1942"/>
      <c r="G8969" s="1255" t="s">
        <v>82</v>
      </c>
      <c r="H8969" s="595">
        <v>1.5</v>
      </c>
      <c r="V8969" s="1192">
        <v>99</v>
      </c>
    </row>
    <row r="8970" spans="1:22" s="1192" customFormat="1" ht="14.4" x14ac:dyDescent="0.3">
      <c r="A8970" s="1192" t="s">
        <v>416</v>
      </c>
      <c r="B8970" s="1192" t="s">
        <v>4599</v>
      </c>
      <c r="E8970" s="1942" t="s">
        <v>6106</v>
      </c>
      <c r="F8970" s="1942"/>
      <c r="G8970" s="1255" t="s">
        <v>19</v>
      </c>
      <c r="H8970" s="595">
        <v>65</v>
      </c>
      <c r="V8970" s="1192">
        <v>44</v>
      </c>
    </row>
    <row r="8971" spans="1:22" s="1192" customFormat="1" ht="14.4" x14ac:dyDescent="0.3">
      <c r="A8971" s="1192" t="s">
        <v>416</v>
      </c>
      <c r="B8971" s="1192" t="s">
        <v>4599</v>
      </c>
      <c r="E8971" s="1942" t="s">
        <v>6107</v>
      </c>
      <c r="F8971" s="1942"/>
      <c r="G8971" s="1255" t="s">
        <v>19</v>
      </c>
      <c r="H8971" s="595">
        <v>185</v>
      </c>
      <c r="V8971" s="1192">
        <v>43</v>
      </c>
    </row>
    <row r="8972" spans="1:22" s="1192" customFormat="1" ht="14.4" x14ac:dyDescent="0.3">
      <c r="A8972" s="1192" t="s">
        <v>416</v>
      </c>
      <c r="B8972" s="1192" t="s">
        <v>4599</v>
      </c>
      <c r="E8972" s="1750" t="s">
        <v>2474</v>
      </c>
      <c r="F8972" s="1998"/>
      <c r="G8972" s="1998"/>
      <c r="H8972" s="1998"/>
      <c r="V8972" s="1192">
        <v>5</v>
      </c>
    </row>
    <row r="8973" spans="1:22" s="1192" customFormat="1" ht="14.4" x14ac:dyDescent="0.3">
      <c r="A8973" s="1192" t="s">
        <v>416</v>
      </c>
      <c r="B8973" s="1192" t="s">
        <v>4599</v>
      </c>
      <c r="E8973" s="1942" t="s">
        <v>2875</v>
      </c>
      <c r="F8973" s="1942"/>
      <c r="G8973" s="1255" t="s">
        <v>19</v>
      </c>
      <c r="H8973" s="595">
        <v>500</v>
      </c>
      <c r="V8973" s="1192">
        <v>64</v>
      </c>
    </row>
    <row r="8974" spans="1:22" s="1192" customFormat="1" ht="14.4" x14ac:dyDescent="0.3">
      <c r="A8974" s="1192" t="s">
        <v>416</v>
      </c>
      <c r="B8974" s="1192" t="s">
        <v>4599</v>
      </c>
      <c r="E8974" s="1942" t="s">
        <v>3429</v>
      </c>
      <c r="F8974" s="1942"/>
      <c r="G8974" s="1255" t="s">
        <v>19</v>
      </c>
      <c r="H8974" s="595">
        <v>1000</v>
      </c>
      <c r="V8974" s="1192">
        <v>66</v>
      </c>
    </row>
    <row r="8975" spans="1:22" s="1192" customFormat="1" ht="14.4" x14ac:dyDescent="0.3">
      <c r="A8975" s="1192" t="s">
        <v>416</v>
      </c>
      <c r="B8975" s="1192" t="s">
        <v>4599</v>
      </c>
      <c r="E8975" s="1942" t="s">
        <v>2768</v>
      </c>
      <c r="F8975" s="1942"/>
      <c r="G8975" s="1255" t="s">
        <v>19</v>
      </c>
      <c r="H8975" s="595">
        <v>44.5</v>
      </c>
      <c r="V8975" s="1192">
        <v>104</v>
      </c>
    </row>
    <row r="8976" spans="1:22" s="1192" customFormat="1" ht="14.4" x14ac:dyDescent="0.3">
      <c r="A8976" s="1192" t="s">
        <v>416</v>
      </c>
      <c r="B8976" s="1192" t="s">
        <v>4599</v>
      </c>
      <c r="E8976" s="1942" t="s">
        <v>3430</v>
      </c>
      <c r="F8976" s="1942"/>
      <c r="G8976" s="1255" t="s">
        <v>19</v>
      </c>
      <c r="H8976" s="839" t="s">
        <v>3431</v>
      </c>
      <c r="V8976" s="1192">
        <v>70</v>
      </c>
    </row>
    <row r="8977" spans="1:22" s="1192" customFormat="1" x14ac:dyDescent="0.3">
      <c r="A8977" s="1192" t="s">
        <v>416</v>
      </c>
      <c r="B8977" s="1192" t="s">
        <v>4599</v>
      </c>
      <c r="E8977" s="1746" t="s">
        <v>73</v>
      </c>
      <c r="F8977" s="1999"/>
      <c r="G8977" s="1999"/>
      <c r="H8977" s="1999"/>
      <c r="K8977" s="1192" t="s">
        <v>3432</v>
      </c>
      <c r="V8977" s="1192">
        <v>38</v>
      </c>
    </row>
    <row r="8978" spans="1:22" s="1192" customFormat="1" ht="14.4" x14ac:dyDescent="0.3">
      <c r="A8978" s="1192" t="s">
        <v>416</v>
      </c>
      <c r="B8978" s="1192" t="s">
        <v>4599</v>
      </c>
      <c r="E8978" s="1743" t="s">
        <v>2391</v>
      </c>
      <c r="F8978" s="1743"/>
      <c r="G8978" s="1743"/>
      <c r="H8978" s="1743"/>
      <c r="V8978" s="1192">
        <v>280</v>
      </c>
    </row>
    <row r="8979" spans="1:22" s="1192" customFormat="1" ht="14.4" x14ac:dyDescent="0.3">
      <c r="A8979" s="1192" t="s">
        <v>416</v>
      </c>
      <c r="B8979" s="1192" t="s">
        <v>4599</v>
      </c>
      <c r="E8979" s="1743" t="s">
        <v>2392</v>
      </c>
      <c r="F8979" s="1743"/>
      <c r="G8979" s="1743"/>
      <c r="H8979" s="1743"/>
      <c r="V8979" s="1192">
        <v>411</v>
      </c>
    </row>
    <row r="8980" spans="1:22" s="1192" customFormat="1" ht="14.4" x14ac:dyDescent="0.3">
      <c r="A8980" s="1192" t="s">
        <v>416</v>
      </c>
      <c r="B8980" s="1192" t="s">
        <v>4599</v>
      </c>
      <c r="E8980" s="1743" t="s">
        <v>2445</v>
      </c>
      <c r="F8980" s="1743"/>
      <c r="G8980" s="1743"/>
      <c r="H8980" s="1743"/>
      <c r="V8980" s="1192">
        <v>211</v>
      </c>
    </row>
    <row r="8981" spans="1:22" s="1192" customFormat="1" ht="14.4" x14ac:dyDescent="0.3">
      <c r="A8981" s="1192" t="s">
        <v>416</v>
      </c>
      <c r="B8981" s="1192" t="s">
        <v>4599</v>
      </c>
      <c r="E8981" s="1743" t="s">
        <v>2986</v>
      </c>
      <c r="F8981" s="1743"/>
      <c r="G8981" s="1743"/>
      <c r="H8981" s="1743"/>
      <c r="V8981" s="1192">
        <v>246</v>
      </c>
    </row>
    <row r="8982" spans="1:22" s="1192" customFormat="1" ht="14.4" x14ac:dyDescent="0.3">
      <c r="A8982" s="1192" t="s">
        <v>416</v>
      </c>
      <c r="B8982" s="1192" t="s">
        <v>4599</v>
      </c>
      <c r="E8982" s="1743" t="s">
        <v>2595</v>
      </c>
      <c r="F8982" s="1743"/>
      <c r="G8982" s="1743"/>
      <c r="H8982" s="1743"/>
      <c r="V8982" s="1192">
        <v>142</v>
      </c>
    </row>
    <row r="8983" spans="1:22" s="1192" customFormat="1" ht="14.4" x14ac:dyDescent="0.3">
      <c r="A8983" s="1192" t="s">
        <v>416</v>
      </c>
      <c r="B8983" s="1192" t="s">
        <v>4599</v>
      </c>
      <c r="E8983" s="1741" t="s">
        <v>2485</v>
      </c>
      <c r="F8983" s="1741"/>
      <c r="G8983" s="1254" t="s">
        <v>19</v>
      </c>
      <c r="H8983" s="596">
        <v>102</v>
      </c>
      <c r="V8983" s="1192">
        <v>106</v>
      </c>
    </row>
    <row r="8984" spans="1:22" s="1192" customFormat="1" ht="14.4" x14ac:dyDescent="0.3">
      <c r="A8984" s="1192" t="s">
        <v>416</v>
      </c>
      <c r="B8984" s="1192" t="s">
        <v>4599</v>
      </c>
      <c r="E8984" s="1741" t="s">
        <v>3919</v>
      </c>
      <c r="F8984" s="1741"/>
      <c r="G8984" s="1254" t="s">
        <v>19</v>
      </c>
      <c r="H8984" s="596">
        <v>40.799999999999997</v>
      </c>
      <c r="V8984" s="1192">
        <v>34</v>
      </c>
    </row>
    <row r="8985" spans="1:22" s="1192" customFormat="1" ht="14.4" x14ac:dyDescent="0.3">
      <c r="A8985" s="1192" t="s">
        <v>416</v>
      </c>
      <c r="B8985" s="1192" t="s">
        <v>4599</v>
      </c>
      <c r="E8985" s="1741" t="s">
        <v>3920</v>
      </c>
      <c r="F8985" s="1741"/>
      <c r="G8985" s="1254" t="s">
        <v>2488</v>
      </c>
      <c r="H8985" s="596">
        <v>1.02</v>
      </c>
      <c r="V8985" s="1192">
        <v>51</v>
      </c>
    </row>
    <row r="8986" spans="1:22" s="1192" customFormat="1" ht="14.4" x14ac:dyDescent="0.3">
      <c r="A8986" s="1192" t="s">
        <v>416</v>
      </c>
      <c r="B8986" s="1192" t="s">
        <v>4599</v>
      </c>
      <c r="E8986" s="1741" t="s">
        <v>2489</v>
      </c>
      <c r="F8986" s="1741"/>
      <c r="G8986" s="1254" t="s">
        <v>2488</v>
      </c>
      <c r="H8986" s="596">
        <v>0.61</v>
      </c>
      <c r="V8986" s="1192">
        <v>75</v>
      </c>
    </row>
    <row r="8987" spans="1:22" s="1192" customFormat="1" ht="14.4" x14ac:dyDescent="0.3">
      <c r="A8987" s="1192" t="s">
        <v>416</v>
      </c>
      <c r="B8987" s="1192" t="s">
        <v>4599</v>
      </c>
      <c r="E8987" s="1741" t="s">
        <v>2490</v>
      </c>
      <c r="F8987" s="1741"/>
      <c r="G8987" s="1254" t="s">
        <v>2488</v>
      </c>
      <c r="H8987" s="596">
        <v>-0.61</v>
      </c>
      <c r="V8987" s="1192">
        <v>72</v>
      </c>
    </row>
    <row r="8988" spans="1:22" s="1192" customFormat="1" ht="14.4" x14ac:dyDescent="0.3">
      <c r="A8988" s="1192" t="s">
        <v>416</v>
      </c>
      <c r="B8988" s="1192" t="s">
        <v>4599</v>
      </c>
      <c r="E8988" s="1741" t="s">
        <v>2596</v>
      </c>
      <c r="F8988" s="1741"/>
      <c r="G8988" s="1998"/>
      <c r="H8988" s="1998"/>
      <c r="V8988" s="1192">
        <v>34</v>
      </c>
    </row>
    <row r="8989" spans="1:22" s="1192" customFormat="1" ht="14.4" x14ac:dyDescent="0.3">
      <c r="A8989" s="1192" t="s">
        <v>416</v>
      </c>
      <c r="B8989" s="1192" t="s">
        <v>4599</v>
      </c>
      <c r="E8989" s="1941" t="s">
        <v>2492</v>
      </c>
      <c r="F8989" s="1941"/>
      <c r="G8989" s="1254" t="s">
        <v>19</v>
      </c>
      <c r="H8989" s="596">
        <v>0.51</v>
      </c>
      <c r="V8989" s="1192">
        <v>57</v>
      </c>
    </row>
    <row r="8990" spans="1:22" s="1192" customFormat="1" ht="14.4" x14ac:dyDescent="0.3">
      <c r="A8990" s="1192" t="s">
        <v>416</v>
      </c>
      <c r="B8990" s="1192" t="s">
        <v>4599</v>
      </c>
      <c r="E8990" s="1941" t="s">
        <v>2493</v>
      </c>
      <c r="F8990" s="1941"/>
      <c r="G8990" s="1254" t="s">
        <v>19</v>
      </c>
      <c r="H8990" s="596">
        <v>1.02</v>
      </c>
      <c r="V8990" s="1192">
        <v>60</v>
      </c>
    </row>
    <row r="8991" spans="1:22" s="1192" customFormat="1" ht="14.4" x14ac:dyDescent="0.3">
      <c r="A8991" s="1192" t="s">
        <v>416</v>
      </c>
      <c r="B8991" s="1192" t="s">
        <v>4599</v>
      </c>
      <c r="E8991" s="1741" t="s">
        <v>2905</v>
      </c>
      <c r="F8991" s="1741"/>
      <c r="G8991" s="1275"/>
      <c r="H8991" s="895"/>
      <c r="V8991" s="1192">
        <v>266</v>
      </c>
    </row>
    <row r="8992" spans="1:22" s="1192" customFormat="1" ht="14.4" x14ac:dyDescent="0.3">
      <c r="A8992" s="1192" t="s">
        <v>416</v>
      </c>
      <c r="B8992" s="1192" t="s">
        <v>4599</v>
      </c>
      <c r="E8992" s="1941" t="s">
        <v>2497</v>
      </c>
      <c r="F8992" s="1941"/>
      <c r="G8992" s="1263" t="s">
        <v>19</v>
      </c>
      <c r="H8992" s="838" t="s">
        <v>2906</v>
      </c>
      <c r="V8992" s="1192">
        <v>18</v>
      </c>
    </row>
    <row r="8993" spans="1:22" s="1192" customFormat="1" ht="14.4" x14ac:dyDescent="0.3">
      <c r="A8993" s="1192" t="s">
        <v>416</v>
      </c>
      <c r="B8993" s="1192" t="s">
        <v>4599</v>
      </c>
      <c r="E8993" s="1941" t="s">
        <v>2499</v>
      </c>
      <c r="F8993" s="1941"/>
      <c r="G8993" s="1254" t="s">
        <v>19</v>
      </c>
      <c r="H8993" s="596">
        <v>4.08</v>
      </c>
      <c r="V8993" s="1192">
        <v>69</v>
      </c>
    </row>
    <row r="8994" spans="1:22" s="1192" customFormat="1" ht="14.4" x14ac:dyDescent="0.3">
      <c r="A8994" s="1192" t="s">
        <v>416</v>
      </c>
      <c r="B8994" s="1192" t="s">
        <v>4599</v>
      </c>
      <c r="E8994" s="2093" t="s">
        <v>4608</v>
      </c>
      <c r="F8994" s="2093"/>
      <c r="G8994" s="1254" t="s">
        <v>19</v>
      </c>
      <c r="H8994" s="596">
        <v>2.04</v>
      </c>
      <c r="V8994" s="1192">
        <v>199</v>
      </c>
    </row>
    <row r="8995" spans="1:22" s="1192" customFormat="1" ht="14.4" x14ac:dyDescent="0.3">
      <c r="A8995" s="1192" t="s">
        <v>416</v>
      </c>
      <c r="B8995" s="1192" t="s">
        <v>4599</v>
      </c>
      <c r="E8995" s="1750" t="s">
        <v>143</v>
      </c>
      <c r="F8995" s="1998"/>
      <c r="G8995" s="1998"/>
      <c r="H8995" s="1998"/>
      <c r="K8995" s="1192" t="s">
        <v>3433</v>
      </c>
      <c r="V8995" s="1192">
        <v>12</v>
      </c>
    </row>
    <row r="8996" spans="1:22" s="1192" customFormat="1" ht="14.4" x14ac:dyDescent="0.3">
      <c r="A8996" s="1192" t="s">
        <v>416</v>
      </c>
      <c r="B8996" s="1192" t="s">
        <v>4599</v>
      </c>
      <c r="E8996" s="1741" t="s">
        <v>2599</v>
      </c>
      <c r="F8996" s="1741"/>
      <c r="G8996" s="597"/>
      <c r="H8996" s="838">
        <v>1.0431999999999999</v>
      </c>
      <c r="V8996" s="1192">
        <v>57</v>
      </c>
    </row>
    <row r="8997" spans="1:22" s="1192" customFormat="1" ht="14.4" x14ac:dyDescent="0.3">
      <c r="A8997" s="1192" t="s">
        <v>416</v>
      </c>
      <c r="B8997" s="1192" t="s">
        <v>4599</v>
      </c>
      <c r="E8997" s="1741" t="s">
        <v>2600</v>
      </c>
      <c r="F8997" s="1741"/>
      <c r="G8997" s="1277"/>
      <c r="H8997" s="839">
        <v>1.0148999999999999</v>
      </c>
      <c r="V8997" s="1192">
        <v>57</v>
      </c>
    </row>
    <row r="8998" spans="1:22" s="1192" customFormat="1" ht="14.4" x14ac:dyDescent="0.3">
      <c r="A8998" s="1192" t="s">
        <v>416</v>
      </c>
      <c r="B8998" s="1192" t="s">
        <v>4599</v>
      </c>
      <c r="E8998" s="1741" t="s">
        <v>2601</v>
      </c>
      <c r="F8998" s="1741"/>
      <c r="G8998" s="1277"/>
      <c r="H8998" s="839">
        <v>1.0327999999999999</v>
      </c>
      <c r="V8998" s="1192">
        <v>55</v>
      </c>
    </row>
    <row r="8999" spans="1:22" s="1192" customFormat="1" ht="14.4" x14ac:dyDescent="0.3">
      <c r="A8999" s="1192" t="s">
        <v>416</v>
      </c>
      <c r="B8999" s="1192" t="s">
        <v>4599</v>
      </c>
      <c r="E8999" s="1741" t="s">
        <v>2602</v>
      </c>
      <c r="F8999" s="1741"/>
      <c r="G8999" s="1277"/>
      <c r="H8999" s="839">
        <v>1.0048999999999999</v>
      </c>
      <c r="J8999" s="1192" t="s">
        <v>4601</v>
      </c>
      <c r="V8999" s="1192">
        <v>55</v>
      </c>
    </row>
    <row r="9000" spans="1:22" s="1192" customFormat="1" ht="22.8" x14ac:dyDescent="0.3">
      <c r="A9000" s="1192" t="s">
        <v>175</v>
      </c>
      <c r="C9000" s="1192" t="s">
        <v>2378</v>
      </c>
      <c r="E9000" s="1752" t="s">
        <v>175</v>
      </c>
      <c r="F9000" s="2039"/>
      <c r="G9000" s="2039"/>
      <c r="H9000" s="2039"/>
      <c r="I9000" s="1192" t="s">
        <v>603</v>
      </c>
      <c r="J9000" s="1192" t="s">
        <v>4453</v>
      </c>
      <c r="K9000" s="1192" t="s">
        <v>175</v>
      </c>
      <c r="M9000" s="1192">
        <v>8</v>
      </c>
      <c r="V9000" s="1192">
        <v>28</v>
      </c>
    </row>
    <row r="9001" spans="1:22" s="1192" customFormat="1" ht="17.399999999999999" x14ac:dyDescent="0.3">
      <c r="A9001" s="1192" t="s">
        <v>175</v>
      </c>
      <c r="C9001" s="1192" t="s">
        <v>2380</v>
      </c>
      <c r="E9001" s="1753" t="s">
        <v>2381</v>
      </c>
      <c r="F9001" s="2040"/>
      <c r="G9001" s="2040"/>
      <c r="H9001" s="2040"/>
      <c r="V9001" s="1192">
        <v>27</v>
      </c>
    </row>
    <row r="9002" spans="1:22" s="1192" customFormat="1" ht="15.6" x14ac:dyDescent="0.3">
      <c r="A9002" s="1192" t="s">
        <v>175</v>
      </c>
      <c r="C9002" s="1192" t="s">
        <v>2382</v>
      </c>
      <c r="E9002" s="1754" t="s">
        <v>6482</v>
      </c>
      <c r="F9002" s="2020"/>
      <c r="G9002" s="2020"/>
      <c r="H9002" s="2020"/>
      <c r="S9002" s="1192">
        <v>43952</v>
      </c>
      <c r="V9002" s="1192">
        <v>45</v>
      </c>
    </row>
    <row r="9003" spans="1:22" s="1192" customFormat="1" ht="14.4" x14ac:dyDescent="0.3">
      <c r="A9003" s="1192" t="s">
        <v>175</v>
      </c>
      <c r="C9003" s="1192" t="s">
        <v>2383</v>
      </c>
      <c r="E9003" s="1755" t="s">
        <v>2384</v>
      </c>
      <c r="F9003" s="2021"/>
      <c r="G9003" s="2021"/>
      <c r="H9003" s="2021"/>
      <c r="V9003" s="1192">
        <v>52</v>
      </c>
    </row>
    <row r="9004" spans="1:22" s="1192" customFormat="1" ht="14.4" x14ac:dyDescent="0.3">
      <c r="A9004" s="1192" t="s">
        <v>175</v>
      </c>
      <c r="E9004" s="1755" t="s">
        <v>2385</v>
      </c>
      <c r="F9004" s="2021"/>
      <c r="G9004" s="2021"/>
      <c r="H9004" s="2021"/>
      <c r="V9004" s="1192">
        <v>53</v>
      </c>
    </row>
    <row r="9005" spans="1:22" s="1192" customFormat="1" ht="14.4" x14ac:dyDescent="0.3">
      <c r="A9005" s="1192" t="s">
        <v>175</v>
      </c>
      <c r="E9005" s="1772" t="s">
        <v>6547</v>
      </c>
      <c r="F9005" s="1772"/>
      <c r="G9005" s="1772"/>
      <c r="H9005" s="1772"/>
      <c r="K9005" s="1192" t="s">
        <v>6547</v>
      </c>
      <c r="V9005" s="1192">
        <v>12</v>
      </c>
    </row>
    <row r="9006" spans="1:22" s="1192" customFormat="1" ht="14.4" x14ac:dyDescent="0.3">
      <c r="A9006" s="1192" t="s">
        <v>175</v>
      </c>
      <c r="E9006" s="1746" t="s">
        <v>427</v>
      </c>
      <c r="F9006" s="1743"/>
      <c r="G9006" s="1743"/>
      <c r="H9006" s="1743"/>
      <c r="K9006" s="1192" t="s">
        <v>2506</v>
      </c>
      <c r="V9006" s="1192">
        <v>34</v>
      </c>
    </row>
    <row r="9007" spans="1:22" s="1192" customFormat="1" ht="14.4" x14ac:dyDescent="0.3">
      <c r="A9007" s="1192" t="s">
        <v>175</v>
      </c>
      <c r="E9007" s="1743" t="s">
        <v>2805</v>
      </c>
      <c r="F9007" s="1743"/>
      <c r="G9007" s="1743"/>
      <c r="H9007" s="1743"/>
      <c r="K9007" s="1192" t="s">
        <v>2506</v>
      </c>
      <c r="V9007" s="1192">
        <v>618</v>
      </c>
    </row>
    <row r="9008" spans="1:22" s="1192" customFormat="1" ht="14.4" x14ac:dyDescent="0.3">
      <c r="A9008" s="1192" t="s">
        <v>175</v>
      </c>
      <c r="E9008" s="1750" t="s">
        <v>2389</v>
      </c>
      <c r="F9008" s="1743"/>
      <c r="G9008" s="1743"/>
      <c r="H9008" s="1743"/>
      <c r="K9008" s="1192" t="s">
        <v>2390</v>
      </c>
      <c r="V9008" s="1192">
        <v>11</v>
      </c>
    </row>
    <row r="9009" spans="1:22" s="1192" customFormat="1" ht="14.4" x14ac:dyDescent="0.3">
      <c r="A9009" s="1192" t="s">
        <v>175</v>
      </c>
      <c r="E9009" s="1743" t="s">
        <v>2391</v>
      </c>
      <c r="F9009" s="1743"/>
      <c r="G9009" s="1743"/>
      <c r="H9009" s="1743"/>
      <c r="K9009" s="1192" t="s">
        <v>2506</v>
      </c>
      <c r="V9009" s="1192">
        <v>280</v>
      </c>
    </row>
    <row r="9010" spans="1:22" s="1192" customFormat="1" ht="14.4" x14ac:dyDescent="0.3">
      <c r="A9010" s="1192" t="s">
        <v>175</v>
      </c>
      <c r="E9010" s="1743" t="s">
        <v>2392</v>
      </c>
      <c r="F9010" s="1743"/>
      <c r="G9010" s="1743"/>
      <c r="H9010" s="1743"/>
      <c r="K9010" s="1192" t="s">
        <v>2506</v>
      </c>
      <c r="V9010" s="1192">
        <v>411</v>
      </c>
    </row>
    <row r="9011" spans="1:22" s="1192" customFormat="1" ht="14.4" x14ac:dyDescent="0.3">
      <c r="A9011" s="1192" t="s">
        <v>175</v>
      </c>
      <c r="E9011" s="1743" t="s">
        <v>2508</v>
      </c>
      <c r="F9011" s="1743"/>
      <c r="G9011" s="1743"/>
      <c r="H9011" s="1743"/>
      <c r="K9011" s="1192" t="s">
        <v>2506</v>
      </c>
      <c r="V9011" s="1192">
        <v>386</v>
      </c>
    </row>
    <row r="9012" spans="1:22" s="1192" customFormat="1" ht="14.4" x14ac:dyDescent="0.3">
      <c r="A9012" s="1192" t="s">
        <v>175</v>
      </c>
      <c r="E9012" s="1743" t="s">
        <v>2986</v>
      </c>
      <c r="F9012" s="1743"/>
      <c r="G9012" s="1743"/>
      <c r="H9012" s="1743"/>
      <c r="K9012" s="1192" t="s">
        <v>2506</v>
      </c>
      <c r="V9012" s="1192">
        <v>246</v>
      </c>
    </row>
    <row r="9013" spans="1:22" s="1192" customFormat="1" ht="14.4" x14ac:dyDescent="0.3">
      <c r="A9013" s="1192" t="s">
        <v>175</v>
      </c>
      <c r="E9013" s="1750" t="s">
        <v>2394</v>
      </c>
      <c r="F9013" s="1743"/>
      <c r="G9013" s="1743"/>
      <c r="H9013" s="1743"/>
      <c r="K9013" s="1192" t="s">
        <v>2395</v>
      </c>
      <c r="V9013" s="1192">
        <v>46</v>
      </c>
    </row>
    <row r="9014" spans="1:22" s="1192" customFormat="1" ht="14.4" x14ac:dyDescent="0.3">
      <c r="A9014" s="1192" t="s">
        <v>175</v>
      </c>
      <c r="E9014" s="1741" t="s">
        <v>7</v>
      </c>
      <c r="F9014" s="1741"/>
      <c r="G9014" s="524" t="s">
        <v>19</v>
      </c>
      <c r="H9014" s="1218">
        <v>27.22</v>
      </c>
      <c r="K9014" s="1192" t="s">
        <v>2506</v>
      </c>
      <c r="L9014" s="1192" t="s">
        <v>430</v>
      </c>
      <c r="P9014" s="1192" t="s">
        <v>2510</v>
      </c>
      <c r="V9014" s="1192">
        <v>14</v>
      </c>
    </row>
    <row r="9015" spans="1:22" s="1192" customFormat="1" ht="14.4" x14ac:dyDescent="0.3">
      <c r="A9015" s="1192" t="s">
        <v>175</v>
      </c>
      <c r="E9015" s="1741" t="s">
        <v>3900</v>
      </c>
      <c r="F9015" s="1741"/>
      <c r="G9015" s="524" t="s">
        <v>19</v>
      </c>
      <c r="H9015" s="1218">
        <v>0.56999999999999995</v>
      </c>
      <c r="K9015" s="1192" t="s">
        <v>2506</v>
      </c>
      <c r="L9015" s="1192" t="s">
        <v>431</v>
      </c>
      <c r="P9015" s="1192" t="s">
        <v>2511</v>
      </c>
      <c r="T9015" s="1192">
        <v>44926</v>
      </c>
      <c r="V9015" s="1192">
        <v>64</v>
      </c>
    </row>
    <row r="9016" spans="1:22" s="1192" customFormat="1" ht="14.4" x14ac:dyDescent="0.3">
      <c r="A9016" s="1192" t="s">
        <v>175</v>
      </c>
      <c r="E9016" s="1741" t="s">
        <v>4659</v>
      </c>
      <c r="F9016" s="1741"/>
      <c r="G9016" s="524" t="s">
        <v>19</v>
      </c>
      <c r="H9016" s="1218">
        <v>1.2</v>
      </c>
      <c r="K9016" s="1192" t="s">
        <v>2506</v>
      </c>
      <c r="L9016" s="1192" t="s">
        <v>430</v>
      </c>
      <c r="P9016" s="1192" t="s">
        <v>2646</v>
      </c>
      <c r="T9016" s="1192">
        <v>44316</v>
      </c>
      <c r="V9016" s="1192">
        <v>95</v>
      </c>
    </row>
    <row r="9017" spans="1:22" s="1192" customFormat="1" ht="14.4" x14ac:dyDescent="0.3">
      <c r="A9017" s="1192" t="s">
        <v>175</v>
      </c>
      <c r="E9017" s="1741" t="s">
        <v>14</v>
      </c>
      <c r="F9017" s="1741"/>
      <c r="G9017" s="524" t="s">
        <v>20</v>
      </c>
      <c r="H9017" s="1219">
        <v>3.5000000000000001E-3</v>
      </c>
      <c r="K9017" s="1192" t="s">
        <v>2506</v>
      </c>
      <c r="L9017" s="1192" t="s">
        <v>431</v>
      </c>
      <c r="P9017" s="1192" t="s">
        <v>2513</v>
      </c>
      <c r="V9017" s="1192">
        <v>24</v>
      </c>
    </row>
    <row r="9018" spans="1:22" s="1192" customFormat="1" ht="14.4" x14ac:dyDescent="0.3">
      <c r="A9018" s="1192" t="s">
        <v>175</v>
      </c>
      <c r="E9018" s="1741" t="s">
        <v>6548</v>
      </c>
      <c r="F9018" s="1998"/>
      <c r="G9018" s="524" t="s">
        <v>20</v>
      </c>
      <c r="H9018" s="1219">
        <v>5.0000000000000001E-4</v>
      </c>
      <c r="K9018" s="1192" t="s">
        <v>2506</v>
      </c>
      <c r="L9018" s="1192" t="s">
        <v>430</v>
      </c>
      <c r="P9018" s="1192" t="s">
        <v>2515</v>
      </c>
      <c r="T9018" s="1192">
        <v>44316</v>
      </c>
      <c r="V9018" s="1192">
        <v>134</v>
      </c>
    </row>
    <row r="9019" spans="1:22" s="1192" customFormat="1" ht="14.4" x14ac:dyDescent="0.3">
      <c r="A9019" s="1192" t="s">
        <v>175</v>
      </c>
      <c r="E9019" s="1741" t="s">
        <v>6549</v>
      </c>
      <c r="F9019" s="1741"/>
      <c r="G9019" s="524" t="s">
        <v>20</v>
      </c>
      <c r="H9019" s="1219">
        <v>2.8E-3</v>
      </c>
      <c r="K9019" s="1192" t="s">
        <v>2506</v>
      </c>
      <c r="L9019" s="1192" t="s">
        <v>430</v>
      </c>
      <c r="P9019" s="1192" t="s">
        <v>6550</v>
      </c>
      <c r="T9019" s="1192">
        <v>44681</v>
      </c>
      <c r="V9019" s="1192">
        <v>87</v>
      </c>
    </row>
    <row r="9020" spans="1:22" s="1192" customFormat="1" ht="14.4" x14ac:dyDescent="0.3">
      <c r="A9020" s="1192" t="s">
        <v>175</v>
      </c>
      <c r="E9020" s="1741" t="s">
        <v>213</v>
      </c>
      <c r="F9020" s="1741"/>
      <c r="G9020" s="524" t="s">
        <v>20</v>
      </c>
      <c r="H9020" s="1219">
        <v>7.3000000000000001E-3</v>
      </c>
      <c r="K9020" s="1192" t="s">
        <v>2506</v>
      </c>
      <c r="L9020" s="1192" t="s">
        <v>432</v>
      </c>
      <c r="P9020" s="1192" t="s">
        <v>2517</v>
      </c>
      <c r="V9020" s="1192">
        <v>47</v>
      </c>
    </row>
    <row r="9021" spans="1:22" s="1192" customFormat="1" ht="14.4" x14ac:dyDescent="0.3">
      <c r="A9021" s="1192" t="s">
        <v>175</v>
      </c>
      <c r="E9021" s="1741" t="s">
        <v>209</v>
      </c>
      <c r="F9021" s="1741"/>
      <c r="G9021" s="524" t="s">
        <v>20</v>
      </c>
      <c r="H9021" s="1219">
        <v>5.1000000000000004E-3</v>
      </c>
      <c r="K9021" s="1192" t="s">
        <v>2506</v>
      </c>
      <c r="L9021" s="1192" t="s">
        <v>432</v>
      </c>
      <c r="P9021" s="1192" t="s">
        <v>2518</v>
      </c>
      <c r="V9021" s="1192">
        <v>74</v>
      </c>
    </row>
    <row r="9022" spans="1:22" s="1192" customFormat="1" ht="14.4" x14ac:dyDescent="0.3">
      <c r="A9022" s="1192" t="s">
        <v>175</v>
      </c>
      <c r="E9022" s="1750" t="s">
        <v>2405</v>
      </c>
      <c r="F9022" s="1741"/>
      <c r="G9022" s="1277"/>
      <c r="H9022" s="896"/>
      <c r="K9022" s="1192" t="s">
        <v>2406</v>
      </c>
      <c r="V9022" s="1192">
        <v>48</v>
      </c>
    </row>
    <row r="9023" spans="1:22" s="1192" customFormat="1" ht="14.4" x14ac:dyDescent="0.3">
      <c r="A9023" s="1192" t="s">
        <v>175</v>
      </c>
      <c r="E9023" s="1741" t="s">
        <v>2033</v>
      </c>
      <c r="F9023" s="1741"/>
      <c r="G9023" s="524" t="s">
        <v>20</v>
      </c>
      <c r="H9023" s="1219">
        <v>3.0000000000000001E-3</v>
      </c>
      <c r="K9023" s="1192" t="s">
        <v>2506</v>
      </c>
      <c r="L9023" s="1192" t="s">
        <v>2374</v>
      </c>
      <c r="P9023" s="1192" t="s">
        <v>2519</v>
      </c>
      <c r="V9023" s="1192">
        <v>55</v>
      </c>
    </row>
    <row r="9024" spans="1:22" s="1192" customFormat="1" ht="14.4" x14ac:dyDescent="0.3">
      <c r="A9024" s="1192" t="s">
        <v>175</v>
      </c>
      <c r="E9024" s="1741" t="s">
        <v>2034</v>
      </c>
      <c r="F9024" s="1741"/>
      <c r="G9024" s="524" t="s">
        <v>20</v>
      </c>
      <c r="H9024" s="1219">
        <v>4.0000000000000002E-4</v>
      </c>
      <c r="K9024" s="1192" t="s">
        <v>2506</v>
      </c>
      <c r="L9024" s="1192" t="s">
        <v>2374</v>
      </c>
      <c r="P9024" s="1192" t="s">
        <v>2519</v>
      </c>
      <c r="V9024" s="1192">
        <v>65</v>
      </c>
    </row>
    <row r="9025" spans="1:22" s="1192" customFormat="1" ht="14.4" x14ac:dyDescent="0.3">
      <c r="A9025" s="1192" t="s">
        <v>175</v>
      </c>
      <c r="E9025" s="1741" t="s">
        <v>428</v>
      </c>
      <c r="F9025" s="1741"/>
      <c r="G9025" s="524" t="s">
        <v>20</v>
      </c>
      <c r="H9025" s="1219">
        <v>5.0000000000000001E-4</v>
      </c>
      <c r="K9025" s="1192" t="s">
        <v>2506</v>
      </c>
      <c r="L9025" s="1192" t="s">
        <v>2374</v>
      </c>
      <c r="P9025" s="1192" t="s">
        <v>2520</v>
      </c>
      <c r="V9025" s="1192">
        <v>57</v>
      </c>
    </row>
    <row r="9026" spans="1:22" s="1192" customFormat="1" ht="14.4" x14ac:dyDescent="0.3">
      <c r="A9026" s="1192" t="s">
        <v>175</v>
      </c>
      <c r="E9026" s="1741" t="s">
        <v>28</v>
      </c>
      <c r="F9026" s="1741"/>
      <c r="G9026" s="524" t="s">
        <v>19</v>
      </c>
      <c r="H9026" s="1218">
        <v>0.25</v>
      </c>
      <c r="K9026" s="1192" t="s">
        <v>2506</v>
      </c>
      <c r="L9026" s="1192" t="s">
        <v>2374</v>
      </c>
      <c r="P9026" s="1192" t="s">
        <v>2521</v>
      </c>
      <c r="V9026" s="1192">
        <v>63</v>
      </c>
    </row>
    <row r="9027" spans="1:22" s="1192" customFormat="1" ht="17.399999999999999" x14ac:dyDescent="0.3">
      <c r="A9027" s="1192" t="s">
        <v>175</v>
      </c>
      <c r="E9027" s="1746" t="s">
        <v>2522</v>
      </c>
      <c r="F9027" s="1747"/>
      <c r="G9027" s="1747"/>
      <c r="H9027" s="1747"/>
      <c r="K9027" s="1192" t="s">
        <v>3901</v>
      </c>
      <c r="V9027" s="1192">
        <v>54</v>
      </c>
    </row>
    <row r="9028" spans="1:22" s="1192" customFormat="1" ht="14.4" x14ac:dyDescent="0.3">
      <c r="A9028" s="1192" t="s">
        <v>175</v>
      </c>
      <c r="E9028" s="1743" t="s">
        <v>3316</v>
      </c>
      <c r="F9028" s="1743"/>
      <c r="G9028" s="1743"/>
      <c r="H9028" s="1743"/>
      <c r="K9028" s="1192" t="s">
        <v>3901</v>
      </c>
      <c r="V9028" s="1192">
        <v>334</v>
      </c>
    </row>
    <row r="9029" spans="1:22" s="1192" customFormat="1" ht="14.4" x14ac:dyDescent="0.3">
      <c r="A9029" s="1192" t="s">
        <v>175</v>
      </c>
      <c r="E9029" s="1750" t="s">
        <v>2389</v>
      </c>
      <c r="F9029" s="1743"/>
      <c r="G9029" s="1743"/>
      <c r="H9029" s="1743"/>
      <c r="K9029" s="1192" t="s">
        <v>2412</v>
      </c>
      <c r="V9029" s="1192">
        <v>11</v>
      </c>
    </row>
    <row r="9030" spans="1:22" s="1192" customFormat="1" ht="14.4" x14ac:dyDescent="0.3">
      <c r="A9030" s="1192" t="s">
        <v>175</v>
      </c>
      <c r="E9030" s="1743" t="s">
        <v>2391</v>
      </c>
      <c r="F9030" s="1743"/>
      <c r="G9030" s="1743"/>
      <c r="H9030" s="1743"/>
      <c r="K9030" s="1192" t="s">
        <v>3901</v>
      </c>
      <c r="V9030" s="1192">
        <v>280</v>
      </c>
    </row>
    <row r="9031" spans="1:22" s="1192" customFormat="1" ht="14.4" x14ac:dyDescent="0.3">
      <c r="A9031" s="1192" t="s">
        <v>175</v>
      </c>
      <c r="E9031" s="1743" t="s">
        <v>2392</v>
      </c>
      <c r="F9031" s="1743"/>
      <c r="G9031" s="1743"/>
      <c r="H9031" s="1743"/>
      <c r="K9031" s="1192" t="s">
        <v>3901</v>
      </c>
      <c r="V9031" s="1192">
        <v>411</v>
      </c>
    </row>
    <row r="9032" spans="1:22" s="1192" customFormat="1" ht="14.4" x14ac:dyDescent="0.3">
      <c r="A9032" s="1192" t="s">
        <v>175</v>
      </c>
      <c r="E9032" s="1743" t="s">
        <v>2508</v>
      </c>
      <c r="F9032" s="1743"/>
      <c r="G9032" s="1743"/>
      <c r="H9032" s="1743"/>
      <c r="K9032" s="1192" t="s">
        <v>3901</v>
      </c>
      <c r="V9032" s="1192">
        <v>386</v>
      </c>
    </row>
    <row r="9033" spans="1:22" s="1192" customFormat="1" ht="14.4" x14ac:dyDescent="0.3">
      <c r="A9033" s="1192" t="s">
        <v>175</v>
      </c>
      <c r="E9033" s="1743" t="s">
        <v>2986</v>
      </c>
      <c r="F9033" s="1743"/>
      <c r="G9033" s="1743"/>
      <c r="H9033" s="1743"/>
      <c r="K9033" s="1192" t="s">
        <v>3901</v>
      </c>
      <c r="V9033" s="1192">
        <v>246</v>
      </c>
    </row>
    <row r="9034" spans="1:22" s="1192" customFormat="1" ht="14.4" x14ac:dyDescent="0.3">
      <c r="A9034" s="1192" t="s">
        <v>175</v>
      </c>
      <c r="E9034" s="1750" t="s">
        <v>2394</v>
      </c>
      <c r="F9034" s="1743"/>
      <c r="G9034" s="1743"/>
      <c r="H9034" s="1743"/>
      <c r="K9034" s="1192" t="s">
        <v>2413</v>
      </c>
      <c r="V9034" s="1192">
        <v>46</v>
      </c>
    </row>
    <row r="9035" spans="1:22" s="1192" customFormat="1" ht="14.4" x14ac:dyDescent="0.3">
      <c r="A9035" s="1192" t="s">
        <v>175</v>
      </c>
      <c r="E9035" s="1741" t="s">
        <v>7</v>
      </c>
      <c r="F9035" s="1741"/>
      <c r="G9035" s="524" t="s">
        <v>19</v>
      </c>
      <c r="H9035" s="1218">
        <v>36.69</v>
      </c>
      <c r="K9035" s="1192" t="s">
        <v>3901</v>
      </c>
      <c r="L9035" s="1192" t="s">
        <v>430</v>
      </c>
      <c r="P9035" s="1192" t="s">
        <v>3902</v>
      </c>
      <c r="V9035" s="1192">
        <v>14</v>
      </c>
    </row>
    <row r="9036" spans="1:22" s="1192" customFormat="1" ht="14.4" x14ac:dyDescent="0.3">
      <c r="A9036" s="1192" t="s">
        <v>175</v>
      </c>
      <c r="E9036" s="1741" t="s">
        <v>3900</v>
      </c>
      <c r="F9036" s="1741"/>
      <c r="G9036" s="524" t="s">
        <v>19</v>
      </c>
      <c r="H9036" s="1218">
        <v>0.56999999999999995</v>
      </c>
      <c r="K9036" s="1192" t="s">
        <v>3901</v>
      </c>
      <c r="L9036" s="1192" t="s">
        <v>431</v>
      </c>
      <c r="P9036" s="1192" t="s">
        <v>3903</v>
      </c>
      <c r="T9036" s="1192">
        <v>44926</v>
      </c>
      <c r="V9036" s="1192">
        <v>64</v>
      </c>
    </row>
    <row r="9037" spans="1:22" s="1192" customFormat="1" ht="14.4" x14ac:dyDescent="0.3">
      <c r="A9037" s="1192" t="s">
        <v>175</v>
      </c>
      <c r="E9037" s="1741" t="s">
        <v>4659</v>
      </c>
      <c r="F9037" s="1741"/>
      <c r="G9037" s="524" t="s">
        <v>19</v>
      </c>
      <c r="H9037" s="1218">
        <v>1.2</v>
      </c>
      <c r="K9037" s="1192" t="s">
        <v>3901</v>
      </c>
      <c r="L9037" s="1192" t="s">
        <v>430</v>
      </c>
      <c r="P9037" s="1192" t="s">
        <v>4060</v>
      </c>
      <c r="T9037" s="1192">
        <v>44316</v>
      </c>
      <c r="V9037" s="1192">
        <v>95</v>
      </c>
    </row>
    <row r="9038" spans="1:22" s="1192" customFormat="1" ht="14.4" x14ac:dyDescent="0.3">
      <c r="A9038" s="1192" t="s">
        <v>175</v>
      </c>
      <c r="E9038" s="1741" t="s">
        <v>80</v>
      </c>
      <c r="F9038" s="1741"/>
      <c r="G9038" s="524" t="s">
        <v>20</v>
      </c>
      <c r="H9038" s="1219">
        <v>1.2500000000000001E-2</v>
      </c>
      <c r="K9038" s="1192" t="s">
        <v>3901</v>
      </c>
      <c r="L9038" s="1192" t="s">
        <v>430</v>
      </c>
      <c r="P9038" s="1192" t="s">
        <v>3904</v>
      </c>
      <c r="V9038" s="1192">
        <v>28</v>
      </c>
    </row>
    <row r="9039" spans="1:22" s="1192" customFormat="1" ht="14.4" x14ac:dyDescent="0.3">
      <c r="A9039" s="1192" t="s">
        <v>175</v>
      </c>
      <c r="E9039" s="1741" t="s">
        <v>14</v>
      </c>
      <c r="F9039" s="1741"/>
      <c r="G9039" s="524" t="s">
        <v>20</v>
      </c>
      <c r="H9039" s="1219">
        <v>3.3999999999999998E-3</v>
      </c>
      <c r="K9039" s="1192" t="s">
        <v>3901</v>
      </c>
      <c r="L9039" s="1192" t="s">
        <v>431</v>
      </c>
      <c r="P9039" s="1192" t="s">
        <v>3905</v>
      </c>
      <c r="V9039" s="1192">
        <v>24</v>
      </c>
    </row>
    <row r="9040" spans="1:22" s="1192" customFormat="1" ht="14.4" x14ac:dyDescent="0.3">
      <c r="A9040" s="1192" t="s">
        <v>175</v>
      </c>
      <c r="E9040" s="1741" t="s">
        <v>6548</v>
      </c>
      <c r="F9040" s="1998"/>
      <c r="G9040" s="524" t="s">
        <v>20</v>
      </c>
      <c r="H9040" s="1219">
        <v>1.1000000000000001E-3</v>
      </c>
      <c r="K9040" s="1192" t="s">
        <v>3901</v>
      </c>
      <c r="L9040" s="1192" t="s">
        <v>430</v>
      </c>
      <c r="P9040" s="1192" t="s">
        <v>4000</v>
      </c>
      <c r="T9040" s="1192">
        <v>44316</v>
      </c>
      <c r="V9040" s="1192">
        <v>134</v>
      </c>
    </row>
    <row r="9041" spans="1:22" s="1192" customFormat="1" ht="14.4" x14ac:dyDescent="0.3">
      <c r="A9041" s="1192" t="s">
        <v>175</v>
      </c>
      <c r="E9041" s="1741" t="s">
        <v>6549</v>
      </c>
      <c r="F9041" s="1741"/>
      <c r="G9041" s="524" t="s">
        <v>20</v>
      </c>
      <c r="H9041" s="1219">
        <v>2.5999999999999999E-3</v>
      </c>
      <c r="K9041" s="1192" t="s">
        <v>3901</v>
      </c>
      <c r="L9041" s="1192" t="s">
        <v>430</v>
      </c>
      <c r="P9041" s="1192" t="s">
        <v>6125</v>
      </c>
      <c r="T9041" s="1192">
        <v>44681</v>
      </c>
      <c r="V9041" s="1192">
        <v>87</v>
      </c>
    </row>
    <row r="9042" spans="1:22" s="1192" customFormat="1" ht="14.4" x14ac:dyDescent="0.3">
      <c r="A9042" s="1192" t="s">
        <v>175</v>
      </c>
      <c r="E9042" s="1741" t="s">
        <v>213</v>
      </c>
      <c r="F9042" s="1741"/>
      <c r="G9042" s="524" t="s">
        <v>20</v>
      </c>
      <c r="H9042" s="1219">
        <v>6.1999999999999998E-3</v>
      </c>
      <c r="K9042" s="1192" t="s">
        <v>3901</v>
      </c>
      <c r="L9042" s="1192" t="s">
        <v>432</v>
      </c>
      <c r="P9042" s="1192" t="s">
        <v>3906</v>
      </c>
      <c r="V9042" s="1192">
        <v>47</v>
      </c>
    </row>
    <row r="9043" spans="1:22" s="1192" customFormat="1" ht="14.4" x14ac:dyDescent="0.3">
      <c r="A9043" s="1192" t="s">
        <v>175</v>
      </c>
      <c r="E9043" s="1741" t="s">
        <v>209</v>
      </c>
      <c r="F9043" s="1741"/>
      <c r="G9043" s="524" t="s">
        <v>20</v>
      </c>
      <c r="H9043" s="1219">
        <v>5.0000000000000001E-3</v>
      </c>
      <c r="K9043" s="1192" t="s">
        <v>3901</v>
      </c>
      <c r="L9043" s="1192" t="s">
        <v>432</v>
      </c>
      <c r="P9043" s="1192" t="s">
        <v>3907</v>
      </c>
      <c r="V9043" s="1192">
        <v>74</v>
      </c>
    </row>
    <row r="9044" spans="1:22" s="1192" customFormat="1" ht="14.4" x14ac:dyDescent="0.3">
      <c r="A9044" s="1192" t="s">
        <v>175</v>
      </c>
      <c r="E9044" s="1750" t="s">
        <v>2405</v>
      </c>
      <c r="F9044" s="1741"/>
      <c r="G9044" s="1277"/>
      <c r="H9044" s="896"/>
      <c r="K9044" s="1192" t="s">
        <v>2418</v>
      </c>
      <c r="V9044" s="1192">
        <v>48</v>
      </c>
    </row>
    <row r="9045" spans="1:22" s="1192" customFormat="1" ht="14.4" x14ac:dyDescent="0.3">
      <c r="A9045" s="1192" t="s">
        <v>175</v>
      </c>
      <c r="E9045" s="1741" t="s">
        <v>2033</v>
      </c>
      <c r="F9045" s="1741"/>
      <c r="G9045" s="524" t="s">
        <v>20</v>
      </c>
      <c r="H9045" s="1219">
        <v>3.0000000000000001E-3</v>
      </c>
      <c r="K9045" s="1192" t="s">
        <v>3901</v>
      </c>
      <c r="L9045" s="1192" t="s">
        <v>2374</v>
      </c>
      <c r="P9045" s="1192" t="s">
        <v>3908</v>
      </c>
      <c r="V9045" s="1192">
        <v>55</v>
      </c>
    </row>
    <row r="9046" spans="1:22" s="1192" customFormat="1" ht="14.4" x14ac:dyDescent="0.3">
      <c r="A9046" s="1192" t="s">
        <v>175</v>
      </c>
      <c r="E9046" s="1741" t="s">
        <v>2034</v>
      </c>
      <c r="F9046" s="1741"/>
      <c r="G9046" s="524" t="s">
        <v>20</v>
      </c>
      <c r="H9046" s="1219">
        <v>4.0000000000000002E-4</v>
      </c>
      <c r="K9046" s="1192" t="s">
        <v>3901</v>
      </c>
      <c r="L9046" s="1192" t="s">
        <v>2374</v>
      </c>
      <c r="P9046" s="1192" t="s">
        <v>3908</v>
      </c>
      <c r="V9046" s="1192">
        <v>65</v>
      </c>
    </row>
    <row r="9047" spans="1:22" s="1192" customFormat="1" ht="14.4" x14ac:dyDescent="0.3">
      <c r="A9047" s="1192" t="s">
        <v>175</v>
      </c>
      <c r="E9047" s="1741" t="s">
        <v>428</v>
      </c>
      <c r="F9047" s="1741"/>
      <c r="G9047" s="524" t="s">
        <v>20</v>
      </c>
      <c r="H9047" s="1219">
        <v>5.0000000000000001E-4</v>
      </c>
      <c r="K9047" s="1192" t="s">
        <v>3901</v>
      </c>
      <c r="L9047" s="1192" t="s">
        <v>2374</v>
      </c>
      <c r="P9047" s="1192" t="s">
        <v>3909</v>
      </c>
      <c r="V9047" s="1192">
        <v>57</v>
      </c>
    </row>
    <row r="9048" spans="1:22" s="1192" customFormat="1" ht="14.4" x14ac:dyDescent="0.3">
      <c r="A9048" s="1192" t="s">
        <v>175</v>
      </c>
      <c r="E9048" s="1741" t="s">
        <v>28</v>
      </c>
      <c r="F9048" s="1741"/>
      <c r="G9048" s="524" t="s">
        <v>19</v>
      </c>
      <c r="H9048" s="1218">
        <v>0.25</v>
      </c>
      <c r="K9048" s="1192" t="s">
        <v>3901</v>
      </c>
      <c r="L9048" s="1192" t="s">
        <v>2374</v>
      </c>
      <c r="P9048" s="1192" t="s">
        <v>3910</v>
      </c>
      <c r="V9048" s="1192">
        <v>63</v>
      </c>
    </row>
    <row r="9049" spans="1:22" s="1192" customFormat="1" ht="17.399999999999999" x14ac:dyDescent="0.3">
      <c r="A9049" s="1192" t="s">
        <v>175</v>
      </c>
      <c r="E9049" s="1746" t="s">
        <v>591</v>
      </c>
      <c r="F9049" s="1747"/>
      <c r="G9049" s="1747"/>
      <c r="H9049" s="1747"/>
      <c r="K9049" s="1192" t="s">
        <v>4388</v>
      </c>
      <c r="V9049" s="1192">
        <v>53</v>
      </c>
    </row>
    <row r="9050" spans="1:22" s="1192" customFormat="1" ht="14.4" x14ac:dyDescent="0.3">
      <c r="A9050" s="1192" t="s">
        <v>175</v>
      </c>
      <c r="E9050" s="1743" t="s">
        <v>2807</v>
      </c>
      <c r="F9050" s="1743"/>
      <c r="G9050" s="1743"/>
      <c r="H9050" s="1743"/>
      <c r="K9050" s="1192" t="s">
        <v>4388</v>
      </c>
      <c r="V9050" s="1192">
        <v>356</v>
      </c>
    </row>
    <row r="9051" spans="1:22" s="1192" customFormat="1" ht="14.4" x14ac:dyDescent="0.3">
      <c r="A9051" s="1192" t="s">
        <v>175</v>
      </c>
      <c r="E9051" s="1750" t="s">
        <v>2389</v>
      </c>
      <c r="F9051" s="1743"/>
      <c r="G9051" s="1743"/>
      <c r="H9051" s="1743"/>
      <c r="K9051" s="1192" t="s">
        <v>2422</v>
      </c>
      <c r="V9051" s="1192">
        <v>11</v>
      </c>
    </row>
    <row r="9052" spans="1:22" s="1192" customFormat="1" ht="14.4" x14ac:dyDescent="0.3">
      <c r="A9052" s="1192" t="s">
        <v>175</v>
      </c>
      <c r="E9052" s="1743" t="s">
        <v>2391</v>
      </c>
      <c r="F9052" s="1743"/>
      <c r="G9052" s="1743"/>
      <c r="H9052" s="1743"/>
      <c r="K9052" s="1192" t="s">
        <v>4388</v>
      </c>
      <c r="V9052" s="1192">
        <v>280</v>
      </c>
    </row>
    <row r="9053" spans="1:22" s="1192" customFormat="1" ht="14.4" x14ac:dyDescent="0.3">
      <c r="A9053" s="1192" t="s">
        <v>175</v>
      </c>
      <c r="E9053" s="1743" t="s">
        <v>2392</v>
      </c>
      <c r="F9053" s="1743"/>
      <c r="G9053" s="1743"/>
      <c r="H9053" s="1743"/>
      <c r="K9053" s="1192" t="s">
        <v>4388</v>
      </c>
      <c r="V9053" s="1192">
        <v>411</v>
      </c>
    </row>
    <row r="9054" spans="1:22" s="1192" customFormat="1" ht="14.4" x14ac:dyDescent="0.3">
      <c r="A9054" s="1192" t="s">
        <v>175</v>
      </c>
      <c r="E9054" s="1743" t="s">
        <v>2508</v>
      </c>
      <c r="F9054" s="1743"/>
      <c r="G9054" s="1743"/>
      <c r="H9054" s="1743"/>
      <c r="K9054" s="1192" t="s">
        <v>4388</v>
      </c>
      <c r="V9054" s="1192">
        <v>386</v>
      </c>
    </row>
    <row r="9055" spans="1:22" s="1192" customFormat="1" ht="14.4" x14ac:dyDescent="0.3">
      <c r="A9055" s="1192" t="s">
        <v>175</v>
      </c>
      <c r="E9055" s="1743" t="s">
        <v>4632</v>
      </c>
      <c r="F9055" s="1743"/>
      <c r="G9055" s="1743"/>
      <c r="H9055" s="1743"/>
      <c r="K9055" s="1192" t="s">
        <v>4388</v>
      </c>
      <c r="V9055" s="1192">
        <v>680</v>
      </c>
    </row>
    <row r="9056" spans="1:22" s="1192" customFormat="1" ht="14.4" x14ac:dyDescent="0.3">
      <c r="A9056" s="1192" t="s">
        <v>175</v>
      </c>
      <c r="E9056" s="1743" t="s">
        <v>4644</v>
      </c>
      <c r="F9056" s="1743"/>
      <c r="G9056" s="1743"/>
      <c r="H9056" s="1743"/>
      <c r="K9056" s="1192" t="s">
        <v>4388</v>
      </c>
      <c r="V9056" s="1192">
        <v>693</v>
      </c>
    </row>
    <row r="9057" spans="1:22" s="1192" customFormat="1" ht="14.4" x14ac:dyDescent="0.3">
      <c r="A9057" s="1192" t="s">
        <v>175</v>
      </c>
      <c r="E9057" s="1743" t="s">
        <v>2986</v>
      </c>
      <c r="F9057" s="1743"/>
      <c r="G9057" s="1743"/>
      <c r="H9057" s="1743"/>
      <c r="K9057" s="1192" t="s">
        <v>4388</v>
      </c>
      <c r="V9057" s="1192">
        <v>246</v>
      </c>
    </row>
    <row r="9058" spans="1:22" s="1192" customFormat="1" ht="14.4" x14ac:dyDescent="0.3">
      <c r="A9058" s="1192" t="s">
        <v>175</v>
      </c>
      <c r="E9058" s="1750" t="s">
        <v>2394</v>
      </c>
      <c r="F9058" s="1743"/>
      <c r="G9058" s="1743"/>
      <c r="H9058" s="1743"/>
      <c r="K9058" s="1192" t="s">
        <v>2423</v>
      </c>
      <c r="V9058" s="1192">
        <v>46</v>
      </c>
    </row>
    <row r="9059" spans="1:22" s="1192" customFormat="1" ht="14.4" x14ac:dyDescent="0.3">
      <c r="A9059" s="1192" t="s">
        <v>175</v>
      </c>
      <c r="E9059" s="1741" t="s">
        <v>7</v>
      </c>
      <c r="F9059" s="1741"/>
      <c r="G9059" s="524" t="s">
        <v>19</v>
      </c>
      <c r="H9059" s="1218">
        <v>240.19</v>
      </c>
      <c r="K9059" s="1192" t="s">
        <v>4388</v>
      </c>
      <c r="L9059" s="1192" t="s">
        <v>430</v>
      </c>
      <c r="P9059" s="1192" t="s">
        <v>4389</v>
      </c>
      <c r="V9059" s="1192">
        <v>14</v>
      </c>
    </row>
    <row r="9060" spans="1:22" s="1192" customFormat="1" ht="14.4" x14ac:dyDescent="0.3">
      <c r="A9060" s="1192" t="s">
        <v>175</v>
      </c>
      <c r="E9060" s="1741" t="s">
        <v>80</v>
      </c>
      <c r="F9060" s="1741"/>
      <c r="G9060" s="524" t="s">
        <v>29</v>
      </c>
      <c r="H9060" s="1219">
        <v>2.3227000000000002</v>
      </c>
      <c r="K9060" s="1192" t="s">
        <v>4388</v>
      </c>
      <c r="L9060" s="1192" t="s">
        <v>430</v>
      </c>
      <c r="P9060" s="1192" t="s">
        <v>4390</v>
      </c>
      <c r="V9060" s="1192">
        <v>28</v>
      </c>
    </row>
    <row r="9061" spans="1:22" s="1192" customFormat="1" ht="14.4" x14ac:dyDescent="0.3">
      <c r="A9061" s="1192" t="s">
        <v>175</v>
      </c>
      <c r="E9061" s="1741" t="s">
        <v>14</v>
      </c>
      <c r="F9061" s="1741"/>
      <c r="G9061" s="524" t="s">
        <v>29</v>
      </c>
      <c r="H9061" s="1219">
        <v>1.4461999999999999</v>
      </c>
      <c r="K9061" s="1192" t="s">
        <v>4388</v>
      </c>
      <c r="L9061" s="1192" t="s">
        <v>431</v>
      </c>
      <c r="P9061" s="1192" t="s">
        <v>4391</v>
      </c>
      <c r="V9061" s="1192">
        <v>24</v>
      </c>
    </row>
    <row r="9062" spans="1:22" s="1192" customFormat="1" ht="14.4" x14ac:dyDescent="0.3">
      <c r="A9062" s="1192" t="s">
        <v>175</v>
      </c>
      <c r="E9062" s="1741" t="s">
        <v>6548</v>
      </c>
      <c r="F9062" s="1998"/>
      <c r="G9062" s="524" t="s">
        <v>29</v>
      </c>
      <c r="H9062" s="1219">
        <v>5.7000000000000002E-2</v>
      </c>
      <c r="K9062" s="1192" t="s">
        <v>4388</v>
      </c>
      <c r="L9062" s="1192" t="s">
        <v>430</v>
      </c>
      <c r="P9062" s="1192" t="s">
        <v>4400</v>
      </c>
      <c r="T9062" s="1192">
        <v>44316</v>
      </c>
      <c r="V9062" s="1192">
        <v>134</v>
      </c>
    </row>
    <row r="9063" spans="1:22" s="1192" customFormat="1" ht="14.4" x14ac:dyDescent="0.3">
      <c r="A9063" s="1192" t="s">
        <v>175</v>
      </c>
      <c r="E9063" s="1741" t="s">
        <v>6549</v>
      </c>
      <c r="F9063" s="1741"/>
      <c r="G9063" s="524" t="s">
        <v>29</v>
      </c>
      <c r="H9063" s="1219">
        <v>0.96879999999999999</v>
      </c>
      <c r="K9063" s="1192" t="s">
        <v>4388</v>
      </c>
      <c r="L9063" s="1192" t="s">
        <v>430</v>
      </c>
      <c r="P9063" s="1192" t="s">
        <v>6551</v>
      </c>
      <c r="T9063" s="1192">
        <v>44681</v>
      </c>
      <c r="V9063" s="1192">
        <v>87</v>
      </c>
    </row>
    <row r="9064" spans="1:22" s="1192" customFormat="1" ht="14.4" x14ac:dyDescent="0.3">
      <c r="A9064" s="1192" t="s">
        <v>175</v>
      </c>
      <c r="E9064" s="1741" t="s">
        <v>6552</v>
      </c>
      <c r="F9064" s="1741"/>
      <c r="G9064" s="524" t="s">
        <v>29</v>
      </c>
      <c r="H9064" s="1219">
        <v>1.337</v>
      </c>
      <c r="K9064" s="1192" t="s">
        <v>4388</v>
      </c>
      <c r="L9064" s="1192" t="s">
        <v>430</v>
      </c>
      <c r="P9064" s="1192" t="s">
        <v>6553</v>
      </c>
      <c r="T9064" s="1192">
        <v>44681</v>
      </c>
      <c r="V9064" s="1192">
        <v>106</v>
      </c>
    </row>
    <row r="9065" spans="1:22" s="1192" customFormat="1" ht="14.4" x14ac:dyDescent="0.3">
      <c r="A9065" s="1192" t="s">
        <v>175</v>
      </c>
      <c r="E9065" s="1741" t="s">
        <v>213</v>
      </c>
      <c r="F9065" s="1741"/>
      <c r="G9065" s="524" t="s">
        <v>29</v>
      </c>
      <c r="H9065" s="1219">
        <v>2.5939999999999999</v>
      </c>
      <c r="K9065" s="1192" t="s">
        <v>4388</v>
      </c>
      <c r="L9065" s="1192" t="s">
        <v>432</v>
      </c>
      <c r="P9065" s="1192" t="s">
        <v>4392</v>
      </c>
      <c r="V9065" s="1192">
        <v>47</v>
      </c>
    </row>
    <row r="9066" spans="1:22" s="1192" customFormat="1" ht="14.4" x14ac:dyDescent="0.3">
      <c r="A9066" s="1192" t="s">
        <v>175</v>
      </c>
      <c r="E9066" s="1741" t="s">
        <v>209</v>
      </c>
      <c r="F9066" s="1741"/>
      <c r="G9066" s="524" t="s">
        <v>29</v>
      </c>
      <c r="H9066" s="1219">
        <v>1.9979</v>
      </c>
      <c r="K9066" s="1192" t="s">
        <v>4388</v>
      </c>
      <c r="L9066" s="1192" t="s">
        <v>432</v>
      </c>
      <c r="P9066" s="1192" t="s">
        <v>4393</v>
      </c>
      <c r="V9066" s="1192">
        <v>74</v>
      </c>
    </row>
    <row r="9067" spans="1:22" s="1192" customFormat="1" ht="14.4" x14ac:dyDescent="0.3">
      <c r="A9067" s="1192" t="s">
        <v>175</v>
      </c>
      <c r="E9067" s="1741" t="s">
        <v>215</v>
      </c>
      <c r="F9067" s="1741"/>
      <c r="G9067" s="524" t="s">
        <v>29</v>
      </c>
      <c r="H9067" s="1219">
        <v>3.1953999999999998</v>
      </c>
      <c r="K9067" s="1192" t="s">
        <v>4388</v>
      </c>
      <c r="L9067" s="1192" t="s">
        <v>432</v>
      </c>
      <c r="P9067" s="1192" t="s">
        <v>4392</v>
      </c>
      <c r="V9067" s="1192">
        <v>66</v>
      </c>
    </row>
    <row r="9068" spans="1:22" s="1192" customFormat="1" ht="14.4" x14ac:dyDescent="0.3">
      <c r="A9068" s="1192" t="s">
        <v>175</v>
      </c>
      <c r="E9068" s="1741" t="s">
        <v>211</v>
      </c>
      <c r="F9068" s="1741"/>
      <c r="G9068" s="524" t="s">
        <v>29</v>
      </c>
      <c r="H9068" s="1219">
        <v>2.2153999999999998</v>
      </c>
      <c r="K9068" s="1192" t="s">
        <v>4388</v>
      </c>
      <c r="L9068" s="1192" t="s">
        <v>432</v>
      </c>
      <c r="P9068" s="1192" t="s">
        <v>4393</v>
      </c>
      <c r="V9068" s="1192">
        <v>93</v>
      </c>
    </row>
    <row r="9069" spans="1:22" s="1192" customFormat="1" ht="14.4" x14ac:dyDescent="0.3">
      <c r="A9069" s="1192" t="s">
        <v>175</v>
      </c>
      <c r="E9069" s="1750" t="s">
        <v>2405</v>
      </c>
      <c r="F9069" s="1741"/>
      <c r="G9069" s="1277"/>
      <c r="H9069" s="896"/>
      <c r="K9069" s="1192" t="s">
        <v>2526</v>
      </c>
      <c r="V9069" s="1192">
        <v>48</v>
      </c>
    </row>
    <row r="9070" spans="1:22" s="1192" customFormat="1" ht="14.4" x14ac:dyDescent="0.3">
      <c r="A9070" s="1192" t="s">
        <v>175</v>
      </c>
      <c r="E9070" s="1741" t="s">
        <v>2033</v>
      </c>
      <c r="F9070" s="1741"/>
      <c r="G9070" s="524" t="s">
        <v>20</v>
      </c>
      <c r="H9070" s="1219">
        <v>3.0000000000000001E-3</v>
      </c>
      <c r="K9070" s="1192" t="s">
        <v>4388</v>
      </c>
      <c r="L9070" s="1192" t="s">
        <v>2374</v>
      </c>
      <c r="P9070" s="1192" t="s">
        <v>4394</v>
      </c>
      <c r="V9070" s="1192">
        <v>55</v>
      </c>
    </row>
    <row r="9071" spans="1:22" s="1192" customFormat="1" ht="14.4" x14ac:dyDescent="0.3">
      <c r="A9071" s="1192" t="s">
        <v>175</v>
      </c>
      <c r="E9071" s="1741" t="s">
        <v>2034</v>
      </c>
      <c r="F9071" s="1741"/>
      <c r="G9071" s="524" t="s">
        <v>20</v>
      </c>
      <c r="H9071" s="1219">
        <v>4.0000000000000002E-4</v>
      </c>
      <c r="K9071" s="1192" t="s">
        <v>4388</v>
      </c>
      <c r="L9071" s="1192" t="s">
        <v>2374</v>
      </c>
      <c r="P9071" s="1192" t="s">
        <v>4394</v>
      </c>
      <c r="V9071" s="1192">
        <v>65</v>
      </c>
    </row>
    <row r="9072" spans="1:22" s="1192" customFormat="1" ht="14.4" x14ac:dyDescent="0.3">
      <c r="A9072" s="1192" t="s">
        <v>175</v>
      </c>
      <c r="E9072" s="1741" t="s">
        <v>428</v>
      </c>
      <c r="F9072" s="1741"/>
      <c r="G9072" s="524" t="s">
        <v>20</v>
      </c>
      <c r="H9072" s="1219">
        <v>5.0000000000000001E-4</v>
      </c>
      <c r="K9072" s="1192" t="s">
        <v>4388</v>
      </c>
      <c r="L9072" s="1192" t="s">
        <v>2374</v>
      </c>
      <c r="P9072" s="1192" t="s">
        <v>4395</v>
      </c>
      <c r="V9072" s="1192">
        <v>57</v>
      </c>
    </row>
    <row r="9073" spans="1:22" s="1192" customFormat="1" ht="14.4" x14ac:dyDescent="0.3">
      <c r="A9073" s="1192" t="s">
        <v>175</v>
      </c>
      <c r="E9073" s="1741" t="s">
        <v>28</v>
      </c>
      <c r="F9073" s="1741"/>
      <c r="G9073" s="524" t="s">
        <v>19</v>
      </c>
      <c r="H9073" s="1218">
        <v>0.25</v>
      </c>
      <c r="K9073" s="1192" t="s">
        <v>4388</v>
      </c>
      <c r="L9073" s="1192" t="s">
        <v>2374</v>
      </c>
      <c r="P9073" s="1192" t="s">
        <v>4396</v>
      </c>
      <c r="V9073" s="1192">
        <v>63</v>
      </c>
    </row>
    <row r="9074" spans="1:22" s="1192" customFormat="1" ht="17.399999999999999" x14ac:dyDescent="0.3">
      <c r="A9074" s="1192" t="s">
        <v>175</v>
      </c>
      <c r="E9074" s="2132" t="s">
        <v>597</v>
      </c>
      <c r="F9074" s="2132"/>
      <c r="G9074" s="2132"/>
      <c r="H9074" s="2132"/>
      <c r="K9074" s="1192" t="s">
        <v>2775</v>
      </c>
      <c r="V9074" s="1192">
        <v>43</v>
      </c>
    </row>
    <row r="9075" spans="1:22" s="1192" customFormat="1" ht="14.4" x14ac:dyDescent="0.3">
      <c r="A9075" s="1192" t="s">
        <v>175</v>
      </c>
      <c r="E9075" s="2244" t="s">
        <v>4660</v>
      </c>
      <c r="F9075" s="2244"/>
      <c r="G9075" s="2244"/>
      <c r="H9075" s="2244"/>
      <c r="K9075" s="1192" t="s">
        <v>2775</v>
      </c>
      <c r="V9075" s="1192">
        <v>256</v>
      </c>
    </row>
    <row r="9076" spans="1:22" s="1192" customFormat="1" ht="14.4" x14ac:dyDescent="0.3">
      <c r="A9076" s="1192" t="s">
        <v>175</v>
      </c>
      <c r="E9076" s="2121" t="s">
        <v>2389</v>
      </c>
      <c r="F9076" s="2131"/>
      <c r="G9076" s="2131"/>
      <c r="H9076" s="2131"/>
      <c r="K9076" s="1192" t="s">
        <v>2529</v>
      </c>
      <c r="V9076" s="1192">
        <v>11</v>
      </c>
    </row>
    <row r="9077" spans="1:22" s="1192" customFormat="1" ht="14.4" x14ac:dyDescent="0.3">
      <c r="A9077" s="1192" t="s">
        <v>175</v>
      </c>
      <c r="E9077" s="2244" t="s">
        <v>4443</v>
      </c>
      <c r="F9077" s="2244"/>
      <c r="G9077" s="2244"/>
      <c r="H9077" s="2244"/>
      <c r="K9077" s="1192" t="s">
        <v>2775</v>
      </c>
      <c r="V9077" s="1192">
        <v>250</v>
      </c>
    </row>
    <row r="9078" spans="1:22" s="1192" customFormat="1" ht="14.4" x14ac:dyDescent="0.3">
      <c r="A9078" s="1192" t="s">
        <v>175</v>
      </c>
      <c r="E9078" s="2244" t="s">
        <v>4661</v>
      </c>
      <c r="F9078" s="2244"/>
      <c r="G9078" s="2244"/>
      <c r="H9078" s="2244"/>
      <c r="K9078" s="1192" t="s">
        <v>2775</v>
      </c>
      <c r="V9078" s="1192">
        <v>377</v>
      </c>
    </row>
    <row r="9079" spans="1:22" s="1192" customFormat="1" ht="14.4" x14ac:dyDescent="0.3">
      <c r="A9079" s="1192" t="s">
        <v>175</v>
      </c>
      <c r="E9079" s="2244" t="s">
        <v>2445</v>
      </c>
      <c r="F9079" s="2244"/>
      <c r="G9079" s="2244"/>
      <c r="H9079" s="2244"/>
      <c r="K9079" s="1192" t="s">
        <v>2775</v>
      </c>
      <c r="V9079" s="1192">
        <v>211</v>
      </c>
    </row>
    <row r="9080" spans="1:22" s="1192" customFormat="1" ht="14.4" x14ac:dyDescent="0.3">
      <c r="A9080" s="1192" t="s">
        <v>175</v>
      </c>
      <c r="E9080" s="1743" t="s">
        <v>2986</v>
      </c>
      <c r="F9080" s="1743"/>
      <c r="G9080" s="1743"/>
      <c r="H9080" s="1743"/>
      <c r="K9080" s="1192" t="s">
        <v>2775</v>
      </c>
      <c r="V9080" s="1192">
        <v>246</v>
      </c>
    </row>
    <row r="9081" spans="1:22" s="1192" customFormat="1" ht="14.4" x14ac:dyDescent="0.3">
      <c r="A9081" s="1192" t="s">
        <v>175</v>
      </c>
      <c r="E9081" s="2121" t="s">
        <v>2394</v>
      </c>
      <c r="F9081" s="1988"/>
      <c r="G9081" s="1988"/>
      <c r="H9081" s="1988"/>
      <c r="K9081" s="1192" t="s">
        <v>2531</v>
      </c>
      <c r="V9081" s="1192">
        <v>46</v>
      </c>
    </row>
    <row r="9082" spans="1:22" s="1192" customFormat="1" ht="15" thickBot="1" x14ac:dyDescent="0.35">
      <c r="A9082" s="1192" t="s">
        <v>175</v>
      </c>
      <c r="E9082" s="1741" t="s">
        <v>7</v>
      </c>
      <c r="F9082" s="2245"/>
      <c r="G9082" s="1347" t="s">
        <v>19</v>
      </c>
      <c r="H9082" s="1218">
        <v>567.74</v>
      </c>
      <c r="K9082" s="1192" t="s">
        <v>2775</v>
      </c>
      <c r="L9082" s="1192" t="s">
        <v>430</v>
      </c>
      <c r="P9082" s="1192" t="s">
        <v>2777</v>
      </c>
      <c r="V9082" s="1192">
        <v>14</v>
      </c>
    </row>
    <row r="9083" spans="1:22" s="1192" customFormat="1" ht="15.6" thickTop="1" thickBot="1" x14ac:dyDescent="0.35">
      <c r="A9083" s="1192" t="s">
        <v>175</v>
      </c>
      <c r="E9083" s="1740" t="s">
        <v>80</v>
      </c>
      <c r="F9083" s="2246"/>
      <c r="G9083" s="1347" t="s">
        <v>29</v>
      </c>
      <c r="H9083" s="1219">
        <v>1.2567999999999999</v>
      </c>
      <c r="K9083" s="1192" t="s">
        <v>2775</v>
      </c>
      <c r="L9083" s="1192" t="s">
        <v>430</v>
      </c>
      <c r="P9083" s="1192" t="s">
        <v>2778</v>
      </c>
      <c r="V9083" s="1192">
        <v>28</v>
      </c>
    </row>
    <row r="9084" spans="1:22" s="1192" customFormat="1" ht="15" thickTop="1" x14ac:dyDescent="0.3">
      <c r="A9084" s="1192" t="s">
        <v>175</v>
      </c>
      <c r="E9084" s="2247" t="s">
        <v>2405</v>
      </c>
      <c r="F9084" s="1741"/>
      <c r="G9084" s="883"/>
      <c r="H9084" s="884"/>
      <c r="K9084" s="1192" t="s">
        <v>2532</v>
      </c>
      <c r="V9084" s="1192">
        <v>48</v>
      </c>
    </row>
    <row r="9085" spans="1:22" s="1192" customFormat="1" ht="14.4" x14ac:dyDescent="0.3">
      <c r="A9085" s="1192" t="s">
        <v>175</v>
      </c>
      <c r="E9085" s="1741" t="s">
        <v>2033</v>
      </c>
      <c r="F9085" s="1741"/>
      <c r="G9085" s="928" t="s">
        <v>20</v>
      </c>
      <c r="H9085" s="929">
        <v>3.0000000000000001E-3</v>
      </c>
      <c r="K9085" s="1192" t="s">
        <v>2775</v>
      </c>
      <c r="L9085" s="1192" t="s">
        <v>2374</v>
      </c>
      <c r="P9085" s="1192" t="s">
        <v>2784</v>
      </c>
      <c r="V9085" s="1192">
        <v>55</v>
      </c>
    </row>
    <row r="9086" spans="1:22" s="1192" customFormat="1" ht="14.4" x14ac:dyDescent="0.3">
      <c r="A9086" s="1192" t="s">
        <v>175</v>
      </c>
      <c r="E9086" s="1741" t="s">
        <v>2034</v>
      </c>
      <c r="F9086" s="1741"/>
      <c r="G9086" s="928" t="s">
        <v>20</v>
      </c>
      <c r="H9086" s="929">
        <v>4.0000000000000002E-4</v>
      </c>
      <c r="K9086" s="1192" t="s">
        <v>2775</v>
      </c>
      <c r="L9086" s="1192" t="s">
        <v>2374</v>
      </c>
      <c r="P9086" s="1192" t="s">
        <v>2784</v>
      </c>
      <c r="V9086" s="1192">
        <v>65</v>
      </c>
    </row>
    <row r="9087" spans="1:22" s="1192" customFormat="1" ht="14.4" x14ac:dyDescent="0.3">
      <c r="A9087" s="1192" t="s">
        <v>175</v>
      </c>
      <c r="E9087" s="1741" t="s">
        <v>428</v>
      </c>
      <c r="F9087" s="1741"/>
      <c r="G9087" s="928" t="s">
        <v>20</v>
      </c>
      <c r="H9087" s="929">
        <v>5.0000000000000001E-4</v>
      </c>
      <c r="K9087" s="1192" t="s">
        <v>2775</v>
      </c>
      <c r="L9087" s="1192" t="s">
        <v>2374</v>
      </c>
      <c r="P9087" s="1192" t="s">
        <v>2785</v>
      </c>
      <c r="V9087" s="1192">
        <v>57</v>
      </c>
    </row>
    <row r="9088" spans="1:22" s="1192" customFormat="1" ht="14.4" x14ac:dyDescent="0.3">
      <c r="A9088" s="1192" t="s">
        <v>175</v>
      </c>
      <c r="E9088" s="1741" t="s">
        <v>28</v>
      </c>
      <c r="F9088" s="1741"/>
      <c r="G9088" s="524" t="s">
        <v>19</v>
      </c>
      <c r="H9088" s="1218">
        <v>0.25</v>
      </c>
      <c r="K9088" s="1192" t="s">
        <v>2775</v>
      </c>
      <c r="L9088" s="1192" t="s">
        <v>2374</v>
      </c>
      <c r="P9088" s="1192" t="s">
        <v>2786</v>
      </c>
      <c r="V9088" s="1192">
        <v>63</v>
      </c>
    </row>
    <row r="9089" spans="1:22" s="1192" customFormat="1" ht="17.399999999999999" x14ac:dyDescent="0.3">
      <c r="A9089" s="1192" t="s">
        <v>175</v>
      </c>
      <c r="E9089" s="1746" t="s">
        <v>592</v>
      </c>
      <c r="F9089" s="1747"/>
      <c r="G9089" s="1747"/>
      <c r="H9089" s="1747"/>
      <c r="K9089" s="1192" t="s">
        <v>2726</v>
      </c>
      <c r="V9089" s="1192">
        <v>47</v>
      </c>
    </row>
    <row r="9090" spans="1:22" s="1192" customFormat="1" ht="14.4" x14ac:dyDescent="0.3">
      <c r="A9090" s="1192" t="s">
        <v>175</v>
      </c>
      <c r="E9090" s="1743" t="s">
        <v>4454</v>
      </c>
      <c r="F9090" s="1743"/>
      <c r="G9090" s="1743"/>
      <c r="H9090" s="1743"/>
      <c r="K9090" s="1192" t="s">
        <v>2726</v>
      </c>
      <c r="V9090" s="1192">
        <v>572</v>
      </c>
    </row>
    <row r="9091" spans="1:22" s="1192" customFormat="1" ht="14.4" x14ac:dyDescent="0.3">
      <c r="A9091" s="1192" t="s">
        <v>175</v>
      </c>
      <c r="E9091" s="1750" t="s">
        <v>2389</v>
      </c>
      <c r="F9091" s="1743"/>
      <c r="G9091" s="1743"/>
      <c r="H9091" s="1743"/>
      <c r="K9091" s="1192" t="s">
        <v>2424</v>
      </c>
      <c r="V9091" s="1192">
        <v>11</v>
      </c>
    </row>
    <row r="9092" spans="1:22" s="1192" customFormat="1" ht="14.4" x14ac:dyDescent="0.3">
      <c r="A9092" s="1192" t="s">
        <v>175</v>
      </c>
      <c r="E9092" s="1743" t="s">
        <v>2391</v>
      </c>
      <c r="F9092" s="1743"/>
      <c r="G9092" s="1743"/>
      <c r="H9092" s="1743"/>
      <c r="K9092" s="1192" t="s">
        <v>2726</v>
      </c>
      <c r="V9092" s="1192">
        <v>280</v>
      </c>
    </row>
    <row r="9093" spans="1:22" s="1192" customFormat="1" ht="14.4" x14ac:dyDescent="0.3">
      <c r="A9093" s="1192" t="s">
        <v>175</v>
      </c>
      <c r="E9093" s="1743" t="s">
        <v>2392</v>
      </c>
      <c r="F9093" s="1743"/>
      <c r="G9093" s="1743"/>
      <c r="H9093" s="1743"/>
      <c r="K9093" s="1192" t="s">
        <v>2726</v>
      </c>
      <c r="V9093" s="1192">
        <v>411</v>
      </c>
    </row>
    <row r="9094" spans="1:22" s="1192" customFormat="1" ht="14.4" x14ac:dyDescent="0.3">
      <c r="A9094" s="1192" t="s">
        <v>175</v>
      </c>
      <c r="E9094" s="1743" t="s">
        <v>2508</v>
      </c>
      <c r="F9094" s="1743"/>
      <c r="G9094" s="1743"/>
      <c r="H9094" s="1743"/>
      <c r="K9094" s="1192" t="s">
        <v>2726</v>
      </c>
      <c r="V9094" s="1192">
        <v>386</v>
      </c>
    </row>
    <row r="9095" spans="1:22" s="1192" customFormat="1" ht="14.4" x14ac:dyDescent="0.3">
      <c r="A9095" s="1192" t="s">
        <v>175</v>
      </c>
      <c r="E9095" s="1743" t="s">
        <v>2986</v>
      </c>
      <c r="F9095" s="1743"/>
      <c r="G9095" s="1743"/>
      <c r="H9095" s="1743"/>
      <c r="K9095" s="1192" t="s">
        <v>2726</v>
      </c>
      <c r="V9095" s="1192">
        <v>246</v>
      </c>
    </row>
    <row r="9096" spans="1:22" s="1192" customFormat="1" ht="14.4" x14ac:dyDescent="0.3">
      <c r="A9096" s="1192" t="s">
        <v>175</v>
      </c>
      <c r="E9096" s="1750" t="s">
        <v>2394</v>
      </c>
      <c r="F9096" s="1743"/>
      <c r="G9096" s="1743"/>
      <c r="H9096" s="1743"/>
      <c r="K9096" s="1192" t="s">
        <v>2425</v>
      </c>
      <c r="V9096" s="1192">
        <v>46</v>
      </c>
    </row>
    <row r="9097" spans="1:22" s="1192" customFormat="1" ht="14.4" x14ac:dyDescent="0.3">
      <c r="A9097" s="1192" t="s">
        <v>175</v>
      </c>
      <c r="E9097" s="1741" t="s">
        <v>8</v>
      </c>
      <c r="F9097" s="1741"/>
      <c r="G9097" s="524" t="s">
        <v>19</v>
      </c>
      <c r="H9097" s="1218">
        <v>9.1</v>
      </c>
      <c r="K9097" s="1192" t="s">
        <v>2726</v>
      </c>
      <c r="L9097" s="1192" t="s">
        <v>430</v>
      </c>
      <c r="P9097" s="1192" t="s">
        <v>2727</v>
      </c>
      <c r="V9097" s="1192">
        <v>31</v>
      </c>
    </row>
    <row r="9098" spans="1:22" s="1192" customFormat="1" ht="14.4" x14ac:dyDescent="0.3">
      <c r="A9098" s="1192" t="s">
        <v>175</v>
      </c>
      <c r="E9098" s="1741" t="s">
        <v>80</v>
      </c>
      <c r="F9098" s="1741"/>
      <c r="G9098" s="524" t="s">
        <v>20</v>
      </c>
      <c r="H9098" s="1219">
        <v>2.8299999999999999E-2</v>
      </c>
      <c r="K9098" s="1192" t="s">
        <v>2726</v>
      </c>
      <c r="L9098" s="1192" t="s">
        <v>430</v>
      </c>
      <c r="P9098" s="1192" t="s">
        <v>2728</v>
      </c>
      <c r="V9098" s="1192">
        <v>28</v>
      </c>
    </row>
    <row r="9099" spans="1:22" s="1192" customFormat="1" ht="14.4" x14ac:dyDescent="0.3">
      <c r="A9099" s="1192" t="s">
        <v>175</v>
      </c>
      <c r="E9099" s="1741" t="s">
        <v>14</v>
      </c>
      <c r="F9099" s="1741"/>
      <c r="G9099" s="524" t="s">
        <v>20</v>
      </c>
      <c r="H9099" s="1219">
        <v>3.3999999999999998E-3</v>
      </c>
      <c r="K9099" s="1192" t="s">
        <v>2726</v>
      </c>
      <c r="L9099" s="1192" t="s">
        <v>431</v>
      </c>
      <c r="P9099" s="1192" t="s">
        <v>2729</v>
      </c>
      <c r="V9099" s="1192">
        <v>24</v>
      </c>
    </row>
    <row r="9100" spans="1:22" s="1192" customFormat="1" ht="14.4" x14ac:dyDescent="0.3">
      <c r="A9100" s="1192" t="s">
        <v>175</v>
      </c>
      <c r="E9100" s="1741" t="s">
        <v>6549</v>
      </c>
      <c r="F9100" s="1741"/>
      <c r="G9100" s="524" t="s">
        <v>20</v>
      </c>
      <c r="H9100" s="1219">
        <v>2.5000000000000001E-3</v>
      </c>
      <c r="K9100" s="1192" t="s">
        <v>2726</v>
      </c>
      <c r="L9100" s="1192" t="s">
        <v>430</v>
      </c>
      <c r="P9100" s="1192" t="s">
        <v>6554</v>
      </c>
      <c r="T9100" s="1192">
        <v>44681</v>
      </c>
      <c r="V9100" s="1192">
        <v>87</v>
      </c>
    </row>
    <row r="9101" spans="1:22" s="1192" customFormat="1" ht="14.4" x14ac:dyDescent="0.3">
      <c r="A9101" s="1192" t="s">
        <v>175</v>
      </c>
      <c r="E9101" s="1741" t="s">
        <v>213</v>
      </c>
      <c r="F9101" s="1741"/>
      <c r="G9101" s="524" t="s">
        <v>20</v>
      </c>
      <c r="H9101" s="1219">
        <v>6.1999999999999998E-3</v>
      </c>
      <c r="K9101" s="1192" t="s">
        <v>2726</v>
      </c>
      <c r="L9101" s="1192" t="s">
        <v>432</v>
      </c>
      <c r="P9101" s="1192" t="s">
        <v>2731</v>
      </c>
      <c r="V9101" s="1192">
        <v>47</v>
      </c>
    </row>
    <row r="9102" spans="1:22" s="1192" customFormat="1" ht="14.4" x14ac:dyDescent="0.3">
      <c r="A9102" s="1192" t="s">
        <v>175</v>
      </c>
      <c r="E9102" s="1741" t="s">
        <v>209</v>
      </c>
      <c r="F9102" s="1741"/>
      <c r="G9102" s="524" t="s">
        <v>20</v>
      </c>
      <c r="H9102" s="1219">
        <v>5.0000000000000001E-3</v>
      </c>
      <c r="K9102" s="1192" t="s">
        <v>2726</v>
      </c>
      <c r="L9102" s="1192" t="s">
        <v>432</v>
      </c>
      <c r="P9102" s="1192" t="s">
        <v>2732</v>
      </c>
      <c r="V9102" s="1192">
        <v>74</v>
      </c>
    </row>
    <row r="9103" spans="1:22" s="1192" customFormat="1" ht="14.4" x14ac:dyDescent="0.3">
      <c r="A9103" s="1192" t="s">
        <v>175</v>
      </c>
      <c r="E9103" s="1750" t="s">
        <v>2405</v>
      </c>
      <c r="F9103" s="1741"/>
      <c r="G9103" s="1277"/>
      <c r="H9103" s="896"/>
      <c r="K9103" s="1192" t="s">
        <v>2427</v>
      </c>
      <c r="V9103" s="1192">
        <v>48</v>
      </c>
    </row>
    <row r="9104" spans="1:22" s="1192" customFormat="1" ht="14.4" x14ac:dyDescent="0.3">
      <c r="A9104" s="1192" t="s">
        <v>175</v>
      </c>
      <c r="E9104" s="1741" t="s">
        <v>2033</v>
      </c>
      <c r="F9104" s="1741"/>
      <c r="G9104" s="524" t="s">
        <v>20</v>
      </c>
      <c r="H9104" s="1219">
        <v>3.0000000000000001E-3</v>
      </c>
      <c r="K9104" s="1192" t="s">
        <v>2726</v>
      </c>
      <c r="L9104" s="1192" t="s">
        <v>2374</v>
      </c>
      <c r="P9104" s="1192" t="s">
        <v>2733</v>
      </c>
      <c r="V9104" s="1192">
        <v>55</v>
      </c>
    </row>
    <row r="9105" spans="1:22" s="1192" customFormat="1" ht="14.4" x14ac:dyDescent="0.3">
      <c r="A9105" s="1192" t="s">
        <v>175</v>
      </c>
      <c r="E9105" s="1741" t="s">
        <v>2034</v>
      </c>
      <c r="F9105" s="1741"/>
      <c r="G9105" s="524" t="s">
        <v>20</v>
      </c>
      <c r="H9105" s="1219">
        <v>4.0000000000000002E-4</v>
      </c>
      <c r="K9105" s="1192" t="s">
        <v>2726</v>
      </c>
      <c r="L9105" s="1192" t="s">
        <v>2374</v>
      </c>
      <c r="P9105" s="1192" t="s">
        <v>2733</v>
      </c>
      <c r="V9105" s="1192">
        <v>65</v>
      </c>
    </row>
    <row r="9106" spans="1:22" s="1192" customFormat="1" ht="14.4" x14ac:dyDescent="0.3">
      <c r="A9106" s="1192" t="s">
        <v>175</v>
      </c>
      <c r="E9106" s="1741" t="s">
        <v>428</v>
      </c>
      <c r="F9106" s="1741"/>
      <c r="G9106" s="524" t="s">
        <v>20</v>
      </c>
      <c r="H9106" s="1219">
        <v>5.0000000000000001E-4</v>
      </c>
      <c r="K9106" s="1192" t="s">
        <v>2726</v>
      </c>
      <c r="L9106" s="1192" t="s">
        <v>2374</v>
      </c>
      <c r="P9106" s="1192" t="s">
        <v>2734</v>
      </c>
      <c r="V9106" s="1192">
        <v>57</v>
      </c>
    </row>
    <row r="9107" spans="1:22" s="1192" customFormat="1" ht="14.4" x14ac:dyDescent="0.3">
      <c r="A9107" s="1192" t="s">
        <v>175</v>
      </c>
      <c r="E9107" s="1741" t="s">
        <v>28</v>
      </c>
      <c r="F9107" s="1741"/>
      <c r="G9107" s="524" t="s">
        <v>19</v>
      </c>
      <c r="H9107" s="1218">
        <v>0.25</v>
      </c>
      <c r="K9107" s="1192" t="s">
        <v>2726</v>
      </c>
      <c r="L9107" s="1192" t="s">
        <v>2374</v>
      </c>
      <c r="P9107" s="1192" t="s">
        <v>2735</v>
      </c>
      <c r="V9107" s="1192">
        <v>63</v>
      </c>
    </row>
    <row r="9108" spans="1:22" s="1192" customFormat="1" ht="17.399999999999999" x14ac:dyDescent="0.3">
      <c r="A9108" s="1192" t="s">
        <v>175</v>
      </c>
      <c r="E9108" s="1746" t="s">
        <v>604</v>
      </c>
      <c r="F9108" s="1747"/>
      <c r="G9108" s="1747"/>
      <c r="H9108" s="1747"/>
      <c r="K9108" s="1192" t="s">
        <v>2736</v>
      </c>
      <c r="V9108" s="1192">
        <v>40</v>
      </c>
    </row>
    <row r="9109" spans="1:22" s="1192" customFormat="1" ht="14.4" x14ac:dyDescent="0.3">
      <c r="A9109" s="1192" t="s">
        <v>175</v>
      </c>
      <c r="E9109" s="1743" t="s">
        <v>3365</v>
      </c>
      <c r="F9109" s="1743"/>
      <c r="G9109" s="1743"/>
      <c r="H9109" s="1743"/>
      <c r="K9109" s="1192" t="s">
        <v>2736</v>
      </c>
      <c r="V9109" s="1192">
        <v>253</v>
      </c>
    </row>
    <row r="9110" spans="1:22" s="1192" customFormat="1" ht="14.4" x14ac:dyDescent="0.3">
      <c r="A9110" s="1192" t="s">
        <v>175</v>
      </c>
      <c r="E9110" s="1750" t="s">
        <v>2389</v>
      </c>
      <c r="F9110" s="1743"/>
      <c r="G9110" s="1743"/>
      <c r="H9110" s="1743"/>
      <c r="K9110" s="1192" t="s">
        <v>2430</v>
      </c>
      <c r="V9110" s="1192">
        <v>11</v>
      </c>
    </row>
    <row r="9111" spans="1:22" s="1192" customFormat="1" ht="14.4" x14ac:dyDescent="0.3">
      <c r="A9111" s="1192" t="s">
        <v>175</v>
      </c>
      <c r="E9111" s="1743" t="s">
        <v>2391</v>
      </c>
      <c r="F9111" s="1743"/>
      <c r="G9111" s="1743"/>
      <c r="H9111" s="1743"/>
      <c r="K9111" s="1192" t="s">
        <v>2736</v>
      </c>
      <c r="V9111" s="1192">
        <v>280</v>
      </c>
    </row>
    <row r="9112" spans="1:22" s="1192" customFormat="1" ht="14.4" x14ac:dyDescent="0.3">
      <c r="A9112" s="1192" t="s">
        <v>175</v>
      </c>
      <c r="E9112" s="1743" t="s">
        <v>2392</v>
      </c>
      <c r="F9112" s="1743"/>
      <c r="G9112" s="1743"/>
      <c r="H9112" s="1743"/>
      <c r="K9112" s="1192" t="s">
        <v>2736</v>
      </c>
      <c r="V9112" s="1192">
        <v>411</v>
      </c>
    </row>
    <row r="9113" spans="1:22" s="1192" customFormat="1" ht="14.4" x14ac:dyDescent="0.3">
      <c r="A9113" s="1192" t="s">
        <v>175</v>
      </c>
      <c r="E9113" s="1743" t="s">
        <v>2508</v>
      </c>
      <c r="F9113" s="1743"/>
      <c r="G9113" s="1743"/>
      <c r="H9113" s="1743"/>
      <c r="K9113" s="1192" t="s">
        <v>2736</v>
      </c>
      <c r="V9113" s="1192">
        <v>386</v>
      </c>
    </row>
    <row r="9114" spans="1:22" s="1192" customFormat="1" ht="14.4" x14ac:dyDescent="0.3">
      <c r="A9114" s="1192" t="s">
        <v>175</v>
      </c>
      <c r="E9114" s="1743" t="s">
        <v>2986</v>
      </c>
      <c r="F9114" s="1743"/>
      <c r="G9114" s="1743"/>
      <c r="H9114" s="1743"/>
      <c r="K9114" s="1192" t="s">
        <v>2736</v>
      </c>
      <c r="V9114" s="1192">
        <v>246</v>
      </c>
    </row>
    <row r="9115" spans="1:22" s="1192" customFormat="1" ht="14.4" x14ac:dyDescent="0.3">
      <c r="A9115" s="1192" t="s">
        <v>175</v>
      </c>
      <c r="E9115" s="1750" t="s">
        <v>2394</v>
      </c>
      <c r="F9115" s="1743"/>
      <c r="G9115" s="1743"/>
      <c r="H9115" s="1743"/>
      <c r="K9115" s="1192" t="s">
        <v>2431</v>
      </c>
      <c r="V9115" s="1192">
        <v>46</v>
      </c>
    </row>
    <row r="9116" spans="1:22" s="1192" customFormat="1" ht="14.4" x14ac:dyDescent="0.3">
      <c r="A9116" s="1192" t="s">
        <v>175</v>
      </c>
      <c r="E9116" s="1741" t="s">
        <v>8</v>
      </c>
      <c r="F9116" s="1741"/>
      <c r="G9116" s="524" t="s">
        <v>19</v>
      </c>
      <c r="H9116" s="1218">
        <v>3.23</v>
      </c>
      <c r="K9116" s="1192" t="s">
        <v>2736</v>
      </c>
      <c r="L9116" s="1192" t="s">
        <v>430</v>
      </c>
      <c r="P9116" s="1192" t="s">
        <v>2737</v>
      </c>
      <c r="V9116" s="1192">
        <v>31</v>
      </c>
    </row>
    <row r="9117" spans="1:22" s="1192" customFormat="1" ht="14.4" x14ac:dyDescent="0.3">
      <c r="A9117" s="1192" t="s">
        <v>175</v>
      </c>
      <c r="E9117" s="1741" t="s">
        <v>80</v>
      </c>
      <c r="F9117" s="1741"/>
      <c r="G9117" s="524" t="s">
        <v>29</v>
      </c>
      <c r="H9117" s="1219">
        <v>9.2667999999999999</v>
      </c>
      <c r="K9117" s="1192" t="s">
        <v>2736</v>
      </c>
      <c r="L9117" s="1192" t="s">
        <v>430</v>
      </c>
      <c r="P9117" s="1192" t="s">
        <v>2738</v>
      </c>
      <c r="V9117" s="1192">
        <v>28</v>
      </c>
    </row>
    <row r="9118" spans="1:22" s="1192" customFormat="1" ht="14.4" x14ac:dyDescent="0.3">
      <c r="A9118" s="1192" t="s">
        <v>175</v>
      </c>
      <c r="E9118" s="1741" t="s">
        <v>14</v>
      </c>
      <c r="F9118" s="1741"/>
      <c r="G9118" s="524" t="s">
        <v>29</v>
      </c>
      <c r="H9118" s="1219">
        <v>0.99419999999999997</v>
      </c>
      <c r="K9118" s="1192" t="s">
        <v>2736</v>
      </c>
      <c r="L9118" s="1192" t="s">
        <v>431</v>
      </c>
      <c r="P9118" s="1192" t="s">
        <v>2739</v>
      </c>
      <c r="V9118" s="1192">
        <v>24</v>
      </c>
    </row>
    <row r="9119" spans="1:22" s="1192" customFormat="1" ht="14.4" x14ac:dyDescent="0.3">
      <c r="A9119" s="1192" t="s">
        <v>175</v>
      </c>
      <c r="E9119" s="1741" t="s">
        <v>6549</v>
      </c>
      <c r="F9119" s="1741"/>
      <c r="G9119" s="524" t="s">
        <v>29</v>
      </c>
      <c r="H9119" s="1219">
        <v>1.5044</v>
      </c>
      <c r="K9119" s="1192" t="s">
        <v>2736</v>
      </c>
      <c r="L9119" s="1192" t="s">
        <v>430</v>
      </c>
      <c r="P9119" s="1192" t="s">
        <v>6555</v>
      </c>
      <c r="T9119" s="1192">
        <v>44681</v>
      </c>
      <c r="V9119" s="1192">
        <v>87</v>
      </c>
    </row>
    <row r="9120" spans="1:22" s="1192" customFormat="1" ht="14.4" x14ac:dyDescent="0.3">
      <c r="A9120" s="1192" t="s">
        <v>175</v>
      </c>
      <c r="E9120" s="1741" t="s">
        <v>213</v>
      </c>
      <c r="F9120" s="1741"/>
      <c r="G9120" s="524" t="s">
        <v>29</v>
      </c>
      <c r="H9120" s="1219">
        <v>1.9971000000000001</v>
      </c>
      <c r="K9120" s="1192" t="s">
        <v>2736</v>
      </c>
      <c r="L9120" s="1192" t="s">
        <v>432</v>
      </c>
      <c r="P9120" s="1192" t="s">
        <v>2741</v>
      </c>
      <c r="V9120" s="1192">
        <v>47</v>
      </c>
    </row>
    <row r="9121" spans="1:22" s="1192" customFormat="1" ht="14.4" x14ac:dyDescent="0.3">
      <c r="A9121" s="1192" t="s">
        <v>175</v>
      </c>
      <c r="E9121" s="1741" t="s">
        <v>209</v>
      </c>
      <c r="F9121" s="1741"/>
      <c r="G9121" s="524" t="s">
        <v>29</v>
      </c>
      <c r="H9121" s="1219">
        <v>1.5228999999999999</v>
      </c>
      <c r="K9121" s="1192" t="s">
        <v>2736</v>
      </c>
      <c r="L9121" s="1192" t="s">
        <v>432</v>
      </c>
      <c r="P9121" s="1192" t="s">
        <v>2742</v>
      </c>
      <c r="V9121" s="1192">
        <v>74</v>
      </c>
    </row>
    <row r="9122" spans="1:22" s="1192" customFormat="1" ht="14.4" x14ac:dyDescent="0.3">
      <c r="A9122" s="1192" t="s">
        <v>175</v>
      </c>
      <c r="E9122" s="1750" t="s">
        <v>2405</v>
      </c>
      <c r="F9122" s="1741"/>
      <c r="G9122" s="1277"/>
      <c r="H9122" s="896"/>
      <c r="K9122" s="1192" t="s">
        <v>2438</v>
      </c>
      <c r="V9122" s="1192">
        <v>48</v>
      </c>
    </row>
    <row r="9123" spans="1:22" s="1192" customFormat="1" ht="14.4" x14ac:dyDescent="0.3">
      <c r="A9123" s="1192" t="s">
        <v>175</v>
      </c>
      <c r="E9123" s="1741" t="s">
        <v>2033</v>
      </c>
      <c r="F9123" s="1741"/>
      <c r="G9123" s="524" t="s">
        <v>20</v>
      </c>
      <c r="H9123" s="1219">
        <v>3.0000000000000001E-3</v>
      </c>
      <c r="K9123" s="1192" t="s">
        <v>2736</v>
      </c>
      <c r="L9123" s="1192" t="s">
        <v>2374</v>
      </c>
      <c r="P9123" s="1192" t="s">
        <v>2743</v>
      </c>
      <c r="V9123" s="1192">
        <v>55</v>
      </c>
    </row>
    <row r="9124" spans="1:22" s="1192" customFormat="1" ht="14.4" x14ac:dyDescent="0.3">
      <c r="A9124" s="1192" t="s">
        <v>175</v>
      </c>
      <c r="E9124" s="1741" t="s">
        <v>2034</v>
      </c>
      <c r="F9124" s="1741"/>
      <c r="G9124" s="524" t="s">
        <v>20</v>
      </c>
      <c r="H9124" s="1219">
        <v>4.0000000000000002E-4</v>
      </c>
      <c r="K9124" s="1192" t="s">
        <v>2736</v>
      </c>
      <c r="L9124" s="1192" t="s">
        <v>2374</v>
      </c>
      <c r="P9124" s="1192" t="s">
        <v>2743</v>
      </c>
      <c r="V9124" s="1192">
        <v>65</v>
      </c>
    </row>
    <row r="9125" spans="1:22" s="1192" customFormat="1" ht="14.4" x14ac:dyDescent="0.3">
      <c r="A9125" s="1192" t="s">
        <v>175</v>
      </c>
      <c r="E9125" s="1741" t="s">
        <v>428</v>
      </c>
      <c r="F9125" s="1741"/>
      <c r="G9125" s="524" t="s">
        <v>20</v>
      </c>
      <c r="H9125" s="1219">
        <v>5.0000000000000001E-4</v>
      </c>
      <c r="K9125" s="1192" t="s">
        <v>2736</v>
      </c>
      <c r="L9125" s="1192" t="s">
        <v>2374</v>
      </c>
      <c r="P9125" s="1192" t="s">
        <v>2744</v>
      </c>
      <c r="V9125" s="1192">
        <v>57</v>
      </c>
    </row>
    <row r="9126" spans="1:22" s="1192" customFormat="1" ht="14.4" x14ac:dyDescent="0.3">
      <c r="A9126" s="1192" t="s">
        <v>175</v>
      </c>
      <c r="E9126" s="1741" t="s">
        <v>28</v>
      </c>
      <c r="F9126" s="1741"/>
      <c r="G9126" s="524" t="s">
        <v>19</v>
      </c>
      <c r="H9126" s="1218">
        <v>0.25</v>
      </c>
      <c r="K9126" s="1192" t="s">
        <v>2736</v>
      </c>
      <c r="L9126" s="1192" t="s">
        <v>2374</v>
      </c>
      <c r="P9126" s="1192" t="s">
        <v>2745</v>
      </c>
      <c r="V9126" s="1192">
        <v>63</v>
      </c>
    </row>
    <row r="9127" spans="1:22" s="1192" customFormat="1" ht="17.399999999999999" x14ac:dyDescent="0.3">
      <c r="A9127" s="1192" t="s">
        <v>175</v>
      </c>
      <c r="E9127" s="1746" t="s">
        <v>590</v>
      </c>
      <c r="F9127" s="1747"/>
      <c r="G9127" s="1747"/>
      <c r="H9127" s="1747"/>
      <c r="K9127" s="1192" t="s">
        <v>2746</v>
      </c>
      <c r="V9127" s="1192">
        <v>38</v>
      </c>
    </row>
    <row r="9128" spans="1:22" s="1192" customFormat="1" ht="14.4" x14ac:dyDescent="0.3">
      <c r="A9128" s="1192" t="s">
        <v>175</v>
      </c>
      <c r="E9128" s="1743" t="s">
        <v>2811</v>
      </c>
      <c r="F9128" s="1743"/>
      <c r="G9128" s="1743"/>
      <c r="H9128" s="1743"/>
      <c r="K9128" s="1192" t="s">
        <v>2746</v>
      </c>
      <c r="V9128" s="1192">
        <v>551</v>
      </c>
    </row>
    <row r="9129" spans="1:22" s="1192" customFormat="1" ht="14.4" x14ac:dyDescent="0.3">
      <c r="A9129" s="1192" t="s">
        <v>175</v>
      </c>
      <c r="E9129" s="1750" t="s">
        <v>2389</v>
      </c>
      <c r="F9129" s="1743"/>
      <c r="G9129" s="1743"/>
      <c r="H9129" s="1743"/>
      <c r="K9129" s="1192" t="s">
        <v>2444</v>
      </c>
      <c r="V9129" s="1192">
        <v>11</v>
      </c>
    </row>
    <row r="9130" spans="1:22" s="1192" customFormat="1" ht="14.4" x14ac:dyDescent="0.3">
      <c r="A9130" s="1192" t="s">
        <v>175</v>
      </c>
      <c r="E9130" s="1743" t="s">
        <v>2391</v>
      </c>
      <c r="F9130" s="1743"/>
      <c r="G9130" s="1743"/>
      <c r="H9130" s="1743"/>
      <c r="K9130" s="1192" t="s">
        <v>2746</v>
      </c>
      <c r="V9130" s="1192">
        <v>280</v>
      </c>
    </row>
    <row r="9131" spans="1:22" s="1192" customFormat="1" ht="14.4" x14ac:dyDescent="0.3">
      <c r="A9131" s="1192" t="s">
        <v>175</v>
      </c>
      <c r="E9131" s="1743" t="s">
        <v>2392</v>
      </c>
      <c r="F9131" s="1743"/>
      <c r="G9131" s="1743"/>
      <c r="H9131" s="1743"/>
      <c r="K9131" s="1192" t="s">
        <v>2746</v>
      </c>
      <c r="V9131" s="1192">
        <v>411</v>
      </c>
    </row>
    <row r="9132" spans="1:22" s="1192" customFormat="1" ht="14.4" x14ac:dyDescent="0.3">
      <c r="A9132" s="1192" t="s">
        <v>175</v>
      </c>
      <c r="E9132" s="1743" t="s">
        <v>2508</v>
      </c>
      <c r="F9132" s="1743"/>
      <c r="G9132" s="1743"/>
      <c r="H9132" s="1743"/>
      <c r="K9132" s="1192" t="s">
        <v>2746</v>
      </c>
      <c r="V9132" s="1192">
        <v>386</v>
      </c>
    </row>
    <row r="9133" spans="1:22" s="1192" customFormat="1" ht="14.4" x14ac:dyDescent="0.3">
      <c r="A9133" s="1192" t="s">
        <v>175</v>
      </c>
      <c r="E9133" s="1743" t="s">
        <v>2986</v>
      </c>
      <c r="F9133" s="1743"/>
      <c r="G9133" s="1743"/>
      <c r="H9133" s="1743"/>
      <c r="K9133" s="1192" t="s">
        <v>2746</v>
      </c>
      <c r="V9133" s="1192">
        <v>246</v>
      </c>
    </row>
    <row r="9134" spans="1:22" s="1192" customFormat="1" ht="14.4" x14ac:dyDescent="0.3">
      <c r="A9134" s="1192" t="s">
        <v>175</v>
      </c>
      <c r="E9134" s="1750" t="s">
        <v>2394</v>
      </c>
      <c r="F9134" s="1743"/>
      <c r="G9134" s="1743"/>
      <c r="H9134" s="1743"/>
      <c r="K9134" s="1192" t="s">
        <v>2446</v>
      </c>
      <c r="V9134" s="1192">
        <v>46</v>
      </c>
    </row>
    <row r="9135" spans="1:22" s="1192" customFormat="1" ht="14.4" x14ac:dyDescent="0.3">
      <c r="A9135" s="1192" t="s">
        <v>175</v>
      </c>
      <c r="E9135" s="1741" t="s">
        <v>8</v>
      </c>
      <c r="F9135" s="1741"/>
      <c r="G9135" s="524" t="s">
        <v>19</v>
      </c>
      <c r="H9135" s="1218">
        <v>3.37</v>
      </c>
      <c r="K9135" s="1192" t="s">
        <v>2746</v>
      </c>
      <c r="L9135" s="1192" t="s">
        <v>430</v>
      </c>
      <c r="P9135" s="1192" t="s">
        <v>2747</v>
      </c>
      <c r="V9135" s="1192">
        <v>31</v>
      </c>
    </row>
    <row r="9136" spans="1:22" s="1192" customFormat="1" ht="14.4" x14ac:dyDescent="0.3">
      <c r="A9136" s="1192" t="s">
        <v>175</v>
      </c>
      <c r="E9136" s="1741" t="s">
        <v>80</v>
      </c>
      <c r="F9136" s="1741"/>
      <c r="G9136" s="524" t="s">
        <v>29</v>
      </c>
      <c r="H9136" s="1219">
        <v>9.1519999999999992</v>
      </c>
      <c r="K9136" s="1192" t="s">
        <v>2746</v>
      </c>
      <c r="L9136" s="1192" t="s">
        <v>430</v>
      </c>
      <c r="P9136" s="1192" t="s">
        <v>2748</v>
      </c>
      <c r="V9136" s="1192">
        <v>28</v>
      </c>
    </row>
    <row r="9137" spans="1:22" s="1192" customFormat="1" ht="14.4" x14ac:dyDescent="0.3">
      <c r="A9137" s="1192" t="s">
        <v>175</v>
      </c>
      <c r="E9137" s="1741" t="s">
        <v>14</v>
      </c>
      <c r="F9137" s="1741"/>
      <c r="G9137" s="524" t="s">
        <v>29</v>
      </c>
      <c r="H9137" s="1219">
        <v>0.98770000000000002</v>
      </c>
      <c r="K9137" s="1192" t="s">
        <v>2746</v>
      </c>
      <c r="L9137" s="1192" t="s">
        <v>431</v>
      </c>
      <c r="P9137" s="1192" t="s">
        <v>2749</v>
      </c>
      <c r="V9137" s="1192">
        <v>24</v>
      </c>
    </row>
    <row r="9138" spans="1:22" s="1192" customFormat="1" ht="14.4" x14ac:dyDescent="0.3">
      <c r="A9138" s="1192" t="s">
        <v>175</v>
      </c>
      <c r="E9138" s="1741" t="s">
        <v>6556</v>
      </c>
      <c r="F9138" s="1998"/>
      <c r="G9138" s="524" t="s">
        <v>29</v>
      </c>
      <c r="H9138" s="1219">
        <v>0.54759999999999998</v>
      </c>
      <c r="K9138" s="1192" t="s">
        <v>2746</v>
      </c>
      <c r="L9138" s="1192" t="s">
        <v>430</v>
      </c>
      <c r="P9138" s="1192" t="s">
        <v>2750</v>
      </c>
      <c r="T9138" s="1192">
        <v>44316</v>
      </c>
      <c r="V9138" s="1192">
        <v>129</v>
      </c>
    </row>
    <row r="9139" spans="1:22" s="1192" customFormat="1" ht="14.4" x14ac:dyDescent="0.3">
      <c r="A9139" s="1192" t="s">
        <v>175</v>
      </c>
      <c r="E9139" s="1741" t="s">
        <v>6549</v>
      </c>
      <c r="F9139" s="1741"/>
      <c r="G9139" s="524" t="s">
        <v>29</v>
      </c>
      <c r="H9139" s="1219">
        <v>1.1248</v>
      </c>
      <c r="K9139" s="1192" t="s">
        <v>2746</v>
      </c>
      <c r="L9139" s="1192" t="s">
        <v>430</v>
      </c>
      <c r="P9139" s="1192" t="s">
        <v>6557</v>
      </c>
      <c r="T9139" s="1192">
        <v>44681</v>
      </c>
      <c r="V9139" s="1192">
        <v>87</v>
      </c>
    </row>
    <row r="9140" spans="1:22" s="1192" customFormat="1" ht="14.4" x14ac:dyDescent="0.3">
      <c r="A9140" s="1192" t="s">
        <v>175</v>
      </c>
      <c r="E9140" s="1741" t="s">
        <v>213</v>
      </c>
      <c r="F9140" s="1741"/>
      <c r="G9140" s="524" t="s">
        <v>29</v>
      </c>
      <c r="H9140" s="1219">
        <v>1.9691000000000001</v>
      </c>
      <c r="K9140" s="1192" t="s">
        <v>2746</v>
      </c>
      <c r="L9140" s="1192" t="s">
        <v>432</v>
      </c>
      <c r="P9140" s="1192" t="s">
        <v>2751</v>
      </c>
      <c r="V9140" s="1192">
        <v>47</v>
      </c>
    </row>
    <row r="9141" spans="1:22" s="1192" customFormat="1" ht="14.4" x14ac:dyDescent="0.3">
      <c r="A9141" s="1192" t="s">
        <v>175</v>
      </c>
      <c r="E9141" s="1741" t="s">
        <v>209</v>
      </c>
      <c r="F9141" s="1741"/>
      <c r="G9141" s="524" t="s">
        <v>29</v>
      </c>
      <c r="H9141" s="1219">
        <v>1.5130999999999999</v>
      </c>
      <c r="K9141" s="1192" t="s">
        <v>2746</v>
      </c>
      <c r="L9141" s="1192" t="s">
        <v>432</v>
      </c>
      <c r="P9141" s="1192" t="s">
        <v>2752</v>
      </c>
      <c r="V9141" s="1192">
        <v>74</v>
      </c>
    </row>
    <row r="9142" spans="1:22" s="1192" customFormat="1" ht="14.4" x14ac:dyDescent="0.3">
      <c r="A9142" s="1192" t="s">
        <v>175</v>
      </c>
      <c r="E9142" s="1750" t="s">
        <v>2405</v>
      </c>
      <c r="F9142" s="1741"/>
      <c r="G9142" s="1277"/>
      <c r="H9142" s="896"/>
      <c r="K9142" s="1192" t="s">
        <v>2565</v>
      </c>
      <c r="V9142" s="1192">
        <v>48</v>
      </c>
    </row>
    <row r="9143" spans="1:22" s="1192" customFormat="1" ht="14.4" x14ac:dyDescent="0.3">
      <c r="A9143" s="1192" t="s">
        <v>175</v>
      </c>
      <c r="E9143" s="1741" t="s">
        <v>2033</v>
      </c>
      <c r="F9143" s="1741"/>
      <c r="G9143" s="524" t="s">
        <v>20</v>
      </c>
      <c r="H9143" s="1219">
        <v>3.0000000000000001E-3</v>
      </c>
      <c r="K9143" s="1192" t="s">
        <v>2746</v>
      </c>
      <c r="L9143" s="1192" t="s">
        <v>2374</v>
      </c>
      <c r="P9143" s="1192" t="s">
        <v>2753</v>
      </c>
      <c r="V9143" s="1192">
        <v>55</v>
      </c>
    </row>
    <row r="9144" spans="1:22" s="1192" customFormat="1" ht="14.4" x14ac:dyDescent="0.3">
      <c r="A9144" s="1192" t="s">
        <v>175</v>
      </c>
      <c r="E9144" s="1741" t="s">
        <v>2034</v>
      </c>
      <c r="F9144" s="1741"/>
      <c r="G9144" s="524" t="s">
        <v>20</v>
      </c>
      <c r="H9144" s="1219">
        <v>4.0000000000000002E-4</v>
      </c>
      <c r="K9144" s="1192" t="s">
        <v>2746</v>
      </c>
      <c r="L9144" s="1192" t="s">
        <v>2374</v>
      </c>
      <c r="P9144" s="1192" t="s">
        <v>2753</v>
      </c>
      <c r="V9144" s="1192">
        <v>65</v>
      </c>
    </row>
    <row r="9145" spans="1:22" s="1192" customFormat="1" ht="14.4" x14ac:dyDescent="0.3">
      <c r="A9145" s="1192" t="s">
        <v>175</v>
      </c>
      <c r="E9145" s="1741" t="s">
        <v>428</v>
      </c>
      <c r="F9145" s="1741"/>
      <c r="G9145" s="524" t="s">
        <v>20</v>
      </c>
      <c r="H9145" s="1219">
        <v>5.0000000000000001E-4</v>
      </c>
      <c r="K9145" s="1192" t="s">
        <v>2746</v>
      </c>
      <c r="L9145" s="1192" t="s">
        <v>2374</v>
      </c>
      <c r="P9145" s="1192" t="s">
        <v>2754</v>
      </c>
      <c r="V9145" s="1192">
        <v>57</v>
      </c>
    </row>
    <row r="9146" spans="1:22" s="1192" customFormat="1" ht="14.4" x14ac:dyDescent="0.3">
      <c r="A9146" s="1192" t="s">
        <v>175</v>
      </c>
      <c r="E9146" s="1741" t="s">
        <v>28</v>
      </c>
      <c r="F9146" s="1741"/>
      <c r="G9146" s="524" t="s">
        <v>19</v>
      </c>
      <c r="H9146" s="1218">
        <v>0.25</v>
      </c>
      <c r="K9146" s="1192" t="s">
        <v>2746</v>
      </c>
      <c r="L9146" s="1192" t="s">
        <v>2374</v>
      </c>
      <c r="P9146" s="1192" t="s">
        <v>2755</v>
      </c>
      <c r="V9146" s="1192">
        <v>63</v>
      </c>
    </row>
    <row r="9147" spans="1:22" s="1192" customFormat="1" ht="17.399999999999999" x14ac:dyDescent="0.3">
      <c r="A9147" s="1192" t="s">
        <v>175</v>
      </c>
      <c r="E9147" s="1746" t="s">
        <v>593</v>
      </c>
      <c r="F9147" s="1747"/>
      <c r="G9147" s="1747"/>
      <c r="H9147" s="1747"/>
      <c r="K9147" s="1192" t="s">
        <v>2756</v>
      </c>
      <c r="V9147" s="1192">
        <v>31</v>
      </c>
    </row>
    <row r="9148" spans="1:22" s="1192" customFormat="1" ht="14.4" x14ac:dyDescent="0.3">
      <c r="A9148" s="1192" t="s">
        <v>175</v>
      </c>
      <c r="E9148" s="1743" t="s">
        <v>2652</v>
      </c>
      <c r="F9148" s="1743"/>
      <c r="G9148" s="1743"/>
      <c r="H9148" s="1743"/>
      <c r="K9148" s="1192" t="s">
        <v>2756</v>
      </c>
      <c r="V9148" s="1192">
        <v>285</v>
      </c>
    </row>
    <row r="9149" spans="1:22" s="1192" customFormat="1" ht="14.4" x14ac:dyDescent="0.3">
      <c r="A9149" s="1192" t="s">
        <v>175</v>
      </c>
      <c r="E9149" s="1750" t="s">
        <v>2389</v>
      </c>
      <c r="F9149" s="1743"/>
      <c r="G9149" s="1743"/>
      <c r="H9149" s="1743"/>
      <c r="K9149" s="1192" t="s">
        <v>2571</v>
      </c>
      <c r="V9149" s="1192">
        <v>11</v>
      </c>
    </row>
    <row r="9150" spans="1:22" s="1192" customFormat="1" ht="14.4" x14ac:dyDescent="0.3">
      <c r="A9150" s="1192" t="s">
        <v>175</v>
      </c>
      <c r="E9150" s="1743" t="s">
        <v>2391</v>
      </c>
      <c r="F9150" s="1743"/>
      <c r="G9150" s="1743"/>
      <c r="H9150" s="1743"/>
      <c r="K9150" s="1192" t="s">
        <v>2756</v>
      </c>
      <c r="V9150" s="1192">
        <v>280</v>
      </c>
    </row>
    <row r="9151" spans="1:22" s="1192" customFormat="1" ht="14.4" x14ac:dyDescent="0.3">
      <c r="A9151" s="1192" t="s">
        <v>175</v>
      </c>
      <c r="E9151" s="1743" t="s">
        <v>2392</v>
      </c>
      <c r="F9151" s="1743"/>
      <c r="G9151" s="1743"/>
      <c r="H9151" s="1743"/>
      <c r="K9151" s="1192" t="s">
        <v>2756</v>
      </c>
      <c r="V9151" s="1192">
        <v>411</v>
      </c>
    </row>
    <row r="9152" spans="1:22" s="1192" customFormat="1" ht="14.4" x14ac:dyDescent="0.3">
      <c r="A9152" s="1192" t="s">
        <v>175</v>
      </c>
      <c r="E9152" s="1743" t="s">
        <v>2445</v>
      </c>
      <c r="F9152" s="1743"/>
      <c r="G9152" s="1743"/>
      <c r="H9152" s="1743"/>
      <c r="K9152" s="1192" t="s">
        <v>2756</v>
      </c>
      <c r="V9152" s="1192">
        <v>211</v>
      </c>
    </row>
    <row r="9153" spans="1:22" s="1192" customFormat="1" ht="14.4" x14ac:dyDescent="0.3">
      <c r="A9153" s="1192" t="s">
        <v>175</v>
      </c>
      <c r="E9153" s="1743" t="s">
        <v>2986</v>
      </c>
      <c r="F9153" s="1743"/>
      <c r="G9153" s="1743"/>
      <c r="H9153" s="1743"/>
      <c r="K9153" s="1192" t="s">
        <v>2756</v>
      </c>
      <c r="V9153" s="1192">
        <v>246</v>
      </c>
    </row>
    <row r="9154" spans="1:22" s="1192" customFormat="1" ht="14.4" x14ac:dyDescent="0.3">
      <c r="A9154" s="1192" t="s">
        <v>175</v>
      </c>
      <c r="E9154" s="1750" t="s">
        <v>2394</v>
      </c>
      <c r="F9154" s="1743"/>
      <c r="G9154" s="1743"/>
      <c r="H9154" s="1743"/>
      <c r="K9154" s="1192" t="s">
        <v>2572</v>
      </c>
      <c r="V9154" s="1192">
        <v>46</v>
      </c>
    </row>
    <row r="9155" spans="1:22" s="1192" customFormat="1" ht="14.4" x14ac:dyDescent="0.3">
      <c r="A9155" s="1192" t="s">
        <v>175</v>
      </c>
      <c r="E9155" s="1741" t="s">
        <v>7</v>
      </c>
      <c r="F9155" s="1741"/>
      <c r="G9155" s="524" t="s">
        <v>19</v>
      </c>
      <c r="H9155" s="1218">
        <v>4.55</v>
      </c>
      <c r="K9155" s="1192" t="s">
        <v>2756</v>
      </c>
      <c r="L9155" s="1192" t="s">
        <v>430</v>
      </c>
      <c r="P9155" s="1192" t="s">
        <v>2757</v>
      </c>
      <c r="V9155" s="1192">
        <v>14</v>
      </c>
    </row>
    <row r="9156" spans="1:22" s="1192" customFormat="1" ht="17.399999999999999" x14ac:dyDescent="0.3">
      <c r="A9156" s="1192" t="s">
        <v>175</v>
      </c>
      <c r="E9156" s="1746" t="s">
        <v>81</v>
      </c>
      <c r="F9156" s="1746"/>
      <c r="G9156" s="573"/>
      <c r="H9156" s="930"/>
      <c r="K9156" s="1192" t="s">
        <v>4455</v>
      </c>
      <c r="V9156" s="1192">
        <v>10</v>
      </c>
    </row>
    <row r="9157" spans="1:22" s="1192" customFormat="1" ht="14.4" x14ac:dyDescent="0.3">
      <c r="A9157" s="1192" t="s">
        <v>175</v>
      </c>
      <c r="E9157" s="1741" t="s">
        <v>2449</v>
      </c>
      <c r="F9157" s="1741"/>
      <c r="G9157" s="1277" t="s">
        <v>29</v>
      </c>
      <c r="H9157" s="1219">
        <v>-0.6</v>
      </c>
      <c r="V9157" s="1192">
        <v>68</v>
      </c>
    </row>
    <row r="9158" spans="1:22" s="1192" customFormat="1" ht="14.4" x14ac:dyDescent="0.3">
      <c r="A9158" s="1192" t="s">
        <v>175</v>
      </c>
      <c r="E9158" s="1741" t="s">
        <v>2450</v>
      </c>
      <c r="F9158" s="1741"/>
      <c r="G9158" s="1277" t="s">
        <v>82</v>
      </c>
      <c r="H9158" s="1218">
        <v>-1</v>
      </c>
      <c r="V9158" s="1192">
        <v>87</v>
      </c>
    </row>
    <row r="9159" spans="1:22" s="1192" customFormat="1" ht="17.399999999999999" x14ac:dyDescent="0.3">
      <c r="A9159" s="1192" t="s">
        <v>175</v>
      </c>
      <c r="E9159" s="1746" t="s">
        <v>83</v>
      </c>
      <c r="F9159" s="1747"/>
      <c r="G9159" s="573"/>
      <c r="H9159" s="930"/>
      <c r="K9159" s="1192" t="s">
        <v>4456</v>
      </c>
      <c r="V9159" s="1192">
        <v>24</v>
      </c>
    </row>
    <row r="9160" spans="1:22" s="1192" customFormat="1" ht="14.4" x14ac:dyDescent="0.3">
      <c r="A9160" s="1192" t="s">
        <v>175</v>
      </c>
      <c r="E9160" s="2037" t="s">
        <v>2389</v>
      </c>
      <c r="F9160" s="1743"/>
      <c r="G9160" s="1743"/>
      <c r="H9160" s="1743"/>
      <c r="V9160" s="1192">
        <v>11</v>
      </c>
    </row>
    <row r="9161" spans="1:22" s="1192" customFormat="1" ht="14.4" x14ac:dyDescent="0.3">
      <c r="A9161" s="1192" t="s">
        <v>175</v>
      </c>
      <c r="E9161" s="1743" t="s">
        <v>2391</v>
      </c>
      <c r="F9161" s="1743"/>
      <c r="G9161" s="1743"/>
      <c r="H9161" s="1743"/>
      <c r="V9161" s="1192">
        <v>280</v>
      </c>
    </row>
    <row r="9162" spans="1:22" s="1192" customFormat="1" ht="14.4" x14ac:dyDescent="0.3">
      <c r="A9162" s="1192" t="s">
        <v>175</v>
      </c>
      <c r="E9162" s="1743" t="s">
        <v>2452</v>
      </c>
      <c r="F9162" s="1743"/>
      <c r="G9162" s="1743"/>
      <c r="H9162" s="1743"/>
      <c r="V9162" s="1192">
        <v>353</v>
      </c>
    </row>
    <row r="9163" spans="1:22" s="1192" customFormat="1" ht="14.4" x14ac:dyDescent="0.3">
      <c r="A9163" s="1192" t="s">
        <v>175</v>
      </c>
      <c r="E9163" s="1743" t="s">
        <v>2986</v>
      </c>
      <c r="F9163" s="1743"/>
      <c r="G9163" s="1743"/>
      <c r="H9163" s="1743"/>
      <c r="V9163" s="1192">
        <v>246</v>
      </c>
    </row>
    <row r="9164" spans="1:22" s="1192" customFormat="1" ht="14.4" x14ac:dyDescent="0.3">
      <c r="A9164" s="1192" t="s">
        <v>175</v>
      </c>
      <c r="E9164" s="1258" t="s">
        <v>2453</v>
      </c>
      <c r="F9164" s="3"/>
      <c r="G9164" s="3"/>
      <c r="H9164" s="897"/>
      <c r="K9164" s="1192" t="s">
        <v>4457</v>
      </c>
      <c r="V9164" s="1192">
        <v>23</v>
      </c>
    </row>
    <row r="9165" spans="1:22" s="1192" customFormat="1" ht="14.4" x14ac:dyDescent="0.3">
      <c r="A9165" s="1192" t="s">
        <v>175</v>
      </c>
      <c r="E9165" s="1942" t="s">
        <v>4662</v>
      </c>
      <c r="F9165" s="1942"/>
      <c r="G9165" s="524" t="s">
        <v>19</v>
      </c>
      <c r="H9165" s="1218">
        <v>15</v>
      </c>
      <c r="V9165" s="1192">
        <v>27</v>
      </c>
    </row>
    <row r="9166" spans="1:22" s="1192" customFormat="1" ht="14.4" x14ac:dyDescent="0.3">
      <c r="A9166" s="1192" t="s">
        <v>175</v>
      </c>
      <c r="E9166" s="1942" t="s">
        <v>4663</v>
      </c>
      <c r="F9166" s="1942"/>
      <c r="G9166" s="524" t="s">
        <v>19</v>
      </c>
      <c r="H9166" s="1218">
        <v>15</v>
      </c>
      <c r="V9166" s="1192">
        <v>28</v>
      </c>
    </row>
    <row r="9167" spans="1:22" s="1192" customFormat="1" ht="14.4" x14ac:dyDescent="0.3">
      <c r="A9167" s="1192" t="s">
        <v>175</v>
      </c>
      <c r="E9167" s="1942" t="s">
        <v>4565</v>
      </c>
      <c r="F9167" s="1942"/>
      <c r="G9167" s="524" t="s">
        <v>19</v>
      </c>
      <c r="H9167" s="1218">
        <v>15</v>
      </c>
      <c r="V9167" s="1192">
        <v>47</v>
      </c>
    </row>
    <row r="9168" spans="1:22" s="1192" customFormat="1" ht="14.4" x14ac:dyDescent="0.3">
      <c r="A9168" s="1192" t="s">
        <v>175</v>
      </c>
      <c r="E9168" s="1942" t="s">
        <v>4664</v>
      </c>
      <c r="F9168" s="1942"/>
      <c r="G9168" s="524" t="s">
        <v>19</v>
      </c>
      <c r="H9168" s="1218">
        <v>15</v>
      </c>
      <c r="V9168" s="1192">
        <v>45</v>
      </c>
    </row>
    <row r="9169" spans="1:22" s="1192" customFormat="1" ht="14.4" x14ac:dyDescent="0.3">
      <c r="A9169" s="1192" t="s">
        <v>175</v>
      </c>
      <c r="E9169" s="1942" t="s">
        <v>4215</v>
      </c>
      <c r="F9169" s="1942"/>
      <c r="G9169" s="524" t="s">
        <v>19</v>
      </c>
      <c r="H9169" s="1218">
        <v>15</v>
      </c>
      <c r="V9169" s="1192">
        <v>23</v>
      </c>
    </row>
    <row r="9170" spans="1:22" s="1192" customFormat="1" ht="14.4" x14ac:dyDescent="0.3">
      <c r="A9170" s="1192" t="s">
        <v>175</v>
      </c>
      <c r="E9170" s="1942" t="s">
        <v>4566</v>
      </c>
      <c r="F9170" s="1942"/>
      <c r="G9170" s="524" t="s">
        <v>19</v>
      </c>
      <c r="H9170" s="1218">
        <v>15</v>
      </c>
      <c r="V9170" s="1192">
        <v>25</v>
      </c>
    </row>
    <row r="9171" spans="1:22" s="1192" customFormat="1" ht="14.4" x14ac:dyDescent="0.3">
      <c r="A9171" s="1192" t="s">
        <v>175</v>
      </c>
      <c r="E9171" s="1942" t="s">
        <v>4665</v>
      </c>
      <c r="F9171" s="1942"/>
      <c r="G9171" s="524" t="s">
        <v>19</v>
      </c>
      <c r="H9171" s="1218">
        <v>15</v>
      </c>
      <c r="V9171" s="1192">
        <v>23</v>
      </c>
    </row>
    <row r="9172" spans="1:22" s="1192" customFormat="1" ht="14.4" x14ac:dyDescent="0.3">
      <c r="A9172" s="1192" t="s">
        <v>175</v>
      </c>
      <c r="E9172" s="1942" t="s">
        <v>2663</v>
      </c>
      <c r="F9172" s="1942"/>
      <c r="G9172" s="524" t="s">
        <v>19</v>
      </c>
      <c r="H9172" s="1218">
        <v>15</v>
      </c>
      <c r="V9172" s="1192">
        <v>43</v>
      </c>
    </row>
    <row r="9173" spans="1:22" s="1192" customFormat="1" ht="14.4" x14ac:dyDescent="0.3">
      <c r="A9173" s="1192" t="s">
        <v>175</v>
      </c>
      <c r="E9173" s="1942" t="s">
        <v>4666</v>
      </c>
      <c r="F9173" s="1942"/>
      <c r="G9173" s="524" t="s">
        <v>19</v>
      </c>
      <c r="H9173" s="1218">
        <v>15</v>
      </c>
      <c r="V9173" s="1192">
        <v>27</v>
      </c>
    </row>
    <row r="9174" spans="1:22" s="1192" customFormat="1" ht="14.4" x14ac:dyDescent="0.3">
      <c r="A9174" s="1192" t="s">
        <v>175</v>
      </c>
      <c r="E9174" s="1942" t="s">
        <v>2664</v>
      </c>
      <c r="F9174" s="1942"/>
      <c r="G9174" s="524" t="s">
        <v>19</v>
      </c>
      <c r="H9174" s="1218">
        <v>30</v>
      </c>
      <c r="V9174" s="1192">
        <v>97</v>
      </c>
    </row>
    <row r="9175" spans="1:22" s="1192" customFormat="1" ht="14.4" x14ac:dyDescent="0.3">
      <c r="A9175" s="1192" t="s">
        <v>175</v>
      </c>
      <c r="E9175" s="1942" t="s">
        <v>4667</v>
      </c>
      <c r="F9175" s="1942"/>
      <c r="G9175" s="524" t="s">
        <v>19</v>
      </c>
      <c r="H9175" s="1218">
        <v>30</v>
      </c>
      <c r="V9175" s="1192">
        <v>27</v>
      </c>
    </row>
    <row r="9176" spans="1:22" s="1192" customFormat="1" ht="14.4" x14ac:dyDescent="0.3">
      <c r="A9176" s="1192" t="s">
        <v>175</v>
      </c>
      <c r="E9176" s="1942" t="s">
        <v>2665</v>
      </c>
      <c r="F9176" s="1942"/>
      <c r="G9176" s="524" t="s">
        <v>19</v>
      </c>
      <c r="H9176" s="1218">
        <v>30</v>
      </c>
      <c r="V9176" s="1192">
        <v>82</v>
      </c>
    </row>
    <row r="9177" spans="1:22" s="1192" customFormat="1" ht="14.4" x14ac:dyDescent="0.3">
      <c r="A9177" s="1192" t="s">
        <v>175</v>
      </c>
      <c r="E9177" s="1268" t="s">
        <v>2468</v>
      </c>
      <c r="F9177" s="3"/>
      <c r="G9177" s="3"/>
      <c r="H9177" s="897"/>
      <c r="K9177" s="1192" t="s">
        <v>6558</v>
      </c>
      <c r="V9177" s="1192">
        <v>22</v>
      </c>
    </row>
    <row r="9178" spans="1:22" s="1192" customFormat="1" ht="14.4" x14ac:dyDescent="0.3">
      <c r="A9178" s="1192" t="s">
        <v>175</v>
      </c>
      <c r="E9178" s="2046" t="s">
        <v>6543</v>
      </c>
      <c r="F9178" s="2046"/>
      <c r="G9178" s="524" t="s">
        <v>82</v>
      </c>
      <c r="H9178" s="1218">
        <v>1.5</v>
      </c>
      <c r="V9178" s="1192">
        <v>101</v>
      </c>
    </row>
    <row r="9179" spans="1:22" s="1192" customFormat="1" ht="14.4" x14ac:dyDescent="0.3">
      <c r="A9179" s="1192" t="s">
        <v>175</v>
      </c>
      <c r="E9179" s="1942" t="s">
        <v>6426</v>
      </c>
      <c r="F9179" s="1942"/>
      <c r="G9179" s="524" t="s">
        <v>19</v>
      </c>
      <c r="H9179" s="1218">
        <v>65</v>
      </c>
      <c r="V9179" s="1192">
        <v>52</v>
      </c>
    </row>
    <row r="9180" spans="1:22" s="1192" customFormat="1" ht="14.4" x14ac:dyDescent="0.3">
      <c r="A9180" s="1192" t="s">
        <v>175</v>
      </c>
      <c r="E9180" s="1942" t="s">
        <v>6427</v>
      </c>
      <c r="F9180" s="1942"/>
      <c r="G9180" s="524" t="s">
        <v>19</v>
      </c>
      <c r="H9180" s="1218">
        <v>185</v>
      </c>
      <c r="V9180" s="1192">
        <v>51</v>
      </c>
    </row>
    <row r="9181" spans="1:22" s="1192" customFormat="1" ht="14.4" x14ac:dyDescent="0.3">
      <c r="A9181" s="1192" t="s">
        <v>175</v>
      </c>
      <c r="E9181" s="1942" t="s">
        <v>6428</v>
      </c>
      <c r="F9181" s="1942"/>
      <c r="G9181" s="524" t="s">
        <v>19</v>
      </c>
      <c r="H9181" s="1218">
        <v>185</v>
      </c>
      <c r="V9181" s="1192">
        <v>51</v>
      </c>
    </row>
    <row r="9182" spans="1:22" s="1192" customFormat="1" ht="14.4" x14ac:dyDescent="0.3">
      <c r="A9182" s="1192" t="s">
        <v>175</v>
      </c>
      <c r="E9182" s="1942" t="s">
        <v>6429</v>
      </c>
      <c r="F9182" s="1942"/>
      <c r="G9182" s="524" t="s">
        <v>19</v>
      </c>
      <c r="H9182" s="1218">
        <v>415</v>
      </c>
      <c r="V9182" s="1192">
        <v>50</v>
      </c>
    </row>
    <row r="9183" spans="1:22" s="1192" customFormat="1" ht="14.4" x14ac:dyDescent="0.3">
      <c r="A9183" s="1192" t="s">
        <v>175</v>
      </c>
      <c r="E9183" s="1258" t="s">
        <v>2474</v>
      </c>
      <c r="F9183" s="3"/>
      <c r="G9183" s="3"/>
      <c r="H9183" s="897"/>
      <c r="V9183" s="1192">
        <v>5</v>
      </c>
    </row>
    <row r="9184" spans="1:22" s="1192" customFormat="1" ht="14.4" x14ac:dyDescent="0.3">
      <c r="A9184" s="1192" t="s">
        <v>175</v>
      </c>
      <c r="E9184" s="1942" t="s">
        <v>4668</v>
      </c>
      <c r="F9184" s="1942"/>
      <c r="G9184" s="524" t="s">
        <v>19</v>
      </c>
      <c r="H9184" s="1218">
        <v>30</v>
      </c>
      <c r="V9184" s="1192">
        <v>47</v>
      </c>
    </row>
    <row r="9185" spans="1:22" s="1192" customFormat="1" ht="14.4" x14ac:dyDescent="0.3">
      <c r="A9185" s="1192" t="s">
        <v>175</v>
      </c>
      <c r="E9185" s="1942" t="s">
        <v>4669</v>
      </c>
      <c r="F9185" s="1942"/>
      <c r="G9185" s="524" t="s">
        <v>19</v>
      </c>
      <c r="H9185" s="1218">
        <v>165</v>
      </c>
      <c r="V9185" s="1192">
        <v>42</v>
      </c>
    </row>
    <row r="9186" spans="1:22" s="1192" customFormat="1" ht="14.4" x14ac:dyDescent="0.3">
      <c r="A9186" s="1192" t="s">
        <v>175</v>
      </c>
      <c r="E9186" s="1942" t="s">
        <v>2667</v>
      </c>
      <c r="F9186" s="1942"/>
      <c r="G9186" s="524" t="s">
        <v>19</v>
      </c>
      <c r="H9186" s="1218">
        <v>500</v>
      </c>
      <c r="V9186" s="1192">
        <v>70</v>
      </c>
    </row>
    <row r="9187" spans="1:22" s="1192" customFormat="1" ht="14.4" x14ac:dyDescent="0.3">
      <c r="A9187" s="1192" t="s">
        <v>175</v>
      </c>
      <c r="E9187" s="1942" t="s">
        <v>4670</v>
      </c>
      <c r="F9187" s="1942"/>
      <c r="G9187" s="524" t="s">
        <v>19</v>
      </c>
      <c r="H9187" s="1218">
        <v>300</v>
      </c>
      <c r="V9187" s="1192">
        <v>73</v>
      </c>
    </row>
    <row r="9188" spans="1:22" s="1192" customFormat="1" ht="14.4" x14ac:dyDescent="0.3">
      <c r="A9188" s="1192" t="s">
        <v>175</v>
      </c>
      <c r="E9188" s="1942" t="s">
        <v>4671</v>
      </c>
      <c r="F9188" s="1942"/>
      <c r="G9188" s="524" t="s">
        <v>19</v>
      </c>
      <c r="H9188" s="1218">
        <v>1000</v>
      </c>
      <c r="V9188" s="1192">
        <v>72</v>
      </c>
    </row>
    <row r="9189" spans="1:22" s="1192" customFormat="1" ht="14.4" x14ac:dyDescent="0.3">
      <c r="A9189" s="1192" t="s">
        <v>175</v>
      </c>
      <c r="E9189" s="1942" t="s">
        <v>4672</v>
      </c>
      <c r="F9189" s="1942"/>
      <c r="G9189" s="524" t="s">
        <v>19</v>
      </c>
      <c r="H9189" s="1218">
        <v>44.5</v>
      </c>
      <c r="V9189" s="1192">
        <v>67</v>
      </c>
    </row>
    <row r="9190" spans="1:22" s="1192" customFormat="1" ht="14.4" x14ac:dyDescent="0.3">
      <c r="A9190" s="1192" t="s">
        <v>175</v>
      </c>
      <c r="E9190" s="1942" t="s">
        <v>4673</v>
      </c>
      <c r="F9190" s="1942"/>
      <c r="G9190" s="524"/>
      <c r="H9190" s="837"/>
      <c r="V9190" s="1192">
        <v>85</v>
      </c>
    </row>
    <row r="9191" spans="1:22" s="1192" customFormat="1" x14ac:dyDescent="0.35">
      <c r="A9191" s="1192" t="s">
        <v>175</v>
      </c>
      <c r="E9191" s="1746" t="s">
        <v>73</v>
      </c>
      <c r="F9191" s="1747"/>
      <c r="G9191" s="550"/>
      <c r="H9191" s="881"/>
      <c r="K9191" s="1192" t="s">
        <v>4458</v>
      </c>
      <c r="V9191" s="1192">
        <v>38</v>
      </c>
    </row>
    <row r="9192" spans="1:22" s="1192" customFormat="1" ht="14.4" x14ac:dyDescent="0.3">
      <c r="A9192" s="1192" t="s">
        <v>175</v>
      </c>
      <c r="E9192" s="2037" t="s">
        <v>2389</v>
      </c>
      <c r="F9192" s="1743"/>
      <c r="G9192" s="1743"/>
      <c r="H9192" s="1743"/>
      <c r="K9192" s="1192" t="s">
        <v>2571</v>
      </c>
      <c r="V9192" s="1192">
        <v>11</v>
      </c>
    </row>
    <row r="9193" spans="1:22" s="1192" customFormat="1" ht="14.4" x14ac:dyDescent="0.3">
      <c r="A9193" s="1192" t="s">
        <v>175</v>
      </c>
      <c r="E9193" s="1743" t="s">
        <v>2391</v>
      </c>
      <c r="F9193" s="1743"/>
      <c r="G9193" s="1743"/>
      <c r="H9193" s="1743"/>
      <c r="V9193" s="1192">
        <v>280</v>
      </c>
    </row>
    <row r="9194" spans="1:22" s="1192" customFormat="1" ht="14.4" x14ac:dyDescent="0.3">
      <c r="A9194" s="1192" t="s">
        <v>175</v>
      </c>
      <c r="E9194" s="1743" t="s">
        <v>2392</v>
      </c>
      <c r="F9194" s="1743"/>
      <c r="G9194" s="1743"/>
      <c r="H9194" s="1743"/>
      <c r="V9194" s="1192">
        <v>411</v>
      </c>
    </row>
    <row r="9195" spans="1:22" s="1192" customFormat="1" ht="14.4" x14ac:dyDescent="0.3">
      <c r="A9195" s="1192" t="s">
        <v>175</v>
      </c>
      <c r="E9195" s="1743" t="s">
        <v>2445</v>
      </c>
      <c r="F9195" s="1743"/>
      <c r="G9195" s="1743"/>
      <c r="H9195" s="1743"/>
      <c r="V9195" s="1192">
        <v>211</v>
      </c>
    </row>
    <row r="9196" spans="1:22" s="1192" customFormat="1" ht="14.4" x14ac:dyDescent="0.3">
      <c r="A9196" s="1192" t="s">
        <v>175</v>
      </c>
      <c r="E9196" s="1743" t="s">
        <v>2986</v>
      </c>
      <c r="F9196" s="1743"/>
      <c r="G9196" s="1743"/>
      <c r="H9196" s="1743"/>
      <c r="V9196" s="1192">
        <v>246</v>
      </c>
    </row>
    <row r="9197" spans="1:22" s="1192" customFormat="1" ht="14.4" x14ac:dyDescent="0.3">
      <c r="A9197" s="1192" t="s">
        <v>175</v>
      </c>
      <c r="E9197" s="1741" t="s">
        <v>2818</v>
      </c>
      <c r="F9197" s="1741"/>
      <c r="G9197" s="1998"/>
      <c r="H9197" s="1998"/>
      <c r="V9197" s="1192">
        <v>141</v>
      </c>
    </row>
    <row r="9198" spans="1:22" s="1192" customFormat="1" ht="14.4" x14ac:dyDescent="0.3">
      <c r="A9198" s="1192" t="s">
        <v>175</v>
      </c>
      <c r="E9198" s="1741" t="s">
        <v>2485</v>
      </c>
      <c r="F9198" s="1741"/>
      <c r="G9198" s="1280" t="s">
        <v>19</v>
      </c>
      <c r="H9198" s="509">
        <v>102</v>
      </c>
      <c r="V9198" s="1192">
        <v>106</v>
      </c>
    </row>
    <row r="9199" spans="1:22" s="1192" customFormat="1" ht="14.4" x14ac:dyDescent="0.3">
      <c r="A9199" s="1192" t="s">
        <v>175</v>
      </c>
      <c r="E9199" s="1741" t="s">
        <v>3919</v>
      </c>
      <c r="F9199" s="1741"/>
      <c r="G9199" s="1280" t="s">
        <v>19</v>
      </c>
      <c r="H9199" s="509">
        <v>40.799999999999997</v>
      </c>
      <c r="V9199" s="1192">
        <v>34</v>
      </c>
    </row>
    <row r="9200" spans="1:22" s="1192" customFormat="1" ht="14.4" x14ac:dyDescent="0.3">
      <c r="A9200" s="1192" t="s">
        <v>175</v>
      </c>
      <c r="E9200" s="1741" t="s">
        <v>3920</v>
      </c>
      <c r="F9200" s="1741"/>
      <c r="G9200" s="1280" t="s">
        <v>19</v>
      </c>
      <c r="H9200" s="509">
        <v>1.02</v>
      </c>
      <c r="V9200" s="1192">
        <v>51</v>
      </c>
    </row>
    <row r="9201" spans="1:22" s="1192" customFormat="1" ht="14.4" x14ac:dyDescent="0.3">
      <c r="A9201" s="1192" t="s">
        <v>175</v>
      </c>
      <c r="E9201" s="1741" t="s">
        <v>2489</v>
      </c>
      <c r="F9201" s="1741"/>
      <c r="G9201" s="1280" t="s">
        <v>19</v>
      </c>
      <c r="H9201" s="509">
        <v>0.61</v>
      </c>
      <c r="V9201" s="1192">
        <v>75</v>
      </c>
    </row>
    <row r="9202" spans="1:22" s="1192" customFormat="1" ht="14.4" x14ac:dyDescent="0.3">
      <c r="A9202" s="1192" t="s">
        <v>175</v>
      </c>
      <c r="E9202" s="1741" t="s">
        <v>2490</v>
      </c>
      <c r="F9202" s="1741"/>
      <c r="G9202" s="1280" t="s">
        <v>19</v>
      </c>
      <c r="H9202" s="509">
        <v>-0.61</v>
      </c>
      <c r="V9202" s="1192">
        <v>72</v>
      </c>
    </row>
    <row r="9203" spans="1:22" s="1192" customFormat="1" ht="14.4" x14ac:dyDescent="0.3">
      <c r="A9203" s="1192" t="s">
        <v>175</v>
      </c>
      <c r="E9203" s="1941" t="s">
        <v>2596</v>
      </c>
      <c r="F9203" s="1941"/>
      <c r="G9203" s="1280"/>
      <c r="H9203" s="840"/>
      <c r="V9203" s="1192">
        <v>34</v>
      </c>
    </row>
    <row r="9204" spans="1:22" s="1192" customFormat="1" ht="14.4" x14ac:dyDescent="0.3">
      <c r="A9204" s="1192" t="s">
        <v>175</v>
      </c>
      <c r="E9204" s="1941" t="s">
        <v>4674</v>
      </c>
      <c r="F9204" s="1941"/>
      <c r="G9204" s="1280" t="s">
        <v>19</v>
      </c>
      <c r="H9204" s="509">
        <v>0.51</v>
      </c>
      <c r="V9204" s="1192">
        <v>79</v>
      </c>
    </row>
    <row r="9205" spans="1:22" s="1192" customFormat="1" ht="14.4" x14ac:dyDescent="0.3">
      <c r="A9205" s="1192" t="s">
        <v>175</v>
      </c>
      <c r="E9205" s="1741" t="s">
        <v>4675</v>
      </c>
      <c r="F9205" s="1741"/>
      <c r="G9205" s="1280" t="s">
        <v>19</v>
      </c>
      <c r="H9205" s="509">
        <v>1.02</v>
      </c>
      <c r="V9205" s="1192">
        <v>82</v>
      </c>
    </row>
    <row r="9206" spans="1:22" s="1192" customFormat="1" ht="14.4" x14ac:dyDescent="0.3">
      <c r="A9206" s="1192" t="s">
        <v>175</v>
      </c>
      <c r="E9206" s="1741" t="s">
        <v>2494</v>
      </c>
      <c r="F9206" s="1741"/>
      <c r="G9206" s="1280"/>
      <c r="H9206" s="840"/>
      <c r="V9206" s="1192">
        <v>91</v>
      </c>
    </row>
    <row r="9207" spans="1:22" s="1192" customFormat="1" ht="14.4" x14ac:dyDescent="0.3">
      <c r="A9207" s="1192" t="s">
        <v>175</v>
      </c>
      <c r="E9207" s="1741" t="s">
        <v>2495</v>
      </c>
      <c r="F9207" s="1741"/>
      <c r="G9207" s="1280"/>
      <c r="H9207" s="840"/>
      <c r="V9207" s="1192">
        <v>96</v>
      </c>
    </row>
    <row r="9208" spans="1:22" s="1192" customFormat="1" ht="14.4" x14ac:dyDescent="0.3">
      <c r="A9208" s="1192" t="s">
        <v>175</v>
      </c>
      <c r="E9208" s="1941" t="s">
        <v>2597</v>
      </c>
      <c r="F9208" s="1941"/>
      <c r="G9208" s="1280"/>
      <c r="H9208" s="840"/>
      <c r="V9208" s="1192">
        <v>77</v>
      </c>
    </row>
    <row r="9209" spans="1:22" s="1192" customFormat="1" ht="14.4" x14ac:dyDescent="0.3">
      <c r="A9209" s="1192" t="s">
        <v>175</v>
      </c>
      <c r="E9209" s="1941" t="s">
        <v>4676</v>
      </c>
      <c r="F9209" s="1941"/>
      <c r="G9209" s="1280" t="s">
        <v>19</v>
      </c>
      <c r="H9209" s="840" t="s">
        <v>2498</v>
      </c>
      <c r="V9209" s="1192">
        <v>40</v>
      </c>
    </row>
    <row r="9210" spans="1:22" s="1192" customFormat="1" ht="14.4" x14ac:dyDescent="0.3">
      <c r="A9210" s="1192" t="s">
        <v>175</v>
      </c>
      <c r="E9210" s="1741" t="s">
        <v>4677</v>
      </c>
      <c r="F9210" s="1741"/>
      <c r="G9210" s="1280" t="s">
        <v>19</v>
      </c>
      <c r="H9210" s="509">
        <v>4.08</v>
      </c>
      <c r="V9210" s="1192">
        <v>91</v>
      </c>
    </row>
    <row r="9211" spans="1:22" s="1192" customFormat="1" ht="14.4" x14ac:dyDescent="0.3">
      <c r="A9211" s="1192" t="s">
        <v>175</v>
      </c>
      <c r="E9211" s="1741" t="s">
        <v>4608</v>
      </c>
      <c r="F9211" s="1741"/>
      <c r="G9211" s="452" t="s">
        <v>19</v>
      </c>
      <c r="H9211" s="1218">
        <v>2.04</v>
      </c>
      <c r="V9211" s="1192">
        <v>199</v>
      </c>
    </row>
    <row r="9212" spans="1:22" s="1192" customFormat="1" ht="14.4" x14ac:dyDescent="0.3">
      <c r="A9212" s="1192" t="s">
        <v>175</v>
      </c>
      <c r="E9212" s="1746" t="s">
        <v>143</v>
      </c>
      <c r="F9212" s="1998"/>
      <c r="G9212" s="1998"/>
      <c r="H9212" s="1998"/>
      <c r="K9212" s="1192" t="s">
        <v>4459</v>
      </c>
      <c r="V9212" s="1192">
        <v>12</v>
      </c>
    </row>
    <row r="9213" spans="1:22" s="1192" customFormat="1" ht="14.4" x14ac:dyDescent="0.3">
      <c r="A9213" s="1192" t="s">
        <v>175</v>
      </c>
      <c r="E9213" s="1741" t="s">
        <v>2501</v>
      </c>
      <c r="F9213" s="1741"/>
      <c r="G9213" s="1741"/>
      <c r="H9213" s="1741"/>
      <c r="V9213" s="1192">
        <v>203</v>
      </c>
    </row>
    <row r="9214" spans="1:22" s="1192" customFormat="1" ht="14.4" x14ac:dyDescent="0.3">
      <c r="A9214" s="1192" t="s">
        <v>175</v>
      </c>
      <c r="E9214" s="1741" t="s">
        <v>2599</v>
      </c>
      <c r="F9214" s="1741"/>
      <c r="G9214" s="1277"/>
      <c r="H9214" s="837">
        <v>1.0355000000000001</v>
      </c>
      <c r="V9214" s="1192">
        <v>57</v>
      </c>
    </row>
    <row r="9215" spans="1:22" s="1192" customFormat="1" ht="14.4" x14ac:dyDescent="0.3">
      <c r="A9215" s="1192" t="s">
        <v>175</v>
      </c>
      <c r="E9215" s="1741" t="s">
        <v>2601</v>
      </c>
      <c r="F9215" s="1741"/>
      <c r="G9215" s="1277"/>
      <c r="H9215" s="837">
        <v>1.0250999999999999</v>
      </c>
      <c r="J9215" s="1192" t="s">
        <v>4460</v>
      </c>
      <c r="V9215" s="1192">
        <v>55</v>
      </c>
    </row>
    <row r="9216" spans="1:22" s="1192" customFormat="1" ht="22.8" x14ac:dyDescent="0.3">
      <c r="A9216" s="1192" t="s">
        <v>177</v>
      </c>
      <c r="C9216" s="1192" t="s">
        <v>2378</v>
      </c>
      <c r="E9216" s="1752" t="s">
        <v>177</v>
      </c>
      <c r="F9216" s="1752"/>
      <c r="G9216" s="1752"/>
      <c r="H9216" s="1752"/>
      <c r="I9216" s="1192" t="s">
        <v>603</v>
      </c>
      <c r="J9216" s="1192" t="s">
        <v>2968</v>
      </c>
      <c r="K9216" s="1192" t="s">
        <v>177</v>
      </c>
      <c r="M9216" s="1192">
        <v>6</v>
      </c>
      <c r="V9216" s="1192">
        <v>30</v>
      </c>
    </row>
    <row r="9217" spans="1:22" s="1192" customFormat="1" ht="17.399999999999999" x14ac:dyDescent="0.3">
      <c r="A9217" s="1192" t="s">
        <v>177</v>
      </c>
      <c r="C9217" s="1192" t="s">
        <v>2380</v>
      </c>
      <c r="E9217" s="1753" t="s">
        <v>2381</v>
      </c>
      <c r="F9217" s="1753"/>
      <c r="G9217" s="1753"/>
      <c r="H9217" s="1753"/>
      <c r="V9217" s="1192">
        <v>27</v>
      </c>
    </row>
    <row r="9218" spans="1:22" s="1192" customFormat="1" ht="15.6" x14ac:dyDescent="0.3">
      <c r="A9218" s="1192" t="s">
        <v>177</v>
      </c>
      <c r="C9218" s="1192" t="s">
        <v>2382</v>
      </c>
      <c r="E9218" s="1754" t="s">
        <v>6482</v>
      </c>
      <c r="F9218" s="1754"/>
      <c r="G9218" s="1754"/>
      <c r="H9218" s="1754"/>
      <c r="S9218" s="1192">
        <v>43952</v>
      </c>
      <c r="V9218" s="1192">
        <v>45</v>
      </c>
    </row>
    <row r="9219" spans="1:22" s="1192" customFormat="1" ht="14.4" x14ac:dyDescent="0.3">
      <c r="A9219" s="1192" t="s">
        <v>177</v>
      </c>
      <c r="C9219" s="1192" t="s">
        <v>2383</v>
      </c>
      <c r="E9219" s="1755" t="s">
        <v>2384</v>
      </c>
      <c r="F9219" s="1755"/>
      <c r="G9219" s="1755"/>
      <c r="H9219" s="1755"/>
      <c r="V9219" s="1192">
        <v>52</v>
      </c>
    </row>
    <row r="9220" spans="1:22" s="1192" customFormat="1" ht="14.4" x14ac:dyDescent="0.3">
      <c r="A9220" s="1192" t="s">
        <v>177</v>
      </c>
      <c r="E9220" s="1755" t="s">
        <v>2385</v>
      </c>
      <c r="F9220" s="1755"/>
      <c r="G9220" s="1755"/>
      <c r="H9220" s="1755"/>
      <c r="V9220" s="1192">
        <v>53</v>
      </c>
    </row>
    <row r="9221" spans="1:22" s="1192" customFormat="1" ht="14.4" x14ac:dyDescent="0.3">
      <c r="A9221" s="1192" t="s">
        <v>177</v>
      </c>
      <c r="E9221" s="1772" t="s">
        <v>6559</v>
      </c>
      <c r="F9221" s="1772"/>
      <c r="G9221" s="1772"/>
      <c r="H9221" s="1772"/>
      <c r="K9221" s="1192" t="s">
        <v>6559</v>
      </c>
      <c r="V9221" s="1192">
        <v>12</v>
      </c>
    </row>
    <row r="9222" spans="1:22" s="1192" customFormat="1" ht="14.4" x14ac:dyDescent="0.3">
      <c r="A9222" s="1192" t="s">
        <v>177</v>
      </c>
      <c r="E9222" s="1746" t="s">
        <v>427</v>
      </c>
      <c r="F9222" s="1743"/>
      <c r="G9222" s="1743"/>
      <c r="H9222" s="1743"/>
      <c r="K9222" s="1192" t="s">
        <v>2506</v>
      </c>
      <c r="V9222" s="1192">
        <v>34</v>
      </c>
    </row>
    <row r="9223" spans="1:22" s="1192" customFormat="1" ht="14.4" x14ac:dyDescent="0.3">
      <c r="A9223" s="1192" t="s">
        <v>177</v>
      </c>
      <c r="E9223" s="1743" t="s">
        <v>2969</v>
      </c>
      <c r="F9223" s="1743"/>
      <c r="G9223" s="1743"/>
      <c r="H9223" s="1743"/>
      <c r="K9223" s="1192" t="s">
        <v>2506</v>
      </c>
      <c r="V9223" s="1192">
        <v>470</v>
      </c>
    </row>
    <row r="9224" spans="1:22" s="1192" customFormat="1" ht="14.4" x14ac:dyDescent="0.3">
      <c r="A9224" s="1192" t="s">
        <v>177</v>
      </c>
      <c r="E9224" s="1750" t="s">
        <v>2389</v>
      </c>
      <c r="F9224" s="1743"/>
      <c r="G9224" s="1743"/>
      <c r="H9224" s="1743"/>
      <c r="K9224" s="1192" t="s">
        <v>2390</v>
      </c>
      <c r="V9224" s="1192">
        <v>11</v>
      </c>
    </row>
    <row r="9225" spans="1:22" s="1192" customFormat="1" ht="14.4" x14ac:dyDescent="0.3">
      <c r="A9225" s="1192" t="s">
        <v>177</v>
      </c>
      <c r="E9225" s="1743" t="s">
        <v>2762</v>
      </c>
      <c r="F9225" s="1743"/>
      <c r="G9225" s="1743"/>
      <c r="H9225" s="1743"/>
      <c r="K9225" s="1192" t="s">
        <v>2506</v>
      </c>
      <c r="V9225" s="1192">
        <v>272</v>
      </c>
    </row>
    <row r="9226" spans="1:22" s="1192" customFormat="1" ht="14.4" x14ac:dyDescent="0.3">
      <c r="A9226" s="1192" t="s">
        <v>177</v>
      </c>
      <c r="E9226" s="1743" t="s">
        <v>2763</v>
      </c>
      <c r="F9226" s="1743"/>
      <c r="G9226" s="1743"/>
      <c r="H9226" s="1743"/>
      <c r="K9226" s="1192" t="s">
        <v>2506</v>
      </c>
      <c r="V9226" s="1192">
        <v>403</v>
      </c>
    </row>
    <row r="9227" spans="1:22" s="1192" customFormat="1" ht="14.4" x14ac:dyDescent="0.3">
      <c r="A9227" s="1192" t="s">
        <v>177</v>
      </c>
      <c r="E9227" s="1743" t="s">
        <v>2970</v>
      </c>
      <c r="F9227" s="1743"/>
      <c r="G9227" s="1743"/>
      <c r="H9227" s="1743"/>
      <c r="K9227" s="1192" t="s">
        <v>2506</v>
      </c>
      <c r="V9227" s="1192">
        <v>380</v>
      </c>
    </row>
    <row r="9228" spans="1:22" s="1192" customFormat="1" ht="14.4" x14ac:dyDescent="0.3">
      <c r="A9228" s="1192" t="s">
        <v>177</v>
      </c>
      <c r="E9228" s="1743" t="s">
        <v>4500</v>
      </c>
      <c r="F9228" s="1743"/>
      <c r="G9228" s="1743"/>
      <c r="H9228" s="1743"/>
      <c r="K9228" s="1192" t="s">
        <v>2506</v>
      </c>
      <c r="V9228" s="1192">
        <v>247</v>
      </c>
    </row>
    <row r="9229" spans="1:22" s="1192" customFormat="1" ht="14.4" x14ac:dyDescent="0.3">
      <c r="A9229" s="1192" t="s">
        <v>177</v>
      </c>
      <c r="E9229" s="1750" t="s">
        <v>2394</v>
      </c>
      <c r="F9229" s="1743"/>
      <c r="G9229" s="1743"/>
      <c r="H9229" s="1743"/>
      <c r="K9229" s="1192" t="s">
        <v>2395</v>
      </c>
      <c r="V9229" s="1192">
        <v>46</v>
      </c>
    </row>
    <row r="9230" spans="1:22" s="1192" customFormat="1" ht="14.4" x14ac:dyDescent="0.3">
      <c r="A9230" s="1192" t="s">
        <v>177</v>
      </c>
      <c r="E9230" s="1741" t="s">
        <v>7</v>
      </c>
      <c r="F9230" s="1741"/>
      <c r="G9230" s="1277" t="s">
        <v>19</v>
      </c>
      <c r="H9230" s="1218">
        <v>34.51</v>
      </c>
      <c r="K9230" s="1192" t="s">
        <v>2506</v>
      </c>
      <c r="L9230" s="1192" t="s">
        <v>430</v>
      </c>
      <c r="P9230" s="1192" t="s">
        <v>2510</v>
      </c>
      <c r="V9230" s="1192">
        <v>14</v>
      </c>
    </row>
    <row r="9231" spans="1:22" s="1192" customFormat="1" ht="14.4" x14ac:dyDescent="0.3">
      <c r="A9231" s="1192" t="s">
        <v>177</v>
      </c>
      <c r="E9231" s="1741" t="s">
        <v>3900</v>
      </c>
      <c r="F9231" s="1741"/>
      <c r="G9231" s="1277" t="s">
        <v>19</v>
      </c>
      <c r="H9231" s="1218">
        <v>0.56999999999999995</v>
      </c>
      <c r="K9231" s="1192" t="s">
        <v>2506</v>
      </c>
      <c r="L9231" s="1192" t="s">
        <v>431</v>
      </c>
      <c r="P9231" s="1192" t="s">
        <v>2511</v>
      </c>
      <c r="T9231" s="1192">
        <v>44926</v>
      </c>
      <c r="V9231" s="1192">
        <v>64</v>
      </c>
    </row>
    <row r="9232" spans="1:22" s="1192" customFormat="1" ht="14.4" x14ac:dyDescent="0.3">
      <c r="A9232" s="1192" t="s">
        <v>177</v>
      </c>
      <c r="E9232" s="1741" t="s">
        <v>213</v>
      </c>
      <c r="F9232" s="1741"/>
      <c r="G9232" s="1277" t="s">
        <v>20</v>
      </c>
      <c r="H9232" s="1219">
        <v>7.3000000000000001E-3</v>
      </c>
      <c r="K9232" s="1192" t="s">
        <v>2506</v>
      </c>
      <c r="L9232" s="1192" t="s">
        <v>432</v>
      </c>
      <c r="P9232" s="1192" t="s">
        <v>2517</v>
      </c>
      <c r="V9232" s="1192">
        <v>47</v>
      </c>
    </row>
    <row r="9233" spans="1:22" s="1192" customFormat="1" ht="14.4" x14ac:dyDescent="0.3">
      <c r="A9233" s="1192" t="s">
        <v>177</v>
      </c>
      <c r="E9233" s="1741" t="s">
        <v>209</v>
      </c>
      <c r="F9233" s="1741"/>
      <c r="G9233" s="1277" t="s">
        <v>20</v>
      </c>
      <c r="H9233" s="1219">
        <v>2E-3</v>
      </c>
      <c r="K9233" s="1192" t="s">
        <v>2506</v>
      </c>
      <c r="L9233" s="1192" t="s">
        <v>432</v>
      </c>
      <c r="P9233" s="1192" t="s">
        <v>2518</v>
      </c>
      <c r="V9233" s="1192">
        <v>74</v>
      </c>
    </row>
    <row r="9234" spans="1:22" s="1192" customFormat="1" ht="14.4" x14ac:dyDescent="0.3">
      <c r="A9234" s="1192" t="s">
        <v>177</v>
      </c>
      <c r="E9234" s="1750" t="s">
        <v>2405</v>
      </c>
      <c r="F9234" s="1741"/>
      <c r="G9234" s="1277"/>
      <c r="H9234" s="896"/>
      <c r="K9234" s="1192" t="s">
        <v>2406</v>
      </c>
      <c r="V9234" s="1192">
        <v>48</v>
      </c>
    </row>
    <row r="9235" spans="1:22" s="1192" customFormat="1" ht="14.4" x14ac:dyDescent="0.3">
      <c r="A9235" s="1192" t="s">
        <v>177</v>
      </c>
      <c r="E9235" s="1741" t="s">
        <v>2033</v>
      </c>
      <c r="F9235" s="1741"/>
      <c r="G9235" s="1277" t="s">
        <v>20</v>
      </c>
      <c r="H9235" s="1219">
        <v>3.0000000000000001E-3</v>
      </c>
      <c r="K9235" s="1192" t="s">
        <v>2506</v>
      </c>
      <c r="L9235" s="1192" t="s">
        <v>2374</v>
      </c>
      <c r="P9235" s="1192" t="s">
        <v>2519</v>
      </c>
      <c r="V9235" s="1192">
        <v>55</v>
      </c>
    </row>
    <row r="9236" spans="1:22" s="1192" customFormat="1" ht="14.4" x14ac:dyDescent="0.3">
      <c r="A9236" s="1192" t="s">
        <v>177</v>
      </c>
      <c r="E9236" s="1741" t="s">
        <v>2034</v>
      </c>
      <c r="F9236" s="1741"/>
      <c r="G9236" s="1277" t="s">
        <v>20</v>
      </c>
      <c r="H9236" s="1219">
        <v>4.0000000000000002E-4</v>
      </c>
      <c r="K9236" s="1192" t="s">
        <v>2506</v>
      </c>
      <c r="L9236" s="1192" t="s">
        <v>2374</v>
      </c>
      <c r="P9236" s="1192" t="s">
        <v>2519</v>
      </c>
      <c r="V9236" s="1192">
        <v>65</v>
      </c>
    </row>
    <row r="9237" spans="1:22" s="1192" customFormat="1" ht="14.4" x14ac:dyDescent="0.3">
      <c r="A9237" s="1192" t="s">
        <v>177</v>
      </c>
      <c r="E9237" s="1741" t="s">
        <v>428</v>
      </c>
      <c r="F9237" s="1741"/>
      <c r="G9237" s="1277" t="s">
        <v>20</v>
      </c>
      <c r="H9237" s="1219">
        <v>5.0000000000000001E-4</v>
      </c>
      <c r="K9237" s="1192" t="s">
        <v>2506</v>
      </c>
      <c r="L9237" s="1192" t="s">
        <v>2374</v>
      </c>
      <c r="P9237" s="1192" t="s">
        <v>2520</v>
      </c>
      <c r="V9237" s="1192">
        <v>57</v>
      </c>
    </row>
    <row r="9238" spans="1:22" s="1192" customFormat="1" ht="14.4" x14ac:dyDescent="0.3">
      <c r="A9238" s="1192" t="s">
        <v>177</v>
      </c>
      <c r="E9238" s="1741" t="s">
        <v>28</v>
      </c>
      <c r="F9238" s="1741"/>
      <c r="G9238" s="1277" t="s">
        <v>19</v>
      </c>
      <c r="H9238" s="1218">
        <v>0.25</v>
      </c>
      <c r="K9238" s="1192" t="s">
        <v>2506</v>
      </c>
      <c r="L9238" s="1192" t="s">
        <v>2374</v>
      </c>
      <c r="P9238" s="1192" t="s">
        <v>2521</v>
      </c>
      <c r="V9238" s="1192">
        <v>63</v>
      </c>
    </row>
    <row r="9239" spans="1:22" s="1192" customFormat="1" ht="17.399999999999999" x14ac:dyDescent="0.3">
      <c r="A9239" s="1192" t="s">
        <v>177</v>
      </c>
      <c r="E9239" s="1746" t="s">
        <v>2522</v>
      </c>
      <c r="F9239" s="1747"/>
      <c r="G9239" s="1747"/>
      <c r="H9239" s="1747"/>
      <c r="K9239" s="1192" t="s">
        <v>3901</v>
      </c>
      <c r="V9239" s="1192">
        <v>54</v>
      </c>
    </row>
    <row r="9240" spans="1:22" s="1192" customFormat="1" ht="14.4" x14ac:dyDescent="0.3">
      <c r="A9240" s="1192" t="s">
        <v>177</v>
      </c>
      <c r="E9240" s="1743" t="s">
        <v>2971</v>
      </c>
      <c r="F9240" s="1743"/>
      <c r="G9240" s="1743"/>
      <c r="H9240" s="1743"/>
      <c r="K9240" s="1192" t="s">
        <v>3901</v>
      </c>
      <c r="V9240" s="1192">
        <v>418</v>
      </c>
    </row>
    <row r="9241" spans="1:22" s="1192" customFormat="1" ht="14.4" x14ac:dyDescent="0.3">
      <c r="A9241" s="1192" t="s">
        <v>177</v>
      </c>
      <c r="E9241" s="1750" t="s">
        <v>2389</v>
      </c>
      <c r="F9241" s="1743"/>
      <c r="G9241" s="1743"/>
      <c r="H9241" s="1743"/>
      <c r="K9241" s="1192" t="s">
        <v>2412</v>
      </c>
      <c r="V9241" s="1192">
        <v>11</v>
      </c>
    </row>
    <row r="9242" spans="1:22" s="1192" customFormat="1" ht="14.4" x14ac:dyDescent="0.3">
      <c r="A9242" s="1192" t="s">
        <v>177</v>
      </c>
      <c r="E9242" s="1743" t="s">
        <v>2762</v>
      </c>
      <c r="F9242" s="1743"/>
      <c r="G9242" s="1743"/>
      <c r="H9242" s="1743"/>
      <c r="K9242" s="1192" t="s">
        <v>3901</v>
      </c>
      <c r="V9242" s="1192">
        <v>272</v>
      </c>
    </row>
    <row r="9243" spans="1:22" s="1192" customFormat="1" ht="14.4" x14ac:dyDescent="0.3">
      <c r="A9243" s="1192" t="s">
        <v>177</v>
      </c>
      <c r="E9243" s="1743" t="s">
        <v>2763</v>
      </c>
      <c r="F9243" s="1743"/>
      <c r="G9243" s="1743"/>
      <c r="H9243" s="1743"/>
      <c r="K9243" s="1192" t="s">
        <v>3901</v>
      </c>
      <c r="V9243" s="1192">
        <v>403</v>
      </c>
    </row>
    <row r="9244" spans="1:22" s="1192" customFormat="1" ht="14.4" x14ac:dyDescent="0.3">
      <c r="A9244" s="1192" t="s">
        <v>177</v>
      </c>
      <c r="E9244" s="1743" t="s">
        <v>2970</v>
      </c>
      <c r="F9244" s="1743"/>
      <c r="G9244" s="1743"/>
      <c r="H9244" s="1743"/>
      <c r="K9244" s="1192" t="s">
        <v>3901</v>
      </c>
      <c r="V9244" s="1192">
        <v>380</v>
      </c>
    </row>
    <row r="9245" spans="1:22" s="1192" customFormat="1" ht="14.4" x14ac:dyDescent="0.3">
      <c r="A9245" s="1192" t="s">
        <v>177</v>
      </c>
      <c r="E9245" s="1743" t="s">
        <v>4500</v>
      </c>
      <c r="F9245" s="1743"/>
      <c r="G9245" s="1743"/>
      <c r="H9245" s="1743"/>
      <c r="K9245" s="1192" t="s">
        <v>3901</v>
      </c>
      <c r="V9245" s="1192">
        <v>247</v>
      </c>
    </row>
    <row r="9246" spans="1:22" s="1192" customFormat="1" ht="14.4" x14ac:dyDescent="0.3">
      <c r="A9246" s="1192" t="s">
        <v>177</v>
      </c>
      <c r="E9246" s="1750" t="s">
        <v>2394</v>
      </c>
      <c r="F9246" s="1743"/>
      <c r="G9246" s="1743"/>
      <c r="H9246" s="1743"/>
      <c r="K9246" s="1192" t="s">
        <v>2413</v>
      </c>
      <c r="V9246" s="1192">
        <v>46</v>
      </c>
    </row>
    <row r="9247" spans="1:22" s="1192" customFormat="1" ht="14.4" x14ac:dyDescent="0.3">
      <c r="A9247" s="1192" t="s">
        <v>177</v>
      </c>
      <c r="E9247" s="1741" t="s">
        <v>7</v>
      </c>
      <c r="F9247" s="1741"/>
      <c r="G9247" s="1277" t="s">
        <v>19</v>
      </c>
      <c r="H9247" s="1218">
        <v>46.92</v>
      </c>
      <c r="K9247" s="1192" t="s">
        <v>3901</v>
      </c>
      <c r="L9247" s="1192" t="s">
        <v>430</v>
      </c>
      <c r="P9247" s="1192" t="s">
        <v>3902</v>
      </c>
      <c r="V9247" s="1192">
        <v>14</v>
      </c>
    </row>
    <row r="9248" spans="1:22" s="1192" customFormat="1" ht="14.4" x14ac:dyDescent="0.3">
      <c r="A9248" s="1192" t="s">
        <v>177</v>
      </c>
      <c r="E9248" s="1741" t="s">
        <v>3900</v>
      </c>
      <c r="F9248" s="1741"/>
      <c r="G9248" s="1277" t="s">
        <v>19</v>
      </c>
      <c r="H9248" s="1218">
        <v>0.56999999999999995</v>
      </c>
      <c r="K9248" s="1192" t="s">
        <v>3901</v>
      </c>
      <c r="L9248" s="1192" t="s">
        <v>431</v>
      </c>
      <c r="P9248" s="1192" t="s">
        <v>3903</v>
      </c>
      <c r="T9248" s="1192">
        <v>44926</v>
      </c>
      <c r="V9248" s="1192">
        <v>64</v>
      </c>
    </row>
    <row r="9249" spans="1:22" s="1192" customFormat="1" ht="14.4" x14ac:dyDescent="0.3">
      <c r="A9249" s="1192" t="s">
        <v>177</v>
      </c>
      <c r="E9249" s="1741" t="s">
        <v>80</v>
      </c>
      <c r="F9249" s="1741"/>
      <c r="G9249" s="1277" t="s">
        <v>20</v>
      </c>
      <c r="H9249" s="1219">
        <v>1.0699999999999999E-2</v>
      </c>
      <c r="K9249" s="1192" t="s">
        <v>3901</v>
      </c>
      <c r="L9249" s="1192" t="s">
        <v>430</v>
      </c>
      <c r="P9249" s="1192" t="s">
        <v>3904</v>
      </c>
      <c r="V9249" s="1192">
        <v>28</v>
      </c>
    </row>
    <row r="9250" spans="1:22" s="1192" customFormat="1" ht="14.4" x14ac:dyDescent="0.3">
      <c r="A9250" s="1192" t="s">
        <v>177</v>
      </c>
      <c r="E9250" s="1741" t="s">
        <v>213</v>
      </c>
      <c r="F9250" s="1741"/>
      <c r="G9250" s="1277" t="s">
        <v>20</v>
      </c>
      <c r="H9250" s="1219">
        <v>6.6E-3</v>
      </c>
      <c r="K9250" s="1192" t="s">
        <v>3901</v>
      </c>
      <c r="L9250" s="1192" t="s">
        <v>432</v>
      </c>
      <c r="P9250" s="1192" t="s">
        <v>3906</v>
      </c>
      <c r="V9250" s="1192">
        <v>47</v>
      </c>
    </row>
    <row r="9251" spans="1:22" s="1192" customFormat="1" ht="14.4" x14ac:dyDescent="0.3">
      <c r="A9251" s="1192" t="s">
        <v>177</v>
      </c>
      <c r="E9251" s="1741" t="s">
        <v>209</v>
      </c>
      <c r="F9251" s="1741"/>
      <c r="G9251" s="1277" t="s">
        <v>20</v>
      </c>
      <c r="H9251" s="1219">
        <v>1.8E-3</v>
      </c>
      <c r="K9251" s="1192" t="s">
        <v>3901</v>
      </c>
      <c r="L9251" s="1192" t="s">
        <v>432</v>
      </c>
      <c r="P9251" s="1192" t="s">
        <v>3907</v>
      </c>
      <c r="V9251" s="1192">
        <v>74</v>
      </c>
    </row>
    <row r="9252" spans="1:22" s="1192" customFormat="1" ht="14.4" x14ac:dyDescent="0.3">
      <c r="A9252" s="1192" t="s">
        <v>177</v>
      </c>
      <c r="E9252" s="1750" t="s">
        <v>2405</v>
      </c>
      <c r="F9252" s="1741"/>
      <c r="G9252" s="1277"/>
      <c r="H9252" s="896"/>
      <c r="K9252" s="1192" t="s">
        <v>2418</v>
      </c>
      <c r="V9252" s="1192">
        <v>48</v>
      </c>
    </row>
    <row r="9253" spans="1:22" s="1192" customFormat="1" ht="14.4" x14ac:dyDescent="0.3">
      <c r="A9253" s="1192" t="s">
        <v>177</v>
      </c>
      <c r="E9253" s="1741" t="s">
        <v>2033</v>
      </c>
      <c r="F9253" s="1741"/>
      <c r="G9253" s="1277" t="s">
        <v>20</v>
      </c>
      <c r="H9253" s="1219">
        <v>3.0000000000000001E-3</v>
      </c>
      <c r="K9253" s="1192" t="s">
        <v>3901</v>
      </c>
      <c r="L9253" s="1192" t="s">
        <v>2374</v>
      </c>
      <c r="P9253" s="1192" t="s">
        <v>3908</v>
      </c>
      <c r="V9253" s="1192">
        <v>55</v>
      </c>
    </row>
    <row r="9254" spans="1:22" s="1192" customFormat="1" ht="14.4" x14ac:dyDescent="0.3">
      <c r="A9254" s="1192" t="s">
        <v>177</v>
      </c>
      <c r="E9254" s="1741" t="s">
        <v>2034</v>
      </c>
      <c r="F9254" s="1741"/>
      <c r="G9254" s="1277" t="s">
        <v>20</v>
      </c>
      <c r="H9254" s="1219">
        <v>4.0000000000000002E-4</v>
      </c>
      <c r="K9254" s="1192" t="s">
        <v>3901</v>
      </c>
      <c r="L9254" s="1192" t="s">
        <v>2374</v>
      </c>
      <c r="P9254" s="1192" t="s">
        <v>3908</v>
      </c>
      <c r="V9254" s="1192">
        <v>65</v>
      </c>
    </row>
    <row r="9255" spans="1:22" s="1192" customFormat="1" ht="14.4" x14ac:dyDescent="0.3">
      <c r="A9255" s="1192" t="s">
        <v>177</v>
      </c>
      <c r="E9255" s="1741" t="s">
        <v>428</v>
      </c>
      <c r="F9255" s="1741"/>
      <c r="G9255" s="1277" t="s">
        <v>20</v>
      </c>
      <c r="H9255" s="1219">
        <v>5.0000000000000001E-4</v>
      </c>
      <c r="K9255" s="1192" t="s">
        <v>3901</v>
      </c>
      <c r="L9255" s="1192" t="s">
        <v>2374</v>
      </c>
      <c r="P9255" s="1192" t="s">
        <v>3909</v>
      </c>
      <c r="V9255" s="1192">
        <v>57</v>
      </c>
    </row>
    <row r="9256" spans="1:22" s="1192" customFormat="1" ht="14.4" x14ac:dyDescent="0.3">
      <c r="A9256" s="1192" t="s">
        <v>177</v>
      </c>
      <c r="E9256" s="1741" t="s">
        <v>28</v>
      </c>
      <c r="F9256" s="1741"/>
      <c r="G9256" s="1277" t="s">
        <v>19</v>
      </c>
      <c r="H9256" s="1218">
        <v>0.25</v>
      </c>
      <c r="K9256" s="1192" t="s">
        <v>3901</v>
      </c>
      <c r="L9256" s="1192" t="s">
        <v>2374</v>
      </c>
      <c r="P9256" s="1192" t="s">
        <v>3910</v>
      </c>
      <c r="V9256" s="1192">
        <v>63</v>
      </c>
    </row>
    <row r="9257" spans="1:22" s="1192" customFormat="1" ht="17.399999999999999" x14ac:dyDescent="0.3">
      <c r="A9257" s="1192" t="s">
        <v>177</v>
      </c>
      <c r="E9257" s="1746" t="s">
        <v>591</v>
      </c>
      <c r="F9257" s="1747"/>
      <c r="G9257" s="1747"/>
      <c r="H9257" s="1747"/>
      <c r="K9257" s="1192" t="s">
        <v>4388</v>
      </c>
      <c r="V9257" s="1192">
        <v>53</v>
      </c>
    </row>
    <row r="9258" spans="1:22" s="1192" customFormat="1" ht="14.4" x14ac:dyDescent="0.3">
      <c r="A9258" s="1192" t="s">
        <v>177</v>
      </c>
      <c r="E9258" s="1743" t="s">
        <v>2972</v>
      </c>
      <c r="F9258" s="1743"/>
      <c r="G9258" s="1743"/>
      <c r="H9258" s="1743"/>
      <c r="K9258" s="1192" t="s">
        <v>4388</v>
      </c>
      <c r="V9258" s="1192">
        <v>629</v>
      </c>
    </row>
    <row r="9259" spans="1:22" s="1192" customFormat="1" ht="14.4" x14ac:dyDescent="0.3">
      <c r="A9259" s="1192" t="s">
        <v>177</v>
      </c>
      <c r="E9259" s="2009" t="s">
        <v>2389</v>
      </c>
      <c r="F9259" s="2041"/>
      <c r="G9259" s="2041"/>
      <c r="H9259" s="2041"/>
      <c r="K9259" s="1192" t="s">
        <v>2422</v>
      </c>
      <c r="V9259" s="1192">
        <v>11</v>
      </c>
    </row>
    <row r="9260" spans="1:22" s="1192" customFormat="1" ht="14.4" x14ac:dyDescent="0.3">
      <c r="A9260" s="1192" t="s">
        <v>177</v>
      </c>
      <c r="E9260" s="1743" t="s">
        <v>2762</v>
      </c>
      <c r="F9260" s="1743"/>
      <c r="G9260" s="1743"/>
      <c r="H9260" s="1743"/>
      <c r="K9260" s="1192" t="s">
        <v>4388</v>
      </c>
      <c r="V9260" s="1192">
        <v>272</v>
      </c>
    </row>
    <row r="9261" spans="1:22" s="1192" customFormat="1" ht="14.4" x14ac:dyDescent="0.3">
      <c r="A9261" s="1192" t="s">
        <v>177</v>
      </c>
      <c r="E9261" s="1743" t="s">
        <v>2763</v>
      </c>
      <c r="F9261" s="1743"/>
      <c r="G9261" s="1743"/>
      <c r="H9261" s="1743"/>
      <c r="K9261" s="1192" t="s">
        <v>4388</v>
      </c>
      <c r="V9261" s="1192">
        <v>403</v>
      </c>
    </row>
    <row r="9262" spans="1:22" s="1192" customFormat="1" ht="14.4" x14ac:dyDescent="0.3">
      <c r="A9262" s="1192" t="s">
        <v>177</v>
      </c>
      <c r="E9262" s="1743" t="s">
        <v>2970</v>
      </c>
      <c r="F9262" s="1743"/>
      <c r="G9262" s="1743"/>
      <c r="H9262" s="1743"/>
      <c r="K9262" s="1192" t="s">
        <v>4388</v>
      </c>
      <c r="V9262" s="1192">
        <v>380</v>
      </c>
    </row>
    <row r="9263" spans="1:22" s="1192" customFormat="1" ht="14.4" x14ac:dyDescent="0.3">
      <c r="A9263" s="1192" t="s">
        <v>177</v>
      </c>
      <c r="E9263" s="1743" t="s">
        <v>4632</v>
      </c>
      <c r="F9263" s="1743"/>
      <c r="G9263" s="1743"/>
      <c r="H9263" s="1743"/>
      <c r="K9263" s="1192" t="s">
        <v>4388</v>
      </c>
      <c r="V9263" s="1192">
        <v>680</v>
      </c>
    </row>
    <row r="9264" spans="1:22" s="1192" customFormat="1" ht="14.4" x14ac:dyDescent="0.3">
      <c r="A9264" s="1192" t="s">
        <v>177</v>
      </c>
      <c r="E9264" s="1743" t="s">
        <v>4644</v>
      </c>
      <c r="F9264" s="1743"/>
      <c r="G9264" s="1743"/>
      <c r="H9264" s="1743"/>
      <c r="K9264" s="1192" t="s">
        <v>4388</v>
      </c>
      <c r="V9264" s="1192">
        <v>693</v>
      </c>
    </row>
    <row r="9265" spans="1:22" s="1192" customFormat="1" ht="14.4" x14ac:dyDescent="0.3">
      <c r="A9265" s="1192" t="s">
        <v>177</v>
      </c>
      <c r="E9265" s="1743" t="s">
        <v>4500</v>
      </c>
      <c r="F9265" s="1743"/>
      <c r="G9265" s="1743"/>
      <c r="H9265" s="1743"/>
      <c r="K9265" s="1192" t="s">
        <v>4388</v>
      </c>
      <c r="V9265" s="1192">
        <v>247</v>
      </c>
    </row>
    <row r="9266" spans="1:22" s="1192" customFormat="1" ht="14.4" x14ac:dyDescent="0.3">
      <c r="A9266" s="1192" t="s">
        <v>177</v>
      </c>
      <c r="E9266" s="2009" t="s">
        <v>2394</v>
      </c>
      <c r="F9266" s="2041"/>
      <c r="G9266" s="2041"/>
      <c r="H9266" s="2041"/>
      <c r="K9266" s="1192" t="s">
        <v>2423</v>
      </c>
      <c r="V9266" s="1192">
        <v>46</v>
      </c>
    </row>
    <row r="9267" spans="1:22" s="1192" customFormat="1" ht="14.4" x14ac:dyDescent="0.3">
      <c r="A9267" s="1192" t="s">
        <v>177</v>
      </c>
      <c r="E9267" s="1741" t="s">
        <v>7</v>
      </c>
      <c r="F9267" s="1741"/>
      <c r="G9267" s="1277" t="s">
        <v>19</v>
      </c>
      <c r="H9267" s="1218">
        <v>186.08</v>
      </c>
      <c r="K9267" s="1192" t="s">
        <v>4388</v>
      </c>
      <c r="L9267" s="1192" t="s">
        <v>430</v>
      </c>
      <c r="P9267" s="1192" t="s">
        <v>4389</v>
      </c>
      <c r="V9267" s="1192">
        <v>14</v>
      </c>
    </row>
    <row r="9268" spans="1:22" s="1192" customFormat="1" ht="14.4" x14ac:dyDescent="0.3">
      <c r="A9268" s="1192" t="s">
        <v>177</v>
      </c>
      <c r="E9268" s="1741" t="s">
        <v>80</v>
      </c>
      <c r="F9268" s="1741"/>
      <c r="G9268" s="1277" t="s">
        <v>29</v>
      </c>
      <c r="H9268" s="1219">
        <v>2.8073000000000001</v>
      </c>
      <c r="K9268" s="1192" t="s">
        <v>4388</v>
      </c>
      <c r="L9268" s="1192" t="s">
        <v>430</v>
      </c>
      <c r="P9268" s="1192" t="s">
        <v>4390</v>
      </c>
      <c r="V9268" s="1192">
        <v>28</v>
      </c>
    </row>
    <row r="9269" spans="1:22" s="1192" customFormat="1" ht="14.4" x14ac:dyDescent="0.3">
      <c r="A9269" s="1192" t="s">
        <v>177</v>
      </c>
      <c r="E9269" s="1741" t="s">
        <v>6560</v>
      </c>
      <c r="F9269" s="1741"/>
      <c r="G9269" s="1277" t="s">
        <v>20</v>
      </c>
      <c r="H9269" s="1219">
        <v>2.8999999999999998E-3</v>
      </c>
      <c r="K9269" s="1192" t="s">
        <v>4388</v>
      </c>
      <c r="L9269" s="1192" t="s">
        <v>431</v>
      </c>
      <c r="P9269" s="1192" t="s">
        <v>4397</v>
      </c>
      <c r="T9269" s="1192">
        <v>44316</v>
      </c>
      <c r="V9269" s="1192">
        <v>157</v>
      </c>
    </row>
    <row r="9270" spans="1:22" s="1192" customFormat="1" ht="14.4" x14ac:dyDescent="0.3">
      <c r="A9270" s="1192" t="s">
        <v>177</v>
      </c>
      <c r="E9270" s="1741" t="s">
        <v>213</v>
      </c>
      <c r="F9270" s="1741"/>
      <c r="G9270" s="1277" t="s">
        <v>29</v>
      </c>
      <c r="H9270" s="1219">
        <v>2.7399</v>
      </c>
      <c r="K9270" s="1192" t="s">
        <v>4388</v>
      </c>
      <c r="L9270" s="1192" t="s">
        <v>432</v>
      </c>
      <c r="P9270" s="1192" t="s">
        <v>4392</v>
      </c>
      <c r="V9270" s="1192">
        <v>47</v>
      </c>
    </row>
    <row r="9271" spans="1:22" s="1192" customFormat="1" ht="14.4" x14ac:dyDescent="0.3">
      <c r="A9271" s="1192" t="s">
        <v>177</v>
      </c>
      <c r="E9271" s="1741" t="s">
        <v>209</v>
      </c>
      <c r="F9271" s="1741"/>
      <c r="G9271" s="1277" t="s">
        <v>29</v>
      </c>
      <c r="H9271" s="1219">
        <v>0.73860000000000003</v>
      </c>
      <c r="K9271" s="1192" t="s">
        <v>4388</v>
      </c>
      <c r="L9271" s="1192" t="s">
        <v>432</v>
      </c>
      <c r="P9271" s="1192" t="s">
        <v>4393</v>
      </c>
      <c r="V9271" s="1192">
        <v>74</v>
      </c>
    </row>
    <row r="9272" spans="1:22" s="1192" customFormat="1" ht="14.4" x14ac:dyDescent="0.3">
      <c r="A9272" s="1192" t="s">
        <v>177</v>
      </c>
      <c r="E9272" s="1750" t="s">
        <v>2405</v>
      </c>
      <c r="F9272" s="1741"/>
      <c r="G9272" s="1277"/>
      <c r="H9272" s="896"/>
      <c r="K9272" s="1192" t="s">
        <v>2526</v>
      </c>
      <c r="V9272" s="1192">
        <v>48</v>
      </c>
    </row>
    <row r="9273" spans="1:22" s="1192" customFormat="1" ht="14.4" x14ac:dyDescent="0.3">
      <c r="A9273" s="1192" t="s">
        <v>177</v>
      </c>
      <c r="E9273" s="1741" t="s">
        <v>2033</v>
      </c>
      <c r="F9273" s="1741"/>
      <c r="G9273" s="1277" t="s">
        <v>20</v>
      </c>
      <c r="H9273" s="1219">
        <v>3.0000000000000001E-3</v>
      </c>
      <c r="K9273" s="1192" t="s">
        <v>4388</v>
      </c>
      <c r="L9273" s="1192" t="s">
        <v>2374</v>
      </c>
      <c r="P9273" s="1192" t="s">
        <v>4394</v>
      </c>
      <c r="V9273" s="1192">
        <v>55</v>
      </c>
    </row>
    <row r="9274" spans="1:22" s="1192" customFormat="1" ht="14.4" x14ac:dyDescent="0.3">
      <c r="A9274" s="1192" t="s">
        <v>177</v>
      </c>
      <c r="E9274" s="1741" t="s">
        <v>2034</v>
      </c>
      <c r="F9274" s="1741"/>
      <c r="G9274" s="1277" t="s">
        <v>20</v>
      </c>
      <c r="H9274" s="1219">
        <v>4.0000000000000002E-4</v>
      </c>
      <c r="K9274" s="1192" t="s">
        <v>4388</v>
      </c>
      <c r="L9274" s="1192" t="s">
        <v>2374</v>
      </c>
      <c r="P9274" s="1192" t="s">
        <v>4394</v>
      </c>
      <c r="V9274" s="1192">
        <v>65</v>
      </c>
    </row>
    <row r="9275" spans="1:22" s="1192" customFormat="1" ht="14.4" x14ac:dyDescent="0.3">
      <c r="A9275" s="1192" t="s">
        <v>177</v>
      </c>
      <c r="E9275" s="1741" t="s">
        <v>428</v>
      </c>
      <c r="F9275" s="1741"/>
      <c r="G9275" s="1277" t="s">
        <v>20</v>
      </c>
      <c r="H9275" s="1219">
        <v>5.0000000000000001E-4</v>
      </c>
      <c r="K9275" s="1192" t="s">
        <v>4388</v>
      </c>
      <c r="L9275" s="1192" t="s">
        <v>2374</v>
      </c>
      <c r="P9275" s="1192" t="s">
        <v>4395</v>
      </c>
      <c r="V9275" s="1192">
        <v>57</v>
      </c>
    </row>
    <row r="9276" spans="1:22" s="1192" customFormat="1" ht="14.4" x14ac:dyDescent="0.3">
      <c r="A9276" s="1192" t="s">
        <v>177</v>
      </c>
      <c r="E9276" s="1741" t="s">
        <v>28</v>
      </c>
      <c r="F9276" s="1741"/>
      <c r="G9276" s="1277" t="s">
        <v>19</v>
      </c>
      <c r="H9276" s="1218">
        <v>0.25</v>
      </c>
      <c r="K9276" s="1192" t="s">
        <v>4388</v>
      </c>
      <c r="L9276" s="1192" t="s">
        <v>2374</v>
      </c>
      <c r="P9276" s="1192" t="s">
        <v>4396</v>
      </c>
      <c r="V9276" s="1192">
        <v>63</v>
      </c>
    </row>
    <row r="9277" spans="1:22" s="1192" customFormat="1" ht="17.399999999999999" x14ac:dyDescent="0.3">
      <c r="A9277" s="1192" t="s">
        <v>177</v>
      </c>
      <c r="E9277" s="1746" t="s">
        <v>592</v>
      </c>
      <c r="F9277" s="1747"/>
      <c r="G9277" s="1747"/>
      <c r="H9277" s="1747"/>
      <c r="K9277" s="1192" t="s">
        <v>2676</v>
      </c>
      <c r="V9277" s="1192">
        <v>47</v>
      </c>
    </row>
    <row r="9278" spans="1:22" s="1192" customFormat="1" ht="14.4" x14ac:dyDescent="0.3">
      <c r="A9278" s="1192" t="s">
        <v>177</v>
      </c>
      <c r="E9278" s="1743" t="s">
        <v>2973</v>
      </c>
      <c r="F9278" s="1743"/>
      <c r="G9278" s="1743"/>
      <c r="H9278" s="1743"/>
      <c r="K9278" s="1192" t="s">
        <v>2676</v>
      </c>
      <c r="V9278" s="1192">
        <v>722</v>
      </c>
    </row>
    <row r="9279" spans="1:22" s="1192" customFormat="1" ht="14.4" x14ac:dyDescent="0.3">
      <c r="A9279" s="1192" t="s">
        <v>177</v>
      </c>
      <c r="E9279" s="1750" t="s">
        <v>2389</v>
      </c>
      <c r="F9279" s="1743"/>
      <c r="G9279" s="1743"/>
      <c r="H9279" s="1743"/>
      <c r="K9279" s="1192" t="s">
        <v>2529</v>
      </c>
      <c r="V9279" s="1192">
        <v>11</v>
      </c>
    </row>
    <row r="9280" spans="1:22" s="1192" customFormat="1" ht="14.4" x14ac:dyDescent="0.3">
      <c r="A9280" s="1192" t="s">
        <v>177</v>
      </c>
      <c r="E9280" s="1743" t="s">
        <v>2762</v>
      </c>
      <c r="F9280" s="1743"/>
      <c r="G9280" s="1743"/>
      <c r="H9280" s="1743"/>
      <c r="K9280" s="1192" t="s">
        <v>2676</v>
      </c>
      <c r="V9280" s="1192">
        <v>272</v>
      </c>
    </row>
    <row r="9281" spans="1:22" s="1192" customFormat="1" ht="14.4" x14ac:dyDescent="0.3">
      <c r="A9281" s="1192" t="s">
        <v>177</v>
      </c>
      <c r="E9281" s="1743" t="s">
        <v>2763</v>
      </c>
      <c r="F9281" s="1743"/>
      <c r="G9281" s="1743"/>
      <c r="H9281" s="1743"/>
      <c r="K9281" s="1192" t="s">
        <v>2676</v>
      </c>
      <c r="V9281" s="1192">
        <v>403</v>
      </c>
    </row>
    <row r="9282" spans="1:22" s="1192" customFormat="1" ht="14.4" x14ac:dyDescent="0.3">
      <c r="A9282" s="1192" t="s">
        <v>177</v>
      </c>
      <c r="E9282" s="1743" t="s">
        <v>2970</v>
      </c>
      <c r="F9282" s="1743"/>
      <c r="G9282" s="1743"/>
      <c r="H9282" s="1743"/>
      <c r="K9282" s="1192" t="s">
        <v>2676</v>
      </c>
      <c r="V9282" s="1192">
        <v>380</v>
      </c>
    </row>
    <row r="9283" spans="1:22" s="1192" customFormat="1" ht="14.4" x14ac:dyDescent="0.3">
      <c r="A9283" s="1192" t="s">
        <v>177</v>
      </c>
      <c r="E9283" s="1743" t="s">
        <v>4500</v>
      </c>
      <c r="F9283" s="1743"/>
      <c r="G9283" s="1743"/>
      <c r="H9283" s="1743"/>
      <c r="K9283" s="1192" t="s">
        <v>2676</v>
      </c>
      <c r="V9283" s="1192">
        <v>247</v>
      </c>
    </row>
    <row r="9284" spans="1:22" s="1192" customFormat="1" ht="14.4" x14ac:dyDescent="0.3">
      <c r="A9284" s="1192" t="s">
        <v>177</v>
      </c>
      <c r="E9284" s="1750" t="s">
        <v>2394</v>
      </c>
      <c r="F9284" s="1743"/>
      <c r="G9284" s="1743"/>
      <c r="H9284" s="1743"/>
      <c r="K9284" s="1192" t="s">
        <v>2531</v>
      </c>
      <c r="V9284" s="1192">
        <v>46</v>
      </c>
    </row>
    <row r="9285" spans="1:22" s="1192" customFormat="1" ht="14.4" x14ac:dyDescent="0.3">
      <c r="A9285" s="1192" t="s">
        <v>177</v>
      </c>
      <c r="E9285" s="1741" t="s">
        <v>9</v>
      </c>
      <c r="F9285" s="1741"/>
      <c r="G9285" s="1277" t="s">
        <v>19</v>
      </c>
      <c r="H9285" s="1218">
        <v>41.2</v>
      </c>
      <c r="K9285" s="1192" t="s">
        <v>2676</v>
      </c>
      <c r="L9285" s="1192" t="s">
        <v>430</v>
      </c>
      <c r="P9285" s="1192" t="s">
        <v>2678</v>
      </c>
      <c r="V9285" s="1192">
        <v>29</v>
      </c>
    </row>
    <row r="9286" spans="1:22" s="1192" customFormat="1" ht="14.4" x14ac:dyDescent="0.3">
      <c r="A9286" s="1192" t="s">
        <v>177</v>
      </c>
      <c r="E9286" s="1741" t="s">
        <v>80</v>
      </c>
      <c r="F9286" s="1741"/>
      <c r="G9286" s="1277" t="s">
        <v>20</v>
      </c>
      <c r="H9286" s="1219">
        <v>9.4000000000000004E-3</v>
      </c>
      <c r="K9286" s="1192" t="s">
        <v>2676</v>
      </c>
      <c r="L9286" s="1192" t="s">
        <v>430</v>
      </c>
      <c r="P9286" s="1192" t="s">
        <v>2679</v>
      </c>
      <c r="V9286" s="1192">
        <v>28</v>
      </c>
    </row>
    <row r="9287" spans="1:22" s="1192" customFormat="1" ht="14.4" x14ac:dyDescent="0.3">
      <c r="A9287" s="1192" t="s">
        <v>177</v>
      </c>
      <c r="E9287" s="1741" t="s">
        <v>213</v>
      </c>
      <c r="F9287" s="1741"/>
      <c r="G9287" s="1277" t="s">
        <v>20</v>
      </c>
      <c r="H9287" s="1219">
        <v>6.6E-3</v>
      </c>
      <c r="K9287" s="1192" t="s">
        <v>2676</v>
      </c>
      <c r="L9287" s="1192" t="s">
        <v>432</v>
      </c>
      <c r="P9287" s="1192" t="s">
        <v>2682</v>
      </c>
      <c r="V9287" s="1192">
        <v>47</v>
      </c>
    </row>
    <row r="9288" spans="1:22" s="1192" customFormat="1" ht="14.4" x14ac:dyDescent="0.3">
      <c r="A9288" s="1192" t="s">
        <v>177</v>
      </c>
      <c r="E9288" s="1741" t="s">
        <v>209</v>
      </c>
      <c r="F9288" s="1741"/>
      <c r="G9288" s="1277" t="s">
        <v>20</v>
      </c>
      <c r="H9288" s="1219">
        <v>1.8E-3</v>
      </c>
      <c r="K9288" s="1192" t="s">
        <v>2676</v>
      </c>
      <c r="L9288" s="1192" t="s">
        <v>432</v>
      </c>
      <c r="P9288" s="1192" t="s">
        <v>2683</v>
      </c>
      <c r="V9288" s="1192">
        <v>74</v>
      </c>
    </row>
    <row r="9289" spans="1:22" s="1192" customFormat="1" ht="14.4" x14ac:dyDescent="0.3">
      <c r="A9289" s="1192" t="s">
        <v>177</v>
      </c>
      <c r="E9289" s="1750" t="s">
        <v>2405</v>
      </c>
      <c r="F9289" s="1741"/>
      <c r="G9289" s="1277"/>
      <c r="H9289" s="896"/>
      <c r="K9289" s="1192" t="s">
        <v>2532</v>
      </c>
      <c r="V9289" s="1192">
        <v>48</v>
      </c>
    </row>
    <row r="9290" spans="1:22" s="1192" customFormat="1" ht="14.4" x14ac:dyDescent="0.3">
      <c r="A9290" s="1192" t="s">
        <v>177</v>
      </c>
      <c r="E9290" s="1741" t="s">
        <v>2033</v>
      </c>
      <c r="F9290" s="1741"/>
      <c r="G9290" s="1277" t="s">
        <v>20</v>
      </c>
      <c r="H9290" s="1219">
        <v>3.0000000000000001E-3</v>
      </c>
      <c r="K9290" s="1192" t="s">
        <v>2676</v>
      </c>
      <c r="L9290" s="1192" t="s">
        <v>2374</v>
      </c>
      <c r="P9290" s="1192" t="s">
        <v>2684</v>
      </c>
      <c r="V9290" s="1192">
        <v>55</v>
      </c>
    </row>
    <row r="9291" spans="1:22" s="1192" customFormat="1" ht="14.4" x14ac:dyDescent="0.3">
      <c r="A9291" s="1192" t="s">
        <v>177</v>
      </c>
      <c r="E9291" s="1741" t="s">
        <v>2034</v>
      </c>
      <c r="F9291" s="1741"/>
      <c r="G9291" s="1277" t="s">
        <v>20</v>
      </c>
      <c r="H9291" s="1219">
        <v>4.0000000000000002E-4</v>
      </c>
      <c r="K9291" s="1192" t="s">
        <v>2676</v>
      </c>
      <c r="L9291" s="1192" t="s">
        <v>2374</v>
      </c>
      <c r="P9291" s="1192" t="s">
        <v>2684</v>
      </c>
      <c r="V9291" s="1192">
        <v>65</v>
      </c>
    </row>
    <row r="9292" spans="1:22" s="1192" customFormat="1" ht="14.4" x14ac:dyDescent="0.3">
      <c r="A9292" s="1192" t="s">
        <v>177</v>
      </c>
      <c r="E9292" s="1741" t="s">
        <v>428</v>
      </c>
      <c r="F9292" s="1741"/>
      <c r="G9292" s="1277" t="s">
        <v>20</v>
      </c>
      <c r="H9292" s="1219">
        <v>5.0000000000000001E-4</v>
      </c>
      <c r="K9292" s="1192" t="s">
        <v>2676</v>
      </c>
      <c r="L9292" s="1192" t="s">
        <v>2374</v>
      </c>
      <c r="P9292" s="1192" t="s">
        <v>2685</v>
      </c>
      <c r="V9292" s="1192">
        <v>57</v>
      </c>
    </row>
    <row r="9293" spans="1:22" s="1192" customFormat="1" ht="14.4" x14ac:dyDescent="0.3">
      <c r="A9293" s="1192" t="s">
        <v>177</v>
      </c>
      <c r="E9293" s="1741" t="s">
        <v>28</v>
      </c>
      <c r="F9293" s="1741"/>
      <c r="G9293" s="1277" t="s">
        <v>19</v>
      </c>
      <c r="H9293" s="1218">
        <v>0.25</v>
      </c>
      <c r="K9293" s="1192" t="s">
        <v>2676</v>
      </c>
      <c r="L9293" s="1192" t="s">
        <v>2374</v>
      </c>
      <c r="P9293" s="1192" t="s">
        <v>2686</v>
      </c>
      <c r="V9293" s="1192">
        <v>63</v>
      </c>
    </row>
    <row r="9294" spans="1:22" s="1192" customFormat="1" ht="17.399999999999999" x14ac:dyDescent="0.3">
      <c r="A9294" s="1192" t="s">
        <v>177</v>
      </c>
      <c r="E9294" s="1746" t="s">
        <v>590</v>
      </c>
      <c r="F9294" s="1747"/>
      <c r="G9294" s="1747"/>
      <c r="H9294" s="1747"/>
      <c r="K9294" s="1192" t="s">
        <v>2687</v>
      </c>
      <c r="V9294" s="1192">
        <v>38</v>
      </c>
    </row>
    <row r="9295" spans="1:22" s="1192" customFormat="1" ht="14.4" x14ac:dyDescent="0.3">
      <c r="A9295" s="1192" t="s">
        <v>177</v>
      </c>
      <c r="E9295" s="1743" t="s">
        <v>2974</v>
      </c>
      <c r="F9295" s="1743"/>
      <c r="G9295" s="1743"/>
      <c r="H9295" s="1743"/>
      <c r="K9295" s="1192" t="s">
        <v>2687</v>
      </c>
      <c r="V9295" s="1192">
        <v>415</v>
      </c>
    </row>
    <row r="9296" spans="1:22" s="1192" customFormat="1" ht="14.4" x14ac:dyDescent="0.3">
      <c r="A9296" s="1192" t="s">
        <v>177</v>
      </c>
      <c r="E9296" s="1750" t="s">
        <v>2389</v>
      </c>
      <c r="F9296" s="1743"/>
      <c r="G9296" s="1743"/>
      <c r="H9296" s="1743"/>
      <c r="K9296" s="1192" t="s">
        <v>2424</v>
      </c>
      <c r="V9296" s="1192">
        <v>11</v>
      </c>
    </row>
    <row r="9297" spans="1:22" s="1192" customFormat="1" ht="14.4" x14ac:dyDescent="0.3">
      <c r="A9297" s="1192" t="s">
        <v>177</v>
      </c>
      <c r="E9297" s="1743" t="s">
        <v>2762</v>
      </c>
      <c r="F9297" s="1743"/>
      <c r="G9297" s="1743"/>
      <c r="H9297" s="1743"/>
      <c r="K9297" s="1192" t="s">
        <v>2687</v>
      </c>
      <c r="V9297" s="1192">
        <v>272</v>
      </c>
    </row>
    <row r="9298" spans="1:22" s="1192" customFormat="1" ht="14.4" x14ac:dyDescent="0.3">
      <c r="A9298" s="1192" t="s">
        <v>177</v>
      </c>
      <c r="E9298" s="1743" t="s">
        <v>2763</v>
      </c>
      <c r="F9298" s="1743"/>
      <c r="G9298" s="1743"/>
      <c r="H9298" s="1743"/>
      <c r="K9298" s="1192" t="s">
        <v>2687</v>
      </c>
      <c r="V9298" s="1192">
        <v>403</v>
      </c>
    </row>
    <row r="9299" spans="1:22" s="1192" customFormat="1" ht="14.4" x14ac:dyDescent="0.3">
      <c r="A9299" s="1192" t="s">
        <v>177</v>
      </c>
      <c r="E9299" s="1743" t="s">
        <v>2975</v>
      </c>
      <c r="F9299" s="1743"/>
      <c r="G9299" s="1743"/>
      <c r="H9299" s="1743"/>
      <c r="K9299" s="1192" t="s">
        <v>2687</v>
      </c>
      <c r="V9299" s="1192">
        <v>378</v>
      </c>
    </row>
    <row r="9300" spans="1:22" s="1192" customFormat="1" ht="14.4" x14ac:dyDescent="0.3">
      <c r="A9300" s="1192" t="s">
        <v>177</v>
      </c>
      <c r="E9300" s="1743" t="s">
        <v>4500</v>
      </c>
      <c r="F9300" s="1743"/>
      <c r="G9300" s="1743"/>
      <c r="H9300" s="1743"/>
      <c r="K9300" s="1192" t="s">
        <v>2687</v>
      </c>
      <c r="V9300" s="1192">
        <v>247</v>
      </c>
    </row>
    <row r="9301" spans="1:22" s="1192" customFormat="1" ht="14.4" x14ac:dyDescent="0.3">
      <c r="A9301" s="1192" t="s">
        <v>177</v>
      </c>
      <c r="E9301" s="1750" t="s">
        <v>2394</v>
      </c>
      <c r="F9301" s="1743"/>
      <c r="G9301" s="1743"/>
      <c r="H9301" s="1743"/>
      <c r="K9301" s="1192" t="s">
        <v>2425</v>
      </c>
      <c r="V9301" s="1192">
        <v>46</v>
      </c>
    </row>
    <row r="9302" spans="1:22" s="1192" customFormat="1" ht="14.4" x14ac:dyDescent="0.3">
      <c r="A9302" s="1192" t="s">
        <v>177</v>
      </c>
      <c r="E9302" s="1741" t="s">
        <v>8</v>
      </c>
      <c r="F9302" s="1741"/>
      <c r="G9302" s="1277" t="s">
        <v>19</v>
      </c>
      <c r="H9302" s="1218">
        <v>1.74</v>
      </c>
      <c r="K9302" s="1192" t="s">
        <v>2687</v>
      </c>
      <c r="L9302" s="1192" t="s">
        <v>430</v>
      </c>
      <c r="P9302" s="1192" t="s">
        <v>2689</v>
      </c>
      <c r="V9302" s="1192">
        <v>31</v>
      </c>
    </row>
    <row r="9303" spans="1:22" s="1192" customFormat="1" ht="14.4" x14ac:dyDescent="0.3">
      <c r="A9303" s="1192" t="s">
        <v>177</v>
      </c>
      <c r="E9303" s="1741" t="s">
        <v>80</v>
      </c>
      <c r="F9303" s="1741"/>
      <c r="G9303" s="1277" t="s">
        <v>29</v>
      </c>
      <c r="H9303" s="1219">
        <v>4.5025000000000004</v>
      </c>
      <c r="K9303" s="1192" t="s">
        <v>2687</v>
      </c>
      <c r="L9303" s="1192" t="s">
        <v>430</v>
      </c>
      <c r="P9303" s="1192" t="s">
        <v>2690</v>
      </c>
      <c r="V9303" s="1192">
        <v>28</v>
      </c>
    </row>
    <row r="9304" spans="1:22" s="1192" customFormat="1" ht="14.4" x14ac:dyDescent="0.3">
      <c r="A9304" s="1192" t="s">
        <v>177</v>
      </c>
      <c r="E9304" s="1741" t="s">
        <v>6560</v>
      </c>
      <c r="F9304" s="1741"/>
      <c r="G9304" s="1277" t="s">
        <v>20</v>
      </c>
      <c r="H9304" s="1219">
        <v>3.0000000000000001E-3</v>
      </c>
      <c r="K9304" s="1192" t="s">
        <v>2687</v>
      </c>
      <c r="L9304" s="1192" t="s">
        <v>431</v>
      </c>
      <c r="P9304" s="1192" t="s">
        <v>2691</v>
      </c>
      <c r="T9304" s="1192">
        <v>44316</v>
      </c>
      <c r="V9304" s="1192">
        <v>157</v>
      </c>
    </row>
    <row r="9305" spans="1:22" s="1192" customFormat="1" ht="14.4" x14ac:dyDescent="0.3">
      <c r="A9305" s="1192" t="s">
        <v>177</v>
      </c>
      <c r="E9305" s="1741" t="s">
        <v>213</v>
      </c>
      <c r="F9305" s="1741"/>
      <c r="G9305" s="1277" t="s">
        <v>29</v>
      </c>
      <c r="H9305" s="1219">
        <v>2.0663999999999998</v>
      </c>
      <c r="K9305" s="1192" t="s">
        <v>2687</v>
      </c>
      <c r="L9305" s="1192" t="s">
        <v>432</v>
      </c>
      <c r="P9305" s="1192" t="s">
        <v>2694</v>
      </c>
      <c r="V9305" s="1192">
        <v>47</v>
      </c>
    </row>
    <row r="9306" spans="1:22" s="1192" customFormat="1" ht="14.4" x14ac:dyDescent="0.3">
      <c r="A9306" s="1192" t="s">
        <v>177</v>
      </c>
      <c r="E9306" s="1741" t="s">
        <v>209</v>
      </c>
      <c r="F9306" s="1741"/>
      <c r="G9306" s="1277" t="s">
        <v>29</v>
      </c>
      <c r="H9306" s="1219">
        <v>0.57110000000000005</v>
      </c>
      <c r="K9306" s="1192" t="s">
        <v>2687</v>
      </c>
      <c r="L9306" s="1192" t="s">
        <v>432</v>
      </c>
      <c r="P9306" s="1192" t="s">
        <v>2813</v>
      </c>
      <c r="V9306" s="1192">
        <v>74</v>
      </c>
    </row>
    <row r="9307" spans="1:22" s="1192" customFormat="1" ht="14.4" x14ac:dyDescent="0.3">
      <c r="A9307" s="1192" t="s">
        <v>177</v>
      </c>
      <c r="E9307" s="1750" t="s">
        <v>2405</v>
      </c>
      <c r="F9307" s="1741"/>
      <c r="G9307" s="1277"/>
      <c r="H9307" s="896"/>
      <c r="K9307" s="1192" t="s">
        <v>2427</v>
      </c>
      <c r="V9307" s="1192">
        <v>48</v>
      </c>
    </row>
    <row r="9308" spans="1:22" s="1192" customFormat="1" ht="14.4" x14ac:dyDescent="0.3">
      <c r="A9308" s="1192" t="s">
        <v>177</v>
      </c>
      <c r="E9308" s="1741" t="s">
        <v>2033</v>
      </c>
      <c r="F9308" s="1741"/>
      <c r="G9308" s="1277" t="s">
        <v>20</v>
      </c>
      <c r="H9308" s="1219">
        <v>3.0000000000000001E-3</v>
      </c>
      <c r="K9308" s="1192" t="s">
        <v>2687</v>
      </c>
      <c r="L9308" s="1192" t="s">
        <v>2374</v>
      </c>
      <c r="P9308" s="1192" t="s">
        <v>2696</v>
      </c>
      <c r="V9308" s="1192">
        <v>55</v>
      </c>
    </row>
    <row r="9309" spans="1:22" s="1192" customFormat="1" ht="14.4" x14ac:dyDescent="0.3">
      <c r="A9309" s="1192" t="s">
        <v>177</v>
      </c>
      <c r="E9309" s="1741" t="s">
        <v>2034</v>
      </c>
      <c r="F9309" s="1741"/>
      <c r="G9309" s="1277" t="s">
        <v>20</v>
      </c>
      <c r="H9309" s="1219">
        <v>4.0000000000000002E-4</v>
      </c>
      <c r="K9309" s="1192" t="s">
        <v>2687</v>
      </c>
      <c r="L9309" s="1192" t="s">
        <v>2374</v>
      </c>
      <c r="P9309" s="1192" t="s">
        <v>2696</v>
      </c>
      <c r="V9309" s="1192">
        <v>65</v>
      </c>
    </row>
    <row r="9310" spans="1:22" s="1192" customFormat="1" ht="14.4" x14ac:dyDescent="0.3">
      <c r="A9310" s="1192" t="s">
        <v>177</v>
      </c>
      <c r="E9310" s="1741" t="s">
        <v>428</v>
      </c>
      <c r="F9310" s="1741"/>
      <c r="G9310" s="1277" t="s">
        <v>20</v>
      </c>
      <c r="H9310" s="1219">
        <v>5.0000000000000001E-4</v>
      </c>
      <c r="K9310" s="1192" t="s">
        <v>2687</v>
      </c>
      <c r="L9310" s="1192" t="s">
        <v>2374</v>
      </c>
      <c r="P9310" s="1192" t="s">
        <v>2697</v>
      </c>
      <c r="V9310" s="1192">
        <v>57</v>
      </c>
    </row>
    <row r="9311" spans="1:22" s="1192" customFormat="1" ht="14.4" x14ac:dyDescent="0.3">
      <c r="A9311" s="1192" t="s">
        <v>177</v>
      </c>
      <c r="E9311" s="1741" t="s">
        <v>28</v>
      </c>
      <c r="F9311" s="1741"/>
      <c r="G9311" s="1277" t="s">
        <v>19</v>
      </c>
      <c r="H9311" s="1218">
        <v>0.25</v>
      </c>
      <c r="K9311" s="1192" t="s">
        <v>2687</v>
      </c>
      <c r="L9311" s="1192" t="s">
        <v>2374</v>
      </c>
      <c r="P9311" s="1192" t="s">
        <v>2698</v>
      </c>
      <c r="V9311" s="1192">
        <v>63</v>
      </c>
    </row>
    <row r="9312" spans="1:22" s="1192" customFormat="1" ht="17.399999999999999" x14ac:dyDescent="0.3">
      <c r="A9312" s="1192" t="s">
        <v>177</v>
      </c>
      <c r="E9312" s="1746" t="s">
        <v>593</v>
      </c>
      <c r="F9312" s="1747"/>
      <c r="G9312" s="1747"/>
      <c r="H9312" s="1747"/>
      <c r="K9312" s="1192" t="s">
        <v>2651</v>
      </c>
      <c r="V9312" s="1192">
        <v>31</v>
      </c>
    </row>
    <row r="9313" spans="1:22" s="1192" customFormat="1" ht="14.4" x14ac:dyDescent="0.3">
      <c r="A9313" s="1192" t="s">
        <v>177</v>
      </c>
      <c r="E9313" s="1743" t="s">
        <v>2699</v>
      </c>
      <c r="F9313" s="1743"/>
      <c r="G9313" s="1743"/>
      <c r="H9313" s="1743"/>
      <c r="K9313" s="1192" t="s">
        <v>2651</v>
      </c>
      <c r="V9313" s="1192">
        <v>285</v>
      </c>
    </row>
    <row r="9314" spans="1:22" s="1192" customFormat="1" ht="14.4" x14ac:dyDescent="0.3">
      <c r="A9314" s="1192" t="s">
        <v>177</v>
      </c>
      <c r="E9314" s="1750" t="s">
        <v>2389</v>
      </c>
      <c r="F9314" s="1743"/>
      <c r="G9314" s="1743"/>
      <c r="H9314" s="1743"/>
      <c r="K9314" s="1192" t="s">
        <v>2430</v>
      </c>
      <c r="V9314" s="1192">
        <v>11</v>
      </c>
    </row>
    <row r="9315" spans="1:22" s="1192" customFormat="1" ht="14.4" x14ac:dyDescent="0.3">
      <c r="A9315" s="1192" t="s">
        <v>177</v>
      </c>
      <c r="E9315" s="1743" t="s">
        <v>2762</v>
      </c>
      <c r="F9315" s="1743"/>
      <c r="G9315" s="1743"/>
      <c r="H9315" s="1743"/>
      <c r="K9315" s="1192" t="s">
        <v>2651</v>
      </c>
      <c r="V9315" s="1192">
        <v>272</v>
      </c>
    </row>
    <row r="9316" spans="1:22" s="1192" customFormat="1" ht="14.4" x14ac:dyDescent="0.3">
      <c r="A9316" s="1192" t="s">
        <v>177</v>
      </c>
      <c r="E9316" s="1743" t="s">
        <v>2763</v>
      </c>
      <c r="F9316" s="1743"/>
      <c r="G9316" s="1743"/>
      <c r="H9316" s="1743"/>
      <c r="K9316" s="1192" t="s">
        <v>2651</v>
      </c>
      <c r="V9316" s="1192">
        <v>403</v>
      </c>
    </row>
    <row r="9317" spans="1:22" s="1192" customFormat="1" ht="14.4" x14ac:dyDescent="0.3">
      <c r="A9317" s="1192" t="s">
        <v>177</v>
      </c>
      <c r="E9317" s="1743" t="s">
        <v>2976</v>
      </c>
      <c r="F9317" s="1743"/>
      <c r="G9317" s="1743"/>
      <c r="H9317" s="1743"/>
      <c r="K9317" s="1192" t="s">
        <v>2651</v>
      </c>
      <c r="V9317" s="1192">
        <v>204</v>
      </c>
    </row>
    <row r="9318" spans="1:22" s="1192" customFormat="1" ht="14.4" x14ac:dyDescent="0.3">
      <c r="A9318" s="1192" t="s">
        <v>177</v>
      </c>
      <c r="E9318" s="1743" t="s">
        <v>4500</v>
      </c>
      <c r="F9318" s="1743"/>
      <c r="G9318" s="1743"/>
      <c r="H9318" s="1743"/>
      <c r="K9318" s="1192" t="s">
        <v>2651</v>
      </c>
      <c r="V9318" s="1192">
        <v>247</v>
      </c>
    </row>
    <row r="9319" spans="1:22" s="1192" customFormat="1" ht="14.4" x14ac:dyDescent="0.3">
      <c r="A9319" s="1192" t="s">
        <v>177</v>
      </c>
      <c r="E9319" s="1750" t="s">
        <v>2394</v>
      </c>
      <c r="F9319" s="1743"/>
      <c r="G9319" s="1743"/>
      <c r="H9319" s="1743"/>
      <c r="K9319" s="1192" t="s">
        <v>2431</v>
      </c>
      <c r="V9319" s="1192">
        <v>46</v>
      </c>
    </row>
    <row r="9320" spans="1:22" s="1192" customFormat="1" ht="14.4" x14ac:dyDescent="0.3">
      <c r="A9320" s="1192" t="s">
        <v>177</v>
      </c>
      <c r="E9320" s="1741" t="s">
        <v>7</v>
      </c>
      <c r="F9320" s="1741"/>
      <c r="G9320" s="1277" t="s">
        <v>19</v>
      </c>
      <c r="H9320" s="1218">
        <v>4.55</v>
      </c>
      <c r="K9320" s="1192" t="s">
        <v>2651</v>
      </c>
      <c r="L9320" s="1192" t="s">
        <v>430</v>
      </c>
      <c r="P9320" s="1192" t="s">
        <v>2653</v>
      </c>
      <c r="V9320" s="1192">
        <v>14</v>
      </c>
    </row>
    <row r="9321" spans="1:22" s="1192" customFormat="1" x14ac:dyDescent="0.35">
      <c r="A9321" s="1192" t="s">
        <v>177</v>
      </c>
      <c r="E9321" s="1260" t="s">
        <v>81</v>
      </c>
      <c r="F9321" s="550"/>
      <c r="G9321" s="550"/>
      <c r="H9321" s="881"/>
      <c r="K9321" s="1192" t="s">
        <v>2977</v>
      </c>
      <c r="V9321" s="1192">
        <v>10</v>
      </c>
    </row>
    <row r="9322" spans="1:22" s="1192" customFormat="1" ht="14.4" x14ac:dyDescent="0.3">
      <c r="A9322" s="1192" t="s">
        <v>177</v>
      </c>
      <c r="E9322" s="1741" t="s">
        <v>2449</v>
      </c>
      <c r="F9322" s="1741"/>
      <c r="G9322" s="1277" t="s">
        <v>29</v>
      </c>
      <c r="H9322" s="1219">
        <v>-0.6</v>
      </c>
      <c r="V9322" s="1192">
        <v>68</v>
      </c>
    </row>
    <row r="9323" spans="1:22" s="1192" customFormat="1" ht="14.4" x14ac:dyDescent="0.3">
      <c r="A9323" s="1192" t="s">
        <v>177</v>
      </c>
      <c r="E9323" s="1741" t="s">
        <v>2450</v>
      </c>
      <c r="F9323" s="1741"/>
      <c r="G9323" s="1277" t="s">
        <v>82</v>
      </c>
      <c r="H9323" s="1218">
        <v>-1</v>
      </c>
      <c r="V9323" s="1192">
        <v>87</v>
      </c>
    </row>
    <row r="9324" spans="1:22" s="1192" customFormat="1" x14ac:dyDescent="0.35">
      <c r="A9324" s="1192" t="s">
        <v>177</v>
      </c>
      <c r="E9324" s="1260" t="s">
        <v>83</v>
      </c>
      <c r="F9324" s="550"/>
      <c r="G9324" s="550"/>
      <c r="H9324" s="881"/>
      <c r="K9324" s="1192" t="s">
        <v>2978</v>
      </c>
      <c r="V9324" s="1192">
        <v>24</v>
      </c>
    </row>
    <row r="9325" spans="1:22" s="1192" customFormat="1" ht="14.4" x14ac:dyDescent="0.3">
      <c r="A9325" s="1192" t="s">
        <v>177</v>
      </c>
      <c r="E9325" s="1743" t="s">
        <v>2762</v>
      </c>
      <c r="F9325" s="1743"/>
      <c r="G9325" s="1743"/>
      <c r="H9325" s="1743"/>
      <c r="V9325" s="1192">
        <v>272</v>
      </c>
    </row>
    <row r="9326" spans="1:22" s="1192" customFormat="1" ht="14.4" x14ac:dyDescent="0.3">
      <c r="A9326" s="1192" t="s">
        <v>177</v>
      </c>
      <c r="E9326" s="1743" t="s">
        <v>2765</v>
      </c>
      <c r="F9326" s="1743"/>
      <c r="G9326" s="1743"/>
      <c r="H9326" s="1743"/>
      <c r="V9326" s="1192">
        <v>345</v>
      </c>
    </row>
    <row r="9327" spans="1:22" s="1192" customFormat="1" ht="14.4" x14ac:dyDescent="0.3">
      <c r="A9327" s="1192" t="s">
        <v>177</v>
      </c>
      <c r="E9327" s="1743" t="s">
        <v>4500</v>
      </c>
      <c r="F9327" s="1743"/>
      <c r="G9327" s="1743"/>
      <c r="H9327" s="1743"/>
      <c r="V9327" s="1192">
        <v>247</v>
      </c>
    </row>
    <row r="9328" spans="1:22" s="1192" customFormat="1" ht="14.4" x14ac:dyDescent="0.3">
      <c r="A9328" s="1192" t="s">
        <v>177</v>
      </c>
      <c r="E9328" s="1258" t="s">
        <v>2453</v>
      </c>
      <c r="F9328" s="3"/>
      <c r="G9328" s="3"/>
      <c r="H9328" s="897"/>
      <c r="K9328" s="1192" t="s">
        <v>2979</v>
      </c>
      <c r="V9328" s="1192">
        <v>23</v>
      </c>
    </row>
    <row r="9329" spans="1:22" s="1192" customFormat="1" ht="14.4" x14ac:dyDescent="0.3">
      <c r="A9329" s="1192" t="s">
        <v>177</v>
      </c>
      <c r="E9329" s="1942" t="s">
        <v>4570</v>
      </c>
      <c r="F9329" s="1942"/>
      <c r="G9329" s="1277" t="s">
        <v>19</v>
      </c>
      <c r="H9329" s="1218">
        <v>15</v>
      </c>
      <c r="V9329" s="1192">
        <v>25</v>
      </c>
    </row>
    <row r="9330" spans="1:22" s="1192" customFormat="1" ht="14.4" x14ac:dyDescent="0.3">
      <c r="A9330" s="1192" t="s">
        <v>177</v>
      </c>
      <c r="E9330" s="1942" t="s">
        <v>4571</v>
      </c>
      <c r="F9330" s="1942"/>
      <c r="G9330" s="1277" t="s">
        <v>19</v>
      </c>
      <c r="H9330" s="1218">
        <v>15</v>
      </c>
      <c r="V9330" s="1192">
        <v>26</v>
      </c>
    </row>
    <row r="9331" spans="1:22" s="1192" customFormat="1" ht="14.4" x14ac:dyDescent="0.3">
      <c r="A9331" s="1192" t="s">
        <v>177</v>
      </c>
      <c r="E9331" s="1942" t="s">
        <v>4573</v>
      </c>
      <c r="F9331" s="1942"/>
      <c r="G9331" s="1277" t="s">
        <v>19</v>
      </c>
      <c r="H9331" s="1218">
        <v>15</v>
      </c>
      <c r="V9331" s="1192">
        <v>45</v>
      </c>
    </row>
    <row r="9332" spans="1:22" s="1192" customFormat="1" ht="14.4" x14ac:dyDescent="0.3">
      <c r="A9332" s="1192" t="s">
        <v>177</v>
      </c>
      <c r="E9332" s="1942" t="s">
        <v>4574</v>
      </c>
      <c r="F9332" s="1942"/>
      <c r="G9332" s="1277" t="s">
        <v>19</v>
      </c>
      <c r="H9332" s="1218">
        <v>15</v>
      </c>
      <c r="V9332" s="1192">
        <v>43</v>
      </c>
    </row>
    <row r="9333" spans="1:22" s="1192" customFormat="1" ht="14.4" x14ac:dyDescent="0.3">
      <c r="A9333" s="1192" t="s">
        <v>177</v>
      </c>
      <c r="E9333" s="1942" t="s">
        <v>4575</v>
      </c>
      <c r="F9333" s="1942"/>
      <c r="G9333" s="1277" t="s">
        <v>19</v>
      </c>
      <c r="H9333" s="1218">
        <v>15</v>
      </c>
      <c r="V9333" s="1192">
        <v>21</v>
      </c>
    </row>
    <row r="9334" spans="1:22" s="1192" customFormat="1" ht="14.4" x14ac:dyDescent="0.3">
      <c r="A9334" s="1192" t="s">
        <v>177</v>
      </c>
      <c r="E9334" s="1942" t="s">
        <v>4576</v>
      </c>
      <c r="F9334" s="1942"/>
      <c r="G9334" s="1277" t="s">
        <v>19</v>
      </c>
      <c r="H9334" s="1218">
        <v>15</v>
      </c>
      <c r="V9334" s="1192">
        <v>23</v>
      </c>
    </row>
    <row r="9335" spans="1:22" s="1192" customFormat="1" ht="14.4" x14ac:dyDescent="0.3">
      <c r="A9335" s="1192" t="s">
        <v>177</v>
      </c>
      <c r="E9335" s="1942" t="s">
        <v>4582</v>
      </c>
      <c r="F9335" s="1942"/>
      <c r="G9335" s="1277" t="s">
        <v>19</v>
      </c>
      <c r="H9335" s="1218">
        <v>15</v>
      </c>
      <c r="V9335" s="1192">
        <v>25</v>
      </c>
    </row>
    <row r="9336" spans="1:22" s="1192" customFormat="1" ht="14.4" x14ac:dyDescent="0.3">
      <c r="A9336" s="1192" t="s">
        <v>177</v>
      </c>
      <c r="E9336" s="1942" t="s">
        <v>4578</v>
      </c>
      <c r="F9336" s="1942"/>
      <c r="G9336" s="1277" t="s">
        <v>19</v>
      </c>
      <c r="H9336" s="1218">
        <v>15</v>
      </c>
      <c r="V9336" s="1192">
        <v>21</v>
      </c>
    </row>
    <row r="9337" spans="1:22" s="1192" customFormat="1" ht="14.4" x14ac:dyDescent="0.3">
      <c r="A9337" s="1192" t="s">
        <v>177</v>
      </c>
      <c r="E9337" s="1942" t="s">
        <v>4579</v>
      </c>
      <c r="F9337" s="1942"/>
      <c r="G9337" s="1277" t="s">
        <v>19</v>
      </c>
      <c r="H9337" s="1218">
        <v>25</v>
      </c>
      <c r="V9337" s="1192">
        <v>62</v>
      </c>
    </row>
    <row r="9338" spans="1:22" s="1192" customFormat="1" ht="14.4" x14ac:dyDescent="0.3">
      <c r="A9338" s="1192" t="s">
        <v>177</v>
      </c>
      <c r="E9338" s="1942" t="s">
        <v>4580</v>
      </c>
      <c r="F9338" s="1942"/>
      <c r="G9338" s="1277" t="s">
        <v>19</v>
      </c>
      <c r="H9338" s="1218">
        <v>25</v>
      </c>
      <c r="V9338" s="1192">
        <v>41</v>
      </c>
    </row>
    <row r="9339" spans="1:22" s="1192" customFormat="1" ht="14.4" x14ac:dyDescent="0.3">
      <c r="A9339" s="1192" t="s">
        <v>177</v>
      </c>
      <c r="E9339" s="1942" t="s">
        <v>4583</v>
      </c>
      <c r="F9339" s="1942"/>
      <c r="G9339" s="1277" t="s">
        <v>19</v>
      </c>
      <c r="H9339" s="1218">
        <v>30</v>
      </c>
      <c r="V9339" s="1192">
        <v>95</v>
      </c>
    </row>
    <row r="9340" spans="1:22" s="1192" customFormat="1" ht="14.4" x14ac:dyDescent="0.3">
      <c r="A9340" s="1192" t="s">
        <v>177</v>
      </c>
      <c r="E9340" s="1942" t="s">
        <v>4584</v>
      </c>
      <c r="F9340" s="1942"/>
      <c r="G9340" s="1277" t="s">
        <v>19</v>
      </c>
      <c r="H9340" s="1218">
        <v>30</v>
      </c>
      <c r="V9340" s="1192">
        <v>25</v>
      </c>
    </row>
    <row r="9341" spans="1:22" s="1192" customFormat="1" ht="14.4" x14ac:dyDescent="0.3">
      <c r="A9341" s="1192" t="s">
        <v>177</v>
      </c>
      <c r="E9341" s="1942" t="s">
        <v>4678</v>
      </c>
      <c r="F9341" s="1942"/>
      <c r="G9341" s="1277" t="s">
        <v>19</v>
      </c>
      <c r="H9341" s="1218">
        <v>30</v>
      </c>
      <c r="V9341" s="1192">
        <v>80</v>
      </c>
    </row>
    <row r="9342" spans="1:22" s="1192" customFormat="1" ht="14.4" x14ac:dyDescent="0.3">
      <c r="A9342" s="1192" t="s">
        <v>177</v>
      </c>
      <c r="E9342" s="1270" t="s">
        <v>2468</v>
      </c>
      <c r="F9342" s="3"/>
      <c r="G9342" s="3"/>
      <c r="H9342" s="897"/>
      <c r="K9342" s="1192" t="s">
        <v>6561</v>
      </c>
      <c r="V9342" s="1192">
        <v>22</v>
      </c>
    </row>
    <row r="9343" spans="1:22" s="1192" customFormat="1" ht="14.4" x14ac:dyDescent="0.3">
      <c r="A9343" s="1192" t="s">
        <v>177</v>
      </c>
      <c r="E9343" s="1942" t="s">
        <v>4088</v>
      </c>
      <c r="F9343" s="1942"/>
      <c r="G9343" s="1277"/>
      <c r="H9343" s="837"/>
      <c r="V9343" s="1192">
        <v>29</v>
      </c>
    </row>
    <row r="9344" spans="1:22" s="1192" customFormat="1" ht="14.4" x14ac:dyDescent="0.3">
      <c r="A9344" s="1192" t="s">
        <v>177</v>
      </c>
      <c r="E9344" s="1942" t="s">
        <v>6262</v>
      </c>
      <c r="F9344" s="1942"/>
      <c r="G9344" s="1277" t="s">
        <v>82</v>
      </c>
      <c r="H9344" s="1218">
        <v>1.5</v>
      </c>
      <c r="V9344" s="1192">
        <v>79</v>
      </c>
    </row>
    <row r="9345" spans="1:22" s="1192" customFormat="1" ht="14.4" x14ac:dyDescent="0.3">
      <c r="A9345" s="1192" t="s">
        <v>177</v>
      </c>
      <c r="E9345" s="1942" t="s">
        <v>6562</v>
      </c>
      <c r="F9345" s="1942"/>
      <c r="G9345" s="1277" t="s">
        <v>19</v>
      </c>
      <c r="H9345" s="1218">
        <v>65</v>
      </c>
      <c r="V9345" s="1192">
        <v>50</v>
      </c>
    </row>
    <row r="9346" spans="1:22" s="1192" customFormat="1" ht="14.4" x14ac:dyDescent="0.3">
      <c r="A9346" s="1192" t="s">
        <v>177</v>
      </c>
      <c r="E9346" s="1942" t="s">
        <v>6563</v>
      </c>
      <c r="F9346" s="1942"/>
      <c r="G9346" s="1277" t="s">
        <v>19</v>
      </c>
      <c r="H9346" s="1218">
        <v>185</v>
      </c>
      <c r="V9346" s="1192">
        <v>49</v>
      </c>
    </row>
    <row r="9347" spans="1:22" s="1192" customFormat="1" ht="14.4" x14ac:dyDescent="0.3">
      <c r="A9347" s="1192" t="s">
        <v>177</v>
      </c>
      <c r="E9347" s="1942" t="s">
        <v>6564</v>
      </c>
      <c r="F9347" s="1942"/>
      <c r="G9347" s="1277" t="s">
        <v>19</v>
      </c>
      <c r="H9347" s="1218">
        <v>185</v>
      </c>
      <c r="V9347" s="1192">
        <v>49</v>
      </c>
    </row>
    <row r="9348" spans="1:22" s="1192" customFormat="1" ht="14.4" x14ac:dyDescent="0.3">
      <c r="A9348" s="1192" t="s">
        <v>177</v>
      </c>
      <c r="E9348" s="1942" t="s">
        <v>6565</v>
      </c>
      <c r="F9348" s="1942"/>
      <c r="G9348" s="1277" t="s">
        <v>19</v>
      </c>
      <c r="H9348" s="1218">
        <v>415</v>
      </c>
      <c r="V9348" s="1192">
        <v>48</v>
      </c>
    </row>
    <row r="9349" spans="1:22" s="1192" customFormat="1" ht="14.4" x14ac:dyDescent="0.3">
      <c r="A9349" s="1192" t="s">
        <v>177</v>
      </c>
      <c r="E9349" s="1258" t="s">
        <v>2474</v>
      </c>
      <c r="F9349" s="452"/>
      <c r="G9349" s="360"/>
      <c r="H9349" s="837"/>
      <c r="V9349" s="1192">
        <v>5</v>
      </c>
    </row>
    <row r="9350" spans="1:22" s="1192" customFormat="1" ht="14.4" x14ac:dyDescent="0.3">
      <c r="A9350" s="1192" t="s">
        <v>177</v>
      </c>
      <c r="E9350" s="1942" t="s">
        <v>4679</v>
      </c>
      <c r="F9350" s="1942"/>
      <c r="G9350" s="1277" t="s">
        <v>19</v>
      </c>
      <c r="H9350" s="1218">
        <v>65</v>
      </c>
      <c r="V9350" s="1192">
        <v>45</v>
      </c>
    </row>
    <row r="9351" spans="1:22" s="1192" customFormat="1" ht="14.4" x14ac:dyDescent="0.3">
      <c r="A9351" s="1192" t="s">
        <v>177</v>
      </c>
      <c r="E9351" s="1942" t="s">
        <v>4680</v>
      </c>
      <c r="F9351" s="1942"/>
      <c r="G9351" s="1277" t="s">
        <v>19</v>
      </c>
      <c r="H9351" s="1218">
        <v>165</v>
      </c>
      <c r="V9351" s="1192">
        <v>40</v>
      </c>
    </row>
    <row r="9352" spans="1:22" s="1192" customFormat="1" ht="14.4" x14ac:dyDescent="0.3">
      <c r="A9352" s="1192" t="s">
        <v>177</v>
      </c>
      <c r="E9352" s="1942" t="s">
        <v>6566</v>
      </c>
      <c r="F9352" s="1942"/>
      <c r="G9352" s="1277" t="s">
        <v>19</v>
      </c>
      <c r="H9352" s="1218">
        <v>44.5</v>
      </c>
      <c r="V9352" s="1192">
        <v>116</v>
      </c>
    </row>
    <row r="9353" spans="1:22" s="1192" customFormat="1" ht="34.799999999999997" x14ac:dyDescent="0.35">
      <c r="A9353" s="1192" t="s">
        <v>177</v>
      </c>
      <c r="E9353" s="1260" t="s">
        <v>73</v>
      </c>
      <c r="F9353" s="550"/>
      <c r="G9353" s="550"/>
      <c r="H9353" s="881"/>
      <c r="K9353" s="1192" t="s">
        <v>2980</v>
      </c>
      <c r="V9353" s="1192">
        <v>38</v>
      </c>
    </row>
    <row r="9354" spans="1:22" s="1192" customFormat="1" ht="14.4" x14ac:dyDescent="0.3">
      <c r="A9354" s="1192" t="s">
        <v>177</v>
      </c>
      <c r="E9354" s="1743" t="s">
        <v>2762</v>
      </c>
      <c r="F9354" s="1743"/>
      <c r="G9354" s="1743"/>
      <c r="H9354" s="1743"/>
      <c r="V9354" s="1192">
        <v>272</v>
      </c>
    </row>
    <row r="9355" spans="1:22" s="1192" customFormat="1" ht="14.4" x14ac:dyDescent="0.3">
      <c r="A9355" s="1192" t="s">
        <v>177</v>
      </c>
      <c r="E9355" s="1743" t="s">
        <v>2763</v>
      </c>
      <c r="F9355" s="1743"/>
      <c r="G9355" s="1743"/>
      <c r="H9355" s="1743"/>
      <c r="V9355" s="1192">
        <v>403</v>
      </c>
    </row>
    <row r="9356" spans="1:22" s="1192" customFormat="1" ht="14.4" x14ac:dyDescent="0.3">
      <c r="A9356" s="1192" t="s">
        <v>177</v>
      </c>
      <c r="E9356" s="1743" t="s">
        <v>2445</v>
      </c>
      <c r="F9356" s="1743"/>
      <c r="G9356" s="1743"/>
      <c r="H9356" s="1743"/>
      <c r="V9356" s="1192">
        <v>211</v>
      </c>
    </row>
    <row r="9357" spans="1:22" s="1192" customFormat="1" ht="14.4" x14ac:dyDescent="0.3">
      <c r="A9357" s="1192" t="s">
        <v>177</v>
      </c>
      <c r="E9357" s="1743" t="s">
        <v>4500</v>
      </c>
      <c r="F9357" s="1743"/>
      <c r="G9357" s="1743"/>
      <c r="H9357" s="1743"/>
      <c r="V9357" s="1192">
        <v>247</v>
      </c>
    </row>
    <row r="9358" spans="1:22" s="1192" customFormat="1" ht="14.4" x14ac:dyDescent="0.3">
      <c r="A9358" s="1192" t="s">
        <v>177</v>
      </c>
      <c r="E9358" s="1743" t="s">
        <v>2595</v>
      </c>
      <c r="F9358" s="1743"/>
      <c r="G9358" s="1743"/>
      <c r="H9358" s="1743"/>
      <c r="V9358" s="1192">
        <v>142</v>
      </c>
    </row>
    <row r="9359" spans="1:22" s="1192" customFormat="1" ht="14.4" x14ac:dyDescent="0.3">
      <c r="A9359" s="1192" t="s">
        <v>177</v>
      </c>
      <c r="E9359" s="1741" t="s">
        <v>2485</v>
      </c>
      <c r="F9359" s="1741"/>
      <c r="G9359" s="360" t="s">
        <v>19</v>
      </c>
      <c r="H9359" s="1218">
        <v>102</v>
      </c>
      <c r="V9359" s="1192">
        <v>106</v>
      </c>
    </row>
    <row r="9360" spans="1:22" s="1192" customFormat="1" ht="14.4" x14ac:dyDescent="0.3">
      <c r="A9360" s="1192" t="s">
        <v>177</v>
      </c>
      <c r="E9360" s="1741" t="s">
        <v>3919</v>
      </c>
      <c r="F9360" s="1741"/>
      <c r="G9360" s="360" t="s">
        <v>19</v>
      </c>
      <c r="H9360" s="1218">
        <v>40.799999999999997</v>
      </c>
      <c r="V9360" s="1192">
        <v>34</v>
      </c>
    </row>
    <row r="9361" spans="1:22" s="1192" customFormat="1" ht="14.4" x14ac:dyDescent="0.3">
      <c r="A9361" s="1192" t="s">
        <v>177</v>
      </c>
      <c r="E9361" s="1741" t="s">
        <v>3920</v>
      </c>
      <c r="F9361" s="1741"/>
      <c r="G9361" s="360" t="s">
        <v>2488</v>
      </c>
      <c r="H9361" s="1218">
        <v>1.02</v>
      </c>
      <c r="V9361" s="1192">
        <v>51</v>
      </c>
    </row>
    <row r="9362" spans="1:22" s="1192" customFormat="1" ht="14.4" x14ac:dyDescent="0.3">
      <c r="A9362" s="1192" t="s">
        <v>177</v>
      </c>
      <c r="E9362" s="1741" t="s">
        <v>2489</v>
      </c>
      <c r="F9362" s="1741"/>
      <c r="G9362" s="360" t="s">
        <v>2488</v>
      </c>
      <c r="H9362" s="1218">
        <v>0.61</v>
      </c>
      <c r="V9362" s="1192">
        <v>75</v>
      </c>
    </row>
    <row r="9363" spans="1:22" s="1192" customFormat="1" ht="14.4" x14ac:dyDescent="0.3">
      <c r="A9363" s="1192" t="s">
        <v>177</v>
      </c>
      <c r="E9363" s="1741" t="s">
        <v>2490</v>
      </c>
      <c r="F9363" s="1741"/>
      <c r="G9363" s="360" t="s">
        <v>2488</v>
      </c>
      <c r="H9363" s="1218">
        <v>-0.61</v>
      </c>
      <c r="V9363" s="1192">
        <v>72</v>
      </c>
    </row>
    <row r="9364" spans="1:22" s="1192" customFormat="1" ht="14.4" x14ac:dyDescent="0.3">
      <c r="A9364" s="1192" t="s">
        <v>177</v>
      </c>
      <c r="E9364" s="1741" t="s">
        <v>2596</v>
      </c>
      <c r="F9364" s="1741"/>
      <c r="G9364" s="360"/>
      <c r="H9364" s="837"/>
      <c r="V9364" s="1192">
        <v>34</v>
      </c>
    </row>
    <row r="9365" spans="1:22" s="1192" customFormat="1" ht="14.4" x14ac:dyDescent="0.3">
      <c r="A9365" s="1192" t="s">
        <v>177</v>
      </c>
      <c r="E9365" s="1941" t="s">
        <v>2492</v>
      </c>
      <c r="F9365" s="1941"/>
      <c r="G9365" s="360" t="s">
        <v>19</v>
      </c>
      <c r="H9365" s="1218">
        <v>0.51</v>
      </c>
      <c r="V9365" s="1192">
        <v>57</v>
      </c>
    </row>
    <row r="9366" spans="1:22" s="1192" customFormat="1" ht="14.4" x14ac:dyDescent="0.3">
      <c r="A9366" s="1192" t="s">
        <v>177</v>
      </c>
      <c r="E9366" s="1941" t="s">
        <v>2493</v>
      </c>
      <c r="F9366" s="1941"/>
      <c r="G9366" s="360" t="s">
        <v>19</v>
      </c>
      <c r="H9366" s="1218">
        <v>1.02</v>
      </c>
      <c r="V9366" s="1192">
        <v>60</v>
      </c>
    </row>
    <row r="9367" spans="1:22" s="1192" customFormat="1" ht="14.4" x14ac:dyDescent="0.3">
      <c r="A9367" s="1192" t="s">
        <v>177</v>
      </c>
      <c r="E9367" s="1741" t="s">
        <v>2494</v>
      </c>
      <c r="F9367" s="1741"/>
      <c r="G9367" s="360"/>
      <c r="H9367" s="837"/>
      <c r="V9367" s="1192">
        <v>91</v>
      </c>
    </row>
    <row r="9368" spans="1:22" s="1192" customFormat="1" ht="14.4" x14ac:dyDescent="0.3">
      <c r="A9368" s="1192" t="s">
        <v>177</v>
      </c>
      <c r="E9368" s="1741" t="s">
        <v>2495</v>
      </c>
      <c r="F9368" s="1741"/>
      <c r="G9368" s="360"/>
      <c r="H9368" s="837"/>
      <c r="V9368" s="1192">
        <v>96</v>
      </c>
    </row>
    <row r="9369" spans="1:22" s="1192" customFormat="1" ht="14.4" x14ac:dyDescent="0.3">
      <c r="A9369" s="1192" t="s">
        <v>177</v>
      </c>
      <c r="E9369" s="1741" t="s">
        <v>2597</v>
      </c>
      <c r="F9369" s="1741"/>
      <c r="G9369" s="360"/>
      <c r="H9369" s="837"/>
      <c r="V9369" s="1192">
        <v>77</v>
      </c>
    </row>
    <row r="9370" spans="1:22" s="1192" customFormat="1" ht="14.4" x14ac:dyDescent="0.3">
      <c r="A9370" s="1192" t="s">
        <v>177</v>
      </c>
      <c r="E9370" s="1941" t="s">
        <v>2497</v>
      </c>
      <c r="F9370" s="1941"/>
      <c r="G9370" s="360" t="s">
        <v>19</v>
      </c>
      <c r="H9370" s="837" t="s">
        <v>2498</v>
      </c>
      <c r="V9370" s="1192">
        <v>18</v>
      </c>
    </row>
    <row r="9371" spans="1:22" s="1192" customFormat="1" ht="14.4" x14ac:dyDescent="0.3">
      <c r="A9371" s="1192" t="s">
        <v>177</v>
      </c>
      <c r="E9371" s="1941" t="s">
        <v>2499</v>
      </c>
      <c r="F9371" s="1941"/>
      <c r="G9371" s="360" t="s">
        <v>19</v>
      </c>
      <c r="H9371" s="1218">
        <v>4.08</v>
      </c>
      <c r="V9371" s="1192">
        <v>69</v>
      </c>
    </row>
    <row r="9372" spans="1:22" s="1192" customFormat="1" ht="14.4" x14ac:dyDescent="0.3">
      <c r="A9372" s="1192" t="s">
        <v>177</v>
      </c>
      <c r="E9372" s="1741" t="s">
        <v>4608</v>
      </c>
      <c r="F9372" s="1741"/>
      <c r="G9372" s="360" t="s">
        <v>19</v>
      </c>
      <c r="H9372" s="1218">
        <v>2.04</v>
      </c>
      <c r="V9372" s="1192">
        <v>199</v>
      </c>
    </row>
    <row r="9373" spans="1:22" s="1192" customFormat="1" x14ac:dyDescent="0.35">
      <c r="A9373" s="1192" t="s">
        <v>177</v>
      </c>
      <c r="E9373" s="1260" t="s">
        <v>143</v>
      </c>
      <c r="F9373" s="550"/>
      <c r="G9373" s="550"/>
      <c r="H9373" s="881"/>
      <c r="K9373" s="1192" t="s">
        <v>2981</v>
      </c>
      <c r="V9373" s="1192">
        <v>12</v>
      </c>
    </row>
    <row r="9374" spans="1:22" s="1192" customFormat="1" ht="14.4" x14ac:dyDescent="0.3">
      <c r="A9374" s="1192" t="s">
        <v>177</v>
      </c>
      <c r="E9374" s="1741" t="s">
        <v>2501</v>
      </c>
      <c r="F9374" s="1741"/>
      <c r="G9374" s="1741"/>
      <c r="H9374" s="1741"/>
      <c r="V9374" s="1192">
        <v>203</v>
      </c>
    </row>
    <row r="9375" spans="1:22" s="1192" customFormat="1" ht="14.4" x14ac:dyDescent="0.3">
      <c r="A9375" s="1192" t="s">
        <v>177</v>
      </c>
      <c r="E9375" s="1741" t="s">
        <v>2599</v>
      </c>
      <c r="F9375" s="1741"/>
      <c r="G9375" s="1277"/>
      <c r="H9375" s="837">
        <v>1.0469999999999999</v>
      </c>
      <c r="V9375" s="1192">
        <v>57</v>
      </c>
    </row>
    <row r="9376" spans="1:22" s="1192" customFormat="1" ht="14.4" x14ac:dyDescent="0.3">
      <c r="A9376" s="1192" t="s">
        <v>177</v>
      </c>
      <c r="E9376" s="1741" t="s">
        <v>2601</v>
      </c>
      <c r="F9376" s="1741"/>
      <c r="G9376" s="1277"/>
      <c r="H9376" s="837">
        <v>1.0365</v>
      </c>
      <c r="J9376" s="1192" t="s">
        <v>2982</v>
      </c>
      <c r="V9376" s="1192">
        <v>55</v>
      </c>
    </row>
    <row r="9377" spans="1:22" s="1192" customFormat="1" ht="22.8" x14ac:dyDescent="0.3">
      <c r="A9377" s="1192" t="s">
        <v>199</v>
      </c>
      <c r="C9377" s="1192" t="s">
        <v>2378</v>
      </c>
      <c r="E9377" s="1752" t="s">
        <v>199</v>
      </c>
      <c r="F9377" s="1752"/>
      <c r="G9377" s="1752"/>
      <c r="H9377" s="1752"/>
      <c r="I9377" s="1192" t="s">
        <v>603</v>
      </c>
      <c r="J9377" s="1192" t="s">
        <v>3026</v>
      </c>
      <c r="K9377" s="1192" t="s">
        <v>199</v>
      </c>
      <c r="M9377" s="1192">
        <v>8</v>
      </c>
      <c r="V9377" s="1192">
        <v>23</v>
      </c>
    </row>
    <row r="9378" spans="1:22" s="1192" customFormat="1" ht="17.399999999999999" x14ac:dyDescent="0.3">
      <c r="A9378" s="1192" t="s">
        <v>199</v>
      </c>
      <c r="C9378" s="1192" t="s">
        <v>2380</v>
      </c>
      <c r="E9378" s="1753" t="s">
        <v>2381</v>
      </c>
      <c r="F9378" s="1753"/>
      <c r="G9378" s="1753"/>
      <c r="H9378" s="1753"/>
      <c r="V9378" s="1192">
        <v>27</v>
      </c>
    </row>
    <row r="9379" spans="1:22" s="1192" customFormat="1" ht="15.6" x14ac:dyDescent="0.3">
      <c r="A9379" s="1192" t="s">
        <v>199</v>
      </c>
      <c r="C9379" s="1192" t="s">
        <v>2382</v>
      </c>
      <c r="E9379" s="1754" t="s">
        <v>6482</v>
      </c>
      <c r="F9379" s="1754"/>
      <c r="G9379" s="1754"/>
      <c r="H9379" s="1754"/>
      <c r="S9379" s="1192">
        <v>43952</v>
      </c>
      <c r="V9379" s="1192">
        <v>45</v>
      </c>
    </row>
    <row r="9380" spans="1:22" s="1192" customFormat="1" ht="14.4" x14ac:dyDescent="0.3">
      <c r="A9380" s="1192" t="s">
        <v>199</v>
      </c>
      <c r="C9380" s="1192" t="s">
        <v>2383</v>
      </c>
      <c r="E9380" s="1755" t="s">
        <v>2384</v>
      </c>
      <c r="F9380" s="1755"/>
      <c r="G9380" s="1755"/>
      <c r="H9380" s="1755"/>
      <c r="V9380" s="1192">
        <v>52</v>
      </c>
    </row>
    <row r="9381" spans="1:22" s="1192" customFormat="1" ht="14.4" x14ac:dyDescent="0.3">
      <c r="A9381" s="1192" t="s">
        <v>199</v>
      </c>
      <c r="E9381" s="1755" t="s">
        <v>2385</v>
      </c>
      <c r="F9381" s="1755"/>
      <c r="G9381" s="1755"/>
      <c r="H9381" s="1755"/>
      <c r="V9381" s="1192">
        <v>53</v>
      </c>
    </row>
    <row r="9382" spans="1:22" s="1192" customFormat="1" ht="14.4" x14ac:dyDescent="0.3">
      <c r="A9382" s="1192" t="s">
        <v>199</v>
      </c>
      <c r="E9382" s="1772" t="s">
        <v>6567</v>
      </c>
      <c r="F9382" s="1772"/>
      <c r="G9382" s="1772"/>
      <c r="H9382" s="1772"/>
      <c r="K9382" s="1192" t="s">
        <v>6567</v>
      </c>
      <c r="V9382" s="1192">
        <v>12</v>
      </c>
    </row>
    <row r="9383" spans="1:22" s="1192" customFormat="1" ht="14.4" x14ac:dyDescent="0.3">
      <c r="A9383" s="1192" t="s">
        <v>199</v>
      </c>
      <c r="E9383" s="2045" t="s">
        <v>427</v>
      </c>
      <c r="F9383" s="1743"/>
      <c r="G9383" s="1743"/>
      <c r="H9383" s="1743"/>
      <c r="K9383" s="1192" t="s">
        <v>2506</v>
      </c>
      <c r="V9383" s="1192">
        <v>34</v>
      </c>
    </row>
    <row r="9384" spans="1:22" s="1192" customFormat="1" ht="14.4" x14ac:dyDescent="0.3">
      <c r="A9384" s="1192" t="s">
        <v>199</v>
      </c>
      <c r="E9384" s="1743" t="s">
        <v>3027</v>
      </c>
      <c r="F9384" s="1743"/>
      <c r="G9384" s="1743"/>
      <c r="H9384" s="1743"/>
      <c r="K9384" s="1192" t="s">
        <v>2506</v>
      </c>
      <c r="V9384" s="1192">
        <v>680</v>
      </c>
    </row>
    <row r="9385" spans="1:22" s="1192" customFormat="1" ht="14.4" x14ac:dyDescent="0.3">
      <c r="A9385" s="1192" t="s">
        <v>199</v>
      </c>
      <c r="E9385" s="1750" t="s">
        <v>2389</v>
      </c>
      <c r="F9385" s="1743"/>
      <c r="G9385" s="1743"/>
      <c r="H9385" s="1743"/>
      <c r="K9385" s="1192" t="s">
        <v>2390</v>
      </c>
      <c r="V9385" s="1192">
        <v>11</v>
      </c>
    </row>
    <row r="9386" spans="1:22" s="1192" customFormat="1" ht="14.4" x14ac:dyDescent="0.3">
      <c r="A9386" s="1192" t="s">
        <v>199</v>
      </c>
      <c r="E9386" s="1743" t="s">
        <v>2391</v>
      </c>
      <c r="F9386" s="1743"/>
      <c r="G9386" s="1743"/>
      <c r="H9386" s="1743"/>
      <c r="K9386" s="1192" t="s">
        <v>2506</v>
      </c>
      <c r="V9386" s="1192">
        <v>280</v>
      </c>
    </row>
    <row r="9387" spans="1:22" s="1192" customFormat="1" ht="14.4" x14ac:dyDescent="0.3">
      <c r="A9387" s="1192" t="s">
        <v>199</v>
      </c>
      <c r="E9387" s="1743" t="s">
        <v>2392</v>
      </c>
      <c r="F9387" s="1743"/>
      <c r="G9387" s="1743"/>
      <c r="H9387" s="1743"/>
      <c r="K9387" s="1192" t="s">
        <v>2506</v>
      </c>
      <c r="V9387" s="1192">
        <v>411</v>
      </c>
    </row>
    <row r="9388" spans="1:22" s="1192" customFormat="1" ht="14.4" x14ac:dyDescent="0.3">
      <c r="A9388" s="1192" t="s">
        <v>199</v>
      </c>
      <c r="E9388" s="1743" t="s">
        <v>2393</v>
      </c>
      <c r="F9388" s="1743"/>
      <c r="G9388" s="1743"/>
      <c r="H9388" s="1743"/>
      <c r="K9388" s="1192" t="s">
        <v>2506</v>
      </c>
      <c r="V9388" s="1192">
        <v>387</v>
      </c>
    </row>
    <row r="9389" spans="1:22" s="1192" customFormat="1" ht="14.4" x14ac:dyDescent="0.3">
      <c r="A9389" s="1192" t="s">
        <v>199</v>
      </c>
      <c r="E9389" s="1743" t="s">
        <v>2986</v>
      </c>
      <c r="F9389" s="1743"/>
      <c r="G9389" s="1743"/>
      <c r="H9389" s="1743"/>
      <c r="K9389" s="1192" t="s">
        <v>2506</v>
      </c>
      <c r="V9389" s="1192">
        <v>246</v>
      </c>
    </row>
    <row r="9390" spans="1:22" s="1192" customFormat="1" ht="14.4" x14ac:dyDescent="0.3">
      <c r="A9390" s="1192" t="s">
        <v>199</v>
      </c>
      <c r="E9390" s="1750" t="s">
        <v>2394</v>
      </c>
      <c r="F9390" s="1743"/>
      <c r="G9390" s="1743"/>
      <c r="H9390" s="1743"/>
      <c r="K9390" s="1192" t="s">
        <v>2395</v>
      </c>
      <c r="V9390" s="1192">
        <v>46</v>
      </c>
    </row>
    <row r="9391" spans="1:22" s="1192" customFormat="1" ht="14.4" x14ac:dyDescent="0.3">
      <c r="A9391" s="1192" t="s">
        <v>199</v>
      </c>
      <c r="E9391" s="2044" t="s">
        <v>7</v>
      </c>
      <c r="F9391" s="1741"/>
      <c r="G9391" s="574" t="s">
        <v>19</v>
      </c>
      <c r="H9391" s="1218">
        <v>27.34</v>
      </c>
      <c r="K9391" s="1192" t="s">
        <v>2506</v>
      </c>
      <c r="L9391" s="1192" t="s">
        <v>430</v>
      </c>
      <c r="P9391" s="1192" t="s">
        <v>2510</v>
      </c>
      <c r="V9391" s="1192">
        <v>14</v>
      </c>
    </row>
    <row r="9392" spans="1:22" s="1192" customFormat="1" ht="14.4" x14ac:dyDescent="0.3">
      <c r="A9392" s="1192" t="s">
        <v>199</v>
      </c>
      <c r="E9392" s="2044" t="s">
        <v>4682</v>
      </c>
      <c r="F9392" s="1741"/>
      <c r="G9392" s="574" t="s">
        <v>19</v>
      </c>
      <c r="H9392" s="1218">
        <v>4.3099999999999996</v>
      </c>
      <c r="K9392" s="1192" t="s">
        <v>2506</v>
      </c>
      <c r="L9392" s="1192" t="s">
        <v>430</v>
      </c>
      <c r="P9392" s="1192" t="s">
        <v>4507</v>
      </c>
      <c r="V9392" s="1192">
        <v>142</v>
      </c>
    </row>
    <row r="9393" spans="1:22" s="1192" customFormat="1" ht="14.4" x14ac:dyDescent="0.3">
      <c r="A9393" s="1192" t="s">
        <v>199</v>
      </c>
      <c r="E9393" s="2044" t="s">
        <v>3900</v>
      </c>
      <c r="F9393" s="1741"/>
      <c r="G9393" s="574" t="s">
        <v>19</v>
      </c>
      <c r="H9393" s="575">
        <v>0.56999999999999995</v>
      </c>
      <c r="K9393" s="1192" t="s">
        <v>2506</v>
      </c>
      <c r="L9393" s="1192" t="s">
        <v>431</v>
      </c>
      <c r="P9393" s="1192" t="s">
        <v>2511</v>
      </c>
      <c r="T9393" s="1192">
        <v>44926</v>
      </c>
      <c r="V9393" s="1192">
        <v>64</v>
      </c>
    </row>
    <row r="9394" spans="1:22" s="1192" customFormat="1" ht="14.4" x14ac:dyDescent="0.3">
      <c r="A9394" s="1192" t="s">
        <v>199</v>
      </c>
      <c r="E9394" s="2044" t="s">
        <v>14</v>
      </c>
      <c r="F9394" s="1741"/>
      <c r="G9394" s="574" t="s">
        <v>20</v>
      </c>
      <c r="H9394" s="576">
        <v>2.5999999999999999E-3</v>
      </c>
      <c r="K9394" s="1192" t="s">
        <v>2506</v>
      </c>
      <c r="L9394" s="1192" t="s">
        <v>431</v>
      </c>
      <c r="P9394" s="1192" t="s">
        <v>2513</v>
      </c>
      <c r="V9394" s="1192">
        <v>24</v>
      </c>
    </row>
    <row r="9395" spans="1:22" s="1192" customFormat="1" ht="14.4" x14ac:dyDescent="0.3">
      <c r="A9395" s="1192" t="s">
        <v>199</v>
      </c>
      <c r="E9395" s="2044" t="s">
        <v>213</v>
      </c>
      <c r="F9395" s="1741"/>
      <c r="G9395" s="574" t="s">
        <v>20</v>
      </c>
      <c r="H9395" s="1219">
        <v>7.1999999999999998E-3</v>
      </c>
      <c r="K9395" s="1192" t="s">
        <v>2506</v>
      </c>
      <c r="L9395" s="1192" t="s">
        <v>432</v>
      </c>
      <c r="P9395" s="1192" t="s">
        <v>2517</v>
      </c>
      <c r="V9395" s="1192">
        <v>47</v>
      </c>
    </row>
    <row r="9396" spans="1:22" s="1192" customFormat="1" ht="14.4" x14ac:dyDescent="0.3">
      <c r="A9396" s="1192" t="s">
        <v>199</v>
      </c>
      <c r="E9396" s="2044" t="s">
        <v>209</v>
      </c>
      <c r="F9396" s="1741"/>
      <c r="G9396" s="574" t="s">
        <v>20</v>
      </c>
      <c r="H9396" s="1219">
        <v>6.1000000000000004E-3</v>
      </c>
      <c r="K9396" s="1192" t="s">
        <v>2506</v>
      </c>
      <c r="L9396" s="1192" t="s">
        <v>432</v>
      </c>
      <c r="P9396" s="1192" t="s">
        <v>2518</v>
      </c>
      <c r="V9396" s="1192">
        <v>74</v>
      </c>
    </row>
    <row r="9397" spans="1:22" s="1192" customFormat="1" ht="14.4" x14ac:dyDescent="0.3">
      <c r="A9397" s="1192" t="s">
        <v>199</v>
      </c>
      <c r="E9397" s="1750" t="s">
        <v>2405</v>
      </c>
      <c r="F9397" s="1741"/>
      <c r="G9397" s="1741"/>
      <c r="H9397" s="1741"/>
      <c r="K9397" s="1192" t="s">
        <v>2406</v>
      </c>
      <c r="V9397" s="1192">
        <v>48</v>
      </c>
    </row>
    <row r="9398" spans="1:22" s="1192" customFormat="1" ht="14.4" x14ac:dyDescent="0.3">
      <c r="A9398" s="1192" t="s">
        <v>199</v>
      </c>
      <c r="E9398" s="2007" t="s">
        <v>2033</v>
      </c>
      <c r="F9398" s="2007"/>
      <c r="G9398" s="578" t="s">
        <v>20</v>
      </c>
      <c r="H9398" s="564">
        <v>3.0000000000000001E-3</v>
      </c>
      <c r="K9398" s="1192" t="s">
        <v>2506</v>
      </c>
      <c r="L9398" s="1192" t="s">
        <v>2374</v>
      </c>
      <c r="P9398" s="1192" t="s">
        <v>2519</v>
      </c>
      <c r="V9398" s="1192">
        <v>55</v>
      </c>
    </row>
    <row r="9399" spans="1:22" s="1192" customFormat="1" ht="14.4" x14ac:dyDescent="0.3">
      <c r="A9399" s="1192" t="s">
        <v>199</v>
      </c>
      <c r="E9399" s="2007" t="s">
        <v>2034</v>
      </c>
      <c r="F9399" s="2007"/>
      <c r="G9399" s="578" t="s">
        <v>20</v>
      </c>
      <c r="H9399" s="564">
        <v>4.0000000000000002E-4</v>
      </c>
      <c r="K9399" s="1192" t="s">
        <v>2506</v>
      </c>
      <c r="L9399" s="1192" t="s">
        <v>2374</v>
      </c>
      <c r="P9399" s="1192" t="s">
        <v>2519</v>
      </c>
      <c r="V9399" s="1192">
        <v>65</v>
      </c>
    </row>
    <row r="9400" spans="1:22" s="1192" customFormat="1" ht="14.4" x14ac:dyDescent="0.3">
      <c r="A9400" s="1192" t="s">
        <v>199</v>
      </c>
      <c r="E9400" s="2044" t="s">
        <v>428</v>
      </c>
      <c r="F9400" s="1741"/>
      <c r="G9400" s="574" t="s">
        <v>20</v>
      </c>
      <c r="H9400" s="576">
        <v>5.0000000000000001E-4</v>
      </c>
      <c r="K9400" s="1192" t="s">
        <v>2506</v>
      </c>
      <c r="L9400" s="1192" t="s">
        <v>2374</v>
      </c>
      <c r="P9400" s="1192" t="s">
        <v>2520</v>
      </c>
      <c r="V9400" s="1192">
        <v>57</v>
      </c>
    </row>
    <row r="9401" spans="1:22" s="1192" customFormat="1" ht="14.4" x14ac:dyDescent="0.3">
      <c r="A9401" s="1192" t="s">
        <v>199</v>
      </c>
      <c r="E9401" s="2044" t="s">
        <v>28</v>
      </c>
      <c r="F9401" s="1741"/>
      <c r="G9401" s="574" t="s">
        <v>19</v>
      </c>
      <c r="H9401" s="575">
        <v>0.25</v>
      </c>
      <c r="K9401" s="1192" t="s">
        <v>2506</v>
      </c>
      <c r="L9401" s="1192" t="s">
        <v>2374</v>
      </c>
      <c r="P9401" s="1192" t="s">
        <v>2521</v>
      </c>
      <c r="V9401" s="1192">
        <v>63</v>
      </c>
    </row>
    <row r="9402" spans="1:22" s="1192" customFormat="1" ht="17.399999999999999" x14ac:dyDescent="0.3">
      <c r="A9402" s="1192" t="s">
        <v>199</v>
      </c>
      <c r="E9402" s="2045" t="s">
        <v>2522</v>
      </c>
      <c r="F9402" s="1747"/>
      <c r="G9402" s="1747"/>
      <c r="H9402" s="1747"/>
      <c r="K9402" s="1192" t="s">
        <v>3901</v>
      </c>
      <c r="V9402" s="1192">
        <v>54</v>
      </c>
    </row>
    <row r="9403" spans="1:22" s="1192" customFormat="1" ht="14.4" x14ac:dyDescent="0.3">
      <c r="A9403" s="1192" t="s">
        <v>199</v>
      </c>
      <c r="E9403" s="1743" t="s">
        <v>3028</v>
      </c>
      <c r="F9403" s="1743"/>
      <c r="G9403" s="1743"/>
      <c r="H9403" s="1743"/>
      <c r="K9403" s="1192" t="s">
        <v>3901</v>
      </c>
      <c r="V9403" s="1192">
        <v>337</v>
      </c>
    </row>
    <row r="9404" spans="1:22" s="1192" customFormat="1" ht="14.4" x14ac:dyDescent="0.3">
      <c r="A9404" s="1192" t="s">
        <v>199</v>
      </c>
      <c r="E9404" s="1750" t="s">
        <v>2389</v>
      </c>
      <c r="F9404" s="1743"/>
      <c r="G9404" s="1743"/>
      <c r="H9404" s="1743"/>
      <c r="K9404" s="1192" t="s">
        <v>2412</v>
      </c>
      <c r="V9404" s="1192">
        <v>11</v>
      </c>
    </row>
    <row r="9405" spans="1:22" s="1192" customFormat="1" ht="14.4" x14ac:dyDescent="0.3">
      <c r="A9405" s="1192" t="s">
        <v>199</v>
      </c>
      <c r="E9405" s="1743" t="s">
        <v>2391</v>
      </c>
      <c r="F9405" s="1743"/>
      <c r="G9405" s="1743"/>
      <c r="H9405" s="1743"/>
      <c r="K9405" s="1192" t="s">
        <v>3901</v>
      </c>
      <c r="V9405" s="1192">
        <v>280</v>
      </c>
    </row>
    <row r="9406" spans="1:22" s="1192" customFormat="1" ht="14.4" x14ac:dyDescent="0.3">
      <c r="A9406" s="1192" t="s">
        <v>199</v>
      </c>
      <c r="E9406" s="1743" t="s">
        <v>2392</v>
      </c>
      <c r="F9406" s="1743"/>
      <c r="G9406" s="1743"/>
      <c r="H9406" s="1743"/>
      <c r="K9406" s="1192" t="s">
        <v>3901</v>
      </c>
      <c r="V9406" s="1192">
        <v>411</v>
      </c>
    </row>
    <row r="9407" spans="1:22" s="1192" customFormat="1" ht="14.4" x14ac:dyDescent="0.3">
      <c r="A9407" s="1192" t="s">
        <v>199</v>
      </c>
      <c r="E9407" s="1743" t="s">
        <v>2393</v>
      </c>
      <c r="F9407" s="1743"/>
      <c r="G9407" s="1743"/>
      <c r="H9407" s="1743"/>
      <c r="K9407" s="1192" t="s">
        <v>3901</v>
      </c>
      <c r="V9407" s="1192">
        <v>387</v>
      </c>
    </row>
    <row r="9408" spans="1:22" s="1192" customFormat="1" ht="14.4" x14ac:dyDescent="0.3">
      <c r="A9408" s="1192" t="s">
        <v>199</v>
      </c>
      <c r="E9408" s="1743" t="s">
        <v>2986</v>
      </c>
      <c r="F9408" s="1743"/>
      <c r="G9408" s="1743"/>
      <c r="H9408" s="1743"/>
      <c r="K9408" s="1192" t="s">
        <v>3901</v>
      </c>
      <c r="V9408" s="1192">
        <v>246</v>
      </c>
    </row>
    <row r="9409" spans="1:22" s="1192" customFormat="1" ht="14.4" x14ac:dyDescent="0.3">
      <c r="A9409" s="1192" t="s">
        <v>199</v>
      </c>
      <c r="E9409" s="1750" t="s">
        <v>2394</v>
      </c>
      <c r="F9409" s="1743"/>
      <c r="G9409" s="1743"/>
      <c r="H9409" s="1743"/>
      <c r="K9409" s="1192" t="s">
        <v>2413</v>
      </c>
      <c r="V9409" s="1192">
        <v>46</v>
      </c>
    </row>
    <row r="9410" spans="1:22" s="1192" customFormat="1" ht="14.4" x14ac:dyDescent="0.3">
      <c r="A9410" s="1192" t="s">
        <v>199</v>
      </c>
      <c r="E9410" s="2044" t="s">
        <v>7</v>
      </c>
      <c r="F9410" s="1741"/>
      <c r="G9410" s="574" t="s">
        <v>19</v>
      </c>
      <c r="H9410" s="1218">
        <v>29.38</v>
      </c>
      <c r="K9410" s="1192" t="s">
        <v>3901</v>
      </c>
      <c r="L9410" s="1192" t="s">
        <v>430</v>
      </c>
      <c r="P9410" s="1192" t="s">
        <v>3902</v>
      </c>
      <c r="V9410" s="1192">
        <v>14</v>
      </c>
    </row>
    <row r="9411" spans="1:22" s="1192" customFormat="1" ht="14.4" x14ac:dyDescent="0.3">
      <c r="A9411" s="1192" t="s">
        <v>199</v>
      </c>
      <c r="E9411" s="2044" t="s">
        <v>4682</v>
      </c>
      <c r="F9411" s="1741"/>
      <c r="G9411" s="574" t="s">
        <v>19</v>
      </c>
      <c r="H9411" s="1218">
        <v>4.66</v>
      </c>
      <c r="K9411" s="1192" t="s">
        <v>3901</v>
      </c>
      <c r="L9411" s="1192" t="s">
        <v>430</v>
      </c>
      <c r="P9411" s="1192" t="s">
        <v>6568</v>
      </c>
      <c r="V9411" s="1192">
        <v>142</v>
      </c>
    </row>
    <row r="9412" spans="1:22" s="1192" customFormat="1" ht="14.4" x14ac:dyDescent="0.3">
      <c r="A9412" s="1192" t="s">
        <v>199</v>
      </c>
      <c r="E9412" s="2044" t="s">
        <v>3900</v>
      </c>
      <c r="F9412" s="1741"/>
      <c r="G9412" s="574" t="s">
        <v>19</v>
      </c>
      <c r="H9412" s="575">
        <v>0.56999999999999995</v>
      </c>
      <c r="K9412" s="1192" t="s">
        <v>3901</v>
      </c>
      <c r="L9412" s="1192" t="s">
        <v>431</v>
      </c>
      <c r="P9412" s="1192" t="s">
        <v>3903</v>
      </c>
      <c r="T9412" s="1192">
        <v>44926</v>
      </c>
      <c r="V9412" s="1192">
        <v>64</v>
      </c>
    </row>
    <row r="9413" spans="1:22" s="1192" customFormat="1" ht="14.4" x14ac:dyDescent="0.3">
      <c r="A9413" s="1192" t="s">
        <v>199</v>
      </c>
      <c r="E9413" s="2044" t="s">
        <v>80</v>
      </c>
      <c r="F9413" s="1741"/>
      <c r="G9413" s="574" t="s">
        <v>20</v>
      </c>
      <c r="H9413" s="1219">
        <v>1.06E-2</v>
      </c>
      <c r="K9413" s="1192" t="s">
        <v>3901</v>
      </c>
      <c r="L9413" s="1192" t="s">
        <v>430</v>
      </c>
      <c r="P9413" s="1192" t="s">
        <v>3904</v>
      </c>
      <c r="V9413" s="1192">
        <v>28</v>
      </c>
    </row>
    <row r="9414" spans="1:22" s="1192" customFormat="1" ht="14.4" x14ac:dyDescent="0.3">
      <c r="A9414" s="1192" t="s">
        <v>199</v>
      </c>
      <c r="E9414" s="2044" t="s">
        <v>14</v>
      </c>
      <c r="F9414" s="1741"/>
      <c r="G9414" s="574" t="s">
        <v>20</v>
      </c>
      <c r="H9414" s="576">
        <v>2.3999999999999998E-3</v>
      </c>
      <c r="K9414" s="1192" t="s">
        <v>3901</v>
      </c>
      <c r="L9414" s="1192" t="s">
        <v>431</v>
      </c>
      <c r="P9414" s="1192" t="s">
        <v>3905</v>
      </c>
      <c r="V9414" s="1192">
        <v>24</v>
      </c>
    </row>
    <row r="9415" spans="1:22" s="1192" customFormat="1" ht="14.4" x14ac:dyDescent="0.3">
      <c r="A9415" s="1192" t="s">
        <v>199</v>
      </c>
      <c r="E9415" s="2044" t="s">
        <v>4682</v>
      </c>
      <c r="F9415" s="1741"/>
      <c r="G9415" s="574" t="s">
        <v>20</v>
      </c>
      <c r="H9415" s="576">
        <v>1.6999999999999999E-3</v>
      </c>
      <c r="K9415" s="1192" t="s">
        <v>3901</v>
      </c>
      <c r="L9415" s="1192" t="s">
        <v>430</v>
      </c>
      <c r="P9415" s="1192" t="s">
        <v>4517</v>
      </c>
      <c r="V9415" s="1192">
        <v>142</v>
      </c>
    </row>
    <row r="9416" spans="1:22" s="1192" customFormat="1" ht="14.4" x14ac:dyDescent="0.3">
      <c r="A9416" s="1192" t="s">
        <v>199</v>
      </c>
      <c r="E9416" s="2044" t="s">
        <v>213</v>
      </c>
      <c r="F9416" s="1741"/>
      <c r="G9416" s="574" t="s">
        <v>20</v>
      </c>
      <c r="H9416" s="1219">
        <v>6.3E-3</v>
      </c>
      <c r="K9416" s="1192" t="s">
        <v>3901</v>
      </c>
      <c r="L9416" s="1192" t="s">
        <v>432</v>
      </c>
      <c r="P9416" s="1192" t="s">
        <v>3906</v>
      </c>
      <c r="V9416" s="1192">
        <v>47</v>
      </c>
    </row>
    <row r="9417" spans="1:22" s="1192" customFormat="1" ht="14.4" x14ac:dyDescent="0.3">
      <c r="A9417" s="1192" t="s">
        <v>199</v>
      </c>
      <c r="E9417" s="2044" t="s">
        <v>209</v>
      </c>
      <c r="F9417" s="1741"/>
      <c r="G9417" s="574" t="s">
        <v>20</v>
      </c>
      <c r="H9417" s="1219">
        <v>5.7000000000000002E-3</v>
      </c>
      <c r="K9417" s="1192" t="s">
        <v>3901</v>
      </c>
      <c r="L9417" s="1192" t="s">
        <v>432</v>
      </c>
      <c r="P9417" s="1192" t="s">
        <v>3907</v>
      </c>
      <c r="V9417" s="1192">
        <v>74</v>
      </c>
    </row>
    <row r="9418" spans="1:22" s="1192" customFormat="1" ht="14.4" x14ac:dyDescent="0.3">
      <c r="A9418" s="1192" t="s">
        <v>199</v>
      </c>
      <c r="E9418" s="1750" t="s">
        <v>2405</v>
      </c>
      <c r="F9418" s="1741"/>
      <c r="G9418" s="1741"/>
      <c r="H9418" s="1741"/>
      <c r="K9418" s="1192" t="s">
        <v>2418</v>
      </c>
      <c r="V9418" s="1192">
        <v>48</v>
      </c>
    </row>
    <row r="9419" spans="1:22" s="1192" customFormat="1" ht="14.4" x14ac:dyDescent="0.3">
      <c r="A9419" s="1192" t="s">
        <v>199</v>
      </c>
      <c r="E9419" s="2007" t="s">
        <v>2033</v>
      </c>
      <c r="F9419" s="2007"/>
      <c r="G9419" s="578" t="s">
        <v>20</v>
      </c>
      <c r="H9419" s="564">
        <v>3.0000000000000001E-3</v>
      </c>
      <c r="K9419" s="1192" t="s">
        <v>3901</v>
      </c>
      <c r="L9419" s="1192" t="s">
        <v>2374</v>
      </c>
      <c r="P9419" s="1192" t="s">
        <v>3908</v>
      </c>
      <c r="V9419" s="1192">
        <v>55</v>
      </c>
    </row>
    <row r="9420" spans="1:22" s="1192" customFormat="1" ht="14.4" x14ac:dyDescent="0.3">
      <c r="A9420" s="1192" t="s">
        <v>199</v>
      </c>
      <c r="E9420" s="2007" t="s">
        <v>2034</v>
      </c>
      <c r="F9420" s="2007"/>
      <c r="G9420" s="578" t="s">
        <v>20</v>
      </c>
      <c r="H9420" s="564">
        <v>4.0000000000000002E-4</v>
      </c>
      <c r="K9420" s="1192" t="s">
        <v>3901</v>
      </c>
      <c r="L9420" s="1192" t="s">
        <v>2374</v>
      </c>
      <c r="P9420" s="1192" t="s">
        <v>3908</v>
      </c>
      <c r="V9420" s="1192">
        <v>65</v>
      </c>
    </row>
    <row r="9421" spans="1:22" s="1192" customFormat="1" ht="14.4" x14ac:dyDescent="0.3">
      <c r="A9421" s="1192" t="s">
        <v>199</v>
      </c>
      <c r="E9421" s="2044" t="s">
        <v>428</v>
      </c>
      <c r="F9421" s="1741"/>
      <c r="G9421" s="574" t="s">
        <v>20</v>
      </c>
      <c r="H9421" s="576">
        <v>5.0000000000000001E-4</v>
      </c>
      <c r="K9421" s="1192" t="s">
        <v>3901</v>
      </c>
      <c r="L9421" s="1192" t="s">
        <v>2374</v>
      </c>
      <c r="P9421" s="1192" t="s">
        <v>3909</v>
      </c>
      <c r="V9421" s="1192">
        <v>57</v>
      </c>
    </row>
    <row r="9422" spans="1:22" s="1192" customFormat="1" ht="14.4" x14ac:dyDescent="0.3">
      <c r="A9422" s="1192" t="s">
        <v>199</v>
      </c>
      <c r="E9422" s="2044" t="s">
        <v>28</v>
      </c>
      <c r="F9422" s="1741"/>
      <c r="G9422" s="574" t="s">
        <v>19</v>
      </c>
      <c r="H9422" s="575">
        <v>0.25</v>
      </c>
      <c r="K9422" s="1192" t="s">
        <v>3901</v>
      </c>
      <c r="L9422" s="1192" t="s">
        <v>2374</v>
      </c>
      <c r="P9422" s="1192" t="s">
        <v>3910</v>
      </c>
      <c r="V9422" s="1192">
        <v>63</v>
      </c>
    </row>
    <row r="9423" spans="1:22" s="1192" customFormat="1" ht="17.399999999999999" x14ac:dyDescent="0.3">
      <c r="A9423" s="1192" t="s">
        <v>199</v>
      </c>
      <c r="E9423" s="2045" t="s">
        <v>2524</v>
      </c>
      <c r="F9423" s="1747"/>
      <c r="G9423" s="1747"/>
      <c r="H9423" s="1747"/>
      <c r="K9423" s="1192" t="s">
        <v>3937</v>
      </c>
      <c r="V9423" s="1192">
        <v>51</v>
      </c>
    </row>
    <row r="9424" spans="1:22" s="1192" customFormat="1" ht="14.4" x14ac:dyDescent="0.3">
      <c r="A9424" s="1192" t="s">
        <v>199</v>
      </c>
      <c r="E9424" s="1743" t="s">
        <v>3029</v>
      </c>
      <c r="F9424" s="1743"/>
      <c r="G9424" s="1743"/>
      <c r="H9424" s="1743"/>
      <c r="K9424" s="1192" t="s">
        <v>3937</v>
      </c>
      <c r="V9424" s="1192">
        <v>511</v>
      </c>
    </row>
    <row r="9425" spans="1:22" s="1192" customFormat="1" ht="14.4" x14ac:dyDescent="0.3">
      <c r="A9425" s="1192" t="s">
        <v>199</v>
      </c>
      <c r="E9425" s="1750" t="s">
        <v>2389</v>
      </c>
      <c r="F9425" s="1743"/>
      <c r="G9425" s="1743"/>
      <c r="H9425" s="1743"/>
      <c r="K9425" s="1192" t="s">
        <v>2422</v>
      </c>
      <c r="V9425" s="1192">
        <v>11</v>
      </c>
    </row>
    <row r="9426" spans="1:22" s="1192" customFormat="1" ht="14.4" x14ac:dyDescent="0.3">
      <c r="A9426" s="1192" t="s">
        <v>199</v>
      </c>
      <c r="E9426" s="1743" t="s">
        <v>2391</v>
      </c>
      <c r="F9426" s="1743"/>
      <c r="G9426" s="1743"/>
      <c r="H9426" s="1743"/>
      <c r="K9426" s="1192" t="s">
        <v>3937</v>
      </c>
      <c r="V9426" s="1192">
        <v>280</v>
      </c>
    </row>
    <row r="9427" spans="1:22" s="1192" customFormat="1" ht="14.4" x14ac:dyDescent="0.3">
      <c r="A9427" s="1192" t="s">
        <v>199</v>
      </c>
      <c r="E9427" s="1743" t="s">
        <v>2392</v>
      </c>
      <c r="F9427" s="1743"/>
      <c r="G9427" s="1743"/>
      <c r="H9427" s="1743"/>
      <c r="K9427" s="1192" t="s">
        <v>3937</v>
      </c>
      <c r="V9427" s="1192">
        <v>411</v>
      </c>
    </row>
    <row r="9428" spans="1:22" s="1192" customFormat="1" ht="14.4" x14ac:dyDescent="0.3">
      <c r="A9428" s="1192" t="s">
        <v>199</v>
      </c>
      <c r="E9428" s="1743" t="s">
        <v>2393</v>
      </c>
      <c r="F9428" s="1743"/>
      <c r="G9428" s="1743"/>
      <c r="H9428" s="1743"/>
      <c r="K9428" s="1192" t="s">
        <v>3937</v>
      </c>
      <c r="V9428" s="1192">
        <v>387</v>
      </c>
    </row>
    <row r="9429" spans="1:22" s="1192" customFormat="1" ht="14.4" x14ac:dyDescent="0.3">
      <c r="A9429" s="1192" t="s">
        <v>199</v>
      </c>
      <c r="E9429" s="1743" t="s">
        <v>4503</v>
      </c>
      <c r="F9429" s="1743"/>
      <c r="G9429" s="1743"/>
      <c r="H9429" s="1743"/>
      <c r="K9429" s="1192" t="s">
        <v>3937</v>
      </c>
      <c r="V9429" s="1192">
        <v>677</v>
      </c>
    </row>
    <row r="9430" spans="1:22" s="1192" customFormat="1" ht="14.4" x14ac:dyDescent="0.3">
      <c r="A9430" s="1192" t="s">
        <v>199</v>
      </c>
      <c r="E9430" s="1743" t="s">
        <v>4644</v>
      </c>
      <c r="F9430" s="1743"/>
      <c r="G9430" s="1743"/>
      <c r="H9430" s="1743"/>
      <c r="K9430" s="1192" t="s">
        <v>3937</v>
      </c>
      <c r="V9430" s="1192">
        <v>693</v>
      </c>
    </row>
    <row r="9431" spans="1:22" s="1192" customFormat="1" ht="14.4" x14ac:dyDescent="0.3">
      <c r="A9431" s="1192" t="s">
        <v>199</v>
      </c>
      <c r="E9431" s="1743" t="s">
        <v>2986</v>
      </c>
      <c r="F9431" s="1743"/>
      <c r="G9431" s="1743"/>
      <c r="H9431" s="1743"/>
      <c r="K9431" s="1192" t="s">
        <v>3937</v>
      </c>
      <c r="V9431" s="1192">
        <v>246</v>
      </c>
    </row>
    <row r="9432" spans="1:22" s="1192" customFormat="1" ht="14.4" x14ac:dyDescent="0.3">
      <c r="A9432" s="1192" t="s">
        <v>199</v>
      </c>
      <c r="E9432" s="1743" t="s">
        <v>3030</v>
      </c>
      <c r="F9432" s="1743"/>
      <c r="G9432" s="1743"/>
      <c r="H9432" s="1743"/>
      <c r="K9432" s="1192" t="s">
        <v>3937</v>
      </c>
      <c r="V9432" s="1192">
        <v>202</v>
      </c>
    </row>
    <row r="9433" spans="1:22" s="1192" customFormat="1" ht="14.4" x14ac:dyDescent="0.3">
      <c r="A9433" s="1192" t="s">
        <v>199</v>
      </c>
      <c r="E9433" s="1750" t="s">
        <v>2394</v>
      </c>
      <c r="F9433" s="1743"/>
      <c r="G9433" s="1743"/>
      <c r="H9433" s="1743"/>
      <c r="K9433" s="1192" t="s">
        <v>2423</v>
      </c>
      <c r="V9433" s="1192">
        <v>46</v>
      </c>
    </row>
    <row r="9434" spans="1:22" s="1192" customFormat="1" ht="14.4" x14ac:dyDescent="0.3">
      <c r="A9434" s="1192" t="s">
        <v>199</v>
      </c>
      <c r="E9434" s="2044" t="s">
        <v>7</v>
      </c>
      <c r="F9434" s="1741"/>
      <c r="G9434" s="574" t="s">
        <v>19</v>
      </c>
      <c r="H9434" s="1218">
        <v>89.89</v>
      </c>
      <c r="K9434" s="1192" t="s">
        <v>3937</v>
      </c>
      <c r="L9434" s="1192" t="s">
        <v>430</v>
      </c>
      <c r="P9434" s="1192" t="s">
        <v>3938</v>
      </c>
      <c r="V9434" s="1192">
        <v>14</v>
      </c>
    </row>
    <row r="9435" spans="1:22" s="1192" customFormat="1" ht="14.4" x14ac:dyDescent="0.3">
      <c r="A9435" s="1192" t="s">
        <v>199</v>
      </c>
      <c r="E9435" s="2044" t="s">
        <v>4682</v>
      </c>
      <c r="F9435" s="1741"/>
      <c r="G9435" s="574" t="s">
        <v>19</v>
      </c>
      <c r="H9435" s="1218">
        <v>14.28</v>
      </c>
      <c r="K9435" s="1192" t="s">
        <v>3937</v>
      </c>
      <c r="L9435" s="1192" t="s">
        <v>430</v>
      </c>
      <c r="P9435" s="1192" t="s">
        <v>6569</v>
      </c>
      <c r="V9435" s="1192">
        <v>142</v>
      </c>
    </row>
    <row r="9436" spans="1:22" s="1192" customFormat="1" ht="14.4" x14ac:dyDescent="0.3">
      <c r="A9436" s="1192" t="s">
        <v>199</v>
      </c>
      <c r="E9436" s="2044" t="s">
        <v>80</v>
      </c>
      <c r="F9436" s="1741"/>
      <c r="G9436" s="574" t="s">
        <v>29</v>
      </c>
      <c r="H9436" s="1219">
        <v>3.9942000000000002</v>
      </c>
      <c r="K9436" s="1192" t="s">
        <v>3937</v>
      </c>
      <c r="L9436" s="1192" t="s">
        <v>430</v>
      </c>
      <c r="P9436" s="1192" t="s">
        <v>3939</v>
      </c>
      <c r="V9436" s="1192">
        <v>28</v>
      </c>
    </row>
    <row r="9437" spans="1:22" s="1192" customFormat="1" ht="14.4" x14ac:dyDescent="0.3">
      <c r="A9437" s="1192" t="s">
        <v>199</v>
      </c>
      <c r="E9437" s="2044" t="s">
        <v>14</v>
      </c>
      <c r="F9437" s="1741"/>
      <c r="G9437" s="574" t="s">
        <v>29</v>
      </c>
      <c r="H9437" s="576">
        <v>1.0483</v>
      </c>
      <c r="K9437" s="1192" t="s">
        <v>3937</v>
      </c>
      <c r="L9437" s="1192" t="s">
        <v>431</v>
      </c>
      <c r="P9437" s="1192" t="s">
        <v>3940</v>
      </c>
      <c r="V9437" s="1192">
        <v>24</v>
      </c>
    </row>
    <row r="9438" spans="1:22" s="1192" customFormat="1" ht="14.4" x14ac:dyDescent="0.3">
      <c r="A9438" s="1192" t="s">
        <v>199</v>
      </c>
      <c r="E9438" s="2044" t="s">
        <v>4682</v>
      </c>
      <c r="F9438" s="1741"/>
      <c r="G9438" s="574" t="s">
        <v>29</v>
      </c>
      <c r="H9438" s="576">
        <v>0.63429999999999997</v>
      </c>
      <c r="K9438" s="1192" t="s">
        <v>3937</v>
      </c>
      <c r="L9438" s="1192" t="s">
        <v>430</v>
      </c>
      <c r="P9438" s="1192" t="s">
        <v>6570</v>
      </c>
      <c r="V9438" s="1192">
        <v>142</v>
      </c>
    </row>
    <row r="9439" spans="1:22" s="1192" customFormat="1" ht="14.4" x14ac:dyDescent="0.3">
      <c r="A9439" s="1192" t="s">
        <v>199</v>
      </c>
      <c r="E9439" s="2044" t="s">
        <v>213</v>
      </c>
      <c r="F9439" s="1741"/>
      <c r="G9439" s="574" t="s">
        <v>29</v>
      </c>
      <c r="H9439" s="1219">
        <v>2.7559</v>
      </c>
      <c r="K9439" s="1192" t="s">
        <v>3937</v>
      </c>
      <c r="L9439" s="1192" t="s">
        <v>432</v>
      </c>
      <c r="P9439" s="1192" t="s">
        <v>3941</v>
      </c>
      <c r="V9439" s="1192">
        <v>47</v>
      </c>
    </row>
    <row r="9440" spans="1:22" s="1192" customFormat="1" ht="14.4" x14ac:dyDescent="0.3">
      <c r="A9440" s="1192" t="s">
        <v>199</v>
      </c>
      <c r="E9440" s="2044" t="s">
        <v>209</v>
      </c>
      <c r="F9440" s="1741"/>
      <c r="G9440" s="574" t="s">
        <v>29</v>
      </c>
      <c r="H9440" s="1219">
        <v>2.3835000000000002</v>
      </c>
      <c r="K9440" s="1192" t="s">
        <v>3937</v>
      </c>
      <c r="L9440" s="1192" t="s">
        <v>432</v>
      </c>
      <c r="P9440" s="1192" t="s">
        <v>3942</v>
      </c>
      <c r="V9440" s="1192">
        <v>74</v>
      </c>
    </row>
    <row r="9441" spans="1:22" s="1192" customFormat="1" ht="14.4" x14ac:dyDescent="0.3">
      <c r="A9441" s="1192" t="s">
        <v>199</v>
      </c>
      <c r="E9441" s="1750" t="s">
        <v>2405</v>
      </c>
      <c r="F9441" s="1741"/>
      <c r="G9441" s="1741"/>
      <c r="H9441" s="1741"/>
      <c r="K9441" s="1192" t="s">
        <v>2526</v>
      </c>
      <c r="V9441" s="1192">
        <v>48</v>
      </c>
    </row>
    <row r="9442" spans="1:22" s="1192" customFormat="1" ht="14.4" x14ac:dyDescent="0.3">
      <c r="A9442" s="1192" t="s">
        <v>199</v>
      </c>
      <c r="E9442" s="2007" t="s">
        <v>2033</v>
      </c>
      <c r="F9442" s="2007"/>
      <c r="G9442" s="578" t="s">
        <v>20</v>
      </c>
      <c r="H9442" s="564">
        <v>3.0000000000000001E-3</v>
      </c>
      <c r="K9442" s="1192" t="s">
        <v>3937</v>
      </c>
      <c r="L9442" s="1192" t="s">
        <v>2374</v>
      </c>
      <c r="P9442" s="1192" t="s">
        <v>3943</v>
      </c>
      <c r="V9442" s="1192">
        <v>55</v>
      </c>
    </row>
    <row r="9443" spans="1:22" s="1192" customFormat="1" ht="14.4" x14ac:dyDescent="0.3">
      <c r="A9443" s="1192" t="s">
        <v>199</v>
      </c>
      <c r="E9443" s="2007" t="s">
        <v>2034</v>
      </c>
      <c r="F9443" s="2007"/>
      <c r="G9443" s="578" t="s">
        <v>20</v>
      </c>
      <c r="H9443" s="564">
        <v>4.0000000000000002E-4</v>
      </c>
      <c r="K9443" s="1192" t="s">
        <v>3937</v>
      </c>
      <c r="L9443" s="1192" t="s">
        <v>2374</v>
      </c>
      <c r="P9443" s="1192" t="s">
        <v>3943</v>
      </c>
      <c r="V9443" s="1192">
        <v>65</v>
      </c>
    </row>
    <row r="9444" spans="1:22" s="1192" customFormat="1" ht="14.4" x14ac:dyDescent="0.3">
      <c r="A9444" s="1192" t="s">
        <v>199</v>
      </c>
      <c r="E9444" s="2044" t="s">
        <v>428</v>
      </c>
      <c r="F9444" s="1741"/>
      <c r="G9444" s="574" t="s">
        <v>20</v>
      </c>
      <c r="H9444" s="576">
        <v>5.0000000000000001E-4</v>
      </c>
      <c r="K9444" s="1192" t="s">
        <v>3937</v>
      </c>
      <c r="L9444" s="1192" t="s">
        <v>2374</v>
      </c>
      <c r="P9444" s="1192" t="s">
        <v>3944</v>
      </c>
      <c r="V9444" s="1192">
        <v>57</v>
      </c>
    </row>
    <row r="9445" spans="1:22" s="1192" customFormat="1" ht="14.4" x14ac:dyDescent="0.3">
      <c r="A9445" s="1192" t="s">
        <v>199</v>
      </c>
      <c r="E9445" s="2044" t="s">
        <v>28</v>
      </c>
      <c r="F9445" s="1741"/>
      <c r="G9445" s="574" t="s">
        <v>19</v>
      </c>
      <c r="H9445" s="575">
        <v>0.25</v>
      </c>
      <c r="K9445" s="1192" t="s">
        <v>3937</v>
      </c>
      <c r="L9445" s="1192" t="s">
        <v>2374</v>
      </c>
      <c r="P9445" s="1192" t="s">
        <v>3945</v>
      </c>
      <c r="V9445" s="1192">
        <v>63</v>
      </c>
    </row>
    <row r="9446" spans="1:22" s="1192" customFormat="1" ht="17.399999999999999" x14ac:dyDescent="0.3">
      <c r="A9446" s="1192" t="s">
        <v>199</v>
      </c>
      <c r="E9446" s="2045" t="s">
        <v>2527</v>
      </c>
      <c r="F9446" s="1747"/>
      <c r="G9446" s="1747"/>
      <c r="H9446" s="1747"/>
      <c r="K9446" s="1192" t="s">
        <v>3946</v>
      </c>
      <c r="V9446" s="1192">
        <v>56</v>
      </c>
    </row>
    <row r="9447" spans="1:22" s="1192" customFormat="1" ht="14.4" x14ac:dyDescent="0.3">
      <c r="A9447" s="1192" t="s">
        <v>199</v>
      </c>
      <c r="E9447" s="1743" t="s">
        <v>3031</v>
      </c>
      <c r="F9447" s="1743"/>
      <c r="G9447" s="1743"/>
      <c r="H9447" s="1743"/>
      <c r="K9447" s="1192" t="s">
        <v>3946</v>
      </c>
      <c r="V9447" s="1192">
        <v>508</v>
      </c>
    </row>
    <row r="9448" spans="1:22" s="1192" customFormat="1" ht="14.4" x14ac:dyDescent="0.3">
      <c r="A9448" s="1192" t="s">
        <v>199</v>
      </c>
      <c r="E9448" s="1750" t="s">
        <v>2389</v>
      </c>
      <c r="F9448" s="1743"/>
      <c r="G9448" s="1743"/>
      <c r="H9448" s="1743"/>
      <c r="K9448" s="1192" t="s">
        <v>2529</v>
      </c>
      <c r="V9448" s="1192">
        <v>11</v>
      </c>
    </row>
    <row r="9449" spans="1:22" s="1192" customFormat="1" ht="14.4" x14ac:dyDescent="0.3">
      <c r="A9449" s="1192" t="s">
        <v>199</v>
      </c>
      <c r="E9449" s="1743" t="s">
        <v>2391</v>
      </c>
      <c r="F9449" s="1743"/>
      <c r="G9449" s="1743"/>
      <c r="H9449" s="1743"/>
      <c r="K9449" s="1192" t="s">
        <v>3946</v>
      </c>
      <c r="V9449" s="1192">
        <v>280</v>
      </c>
    </row>
    <row r="9450" spans="1:22" s="1192" customFormat="1" ht="14.4" x14ac:dyDescent="0.3">
      <c r="A9450" s="1192" t="s">
        <v>199</v>
      </c>
      <c r="E9450" s="1743" t="s">
        <v>2392</v>
      </c>
      <c r="F9450" s="1743"/>
      <c r="G9450" s="1743"/>
      <c r="H9450" s="1743"/>
      <c r="K9450" s="1192" t="s">
        <v>3946</v>
      </c>
      <c r="V9450" s="1192">
        <v>411</v>
      </c>
    </row>
    <row r="9451" spans="1:22" s="1192" customFormat="1" ht="14.4" x14ac:dyDescent="0.3">
      <c r="A9451" s="1192" t="s">
        <v>199</v>
      </c>
      <c r="E9451" s="1743" t="s">
        <v>2393</v>
      </c>
      <c r="F9451" s="1743"/>
      <c r="G9451" s="1743"/>
      <c r="H9451" s="1743"/>
      <c r="K9451" s="1192" t="s">
        <v>3946</v>
      </c>
      <c r="V9451" s="1192">
        <v>387</v>
      </c>
    </row>
    <row r="9452" spans="1:22" s="1192" customFormat="1" ht="14.4" x14ac:dyDescent="0.3">
      <c r="A9452" s="1192" t="s">
        <v>199</v>
      </c>
      <c r="E9452" s="1743" t="s">
        <v>4503</v>
      </c>
      <c r="F9452" s="1743"/>
      <c r="G9452" s="1743"/>
      <c r="H9452" s="1743"/>
      <c r="K9452" s="1192" t="s">
        <v>3946</v>
      </c>
      <c r="V9452" s="1192">
        <v>677</v>
      </c>
    </row>
    <row r="9453" spans="1:22" s="1192" customFormat="1" ht="14.4" x14ac:dyDescent="0.3">
      <c r="A9453" s="1192" t="s">
        <v>199</v>
      </c>
      <c r="E9453" s="1743" t="s">
        <v>4644</v>
      </c>
      <c r="F9453" s="1743"/>
      <c r="G9453" s="1743"/>
      <c r="H9453" s="1743"/>
      <c r="K9453" s="1192" t="s">
        <v>3946</v>
      </c>
      <c r="V9453" s="1192">
        <v>693</v>
      </c>
    </row>
    <row r="9454" spans="1:22" s="1192" customFormat="1" ht="14.4" x14ac:dyDescent="0.3">
      <c r="A9454" s="1192" t="s">
        <v>199</v>
      </c>
      <c r="E9454" s="1743" t="s">
        <v>2986</v>
      </c>
      <c r="F9454" s="1743"/>
      <c r="G9454" s="1743"/>
      <c r="H9454" s="1743"/>
      <c r="K9454" s="1192" t="s">
        <v>3946</v>
      </c>
      <c r="V9454" s="1192">
        <v>246</v>
      </c>
    </row>
    <row r="9455" spans="1:22" s="1192" customFormat="1" ht="14.4" x14ac:dyDescent="0.3">
      <c r="A9455" s="1192" t="s">
        <v>199</v>
      </c>
      <c r="E9455" s="1743" t="s">
        <v>3030</v>
      </c>
      <c r="F9455" s="1743"/>
      <c r="G9455" s="1743"/>
      <c r="H9455" s="1743"/>
      <c r="K9455" s="1192" t="s">
        <v>3946</v>
      </c>
      <c r="V9455" s="1192">
        <v>202</v>
      </c>
    </row>
    <row r="9456" spans="1:22" s="1192" customFormat="1" ht="14.4" x14ac:dyDescent="0.3">
      <c r="A9456" s="1192" t="s">
        <v>199</v>
      </c>
      <c r="E9456" s="1750" t="s">
        <v>2394</v>
      </c>
      <c r="F9456" s="1743"/>
      <c r="G9456" s="1743"/>
      <c r="H9456" s="1743"/>
      <c r="K9456" s="1192" t="s">
        <v>2531</v>
      </c>
      <c r="V9456" s="1192">
        <v>46</v>
      </c>
    </row>
    <row r="9457" spans="1:22" s="1192" customFormat="1" ht="14.4" x14ac:dyDescent="0.3">
      <c r="A9457" s="1192" t="s">
        <v>199</v>
      </c>
      <c r="E9457" s="2044" t="s">
        <v>7</v>
      </c>
      <c r="F9457" s="1741"/>
      <c r="G9457" s="574" t="s">
        <v>19</v>
      </c>
      <c r="H9457" s="1218">
        <v>192.1</v>
      </c>
      <c r="K9457" s="1192" t="s">
        <v>3946</v>
      </c>
      <c r="L9457" s="1192" t="s">
        <v>430</v>
      </c>
      <c r="P9457" s="1192" t="s">
        <v>3947</v>
      </c>
      <c r="V9457" s="1192">
        <v>14</v>
      </c>
    </row>
    <row r="9458" spans="1:22" s="1192" customFormat="1" ht="14.4" x14ac:dyDescent="0.3">
      <c r="A9458" s="1192" t="s">
        <v>199</v>
      </c>
      <c r="E9458" s="2044" t="s">
        <v>4682</v>
      </c>
      <c r="F9458" s="1741"/>
      <c r="G9458" s="574" t="s">
        <v>19</v>
      </c>
      <c r="H9458" s="1218">
        <v>30.51</v>
      </c>
      <c r="K9458" s="1192" t="s">
        <v>3946</v>
      </c>
      <c r="L9458" s="1192" t="s">
        <v>430</v>
      </c>
      <c r="P9458" s="1192" t="s">
        <v>6571</v>
      </c>
      <c r="V9458" s="1192">
        <v>142</v>
      </c>
    </row>
    <row r="9459" spans="1:22" s="1192" customFormat="1" ht="14.4" x14ac:dyDescent="0.3">
      <c r="A9459" s="1192" t="s">
        <v>199</v>
      </c>
      <c r="E9459" s="2044" t="s">
        <v>80</v>
      </c>
      <c r="F9459" s="1741"/>
      <c r="G9459" s="574" t="s">
        <v>29</v>
      </c>
      <c r="H9459" s="1219">
        <v>3.5931000000000002</v>
      </c>
      <c r="K9459" s="1192" t="s">
        <v>3946</v>
      </c>
      <c r="L9459" s="1192" t="s">
        <v>430</v>
      </c>
      <c r="P9459" s="1192" t="s">
        <v>3948</v>
      </c>
      <c r="V9459" s="1192">
        <v>28</v>
      </c>
    </row>
    <row r="9460" spans="1:22" s="1192" customFormat="1" ht="14.4" x14ac:dyDescent="0.3">
      <c r="A9460" s="1192" t="s">
        <v>199</v>
      </c>
      <c r="E9460" s="2044" t="s">
        <v>14</v>
      </c>
      <c r="F9460" s="1741"/>
      <c r="G9460" s="574" t="s">
        <v>29</v>
      </c>
      <c r="H9460" s="576">
        <v>1.0483</v>
      </c>
      <c r="K9460" s="1192" t="s">
        <v>3946</v>
      </c>
      <c r="L9460" s="1192" t="s">
        <v>431</v>
      </c>
      <c r="P9460" s="1192" t="s">
        <v>3949</v>
      </c>
      <c r="V9460" s="1192">
        <v>24</v>
      </c>
    </row>
    <row r="9461" spans="1:22" s="1192" customFormat="1" ht="14.4" x14ac:dyDescent="0.3">
      <c r="A9461" s="1192" t="s">
        <v>199</v>
      </c>
      <c r="E9461" s="2044" t="s">
        <v>4682</v>
      </c>
      <c r="F9461" s="1741"/>
      <c r="G9461" s="574" t="s">
        <v>29</v>
      </c>
      <c r="H9461" s="576">
        <v>0.5706</v>
      </c>
      <c r="K9461" s="1192" t="s">
        <v>3946</v>
      </c>
      <c r="L9461" s="1192" t="s">
        <v>430</v>
      </c>
      <c r="P9461" s="1192" t="s">
        <v>6572</v>
      </c>
      <c r="V9461" s="1192">
        <v>142</v>
      </c>
    </row>
    <row r="9462" spans="1:22" s="1192" customFormat="1" ht="14.4" x14ac:dyDescent="0.3">
      <c r="A9462" s="1192" t="s">
        <v>199</v>
      </c>
      <c r="E9462" s="2044" t="s">
        <v>213</v>
      </c>
      <c r="F9462" s="1741"/>
      <c r="G9462" s="574" t="s">
        <v>29</v>
      </c>
      <c r="H9462" s="1219">
        <v>2.7559</v>
      </c>
      <c r="K9462" s="1192" t="s">
        <v>3946</v>
      </c>
      <c r="L9462" s="1192" t="s">
        <v>432</v>
      </c>
      <c r="P9462" s="1192" t="s">
        <v>3950</v>
      </c>
      <c r="V9462" s="1192">
        <v>47</v>
      </c>
    </row>
    <row r="9463" spans="1:22" s="1192" customFormat="1" ht="14.4" x14ac:dyDescent="0.3">
      <c r="A9463" s="1192" t="s">
        <v>199</v>
      </c>
      <c r="E9463" s="2044" t="s">
        <v>209</v>
      </c>
      <c r="F9463" s="1741"/>
      <c r="G9463" s="574" t="s">
        <v>29</v>
      </c>
      <c r="H9463" s="1219">
        <v>2.3835000000000002</v>
      </c>
      <c r="K9463" s="1192" t="s">
        <v>3946</v>
      </c>
      <c r="L9463" s="1192" t="s">
        <v>432</v>
      </c>
      <c r="P9463" s="1192" t="s">
        <v>3951</v>
      </c>
      <c r="V9463" s="1192">
        <v>74</v>
      </c>
    </row>
    <row r="9464" spans="1:22" s="1192" customFormat="1" ht="14.4" x14ac:dyDescent="0.3">
      <c r="A9464" s="1192" t="s">
        <v>199</v>
      </c>
      <c r="E9464" s="1750" t="s">
        <v>2405</v>
      </c>
      <c r="F9464" s="1741"/>
      <c r="G9464" s="1741"/>
      <c r="H9464" s="1741"/>
      <c r="K9464" s="1192" t="s">
        <v>2532</v>
      </c>
      <c r="V9464" s="1192">
        <v>48</v>
      </c>
    </row>
    <row r="9465" spans="1:22" s="1192" customFormat="1" ht="14.4" x14ac:dyDescent="0.3">
      <c r="A9465" s="1192" t="s">
        <v>199</v>
      </c>
      <c r="E9465" s="2007" t="s">
        <v>2033</v>
      </c>
      <c r="F9465" s="2007"/>
      <c r="G9465" s="578" t="s">
        <v>20</v>
      </c>
      <c r="H9465" s="564">
        <v>3.0000000000000001E-3</v>
      </c>
      <c r="K9465" s="1192" t="s">
        <v>3946</v>
      </c>
      <c r="L9465" s="1192" t="s">
        <v>2374</v>
      </c>
      <c r="P9465" s="1192" t="s">
        <v>3952</v>
      </c>
      <c r="V9465" s="1192">
        <v>55</v>
      </c>
    </row>
    <row r="9466" spans="1:22" s="1192" customFormat="1" ht="14.4" x14ac:dyDescent="0.3">
      <c r="A9466" s="1192" t="s">
        <v>199</v>
      </c>
      <c r="E9466" s="2007" t="s">
        <v>2034</v>
      </c>
      <c r="F9466" s="2007"/>
      <c r="G9466" s="578" t="s">
        <v>20</v>
      </c>
      <c r="H9466" s="564">
        <v>4.0000000000000002E-4</v>
      </c>
      <c r="K9466" s="1192" t="s">
        <v>3946</v>
      </c>
      <c r="L9466" s="1192" t="s">
        <v>2374</v>
      </c>
      <c r="P9466" s="1192" t="s">
        <v>3952</v>
      </c>
      <c r="V9466" s="1192">
        <v>65</v>
      </c>
    </row>
    <row r="9467" spans="1:22" s="1192" customFormat="1" ht="14.4" x14ac:dyDescent="0.3">
      <c r="A9467" s="1192" t="s">
        <v>199</v>
      </c>
      <c r="E9467" s="2044" t="s">
        <v>428</v>
      </c>
      <c r="F9467" s="1741"/>
      <c r="G9467" s="574" t="s">
        <v>20</v>
      </c>
      <c r="H9467" s="576">
        <v>5.0000000000000001E-4</v>
      </c>
      <c r="K9467" s="1192" t="s">
        <v>3946</v>
      </c>
      <c r="L9467" s="1192" t="s">
        <v>2374</v>
      </c>
      <c r="P9467" s="1192" t="s">
        <v>3953</v>
      </c>
      <c r="V9467" s="1192">
        <v>57</v>
      </c>
    </row>
    <row r="9468" spans="1:22" s="1192" customFormat="1" ht="14.4" x14ac:dyDescent="0.3">
      <c r="A9468" s="1192" t="s">
        <v>199</v>
      </c>
      <c r="E9468" s="2044" t="s">
        <v>28</v>
      </c>
      <c r="F9468" s="1741"/>
      <c r="G9468" s="574" t="s">
        <v>19</v>
      </c>
      <c r="H9468" s="575">
        <v>0.25</v>
      </c>
      <c r="K9468" s="1192" t="s">
        <v>3946</v>
      </c>
      <c r="L9468" s="1192" t="s">
        <v>2374</v>
      </c>
      <c r="P9468" s="1192" t="s">
        <v>3954</v>
      </c>
      <c r="V9468" s="1192">
        <v>63</v>
      </c>
    </row>
    <row r="9469" spans="1:22" s="1192" customFormat="1" ht="17.399999999999999" x14ac:dyDescent="0.3">
      <c r="A9469" s="1192" t="s">
        <v>199</v>
      </c>
      <c r="E9469" s="2045" t="s">
        <v>592</v>
      </c>
      <c r="F9469" s="1747"/>
      <c r="G9469" s="1747"/>
      <c r="H9469" s="1747"/>
      <c r="K9469" s="1192" t="s">
        <v>2726</v>
      </c>
      <c r="V9469" s="1192">
        <v>47</v>
      </c>
    </row>
    <row r="9470" spans="1:22" s="1192" customFormat="1" ht="14.4" x14ac:dyDescent="0.3">
      <c r="A9470" s="1192" t="s">
        <v>199</v>
      </c>
      <c r="E9470" s="1743" t="s">
        <v>3032</v>
      </c>
      <c r="F9470" s="1743"/>
      <c r="G9470" s="1743"/>
      <c r="H9470" s="1743"/>
      <c r="K9470" s="1192" t="s">
        <v>2726</v>
      </c>
      <c r="V9470" s="1192">
        <v>757</v>
      </c>
    </row>
    <row r="9471" spans="1:22" s="1192" customFormat="1" ht="14.4" x14ac:dyDescent="0.3">
      <c r="A9471" s="1192" t="s">
        <v>199</v>
      </c>
      <c r="E9471" s="1750" t="s">
        <v>2389</v>
      </c>
      <c r="F9471" s="1743"/>
      <c r="G9471" s="1743"/>
      <c r="H9471" s="1743"/>
      <c r="K9471" s="1192" t="s">
        <v>2424</v>
      </c>
      <c r="V9471" s="1192">
        <v>11</v>
      </c>
    </row>
    <row r="9472" spans="1:22" s="1192" customFormat="1" ht="14.4" x14ac:dyDescent="0.3">
      <c r="A9472" s="1192" t="s">
        <v>199</v>
      </c>
      <c r="E9472" s="1743" t="s">
        <v>2391</v>
      </c>
      <c r="F9472" s="1743"/>
      <c r="G9472" s="1743"/>
      <c r="H9472" s="1743"/>
      <c r="K9472" s="1192" t="s">
        <v>2726</v>
      </c>
      <c r="V9472" s="1192">
        <v>280</v>
      </c>
    </row>
    <row r="9473" spans="1:22" s="1192" customFormat="1" ht="14.4" x14ac:dyDescent="0.3">
      <c r="A9473" s="1192" t="s">
        <v>199</v>
      </c>
      <c r="E9473" s="1743" t="s">
        <v>2392</v>
      </c>
      <c r="F9473" s="1743"/>
      <c r="G9473" s="1743"/>
      <c r="H9473" s="1743"/>
      <c r="K9473" s="1192" t="s">
        <v>2726</v>
      </c>
      <c r="V9473" s="1192">
        <v>411</v>
      </c>
    </row>
    <row r="9474" spans="1:22" s="1192" customFormat="1" ht="14.4" x14ac:dyDescent="0.3">
      <c r="A9474" s="1192" t="s">
        <v>199</v>
      </c>
      <c r="E9474" s="1743" t="s">
        <v>2393</v>
      </c>
      <c r="F9474" s="1743"/>
      <c r="G9474" s="1743"/>
      <c r="H9474" s="1743"/>
      <c r="K9474" s="1192" t="s">
        <v>2726</v>
      </c>
      <c r="V9474" s="1192">
        <v>387</v>
      </c>
    </row>
    <row r="9475" spans="1:22" s="1192" customFormat="1" ht="14.4" x14ac:dyDescent="0.3">
      <c r="A9475" s="1192" t="s">
        <v>199</v>
      </c>
      <c r="E9475" s="1743" t="s">
        <v>2986</v>
      </c>
      <c r="F9475" s="1743"/>
      <c r="G9475" s="1743"/>
      <c r="H9475" s="1743"/>
      <c r="K9475" s="1192" t="s">
        <v>2726</v>
      </c>
      <c r="V9475" s="1192">
        <v>246</v>
      </c>
    </row>
    <row r="9476" spans="1:22" s="1192" customFormat="1" ht="14.4" x14ac:dyDescent="0.3">
      <c r="A9476" s="1192" t="s">
        <v>199</v>
      </c>
      <c r="E9476" s="1750" t="s">
        <v>2394</v>
      </c>
      <c r="F9476" s="1743"/>
      <c r="G9476" s="1743"/>
      <c r="H9476" s="1743"/>
      <c r="K9476" s="1192" t="s">
        <v>2425</v>
      </c>
      <c r="V9476" s="1192">
        <v>46</v>
      </c>
    </row>
    <row r="9477" spans="1:22" s="1192" customFormat="1" ht="14.4" x14ac:dyDescent="0.3">
      <c r="A9477" s="1192" t="s">
        <v>199</v>
      </c>
      <c r="E9477" s="2044" t="s">
        <v>8</v>
      </c>
      <c r="F9477" s="1741"/>
      <c r="G9477" s="574" t="s">
        <v>19</v>
      </c>
      <c r="H9477" s="1218">
        <v>8.25</v>
      </c>
      <c r="K9477" s="1192" t="s">
        <v>2726</v>
      </c>
      <c r="L9477" s="1192" t="s">
        <v>430</v>
      </c>
      <c r="P9477" s="1192" t="s">
        <v>2727</v>
      </c>
      <c r="V9477" s="1192">
        <v>31</v>
      </c>
    </row>
    <row r="9478" spans="1:22" s="1192" customFormat="1" ht="14.4" x14ac:dyDescent="0.3">
      <c r="A9478" s="1192" t="s">
        <v>199</v>
      </c>
      <c r="E9478" s="2044" t="s">
        <v>4682</v>
      </c>
      <c r="F9478" s="1741"/>
      <c r="G9478" s="574" t="s">
        <v>19</v>
      </c>
      <c r="H9478" s="1218">
        <v>1.31</v>
      </c>
      <c r="K9478" s="1192" t="s">
        <v>2726</v>
      </c>
      <c r="L9478" s="1192" t="s">
        <v>430</v>
      </c>
      <c r="P9478" s="1192" t="s">
        <v>6573</v>
      </c>
      <c r="V9478" s="1192">
        <v>142</v>
      </c>
    </row>
    <row r="9479" spans="1:22" s="1192" customFormat="1" ht="14.4" x14ac:dyDescent="0.3">
      <c r="A9479" s="1192" t="s">
        <v>199</v>
      </c>
      <c r="E9479" s="2044" t="s">
        <v>80</v>
      </c>
      <c r="F9479" s="1741"/>
      <c r="G9479" s="574" t="s">
        <v>20</v>
      </c>
      <c r="H9479" s="1219">
        <v>5.5999999999999999E-3</v>
      </c>
      <c r="K9479" s="1192" t="s">
        <v>2726</v>
      </c>
      <c r="L9479" s="1192" t="s">
        <v>430</v>
      </c>
      <c r="P9479" s="1192" t="s">
        <v>2728</v>
      </c>
      <c r="V9479" s="1192">
        <v>28</v>
      </c>
    </row>
    <row r="9480" spans="1:22" s="1192" customFormat="1" ht="14.4" x14ac:dyDescent="0.3">
      <c r="A9480" s="1192" t="s">
        <v>199</v>
      </c>
      <c r="E9480" s="2044" t="s">
        <v>14</v>
      </c>
      <c r="F9480" s="1741"/>
      <c r="G9480" s="574" t="s">
        <v>20</v>
      </c>
      <c r="H9480" s="576">
        <v>2.3999999999999998E-3</v>
      </c>
      <c r="K9480" s="1192" t="s">
        <v>2726</v>
      </c>
      <c r="L9480" s="1192" t="s">
        <v>431</v>
      </c>
      <c r="P9480" s="1192" t="s">
        <v>2729</v>
      </c>
      <c r="V9480" s="1192">
        <v>24</v>
      </c>
    </row>
    <row r="9481" spans="1:22" s="1192" customFormat="1" ht="14.4" x14ac:dyDescent="0.3">
      <c r="A9481" s="1192" t="s">
        <v>199</v>
      </c>
      <c r="E9481" s="2044" t="s">
        <v>4682</v>
      </c>
      <c r="F9481" s="1741"/>
      <c r="G9481" s="574" t="s">
        <v>20</v>
      </c>
      <c r="H9481" s="576">
        <v>8.9999999999999998E-4</v>
      </c>
      <c r="K9481" s="1192" t="s">
        <v>2726</v>
      </c>
      <c r="L9481" s="1192" t="s">
        <v>430</v>
      </c>
      <c r="P9481" s="1192" t="s">
        <v>6134</v>
      </c>
      <c r="V9481" s="1192">
        <v>142</v>
      </c>
    </row>
    <row r="9482" spans="1:22" s="1192" customFormat="1" ht="14.4" x14ac:dyDescent="0.3">
      <c r="A9482" s="1192" t="s">
        <v>199</v>
      </c>
      <c r="E9482" s="2044" t="s">
        <v>213</v>
      </c>
      <c r="F9482" s="1741"/>
      <c r="G9482" s="574" t="s">
        <v>20</v>
      </c>
      <c r="H9482" s="1219">
        <v>6.3E-3</v>
      </c>
      <c r="K9482" s="1192" t="s">
        <v>2726</v>
      </c>
      <c r="L9482" s="1192" t="s">
        <v>432</v>
      </c>
      <c r="P9482" s="1192" t="s">
        <v>2731</v>
      </c>
      <c r="V9482" s="1192">
        <v>47</v>
      </c>
    </row>
    <row r="9483" spans="1:22" s="1192" customFormat="1" ht="14.4" x14ac:dyDescent="0.3">
      <c r="A9483" s="1192" t="s">
        <v>199</v>
      </c>
      <c r="E9483" s="2044" t="s">
        <v>209</v>
      </c>
      <c r="F9483" s="1741"/>
      <c r="G9483" s="574" t="s">
        <v>20</v>
      </c>
      <c r="H9483" s="1219">
        <v>5.7000000000000002E-3</v>
      </c>
      <c r="K9483" s="1192" t="s">
        <v>2726</v>
      </c>
      <c r="L9483" s="1192" t="s">
        <v>432</v>
      </c>
      <c r="P9483" s="1192" t="s">
        <v>2732</v>
      </c>
      <c r="V9483" s="1192">
        <v>74</v>
      </c>
    </row>
    <row r="9484" spans="1:22" s="1192" customFormat="1" ht="14.4" x14ac:dyDescent="0.3">
      <c r="A9484" s="1192" t="s">
        <v>199</v>
      </c>
      <c r="E9484" s="1750" t="s">
        <v>2405</v>
      </c>
      <c r="F9484" s="1741"/>
      <c r="G9484" s="1741"/>
      <c r="H9484" s="1741"/>
      <c r="K9484" s="1192" t="s">
        <v>2427</v>
      </c>
      <c r="V9484" s="1192">
        <v>48</v>
      </c>
    </row>
    <row r="9485" spans="1:22" s="1192" customFormat="1" ht="14.4" x14ac:dyDescent="0.3">
      <c r="A9485" s="1192" t="s">
        <v>199</v>
      </c>
      <c r="E9485" s="2007" t="s">
        <v>2033</v>
      </c>
      <c r="F9485" s="2007"/>
      <c r="G9485" s="578" t="s">
        <v>20</v>
      </c>
      <c r="H9485" s="564">
        <v>3.0000000000000001E-3</v>
      </c>
      <c r="K9485" s="1192" t="s">
        <v>2726</v>
      </c>
      <c r="L9485" s="1192" t="s">
        <v>2374</v>
      </c>
      <c r="P9485" s="1192" t="s">
        <v>2733</v>
      </c>
      <c r="V9485" s="1192">
        <v>55</v>
      </c>
    </row>
    <row r="9486" spans="1:22" s="1192" customFormat="1" ht="14.4" x14ac:dyDescent="0.3">
      <c r="A9486" s="1192" t="s">
        <v>199</v>
      </c>
      <c r="E9486" s="2007" t="s">
        <v>2034</v>
      </c>
      <c r="F9486" s="2007"/>
      <c r="G9486" s="578" t="s">
        <v>20</v>
      </c>
      <c r="H9486" s="564">
        <v>4.0000000000000002E-4</v>
      </c>
      <c r="K9486" s="1192" t="s">
        <v>2726</v>
      </c>
      <c r="L9486" s="1192" t="s">
        <v>2374</v>
      </c>
      <c r="P9486" s="1192" t="s">
        <v>2733</v>
      </c>
      <c r="V9486" s="1192">
        <v>65</v>
      </c>
    </row>
    <row r="9487" spans="1:22" s="1192" customFormat="1" ht="14.4" x14ac:dyDescent="0.3">
      <c r="A9487" s="1192" t="s">
        <v>199</v>
      </c>
      <c r="E9487" s="2044" t="s">
        <v>428</v>
      </c>
      <c r="F9487" s="1741"/>
      <c r="G9487" s="574" t="s">
        <v>20</v>
      </c>
      <c r="H9487" s="576">
        <v>5.0000000000000001E-4</v>
      </c>
      <c r="K9487" s="1192" t="s">
        <v>2726</v>
      </c>
      <c r="L9487" s="1192" t="s">
        <v>2374</v>
      </c>
      <c r="P9487" s="1192" t="s">
        <v>2734</v>
      </c>
      <c r="V9487" s="1192">
        <v>57</v>
      </c>
    </row>
    <row r="9488" spans="1:22" s="1192" customFormat="1" ht="14.4" x14ac:dyDescent="0.3">
      <c r="A9488" s="1192" t="s">
        <v>199</v>
      </c>
      <c r="E9488" s="2044" t="s">
        <v>28</v>
      </c>
      <c r="F9488" s="1741"/>
      <c r="G9488" s="574" t="s">
        <v>19</v>
      </c>
      <c r="H9488" s="575">
        <v>0.25</v>
      </c>
      <c r="K9488" s="1192" t="s">
        <v>2726</v>
      </c>
      <c r="L9488" s="1192" t="s">
        <v>2374</v>
      </c>
      <c r="P9488" s="1192" t="s">
        <v>2735</v>
      </c>
      <c r="V9488" s="1192">
        <v>63</v>
      </c>
    </row>
    <row r="9489" spans="1:22" s="1192" customFormat="1" ht="17.399999999999999" x14ac:dyDescent="0.3">
      <c r="A9489" s="1192" t="s">
        <v>199</v>
      </c>
      <c r="E9489" s="2045" t="s">
        <v>604</v>
      </c>
      <c r="F9489" s="1747"/>
      <c r="G9489" s="1747"/>
      <c r="H9489" s="1747"/>
      <c r="K9489" s="1192" t="s">
        <v>2736</v>
      </c>
      <c r="V9489" s="1192">
        <v>40</v>
      </c>
    </row>
    <row r="9490" spans="1:22" s="1192" customFormat="1" ht="14.4" x14ac:dyDescent="0.3">
      <c r="A9490" s="1192" t="s">
        <v>199</v>
      </c>
      <c r="E9490" s="1743" t="s">
        <v>3033</v>
      </c>
      <c r="F9490" s="1743"/>
      <c r="G9490" s="1743"/>
      <c r="H9490" s="1743"/>
      <c r="K9490" s="1192" t="s">
        <v>2736</v>
      </c>
      <c r="V9490" s="1192">
        <v>254</v>
      </c>
    </row>
    <row r="9491" spans="1:22" s="1192" customFormat="1" ht="14.4" x14ac:dyDescent="0.3">
      <c r="A9491" s="1192" t="s">
        <v>199</v>
      </c>
      <c r="E9491" s="1750" t="s">
        <v>2389</v>
      </c>
      <c r="F9491" s="1743"/>
      <c r="G9491" s="1743"/>
      <c r="H9491" s="1743"/>
      <c r="K9491" s="1192" t="s">
        <v>2430</v>
      </c>
      <c r="V9491" s="1192">
        <v>11</v>
      </c>
    </row>
    <row r="9492" spans="1:22" s="1192" customFormat="1" ht="14.4" x14ac:dyDescent="0.3">
      <c r="A9492" s="1192" t="s">
        <v>199</v>
      </c>
      <c r="E9492" s="1743" t="s">
        <v>2391</v>
      </c>
      <c r="F9492" s="1743"/>
      <c r="G9492" s="1743"/>
      <c r="H9492" s="1743"/>
      <c r="K9492" s="1192" t="s">
        <v>2736</v>
      </c>
      <c r="V9492" s="1192">
        <v>280</v>
      </c>
    </row>
    <row r="9493" spans="1:22" s="1192" customFormat="1" ht="14.4" x14ac:dyDescent="0.3">
      <c r="A9493" s="1192" t="s">
        <v>199</v>
      </c>
      <c r="E9493" s="1743" t="s">
        <v>2392</v>
      </c>
      <c r="F9493" s="1743"/>
      <c r="G9493" s="1743"/>
      <c r="H9493" s="1743"/>
      <c r="K9493" s="1192" t="s">
        <v>2736</v>
      </c>
      <c r="V9493" s="1192">
        <v>411</v>
      </c>
    </row>
    <row r="9494" spans="1:22" s="1192" customFormat="1" ht="14.4" x14ac:dyDescent="0.3">
      <c r="A9494" s="1192" t="s">
        <v>199</v>
      </c>
      <c r="E9494" s="1743" t="s">
        <v>2393</v>
      </c>
      <c r="F9494" s="1743"/>
      <c r="G9494" s="1743"/>
      <c r="H9494" s="1743"/>
      <c r="K9494" s="1192" t="s">
        <v>2736</v>
      </c>
      <c r="V9494" s="1192">
        <v>387</v>
      </c>
    </row>
    <row r="9495" spans="1:22" s="1192" customFormat="1" ht="14.4" x14ac:dyDescent="0.3">
      <c r="A9495" s="1192" t="s">
        <v>199</v>
      </c>
      <c r="E9495" s="1743" t="s">
        <v>2986</v>
      </c>
      <c r="F9495" s="1743"/>
      <c r="G9495" s="1743"/>
      <c r="H9495" s="1743"/>
      <c r="K9495" s="1192" t="s">
        <v>2736</v>
      </c>
      <c r="V9495" s="1192">
        <v>246</v>
      </c>
    </row>
    <row r="9496" spans="1:22" s="1192" customFormat="1" ht="14.4" x14ac:dyDescent="0.3">
      <c r="A9496" s="1192" t="s">
        <v>199</v>
      </c>
      <c r="E9496" s="1750" t="s">
        <v>2394</v>
      </c>
      <c r="F9496" s="1743"/>
      <c r="G9496" s="1743"/>
      <c r="H9496" s="1743"/>
      <c r="K9496" s="1192" t="s">
        <v>2431</v>
      </c>
      <c r="V9496" s="1192">
        <v>46</v>
      </c>
    </row>
    <row r="9497" spans="1:22" s="1192" customFormat="1" ht="14.4" x14ac:dyDescent="0.3">
      <c r="A9497" s="1192" t="s">
        <v>199</v>
      </c>
      <c r="E9497" s="2044" t="s">
        <v>8</v>
      </c>
      <c r="F9497" s="1741"/>
      <c r="G9497" s="574" t="s">
        <v>19</v>
      </c>
      <c r="H9497" s="1218">
        <v>9.8000000000000007</v>
      </c>
      <c r="K9497" s="1192" t="s">
        <v>2736</v>
      </c>
      <c r="L9497" s="1192" t="s">
        <v>430</v>
      </c>
      <c r="P9497" s="1192" t="s">
        <v>2737</v>
      </c>
      <c r="V9497" s="1192">
        <v>31</v>
      </c>
    </row>
    <row r="9498" spans="1:22" s="1192" customFormat="1" ht="14.4" x14ac:dyDescent="0.3">
      <c r="A9498" s="1192" t="s">
        <v>199</v>
      </c>
      <c r="E9498" s="2044" t="s">
        <v>4682</v>
      </c>
      <c r="F9498" s="1741"/>
      <c r="G9498" s="574" t="s">
        <v>19</v>
      </c>
      <c r="H9498" s="1218">
        <v>1.56</v>
      </c>
      <c r="K9498" s="1192" t="s">
        <v>2736</v>
      </c>
      <c r="L9498" s="1192" t="s">
        <v>430</v>
      </c>
      <c r="P9498" s="1192" t="s">
        <v>6574</v>
      </c>
      <c r="V9498" s="1192">
        <v>142</v>
      </c>
    </row>
    <row r="9499" spans="1:22" s="1192" customFormat="1" ht="14.4" x14ac:dyDescent="0.3">
      <c r="A9499" s="1192" t="s">
        <v>199</v>
      </c>
      <c r="E9499" s="2044" t="s">
        <v>80</v>
      </c>
      <c r="F9499" s="1741"/>
      <c r="G9499" s="574" t="s">
        <v>29</v>
      </c>
      <c r="H9499" s="1219">
        <v>37.172499999999999</v>
      </c>
      <c r="K9499" s="1192" t="s">
        <v>2736</v>
      </c>
      <c r="L9499" s="1192" t="s">
        <v>430</v>
      </c>
      <c r="P9499" s="1192" t="s">
        <v>2738</v>
      </c>
      <c r="V9499" s="1192">
        <v>28</v>
      </c>
    </row>
    <row r="9500" spans="1:22" s="1192" customFormat="1" ht="14.4" x14ac:dyDescent="0.3">
      <c r="A9500" s="1192" t="s">
        <v>199</v>
      </c>
      <c r="E9500" s="2044" t="s">
        <v>14</v>
      </c>
      <c r="F9500" s="1741"/>
      <c r="G9500" s="574" t="s">
        <v>29</v>
      </c>
      <c r="H9500" s="576">
        <v>0.75470000000000004</v>
      </c>
      <c r="K9500" s="1192" t="s">
        <v>2736</v>
      </c>
      <c r="L9500" s="1192" t="s">
        <v>431</v>
      </c>
      <c r="P9500" s="1192" t="s">
        <v>2739</v>
      </c>
      <c r="V9500" s="1192">
        <v>24</v>
      </c>
    </row>
    <row r="9501" spans="1:22" s="1192" customFormat="1" ht="14.4" x14ac:dyDescent="0.3">
      <c r="A9501" s="1192" t="s">
        <v>199</v>
      </c>
      <c r="E9501" s="2044" t="s">
        <v>4682</v>
      </c>
      <c r="F9501" s="1741"/>
      <c r="G9501" s="574" t="s">
        <v>29</v>
      </c>
      <c r="H9501" s="576">
        <v>5.9034000000000004</v>
      </c>
      <c r="K9501" s="1192" t="s">
        <v>2736</v>
      </c>
      <c r="L9501" s="1192" t="s">
        <v>430</v>
      </c>
      <c r="P9501" s="1192" t="s">
        <v>6575</v>
      </c>
      <c r="V9501" s="1192">
        <v>142</v>
      </c>
    </row>
    <row r="9502" spans="1:22" s="1192" customFormat="1" ht="14.4" x14ac:dyDescent="0.3">
      <c r="A9502" s="1192" t="s">
        <v>199</v>
      </c>
      <c r="E9502" s="2044" t="s">
        <v>213</v>
      </c>
      <c r="F9502" s="1741"/>
      <c r="G9502" s="574" t="s">
        <v>29</v>
      </c>
      <c r="H9502" s="1219">
        <v>1.9661</v>
      </c>
      <c r="K9502" s="1192" t="s">
        <v>2736</v>
      </c>
      <c r="L9502" s="1192" t="s">
        <v>432</v>
      </c>
      <c r="P9502" s="1192" t="s">
        <v>2741</v>
      </c>
      <c r="V9502" s="1192">
        <v>47</v>
      </c>
    </row>
    <row r="9503" spans="1:22" s="1192" customFormat="1" ht="14.4" x14ac:dyDescent="0.3">
      <c r="A9503" s="1192" t="s">
        <v>199</v>
      </c>
      <c r="E9503" s="2044" t="s">
        <v>209</v>
      </c>
      <c r="F9503" s="1741"/>
      <c r="G9503" s="574" t="s">
        <v>29</v>
      </c>
      <c r="H9503" s="1219">
        <v>1.7158</v>
      </c>
      <c r="K9503" s="1192" t="s">
        <v>2736</v>
      </c>
      <c r="L9503" s="1192" t="s">
        <v>432</v>
      </c>
      <c r="P9503" s="1192" t="s">
        <v>2742</v>
      </c>
      <c r="V9503" s="1192">
        <v>74</v>
      </c>
    </row>
    <row r="9504" spans="1:22" s="1192" customFormat="1" ht="14.4" x14ac:dyDescent="0.3">
      <c r="A9504" s="1192" t="s">
        <v>199</v>
      </c>
      <c r="E9504" s="1750" t="s">
        <v>2405</v>
      </c>
      <c r="F9504" s="1741"/>
      <c r="G9504" s="1741"/>
      <c r="H9504" s="1741"/>
      <c r="K9504" s="1192" t="s">
        <v>2438</v>
      </c>
      <c r="V9504" s="1192">
        <v>48</v>
      </c>
    </row>
    <row r="9505" spans="1:22" s="1192" customFormat="1" ht="14.4" x14ac:dyDescent="0.3">
      <c r="A9505" s="1192" t="s">
        <v>199</v>
      </c>
      <c r="E9505" s="2007" t="s">
        <v>2033</v>
      </c>
      <c r="F9505" s="2007"/>
      <c r="G9505" s="578" t="s">
        <v>20</v>
      </c>
      <c r="H9505" s="564">
        <v>3.0000000000000001E-3</v>
      </c>
      <c r="K9505" s="1192" t="s">
        <v>2736</v>
      </c>
      <c r="L9505" s="1192" t="s">
        <v>2374</v>
      </c>
      <c r="P9505" s="1192" t="s">
        <v>2743</v>
      </c>
      <c r="V9505" s="1192">
        <v>55</v>
      </c>
    </row>
    <row r="9506" spans="1:22" s="1192" customFormat="1" ht="14.4" x14ac:dyDescent="0.3">
      <c r="A9506" s="1192" t="s">
        <v>199</v>
      </c>
      <c r="E9506" s="2007" t="s">
        <v>2034</v>
      </c>
      <c r="F9506" s="2007"/>
      <c r="G9506" s="578" t="s">
        <v>20</v>
      </c>
      <c r="H9506" s="564">
        <v>4.0000000000000002E-4</v>
      </c>
      <c r="K9506" s="1192" t="s">
        <v>2736</v>
      </c>
      <c r="L9506" s="1192" t="s">
        <v>2374</v>
      </c>
      <c r="P9506" s="1192" t="s">
        <v>2743</v>
      </c>
      <c r="V9506" s="1192">
        <v>65</v>
      </c>
    </row>
    <row r="9507" spans="1:22" s="1192" customFormat="1" ht="14.4" x14ac:dyDescent="0.3">
      <c r="A9507" s="1192" t="s">
        <v>199</v>
      </c>
      <c r="E9507" s="2044" t="s">
        <v>428</v>
      </c>
      <c r="F9507" s="1741"/>
      <c r="G9507" s="574" t="s">
        <v>20</v>
      </c>
      <c r="H9507" s="576">
        <v>5.0000000000000001E-4</v>
      </c>
      <c r="K9507" s="1192" t="s">
        <v>2736</v>
      </c>
      <c r="L9507" s="1192" t="s">
        <v>2374</v>
      </c>
      <c r="P9507" s="1192" t="s">
        <v>2744</v>
      </c>
      <c r="V9507" s="1192">
        <v>57</v>
      </c>
    </row>
    <row r="9508" spans="1:22" s="1192" customFormat="1" ht="14.4" x14ac:dyDescent="0.3">
      <c r="A9508" s="1192" t="s">
        <v>199</v>
      </c>
      <c r="E9508" s="2044" t="s">
        <v>28</v>
      </c>
      <c r="F9508" s="1741"/>
      <c r="G9508" s="574" t="s">
        <v>19</v>
      </c>
      <c r="H9508" s="575">
        <v>0.25</v>
      </c>
      <c r="K9508" s="1192" t="s">
        <v>2736</v>
      </c>
      <c r="L9508" s="1192" t="s">
        <v>2374</v>
      </c>
      <c r="P9508" s="1192" t="s">
        <v>2745</v>
      </c>
      <c r="V9508" s="1192">
        <v>63</v>
      </c>
    </row>
    <row r="9509" spans="1:22" s="1192" customFormat="1" ht="17.399999999999999" x14ac:dyDescent="0.3">
      <c r="A9509" s="1192" t="s">
        <v>199</v>
      </c>
      <c r="E9509" s="2045" t="s">
        <v>590</v>
      </c>
      <c r="F9509" s="1747"/>
      <c r="G9509" s="1747"/>
      <c r="H9509" s="1747"/>
      <c r="K9509" s="1192" t="s">
        <v>2746</v>
      </c>
      <c r="V9509" s="1192">
        <v>38</v>
      </c>
    </row>
    <row r="9510" spans="1:22" s="1192" customFormat="1" ht="14.4" x14ac:dyDescent="0.3">
      <c r="A9510" s="1192" t="s">
        <v>199</v>
      </c>
      <c r="E9510" s="1743" t="s">
        <v>3035</v>
      </c>
      <c r="F9510" s="1743"/>
      <c r="G9510" s="1743"/>
      <c r="H9510" s="1743"/>
      <c r="K9510" s="1192" t="s">
        <v>2746</v>
      </c>
      <c r="V9510" s="1192">
        <v>505</v>
      </c>
    </row>
    <row r="9511" spans="1:22" s="1192" customFormat="1" ht="14.4" x14ac:dyDescent="0.3">
      <c r="A9511" s="1192" t="s">
        <v>199</v>
      </c>
      <c r="E9511" s="1750" t="s">
        <v>2389</v>
      </c>
      <c r="F9511" s="1743"/>
      <c r="G9511" s="1743"/>
      <c r="H9511" s="1743"/>
      <c r="K9511" s="1192" t="s">
        <v>2444</v>
      </c>
      <c r="V9511" s="1192">
        <v>11</v>
      </c>
    </row>
    <row r="9512" spans="1:22" s="1192" customFormat="1" ht="14.4" x14ac:dyDescent="0.3">
      <c r="A9512" s="1192" t="s">
        <v>199</v>
      </c>
      <c r="E9512" s="1743" t="s">
        <v>2391</v>
      </c>
      <c r="F9512" s="1743"/>
      <c r="G9512" s="1743"/>
      <c r="H9512" s="1743"/>
      <c r="K9512" s="1192" t="s">
        <v>2746</v>
      </c>
      <c r="V9512" s="1192">
        <v>280</v>
      </c>
    </row>
    <row r="9513" spans="1:22" s="1192" customFormat="1" ht="14.4" x14ac:dyDescent="0.3">
      <c r="A9513" s="1192" t="s">
        <v>199</v>
      </c>
      <c r="E9513" s="1743" t="s">
        <v>2392</v>
      </c>
      <c r="F9513" s="1743"/>
      <c r="G9513" s="1743"/>
      <c r="H9513" s="1743"/>
      <c r="K9513" s="1192" t="s">
        <v>2746</v>
      </c>
      <c r="V9513" s="1192">
        <v>411</v>
      </c>
    </row>
    <row r="9514" spans="1:22" s="1192" customFormat="1" ht="14.4" x14ac:dyDescent="0.3">
      <c r="A9514" s="1192" t="s">
        <v>199</v>
      </c>
      <c r="E9514" s="1743" t="s">
        <v>2393</v>
      </c>
      <c r="F9514" s="1743"/>
      <c r="G9514" s="1743"/>
      <c r="H9514" s="1743"/>
      <c r="K9514" s="1192" t="s">
        <v>2746</v>
      </c>
      <c r="V9514" s="1192">
        <v>387</v>
      </c>
    </row>
    <row r="9515" spans="1:22" s="1192" customFormat="1" ht="14.4" x14ac:dyDescent="0.3">
      <c r="A9515" s="1192" t="s">
        <v>199</v>
      </c>
      <c r="E9515" s="1743" t="s">
        <v>2986</v>
      </c>
      <c r="F9515" s="1743"/>
      <c r="G9515" s="1743"/>
      <c r="H9515" s="1743"/>
      <c r="K9515" s="1192" t="s">
        <v>2746</v>
      </c>
      <c r="V9515" s="1192">
        <v>246</v>
      </c>
    </row>
    <row r="9516" spans="1:22" s="1192" customFormat="1" ht="14.4" x14ac:dyDescent="0.3">
      <c r="A9516" s="1192" t="s">
        <v>199</v>
      </c>
      <c r="E9516" s="1750" t="s">
        <v>2394</v>
      </c>
      <c r="F9516" s="1743"/>
      <c r="G9516" s="1743"/>
      <c r="H9516" s="1743"/>
      <c r="K9516" s="1192" t="s">
        <v>2446</v>
      </c>
      <c r="V9516" s="1192">
        <v>46</v>
      </c>
    </row>
    <row r="9517" spans="1:22" s="1192" customFormat="1" ht="14.4" x14ac:dyDescent="0.3">
      <c r="A9517" s="1192" t="s">
        <v>199</v>
      </c>
      <c r="E9517" s="2044" t="s">
        <v>8</v>
      </c>
      <c r="F9517" s="1741"/>
      <c r="G9517" s="574" t="s">
        <v>19</v>
      </c>
      <c r="H9517" s="1218">
        <v>2.38</v>
      </c>
      <c r="K9517" s="1192" t="s">
        <v>2746</v>
      </c>
      <c r="L9517" s="1192" t="s">
        <v>430</v>
      </c>
      <c r="P9517" s="1192" t="s">
        <v>2747</v>
      </c>
      <c r="V9517" s="1192">
        <v>31</v>
      </c>
    </row>
    <row r="9518" spans="1:22" s="1192" customFormat="1" ht="14.4" x14ac:dyDescent="0.3">
      <c r="A9518" s="1192" t="s">
        <v>199</v>
      </c>
      <c r="E9518" s="2044" t="s">
        <v>4682</v>
      </c>
      <c r="F9518" s="1741"/>
      <c r="G9518" s="574" t="s">
        <v>19</v>
      </c>
      <c r="H9518" s="1218">
        <v>0.38</v>
      </c>
      <c r="K9518" s="1192" t="s">
        <v>2746</v>
      </c>
      <c r="L9518" s="1192" t="s">
        <v>430</v>
      </c>
      <c r="P9518" s="1192" t="s">
        <v>6454</v>
      </c>
      <c r="V9518" s="1192">
        <v>142</v>
      </c>
    </row>
    <row r="9519" spans="1:22" s="1192" customFormat="1" ht="14.4" x14ac:dyDescent="0.3">
      <c r="A9519" s="1192" t="s">
        <v>199</v>
      </c>
      <c r="E9519" s="2044" t="s">
        <v>80</v>
      </c>
      <c r="F9519" s="1741"/>
      <c r="G9519" s="574" t="s">
        <v>29</v>
      </c>
      <c r="H9519" s="1219">
        <v>1.6071</v>
      </c>
      <c r="K9519" s="1192" t="s">
        <v>2746</v>
      </c>
      <c r="L9519" s="1192" t="s">
        <v>430</v>
      </c>
      <c r="P9519" s="1192" t="s">
        <v>2748</v>
      </c>
      <c r="V9519" s="1192">
        <v>28</v>
      </c>
    </row>
    <row r="9520" spans="1:22" s="1192" customFormat="1" ht="14.4" x14ac:dyDescent="0.3">
      <c r="A9520" s="1192" t="s">
        <v>199</v>
      </c>
      <c r="E9520" s="2044" t="s">
        <v>14</v>
      </c>
      <c r="F9520" s="1741"/>
      <c r="G9520" s="574" t="s">
        <v>29</v>
      </c>
      <c r="H9520" s="576">
        <v>0.73929999999999996</v>
      </c>
      <c r="K9520" s="1192" t="s">
        <v>2746</v>
      </c>
      <c r="L9520" s="1192" t="s">
        <v>431</v>
      </c>
      <c r="P9520" s="1192" t="s">
        <v>2749</v>
      </c>
      <c r="V9520" s="1192">
        <v>24</v>
      </c>
    </row>
    <row r="9521" spans="1:22" s="1192" customFormat="1" ht="14.4" x14ac:dyDescent="0.3">
      <c r="A9521" s="1192" t="s">
        <v>199</v>
      </c>
      <c r="E9521" s="2044" t="s">
        <v>4682</v>
      </c>
      <c r="F9521" s="1741"/>
      <c r="G9521" s="574" t="s">
        <v>29</v>
      </c>
      <c r="H9521" s="576">
        <v>0.25519999999999998</v>
      </c>
      <c r="K9521" s="1192" t="s">
        <v>2746</v>
      </c>
      <c r="L9521" s="1192" t="s">
        <v>430</v>
      </c>
      <c r="P9521" s="1192" t="s">
        <v>6576</v>
      </c>
      <c r="V9521" s="1192">
        <v>142</v>
      </c>
    </row>
    <row r="9522" spans="1:22" s="1192" customFormat="1" ht="14.4" x14ac:dyDescent="0.3">
      <c r="A9522" s="1192" t="s">
        <v>199</v>
      </c>
      <c r="E9522" s="2044" t="s">
        <v>213</v>
      </c>
      <c r="F9522" s="1741"/>
      <c r="G9522" s="574" t="s">
        <v>29</v>
      </c>
      <c r="H9522" s="1219">
        <v>1.9570000000000001</v>
      </c>
      <c r="K9522" s="1192" t="s">
        <v>2746</v>
      </c>
      <c r="L9522" s="1192" t="s">
        <v>432</v>
      </c>
      <c r="P9522" s="1192" t="s">
        <v>2751</v>
      </c>
      <c r="V9522" s="1192">
        <v>47</v>
      </c>
    </row>
    <row r="9523" spans="1:22" s="1192" customFormat="1" ht="14.4" x14ac:dyDescent="0.3">
      <c r="A9523" s="1192" t="s">
        <v>199</v>
      </c>
      <c r="E9523" s="2044" t="s">
        <v>209</v>
      </c>
      <c r="F9523" s="1741"/>
      <c r="G9523" s="574" t="s">
        <v>29</v>
      </c>
      <c r="H9523" s="1219">
        <v>1.6809000000000001</v>
      </c>
      <c r="K9523" s="1192" t="s">
        <v>2746</v>
      </c>
      <c r="L9523" s="1192" t="s">
        <v>432</v>
      </c>
      <c r="P9523" s="1192" t="s">
        <v>2752</v>
      </c>
      <c r="V9523" s="1192">
        <v>74</v>
      </c>
    </row>
    <row r="9524" spans="1:22" s="1192" customFormat="1" ht="14.4" x14ac:dyDescent="0.3">
      <c r="A9524" s="1192" t="s">
        <v>199</v>
      </c>
      <c r="E9524" s="1750" t="s">
        <v>2405</v>
      </c>
      <c r="F9524" s="1741"/>
      <c r="G9524" s="1741"/>
      <c r="H9524" s="1741"/>
      <c r="K9524" s="1192" t="s">
        <v>2565</v>
      </c>
      <c r="V9524" s="1192">
        <v>48</v>
      </c>
    </row>
    <row r="9525" spans="1:22" s="1192" customFormat="1" ht="14.4" x14ac:dyDescent="0.3">
      <c r="A9525" s="1192" t="s">
        <v>199</v>
      </c>
      <c r="E9525" s="2007" t="s">
        <v>2033</v>
      </c>
      <c r="F9525" s="2007"/>
      <c r="G9525" s="578" t="s">
        <v>20</v>
      </c>
      <c r="H9525" s="564">
        <v>3.0000000000000001E-3</v>
      </c>
      <c r="K9525" s="1192" t="s">
        <v>2746</v>
      </c>
      <c r="L9525" s="1192" t="s">
        <v>2374</v>
      </c>
      <c r="P9525" s="1192" t="s">
        <v>2753</v>
      </c>
      <c r="V9525" s="1192">
        <v>55</v>
      </c>
    </row>
    <row r="9526" spans="1:22" s="1192" customFormat="1" ht="14.4" x14ac:dyDescent="0.3">
      <c r="A9526" s="1192" t="s">
        <v>199</v>
      </c>
      <c r="E9526" s="2007" t="s">
        <v>2034</v>
      </c>
      <c r="F9526" s="2007"/>
      <c r="G9526" s="578" t="s">
        <v>20</v>
      </c>
      <c r="H9526" s="564">
        <v>4.0000000000000002E-4</v>
      </c>
      <c r="K9526" s="1192" t="s">
        <v>2746</v>
      </c>
      <c r="L9526" s="1192" t="s">
        <v>2374</v>
      </c>
      <c r="P9526" s="1192" t="s">
        <v>2753</v>
      </c>
      <c r="V9526" s="1192">
        <v>65</v>
      </c>
    </row>
    <row r="9527" spans="1:22" s="1192" customFormat="1" ht="14.4" x14ac:dyDescent="0.3">
      <c r="A9527" s="1192" t="s">
        <v>199</v>
      </c>
      <c r="E9527" s="2044" t="s">
        <v>428</v>
      </c>
      <c r="F9527" s="1741"/>
      <c r="G9527" s="574" t="s">
        <v>20</v>
      </c>
      <c r="H9527" s="576">
        <v>5.0000000000000001E-4</v>
      </c>
      <c r="K9527" s="1192" t="s">
        <v>2746</v>
      </c>
      <c r="L9527" s="1192" t="s">
        <v>2374</v>
      </c>
      <c r="P9527" s="1192" t="s">
        <v>2754</v>
      </c>
      <c r="V9527" s="1192">
        <v>57</v>
      </c>
    </row>
    <row r="9528" spans="1:22" s="1192" customFormat="1" ht="14.4" x14ac:dyDescent="0.3">
      <c r="A9528" s="1192" t="s">
        <v>199</v>
      </c>
      <c r="E9528" s="2044" t="s">
        <v>28</v>
      </c>
      <c r="F9528" s="1741"/>
      <c r="G9528" s="574" t="s">
        <v>19</v>
      </c>
      <c r="H9528" s="575">
        <v>0.25</v>
      </c>
      <c r="K9528" s="1192" t="s">
        <v>2746</v>
      </c>
      <c r="L9528" s="1192" t="s">
        <v>2374</v>
      </c>
      <c r="P9528" s="1192" t="s">
        <v>2755</v>
      </c>
      <c r="V9528" s="1192">
        <v>63</v>
      </c>
    </row>
    <row r="9529" spans="1:22" s="1192" customFormat="1" ht="17.399999999999999" x14ac:dyDescent="0.3">
      <c r="A9529" s="1192" t="s">
        <v>199</v>
      </c>
      <c r="E9529" s="1746" t="s">
        <v>593</v>
      </c>
      <c r="F9529" s="1747"/>
      <c r="G9529" s="1747"/>
      <c r="H9529" s="1747"/>
      <c r="K9529" s="1192" t="s">
        <v>2756</v>
      </c>
      <c r="V9529" s="1192">
        <v>31</v>
      </c>
    </row>
    <row r="9530" spans="1:22" s="1192" customFormat="1" ht="14.4" x14ac:dyDescent="0.3">
      <c r="A9530" s="1192" t="s">
        <v>199</v>
      </c>
      <c r="E9530" s="1743" t="s">
        <v>2443</v>
      </c>
      <c r="F9530" s="1743"/>
      <c r="G9530" s="1743"/>
      <c r="H9530" s="1743"/>
      <c r="K9530" s="1192" t="s">
        <v>2756</v>
      </c>
      <c r="V9530" s="1192">
        <v>286</v>
      </c>
    </row>
    <row r="9531" spans="1:22" s="1192" customFormat="1" ht="14.4" x14ac:dyDescent="0.3">
      <c r="A9531" s="1192" t="s">
        <v>199</v>
      </c>
      <c r="E9531" s="1750" t="s">
        <v>2389</v>
      </c>
      <c r="F9531" s="1743"/>
      <c r="G9531" s="1743"/>
      <c r="H9531" s="1743"/>
      <c r="K9531" s="1192" t="s">
        <v>2571</v>
      </c>
      <c r="V9531" s="1192">
        <v>11</v>
      </c>
    </row>
    <row r="9532" spans="1:22" s="1192" customFormat="1" ht="14.4" x14ac:dyDescent="0.3">
      <c r="A9532" s="1192" t="s">
        <v>199</v>
      </c>
      <c r="E9532" s="1743" t="s">
        <v>2391</v>
      </c>
      <c r="F9532" s="1743"/>
      <c r="G9532" s="1743"/>
      <c r="H9532" s="1743"/>
      <c r="K9532" s="1192" t="s">
        <v>2756</v>
      </c>
      <c r="V9532" s="1192">
        <v>280</v>
      </c>
    </row>
    <row r="9533" spans="1:22" s="1192" customFormat="1" ht="14.4" x14ac:dyDescent="0.3">
      <c r="A9533" s="1192" t="s">
        <v>199</v>
      </c>
      <c r="E9533" s="1743" t="s">
        <v>2392</v>
      </c>
      <c r="F9533" s="1743"/>
      <c r="G9533" s="1743"/>
      <c r="H9533" s="1743"/>
      <c r="K9533" s="1192" t="s">
        <v>2756</v>
      </c>
      <c r="V9533" s="1192">
        <v>411</v>
      </c>
    </row>
    <row r="9534" spans="1:22" s="1192" customFormat="1" ht="14.4" x14ac:dyDescent="0.3">
      <c r="A9534" s="1192" t="s">
        <v>199</v>
      </c>
      <c r="E9534" s="1743" t="s">
        <v>2445</v>
      </c>
      <c r="F9534" s="1743"/>
      <c r="G9534" s="1743"/>
      <c r="H9534" s="1743"/>
      <c r="K9534" s="1192" t="s">
        <v>2756</v>
      </c>
      <c r="V9534" s="1192">
        <v>211</v>
      </c>
    </row>
    <row r="9535" spans="1:22" s="1192" customFormat="1" ht="14.4" x14ac:dyDescent="0.3">
      <c r="A9535" s="1192" t="s">
        <v>199</v>
      </c>
      <c r="E9535" s="1743" t="s">
        <v>2986</v>
      </c>
      <c r="F9535" s="1743"/>
      <c r="G9535" s="1743"/>
      <c r="H9535" s="1743"/>
      <c r="K9535" s="1192" t="s">
        <v>2756</v>
      </c>
      <c r="V9535" s="1192">
        <v>246</v>
      </c>
    </row>
    <row r="9536" spans="1:22" s="1192" customFormat="1" ht="14.4" x14ac:dyDescent="0.3">
      <c r="A9536" s="1192" t="s">
        <v>199</v>
      </c>
      <c r="E9536" s="1750" t="s">
        <v>2849</v>
      </c>
      <c r="F9536" s="1743"/>
      <c r="G9536" s="1743"/>
      <c r="H9536" s="1743"/>
      <c r="K9536" s="1192" t="s">
        <v>2572</v>
      </c>
      <c r="V9536" s="1192">
        <v>47</v>
      </c>
    </row>
    <row r="9537" spans="1:22" s="1192" customFormat="1" ht="14.4" x14ac:dyDescent="0.3">
      <c r="A9537" s="1192" t="s">
        <v>199</v>
      </c>
      <c r="E9537" s="2044" t="s">
        <v>7</v>
      </c>
      <c r="F9537" s="1741"/>
      <c r="G9537" s="574" t="s">
        <v>19</v>
      </c>
      <c r="H9537" s="1218">
        <v>4.55</v>
      </c>
      <c r="K9537" s="1192" t="s">
        <v>2756</v>
      </c>
      <c r="L9537" s="1192" t="s">
        <v>430</v>
      </c>
      <c r="P9537" s="1192" t="s">
        <v>2757</v>
      </c>
      <c r="V9537" s="1192">
        <v>14</v>
      </c>
    </row>
    <row r="9538" spans="1:22" s="1192" customFormat="1" ht="17.399999999999999" x14ac:dyDescent="0.3">
      <c r="A9538" s="1192" t="s">
        <v>199</v>
      </c>
      <c r="E9538" s="1746" t="s">
        <v>81</v>
      </c>
      <c r="F9538" s="1747"/>
      <c r="G9538" s="1747"/>
      <c r="H9538" s="1747"/>
      <c r="K9538" s="1192" t="s">
        <v>3037</v>
      </c>
      <c r="V9538" s="1192">
        <v>10</v>
      </c>
    </row>
    <row r="9539" spans="1:22" s="1192" customFormat="1" ht="14.4" x14ac:dyDescent="0.3">
      <c r="A9539" s="1192" t="s">
        <v>199</v>
      </c>
      <c r="E9539" s="1741" t="s">
        <v>2449</v>
      </c>
      <c r="F9539" s="1741"/>
      <c r="G9539" s="1277" t="s">
        <v>29</v>
      </c>
      <c r="H9539" s="1219">
        <v>-0.6</v>
      </c>
      <c r="V9539" s="1192">
        <v>68</v>
      </c>
    </row>
    <row r="9540" spans="1:22" s="1192" customFormat="1" ht="14.4" x14ac:dyDescent="0.3">
      <c r="A9540" s="1192" t="s">
        <v>199</v>
      </c>
      <c r="E9540" s="1741" t="s">
        <v>2450</v>
      </c>
      <c r="F9540" s="1741"/>
      <c r="G9540" s="1277" t="s">
        <v>82</v>
      </c>
      <c r="H9540" s="1218">
        <v>-1</v>
      </c>
      <c r="V9540" s="1192">
        <v>87</v>
      </c>
    </row>
    <row r="9541" spans="1:22" s="1192" customFormat="1" ht="17.399999999999999" x14ac:dyDescent="0.3">
      <c r="A9541" s="1192" t="s">
        <v>199</v>
      </c>
      <c r="E9541" s="2045" t="s">
        <v>83</v>
      </c>
      <c r="F9541" s="1747"/>
      <c r="G9541" s="1747"/>
      <c r="H9541" s="1747"/>
      <c r="K9541" s="1192" t="s">
        <v>3038</v>
      </c>
      <c r="V9541" s="1192">
        <v>24</v>
      </c>
    </row>
    <row r="9542" spans="1:22" s="1192" customFormat="1" ht="14.4" x14ac:dyDescent="0.3">
      <c r="A9542" s="1192" t="s">
        <v>199</v>
      </c>
      <c r="E9542" s="2037" t="s">
        <v>2389</v>
      </c>
      <c r="F9542" s="1743"/>
      <c r="G9542" s="1743"/>
      <c r="H9542" s="1743"/>
      <c r="V9542" s="1192">
        <v>11</v>
      </c>
    </row>
    <row r="9543" spans="1:22" s="1192" customFormat="1" ht="14.4" x14ac:dyDescent="0.3">
      <c r="A9543" s="1192" t="s">
        <v>199</v>
      </c>
      <c r="E9543" s="1743" t="s">
        <v>2391</v>
      </c>
      <c r="F9543" s="1743"/>
      <c r="G9543" s="1743"/>
      <c r="H9543" s="1743"/>
      <c r="V9543" s="1192">
        <v>280</v>
      </c>
    </row>
    <row r="9544" spans="1:22" s="1192" customFormat="1" ht="14.4" x14ac:dyDescent="0.3">
      <c r="A9544" s="1192" t="s">
        <v>199</v>
      </c>
      <c r="E9544" s="1743" t="s">
        <v>2452</v>
      </c>
      <c r="F9544" s="1743"/>
      <c r="G9544" s="1743"/>
      <c r="H9544" s="1743"/>
      <c r="V9544" s="1192">
        <v>353</v>
      </c>
    </row>
    <row r="9545" spans="1:22" s="1192" customFormat="1" ht="14.4" x14ac:dyDescent="0.3">
      <c r="A9545" s="1192" t="s">
        <v>199</v>
      </c>
      <c r="E9545" s="1743" t="s">
        <v>2986</v>
      </c>
      <c r="F9545" s="2043"/>
      <c r="G9545" s="2043"/>
      <c r="H9545" s="2043"/>
      <c r="V9545" s="1192">
        <v>246</v>
      </c>
    </row>
    <row r="9546" spans="1:22" s="1192" customFormat="1" ht="14.4" x14ac:dyDescent="0.3">
      <c r="A9546" s="1192" t="s">
        <v>199</v>
      </c>
      <c r="E9546" s="1750" t="s">
        <v>2453</v>
      </c>
      <c r="F9546" s="2043"/>
      <c r="G9546" s="2043"/>
      <c r="H9546" s="2043"/>
      <c r="K9546" s="1192" t="s">
        <v>3039</v>
      </c>
      <c r="V9546" s="1192">
        <v>23</v>
      </c>
    </row>
    <row r="9547" spans="1:22" s="1192" customFormat="1" ht="14.4" x14ac:dyDescent="0.3">
      <c r="A9547" s="1192" t="s">
        <v>199</v>
      </c>
      <c r="E9547" s="1942" t="s">
        <v>2639</v>
      </c>
      <c r="F9547" s="1942"/>
      <c r="G9547" s="1255" t="s">
        <v>19</v>
      </c>
      <c r="H9547" s="1218">
        <v>15</v>
      </c>
      <c r="V9547" s="1192">
        <v>19</v>
      </c>
    </row>
    <row r="9548" spans="1:22" s="1192" customFormat="1" ht="14.4" x14ac:dyDescent="0.3">
      <c r="A9548" s="1192" t="s">
        <v>199</v>
      </c>
      <c r="E9548" s="1942" t="s">
        <v>2456</v>
      </c>
      <c r="F9548" s="1942"/>
      <c r="G9548" s="1277" t="s">
        <v>19</v>
      </c>
      <c r="H9548" s="1218">
        <v>15</v>
      </c>
      <c r="V9548" s="1192">
        <v>20</v>
      </c>
    </row>
    <row r="9549" spans="1:22" s="1192" customFormat="1" ht="14.4" x14ac:dyDescent="0.3">
      <c r="A9549" s="1192" t="s">
        <v>199</v>
      </c>
      <c r="E9549" s="1942" t="s">
        <v>2457</v>
      </c>
      <c r="F9549" s="1942"/>
      <c r="G9549" s="1277" t="s">
        <v>19</v>
      </c>
      <c r="H9549" s="1218">
        <v>15</v>
      </c>
      <c r="V9549" s="1192">
        <v>26</v>
      </c>
    </row>
    <row r="9550" spans="1:22" s="1192" customFormat="1" ht="14.4" x14ac:dyDescent="0.3">
      <c r="A9550" s="1192" t="s">
        <v>199</v>
      </c>
      <c r="E9550" s="1942" t="s">
        <v>2458</v>
      </c>
      <c r="F9550" s="1942"/>
      <c r="G9550" s="1277" t="s">
        <v>19</v>
      </c>
      <c r="H9550" s="1218">
        <v>15</v>
      </c>
      <c r="V9550" s="1192">
        <v>39</v>
      </c>
    </row>
    <row r="9551" spans="1:22" s="1192" customFormat="1" ht="14.4" x14ac:dyDescent="0.3">
      <c r="A9551" s="1192" t="s">
        <v>199</v>
      </c>
      <c r="E9551" s="1942" t="s">
        <v>2459</v>
      </c>
      <c r="F9551" s="1942"/>
      <c r="G9551" s="1277" t="s">
        <v>19</v>
      </c>
      <c r="H9551" s="1218">
        <v>15</v>
      </c>
      <c r="V9551" s="1192">
        <v>37</v>
      </c>
    </row>
    <row r="9552" spans="1:22" s="1192" customFormat="1" ht="14.4" x14ac:dyDescent="0.3">
      <c r="A9552" s="1192" t="s">
        <v>199</v>
      </c>
      <c r="E9552" s="1942" t="s">
        <v>2460</v>
      </c>
      <c r="F9552" s="1942"/>
      <c r="G9552" s="1277" t="s">
        <v>19</v>
      </c>
      <c r="H9552" s="1218">
        <v>15</v>
      </c>
      <c r="V9552" s="1192">
        <v>15</v>
      </c>
    </row>
    <row r="9553" spans="1:22" s="1192" customFormat="1" ht="14.4" x14ac:dyDescent="0.3">
      <c r="A9553" s="1192" t="s">
        <v>199</v>
      </c>
      <c r="E9553" s="1942" t="s">
        <v>2461</v>
      </c>
      <c r="F9553" s="1942"/>
      <c r="G9553" s="1277" t="s">
        <v>19</v>
      </c>
      <c r="H9553" s="1218">
        <v>15</v>
      </c>
      <c r="V9553" s="1192">
        <v>17</v>
      </c>
    </row>
    <row r="9554" spans="1:22" s="1192" customFormat="1" ht="14.4" x14ac:dyDescent="0.3">
      <c r="A9554" s="1192" t="s">
        <v>199</v>
      </c>
      <c r="E9554" s="1942" t="s">
        <v>2462</v>
      </c>
      <c r="F9554" s="1942"/>
      <c r="G9554" s="1277" t="s">
        <v>19</v>
      </c>
      <c r="H9554" s="1218">
        <v>15</v>
      </c>
      <c r="V9554" s="1192">
        <v>19</v>
      </c>
    </row>
    <row r="9555" spans="1:22" s="1192" customFormat="1" ht="14.4" x14ac:dyDescent="0.3">
      <c r="A9555" s="1192" t="s">
        <v>199</v>
      </c>
      <c r="E9555" s="1942" t="s">
        <v>2463</v>
      </c>
      <c r="F9555" s="1942"/>
      <c r="G9555" s="1277" t="s">
        <v>19</v>
      </c>
      <c r="H9555" s="1218">
        <v>15</v>
      </c>
      <c r="V9555" s="1192">
        <v>15</v>
      </c>
    </row>
    <row r="9556" spans="1:22" s="1192" customFormat="1" ht="14.4" x14ac:dyDescent="0.3">
      <c r="A9556" s="1192" t="s">
        <v>199</v>
      </c>
      <c r="E9556" s="1942" t="s">
        <v>2464</v>
      </c>
      <c r="F9556" s="1942"/>
      <c r="G9556" s="1277" t="s">
        <v>19</v>
      </c>
      <c r="H9556" s="1218">
        <v>15</v>
      </c>
      <c r="V9556" s="1192">
        <v>56</v>
      </c>
    </row>
    <row r="9557" spans="1:22" s="1192" customFormat="1" ht="14.4" x14ac:dyDescent="0.3">
      <c r="A9557" s="1192" t="s">
        <v>199</v>
      </c>
      <c r="E9557" s="1942" t="s">
        <v>2465</v>
      </c>
      <c r="F9557" s="1942"/>
      <c r="G9557" s="1277" t="s">
        <v>19</v>
      </c>
      <c r="H9557" s="1218">
        <v>15</v>
      </c>
      <c r="V9557" s="1192">
        <v>35</v>
      </c>
    </row>
    <row r="9558" spans="1:22" s="1192" customFormat="1" ht="14.4" x14ac:dyDescent="0.3">
      <c r="A9558" s="1192" t="s">
        <v>199</v>
      </c>
      <c r="E9558" s="1942" t="s">
        <v>2466</v>
      </c>
      <c r="F9558" s="1942"/>
      <c r="G9558" s="1277" t="s">
        <v>19</v>
      </c>
      <c r="H9558" s="1218">
        <v>15</v>
      </c>
      <c r="V9558" s="1192">
        <v>24</v>
      </c>
    </row>
    <row r="9559" spans="1:22" s="1192" customFormat="1" ht="14.4" x14ac:dyDescent="0.3">
      <c r="A9559" s="1192" t="s">
        <v>199</v>
      </c>
      <c r="E9559" s="1942" t="s">
        <v>2467</v>
      </c>
      <c r="F9559" s="1942"/>
      <c r="G9559" s="1277" t="s">
        <v>19</v>
      </c>
      <c r="H9559" s="1218">
        <v>15</v>
      </c>
      <c r="V9559" s="1192">
        <v>19</v>
      </c>
    </row>
    <row r="9560" spans="1:22" s="1192" customFormat="1" ht="14.4" x14ac:dyDescent="0.3">
      <c r="A9560" s="1192" t="s">
        <v>199</v>
      </c>
      <c r="E9560" s="1942" t="s">
        <v>84</v>
      </c>
      <c r="F9560" s="1942"/>
      <c r="G9560" s="1277" t="s">
        <v>19</v>
      </c>
      <c r="H9560" s="1218">
        <v>30</v>
      </c>
      <c r="V9560" s="1192">
        <v>89</v>
      </c>
    </row>
    <row r="9561" spans="1:22" s="1192" customFormat="1" ht="14.4" x14ac:dyDescent="0.3">
      <c r="A9561" s="1192" t="s">
        <v>199</v>
      </c>
      <c r="E9561" s="1942" t="s">
        <v>90</v>
      </c>
      <c r="F9561" s="1942"/>
      <c r="G9561" s="1277" t="s">
        <v>19</v>
      </c>
      <c r="H9561" s="1218">
        <v>30</v>
      </c>
      <c r="V9561" s="1192">
        <v>19</v>
      </c>
    </row>
    <row r="9562" spans="1:22" s="1192" customFormat="1" ht="14.4" x14ac:dyDescent="0.3">
      <c r="A9562" s="1192" t="s">
        <v>199</v>
      </c>
      <c r="E9562" s="1942" t="s">
        <v>88</v>
      </c>
      <c r="F9562" s="1942"/>
      <c r="G9562" s="1277" t="s">
        <v>19</v>
      </c>
      <c r="H9562" s="1218">
        <v>30</v>
      </c>
      <c r="V9562" s="1192">
        <v>74</v>
      </c>
    </row>
    <row r="9563" spans="1:22" s="1192" customFormat="1" ht="14.4" x14ac:dyDescent="0.3">
      <c r="A9563" s="1192" t="s">
        <v>199</v>
      </c>
      <c r="E9563" s="1750" t="s">
        <v>4607</v>
      </c>
      <c r="F9563" s="2043"/>
      <c r="G9563" s="2043"/>
      <c r="H9563" s="2043"/>
      <c r="V9563" s="1192">
        <v>39</v>
      </c>
    </row>
    <row r="9564" spans="1:22" s="1192" customFormat="1" ht="14.4" x14ac:dyDescent="0.3">
      <c r="A9564" s="1192" t="s">
        <v>199</v>
      </c>
      <c r="E9564" s="1942" t="s">
        <v>2470</v>
      </c>
      <c r="F9564" s="1942"/>
      <c r="G9564" s="1280"/>
      <c r="H9564" s="840"/>
      <c r="V9564" s="1192">
        <v>24</v>
      </c>
    </row>
    <row r="9565" spans="1:22" s="1192" customFormat="1" ht="14.4" x14ac:dyDescent="0.3">
      <c r="A9565" s="1192" t="s">
        <v>199</v>
      </c>
      <c r="E9565" s="1942" t="s">
        <v>6577</v>
      </c>
      <c r="F9565" s="1942"/>
      <c r="G9565" s="1280" t="s">
        <v>82</v>
      </c>
      <c r="H9565" s="509">
        <v>1.5</v>
      </c>
      <c r="V9565" s="1192">
        <v>75</v>
      </c>
    </row>
    <row r="9566" spans="1:22" s="1192" customFormat="1" ht="14.4" x14ac:dyDescent="0.3">
      <c r="A9566" s="1192" t="s">
        <v>199</v>
      </c>
      <c r="E9566" s="1942" t="s">
        <v>5894</v>
      </c>
      <c r="F9566" s="1942"/>
      <c r="G9566" s="1280" t="s">
        <v>19</v>
      </c>
      <c r="H9566" s="509">
        <v>65</v>
      </c>
      <c r="V9566" s="1192">
        <v>44</v>
      </c>
    </row>
    <row r="9567" spans="1:22" s="1192" customFormat="1" ht="14.4" x14ac:dyDescent="0.3">
      <c r="A9567" s="1192" t="s">
        <v>199</v>
      </c>
      <c r="E9567" s="1942" t="s">
        <v>5895</v>
      </c>
      <c r="F9567" s="1942"/>
      <c r="G9567" s="1280" t="s">
        <v>19</v>
      </c>
      <c r="H9567" s="509">
        <v>185</v>
      </c>
      <c r="V9567" s="1192">
        <v>43</v>
      </c>
    </row>
    <row r="9568" spans="1:22" s="1192" customFormat="1" ht="14.4" x14ac:dyDescent="0.3">
      <c r="A9568" s="1192" t="s">
        <v>199</v>
      </c>
      <c r="E9568" s="1942" t="s">
        <v>5896</v>
      </c>
      <c r="F9568" s="1942"/>
      <c r="G9568" s="1280" t="s">
        <v>19</v>
      </c>
      <c r="H9568" s="509">
        <v>185</v>
      </c>
      <c r="V9568" s="1192">
        <v>43</v>
      </c>
    </row>
    <row r="9569" spans="1:22" s="1192" customFormat="1" ht="14.4" x14ac:dyDescent="0.3">
      <c r="A9569" s="1192" t="s">
        <v>199</v>
      </c>
      <c r="E9569" s="1942" t="s">
        <v>5897</v>
      </c>
      <c r="F9569" s="1942"/>
      <c r="G9569" s="1280" t="s">
        <v>19</v>
      </c>
      <c r="H9569" s="509">
        <v>415</v>
      </c>
      <c r="V9569" s="1192">
        <v>42</v>
      </c>
    </row>
    <row r="9570" spans="1:22" s="1192" customFormat="1" ht="14.4" x14ac:dyDescent="0.3">
      <c r="A9570" s="1192" t="s">
        <v>199</v>
      </c>
      <c r="E9570" s="1750" t="s">
        <v>3040</v>
      </c>
      <c r="F9570" s="2179"/>
      <c r="G9570" s="2179"/>
      <c r="H9570" s="2179"/>
      <c r="V9570" s="1192">
        <v>6</v>
      </c>
    </row>
    <row r="9571" spans="1:22" s="1192" customFormat="1" ht="14.4" x14ac:dyDescent="0.3">
      <c r="A9571" s="1192" t="s">
        <v>199</v>
      </c>
      <c r="E9571" s="1942" t="s">
        <v>2477</v>
      </c>
      <c r="F9571" s="1942"/>
      <c r="G9571" s="1280" t="s">
        <v>19</v>
      </c>
      <c r="H9571" s="509">
        <v>30</v>
      </c>
      <c r="V9571" s="1192">
        <v>39</v>
      </c>
    </row>
    <row r="9572" spans="1:22" s="1192" customFormat="1" ht="14.4" x14ac:dyDescent="0.3">
      <c r="A9572" s="1192" t="s">
        <v>199</v>
      </c>
      <c r="E9572" s="1942" t="s">
        <v>2478</v>
      </c>
      <c r="F9572" s="1942"/>
      <c r="G9572" s="1280" t="s">
        <v>19</v>
      </c>
      <c r="H9572" s="509">
        <v>165</v>
      </c>
      <c r="V9572" s="1192">
        <v>34</v>
      </c>
    </row>
    <row r="9573" spans="1:22" s="1192" customFormat="1" ht="14.4" x14ac:dyDescent="0.3">
      <c r="A9573" s="1192" t="s">
        <v>199</v>
      </c>
      <c r="E9573" s="1942" t="s">
        <v>3041</v>
      </c>
      <c r="F9573" s="1942"/>
      <c r="G9573" s="1280" t="s">
        <v>19</v>
      </c>
      <c r="H9573" s="509">
        <v>500</v>
      </c>
      <c r="V9573" s="1192">
        <v>62</v>
      </c>
    </row>
    <row r="9574" spans="1:22" s="1192" customFormat="1" ht="14.4" x14ac:dyDescent="0.3">
      <c r="A9574" s="1192" t="s">
        <v>199</v>
      </c>
      <c r="E9574" s="1942" t="s">
        <v>2480</v>
      </c>
      <c r="F9574" s="1942"/>
      <c r="G9574" s="1280" t="s">
        <v>19</v>
      </c>
      <c r="H9574" s="509">
        <v>300</v>
      </c>
      <c r="V9574" s="1192">
        <v>65</v>
      </c>
    </row>
    <row r="9575" spans="1:22" s="1192" customFormat="1" ht="14.4" x14ac:dyDescent="0.3">
      <c r="A9575" s="1192" t="s">
        <v>199</v>
      </c>
      <c r="E9575" s="1942" t="s">
        <v>2481</v>
      </c>
      <c r="F9575" s="1942"/>
      <c r="G9575" s="843" t="s">
        <v>19</v>
      </c>
      <c r="H9575" s="509">
        <v>1000</v>
      </c>
      <c r="V9575" s="1192">
        <v>64</v>
      </c>
    </row>
    <row r="9576" spans="1:22" s="1192" customFormat="1" ht="14.4" x14ac:dyDescent="0.3">
      <c r="A9576" s="1192" t="s">
        <v>199</v>
      </c>
      <c r="E9576" s="1942" t="s">
        <v>2760</v>
      </c>
      <c r="F9576" s="1942"/>
      <c r="G9576" s="843" t="s">
        <v>19</v>
      </c>
      <c r="H9576" s="509">
        <v>44.5</v>
      </c>
      <c r="V9576" s="1192">
        <v>59</v>
      </c>
    </row>
    <row r="9577" spans="1:22" s="1192" customFormat="1" ht="14.4" x14ac:dyDescent="0.3">
      <c r="A9577" s="1192" t="s">
        <v>199</v>
      </c>
      <c r="E9577" s="1942" t="s">
        <v>2476</v>
      </c>
      <c r="F9577" s="1942"/>
      <c r="G9577" s="1745"/>
      <c r="H9577" s="1745"/>
      <c r="V9577" s="1192">
        <v>44</v>
      </c>
    </row>
    <row r="9578" spans="1:22" s="1192" customFormat="1" ht="14.4" x14ac:dyDescent="0.3">
      <c r="A9578" s="1192" t="s">
        <v>199</v>
      </c>
      <c r="E9578" s="1942" t="s">
        <v>3042</v>
      </c>
      <c r="F9578" s="1942"/>
      <c r="G9578" s="843" t="s">
        <v>19</v>
      </c>
      <c r="H9578" s="509">
        <v>20</v>
      </c>
      <c r="V9578" s="1192">
        <v>21</v>
      </c>
    </row>
    <row r="9579" spans="1:22" s="1192" customFormat="1" ht="17.399999999999999" x14ac:dyDescent="0.3">
      <c r="A9579" s="1192" t="s">
        <v>199</v>
      </c>
      <c r="E9579" s="1746" t="s">
        <v>73</v>
      </c>
      <c r="F9579" s="1747"/>
      <c r="G9579" s="1747"/>
      <c r="H9579" s="1747"/>
      <c r="K9579" s="1192" t="s">
        <v>3043</v>
      </c>
      <c r="V9579" s="1192">
        <v>38</v>
      </c>
    </row>
    <row r="9580" spans="1:22" s="1192" customFormat="1" ht="14.4" x14ac:dyDescent="0.3">
      <c r="A9580" s="1192" t="s">
        <v>199</v>
      </c>
      <c r="E9580" s="2037" t="s">
        <v>2389</v>
      </c>
      <c r="F9580" s="1743"/>
      <c r="G9580" s="1743"/>
      <c r="H9580" s="1743"/>
      <c r="K9580" s="1192" t="s">
        <v>2571</v>
      </c>
      <c r="V9580" s="1192">
        <v>11</v>
      </c>
    </row>
    <row r="9581" spans="1:22" s="1192" customFormat="1" ht="14.4" x14ac:dyDescent="0.3">
      <c r="A9581" s="1192" t="s">
        <v>199</v>
      </c>
      <c r="E9581" s="1743" t="s">
        <v>2391</v>
      </c>
      <c r="F9581" s="1743"/>
      <c r="G9581" s="1743"/>
      <c r="H9581" s="1743"/>
      <c r="V9581" s="1192">
        <v>280</v>
      </c>
    </row>
    <row r="9582" spans="1:22" s="1192" customFormat="1" ht="14.4" x14ac:dyDescent="0.3">
      <c r="A9582" s="1192" t="s">
        <v>199</v>
      </c>
      <c r="E9582" s="1743" t="s">
        <v>2392</v>
      </c>
      <c r="F9582" s="1743"/>
      <c r="G9582" s="1743"/>
      <c r="H9582" s="1743"/>
      <c r="V9582" s="1192">
        <v>411</v>
      </c>
    </row>
    <row r="9583" spans="1:22" s="1192" customFormat="1" ht="14.4" x14ac:dyDescent="0.3">
      <c r="A9583" s="1192" t="s">
        <v>199</v>
      </c>
      <c r="E9583" s="1743" t="s">
        <v>2445</v>
      </c>
      <c r="F9583" s="1743"/>
      <c r="G9583" s="1743"/>
      <c r="H9583" s="1743"/>
      <c r="V9583" s="1192">
        <v>211</v>
      </c>
    </row>
    <row r="9584" spans="1:22" s="1192" customFormat="1" ht="14.4" x14ac:dyDescent="0.3">
      <c r="A9584" s="1192" t="s">
        <v>199</v>
      </c>
      <c r="E9584" s="1743" t="s">
        <v>2986</v>
      </c>
      <c r="F9584" s="1743"/>
      <c r="G9584" s="1743"/>
      <c r="H9584" s="1743"/>
      <c r="V9584" s="1192">
        <v>246</v>
      </c>
    </row>
    <row r="9585" spans="1:22" s="1192" customFormat="1" ht="14.4" x14ac:dyDescent="0.3">
      <c r="A9585" s="1192" t="s">
        <v>199</v>
      </c>
      <c r="E9585" s="1741" t="s">
        <v>2595</v>
      </c>
      <c r="F9585" s="1741"/>
      <c r="G9585" s="2043"/>
      <c r="H9585" s="2043"/>
      <c r="V9585" s="1192">
        <v>142</v>
      </c>
    </row>
    <row r="9586" spans="1:22" s="1192" customFormat="1" ht="14.4" x14ac:dyDescent="0.3">
      <c r="A9586" s="1192" t="s">
        <v>199</v>
      </c>
      <c r="E9586" s="1741" t="s">
        <v>2485</v>
      </c>
      <c r="F9586" s="1741"/>
      <c r="G9586" s="1280" t="s">
        <v>19</v>
      </c>
      <c r="H9586" s="509">
        <v>102</v>
      </c>
      <c r="V9586" s="1192">
        <v>106</v>
      </c>
    </row>
    <row r="9587" spans="1:22" s="1192" customFormat="1" ht="14.4" x14ac:dyDescent="0.3">
      <c r="A9587" s="1192" t="s">
        <v>199</v>
      </c>
      <c r="E9587" s="1741" t="s">
        <v>2486</v>
      </c>
      <c r="F9587" s="1741"/>
      <c r="G9587" s="1280" t="s">
        <v>19</v>
      </c>
      <c r="H9587" s="509">
        <v>40.799999999999997</v>
      </c>
      <c r="V9587" s="1192">
        <v>34</v>
      </c>
    </row>
    <row r="9588" spans="1:22" s="1192" customFormat="1" ht="14.4" x14ac:dyDescent="0.3">
      <c r="A9588" s="1192" t="s">
        <v>199</v>
      </c>
      <c r="E9588" s="1741" t="s">
        <v>2487</v>
      </c>
      <c r="F9588" s="1741"/>
      <c r="G9588" s="1280" t="s">
        <v>2488</v>
      </c>
      <c r="H9588" s="509">
        <v>1.02</v>
      </c>
      <c r="V9588" s="1192">
        <v>51</v>
      </c>
    </row>
    <row r="9589" spans="1:22" s="1192" customFormat="1" ht="14.4" x14ac:dyDescent="0.3">
      <c r="A9589" s="1192" t="s">
        <v>199</v>
      </c>
      <c r="E9589" s="1741" t="s">
        <v>2489</v>
      </c>
      <c r="F9589" s="1741"/>
      <c r="G9589" s="1280" t="s">
        <v>2488</v>
      </c>
      <c r="H9589" s="509">
        <v>0.61</v>
      </c>
      <c r="V9589" s="1192">
        <v>75</v>
      </c>
    </row>
    <row r="9590" spans="1:22" s="1192" customFormat="1" ht="14.4" x14ac:dyDescent="0.3">
      <c r="A9590" s="1192" t="s">
        <v>199</v>
      </c>
      <c r="E9590" s="1941" t="s">
        <v>2490</v>
      </c>
      <c r="F9590" s="1941"/>
      <c r="G9590" s="1280" t="s">
        <v>2488</v>
      </c>
      <c r="H9590" s="509">
        <v>-0.61</v>
      </c>
      <c r="V9590" s="1192">
        <v>72</v>
      </c>
    </row>
    <row r="9591" spans="1:22" s="1192" customFormat="1" ht="14.4" x14ac:dyDescent="0.3">
      <c r="A9591" s="1192" t="s">
        <v>199</v>
      </c>
      <c r="E9591" s="1941" t="s">
        <v>2596</v>
      </c>
      <c r="F9591" s="1941"/>
      <c r="G9591" s="2248"/>
      <c r="H9591" s="2248"/>
      <c r="V9591" s="1192">
        <v>34</v>
      </c>
    </row>
    <row r="9592" spans="1:22" s="1192" customFormat="1" ht="14.4" x14ac:dyDescent="0.3">
      <c r="A9592" s="1192" t="s">
        <v>199</v>
      </c>
      <c r="E9592" s="1941" t="s">
        <v>2492</v>
      </c>
      <c r="F9592" s="1941"/>
      <c r="G9592" s="1280" t="s">
        <v>19</v>
      </c>
      <c r="H9592" s="509">
        <v>0.51</v>
      </c>
      <c r="V9592" s="1192">
        <v>57</v>
      </c>
    </row>
    <row r="9593" spans="1:22" s="1192" customFormat="1" ht="14.4" x14ac:dyDescent="0.3">
      <c r="A9593" s="1192" t="s">
        <v>199</v>
      </c>
      <c r="E9593" s="1741" t="s">
        <v>2493</v>
      </c>
      <c r="F9593" s="1741"/>
      <c r="G9593" s="1280" t="s">
        <v>19</v>
      </c>
      <c r="H9593" s="509">
        <v>1.02</v>
      </c>
      <c r="V9593" s="1192">
        <v>60</v>
      </c>
    </row>
    <row r="9594" spans="1:22" s="1192" customFormat="1" ht="14.4" x14ac:dyDescent="0.3">
      <c r="A9594" s="1192" t="s">
        <v>199</v>
      </c>
      <c r="E9594" s="1741" t="s">
        <v>2878</v>
      </c>
      <c r="F9594" s="1741"/>
      <c r="G9594" s="2043"/>
      <c r="H9594" s="2043"/>
      <c r="V9594" s="1192">
        <v>92</v>
      </c>
    </row>
    <row r="9595" spans="1:22" s="1192" customFormat="1" ht="14.4" x14ac:dyDescent="0.3">
      <c r="A9595" s="1192" t="s">
        <v>199</v>
      </c>
      <c r="E9595" s="1941" t="s">
        <v>2879</v>
      </c>
      <c r="F9595" s="1941"/>
      <c r="G9595" s="2248"/>
      <c r="H9595" s="2248"/>
      <c r="V9595" s="1192">
        <v>97</v>
      </c>
    </row>
    <row r="9596" spans="1:22" s="1192" customFormat="1" ht="14.4" x14ac:dyDescent="0.3">
      <c r="A9596" s="1192" t="s">
        <v>199</v>
      </c>
      <c r="E9596" s="1941" t="s">
        <v>2597</v>
      </c>
      <c r="F9596" s="1941"/>
      <c r="G9596" s="2248"/>
      <c r="H9596" s="2248"/>
      <c r="V9596" s="1192">
        <v>77</v>
      </c>
    </row>
    <row r="9597" spans="1:22" s="1192" customFormat="1" ht="14.4" x14ac:dyDescent="0.3">
      <c r="A9597" s="1192" t="s">
        <v>199</v>
      </c>
      <c r="E9597" s="1941" t="s">
        <v>2497</v>
      </c>
      <c r="F9597" s="1941"/>
      <c r="G9597" s="591"/>
      <c r="H9597" s="840" t="s">
        <v>2498</v>
      </c>
      <c r="V9597" s="1192">
        <v>18</v>
      </c>
    </row>
    <row r="9598" spans="1:22" s="1192" customFormat="1" ht="14.4" x14ac:dyDescent="0.3">
      <c r="A9598" s="1192" t="s">
        <v>199</v>
      </c>
      <c r="E9598" s="1741" t="s">
        <v>2499</v>
      </c>
      <c r="F9598" s="2043"/>
      <c r="G9598" s="1280" t="s">
        <v>19</v>
      </c>
      <c r="H9598" s="509">
        <v>4.08</v>
      </c>
      <c r="V9598" s="1192">
        <v>69</v>
      </c>
    </row>
    <row r="9599" spans="1:22" s="1192" customFormat="1" ht="14.4" x14ac:dyDescent="0.3">
      <c r="A9599" s="1192" t="s">
        <v>199</v>
      </c>
      <c r="E9599" s="1741" t="s">
        <v>4608</v>
      </c>
      <c r="F9599" s="1741"/>
      <c r="G9599" s="1280" t="s">
        <v>19</v>
      </c>
      <c r="H9599" s="509">
        <v>2.04</v>
      </c>
      <c r="V9599" s="1192">
        <v>199</v>
      </c>
    </row>
    <row r="9600" spans="1:22" s="1192" customFormat="1" ht="17.399999999999999" x14ac:dyDescent="0.3">
      <c r="A9600" s="1192" t="s">
        <v>199</v>
      </c>
      <c r="E9600" s="1746" t="s">
        <v>143</v>
      </c>
      <c r="F9600" s="1747"/>
      <c r="G9600" s="1747"/>
      <c r="H9600" s="1747"/>
      <c r="K9600" s="1192" t="s">
        <v>3044</v>
      </c>
      <c r="V9600" s="1192">
        <v>12</v>
      </c>
    </row>
    <row r="9601" spans="1:22" s="1192" customFormat="1" ht="14.4" x14ac:dyDescent="0.3">
      <c r="A9601" s="1192" t="s">
        <v>199</v>
      </c>
      <c r="E9601" s="1741" t="s">
        <v>2501</v>
      </c>
      <c r="F9601" s="1741"/>
      <c r="G9601" s="1741"/>
      <c r="H9601" s="1741"/>
      <c r="V9601" s="1192">
        <v>203</v>
      </c>
    </row>
    <row r="9602" spans="1:22" s="1192" customFormat="1" ht="14.4" x14ac:dyDescent="0.3">
      <c r="A9602" s="1192" t="s">
        <v>199</v>
      </c>
      <c r="E9602" s="1741" t="s">
        <v>2599</v>
      </c>
      <c r="F9602" s="1741"/>
      <c r="G9602" s="1277"/>
      <c r="H9602" s="564">
        <v>1.056</v>
      </c>
      <c r="V9602" s="1192">
        <v>57</v>
      </c>
    </row>
    <row r="9603" spans="1:22" s="1192" customFormat="1" ht="14.4" x14ac:dyDescent="0.3">
      <c r="A9603" s="1192" t="s">
        <v>199</v>
      </c>
      <c r="E9603" s="1741" t="s">
        <v>2601</v>
      </c>
      <c r="F9603" s="1741"/>
      <c r="G9603" s="1277"/>
      <c r="H9603" s="837">
        <v>1.0455000000000001</v>
      </c>
      <c r="J9603" s="1192" t="s">
        <v>3045</v>
      </c>
      <c r="V9603" s="1192">
        <v>55</v>
      </c>
    </row>
    <row r="9604" spans="1:22" s="1192" customFormat="1" ht="22.8" x14ac:dyDescent="0.3">
      <c r="A9604" s="1192" t="s">
        <v>4745</v>
      </c>
      <c r="C9604" s="1192" t="s">
        <v>2378</v>
      </c>
      <c r="E9604" s="1752" t="s">
        <v>4745</v>
      </c>
      <c r="F9604" s="1752"/>
      <c r="G9604" s="1752"/>
      <c r="H9604" s="1752"/>
      <c r="I9604" s="1192" t="s">
        <v>603</v>
      </c>
      <c r="J9604" s="1192" t="s">
        <v>4746</v>
      </c>
      <c r="K9604" s="1192" t="s">
        <v>4745</v>
      </c>
      <c r="M9604" s="1192">
        <v>7</v>
      </c>
      <c r="V9604" s="1192">
        <v>34</v>
      </c>
    </row>
    <row r="9605" spans="1:22" s="1192" customFormat="1" ht="17.399999999999999" x14ac:dyDescent="0.3">
      <c r="A9605" s="1192" t="s">
        <v>4745</v>
      </c>
      <c r="C9605" s="1192" t="s">
        <v>2380</v>
      </c>
      <c r="E9605" s="1753" t="s">
        <v>2381</v>
      </c>
      <c r="F9605" s="1753"/>
      <c r="G9605" s="1753"/>
      <c r="H9605" s="1753"/>
      <c r="V9605" s="1192">
        <v>27</v>
      </c>
    </row>
    <row r="9606" spans="1:22" s="1192" customFormat="1" ht="15.6" x14ac:dyDescent="0.3">
      <c r="A9606" s="1192" t="s">
        <v>4745</v>
      </c>
      <c r="C9606" s="1192" t="s">
        <v>2382</v>
      </c>
      <c r="E9606" s="1754" t="s">
        <v>6482</v>
      </c>
      <c r="F9606" s="1754"/>
      <c r="G9606" s="1754"/>
      <c r="H9606" s="1754"/>
      <c r="S9606" s="1192">
        <v>43952</v>
      </c>
      <c r="V9606" s="1192">
        <v>45</v>
      </c>
    </row>
    <row r="9607" spans="1:22" s="1192" customFormat="1" ht="14.4" x14ac:dyDescent="0.3">
      <c r="A9607" s="1192" t="s">
        <v>4745</v>
      </c>
      <c r="C9607" s="1192" t="s">
        <v>2383</v>
      </c>
      <c r="E9607" s="1755" t="s">
        <v>2842</v>
      </c>
      <c r="F9607" s="1755"/>
      <c r="G9607" s="1755"/>
      <c r="H9607" s="1755"/>
      <c r="V9607" s="1192">
        <v>53</v>
      </c>
    </row>
    <row r="9608" spans="1:22" s="1192" customFormat="1" ht="14.4" x14ac:dyDescent="0.3">
      <c r="A9608" s="1192" t="s">
        <v>4745</v>
      </c>
      <c r="E9608" s="1755" t="s">
        <v>2385</v>
      </c>
      <c r="F9608" s="1755"/>
      <c r="G9608" s="1755"/>
      <c r="H9608" s="1755"/>
      <c r="V9608" s="1192">
        <v>53</v>
      </c>
    </row>
    <row r="9609" spans="1:22" s="1192" customFormat="1" ht="14.4" x14ac:dyDescent="0.3">
      <c r="A9609" s="1192" t="s">
        <v>4745</v>
      </c>
      <c r="E9609" s="1772" t="s">
        <v>6578</v>
      </c>
      <c r="F9609" s="1772"/>
      <c r="G9609" s="1772"/>
      <c r="H9609" s="1772"/>
      <c r="K9609" s="1192" t="s">
        <v>6578</v>
      </c>
      <c r="V9609" s="1192">
        <v>12</v>
      </c>
    </row>
    <row r="9610" spans="1:22" s="1192" customFormat="1" ht="14.4" x14ac:dyDescent="0.3">
      <c r="A9610" s="1192" t="s">
        <v>4745</v>
      </c>
      <c r="E9610" s="2045" t="s">
        <v>427</v>
      </c>
      <c r="F9610" s="1743"/>
      <c r="G9610" s="1743"/>
      <c r="H9610" s="1743"/>
      <c r="K9610" s="1192" t="s">
        <v>2506</v>
      </c>
      <c r="V9610" s="1192">
        <v>34</v>
      </c>
    </row>
    <row r="9611" spans="1:22" s="1192" customFormat="1" ht="14.4" x14ac:dyDescent="0.3">
      <c r="A9611" s="1192" t="s">
        <v>4745</v>
      </c>
      <c r="E9611" s="1743" t="s">
        <v>3046</v>
      </c>
      <c r="F9611" s="1743"/>
      <c r="G9611" s="1743"/>
      <c r="H9611" s="1743"/>
      <c r="K9611" s="1192" t="s">
        <v>2506</v>
      </c>
      <c r="V9611" s="1192">
        <v>361</v>
      </c>
    </row>
    <row r="9612" spans="1:22" s="1192" customFormat="1" ht="14.4" x14ac:dyDescent="0.3">
      <c r="A9612" s="1192" t="s">
        <v>4745</v>
      </c>
      <c r="E9612" s="1750" t="s">
        <v>2389</v>
      </c>
      <c r="F9612" s="1743"/>
      <c r="G9612" s="1743"/>
      <c r="H9612" s="1743"/>
      <c r="K9612" s="1192" t="s">
        <v>2390</v>
      </c>
      <c r="V9612" s="1192">
        <v>11</v>
      </c>
    </row>
    <row r="9613" spans="1:22" s="1192" customFormat="1" ht="14.4" x14ac:dyDescent="0.3">
      <c r="A9613" s="1192" t="s">
        <v>4745</v>
      </c>
      <c r="E9613" s="1743" t="s">
        <v>2391</v>
      </c>
      <c r="F9613" s="1743"/>
      <c r="G9613" s="1743"/>
      <c r="H9613" s="1743"/>
      <c r="K9613" s="1192" t="s">
        <v>2506</v>
      </c>
      <c r="V9613" s="1192">
        <v>280</v>
      </c>
    </row>
    <row r="9614" spans="1:22" s="1192" customFormat="1" ht="14.4" x14ac:dyDescent="0.3">
      <c r="A9614" s="1192" t="s">
        <v>4745</v>
      </c>
      <c r="E9614" s="1743" t="s">
        <v>2392</v>
      </c>
      <c r="F9614" s="1743"/>
      <c r="G9614" s="1743"/>
      <c r="H9614" s="1743"/>
      <c r="K9614" s="1192" t="s">
        <v>2506</v>
      </c>
      <c r="V9614" s="1192">
        <v>411</v>
      </c>
    </row>
    <row r="9615" spans="1:22" s="1192" customFormat="1" ht="14.4" x14ac:dyDescent="0.3">
      <c r="A9615" s="1192" t="s">
        <v>4745</v>
      </c>
      <c r="E9615" s="1743" t="s">
        <v>2393</v>
      </c>
      <c r="F9615" s="1743"/>
      <c r="G9615" s="1743"/>
      <c r="H9615" s="1743"/>
      <c r="K9615" s="1192" t="s">
        <v>2506</v>
      </c>
      <c r="V9615" s="1192">
        <v>387</v>
      </c>
    </row>
    <row r="9616" spans="1:22" s="1192" customFormat="1" ht="14.4" x14ac:dyDescent="0.3">
      <c r="A9616" s="1192" t="s">
        <v>4745</v>
      </c>
      <c r="E9616" s="1743" t="s">
        <v>2986</v>
      </c>
      <c r="F9616" s="1743"/>
      <c r="G9616" s="1743"/>
      <c r="H9616" s="1743"/>
      <c r="K9616" s="1192" t="s">
        <v>2506</v>
      </c>
      <c r="V9616" s="1192">
        <v>246</v>
      </c>
    </row>
    <row r="9617" spans="1:22" s="1192" customFormat="1" ht="14.4" x14ac:dyDescent="0.3">
      <c r="A9617" s="1192" t="s">
        <v>4745</v>
      </c>
      <c r="E9617" s="1750" t="s">
        <v>2394</v>
      </c>
      <c r="F9617" s="1743"/>
      <c r="G9617" s="1743"/>
      <c r="H9617" s="1743"/>
      <c r="K9617" s="1192" t="s">
        <v>2395</v>
      </c>
      <c r="V9617" s="1192">
        <v>46</v>
      </c>
    </row>
    <row r="9618" spans="1:22" s="1192" customFormat="1" ht="14.4" x14ac:dyDescent="0.3">
      <c r="A9618" s="1192" t="s">
        <v>4745</v>
      </c>
      <c r="E9618" s="2044" t="s">
        <v>7</v>
      </c>
      <c r="F9618" s="1741"/>
      <c r="G9618" s="574" t="s">
        <v>19</v>
      </c>
      <c r="H9618" s="1218">
        <v>24.73</v>
      </c>
      <c r="K9618" s="1192" t="s">
        <v>2506</v>
      </c>
      <c r="L9618" s="1192" t="s">
        <v>430</v>
      </c>
      <c r="P9618" s="1192" t="s">
        <v>2510</v>
      </c>
      <c r="V9618" s="1192">
        <v>14</v>
      </c>
    </row>
    <row r="9619" spans="1:22" s="1192" customFormat="1" ht="14.4" x14ac:dyDescent="0.3">
      <c r="A9619" s="1192" t="s">
        <v>4745</v>
      </c>
      <c r="E9619" s="2044" t="s">
        <v>3900</v>
      </c>
      <c r="F9619" s="1741"/>
      <c r="G9619" s="574" t="s">
        <v>19</v>
      </c>
      <c r="H9619" s="575">
        <v>0.56999999999999995</v>
      </c>
      <c r="K9619" s="1192" t="s">
        <v>2506</v>
      </c>
      <c r="L9619" s="1192" t="s">
        <v>431</v>
      </c>
      <c r="P9619" s="1192" t="s">
        <v>2511</v>
      </c>
      <c r="T9619" s="1192">
        <v>44926</v>
      </c>
      <c r="V9619" s="1192">
        <v>64</v>
      </c>
    </row>
    <row r="9620" spans="1:22" s="1192" customFormat="1" ht="14.4" x14ac:dyDescent="0.3">
      <c r="A9620" s="1192" t="s">
        <v>4745</v>
      </c>
      <c r="E9620" s="2044" t="s">
        <v>14</v>
      </c>
      <c r="F9620" s="1741"/>
      <c r="G9620" s="574" t="s">
        <v>20</v>
      </c>
      <c r="H9620" s="576">
        <v>6.9999999999999999E-4</v>
      </c>
      <c r="K9620" s="1192" t="s">
        <v>2506</v>
      </c>
      <c r="L9620" s="1192" t="s">
        <v>431</v>
      </c>
      <c r="P9620" s="1192" t="s">
        <v>2513</v>
      </c>
      <c r="V9620" s="1192">
        <v>24</v>
      </c>
    </row>
    <row r="9621" spans="1:22" s="1192" customFormat="1" ht="14.4" x14ac:dyDescent="0.3">
      <c r="A9621" s="1192" t="s">
        <v>4745</v>
      </c>
      <c r="E9621" s="2044" t="s">
        <v>6506</v>
      </c>
      <c r="F9621" s="1998"/>
      <c r="G9621" s="574" t="s">
        <v>20</v>
      </c>
      <c r="H9621" s="576">
        <v>5.9999999999999995E-4</v>
      </c>
      <c r="K9621" s="1192" t="s">
        <v>2506</v>
      </c>
      <c r="L9621" s="1192" t="s">
        <v>431</v>
      </c>
      <c r="P9621" s="1192" t="s">
        <v>2514</v>
      </c>
      <c r="T9621" s="1192">
        <v>44316</v>
      </c>
      <c r="V9621" s="1192">
        <v>139</v>
      </c>
    </row>
    <row r="9622" spans="1:22" s="1192" customFormat="1" ht="14.4" x14ac:dyDescent="0.3">
      <c r="A9622" s="1192" t="s">
        <v>4745</v>
      </c>
      <c r="E9622" s="2044" t="s">
        <v>6508</v>
      </c>
      <c r="F9622" s="1998"/>
      <c r="G9622" s="574" t="s">
        <v>20</v>
      </c>
      <c r="H9622" s="576">
        <v>1.5E-3</v>
      </c>
      <c r="K9622" s="1192" t="s">
        <v>2506</v>
      </c>
      <c r="L9622" s="1192" t="s">
        <v>431</v>
      </c>
      <c r="P9622" s="1192" t="s">
        <v>2516</v>
      </c>
      <c r="T9622" s="1192">
        <v>44316</v>
      </c>
      <c r="V9622" s="1192">
        <v>96</v>
      </c>
    </row>
    <row r="9623" spans="1:22" s="1192" customFormat="1" ht="14.4" x14ac:dyDescent="0.3">
      <c r="A9623" s="1192" t="s">
        <v>4745</v>
      </c>
      <c r="E9623" s="2044" t="s">
        <v>213</v>
      </c>
      <c r="F9623" s="1741"/>
      <c r="G9623" s="574" t="s">
        <v>20</v>
      </c>
      <c r="H9623" s="1219">
        <v>6.4999999999999997E-3</v>
      </c>
      <c r="K9623" s="1192" t="s">
        <v>2506</v>
      </c>
      <c r="L9623" s="1192" t="s">
        <v>432</v>
      </c>
      <c r="P9623" s="1192" t="s">
        <v>2517</v>
      </c>
      <c r="V9623" s="1192">
        <v>47</v>
      </c>
    </row>
    <row r="9624" spans="1:22" s="1192" customFormat="1" ht="14.4" x14ac:dyDescent="0.3">
      <c r="A9624" s="1192" t="s">
        <v>4745</v>
      </c>
      <c r="E9624" s="2044" t="s">
        <v>209</v>
      </c>
      <c r="F9624" s="1741"/>
      <c r="G9624" s="574" t="s">
        <v>20</v>
      </c>
      <c r="H9624" s="1219">
        <v>5.8999999999999999E-3</v>
      </c>
      <c r="K9624" s="1192" t="s">
        <v>2506</v>
      </c>
      <c r="L9624" s="1192" t="s">
        <v>432</v>
      </c>
      <c r="P9624" s="1192" t="s">
        <v>2518</v>
      </c>
      <c r="V9624" s="1192">
        <v>74</v>
      </c>
    </row>
    <row r="9625" spans="1:22" s="1192" customFormat="1" ht="14.4" x14ac:dyDescent="0.3">
      <c r="A9625" s="1192" t="s">
        <v>4745</v>
      </c>
      <c r="E9625" s="1750" t="s">
        <v>2405</v>
      </c>
      <c r="F9625" s="1741"/>
      <c r="G9625" s="1741"/>
      <c r="H9625" s="1741"/>
      <c r="K9625" s="1192" t="s">
        <v>2406</v>
      </c>
      <c r="V9625" s="1192">
        <v>48</v>
      </c>
    </row>
    <row r="9626" spans="1:22" s="1192" customFormat="1" ht="14.4" x14ac:dyDescent="0.3">
      <c r="A9626" s="1192" t="s">
        <v>4745</v>
      </c>
      <c r="E9626" s="1741" t="s">
        <v>2033</v>
      </c>
      <c r="F9626" s="1741"/>
      <c r="G9626" s="574" t="s">
        <v>20</v>
      </c>
      <c r="H9626" s="576">
        <v>3.0000000000000001E-3</v>
      </c>
      <c r="K9626" s="1192" t="s">
        <v>2506</v>
      </c>
      <c r="L9626" s="1192" t="s">
        <v>2374</v>
      </c>
      <c r="P9626" s="1192" t="s">
        <v>2519</v>
      </c>
      <c r="V9626" s="1192">
        <v>55</v>
      </c>
    </row>
    <row r="9627" spans="1:22" s="1192" customFormat="1" ht="14.4" x14ac:dyDescent="0.3">
      <c r="A9627" s="1192" t="s">
        <v>4745</v>
      </c>
      <c r="E9627" s="1741" t="s">
        <v>2034</v>
      </c>
      <c r="F9627" s="1741"/>
      <c r="G9627" s="1277" t="s">
        <v>20</v>
      </c>
      <c r="H9627" s="1219">
        <v>4.0000000000000002E-4</v>
      </c>
      <c r="K9627" s="1192" t="s">
        <v>2506</v>
      </c>
      <c r="L9627" s="1192" t="s">
        <v>2374</v>
      </c>
      <c r="P9627" s="1192" t="s">
        <v>2519</v>
      </c>
      <c r="V9627" s="1192">
        <v>65</v>
      </c>
    </row>
    <row r="9628" spans="1:22" s="1192" customFormat="1" ht="14.4" x14ac:dyDescent="0.3">
      <c r="A9628" s="1192" t="s">
        <v>4745</v>
      </c>
      <c r="E9628" s="2044" t="s">
        <v>428</v>
      </c>
      <c r="F9628" s="1741"/>
      <c r="G9628" s="574" t="s">
        <v>20</v>
      </c>
      <c r="H9628" s="576">
        <v>5.0000000000000001E-4</v>
      </c>
      <c r="K9628" s="1192" t="s">
        <v>2506</v>
      </c>
      <c r="L9628" s="1192" t="s">
        <v>2374</v>
      </c>
      <c r="P9628" s="1192" t="s">
        <v>2520</v>
      </c>
      <c r="V9628" s="1192">
        <v>57</v>
      </c>
    </row>
    <row r="9629" spans="1:22" s="1192" customFormat="1" ht="14.4" x14ac:dyDescent="0.3">
      <c r="A9629" s="1192" t="s">
        <v>4745</v>
      </c>
      <c r="E9629" s="2044" t="s">
        <v>28</v>
      </c>
      <c r="F9629" s="1741"/>
      <c r="G9629" s="574" t="s">
        <v>19</v>
      </c>
      <c r="H9629" s="575">
        <v>0.25</v>
      </c>
      <c r="K9629" s="1192" t="s">
        <v>2506</v>
      </c>
      <c r="L9629" s="1192" t="s">
        <v>2374</v>
      </c>
      <c r="P9629" s="1192" t="s">
        <v>2521</v>
      </c>
      <c r="V9629" s="1192">
        <v>63</v>
      </c>
    </row>
    <row r="9630" spans="1:22" s="1192" customFormat="1" ht="17.399999999999999" x14ac:dyDescent="0.3">
      <c r="A9630" s="1192" t="s">
        <v>4745</v>
      </c>
      <c r="E9630" s="2045" t="s">
        <v>2522</v>
      </c>
      <c r="F9630" s="1747"/>
      <c r="G9630" s="1747"/>
      <c r="H9630" s="1747"/>
      <c r="K9630" s="1192" t="s">
        <v>3901</v>
      </c>
      <c r="V9630" s="1192">
        <v>54</v>
      </c>
    </row>
    <row r="9631" spans="1:22" s="1192" customFormat="1" ht="14.4" x14ac:dyDescent="0.3">
      <c r="A9631" s="1192" t="s">
        <v>4745</v>
      </c>
      <c r="E9631" s="1743" t="s">
        <v>3047</v>
      </c>
      <c r="F9631" s="1743"/>
      <c r="G9631" s="1743"/>
      <c r="H9631" s="1743"/>
      <c r="K9631" s="1192" t="s">
        <v>3901</v>
      </c>
      <c r="V9631" s="1192">
        <v>314</v>
      </c>
    </row>
    <row r="9632" spans="1:22" s="1192" customFormat="1" ht="14.4" x14ac:dyDescent="0.3">
      <c r="A9632" s="1192" t="s">
        <v>4745</v>
      </c>
      <c r="E9632" s="1750" t="s">
        <v>2389</v>
      </c>
      <c r="F9632" s="1743"/>
      <c r="G9632" s="1743"/>
      <c r="H9632" s="1743"/>
      <c r="K9632" s="1192" t="s">
        <v>2412</v>
      </c>
      <c r="V9632" s="1192">
        <v>11</v>
      </c>
    </row>
    <row r="9633" spans="1:22" s="1192" customFormat="1" ht="14.4" x14ac:dyDescent="0.3">
      <c r="A9633" s="1192" t="s">
        <v>4745</v>
      </c>
      <c r="E9633" s="1743" t="s">
        <v>2391</v>
      </c>
      <c r="F9633" s="1743"/>
      <c r="G9633" s="1743"/>
      <c r="H9633" s="1743"/>
      <c r="K9633" s="1192" t="s">
        <v>3901</v>
      </c>
      <c r="V9633" s="1192">
        <v>280</v>
      </c>
    </row>
    <row r="9634" spans="1:22" s="1192" customFormat="1" ht="14.4" x14ac:dyDescent="0.3">
      <c r="A9634" s="1192" t="s">
        <v>4745</v>
      </c>
      <c r="E9634" s="1743" t="s">
        <v>2392</v>
      </c>
      <c r="F9634" s="1743"/>
      <c r="G9634" s="1743"/>
      <c r="H9634" s="1743"/>
      <c r="K9634" s="1192" t="s">
        <v>3901</v>
      </c>
      <c r="V9634" s="1192">
        <v>411</v>
      </c>
    </row>
    <row r="9635" spans="1:22" s="1192" customFormat="1" ht="14.4" x14ac:dyDescent="0.3">
      <c r="A9635" s="1192" t="s">
        <v>4745</v>
      </c>
      <c r="E9635" s="1743" t="s">
        <v>2393</v>
      </c>
      <c r="F9635" s="1743"/>
      <c r="G9635" s="1743"/>
      <c r="H9635" s="1743"/>
      <c r="K9635" s="1192" t="s">
        <v>3901</v>
      </c>
      <c r="V9635" s="1192">
        <v>387</v>
      </c>
    </row>
    <row r="9636" spans="1:22" s="1192" customFormat="1" ht="14.4" x14ac:dyDescent="0.3">
      <c r="A9636" s="1192" t="s">
        <v>4745</v>
      </c>
      <c r="E9636" s="1743" t="s">
        <v>2986</v>
      </c>
      <c r="F9636" s="1743"/>
      <c r="G9636" s="1743"/>
      <c r="H9636" s="1743"/>
      <c r="K9636" s="1192" t="s">
        <v>3901</v>
      </c>
      <c r="V9636" s="1192">
        <v>246</v>
      </c>
    </row>
    <row r="9637" spans="1:22" s="1192" customFormat="1" ht="14.4" x14ac:dyDescent="0.3">
      <c r="A9637" s="1192" t="s">
        <v>4745</v>
      </c>
      <c r="E9637" s="1750" t="s">
        <v>2394</v>
      </c>
      <c r="F9637" s="1743"/>
      <c r="G9637" s="1743"/>
      <c r="H9637" s="1743"/>
      <c r="K9637" s="1192" t="s">
        <v>2413</v>
      </c>
      <c r="V9637" s="1192">
        <v>46</v>
      </c>
    </row>
    <row r="9638" spans="1:22" s="1192" customFormat="1" ht="14.4" x14ac:dyDescent="0.3">
      <c r="A9638" s="1192" t="s">
        <v>4745</v>
      </c>
      <c r="E9638" s="2044" t="s">
        <v>7</v>
      </c>
      <c r="F9638" s="1741"/>
      <c r="G9638" s="574" t="s">
        <v>19</v>
      </c>
      <c r="H9638" s="1218">
        <v>19.420000000000002</v>
      </c>
      <c r="K9638" s="1192" t="s">
        <v>3901</v>
      </c>
      <c r="L9638" s="1192" t="s">
        <v>430</v>
      </c>
      <c r="P9638" s="1192" t="s">
        <v>3902</v>
      </c>
      <c r="V9638" s="1192">
        <v>14</v>
      </c>
    </row>
    <row r="9639" spans="1:22" s="1192" customFormat="1" ht="14.4" x14ac:dyDescent="0.3">
      <c r="A9639" s="1192" t="s">
        <v>4745</v>
      </c>
      <c r="E9639" s="2044" t="s">
        <v>3900</v>
      </c>
      <c r="F9639" s="1741"/>
      <c r="G9639" s="574" t="s">
        <v>19</v>
      </c>
      <c r="H9639" s="575">
        <v>0.56999999999999995</v>
      </c>
      <c r="K9639" s="1192" t="s">
        <v>3901</v>
      </c>
      <c r="L9639" s="1192" t="s">
        <v>431</v>
      </c>
      <c r="P9639" s="1192" t="s">
        <v>3903</v>
      </c>
      <c r="T9639" s="1192">
        <v>44926</v>
      </c>
      <c r="V9639" s="1192">
        <v>64</v>
      </c>
    </row>
    <row r="9640" spans="1:22" s="1192" customFormat="1" ht="14.4" x14ac:dyDescent="0.3">
      <c r="A9640" s="1192" t="s">
        <v>4745</v>
      </c>
      <c r="E9640" s="2044" t="s">
        <v>80</v>
      </c>
      <c r="F9640" s="1741"/>
      <c r="G9640" s="574" t="s">
        <v>20</v>
      </c>
      <c r="H9640" s="1219">
        <v>6.6E-3</v>
      </c>
      <c r="K9640" s="1192" t="s">
        <v>3901</v>
      </c>
      <c r="L9640" s="1192" t="s">
        <v>430</v>
      </c>
      <c r="P9640" s="1192" t="s">
        <v>3904</v>
      </c>
      <c r="V9640" s="1192">
        <v>28</v>
      </c>
    </row>
    <row r="9641" spans="1:22" s="1192" customFormat="1" ht="14.4" x14ac:dyDescent="0.3">
      <c r="A9641" s="1192" t="s">
        <v>4745</v>
      </c>
      <c r="E9641" s="2044" t="s">
        <v>14</v>
      </c>
      <c r="F9641" s="1741"/>
      <c r="G9641" s="574" t="s">
        <v>20</v>
      </c>
      <c r="H9641" s="576">
        <v>5.9999999999999995E-4</v>
      </c>
      <c r="K9641" s="1192" t="s">
        <v>3901</v>
      </c>
      <c r="L9641" s="1192" t="s">
        <v>431</v>
      </c>
      <c r="P9641" s="1192" t="s">
        <v>3905</v>
      </c>
      <c r="V9641" s="1192">
        <v>24</v>
      </c>
    </row>
    <row r="9642" spans="1:22" s="1192" customFormat="1" ht="14.4" x14ac:dyDescent="0.3">
      <c r="A9642" s="1192" t="s">
        <v>4745</v>
      </c>
      <c r="E9642" s="2044" t="s">
        <v>6506</v>
      </c>
      <c r="F9642" s="1998"/>
      <c r="G9642" s="574" t="s">
        <v>20</v>
      </c>
      <c r="H9642" s="576">
        <v>5.9999999999999995E-4</v>
      </c>
      <c r="K9642" s="1192" t="s">
        <v>3901</v>
      </c>
      <c r="L9642" s="1192" t="s">
        <v>431</v>
      </c>
      <c r="P9642" s="1192" t="s">
        <v>3700</v>
      </c>
      <c r="T9642" s="1192">
        <v>44316</v>
      </c>
      <c r="V9642" s="1192">
        <v>139</v>
      </c>
    </row>
    <row r="9643" spans="1:22" s="1192" customFormat="1" ht="14.4" x14ac:dyDescent="0.3">
      <c r="A9643" s="1192" t="s">
        <v>4745</v>
      </c>
      <c r="E9643" s="2044" t="s">
        <v>6508</v>
      </c>
      <c r="F9643" s="1998"/>
      <c r="G9643" s="574" t="s">
        <v>20</v>
      </c>
      <c r="H9643" s="576">
        <v>1.5E-3</v>
      </c>
      <c r="K9643" s="1192" t="s">
        <v>3901</v>
      </c>
      <c r="L9643" s="1192" t="s">
        <v>431</v>
      </c>
      <c r="P9643" s="1192" t="s">
        <v>3911</v>
      </c>
      <c r="T9643" s="1192">
        <v>44316</v>
      </c>
      <c r="V9643" s="1192">
        <v>96</v>
      </c>
    </row>
    <row r="9644" spans="1:22" s="1192" customFormat="1" ht="14.4" x14ac:dyDescent="0.3">
      <c r="A9644" s="1192" t="s">
        <v>4745</v>
      </c>
      <c r="E9644" s="2044" t="s">
        <v>213</v>
      </c>
      <c r="F9644" s="1741"/>
      <c r="G9644" s="574" t="s">
        <v>20</v>
      </c>
      <c r="H9644" s="1219">
        <v>6.1000000000000004E-3</v>
      </c>
      <c r="K9644" s="1192" t="s">
        <v>3901</v>
      </c>
      <c r="L9644" s="1192" t="s">
        <v>432</v>
      </c>
      <c r="P9644" s="1192" t="s">
        <v>3906</v>
      </c>
      <c r="V9644" s="1192">
        <v>47</v>
      </c>
    </row>
    <row r="9645" spans="1:22" s="1192" customFormat="1" ht="14.4" x14ac:dyDescent="0.3">
      <c r="A9645" s="1192" t="s">
        <v>4745</v>
      </c>
      <c r="E9645" s="2044" t="s">
        <v>209</v>
      </c>
      <c r="F9645" s="1741"/>
      <c r="G9645" s="574" t="s">
        <v>20</v>
      </c>
      <c r="H9645" s="1219">
        <v>5.1999999999999998E-3</v>
      </c>
      <c r="K9645" s="1192" t="s">
        <v>3901</v>
      </c>
      <c r="L9645" s="1192" t="s">
        <v>432</v>
      </c>
      <c r="P9645" s="1192" t="s">
        <v>3907</v>
      </c>
      <c r="V9645" s="1192">
        <v>74</v>
      </c>
    </row>
    <row r="9646" spans="1:22" s="1192" customFormat="1" ht="14.4" x14ac:dyDescent="0.3">
      <c r="A9646" s="1192" t="s">
        <v>4745</v>
      </c>
      <c r="E9646" s="1750" t="s">
        <v>2405</v>
      </c>
      <c r="F9646" s="1741"/>
      <c r="G9646" s="1741"/>
      <c r="H9646" s="1741"/>
      <c r="K9646" s="1192" t="s">
        <v>2418</v>
      </c>
      <c r="V9646" s="1192">
        <v>48</v>
      </c>
    </row>
    <row r="9647" spans="1:22" s="1192" customFormat="1" ht="14.4" x14ac:dyDescent="0.3">
      <c r="A9647" s="1192" t="s">
        <v>4745</v>
      </c>
      <c r="E9647" s="1741" t="s">
        <v>2033</v>
      </c>
      <c r="F9647" s="1741"/>
      <c r="G9647" s="574" t="s">
        <v>20</v>
      </c>
      <c r="H9647" s="576">
        <v>3.0000000000000001E-3</v>
      </c>
      <c r="K9647" s="1192" t="s">
        <v>3901</v>
      </c>
      <c r="L9647" s="1192" t="s">
        <v>2374</v>
      </c>
      <c r="P9647" s="1192" t="s">
        <v>3908</v>
      </c>
      <c r="V9647" s="1192">
        <v>55</v>
      </c>
    </row>
    <row r="9648" spans="1:22" s="1192" customFormat="1" ht="14.4" x14ac:dyDescent="0.3">
      <c r="A9648" s="1192" t="s">
        <v>4745</v>
      </c>
      <c r="E9648" s="1741" t="s">
        <v>2034</v>
      </c>
      <c r="F9648" s="1741"/>
      <c r="G9648" s="1277" t="s">
        <v>20</v>
      </c>
      <c r="H9648" s="1219">
        <v>4.0000000000000002E-4</v>
      </c>
      <c r="K9648" s="1192" t="s">
        <v>3901</v>
      </c>
      <c r="L9648" s="1192" t="s">
        <v>2374</v>
      </c>
      <c r="P9648" s="1192" t="s">
        <v>3908</v>
      </c>
      <c r="V9648" s="1192">
        <v>65</v>
      </c>
    </row>
    <row r="9649" spans="1:22" s="1192" customFormat="1" ht="14.4" x14ac:dyDescent="0.3">
      <c r="A9649" s="1192" t="s">
        <v>4745</v>
      </c>
      <c r="E9649" s="2044" t="s">
        <v>428</v>
      </c>
      <c r="F9649" s="1741"/>
      <c r="G9649" s="574" t="s">
        <v>20</v>
      </c>
      <c r="H9649" s="576">
        <v>5.0000000000000001E-4</v>
      </c>
      <c r="K9649" s="1192" t="s">
        <v>3901</v>
      </c>
      <c r="L9649" s="1192" t="s">
        <v>2374</v>
      </c>
      <c r="P9649" s="1192" t="s">
        <v>3909</v>
      </c>
      <c r="V9649" s="1192">
        <v>57</v>
      </c>
    </row>
    <row r="9650" spans="1:22" s="1192" customFormat="1" ht="14.4" x14ac:dyDescent="0.3">
      <c r="A9650" s="1192" t="s">
        <v>4745</v>
      </c>
      <c r="E9650" s="2044" t="s">
        <v>28</v>
      </c>
      <c r="F9650" s="1741"/>
      <c r="G9650" s="574" t="s">
        <v>19</v>
      </c>
      <c r="H9650" s="575">
        <v>0.25</v>
      </c>
      <c r="K9650" s="1192" t="s">
        <v>3901</v>
      </c>
      <c r="L9650" s="1192" t="s">
        <v>2374</v>
      </c>
      <c r="P9650" s="1192" t="s">
        <v>3910</v>
      </c>
      <c r="V9650" s="1192">
        <v>63</v>
      </c>
    </row>
    <row r="9651" spans="1:22" s="1192" customFormat="1" ht="17.399999999999999" x14ac:dyDescent="0.3">
      <c r="A9651" s="1192" t="s">
        <v>4745</v>
      </c>
      <c r="E9651" s="2045" t="s">
        <v>3048</v>
      </c>
      <c r="F9651" s="1747"/>
      <c r="G9651" s="1747"/>
      <c r="H9651" s="1747"/>
      <c r="K9651" s="1192" t="s">
        <v>4113</v>
      </c>
      <c r="V9651" s="1192">
        <v>53</v>
      </c>
    </row>
    <row r="9652" spans="1:22" s="1192" customFormat="1" ht="14.4" x14ac:dyDescent="0.3">
      <c r="A9652" s="1192" t="s">
        <v>4745</v>
      </c>
      <c r="E9652" s="1743" t="s">
        <v>3049</v>
      </c>
      <c r="F9652" s="1743"/>
      <c r="G9652" s="1743"/>
      <c r="H9652" s="1743"/>
      <c r="K9652" s="1192" t="s">
        <v>4113</v>
      </c>
      <c r="V9652" s="1192">
        <v>346</v>
      </c>
    </row>
    <row r="9653" spans="1:22" s="1192" customFormat="1" ht="14.4" x14ac:dyDescent="0.3">
      <c r="A9653" s="1192" t="s">
        <v>4745</v>
      </c>
      <c r="E9653" s="1750" t="s">
        <v>2389</v>
      </c>
      <c r="F9653" s="1743"/>
      <c r="G9653" s="1743"/>
      <c r="H9653" s="1743"/>
      <c r="K9653" s="1192" t="s">
        <v>2422</v>
      </c>
      <c r="V9653" s="1192">
        <v>11</v>
      </c>
    </row>
    <row r="9654" spans="1:22" s="1192" customFormat="1" ht="14.4" x14ac:dyDescent="0.3">
      <c r="A9654" s="1192" t="s">
        <v>4745</v>
      </c>
      <c r="E9654" s="1743" t="s">
        <v>2391</v>
      </c>
      <c r="F9654" s="1743"/>
      <c r="G9654" s="1743"/>
      <c r="H9654" s="1743"/>
      <c r="K9654" s="1192" t="s">
        <v>4113</v>
      </c>
      <c r="V9654" s="1192">
        <v>280</v>
      </c>
    </row>
    <row r="9655" spans="1:22" s="1192" customFormat="1" ht="14.4" x14ac:dyDescent="0.3">
      <c r="A9655" s="1192" t="s">
        <v>4745</v>
      </c>
      <c r="E9655" s="1743" t="s">
        <v>2392</v>
      </c>
      <c r="F9655" s="1743"/>
      <c r="G9655" s="1743"/>
      <c r="H9655" s="1743"/>
      <c r="K9655" s="1192" t="s">
        <v>4113</v>
      </c>
      <c r="V9655" s="1192">
        <v>411</v>
      </c>
    </row>
    <row r="9656" spans="1:22" s="1192" customFormat="1" ht="14.4" x14ac:dyDescent="0.3">
      <c r="A9656" s="1192" t="s">
        <v>4745</v>
      </c>
      <c r="E9656" s="1743" t="s">
        <v>2393</v>
      </c>
      <c r="F9656" s="1743"/>
      <c r="G9656" s="1743"/>
      <c r="H9656" s="1743"/>
      <c r="K9656" s="1192" t="s">
        <v>4113</v>
      </c>
      <c r="V9656" s="1192">
        <v>387</v>
      </c>
    </row>
    <row r="9657" spans="1:22" s="1192" customFormat="1" ht="14.4" x14ac:dyDescent="0.3">
      <c r="A9657" s="1192" t="s">
        <v>4745</v>
      </c>
      <c r="E9657" s="1743" t="s">
        <v>4632</v>
      </c>
      <c r="F9657" s="1743"/>
      <c r="G9657" s="1743"/>
      <c r="H9657" s="1743"/>
      <c r="K9657" s="1192" t="s">
        <v>4113</v>
      </c>
      <c r="V9657" s="1192">
        <v>680</v>
      </c>
    </row>
    <row r="9658" spans="1:22" s="1192" customFormat="1" ht="14.4" x14ac:dyDescent="0.3">
      <c r="A9658" s="1192" t="s">
        <v>4745</v>
      </c>
      <c r="E9658" s="1743" t="s">
        <v>4504</v>
      </c>
      <c r="F9658" s="1743"/>
      <c r="G9658" s="1743"/>
      <c r="H9658" s="1743"/>
      <c r="K9658" s="1192" t="s">
        <v>4113</v>
      </c>
      <c r="V9658" s="1192">
        <v>725</v>
      </c>
    </row>
    <row r="9659" spans="1:22" s="1192" customFormat="1" ht="14.4" x14ac:dyDescent="0.3">
      <c r="A9659" s="1192" t="s">
        <v>4745</v>
      </c>
      <c r="E9659" s="1743" t="s">
        <v>2986</v>
      </c>
      <c r="F9659" s="1743"/>
      <c r="G9659" s="1743"/>
      <c r="H9659" s="1743"/>
      <c r="K9659" s="1192" t="s">
        <v>4113</v>
      </c>
      <c r="V9659" s="1192">
        <v>246</v>
      </c>
    </row>
    <row r="9660" spans="1:22" s="1192" customFormat="1" ht="14.4" x14ac:dyDescent="0.3">
      <c r="A9660" s="1192" t="s">
        <v>4745</v>
      </c>
      <c r="E9660" s="1750" t="s">
        <v>2394</v>
      </c>
      <c r="F9660" s="1743"/>
      <c r="G9660" s="1743"/>
      <c r="H9660" s="1743"/>
      <c r="K9660" s="1192" t="s">
        <v>2423</v>
      </c>
      <c r="V9660" s="1192">
        <v>46</v>
      </c>
    </row>
    <row r="9661" spans="1:22" s="1192" customFormat="1" ht="14.4" x14ac:dyDescent="0.3">
      <c r="A9661" s="1192" t="s">
        <v>4745</v>
      </c>
      <c r="E9661" s="2044" t="s">
        <v>7</v>
      </c>
      <c r="F9661" s="1741"/>
      <c r="G9661" s="574" t="s">
        <v>19</v>
      </c>
      <c r="H9661" s="1218">
        <v>58.19</v>
      </c>
      <c r="K9661" s="1192" t="s">
        <v>4113</v>
      </c>
      <c r="L9661" s="1192" t="s">
        <v>430</v>
      </c>
      <c r="P9661" s="1192" t="s">
        <v>4114</v>
      </c>
      <c r="V9661" s="1192">
        <v>14</v>
      </c>
    </row>
    <row r="9662" spans="1:22" s="1192" customFormat="1" ht="14.4" x14ac:dyDescent="0.3">
      <c r="A9662" s="1192" t="s">
        <v>4745</v>
      </c>
      <c r="E9662" s="2044" t="s">
        <v>80</v>
      </c>
      <c r="F9662" s="1741"/>
      <c r="G9662" s="574" t="s">
        <v>29</v>
      </c>
      <c r="H9662" s="1219">
        <v>1.831</v>
      </c>
      <c r="K9662" s="1192" t="s">
        <v>4113</v>
      </c>
      <c r="L9662" s="1192" t="s">
        <v>430</v>
      </c>
      <c r="P9662" s="1192" t="s">
        <v>4115</v>
      </c>
      <c r="V9662" s="1192">
        <v>28</v>
      </c>
    </row>
    <row r="9663" spans="1:22" s="1192" customFormat="1" ht="14.4" x14ac:dyDescent="0.3">
      <c r="A9663" s="1192" t="s">
        <v>4745</v>
      </c>
      <c r="E9663" s="2044" t="s">
        <v>14</v>
      </c>
      <c r="F9663" s="1741"/>
      <c r="G9663" s="574" t="s">
        <v>29</v>
      </c>
      <c r="H9663" s="576">
        <v>0.2296</v>
      </c>
      <c r="K9663" s="1192" t="s">
        <v>4113</v>
      </c>
      <c r="L9663" s="1192" t="s">
        <v>431</v>
      </c>
      <c r="P9663" s="1192" t="s">
        <v>4116</v>
      </c>
      <c r="V9663" s="1192">
        <v>24</v>
      </c>
    </row>
    <row r="9664" spans="1:22" s="1192" customFormat="1" ht="14.4" x14ac:dyDescent="0.3">
      <c r="A9664" s="1192" t="s">
        <v>4745</v>
      </c>
      <c r="E9664" s="2044" t="s">
        <v>6506</v>
      </c>
      <c r="F9664" s="1998"/>
      <c r="G9664" s="574" t="s">
        <v>20</v>
      </c>
      <c r="H9664" s="576">
        <v>5.9999999999999995E-4</v>
      </c>
      <c r="K9664" s="1192" t="s">
        <v>4113</v>
      </c>
      <c r="L9664" s="1192" t="s">
        <v>431</v>
      </c>
      <c r="P9664" s="1192" t="s">
        <v>4117</v>
      </c>
      <c r="T9664" s="1192">
        <v>44316</v>
      </c>
      <c r="V9664" s="1192">
        <v>139</v>
      </c>
    </row>
    <row r="9665" spans="1:22" s="1192" customFormat="1" ht="14.4" x14ac:dyDescent="0.3">
      <c r="A9665" s="1192" t="s">
        <v>4745</v>
      </c>
      <c r="E9665" s="2044" t="s">
        <v>6508</v>
      </c>
      <c r="F9665" s="1998"/>
      <c r="G9665" s="574" t="s">
        <v>29</v>
      </c>
      <c r="H9665" s="576">
        <v>0.56950000000000001</v>
      </c>
      <c r="K9665" s="1192" t="s">
        <v>4113</v>
      </c>
      <c r="L9665" s="1192" t="s">
        <v>431</v>
      </c>
      <c r="P9665" s="1192" t="s">
        <v>4118</v>
      </c>
      <c r="T9665" s="1192">
        <v>44316</v>
      </c>
      <c r="V9665" s="1192">
        <v>96</v>
      </c>
    </row>
    <row r="9666" spans="1:22" s="1192" customFormat="1" ht="14.4" x14ac:dyDescent="0.3">
      <c r="A9666" s="1192" t="s">
        <v>4745</v>
      </c>
      <c r="E9666" s="2044" t="s">
        <v>213</v>
      </c>
      <c r="F9666" s="1741"/>
      <c r="G9666" s="574" t="s">
        <v>29</v>
      </c>
      <c r="H9666" s="1219">
        <v>2.4893999999999998</v>
      </c>
      <c r="K9666" s="1192" t="s">
        <v>4113</v>
      </c>
      <c r="L9666" s="1192" t="s">
        <v>432</v>
      </c>
      <c r="P9666" s="1192" t="s">
        <v>4119</v>
      </c>
      <c r="V9666" s="1192">
        <v>47</v>
      </c>
    </row>
    <row r="9667" spans="1:22" s="1192" customFormat="1" ht="14.4" x14ac:dyDescent="0.3">
      <c r="A9667" s="1192" t="s">
        <v>4745</v>
      </c>
      <c r="E9667" s="2044" t="s">
        <v>2847</v>
      </c>
      <c r="F9667" s="1741"/>
      <c r="G9667" s="574" t="s">
        <v>29</v>
      </c>
      <c r="H9667" s="1219">
        <v>2.1063000000000001</v>
      </c>
      <c r="K9667" s="1192" t="s">
        <v>4113</v>
      </c>
      <c r="L9667" s="1192" t="s">
        <v>432</v>
      </c>
      <c r="P9667" s="1192" t="s">
        <v>4159</v>
      </c>
      <c r="V9667" s="1192">
        <v>75</v>
      </c>
    </row>
    <row r="9668" spans="1:22" s="1192" customFormat="1" ht="14.4" x14ac:dyDescent="0.3">
      <c r="A9668" s="1192" t="s">
        <v>4745</v>
      </c>
      <c r="E9668" s="1750" t="s">
        <v>2405</v>
      </c>
      <c r="F9668" s="1741"/>
      <c r="G9668" s="1741"/>
      <c r="H9668" s="1741"/>
      <c r="K9668" s="1192" t="s">
        <v>2526</v>
      </c>
      <c r="V9668" s="1192">
        <v>48</v>
      </c>
    </row>
    <row r="9669" spans="1:22" s="1192" customFormat="1" ht="14.4" x14ac:dyDescent="0.3">
      <c r="A9669" s="1192" t="s">
        <v>4745</v>
      </c>
      <c r="E9669" s="1741" t="s">
        <v>2033</v>
      </c>
      <c r="F9669" s="1741"/>
      <c r="G9669" s="574" t="s">
        <v>20</v>
      </c>
      <c r="H9669" s="576">
        <v>3.0000000000000001E-3</v>
      </c>
      <c r="K9669" s="1192" t="s">
        <v>4113</v>
      </c>
      <c r="L9669" s="1192" t="s">
        <v>2374</v>
      </c>
      <c r="P9669" s="1192" t="s">
        <v>4120</v>
      </c>
      <c r="V9669" s="1192">
        <v>55</v>
      </c>
    </row>
    <row r="9670" spans="1:22" s="1192" customFormat="1" ht="14.4" x14ac:dyDescent="0.3">
      <c r="A9670" s="1192" t="s">
        <v>4745</v>
      </c>
      <c r="E9670" s="1741" t="s">
        <v>2034</v>
      </c>
      <c r="F9670" s="1741"/>
      <c r="G9670" s="1277" t="s">
        <v>20</v>
      </c>
      <c r="H9670" s="1219">
        <v>4.0000000000000002E-4</v>
      </c>
      <c r="K9670" s="1192" t="s">
        <v>4113</v>
      </c>
      <c r="L9670" s="1192" t="s">
        <v>2374</v>
      </c>
      <c r="P9670" s="1192" t="s">
        <v>4120</v>
      </c>
      <c r="V9670" s="1192">
        <v>65</v>
      </c>
    </row>
    <row r="9671" spans="1:22" s="1192" customFormat="1" ht="14.4" x14ac:dyDescent="0.3">
      <c r="A9671" s="1192" t="s">
        <v>4745</v>
      </c>
      <c r="E9671" s="2044" t="s">
        <v>428</v>
      </c>
      <c r="F9671" s="1741"/>
      <c r="G9671" s="574" t="s">
        <v>20</v>
      </c>
      <c r="H9671" s="576">
        <v>5.0000000000000001E-4</v>
      </c>
      <c r="K9671" s="1192" t="s">
        <v>4113</v>
      </c>
      <c r="L9671" s="1192" t="s">
        <v>2374</v>
      </c>
      <c r="P9671" s="1192" t="s">
        <v>4121</v>
      </c>
      <c r="V9671" s="1192">
        <v>57</v>
      </c>
    </row>
    <row r="9672" spans="1:22" s="1192" customFormat="1" ht="14.4" x14ac:dyDescent="0.3">
      <c r="A9672" s="1192" t="s">
        <v>4745</v>
      </c>
      <c r="E9672" s="2044" t="s">
        <v>28</v>
      </c>
      <c r="F9672" s="1741"/>
      <c r="G9672" s="574" t="s">
        <v>19</v>
      </c>
      <c r="H9672" s="575">
        <v>0.25</v>
      </c>
      <c r="K9672" s="1192" t="s">
        <v>4113</v>
      </c>
      <c r="L9672" s="1192" t="s">
        <v>2374</v>
      </c>
      <c r="P9672" s="1192" t="s">
        <v>4122</v>
      </c>
      <c r="V9672" s="1192">
        <v>63</v>
      </c>
    </row>
    <row r="9673" spans="1:22" s="1192" customFormat="1" ht="17.399999999999999" x14ac:dyDescent="0.3">
      <c r="A9673" s="1192" t="s">
        <v>4745</v>
      </c>
      <c r="E9673" s="2045" t="s">
        <v>1493</v>
      </c>
      <c r="F9673" s="1747"/>
      <c r="G9673" s="1747"/>
      <c r="H9673" s="1747"/>
      <c r="K9673" s="1192" t="s">
        <v>3050</v>
      </c>
      <c r="V9673" s="1192">
        <v>40</v>
      </c>
    </row>
    <row r="9674" spans="1:22" s="1192" customFormat="1" ht="14.4" x14ac:dyDescent="0.3">
      <c r="A9674" s="1192" t="s">
        <v>4745</v>
      </c>
      <c r="E9674" s="1743" t="s">
        <v>3051</v>
      </c>
      <c r="F9674" s="1743"/>
      <c r="G9674" s="1743"/>
      <c r="H9674" s="1743"/>
      <c r="K9674" s="1192" t="s">
        <v>3050</v>
      </c>
      <c r="V9674" s="1192">
        <v>348</v>
      </c>
    </row>
    <row r="9675" spans="1:22" s="1192" customFormat="1" ht="14.4" x14ac:dyDescent="0.3">
      <c r="A9675" s="1192" t="s">
        <v>4745</v>
      </c>
      <c r="E9675" s="1750" t="s">
        <v>2389</v>
      </c>
      <c r="F9675" s="1743"/>
      <c r="G9675" s="1743"/>
      <c r="H9675" s="1743"/>
      <c r="K9675" s="1192" t="s">
        <v>2529</v>
      </c>
      <c r="V9675" s="1192">
        <v>11</v>
      </c>
    </row>
    <row r="9676" spans="1:22" s="1192" customFormat="1" ht="14.4" x14ac:dyDescent="0.3">
      <c r="A9676" s="1192" t="s">
        <v>4745</v>
      </c>
      <c r="E9676" s="1743" t="s">
        <v>2391</v>
      </c>
      <c r="F9676" s="1743"/>
      <c r="G9676" s="1743"/>
      <c r="H9676" s="1743"/>
      <c r="K9676" s="1192" t="s">
        <v>3050</v>
      </c>
      <c r="V9676" s="1192">
        <v>280</v>
      </c>
    </row>
    <row r="9677" spans="1:22" s="1192" customFormat="1" ht="14.4" x14ac:dyDescent="0.3">
      <c r="A9677" s="1192" t="s">
        <v>4745</v>
      </c>
      <c r="E9677" s="1743" t="s">
        <v>2392</v>
      </c>
      <c r="F9677" s="1743"/>
      <c r="G9677" s="1743"/>
      <c r="H9677" s="1743"/>
      <c r="K9677" s="1192" t="s">
        <v>3050</v>
      </c>
      <c r="V9677" s="1192">
        <v>411</v>
      </c>
    </row>
    <row r="9678" spans="1:22" s="1192" customFormat="1" ht="14.4" x14ac:dyDescent="0.3">
      <c r="A9678" s="1192" t="s">
        <v>4745</v>
      </c>
      <c r="E9678" s="1743" t="s">
        <v>2393</v>
      </c>
      <c r="F9678" s="1743"/>
      <c r="G9678" s="1743"/>
      <c r="H9678" s="1743"/>
      <c r="K9678" s="1192" t="s">
        <v>3050</v>
      </c>
      <c r="V9678" s="1192">
        <v>387</v>
      </c>
    </row>
    <row r="9679" spans="1:22" s="1192" customFormat="1" ht="14.4" x14ac:dyDescent="0.3">
      <c r="A9679" s="1192" t="s">
        <v>4745</v>
      </c>
      <c r="E9679" s="1743" t="s">
        <v>4632</v>
      </c>
      <c r="F9679" s="1743"/>
      <c r="G9679" s="1743"/>
      <c r="H9679" s="1743"/>
      <c r="K9679" s="1192" t="s">
        <v>3050</v>
      </c>
      <c r="V9679" s="1192">
        <v>680</v>
      </c>
    </row>
    <row r="9680" spans="1:22" s="1192" customFormat="1" ht="14.4" x14ac:dyDescent="0.3">
      <c r="A9680" s="1192" t="s">
        <v>4745</v>
      </c>
      <c r="E9680" s="1743" t="s">
        <v>4504</v>
      </c>
      <c r="F9680" s="1743"/>
      <c r="G9680" s="1743"/>
      <c r="H9680" s="1743"/>
      <c r="K9680" s="1192" t="s">
        <v>3050</v>
      </c>
      <c r="V9680" s="1192">
        <v>725</v>
      </c>
    </row>
    <row r="9681" spans="1:22" s="1192" customFormat="1" ht="14.4" x14ac:dyDescent="0.3">
      <c r="A9681" s="1192" t="s">
        <v>4745</v>
      </c>
      <c r="E9681" s="1743" t="s">
        <v>2986</v>
      </c>
      <c r="F9681" s="1743"/>
      <c r="G9681" s="1743"/>
      <c r="H9681" s="1743"/>
      <c r="K9681" s="1192" t="s">
        <v>3050</v>
      </c>
      <c r="V9681" s="1192">
        <v>246</v>
      </c>
    </row>
    <row r="9682" spans="1:22" s="1192" customFormat="1" ht="14.4" x14ac:dyDescent="0.3">
      <c r="A9682" s="1192" t="s">
        <v>4745</v>
      </c>
      <c r="E9682" s="1750" t="s">
        <v>2394</v>
      </c>
      <c r="F9682" s="1743"/>
      <c r="G9682" s="1743"/>
      <c r="H9682" s="1743"/>
      <c r="K9682" s="1192" t="s">
        <v>2531</v>
      </c>
      <c r="V9682" s="1192">
        <v>46</v>
      </c>
    </row>
    <row r="9683" spans="1:22" s="1192" customFormat="1" ht="14.4" x14ac:dyDescent="0.3">
      <c r="A9683" s="1192" t="s">
        <v>4745</v>
      </c>
      <c r="E9683" s="2044" t="s">
        <v>7</v>
      </c>
      <c r="F9683" s="1741"/>
      <c r="G9683" s="574" t="s">
        <v>19</v>
      </c>
      <c r="H9683" s="1218">
        <v>236.69</v>
      </c>
      <c r="K9683" s="1192" t="s">
        <v>3050</v>
      </c>
      <c r="L9683" s="1192" t="s">
        <v>430</v>
      </c>
      <c r="P9683" s="1192" t="s">
        <v>3052</v>
      </c>
      <c r="V9683" s="1192">
        <v>14</v>
      </c>
    </row>
    <row r="9684" spans="1:22" s="1192" customFormat="1" ht="14.4" x14ac:dyDescent="0.3">
      <c r="A9684" s="1192" t="s">
        <v>4745</v>
      </c>
      <c r="E9684" s="2044" t="s">
        <v>80</v>
      </c>
      <c r="F9684" s="1741"/>
      <c r="G9684" s="574" t="s">
        <v>29</v>
      </c>
      <c r="H9684" s="1219">
        <v>1.2163999999999999</v>
      </c>
      <c r="K9684" s="1192" t="s">
        <v>3050</v>
      </c>
      <c r="L9684" s="1192" t="s">
        <v>430</v>
      </c>
      <c r="P9684" s="1192" t="s">
        <v>3053</v>
      </c>
      <c r="V9684" s="1192">
        <v>28</v>
      </c>
    </row>
    <row r="9685" spans="1:22" s="1192" customFormat="1" ht="14.4" x14ac:dyDescent="0.3">
      <c r="A9685" s="1192" t="s">
        <v>4745</v>
      </c>
      <c r="E9685" s="2044" t="s">
        <v>14</v>
      </c>
      <c r="F9685" s="1741"/>
      <c r="G9685" s="574" t="s">
        <v>29</v>
      </c>
      <c r="H9685" s="576">
        <v>0.27079999999999999</v>
      </c>
      <c r="K9685" s="1192" t="s">
        <v>3050</v>
      </c>
      <c r="L9685" s="1192" t="s">
        <v>431</v>
      </c>
      <c r="P9685" s="1192" t="s">
        <v>3054</v>
      </c>
      <c r="V9685" s="1192">
        <v>24</v>
      </c>
    </row>
    <row r="9686" spans="1:22" s="1192" customFormat="1" ht="14.4" x14ac:dyDescent="0.3">
      <c r="A9686" s="1192" t="s">
        <v>4745</v>
      </c>
      <c r="E9686" s="2044" t="s">
        <v>6508</v>
      </c>
      <c r="F9686" s="1998"/>
      <c r="G9686" s="574" t="s">
        <v>29</v>
      </c>
      <c r="H9686" s="576">
        <v>0.54990000000000006</v>
      </c>
      <c r="K9686" s="1192" t="s">
        <v>3050</v>
      </c>
      <c r="L9686" s="1192" t="s">
        <v>431</v>
      </c>
      <c r="P9686" s="1192" t="s">
        <v>3055</v>
      </c>
      <c r="T9686" s="1192">
        <v>44316</v>
      </c>
      <c r="V9686" s="1192">
        <v>96</v>
      </c>
    </row>
    <row r="9687" spans="1:22" s="1192" customFormat="1" ht="14.4" x14ac:dyDescent="0.3">
      <c r="A9687" s="1192" t="s">
        <v>4745</v>
      </c>
      <c r="E9687" s="2044" t="s">
        <v>213</v>
      </c>
      <c r="F9687" s="1741"/>
      <c r="G9687" s="574" t="s">
        <v>29</v>
      </c>
      <c r="H9687" s="1219">
        <v>2.7843</v>
      </c>
      <c r="K9687" s="1192" t="s">
        <v>3050</v>
      </c>
      <c r="L9687" s="1192" t="s">
        <v>432</v>
      </c>
      <c r="P9687" s="1192" t="s">
        <v>4123</v>
      </c>
      <c r="V9687" s="1192">
        <v>47</v>
      </c>
    </row>
    <row r="9688" spans="1:22" s="1192" customFormat="1" ht="14.4" x14ac:dyDescent="0.3">
      <c r="A9688" s="1192" t="s">
        <v>4745</v>
      </c>
      <c r="E9688" s="2044" t="s">
        <v>209</v>
      </c>
      <c r="F9688" s="1741"/>
      <c r="G9688" s="574" t="s">
        <v>29</v>
      </c>
      <c r="H9688" s="1219">
        <v>2.4843999999999999</v>
      </c>
      <c r="K9688" s="1192" t="s">
        <v>3050</v>
      </c>
      <c r="L9688" s="1192" t="s">
        <v>432</v>
      </c>
      <c r="P9688" s="1192" t="s">
        <v>4124</v>
      </c>
      <c r="V9688" s="1192">
        <v>74</v>
      </c>
    </row>
    <row r="9689" spans="1:22" s="1192" customFormat="1" ht="14.4" x14ac:dyDescent="0.3">
      <c r="A9689" s="1192" t="s">
        <v>4745</v>
      </c>
      <c r="E9689" s="1750" t="s">
        <v>2405</v>
      </c>
      <c r="F9689" s="1741"/>
      <c r="G9689" s="1741"/>
      <c r="H9689" s="1741"/>
      <c r="K9689" s="1192" t="s">
        <v>2532</v>
      </c>
      <c r="V9689" s="1192">
        <v>48</v>
      </c>
    </row>
    <row r="9690" spans="1:22" s="1192" customFormat="1" ht="14.4" x14ac:dyDescent="0.3">
      <c r="A9690" s="1192" t="s">
        <v>4745</v>
      </c>
      <c r="E9690" s="1741" t="s">
        <v>2033</v>
      </c>
      <c r="F9690" s="1741"/>
      <c r="G9690" s="574" t="s">
        <v>20</v>
      </c>
      <c r="H9690" s="576">
        <v>3.0000000000000001E-3</v>
      </c>
      <c r="K9690" s="1192" t="s">
        <v>3050</v>
      </c>
      <c r="L9690" s="1192" t="s">
        <v>2374</v>
      </c>
      <c r="P9690" s="1192" t="s">
        <v>3056</v>
      </c>
      <c r="V9690" s="1192">
        <v>55</v>
      </c>
    </row>
    <row r="9691" spans="1:22" s="1192" customFormat="1" ht="14.4" x14ac:dyDescent="0.3">
      <c r="A9691" s="1192" t="s">
        <v>4745</v>
      </c>
      <c r="E9691" s="1741" t="s">
        <v>2034</v>
      </c>
      <c r="F9691" s="1741"/>
      <c r="G9691" s="1277" t="s">
        <v>20</v>
      </c>
      <c r="H9691" s="1219">
        <v>4.0000000000000002E-4</v>
      </c>
      <c r="K9691" s="1192" t="s">
        <v>3050</v>
      </c>
      <c r="L9691" s="1192" t="s">
        <v>2374</v>
      </c>
      <c r="P9691" s="1192" t="s">
        <v>3056</v>
      </c>
      <c r="V9691" s="1192">
        <v>65</v>
      </c>
    </row>
    <row r="9692" spans="1:22" s="1192" customFormat="1" ht="14.4" x14ac:dyDescent="0.3">
      <c r="A9692" s="1192" t="s">
        <v>4745</v>
      </c>
      <c r="E9692" s="2044" t="s">
        <v>428</v>
      </c>
      <c r="F9692" s="1741"/>
      <c r="G9692" s="574" t="s">
        <v>20</v>
      </c>
      <c r="H9692" s="576">
        <v>5.0000000000000001E-4</v>
      </c>
      <c r="K9692" s="1192" t="s">
        <v>3050</v>
      </c>
      <c r="L9692" s="1192" t="s">
        <v>2374</v>
      </c>
      <c r="P9692" s="1192" t="s">
        <v>3057</v>
      </c>
      <c r="V9692" s="1192">
        <v>57</v>
      </c>
    </row>
    <row r="9693" spans="1:22" s="1192" customFormat="1" ht="14.4" x14ac:dyDescent="0.3">
      <c r="A9693" s="1192" t="s">
        <v>4745</v>
      </c>
      <c r="E9693" s="2044" t="s">
        <v>28</v>
      </c>
      <c r="F9693" s="1741"/>
      <c r="G9693" s="574" t="s">
        <v>19</v>
      </c>
      <c r="H9693" s="575">
        <v>0.25</v>
      </c>
      <c r="K9693" s="1192" t="s">
        <v>3050</v>
      </c>
      <c r="L9693" s="1192" t="s">
        <v>2374</v>
      </c>
      <c r="P9693" s="1192" t="s">
        <v>3058</v>
      </c>
      <c r="V9693" s="1192">
        <v>63</v>
      </c>
    </row>
    <row r="9694" spans="1:22" s="1192" customFormat="1" ht="17.399999999999999" x14ac:dyDescent="0.3">
      <c r="A9694" s="1192" t="s">
        <v>4745</v>
      </c>
      <c r="E9694" s="2045" t="s">
        <v>604</v>
      </c>
      <c r="F9694" s="1747"/>
      <c r="G9694" s="1747"/>
      <c r="H9694" s="1747"/>
      <c r="K9694" s="1192" t="s">
        <v>2823</v>
      </c>
      <c r="V9694" s="1192">
        <v>40</v>
      </c>
    </row>
    <row r="9695" spans="1:22" s="1192" customFormat="1" ht="14.4" x14ac:dyDescent="0.3">
      <c r="A9695" s="1192" t="s">
        <v>4745</v>
      </c>
      <c r="E9695" s="1743" t="s">
        <v>3059</v>
      </c>
      <c r="F9695" s="1743"/>
      <c r="G9695" s="1743"/>
      <c r="H9695" s="1743"/>
      <c r="K9695" s="1192" t="s">
        <v>2823</v>
      </c>
      <c r="V9695" s="1192">
        <v>281</v>
      </c>
    </row>
    <row r="9696" spans="1:22" s="1192" customFormat="1" ht="14.4" x14ac:dyDescent="0.3">
      <c r="A9696" s="1192" t="s">
        <v>4745</v>
      </c>
      <c r="E9696" s="1750" t="s">
        <v>2389</v>
      </c>
      <c r="F9696" s="1743"/>
      <c r="G9696" s="1743"/>
      <c r="H9696" s="1743"/>
      <c r="K9696" s="1192" t="s">
        <v>2424</v>
      </c>
      <c r="V9696" s="1192">
        <v>11</v>
      </c>
    </row>
    <row r="9697" spans="1:22" s="1192" customFormat="1" ht="14.4" x14ac:dyDescent="0.3">
      <c r="A9697" s="1192" t="s">
        <v>4745</v>
      </c>
      <c r="E9697" s="1743" t="s">
        <v>2391</v>
      </c>
      <c r="F9697" s="1743"/>
      <c r="G9697" s="1743"/>
      <c r="H9697" s="1743"/>
      <c r="K9697" s="1192" t="s">
        <v>2823</v>
      </c>
      <c r="V9697" s="1192">
        <v>280</v>
      </c>
    </row>
    <row r="9698" spans="1:22" s="1192" customFormat="1" ht="14.4" x14ac:dyDescent="0.3">
      <c r="A9698" s="1192" t="s">
        <v>4745</v>
      </c>
      <c r="E9698" s="1743" t="s">
        <v>2392</v>
      </c>
      <c r="F9698" s="1743"/>
      <c r="G9698" s="1743"/>
      <c r="H9698" s="1743"/>
      <c r="K9698" s="1192" t="s">
        <v>2823</v>
      </c>
      <c r="V9698" s="1192">
        <v>411</v>
      </c>
    </row>
    <row r="9699" spans="1:22" s="1192" customFormat="1" ht="14.4" x14ac:dyDescent="0.3">
      <c r="A9699" s="1192" t="s">
        <v>4745</v>
      </c>
      <c r="E9699" s="1743" t="s">
        <v>2393</v>
      </c>
      <c r="F9699" s="1743"/>
      <c r="G9699" s="1743"/>
      <c r="H9699" s="1743"/>
      <c r="K9699" s="1192" t="s">
        <v>2823</v>
      </c>
      <c r="V9699" s="1192">
        <v>387</v>
      </c>
    </row>
    <row r="9700" spans="1:22" s="1192" customFormat="1" ht="14.4" x14ac:dyDescent="0.3">
      <c r="A9700" s="1192" t="s">
        <v>4745</v>
      </c>
      <c r="E9700" s="1743" t="s">
        <v>2986</v>
      </c>
      <c r="F9700" s="1743"/>
      <c r="G9700" s="1743"/>
      <c r="H9700" s="1743"/>
      <c r="K9700" s="1192" t="s">
        <v>2823</v>
      </c>
      <c r="V9700" s="1192">
        <v>246</v>
      </c>
    </row>
    <row r="9701" spans="1:22" s="1192" customFormat="1" ht="14.4" x14ac:dyDescent="0.3">
      <c r="A9701" s="1192" t="s">
        <v>4745</v>
      </c>
      <c r="E9701" s="1750" t="s">
        <v>2394</v>
      </c>
      <c r="F9701" s="1743"/>
      <c r="G9701" s="1743"/>
      <c r="H9701" s="1743"/>
      <c r="K9701" s="1192" t="s">
        <v>2425</v>
      </c>
      <c r="V9701" s="1192">
        <v>46</v>
      </c>
    </row>
    <row r="9702" spans="1:22" s="1192" customFormat="1" ht="14.4" x14ac:dyDescent="0.3">
      <c r="A9702" s="1192" t="s">
        <v>4745</v>
      </c>
      <c r="E9702" s="2044" t="s">
        <v>8</v>
      </c>
      <c r="F9702" s="1741"/>
      <c r="G9702" s="574" t="s">
        <v>19</v>
      </c>
      <c r="H9702" s="1218">
        <v>7.95</v>
      </c>
      <c r="K9702" s="1192" t="s">
        <v>2823</v>
      </c>
      <c r="L9702" s="1192" t="s">
        <v>430</v>
      </c>
      <c r="P9702" s="1192" t="s">
        <v>2824</v>
      </c>
      <c r="V9702" s="1192">
        <v>31</v>
      </c>
    </row>
    <row r="9703" spans="1:22" s="1192" customFormat="1" ht="14.4" x14ac:dyDescent="0.3">
      <c r="A9703" s="1192" t="s">
        <v>4745</v>
      </c>
      <c r="E9703" s="2044" t="s">
        <v>80</v>
      </c>
      <c r="F9703" s="1741"/>
      <c r="G9703" s="574" t="s">
        <v>29</v>
      </c>
      <c r="H9703" s="1219">
        <v>8.5000999999999998</v>
      </c>
      <c r="K9703" s="1192" t="s">
        <v>2823</v>
      </c>
      <c r="L9703" s="1192" t="s">
        <v>430</v>
      </c>
      <c r="P9703" s="1192" t="s">
        <v>2825</v>
      </c>
      <c r="V9703" s="1192">
        <v>28</v>
      </c>
    </row>
    <row r="9704" spans="1:22" s="1192" customFormat="1" ht="14.4" x14ac:dyDescent="0.3">
      <c r="A9704" s="1192" t="s">
        <v>4745</v>
      </c>
      <c r="E9704" s="2044" t="s">
        <v>14</v>
      </c>
      <c r="F9704" s="1741"/>
      <c r="G9704" s="574" t="s">
        <v>29</v>
      </c>
      <c r="H9704" s="576">
        <v>0.17949999999999999</v>
      </c>
      <c r="K9704" s="1192" t="s">
        <v>2823</v>
      </c>
      <c r="L9704" s="1192" t="s">
        <v>431</v>
      </c>
      <c r="P9704" s="1192" t="s">
        <v>2826</v>
      </c>
      <c r="V9704" s="1192">
        <v>24</v>
      </c>
    </row>
    <row r="9705" spans="1:22" s="1192" customFormat="1" ht="14.4" x14ac:dyDescent="0.3">
      <c r="A9705" s="1192" t="s">
        <v>4745</v>
      </c>
      <c r="E9705" s="2044" t="s">
        <v>6508</v>
      </c>
      <c r="F9705" s="1998"/>
      <c r="G9705" s="574" t="s">
        <v>29</v>
      </c>
      <c r="H9705" s="576">
        <v>0.4612</v>
      </c>
      <c r="K9705" s="1192" t="s">
        <v>2823</v>
      </c>
      <c r="L9705" s="1192" t="s">
        <v>431</v>
      </c>
      <c r="P9705" s="1192" t="s">
        <v>2915</v>
      </c>
      <c r="T9705" s="1192">
        <v>44316</v>
      </c>
      <c r="V9705" s="1192">
        <v>96</v>
      </c>
    </row>
    <row r="9706" spans="1:22" s="1192" customFormat="1" ht="14.4" x14ac:dyDescent="0.3">
      <c r="A9706" s="1192" t="s">
        <v>4745</v>
      </c>
      <c r="E9706" s="2044" t="s">
        <v>213</v>
      </c>
      <c r="F9706" s="1741"/>
      <c r="G9706" s="574" t="s">
        <v>29</v>
      </c>
      <c r="H9706" s="1219">
        <v>1.8868</v>
      </c>
      <c r="K9706" s="1192" t="s">
        <v>2823</v>
      </c>
      <c r="L9706" s="1192" t="s">
        <v>432</v>
      </c>
      <c r="P9706" s="1192" t="s">
        <v>2827</v>
      </c>
      <c r="V9706" s="1192">
        <v>47</v>
      </c>
    </row>
    <row r="9707" spans="1:22" s="1192" customFormat="1" ht="14.4" x14ac:dyDescent="0.3">
      <c r="A9707" s="1192" t="s">
        <v>4745</v>
      </c>
      <c r="E9707" s="2044" t="s">
        <v>209</v>
      </c>
      <c r="F9707" s="1741"/>
      <c r="G9707" s="574" t="s">
        <v>29</v>
      </c>
      <c r="H9707" s="1219">
        <v>1.6473</v>
      </c>
      <c r="K9707" s="1192" t="s">
        <v>2823</v>
      </c>
      <c r="L9707" s="1192" t="s">
        <v>432</v>
      </c>
      <c r="P9707" s="1192" t="s">
        <v>2828</v>
      </c>
      <c r="V9707" s="1192">
        <v>74</v>
      </c>
    </row>
    <row r="9708" spans="1:22" s="1192" customFormat="1" ht="14.4" x14ac:dyDescent="0.3">
      <c r="A9708" s="1192" t="s">
        <v>4745</v>
      </c>
      <c r="E9708" s="1750" t="s">
        <v>2405</v>
      </c>
      <c r="F9708" s="1741"/>
      <c r="G9708" s="1741"/>
      <c r="H9708" s="1741"/>
      <c r="K9708" s="1192" t="s">
        <v>2427</v>
      </c>
      <c r="V9708" s="1192">
        <v>48</v>
      </c>
    </row>
    <row r="9709" spans="1:22" s="1192" customFormat="1" ht="14.4" x14ac:dyDescent="0.3">
      <c r="A9709" s="1192" t="s">
        <v>4745</v>
      </c>
      <c r="E9709" s="1741" t="s">
        <v>2033</v>
      </c>
      <c r="F9709" s="1741"/>
      <c r="G9709" s="574" t="s">
        <v>20</v>
      </c>
      <c r="H9709" s="576">
        <v>3.0000000000000001E-3</v>
      </c>
      <c r="K9709" s="1192" t="s">
        <v>2823</v>
      </c>
      <c r="L9709" s="1192" t="s">
        <v>2374</v>
      </c>
      <c r="P9709" s="1192" t="s">
        <v>2829</v>
      </c>
      <c r="V9709" s="1192">
        <v>55</v>
      </c>
    </row>
    <row r="9710" spans="1:22" s="1192" customFormat="1" ht="14.4" x14ac:dyDescent="0.3">
      <c r="A9710" s="1192" t="s">
        <v>4745</v>
      </c>
      <c r="E9710" s="1741" t="s">
        <v>2034</v>
      </c>
      <c r="F9710" s="1741"/>
      <c r="G9710" s="1277" t="s">
        <v>20</v>
      </c>
      <c r="H9710" s="1219">
        <v>4.0000000000000002E-4</v>
      </c>
      <c r="K9710" s="1192" t="s">
        <v>2823</v>
      </c>
      <c r="L9710" s="1192" t="s">
        <v>2374</v>
      </c>
      <c r="P9710" s="1192" t="s">
        <v>2829</v>
      </c>
      <c r="V9710" s="1192">
        <v>65</v>
      </c>
    </row>
    <row r="9711" spans="1:22" s="1192" customFormat="1" ht="14.4" x14ac:dyDescent="0.3">
      <c r="A9711" s="1192" t="s">
        <v>4745</v>
      </c>
      <c r="E9711" s="2044" t="s">
        <v>428</v>
      </c>
      <c r="F9711" s="1741"/>
      <c r="G9711" s="574" t="s">
        <v>20</v>
      </c>
      <c r="H9711" s="576">
        <v>5.0000000000000001E-4</v>
      </c>
      <c r="K9711" s="1192" t="s">
        <v>2823</v>
      </c>
      <c r="L9711" s="1192" t="s">
        <v>2374</v>
      </c>
      <c r="P9711" s="1192" t="s">
        <v>2830</v>
      </c>
      <c r="V9711" s="1192">
        <v>57</v>
      </c>
    </row>
    <row r="9712" spans="1:22" s="1192" customFormat="1" ht="14.4" x14ac:dyDescent="0.3">
      <c r="A9712" s="1192" t="s">
        <v>4745</v>
      </c>
      <c r="E9712" s="2044" t="s">
        <v>28</v>
      </c>
      <c r="F9712" s="1741"/>
      <c r="G9712" s="574" t="s">
        <v>19</v>
      </c>
      <c r="H9712" s="575">
        <v>0.25</v>
      </c>
      <c r="K9712" s="1192" t="s">
        <v>2823</v>
      </c>
      <c r="L9712" s="1192" t="s">
        <v>2374</v>
      </c>
      <c r="P9712" s="1192" t="s">
        <v>2831</v>
      </c>
      <c r="V9712" s="1192">
        <v>63</v>
      </c>
    </row>
    <row r="9713" spans="1:22" s="1192" customFormat="1" ht="17.399999999999999" x14ac:dyDescent="0.3">
      <c r="A9713" s="1192" t="s">
        <v>4745</v>
      </c>
      <c r="E9713" s="2045" t="s">
        <v>590</v>
      </c>
      <c r="F9713" s="1747"/>
      <c r="G9713" s="1747"/>
      <c r="H9713" s="1747"/>
      <c r="K9713" s="1192" t="s">
        <v>2428</v>
      </c>
      <c r="V9713" s="1192">
        <v>38</v>
      </c>
    </row>
    <row r="9714" spans="1:22" s="1192" customFormat="1" ht="14.4" x14ac:dyDescent="0.3">
      <c r="A9714" s="1192" t="s">
        <v>4745</v>
      </c>
      <c r="E9714" s="1743" t="s">
        <v>3060</v>
      </c>
      <c r="F9714" s="1743"/>
      <c r="G9714" s="1743"/>
      <c r="H9714" s="1743"/>
      <c r="K9714" s="1192" t="s">
        <v>2428</v>
      </c>
      <c r="V9714" s="1192">
        <v>474</v>
      </c>
    </row>
    <row r="9715" spans="1:22" s="1192" customFormat="1" ht="14.4" x14ac:dyDescent="0.3">
      <c r="A9715" s="1192" t="s">
        <v>4745</v>
      </c>
      <c r="E9715" s="1750" t="s">
        <v>2389</v>
      </c>
      <c r="F9715" s="1743"/>
      <c r="G9715" s="1743"/>
      <c r="H9715" s="1743"/>
      <c r="K9715" s="1192" t="s">
        <v>2430</v>
      </c>
      <c r="V9715" s="1192">
        <v>11</v>
      </c>
    </row>
    <row r="9716" spans="1:22" s="1192" customFormat="1" ht="14.4" x14ac:dyDescent="0.3">
      <c r="A9716" s="1192" t="s">
        <v>4745</v>
      </c>
      <c r="E9716" s="1743" t="s">
        <v>2391</v>
      </c>
      <c r="F9716" s="1743"/>
      <c r="G9716" s="1743"/>
      <c r="H9716" s="1743"/>
      <c r="K9716" s="1192" t="s">
        <v>2428</v>
      </c>
      <c r="V9716" s="1192">
        <v>280</v>
      </c>
    </row>
    <row r="9717" spans="1:22" s="1192" customFormat="1" ht="14.4" x14ac:dyDescent="0.3">
      <c r="A9717" s="1192" t="s">
        <v>4745</v>
      </c>
      <c r="E9717" s="1743" t="s">
        <v>2392</v>
      </c>
      <c r="F9717" s="1743"/>
      <c r="G9717" s="1743"/>
      <c r="H9717" s="1743"/>
      <c r="K9717" s="1192" t="s">
        <v>2428</v>
      </c>
      <c r="V9717" s="1192">
        <v>411</v>
      </c>
    </row>
    <row r="9718" spans="1:22" s="1192" customFormat="1" ht="14.4" x14ac:dyDescent="0.3">
      <c r="A9718" s="1192" t="s">
        <v>4745</v>
      </c>
      <c r="E9718" s="1743" t="s">
        <v>2393</v>
      </c>
      <c r="F9718" s="1743"/>
      <c r="G9718" s="1743"/>
      <c r="H9718" s="1743"/>
      <c r="K9718" s="1192" t="s">
        <v>2428</v>
      </c>
      <c r="V9718" s="1192">
        <v>387</v>
      </c>
    </row>
    <row r="9719" spans="1:22" s="1192" customFormat="1" ht="14.4" x14ac:dyDescent="0.3">
      <c r="A9719" s="1192" t="s">
        <v>4745</v>
      </c>
      <c r="E9719" s="1743" t="s">
        <v>2986</v>
      </c>
      <c r="F9719" s="1743"/>
      <c r="G9719" s="1743"/>
      <c r="H9719" s="1743"/>
      <c r="K9719" s="1192" t="s">
        <v>2428</v>
      </c>
      <c r="V9719" s="1192">
        <v>246</v>
      </c>
    </row>
    <row r="9720" spans="1:22" s="1192" customFormat="1" ht="14.4" x14ac:dyDescent="0.3">
      <c r="A9720" s="1192" t="s">
        <v>4745</v>
      </c>
      <c r="E9720" s="1750" t="s">
        <v>2394</v>
      </c>
      <c r="F9720" s="1743"/>
      <c r="G9720" s="1743"/>
      <c r="H9720" s="1743"/>
      <c r="K9720" s="1192" t="s">
        <v>2431</v>
      </c>
      <c r="V9720" s="1192">
        <v>46</v>
      </c>
    </row>
    <row r="9721" spans="1:22" s="1192" customFormat="1" ht="14.4" x14ac:dyDescent="0.3">
      <c r="A9721" s="1192" t="s">
        <v>4745</v>
      </c>
      <c r="E9721" s="2044" t="s">
        <v>8</v>
      </c>
      <c r="F9721" s="1741"/>
      <c r="G9721" s="574" t="s">
        <v>19</v>
      </c>
      <c r="H9721" s="1218">
        <v>4.84</v>
      </c>
      <c r="K9721" s="1192" t="s">
        <v>2428</v>
      </c>
      <c r="L9721" s="1192" t="s">
        <v>430</v>
      </c>
      <c r="P9721" s="1192" t="s">
        <v>2432</v>
      </c>
      <c r="V9721" s="1192">
        <v>31</v>
      </c>
    </row>
    <row r="9722" spans="1:22" s="1192" customFormat="1" ht="14.4" x14ac:dyDescent="0.3">
      <c r="A9722" s="1192" t="s">
        <v>4745</v>
      </c>
      <c r="E9722" s="2044" t="s">
        <v>80</v>
      </c>
      <c r="F9722" s="1741"/>
      <c r="G9722" s="574" t="s">
        <v>29</v>
      </c>
      <c r="H9722" s="1219">
        <v>2.6810999999999998</v>
      </c>
      <c r="K9722" s="1192" t="s">
        <v>2428</v>
      </c>
      <c r="L9722" s="1192" t="s">
        <v>430</v>
      </c>
      <c r="P9722" s="1192" t="s">
        <v>2433</v>
      </c>
      <c r="V9722" s="1192">
        <v>28</v>
      </c>
    </row>
    <row r="9723" spans="1:22" s="1192" customFormat="1" ht="14.4" x14ac:dyDescent="0.3">
      <c r="A9723" s="1192" t="s">
        <v>4745</v>
      </c>
      <c r="E9723" s="2044" t="s">
        <v>14</v>
      </c>
      <c r="F9723" s="1741"/>
      <c r="G9723" s="574" t="s">
        <v>29</v>
      </c>
      <c r="H9723" s="576">
        <v>0.1759</v>
      </c>
      <c r="K9723" s="1192" t="s">
        <v>2428</v>
      </c>
      <c r="L9723" s="1192" t="s">
        <v>431</v>
      </c>
      <c r="P9723" s="1192" t="s">
        <v>2764</v>
      </c>
      <c r="V9723" s="1192">
        <v>24</v>
      </c>
    </row>
    <row r="9724" spans="1:22" s="1192" customFormat="1" ht="14.4" x14ac:dyDescent="0.3">
      <c r="A9724" s="1192" t="s">
        <v>4745</v>
      </c>
      <c r="E9724" s="2044" t="s">
        <v>6506</v>
      </c>
      <c r="F9724" s="1998"/>
      <c r="G9724" s="574" t="s">
        <v>20</v>
      </c>
      <c r="H9724" s="576">
        <v>5.9999999999999995E-4</v>
      </c>
      <c r="K9724" s="1192" t="s">
        <v>2428</v>
      </c>
      <c r="L9724" s="1192" t="s">
        <v>431</v>
      </c>
      <c r="P9724" s="1192" t="s">
        <v>2435</v>
      </c>
      <c r="T9724" s="1192">
        <v>44316</v>
      </c>
      <c r="V9724" s="1192">
        <v>139</v>
      </c>
    </row>
    <row r="9725" spans="1:22" s="1192" customFormat="1" ht="14.4" x14ac:dyDescent="0.3">
      <c r="A9725" s="1192" t="s">
        <v>4745</v>
      </c>
      <c r="E9725" s="2044" t="s">
        <v>6508</v>
      </c>
      <c r="F9725" s="1998"/>
      <c r="G9725" s="574" t="s">
        <v>29</v>
      </c>
      <c r="H9725" s="576">
        <v>0.54810000000000003</v>
      </c>
      <c r="K9725" s="1192" t="s">
        <v>2428</v>
      </c>
      <c r="L9725" s="1192" t="s">
        <v>431</v>
      </c>
      <c r="P9725" s="1192" t="s">
        <v>2434</v>
      </c>
      <c r="T9725" s="1192">
        <v>44316</v>
      </c>
      <c r="V9725" s="1192">
        <v>96</v>
      </c>
    </row>
    <row r="9726" spans="1:22" s="1192" customFormat="1" ht="14.4" x14ac:dyDescent="0.3">
      <c r="A9726" s="1192" t="s">
        <v>4745</v>
      </c>
      <c r="E9726" s="2044" t="s">
        <v>213</v>
      </c>
      <c r="F9726" s="1741"/>
      <c r="G9726" s="574" t="s">
        <v>29</v>
      </c>
      <c r="H9726" s="1219">
        <v>1.8774</v>
      </c>
      <c r="K9726" s="1192" t="s">
        <v>2428</v>
      </c>
      <c r="L9726" s="1192" t="s">
        <v>432</v>
      </c>
      <c r="P9726" s="1192" t="s">
        <v>2436</v>
      </c>
      <c r="V9726" s="1192">
        <v>47</v>
      </c>
    </row>
    <row r="9727" spans="1:22" s="1192" customFormat="1" ht="14.4" x14ac:dyDescent="0.3">
      <c r="A9727" s="1192" t="s">
        <v>4745</v>
      </c>
      <c r="E9727" s="2044" t="s">
        <v>209</v>
      </c>
      <c r="F9727" s="1741"/>
      <c r="G9727" s="574" t="s">
        <v>29</v>
      </c>
      <c r="H9727" s="1219">
        <v>1.6135999999999999</v>
      </c>
      <c r="K9727" s="1192" t="s">
        <v>2428</v>
      </c>
      <c r="L9727" s="1192" t="s">
        <v>432</v>
      </c>
      <c r="P9727" s="1192" t="s">
        <v>2437</v>
      </c>
      <c r="V9727" s="1192">
        <v>74</v>
      </c>
    </row>
    <row r="9728" spans="1:22" s="1192" customFormat="1" ht="14.4" x14ac:dyDescent="0.3">
      <c r="A9728" s="1192" t="s">
        <v>4745</v>
      </c>
      <c r="E9728" s="1750" t="s">
        <v>2405</v>
      </c>
      <c r="F9728" s="1741"/>
      <c r="G9728" s="1741"/>
      <c r="H9728" s="1741"/>
      <c r="K9728" s="1192" t="s">
        <v>2438</v>
      </c>
      <c r="V9728" s="1192">
        <v>48</v>
      </c>
    </row>
    <row r="9729" spans="1:22" s="1192" customFormat="1" ht="14.4" x14ac:dyDescent="0.3">
      <c r="A9729" s="1192" t="s">
        <v>4745</v>
      </c>
      <c r="E9729" s="1741" t="s">
        <v>2033</v>
      </c>
      <c r="F9729" s="1741"/>
      <c r="G9729" s="574" t="s">
        <v>20</v>
      </c>
      <c r="H9729" s="576">
        <v>3.0000000000000001E-3</v>
      </c>
      <c r="K9729" s="1192" t="s">
        <v>2428</v>
      </c>
      <c r="L9729" s="1192" t="s">
        <v>2374</v>
      </c>
      <c r="P9729" s="1192" t="s">
        <v>2439</v>
      </c>
      <c r="V9729" s="1192">
        <v>55</v>
      </c>
    </row>
    <row r="9730" spans="1:22" s="1192" customFormat="1" ht="14.4" x14ac:dyDescent="0.3">
      <c r="A9730" s="1192" t="s">
        <v>4745</v>
      </c>
      <c r="E9730" s="1741" t="s">
        <v>2034</v>
      </c>
      <c r="F9730" s="1741"/>
      <c r="G9730" s="1277" t="s">
        <v>20</v>
      </c>
      <c r="H9730" s="1219">
        <v>4.0000000000000002E-4</v>
      </c>
      <c r="K9730" s="1192" t="s">
        <v>2428</v>
      </c>
      <c r="L9730" s="1192" t="s">
        <v>2374</v>
      </c>
      <c r="P9730" s="1192" t="s">
        <v>2439</v>
      </c>
      <c r="V9730" s="1192">
        <v>65</v>
      </c>
    </row>
    <row r="9731" spans="1:22" s="1192" customFormat="1" ht="14.4" x14ac:dyDescent="0.3">
      <c r="A9731" s="1192" t="s">
        <v>4745</v>
      </c>
      <c r="E9731" s="2044" t="s">
        <v>428</v>
      </c>
      <c r="F9731" s="1741"/>
      <c r="G9731" s="574" t="s">
        <v>20</v>
      </c>
      <c r="H9731" s="576">
        <v>5.0000000000000001E-4</v>
      </c>
      <c r="K9731" s="1192" t="s">
        <v>2428</v>
      </c>
      <c r="L9731" s="1192" t="s">
        <v>2374</v>
      </c>
      <c r="P9731" s="1192" t="s">
        <v>2440</v>
      </c>
      <c r="V9731" s="1192">
        <v>57</v>
      </c>
    </row>
    <row r="9732" spans="1:22" s="1192" customFormat="1" ht="14.4" x14ac:dyDescent="0.3">
      <c r="A9732" s="1192" t="s">
        <v>4745</v>
      </c>
      <c r="E9732" s="2044" t="s">
        <v>28</v>
      </c>
      <c r="F9732" s="1741"/>
      <c r="G9732" s="574" t="s">
        <v>19</v>
      </c>
      <c r="H9732" s="575">
        <v>0.25</v>
      </c>
      <c r="K9732" s="1192" t="s">
        <v>2428</v>
      </c>
      <c r="L9732" s="1192" t="s">
        <v>2374</v>
      </c>
      <c r="P9732" s="1192" t="s">
        <v>2441</v>
      </c>
      <c r="V9732" s="1192">
        <v>63</v>
      </c>
    </row>
    <row r="9733" spans="1:22" s="1192" customFormat="1" ht="17.399999999999999" x14ac:dyDescent="0.3">
      <c r="A9733" s="1192" t="s">
        <v>4745</v>
      </c>
      <c r="E9733" s="1746" t="s">
        <v>593</v>
      </c>
      <c r="F9733" s="1747"/>
      <c r="G9733" s="1747"/>
      <c r="H9733" s="1747"/>
      <c r="K9733" s="1192" t="s">
        <v>2442</v>
      </c>
      <c r="V9733" s="1192">
        <v>31</v>
      </c>
    </row>
    <row r="9734" spans="1:22" s="1192" customFormat="1" ht="14.4" x14ac:dyDescent="0.3">
      <c r="A9734" s="1192" t="s">
        <v>4745</v>
      </c>
      <c r="E9734" s="1743" t="s">
        <v>3061</v>
      </c>
      <c r="F9734" s="1743"/>
      <c r="G9734" s="1743"/>
      <c r="H9734" s="1743"/>
      <c r="K9734" s="1192" t="s">
        <v>2442</v>
      </c>
      <c r="V9734" s="1192">
        <v>281</v>
      </c>
    </row>
    <row r="9735" spans="1:22" s="1192" customFormat="1" ht="14.4" x14ac:dyDescent="0.3">
      <c r="A9735" s="1192" t="s">
        <v>4745</v>
      </c>
      <c r="E9735" s="1750" t="s">
        <v>2389</v>
      </c>
      <c r="F9735" s="1743"/>
      <c r="G9735" s="1743"/>
      <c r="H9735" s="1743"/>
      <c r="K9735" s="1192" t="s">
        <v>2444</v>
      </c>
      <c r="V9735" s="1192">
        <v>11</v>
      </c>
    </row>
    <row r="9736" spans="1:22" s="1192" customFormat="1" ht="14.4" x14ac:dyDescent="0.3">
      <c r="A9736" s="1192" t="s">
        <v>4745</v>
      </c>
      <c r="E9736" s="1743" t="s">
        <v>2391</v>
      </c>
      <c r="F9736" s="1743"/>
      <c r="G9736" s="1743"/>
      <c r="H9736" s="1743"/>
      <c r="K9736" s="1192" t="s">
        <v>2442</v>
      </c>
      <c r="V9736" s="1192">
        <v>280</v>
      </c>
    </row>
    <row r="9737" spans="1:22" s="1192" customFormat="1" ht="14.4" x14ac:dyDescent="0.3">
      <c r="A9737" s="1192" t="s">
        <v>4745</v>
      </c>
      <c r="E9737" s="1743" t="s">
        <v>2392</v>
      </c>
      <c r="F9737" s="1743"/>
      <c r="G9737" s="1743"/>
      <c r="H9737" s="1743"/>
      <c r="K9737" s="1192" t="s">
        <v>2442</v>
      </c>
      <c r="V9737" s="1192">
        <v>411</v>
      </c>
    </row>
    <row r="9738" spans="1:22" s="1192" customFormat="1" ht="14.4" x14ac:dyDescent="0.3">
      <c r="A9738" s="1192" t="s">
        <v>4745</v>
      </c>
      <c r="E9738" s="1743" t="s">
        <v>2445</v>
      </c>
      <c r="F9738" s="1743"/>
      <c r="G9738" s="1743"/>
      <c r="H9738" s="1743"/>
      <c r="K9738" s="1192" t="s">
        <v>2442</v>
      </c>
      <c r="V9738" s="1192">
        <v>211</v>
      </c>
    </row>
    <row r="9739" spans="1:22" s="1192" customFormat="1" ht="14.4" x14ac:dyDescent="0.3">
      <c r="A9739" s="1192" t="s">
        <v>4745</v>
      </c>
      <c r="E9739" s="1743" t="s">
        <v>2986</v>
      </c>
      <c r="F9739" s="1743"/>
      <c r="G9739" s="1743"/>
      <c r="H9739" s="1743"/>
      <c r="K9739" s="1192" t="s">
        <v>2442</v>
      </c>
      <c r="V9739" s="1192">
        <v>246</v>
      </c>
    </row>
    <row r="9740" spans="1:22" s="1192" customFormat="1" ht="14.4" x14ac:dyDescent="0.3">
      <c r="A9740" s="1192" t="s">
        <v>4745</v>
      </c>
      <c r="E9740" s="1750" t="s">
        <v>2849</v>
      </c>
      <c r="F9740" s="1743"/>
      <c r="G9740" s="1743"/>
      <c r="H9740" s="1743"/>
      <c r="K9740" s="1192" t="s">
        <v>2446</v>
      </c>
      <c r="V9740" s="1192">
        <v>47</v>
      </c>
    </row>
    <row r="9741" spans="1:22" s="1192" customFormat="1" ht="14.4" x14ac:dyDescent="0.3">
      <c r="A9741" s="1192" t="s">
        <v>4745</v>
      </c>
      <c r="E9741" s="2171" t="s">
        <v>7</v>
      </c>
      <c r="F9741" s="2172"/>
      <c r="G9741" s="574" t="s">
        <v>19</v>
      </c>
      <c r="H9741" s="1218">
        <v>4.55</v>
      </c>
      <c r="K9741" s="1192" t="s">
        <v>2442</v>
      </c>
      <c r="L9741" s="1192" t="s">
        <v>430</v>
      </c>
      <c r="P9741" s="1192" t="s">
        <v>2447</v>
      </c>
      <c r="V9741" s="1192">
        <v>14</v>
      </c>
    </row>
    <row r="9742" spans="1:22" s="1192" customFormat="1" x14ac:dyDescent="0.3">
      <c r="A9742" s="1192" t="s">
        <v>4745</v>
      </c>
      <c r="E9742" s="1746" t="s">
        <v>81</v>
      </c>
      <c r="F9742" s="1999"/>
      <c r="G9742" s="1999"/>
      <c r="H9742" s="1999"/>
      <c r="K9742" s="1192" t="s">
        <v>4747</v>
      </c>
      <c r="V9742" s="1192">
        <v>10</v>
      </c>
    </row>
    <row r="9743" spans="1:22" s="1192" customFormat="1" ht="14.4" x14ac:dyDescent="0.3">
      <c r="A9743" s="1192" t="s">
        <v>4745</v>
      </c>
      <c r="E9743" s="1741" t="s">
        <v>2449</v>
      </c>
      <c r="F9743" s="1741"/>
      <c r="G9743" s="1277" t="s">
        <v>29</v>
      </c>
      <c r="H9743" s="1219">
        <v>-0.45</v>
      </c>
      <c r="V9743" s="1192">
        <v>68</v>
      </c>
    </row>
    <row r="9744" spans="1:22" s="1192" customFormat="1" ht="14.4" x14ac:dyDescent="0.3">
      <c r="A9744" s="1192" t="s">
        <v>4745</v>
      </c>
      <c r="E9744" s="1741" t="s">
        <v>2450</v>
      </c>
      <c r="F9744" s="1741"/>
      <c r="G9744" s="1277" t="s">
        <v>82</v>
      </c>
      <c r="H9744" s="1218">
        <v>-1</v>
      </c>
      <c r="V9744" s="1192">
        <v>87</v>
      </c>
    </row>
    <row r="9745" spans="1:22" s="1192" customFormat="1" x14ac:dyDescent="0.3">
      <c r="A9745" s="1192" t="s">
        <v>4745</v>
      </c>
      <c r="E9745" s="2045" t="s">
        <v>83</v>
      </c>
      <c r="F9745" s="1999"/>
      <c r="G9745" s="1999"/>
      <c r="H9745" s="1999"/>
      <c r="K9745" s="1192" t="s">
        <v>4748</v>
      </c>
      <c r="V9745" s="1192">
        <v>24</v>
      </c>
    </row>
    <row r="9746" spans="1:22" s="1192" customFormat="1" ht="14.4" x14ac:dyDescent="0.3">
      <c r="A9746" s="1192" t="s">
        <v>4745</v>
      </c>
      <c r="E9746" s="2037" t="s">
        <v>2389</v>
      </c>
      <c r="F9746" s="1743"/>
      <c r="G9746" s="1743"/>
      <c r="H9746" s="1743"/>
      <c r="V9746" s="1192">
        <v>11</v>
      </c>
    </row>
    <row r="9747" spans="1:22" s="1192" customFormat="1" ht="14.4" x14ac:dyDescent="0.3">
      <c r="A9747" s="1192" t="s">
        <v>4745</v>
      </c>
      <c r="E9747" s="1743" t="s">
        <v>2391</v>
      </c>
      <c r="F9747" s="1743"/>
      <c r="G9747" s="1743"/>
      <c r="H9747" s="1743"/>
      <c r="V9747" s="1192">
        <v>280</v>
      </c>
    </row>
    <row r="9748" spans="1:22" s="1192" customFormat="1" ht="14.4" x14ac:dyDescent="0.3">
      <c r="A9748" s="1192" t="s">
        <v>4745</v>
      </c>
      <c r="E9748" s="1743" t="s">
        <v>2452</v>
      </c>
      <c r="F9748" s="1743"/>
      <c r="G9748" s="1743"/>
      <c r="H9748" s="1743"/>
      <c r="V9748" s="1192">
        <v>353</v>
      </c>
    </row>
    <row r="9749" spans="1:22" s="1192" customFormat="1" ht="14.4" x14ac:dyDescent="0.3">
      <c r="A9749" s="1192" t="s">
        <v>4745</v>
      </c>
      <c r="E9749" s="2117" t="s">
        <v>2986</v>
      </c>
      <c r="F9749" s="2173"/>
      <c r="G9749" s="2173"/>
      <c r="H9749" s="2173"/>
      <c r="V9749" s="1192">
        <v>246</v>
      </c>
    </row>
    <row r="9750" spans="1:22" s="1192" customFormat="1" ht="14.4" x14ac:dyDescent="0.3">
      <c r="A9750" s="1192" t="s">
        <v>4745</v>
      </c>
      <c r="E9750" s="1750" t="s">
        <v>2453</v>
      </c>
      <c r="F9750" s="1998"/>
      <c r="G9750" s="1998"/>
      <c r="H9750" s="1998"/>
      <c r="K9750" s="1192" t="s">
        <v>4749</v>
      </c>
      <c r="V9750" s="1192">
        <v>23</v>
      </c>
    </row>
    <row r="9751" spans="1:22" s="1192" customFormat="1" ht="14.4" x14ac:dyDescent="0.3">
      <c r="A9751" s="1192" t="s">
        <v>4745</v>
      </c>
      <c r="E9751" s="1942" t="s">
        <v>2639</v>
      </c>
      <c r="F9751" s="1942"/>
      <c r="G9751" s="1277" t="s">
        <v>19</v>
      </c>
      <c r="H9751" s="1218">
        <v>15</v>
      </c>
      <c r="V9751" s="1192">
        <v>19</v>
      </c>
    </row>
    <row r="9752" spans="1:22" s="1192" customFormat="1" ht="14.4" x14ac:dyDescent="0.3">
      <c r="A9752" s="1192" t="s">
        <v>4745</v>
      </c>
      <c r="E9752" s="1942" t="s">
        <v>3663</v>
      </c>
      <c r="F9752" s="1942"/>
      <c r="G9752" s="1277" t="s">
        <v>19</v>
      </c>
      <c r="H9752" s="1218">
        <v>15</v>
      </c>
      <c r="V9752" s="1192">
        <v>15</v>
      </c>
    </row>
    <row r="9753" spans="1:22" s="1192" customFormat="1" ht="14.4" x14ac:dyDescent="0.3">
      <c r="A9753" s="1192" t="s">
        <v>4745</v>
      </c>
      <c r="E9753" s="1942" t="s">
        <v>2464</v>
      </c>
      <c r="F9753" s="1942"/>
      <c r="G9753" s="1277" t="s">
        <v>19</v>
      </c>
      <c r="H9753" s="1218">
        <v>15</v>
      </c>
      <c r="V9753" s="1192">
        <v>56</v>
      </c>
    </row>
    <row r="9754" spans="1:22" s="1192" customFormat="1" ht="14.4" x14ac:dyDescent="0.3">
      <c r="A9754" s="1192" t="s">
        <v>4745</v>
      </c>
      <c r="E9754" s="1942" t="s">
        <v>119</v>
      </c>
      <c r="F9754" s="1942"/>
      <c r="G9754" s="1277" t="s">
        <v>19</v>
      </c>
      <c r="H9754" s="1218">
        <v>15</v>
      </c>
      <c r="V9754" s="1192">
        <v>35</v>
      </c>
    </row>
    <row r="9755" spans="1:22" s="1192" customFormat="1" ht="14.4" x14ac:dyDescent="0.3">
      <c r="A9755" s="1192" t="s">
        <v>4745</v>
      </c>
      <c r="E9755" s="1942" t="s">
        <v>84</v>
      </c>
      <c r="F9755" s="1942"/>
      <c r="G9755" s="1277" t="s">
        <v>19</v>
      </c>
      <c r="H9755" s="1218">
        <v>30</v>
      </c>
      <c r="V9755" s="1192">
        <v>89</v>
      </c>
    </row>
    <row r="9756" spans="1:22" s="1192" customFormat="1" ht="14.4" x14ac:dyDescent="0.3">
      <c r="A9756" s="1192" t="s">
        <v>4745</v>
      </c>
      <c r="E9756" s="1942" t="s">
        <v>88</v>
      </c>
      <c r="F9756" s="1942"/>
      <c r="G9756" s="1277" t="s">
        <v>19</v>
      </c>
      <c r="H9756" s="1218">
        <v>30</v>
      </c>
      <c r="V9756" s="1192">
        <v>74</v>
      </c>
    </row>
    <row r="9757" spans="1:22" s="1192" customFormat="1" ht="14.4" x14ac:dyDescent="0.3">
      <c r="A9757" s="1192" t="s">
        <v>4745</v>
      </c>
      <c r="E9757" s="1942" t="s">
        <v>90</v>
      </c>
      <c r="F9757" s="1942"/>
      <c r="G9757" s="1277" t="s">
        <v>19</v>
      </c>
      <c r="H9757" s="1218">
        <v>30</v>
      </c>
      <c r="V9757" s="1192">
        <v>19</v>
      </c>
    </row>
    <row r="9758" spans="1:22" s="1192" customFormat="1" ht="14.4" x14ac:dyDescent="0.3">
      <c r="A9758" s="1192" t="s">
        <v>4745</v>
      </c>
      <c r="E9758" s="1750" t="s">
        <v>2468</v>
      </c>
      <c r="F9758" s="1998"/>
      <c r="G9758" s="1998"/>
      <c r="H9758" s="1998"/>
      <c r="K9758" s="1192" t="s">
        <v>6579</v>
      </c>
      <c r="V9758" s="1192">
        <v>22</v>
      </c>
    </row>
    <row r="9759" spans="1:22" s="1192" customFormat="1" ht="14.4" x14ac:dyDescent="0.3">
      <c r="A9759" s="1192" t="s">
        <v>4745</v>
      </c>
      <c r="E9759" s="1942" t="s">
        <v>6580</v>
      </c>
      <c r="F9759" s="1942"/>
      <c r="G9759" s="1277" t="s">
        <v>82</v>
      </c>
      <c r="H9759" s="1218">
        <v>1.5</v>
      </c>
      <c r="V9759" s="1192">
        <v>99</v>
      </c>
    </row>
    <row r="9760" spans="1:22" s="1192" customFormat="1" ht="14.4" x14ac:dyDescent="0.3">
      <c r="A9760" s="1192" t="s">
        <v>4745</v>
      </c>
      <c r="E9760" s="1942" t="s">
        <v>6106</v>
      </c>
      <c r="F9760" s="1942"/>
      <c r="G9760" s="1277" t="s">
        <v>19</v>
      </c>
      <c r="H9760" s="1218">
        <v>40</v>
      </c>
      <c r="V9760" s="1192">
        <v>44</v>
      </c>
    </row>
    <row r="9761" spans="1:22" s="1192" customFormat="1" ht="14.4" x14ac:dyDescent="0.3">
      <c r="A9761" s="1192" t="s">
        <v>4745</v>
      </c>
      <c r="E9761" s="1942" t="s">
        <v>6581</v>
      </c>
      <c r="F9761" s="1942"/>
      <c r="G9761" s="1277"/>
      <c r="H9761" s="837" t="s">
        <v>3062</v>
      </c>
      <c r="V9761" s="1192">
        <v>44</v>
      </c>
    </row>
    <row r="9762" spans="1:22" s="1192" customFormat="1" ht="14.4" x14ac:dyDescent="0.3">
      <c r="A9762" s="1192" t="s">
        <v>4745</v>
      </c>
      <c r="E9762" s="1750" t="s">
        <v>2474</v>
      </c>
      <c r="F9762" s="1998"/>
      <c r="G9762" s="1998"/>
      <c r="H9762" s="1998"/>
      <c r="V9762" s="1192">
        <v>5</v>
      </c>
    </row>
    <row r="9763" spans="1:22" s="1192" customFormat="1" ht="14.4" x14ac:dyDescent="0.3">
      <c r="A9763" s="1192" t="s">
        <v>4745</v>
      </c>
      <c r="E9763" s="1942" t="s">
        <v>3063</v>
      </c>
      <c r="F9763" s="1942"/>
      <c r="G9763" s="1277"/>
      <c r="H9763" s="837" t="s">
        <v>3062</v>
      </c>
      <c r="V9763" s="1192">
        <v>65</v>
      </c>
    </row>
    <row r="9764" spans="1:22" s="1192" customFormat="1" ht="14.4" x14ac:dyDescent="0.3">
      <c r="A9764" s="1192" t="s">
        <v>4745</v>
      </c>
      <c r="E9764" s="1942" t="s">
        <v>3064</v>
      </c>
      <c r="F9764" s="1942"/>
      <c r="G9764" s="1277"/>
      <c r="H9764" s="837" t="s">
        <v>3062</v>
      </c>
      <c r="V9764" s="1192">
        <v>67</v>
      </c>
    </row>
    <row r="9765" spans="1:22" s="1192" customFormat="1" ht="14.4" x14ac:dyDescent="0.3">
      <c r="A9765" s="1192" t="s">
        <v>4745</v>
      </c>
      <c r="E9765" s="1942" t="s">
        <v>4734</v>
      </c>
      <c r="F9765" s="1942"/>
      <c r="G9765" s="1277" t="s">
        <v>19</v>
      </c>
      <c r="H9765" s="1218">
        <v>44.5</v>
      </c>
      <c r="V9765" s="1192">
        <v>105</v>
      </c>
    </row>
    <row r="9766" spans="1:22" s="1192" customFormat="1" ht="17.399999999999999" x14ac:dyDescent="0.3">
      <c r="A9766" s="1192" t="s">
        <v>4745</v>
      </c>
      <c r="E9766" s="1746" t="s">
        <v>73</v>
      </c>
      <c r="F9766" s="1746"/>
      <c r="G9766" s="1746"/>
      <c r="H9766" s="1746"/>
      <c r="K9766" s="1192" t="s">
        <v>4750</v>
      </c>
      <c r="V9766" s="1192">
        <v>38</v>
      </c>
    </row>
    <row r="9767" spans="1:22" s="1192" customFormat="1" ht="14.4" x14ac:dyDescent="0.3">
      <c r="A9767" s="1192" t="s">
        <v>4745</v>
      </c>
      <c r="E9767" s="2037" t="s">
        <v>2389</v>
      </c>
      <c r="F9767" s="1743"/>
      <c r="G9767" s="1743"/>
      <c r="H9767" s="1743"/>
      <c r="K9767" s="1192" t="s">
        <v>2444</v>
      </c>
      <c r="V9767" s="1192">
        <v>11</v>
      </c>
    </row>
    <row r="9768" spans="1:22" s="1192" customFormat="1" ht="14.4" x14ac:dyDescent="0.3">
      <c r="A9768" s="1192" t="s">
        <v>4745</v>
      </c>
      <c r="E9768" s="1743" t="s">
        <v>2391</v>
      </c>
      <c r="F9768" s="1743"/>
      <c r="G9768" s="1743"/>
      <c r="H9768" s="1743"/>
      <c r="V9768" s="1192">
        <v>280</v>
      </c>
    </row>
    <row r="9769" spans="1:22" s="1192" customFormat="1" ht="14.4" x14ac:dyDescent="0.3">
      <c r="A9769" s="1192" t="s">
        <v>4745</v>
      </c>
      <c r="E9769" s="1743" t="s">
        <v>2392</v>
      </c>
      <c r="F9769" s="1743"/>
      <c r="G9769" s="1743"/>
      <c r="H9769" s="1743"/>
      <c r="V9769" s="1192">
        <v>411</v>
      </c>
    </row>
    <row r="9770" spans="1:22" s="1192" customFormat="1" ht="14.4" x14ac:dyDescent="0.3">
      <c r="A9770" s="1192" t="s">
        <v>4745</v>
      </c>
      <c r="E9770" s="1743" t="s">
        <v>2445</v>
      </c>
      <c r="F9770" s="1743"/>
      <c r="G9770" s="1743"/>
      <c r="H9770" s="1743"/>
      <c r="V9770" s="1192">
        <v>211</v>
      </c>
    </row>
    <row r="9771" spans="1:22" s="1192" customFormat="1" ht="14.4" x14ac:dyDescent="0.3">
      <c r="A9771" s="1192" t="s">
        <v>4745</v>
      </c>
      <c r="E9771" s="1743" t="s">
        <v>2986</v>
      </c>
      <c r="F9771" s="1743"/>
      <c r="G9771" s="1743"/>
      <c r="H9771" s="1743"/>
      <c r="V9771" s="1192">
        <v>246</v>
      </c>
    </row>
    <row r="9772" spans="1:22" s="1192" customFormat="1" ht="14.4" x14ac:dyDescent="0.3">
      <c r="A9772" s="1192" t="s">
        <v>4745</v>
      </c>
      <c r="E9772" s="1741" t="s">
        <v>4751</v>
      </c>
      <c r="F9772" s="1741"/>
      <c r="G9772" s="1741"/>
      <c r="H9772" s="1741"/>
      <c r="V9772" s="1192">
        <v>142</v>
      </c>
    </row>
    <row r="9773" spans="1:22" s="1192" customFormat="1" ht="14.4" x14ac:dyDescent="0.3">
      <c r="A9773" s="1192" t="s">
        <v>4745</v>
      </c>
      <c r="E9773" s="1741" t="s">
        <v>2485</v>
      </c>
      <c r="F9773" s="1741"/>
      <c r="G9773" s="451" t="s">
        <v>19</v>
      </c>
      <c r="H9773" s="358">
        <v>102</v>
      </c>
      <c r="V9773" s="1192">
        <v>106</v>
      </c>
    </row>
    <row r="9774" spans="1:22" s="1192" customFormat="1" ht="14.4" x14ac:dyDescent="0.3">
      <c r="A9774" s="1192" t="s">
        <v>4745</v>
      </c>
      <c r="E9774" s="1741" t="s">
        <v>3919</v>
      </c>
      <c r="F9774" s="1741"/>
      <c r="G9774" s="451" t="s">
        <v>19</v>
      </c>
      <c r="H9774" s="358">
        <v>40.799999999999997</v>
      </c>
      <c r="V9774" s="1192">
        <v>34</v>
      </c>
    </row>
    <row r="9775" spans="1:22" s="1192" customFormat="1" ht="14.4" x14ac:dyDescent="0.3">
      <c r="A9775" s="1192" t="s">
        <v>4745</v>
      </c>
      <c r="E9775" s="1741" t="s">
        <v>3920</v>
      </c>
      <c r="F9775" s="1741"/>
      <c r="G9775" s="451" t="s">
        <v>2488</v>
      </c>
      <c r="H9775" s="358">
        <v>1.02</v>
      </c>
      <c r="V9775" s="1192">
        <v>51</v>
      </c>
    </row>
    <row r="9776" spans="1:22" s="1192" customFormat="1" ht="14.4" x14ac:dyDescent="0.3">
      <c r="A9776" s="1192" t="s">
        <v>4745</v>
      </c>
      <c r="E9776" s="1741" t="s">
        <v>2489</v>
      </c>
      <c r="F9776" s="1741"/>
      <c r="G9776" s="451" t="s">
        <v>2488</v>
      </c>
      <c r="H9776" s="358">
        <v>0.61</v>
      </c>
      <c r="V9776" s="1192">
        <v>75</v>
      </c>
    </row>
    <row r="9777" spans="1:22" s="1192" customFormat="1" ht="14.4" x14ac:dyDescent="0.3">
      <c r="A9777" s="1192" t="s">
        <v>4745</v>
      </c>
      <c r="E9777" s="1941" t="s">
        <v>2490</v>
      </c>
      <c r="F9777" s="1941"/>
      <c r="G9777" s="451" t="s">
        <v>2488</v>
      </c>
      <c r="H9777" s="358">
        <v>-0.61</v>
      </c>
      <c r="V9777" s="1192">
        <v>72</v>
      </c>
    </row>
    <row r="9778" spans="1:22" s="1192" customFormat="1" ht="14.4" x14ac:dyDescent="0.3">
      <c r="A9778" s="1192" t="s">
        <v>4745</v>
      </c>
      <c r="E9778" s="1941" t="s">
        <v>2596</v>
      </c>
      <c r="F9778" s="1941"/>
      <c r="G9778" s="2042"/>
      <c r="H9778" s="2042"/>
      <c r="V9778" s="1192">
        <v>34</v>
      </c>
    </row>
    <row r="9779" spans="1:22" s="1192" customFormat="1" ht="14.4" x14ac:dyDescent="0.3">
      <c r="A9779" s="1192" t="s">
        <v>4745</v>
      </c>
      <c r="E9779" s="1941" t="s">
        <v>2492</v>
      </c>
      <c r="F9779" s="1941"/>
      <c r="G9779" s="1280" t="s">
        <v>19</v>
      </c>
      <c r="H9779" s="358">
        <v>0.51</v>
      </c>
      <c r="V9779" s="1192">
        <v>57</v>
      </c>
    </row>
    <row r="9780" spans="1:22" s="1192" customFormat="1" ht="14.4" x14ac:dyDescent="0.3">
      <c r="A9780" s="1192" t="s">
        <v>4745</v>
      </c>
      <c r="E9780" s="1741" t="s">
        <v>2493</v>
      </c>
      <c r="F9780" s="1741"/>
      <c r="G9780" s="1280" t="s">
        <v>19</v>
      </c>
      <c r="H9780" s="358">
        <v>1.02</v>
      </c>
      <c r="V9780" s="1192">
        <v>60</v>
      </c>
    </row>
    <row r="9781" spans="1:22" s="1192" customFormat="1" ht="14.4" x14ac:dyDescent="0.3">
      <c r="A9781" s="1192" t="s">
        <v>4745</v>
      </c>
      <c r="E9781" s="1741" t="s">
        <v>2905</v>
      </c>
      <c r="F9781" s="1741"/>
      <c r="G9781" s="1274"/>
      <c r="H9781" s="1348"/>
      <c r="V9781" s="1192">
        <v>266</v>
      </c>
    </row>
    <row r="9782" spans="1:22" s="1192" customFormat="1" ht="14.4" x14ac:dyDescent="0.3">
      <c r="A9782" s="1192" t="s">
        <v>4745</v>
      </c>
      <c r="E9782" s="1941" t="s">
        <v>4271</v>
      </c>
      <c r="F9782" s="1941"/>
      <c r="G9782" s="1280" t="s">
        <v>19</v>
      </c>
      <c r="H9782" s="899" t="s">
        <v>2498</v>
      </c>
      <c r="V9782" s="1192">
        <v>23</v>
      </c>
    </row>
    <row r="9783" spans="1:22" s="1192" customFormat="1" ht="14.4" x14ac:dyDescent="0.3">
      <c r="A9783" s="1192" t="s">
        <v>4745</v>
      </c>
      <c r="E9783" s="451" t="s">
        <v>4641</v>
      </c>
      <c r="F9783" s="3"/>
      <c r="G9783" s="1280" t="s">
        <v>19</v>
      </c>
      <c r="H9783" s="358">
        <v>4.08</v>
      </c>
      <c r="V9783" s="1192">
        <v>92</v>
      </c>
    </row>
    <row r="9784" spans="1:22" s="1192" customFormat="1" ht="14.4" x14ac:dyDescent="0.3">
      <c r="A9784" s="1192" t="s">
        <v>4745</v>
      </c>
      <c r="E9784" s="2169" t="s">
        <v>4608</v>
      </c>
      <c r="F9784" s="2169"/>
      <c r="G9784" s="452" t="s">
        <v>19</v>
      </c>
      <c r="H9784" s="1218">
        <v>2.04</v>
      </c>
      <c r="V9784" s="1192">
        <v>199</v>
      </c>
    </row>
    <row r="9785" spans="1:22" s="1192" customFormat="1" x14ac:dyDescent="0.3">
      <c r="A9785" s="1192" t="s">
        <v>4745</v>
      </c>
      <c r="E9785" s="1746" t="s">
        <v>143</v>
      </c>
      <c r="F9785" s="1999"/>
      <c r="G9785" s="1999"/>
      <c r="H9785" s="1999"/>
      <c r="K9785" s="1192" t="s">
        <v>4752</v>
      </c>
      <c r="V9785" s="1192">
        <v>12</v>
      </c>
    </row>
    <row r="9786" spans="1:22" s="1192" customFormat="1" ht="14.4" x14ac:dyDescent="0.3">
      <c r="A9786" s="1192" t="s">
        <v>4745</v>
      </c>
      <c r="E9786" s="1741" t="s">
        <v>2501</v>
      </c>
      <c r="F9786" s="1741"/>
      <c r="G9786" s="1741"/>
      <c r="H9786" s="1741"/>
      <c r="V9786" s="1192">
        <v>203</v>
      </c>
    </row>
    <row r="9787" spans="1:22" s="1192" customFormat="1" ht="14.4" x14ac:dyDescent="0.3">
      <c r="A9787" s="1192" t="s">
        <v>4745</v>
      </c>
      <c r="E9787" s="1741" t="s">
        <v>2599</v>
      </c>
      <c r="F9787" s="1741"/>
      <c r="G9787" s="1277"/>
      <c r="H9787" s="837">
        <v>1.0414000000000001</v>
      </c>
      <c r="V9787" s="1192">
        <v>57</v>
      </c>
    </row>
    <row r="9788" spans="1:22" s="1192" customFormat="1" ht="14.4" x14ac:dyDescent="0.3">
      <c r="A9788" s="1192" t="s">
        <v>4745</v>
      </c>
      <c r="E9788" s="1741" t="s">
        <v>2601</v>
      </c>
      <c r="F9788" s="1741"/>
      <c r="G9788" s="1277"/>
      <c r="H9788" s="837">
        <v>1.0309999999999999</v>
      </c>
      <c r="J9788" s="1192" t="s">
        <v>4753</v>
      </c>
      <c r="V9788" s="1192">
        <v>55</v>
      </c>
    </row>
    <row r="9789" spans="1:22" s="1192" customFormat="1" ht="22.8" x14ac:dyDescent="0.3">
      <c r="A9789" s="1192" t="s">
        <v>4692</v>
      </c>
      <c r="B9789" s="1192" t="s">
        <v>4693</v>
      </c>
      <c r="C9789" s="1192" t="s">
        <v>2378</v>
      </c>
      <c r="E9789" s="1752" t="s">
        <v>4692</v>
      </c>
      <c r="F9789" s="1752"/>
      <c r="G9789" s="1752"/>
      <c r="H9789" s="1752"/>
      <c r="I9789" s="1192" t="s">
        <v>603</v>
      </c>
      <c r="J9789" s="1192" t="s">
        <v>4694</v>
      </c>
      <c r="K9789" s="1192" t="s">
        <v>4692</v>
      </c>
      <c r="M9789" s="1192">
        <v>6</v>
      </c>
      <c r="V9789" s="1192">
        <v>25</v>
      </c>
    </row>
    <row r="9790" spans="1:22" s="1192" customFormat="1" ht="17.399999999999999" x14ac:dyDescent="0.3">
      <c r="A9790" s="1192" t="s">
        <v>4692</v>
      </c>
      <c r="B9790" s="1192" t="s">
        <v>4693</v>
      </c>
      <c r="C9790" s="1192" t="s">
        <v>2380</v>
      </c>
      <c r="E9790" s="1753" t="s">
        <v>4695</v>
      </c>
      <c r="F9790" s="1753"/>
      <c r="G9790" s="1753"/>
      <c r="H9790" s="1753"/>
      <c r="V9790" s="1192">
        <v>16</v>
      </c>
    </row>
    <row r="9791" spans="1:22" s="1192" customFormat="1" ht="17.399999999999999" x14ac:dyDescent="0.3">
      <c r="A9791" s="1192" t="s">
        <v>4692</v>
      </c>
      <c r="B9791" s="1192" t="s">
        <v>4693</v>
      </c>
      <c r="C9791" s="1192" t="s">
        <v>2382</v>
      </c>
      <c r="E9791" s="1753" t="s">
        <v>2381</v>
      </c>
      <c r="F9791" s="1753"/>
      <c r="G9791" s="1753"/>
      <c r="H9791" s="1753"/>
      <c r="V9791" s="1192">
        <v>27</v>
      </c>
    </row>
    <row r="9792" spans="1:22" s="1192" customFormat="1" ht="15.6" x14ac:dyDescent="0.3">
      <c r="A9792" s="1192" t="s">
        <v>4692</v>
      </c>
      <c r="B9792" s="1192" t="s">
        <v>4693</v>
      </c>
      <c r="C9792" s="1192" t="s">
        <v>2383</v>
      </c>
      <c r="E9792" s="1754" t="s">
        <v>6482</v>
      </c>
      <c r="F9792" s="1754"/>
      <c r="G9792" s="1754"/>
      <c r="H9792" s="1754"/>
      <c r="S9792" s="1192">
        <v>43952</v>
      </c>
      <c r="V9792" s="1192">
        <v>45</v>
      </c>
    </row>
    <row r="9793" spans="1:22" s="1192" customFormat="1" ht="14.4" x14ac:dyDescent="0.3">
      <c r="A9793" s="1192" t="s">
        <v>4692</v>
      </c>
      <c r="B9793" s="1192" t="s">
        <v>4693</v>
      </c>
      <c r="E9793" s="1755" t="s">
        <v>2384</v>
      </c>
      <c r="F9793" s="1755"/>
      <c r="G9793" s="1755"/>
      <c r="H9793" s="1755"/>
      <c r="V9793" s="1192">
        <v>52</v>
      </c>
    </row>
    <row r="9794" spans="1:22" s="1192" customFormat="1" ht="14.4" x14ac:dyDescent="0.3">
      <c r="A9794" s="1192" t="s">
        <v>4692</v>
      </c>
      <c r="B9794" s="1192" t="s">
        <v>4693</v>
      </c>
      <c r="E9794" s="1755" t="s">
        <v>2385</v>
      </c>
      <c r="F9794" s="1755"/>
      <c r="G9794" s="1755"/>
      <c r="H9794" s="1755"/>
      <c r="V9794" s="1192">
        <v>53</v>
      </c>
    </row>
    <row r="9795" spans="1:22" s="1192" customFormat="1" ht="14.4" x14ac:dyDescent="0.3">
      <c r="A9795" s="1192" t="s">
        <v>4692</v>
      </c>
      <c r="B9795" s="1192" t="s">
        <v>4693</v>
      </c>
      <c r="E9795" s="1772" t="s">
        <v>6582</v>
      </c>
      <c r="F9795" s="1772"/>
      <c r="G9795" s="1772"/>
      <c r="H9795" s="1772"/>
      <c r="K9795" s="1192" t="s">
        <v>6582</v>
      </c>
      <c r="V9795" s="1192">
        <v>12</v>
      </c>
    </row>
    <row r="9796" spans="1:22" s="1192" customFormat="1" ht="14.4" x14ac:dyDescent="0.3">
      <c r="A9796" s="1192" t="s">
        <v>4692</v>
      </c>
      <c r="B9796" s="1192" t="s">
        <v>4693</v>
      </c>
      <c r="E9796" s="1746" t="s">
        <v>427</v>
      </c>
      <c r="F9796" s="2037"/>
      <c r="G9796" s="2037"/>
      <c r="H9796" s="2037"/>
      <c r="K9796" s="1192" t="s">
        <v>2506</v>
      </c>
      <c r="V9796" s="1192">
        <v>34</v>
      </c>
    </row>
    <row r="9797" spans="1:22" s="1192" customFormat="1" ht="14.4" x14ac:dyDescent="0.3">
      <c r="A9797" s="1192" t="s">
        <v>4692</v>
      </c>
      <c r="B9797" s="1192" t="s">
        <v>4693</v>
      </c>
      <c r="E9797" s="1743" t="s">
        <v>3144</v>
      </c>
      <c r="F9797" s="1743"/>
      <c r="G9797" s="1743"/>
      <c r="H9797" s="1743"/>
      <c r="K9797" s="1192" t="s">
        <v>2506</v>
      </c>
      <c r="V9797" s="1192">
        <v>154</v>
      </c>
    </row>
    <row r="9798" spans="1:22" s="1192" customFormat="1" ht="14.4" x14ac:dyDescent="0.3">
      <c r="A9798" s="1192" t="s">
        <v>4692</v>
      </c>
      <c r="B9798" s="1192" t="s">
        <v>4693</v>
      </c>
      <c r="E9798" s="1743" t="s">
        <v>3145</v>
      </c>
      <c r="F9798" s="1743"/>
      <c r="G9798" s="1743"/>
      <c r="H9798" s="1743"/>
      <c r="K9798" s="1192" t="s">
        <v>2506</v>
      </c>
      <c r="V9798" s="1192">
        <v>187</v>
      </c>
    </row>
    <row r="9799" spans="1:22" s="1192" customFormat="1" ht="14.4" x14ac:dyDescent="0.3">
      <c r="A9799" s="1192" t="s">
        <v>4692</v>
      </c>
      <c r="B9799" s="1192" t="s">
        <v>4693</v>
      </c>
      <c r="E9799" s="1743" t="s">
        <v>2894</v>
      </c>
      <c r="F9799" s="1743"/>
      <c r="G9799" s="1743"/>
      <c r="H9799" s="1743"/>
      <c r="K9799" s="1192" t="s">
        <v>2506</v>
      </c>
      <c r="V9799" s="1192">
        <v>148</v>
      </c>
    </row>
    <row r="9800" spans="1:22" s="1192" customFormat="1" ht="14.4" x14ac:dyDescent="0.3">
      <c r="A9800" s="1192" t="s">
        <v>4692</v>
      </c>
      <c r="B9800" s="1192" t="s">
        <v>4693</v>
      </c>
      <c r="E9800" s="1750" t="s">
        <v>2389</v>
      </c>
      <c r="F9800" s="2037"/>
      <c r="G9800" s="2037"/>
      <c r="H9800" s="2037"/>
      <c r="K9800" s="1192" t="s">
        <v>2390</v>
      </c>
      <c r="V9800" s="1192">
        <v>11</v>
      </c>
    </row>
    <row r="9801" spans="1:22" s="1192" customFormat="1" ht="14.4" x14ac:dyDescent="0.3">
      <c r="A9801" s="1192" t="s">
        <v>4692</v>
      </c>
      <c r="B9801" s="1192" t="s">
        <v>4693</v>
      </c>
      <c r="E9801" s="1743" t="s">
        <v>2391</v>
      </c>
      <c r="F9801" s="1743"/>
      <c r="G9801" s="1743"/>
      <c r="H9801" s="1743"/>
      <c r="K9801" s="1192" t="s">
        <v>2506</v>
      </c>
      <c r="V9801" s="1192">
        <v>280</v>
      </c>
    </row>
    <row r="9802" spans="1:22" s="1192" customFormat="1" ht="14.4" x14ac:dyDescent="0.3">
      <c r="A9802" s="1192" t="s">
        <v>4692</v>
      </c>
      <c r="B9802" s="1192" t="s">
        <v>4693</v>
      </c>
      <c r="E9802" s="1743" t="s">
        <v>2392</v>
      </c>
      <c r="F9802" s="1743"/>
      <c r="G9802" s="1743"/>
      <c r="H9802" s="1743"/>
      <c r="K9802" s="1192" t="s">
        <v>2506</v>
      </c>
      <c r="V9802" s="1192">
        <v>411</v>
      </c>
    </row>
    <row r="9803" spans="1:22" s="1192" customFormat="1" ht="14.4" x14ac:dyDescent="0.3">
      <c r="A9803" s="1192" t="s">
        <v>4692</v>
      </c>
      <c r="B9803" s="1192" t="s">
        <v>4693</v>
      </c>
      <c r="E9803" s="1743" t="s">
        <v>4696</v>
      </c>
      <c r="F9803" s="1743"/>
      <c r="G9803" s="1743"/>
      <c r="H9803" s="1743"/>
      <c r="K9803" s="1192" t="s">
        <v>2506</v>
      </c>
      <c r="V9803" s="1192">
        <v>388</v>
      </c>
    </row>
    <row r="9804" spans="1:22" s="1192" customFormat="1" ht="14.4" x14ac:dyDescent="0.3">
      <c r="A9804" s="1192" t="s">
        <v>4692</v>
      </c>
      <c r="B9804" s="1192" t="s">
        <v>4693</v>
      </c>
      <c r="E9804" s="1743" t="s">
        <v>4500</v>
      </c>
      <c r="F9804" s="1743"/>
      <c r="G9804" s="1743"/>
      <c r="H9804" s="1743"/>
      <c r="K9804" s="1192" t="s">
        <v>2506</v>
      </c>
      <c r="V9804" s="1192">
        <v>247</v>
      </c>
    </row>
    <row r="9805" spans="1:22" s="1192" customFormat="1" ht="14.4" x14ac:dyDescent="0.3">
      <c r="A9805" s="1192" t="s">
        <v>4692</v>
      </c>
      <c r="B9805" s="1192" t="s">
        <v>4693</v>
      </c>
      <c r="E9805" s="1750" t="s">
        <v>2394</v>
      </c>
      <c r="F9805" s="2037"/>
      <c r="G9805" s="2037"/>
      <c r="H9805" s="2037"/>
      <c r="K9805" s="1192" t="s">
        <v>2395</v>
      </c>
      <c r="V9805" s="1192">
        <v>46</v>
      </c>
    </row>
    <row r="9806" spans="1:22" s="1192" customFormat="1" ht="14.4" x14ac:dyDescent="0.3">
      <c r="A9806" s="1192" t="s">
        <v>4692</v>
      </c>
      <c r="B9806" s="1192" t="s">
        <v>4693</v>
      </c>
      <c r="E9806" s="1741" t="s">
        <v>7</v>
      </c>
      <c r="F9806" s="1741"/>
      <c r="G9806" s="1277" t="s">
        <v>19</v>
      </c>
      <c r="H9806" s="1218">
        <v>31.15</v>
      </c>
      <c r="K9806" s="1192" t="s">
        <v>2506</v>
      </c>
      <c r="L9806" s="1192" t="s">
        <v>430</v>
      </c>
      <c r="P9806" s="1192" t="s">
        <v>2510</v>
      </c>
      <c r="V9806" s="1192">
        <v>14</v>
      </c>
    </row>
    <row r="9807" spans="1:22" s="1192" customFormat="1" ht="14.4" x14ac:dyDescent="0.3">
      <c r="A9807" s="1192" t="s">
        <v>4692</v>
      </c>
      <c r="B9807" s="1192" t="s">
        <v>4693</v>
      </c>
      <c r="E9807" s="1741" t="s">
        <v>3900</v>
      </c>
      <c r="F9807" s="1741"/>
      <c r="G9807" s="1277" t="s">
        <v>19</v>
      </c>
      <c r="H9807" s="1218">
        <v>0.56999999999999995</v>
      </c>
      <c r="K9807" s="1192" t="s">
        <v>2506</v>
      </c>
      <c r="L9807" s="1192" t="s">
        <v>431</v>
      </c>
      <c r="P9807" s="1192" t="s">
        <v>2511</v>
      </c>
      <c r="T9807" s="1192">
        <v>44926</v>
      </c>
      <c r="V9807" s="1192">
        <v>64</v>
      </c>
    </row>
    <row r="9808" spans="1:22" s="1192" customFormat="1" ht="14.4" x14ac:dyDescent="0.3">
      <c r="A9808" s="1192" t="s">
        <v>4692</v>
      </c>
      <c r="B9808" s="1192" t="s">
        <v>4693</v>
      </c>
      <c r="E9808" s="1741" t="s">
        <v>6506</v>
      </c>
      <c r="F9808" s="1998"/>
      <c r="G9808" s="1277" t="s">
        <v>20</v>
      </c>
      <c r="H9808" s="1219">
        <v>-1.2999999999999999E-3</v>
      </c>
      <c r="K9808" s="1192" t="s">
        <v>2506</v>
      </c>
      <c r="L9808" s="1192" t="s">
        <v>431</v>
      </c>
      <c r="P9808" s="1192" t="s">
        <v>2514</v>
      </c>
      <c r="T9808" s="1192">
        <v>44316</v>
      </c>
      <c r="V9808" s="1192">
        <v>139</v>
      </c>
    </row>
    <row r="9809" spans="1:22" s="1192" customFormat="1" ht="14.4" x14ac:dyDescent="0.3">
      <c r="A9809" s="1192" t="s">
        <v>4692</v>
      </c>
      <c r="B9809" s="1192" t="s">
        <v>4693</v>
      </c>
      <c r="E9809" s="1741" t="s">
        <v>6508</v>
      </c>
      <c r="F9809" s="1998"/>
      <c r="G9809" s="1277" t="s">
        <v>20</v>
      </c>
      <c r="H9809" s="1219">
        <v>-6.9999999999999999E-4</v>
      </c>
      <c r="K9809" s="1192" t="s">
        <v>2506</v>
      </c>
      <c r="L9809" s="1192" t="s">
        <v>431</v>
      </c>
      <c r="P9809" s="1192" t="s">
        <v>2516</v>
      </c>
      <c r="T9809" s="1192">
        <v>44316</v>
      </c>
      <c r="V9809" s="1192">
        <v>96</v>
      </c>
    </row>
    <row r="9810" spans="1:22" s="1192" customFormat="1" ht="14.4" x14ac:dyDescent="0.3">
      <c r="A9810" s="1192" t="s">
        <v>4692</v>
      </c>
      <c r="B9810" s="1192" t="s">
        <v>4693</v>
      </c>
      <c r="E9810" s="1741" t="s">
        <v>213</v>
      </c>
      <c r="F9810" s="1741"/>
      <c r="G9810" s="1277" t="s">
        <v>20</v>
      </c>
      <c r="H9810" s="1219">
        <v>7.3000000000000001E-3</v>
      </c>
      <c r="K9810" s="1192" t="s">
        <v>2506</v>
      </c>
      <c r="L9810" s="1192" t="s">
        <v>432</v>
      </c>
      <c r="P9810" s="1192" t="s">
        <v>2517</v>
      </c>
      <c r="V9810" s="1192">
        <v>47</v>
      </c>
    </row>
    <row r="9811" spans="1:22" s="1192" customFormat="1" ht="14.4" x14ac:dyDescent="0.3">
      <c r="A9811" s="1192" t="s">
        <v>4692</v>
      </c>
      <c r="B9811" s="1192" t="s">
        <v>4693</v>
      </c>
      <c r="E9811" s="1741" t="s">
        <v>209</v>
      </c>
      <c r="F9811" s="1741"/>
      <c r="G9811" s="1277" t="s">
        <v>20</v>
      </c>
      <c r="H9811" s="1219">
        <v>2.0999999999999999E-3</v>
      </c>
      <c r="K9811" s="1192" t="s">
        <v>2506</v>
      </c>
      <c r="L9811" s="1192" t="s">
        <v>432</v>
      </c>
      <c r="P9811" s="1192" t="s">
        <v>2518</v>
      </c>
      <c r="V9811" s="1192">
        <v>74</v>
      </c>
    </row>
    <row r="9812" spans="1:22" s="1192" customFormat="1" ht="14.4" x14ac:dyDescent="0.3">
      <c r="A9812" s="1192" t="s">
        <v>4692</v>
      </c>
      <c r="B9812" s="1192" t="s">
        <v>4693</v>
      </c>
      <c r="E9812" s="1750" t="s">
        <v>2405</v>
      </c>
      <c r="F9812" s="2008"/>
      <c r="G9812" s="1277"/>
      <c r="H9812" s="896"/>
      <c r="K9812" s="1192" t="s">
        <v>2406</v>
      </c>
      <c r="V9812" s="1192">
        <v>48</v>
      </c>
    </row>
    <row r="9813" spans="1:22" s="1192" customFormat="1" ht="14.4" x14ac:dyDescent="0.3">
      <c r="A9813" s="1192" t="s">
        <v>4692</v>
      </c>
      <c r="B9813" s="1192" t="s">
        <v>4693</v>
      </c>
      <c r="E9813" s="1741" t="s">
        <v>2033</v>
      </c>
      <c r="F9813" s="1741"/>
      <c r="G9813" s="1277" t="s">
        <v>20</v>
      </c>
      <c r="H9813" s="1219">
        <v>3.0000000000000001E-3</v>
      </c>
      <c r="K9813" s="1192" t="s">
        <v>2506</v>
      </c>
      <c r="L9813" s="1192" t="s">
        <v>2374</v>
      </c>
      <c r="P9813" s="1192" t="s">
        <v>2519</v>
      </c>
      <c r="V9813" s="1192">
        <v>55</v>
      </c>
    </row>
    <row r="9814" spans="1:22" s="1192" customFormat="1" ht="14.4" x14ac:dyDescent="0.3">
      <c r="A9814" s="1192" t="s">
        <v>4692</v>
      </c>
      <c r="B9814" s="1192" t="s">
        <v>4693</v>
      </c>
      <c r="E9814" s="1741" t="s">
        <v>2034</v>
      </c>
      <c r="F9814" s="1741"/>
      <c r="G9814" s="1277" t="s">
        <v>20</v>
      </c>
      <c r="H9814" s="1219">
        <v>4.0000000000000002E-4</v>
      </c>
      <c r="K9814" s="1192" t="s">
        <v>2506</v>
      </c>
      <c r="L9814" s="1192" t="s">
        <v>2374</v>
      </c>
      <c r="P9814" s="1192" t="s">
        <v>2519</v>
      </c>
      <c r="V9814" s="1192">
        <v>65</v>
      </c>
    </row>
    <row r="9815" spans="1:22" s="1192" customFormat="1" ht="14.4" x14ac:dyDescent="0.3">
      <c r="A9815" s="1192" t="s">
        <v>4692</v>
      </c>
      <c r="B9815" s="1192" t="s">
        <v>4693</v>
      </c>
      <c r="E9815" s="1741" t="s">
        <v>428</v>
      </c>
      <c r="F9815" s="1741"/>
      <c r="G9815" s="1277" t="s">
        <v>20</v>
      </c>
      <c r="H9815" s="1219">
        <v>5.0000000000000001E-4</v>
      </c>
      <c r="K9815" s="1192" t="s">
        <v>2506</v>
      </c>
      <c r="L9815" s="1192" t="s">
        <v>2374</v>
      </c>
      <c r="P9815" s="1192" t="s">
        <v>2520</v>
      </c>
      <c r="V9815" s="1192">
        <v>57</v>
      </c>
    </row>
    <row r="9816" spans="1:22" s="1192" customFormat="1" ht="14.4" x14ac:dyDescent="0.3">
      <c r="A9816" s="1192" t="s">
        <v>4692</v>
      </c>
      <c r="B9816" s="1192" t="s">
        <v>4693</v>
      </c>
      <c r="E9816" s="1741" t="s">
        <v>28</v>
      </c>
      <c r="F9816" s="1741"/>
      <c r="G9816" s="1277" t="s">
        <v>19</v>
      </c>
      <c r="H9816" s="1218">
        <v>0.25</v>
      </c>
      <c r="K9816" s="1192" t="s">
        <v>2506</v>
      </c>
      <c r="L9816" s="1192" t="s">
        <v>2374</v>
      </c>
      <c r="P9816" s="1192" t="s">
        <v>2521</v>
      </c>
      <c r="V9816" s="1192">
        <v>63</v>
      </c>
    </row>
    <row r="9817" spans="1:22" s="1192" customFormat="1" ht="17.399999999999999" x14ac:dyDescent="0.3">
      <c r="A9817" s="1192" t="s">
        <v>4692</v>
      </c>
      <c r="B9817" s="1192" t="s">
        <v>4693</v>
      </c>
      <c r="E9817" s="1746" t="s">
        <v>2522</v>
      </c>
      <c r="F9817" s="1746"/>
      <c r="G9817" s="1746"/>
      <c r="H9817" s="1746"/>
      <c r="K9817" s="1192" t="s">
        <v>3901</v>
      </c>
      <c r="V9817" s="1192">
        <v>54</v>
      </c>
    </row>
    <row r="9818" spans="1:22" s="1192" customFormat="1" ht="14.4" x14ac:dyDescent="0.3">
      <c r="A9818" s="1192" t="s">
        <v>4692</v>
      </c>
      <c r="B9818" s="1192" t="s">
        <v>4693</v>
      </c>
      <c r="E9818" s="1743" t="s">
        <v>6583</v>
      </c>
      <c r="F9818" s="1743"/>
      <c r="G9818" s="1743"/>
      <c r="H9818" s="1743"/>
      <c r="K9818" s="1192" t="s">
        <v>3901</v>
      </c>
      <c r="V9818" s="1192">
        <v>885</v>
      </c>
    </row>
    <row r="9819" spans="1:22" s="1192" customFormat="1" ht="14.4" x14ac:dyDescent="0.3">
      <c r="A9819" s="1192" t="s">
        <v>4692</v>
      </c>
      <c r="B9819" s="1192" t="s">
        <v>4693</v>
      </c>
      <c r="E9819" s="1750" t="s">
        <v>2389</v>
      </c>
      <c r="F9819" s="2037"/>
      <c r="G9819" s="2037"/>
      <c r="H9819" s="2037"/>
      <c r="K9819" s="1192" t="s">
        <v>2412</v>
      </c>
      <c r="V9819" s="1192">
        <v>11</v>
      </c>
    </row>
    <row r="9820" spans="1:22" s="1192" customFormat="1" ht="14.4" x14ac:dyDescent="0.3">
      <c r="A9820" s="1192" t="s">
        <v>4692</v>
      </c>
      <c r="B9820" s="1192" t="s">
        <v>4693</v>
      </c>
      <c r="E9820" s="1743" t="s">
        <v>2391</v>
      </c>
      <c r="F9820" s="1743"/>
      <c r="G9820" s="1743"/>
      <c r="H9820" s="1743"/>
      <c r="K9820" s="1192" t="s">
        <v>3901</v>
      </c>
      <c r="V9820" s="1192">
        <v>280</v>
      </c>
    </row>
    <row r="9821" spans="1:22" s="1192" customFormat="1" ht="14.4" x14ac:dyDescent="0.3">
      <c r="A9821" s="1192" t="s">
        <v>4692</v>
      </c>
      <c r="B9821" s="1192" t="s">
        <v>4693</v>
      </c>
      <c r="E9821" s="1743" t="s">
        <v>2392</v>
      </c>
      <c r="F9821" s="1743"/>
      <c r="G9821" s="1743"/>
      <c r="H9821" s="1743"/>
      <c r="K9821" s="1192" t="s">
        <v>3901</v>
      </c>
      <c r="V9821" s="1192">
        <v>411</v>
      </c>
    </row>
    <row r="9822" spans="1:22" s="1192" customFormat="1" ht="14.4" x14ac:dyDescent="0.3">
      <c r="A9822" s="1192" t="s">
        <v>4692</v>
      </c>
      <c r="B9822" s="1192" t="s">
        <v>4693</v>
      </c>
      <c r="E9822" s="1743" t="s">
        <v>3146</v>
      </c>
      <c r="F9822" s="1743"/>
      <c r="G9822" s="1743"/>
      <c r="H9822" s="1743"/>
      <c r="K9822" s="1192" t="s">
        <v>3901</v>
      </c>
      <c r="V9822" s="1192">
        <v>390</v>
      </c>
    </row>
    <row r="9823" spans="1:22" s="1192" customFormat="1" ht="14.4" x14ac:dyDescent="0.3">
      <c r="A9823" s="1192" t="s">
        <v>4692</v>
      </c>
      <c r="B9823" s="1192" t="s">
        <v>4693</v>
      </c>
      <c r="E9823" s="1743" t="s">
        <v>4500</v>
      </c>
      <c r="F9823" s="1743"/>
      <c r="G9823" s="1743"/>
      <c r="H9823" s="1743"/>
      <c r="K9823" s="1192" t="s">
        <v>3901</v>
      </c>
      <c r="V9823" s="1192">
        <v>247</v>
      </c>
    </row>
    <row r="9824" spans="1:22" s="1192" customFormat="1" ht="14.4" x14ac:dyDescent="0.3">
      <c r="A9824" s="1192" t="s">
        <v>4692</v>
      </c>
      <c r="B9824" s="1192" t="s">
        <v>4693</v>
      </c>
      <c r="E9824" s="1750" t="s">
        <v>2394</v>
      </c>
      <c r="F9824" s="2037"/>
      <c r="G9824" s="2037"/>
      <c r="H9824" s="2037"/>
      <c r="K9824" s="1192" t="s">
        <v>2413</v>
      </c>
      <c r="V9824" s="1192">
        <v>46</v>
      </c>
    </row>
    <row r="9825" spans="1:22" s="1192" customFormat="1" ht="14.4" x14ac:dyDescent="0.3">
      <c r="A9825" s="1192" t="s">
        <v>4692</v>
      </c>
      <c r="B9825" s="1192" t="s">
        <v>4693</v>
      </c>
      <c r="E9825" s="1741" t="s">
        <v>7</v>
      </c>
      <c r="F9825" s="1741"/>
      <c r="G9825" s="1277" t="s">
        <v>19</v>
      </c>
      <c r="H9825" s="1218">
        <v>40.380000000000003</v>
      </c>
      <c r="K9825" s="1192" t="s">
        <v>3901</v>
      </c>
      <c r="L9825" s="1192" t="s">
        <v>430</v>
      </c>
      <c r="P9825" s="1192" t="s">
        <v>3902</v>
      </c>
      <c r="V9825" s="1192">
        <v>14</v>
      </c>
    </row>
    <row r="9826" spans="1:22" s="1192" customFormat="1" ht="14.4" x14ac:dyDescent="0.3">
      <c r="A9826" s="1192" t="s">
        <v>4692</v>
      </c>
      <c r="B9826" s="1192" t="s">
        <v>4693</v>
      </c>
      <c r="E9826" s="1741" t="s">
        <v>3900</v>
      </c>
      <c r="F9826" s="1741"/>
      <c r="G9826" s="1277" t="s">
        <v>19</v>
      </c>
      <c r="H9826" s="1218">
        <v>0.56999999999999995</v>
      </c>
      <c r="K9826" s="1192" t="s">
        <v>3901</v>
      </c>
      <c r="L9826" s="1192" t="s">
        <v>431</v>
      </c>
      <c r="P9826" s="1192" t="s">
        <v>3903</v>
      </c>
      <c r="T9826" s="1192">
        <v>44926</v>
      </c>
      <c r="V9826" s="1192">
        <v>64</v>
      </c>
    </row>
    <row r="9827" spans="1:22" s="1192" customFormat="1" ht="14.4" x14ac:dyDescent="0.3">
      <c r="A9827" s="1192" t="s">
        <v>4692</v>
      </c>
      <c r="B9827" s="1192" t="s">
        <v>4693</v>
      </c>
      <c r="E9827" s="1741" t="s">
        <v>80</v>
      </c>
      <c r="F9827" s="1741"/>
      <c r="G9827" s="1277" t="s">
        <v>20</v>
      </c>
      <c r="H9827" s="1219">
        <v>6.4000000000000003E-3</v>
      </c>
      <c r="K9827" s="1192" t="s">
        <v>3901</v>
      </c>
      <c r="L9827" s="1192" t="s">
        <v>430</v>
      </c>
      <c r="P9827" s="1192" t="s">
        <v>3904</v>
      </c>
      <c r="V9827" s="1192">
        <v>28</v>
      </c>
    </row>
    <row r="9828" spans="1:22" s="1192" customFormat="1" ht="14.4" x14ac:dyDescent="0.3">
      <c r="A9828" s="1192" t="s">
        <v>4692</v>
      </c>
      <c r="B9828" s="1192" t="s">
        <v>4693</v>
      </c>
      <c r="E9828" s="1741" t="s">
        <v>6506</v>
      </c>
      <c r="F9828" s="1998"/>
      <c r="G9828" s="1277" t="s">
        <v>20</v>
      </c>
      <c r="H9828" s="1219">
        <v>-1.2999999999999999E-3</v>
      </c>
      <c r="K9828" s="1192" t="s">
        <v>3901</v>
      </c>
      <c r="L9828" s="1192" t="s">
        <v>431</v>
      </c>
      <c r="P9828" s="1192" t="s">
        <v>3700</v>
      </c>
      <c r="T9828" s="1192">
        <v>44316</v>
      </c>
      <c r="V9828" s="1192">
        <v>139</v>
      </c>
    </row>
    <row r="9829" spans="1:22" s="1192" customFormat="1" ht="14.4" x14ac:dyDescent="0.3">
      <c r="A9829" s="1192" t="s">
        <v>4692</v>
      </c>
      <c r="B9829" s="1192" t="s">
        <v>4693</v>
      </c>
      <c r="E9829" s="1741" t="s">
        <v>6508</v>
      </c>
      <c r="F9829" s="1998"/>
      <c r="G9829" s="1277" t="s">
        <v>20</v>
      </c>
      <c r="H9829" s="1219">
        <v>-5.9999999999999995E-4</v>
      </c>
      <c r="K9829" s="1192" t="s">
        <v>3901</v>
      </c>
      <c r="L9829" s="1192" t="s">
        <v>431</v>
      </c>
      <c r="P9829" s="1192" t="s">
        <v>3911</v>
      </c>
      <c r="T9829" s="1192">
        <v>44316</v>
      </c>
      <c r="V9829" s="1192">
        <v>96</v>
      </c>
    </row>
    <row r="9830" spans="1:22" s="1192" customFormat="1" ht="14.4" x14ac:dyDescent="0.3">
      <c r="A9830" s="1192" t="s">
        <v>4692</v>
      </c>
      <c r="B9830" s="1192" t="s">
        <v>4693</v>
      </c>
      <c r="E9830" s="1741" t="s">
        <v>213</v>
      </c>
      <c r="F9830" s="1741"/>
      <c r="G9830" s="1277" t="s">
        <v>20</v>
      </c>
      <c r="H9830" s="1219">
        <v>6.3E-3</v>
      </c>
      <c r="K9830" s="1192" t="s">
        <v>3901</v>
      </c>
      <c r="L9830" s="1192" t="s">
        <v>432</v>
      </c>
      <c r="P9830" s="1192" t="s">
        <v>3906</v>
      </c>
      <c r="V9830" s="1192">
        <v>47</v>
      </c>
    </row>
    <row r="9831" spans="1:22" s="1192" customFormat="1" ht="14.4" x14ac:dyDescent="0.3">
      <c r="A9831" s="1192" t="s">
        <v>4692</v>
      </c>
      <c r="B9831" s="1192" t="s">
        <v>4693</v>
      </c>
      <c r="E9831" s="1741" t="s">
        <v>209</v>
      </c>
      <c r="F9831" s="1741"/>
      <c r="G9831" s="1277" t="s">
        <v>20</v>
      </c>
      <c r="H9831" s="1219">
        <v>1.8E-3</v>
      </c>
      <c r="K9831" s="1192" t="s">
        <v>3901</v>
      </c>
      <c r="L9831" s="1192" t="s">
        <v>432</v>
      </c>
      <c r="P9831" s="1192" t="s">
        <v>3907</v>
      </c>
      <c r="V9831" s="1192">
        <v>74</v>
      </c>
    </row>
    <row r="9832" spans="1:22" s="1192" customFormat="1" ht="14.4" x14ac:dyDescent="0.3">
      <c r="A9832" s="1192" t="s">
        <v>4692</v>
      </c>
      <c r="B9832" s="1192" t="s">
        <v>4693</v>
      </c>
      <c r="E9832" s="1750" t="s">
        <v>2405</v>
      </c>
      <c r="F9832" s="2008"/>
      <c r="G9832" s="1277"/>
      <c r="H9832" s="896"/>
      <c r="K9832" s="1192" t="s">
        <v>2418</v>
      </c>
      <c r="V9832" s="1192">
        <v>48</v>
      </c>
    </row>
    <row r="9833" spans="1:22" s="1192" customFormat="1" ht="14.4" x14ac:dyDescent="0.3">
      <c r="A9833" s="1192" t="s">
        <v>4692</v>
      </c>
      <c r="B9833" s="1192" t="s">
        <v>4693</v>
      </c>
      <c r="E9833" s="1741" t="s">
        <v>2033</v>
      </c>
      <c r="F9833" s="1741"/>
      <c r="G9833" s="1277" t="s">
        <v>20</v>
      </c>
      <c r="H9833" s="1219">
        <v>3.0000000000000001E-3</v>
      </c>
      <c r="K9833" s="1192" t="s">
        <v>3901</v>
      </c>
      <c r="L9833" s="1192" t="s">
        <v>2374</v>
      </c>
      <c r="P9833" s="1192" t="s">
        <v>3908</v>
      </c>
      <c r="V9833" s="1192">
        <v>55</v>
      </c>
    </row>
    <row r="9834" spans="1:22" s="1192" customFormat="1" ht="14.4" x14ac:dyDescent="0.3">
      <c r="A9834" s="1192" t="s">
        <v>4692</v>
      </c>
      <c r="B9834" s="1192" t="s">
        <v>4693</v>
      </c>
      <c r="E9834" s="1741" t="s">
        <v>2034</v>
      </c>
      <c r="F9834" s="1741"/>
      <c r="G9834" s="1277" t="s">
        <v>20</v>
      </c>
      <c r="H9834" s="1219">
        <v>4.0000000000000002E-4</v>
      </c>
      <c r="K9834" s="1192" t="s">
        <v>3901</v>
      </c>
      <c r="L9834" s="1192" t="s">
        <v>2374</v>
      </c>
      <c r="P9834" s="1192" t="s">
        <v>3908</v>
      </c>
      <c r="V9834" s="1192">
        <v>65</v>
      </c>
    </row>
    <row r="9835" spans="1:22" s="1192" customFormat="1" ht="14.4" x14ac:dyDescent="0.3">
      <c r="A9835" s="1192" t="s">
        <v>4692</v>
      </c>
      <c r="B9835" s="1192" t="s">
        <v>4693</v>
      </c>
      <c r="E9835" s="1741" t="s">
        <v>428</v>
      </c>
      <c r="F9835" s="1741"/>
      <c r="G9835" s="1277" t="s">
        <v>20</v>
      </c>
      <c r="H9835" s="1219">
        <v>5.0000000000000001E-4</v>
      </c>
      <c r="K9835" s="1192" t="s">
        <v>3901</v>
      </c>
      <c r="L9835" s="1192" t="s">
        <v>2374</v>
      </c>
      <c r="P9835" s="1192" t="s">
        <v>3909</v>
      </c>
      <c r="V9835" s="1192">
        <v>57</v>
      </c>
    </row>
    <row r="9836" spans="1:22" s="1192" customFormat="1" ht="14.4" x14ac:dyDescent="0.3">
      <c r="A9836" s="1192" t="s">
        <v>4692</v>
      </c>
      <c r="B9836" s="1192" t="s">
        <v>4693</v>
      </c>
      <c r="E9836" s="1741" t="s">
        <v>28</v>
      </c>
      <c r="F9836" s="1741"/>
      <c r="G9836" s="1277" t="s">
        <v>19</v>
      </c>
      <c r="H9836" s="1218">
        <v>0.25</v>
      </c>
      <c r="K9836" s="1192" t="s">
        <v>3901</v>
      </c>
      <c r="L9836" s="1192" t="s">
        <v>2374</v>
      </c>
      <c r="P9836" s="1192" t="s">
        <v>3910</v>
      </c>
      <c r="V9836" s="1192">
        <v>63</v>
      </c>
    </row>
    <row r="9837" spans="1:22" s="1192" customFormat="1" ht="17.399999999999999" x14ac:dyDescent="0.3">
      <c r="A9837" s="1192" t="s">
        <v>4692</v>
      </c>
      <c r="B9837" s="1192" t="s">
        <v>4693</v>
      </c>
      <c r="E9837" s="1746" t="s">
        <v>591</v>
      </c>
      <c r="F9837" s="1746"/>
      <c r="G9837" s="1746"/>
      <c r="H9837" s="1746"/>
      <c r="K9837" s="1192" t="s">
        <v>4388</v>
      </c>
      <c r="V9837" s="1192">
        <v>53</v>
      </c>
    </row>
    <row r="9838" spans="1:22" s="1192" customFormat="1" ht="14.4" x14ac:dyDescent="0.3">
      <c r="A9838" s="1192" t="s">
        <v>4692</v>
      </c>
      <c r="B9838" s="1192" t="s">
        <v>4693</v>
      </c>
      <c r="E9838" s="1743" t="s">
        <v>3147</v>
      </c>
      <c r="F9838" s="1743"/>
      <c r="G9838" s="1743"/>
      <c r="H9838" s="1743"/>
      <c r="K9838" s="1192" t="s">
        <v>4388</v>
      </c>
      <c r="V9838" s="1192">
        <v>424</v>
      </c>
    </row>
    <row r="9839" spans="1:22" s="1192" customFormat="1" ht="14.4" x14ac:dyDescent="0.3">
      <c r="A9839" s="1192" t="s">
        <v>4692</v>
      </c>
      <c r="B9839" s="1192" t="s">
        <v>4693</v>
      </c>
      <c r="E9839" s="1743" t="s">
        <v>3148</v>
      </c>
      <c r="F9839" s="1743"/>
      <c r="G9839" s="1743"/>
      <c r="H9839" s="1743"/>
      <c r="K9839" s="1192" t="s">
        <v>4388</v>
      </c>
      <c r="V9839" s="1192">
        <v>350</v>
      </c>
    </row>
    <row r="9840" spans="1:22" s="1192" customFormat="1" ht="14.4" x14ac:dyDescent="0.3">
      <c r="A9840" s="1192" t="s">
        <v>4692</v>
      </c>
      <c r="B9840" s="1192" t="s">
        <v>4693</v>
      </c>
      <c r="E9840" s="1743" t="s">
        <v>3149</v>
      </c>
      <c r="F9840" s="1743"/>
      <c r="G9840" s="1743"/>
      <c r="H9840" s="1743"/>
      <c r="K9840" s="1192" t="s">
        <v>4388</v>
      </c>
      <c r="V9840" s="1192">
        <v>264</v>
      </c>
    </row>
    <row r="9841" spans="1:22" s="1192" customFormat="1" ht="14.4" x14ac:dyDescent="0.3">
      <c r="A9841" s="1192" t="s">
        <v>4692</v>
      </c>
      <c r="B9841" s="1192" t="s">
        <v>4693</v>
      </c>
      <c r="E9841" s="1750" t="s">
        <v>2389</v>
      </c>
      <c r="F9841" s="2037"/>
      <c r="G9841" s="2037"/>
      <c r="H9841" s="2037"/>
      <c r="K9841" s="1192" t="s">
        <v>2422</v>
      </c>
      <c r="V9841" s="1192">
        <v>11</v>
      </c>
    </row>
    <row r="9842" spans="1:22" s="1192" customFormat="1" ht="14.4" x14ac:dyDescent="0.3">
      <c r="A9842" s="1192" t="s">
        <v>4692</v>
      </c>
      <c r="B9842" s="1192" t="s">
        <v>4693</v>
      </c>
      <c r="E9842" s="1743" t="s">
        <v>2391</v>
      </c>
      <c r="F9842" s="1743"/>
      <c r="G9842" s="1743"/>
      <c r="H9842" s="1743"/>
      <c r="K9842" s="1192" t="s">
        <v>4388</v>
      </c>
      <c r="V9842" s="1192">
        <v>280</v>
      </c>
    </row>
    <row r="9843" spans="1:22" s="1192" customFormat="1" ht="14.4" x14ac:dyDescent="0.3">
      <c r="A9843" s="1192" t="s">
        <v>4692</v>
      </c>
      <c r="B9843" s="1192" t="s">
        <v>4693</v>
      </c>
      <c r="E9843" s="1743" t="s">
        <v>2392</v>
      </c>
      <c r="F9843" s="1743"/>
      <c r="G9843" s="1743"/>
      <c r="H9843" s="1743"/>
      <c r="K9843" s="1192" t="s">
        <v>4388</v>
      </c>
      <c r="V9843" s="1192">
        <v>411</v>
      </c>
    </row>
    <row r="9844" spans="1:22" s="1192" customFormat="1" ht="14.4" x14ac:dyDescent="0.3">
      <c r="A9844" s="1192" t="s">
        <v>4692</v>
      </c>
      <c r="B9844" s="1192" t="s">
        <v>4693</v>
      </c>
      <c r="E9844" s="1743" t="s">
        <v>3146</v>
      </c>
      <c r="F9844" s="1743"/>
      <c r="G9844" s="1743"/>
      <c r="H9844" s="1743"/>
      <c r="K9844" s="1192" t="s">
        <v>4388</v>
      </c>
      <c r="V9844" s="1192">
        <v>390</v>
      </c>
    </row>
    <row r="9845" spans="1:22" s="1192" customFormat="1" ht="14.4" x14ac:dyDescent="0.3">
      <c r="A9845" s="1192" t="s">
        <v>4692</v>
      </c>
      <c r="B9845" s="1192" t="s">
        <v>4693</v>
      </c>
      <c r="E9845" s="1743" t="s">
        <v>4503</v>
      </c>
      <c r="F9845" s="1743"/>
      <c r="G9845" s="1743"/>
      <c r="H9845" s="1743"/>
      <c r="K9845" s="1192" t="s">
        <v>4388</v>
      </c>
      <c r="V9845" s="1192">
        <v>677</v>
      </c>
    </row>
    <row r="9846" spans="1:22" s="1192" customFormat="1" ht="14.4" x14ac:dyDescent="0.3">
      <c r="A9846" s="1192" t="s">
        <v>4692</v>
      </c>
      <c r="B9846" s="1192" t="s">
        <v>4693</v>
      </c>
      <c r="E9846" s="1743" t="s">
        <v>4605</v>
      </c>
      <c r="F9846" s="1743"/>
      <c r="G9846" s="1743"/>
      <c r="H9846" s="1743"/>
      <c r="K9846" s="1192" t="s">
        <v>4388</v>
      </c>
      <c r="V9846" s="1192">
        <v>684</v>
      </c>
    </row>
    <row r="9847" spans="1:22" s="1192" customFormat="1" ht="14.4" x14ac:dyDescent="0.3">
      <c r="A9847" s="1192" t="s">
        <v>4692</v>
      </c>
      <c r="B9847" s="1192" t="s">
        <v>4693</v>
      </c>
      <c r="E9847" s="1743" t="s">
        <v>4500</v>
      </c>
      <c r="F9847" s="1743"/>
      <c r="G9847" s="1743"/>
      <c r="H9847" s="1743"/>
      <c r="K9847" s="1192" t="s">
        <v>4388</v>
      </c>
      <c r="V9847" s="1192">
        <v>247</v>
      </c>
    </row>
    <row r="9848" spans="1:22" s="1192" customFormat="1" ht="14.4" x14ac:dyDescent="0.3">
      <c r="A9848" s="1192" t="s">
        <v>4692</v>
      </c>
      <c r="B9848" s="1192" t="s">
        <v>4693</v>
      </c>
      <c r="E9848" s="1750" t="s">
        <v>2394</v>
      </c>
      <c r="F9848" s="2037"/>
      <c r="G9848" s="2037"/>
      <c r="H9848" s="2037"/>
      <c r="K9848" s="1192" t="s">
        <v>2423</v>
      </c>
      <c r="V9848" s="1192">
        <v>46</v>
      </c>
    </row>
    <row r="9849" spans="1:22" s="1192" customFormat="1" ht="14.4" x14ac:dyDescent="0.3">
      <c r="A9849" s="1192" t="s">
        <v>4692</v>
      </c>
      <c r="B9849" s="1192" t="s">
        <v>4693</v>
      </c>
      <c r="E9849" s="1741" t="s">
        <v>7</v>
      </c>
      <c r="F9849" s="1741"/>
      <c r="G9849" s="1277" t="s">
        <v>19</v>
      </c>
      <c r="H9849" s="1218">
        <v>558.59</v>
      </c>
      <c r="K9849" s="1192" t="s">
        <v>4388</v>
      </c>
      <c r="L9849" s="1192" t="s">
        <v>430</v>
      </c>
      <c r="P9849" s="1192" t="s">
        <v>4389</v>
      </c>
      <c r="V9849" s="1192">
        <v>14</v>
      </c>
    </row>
    <row r="9850" spans="1:22" s="1192" customFormat="1" ht="14.4" x14ac:dyDescent="0.3">
      <c r="A9850" s="1192" t="s">
        <v>4692</v>
      </c>
      <c r="B9850" s="1192" t="s">
        <v>4693</v>
      </c>
      <c r="E9850" s="1741" t="s">
        <v>80</v>
      </c>
      <c r="F9850" s="1741"/>
      <c r="G9850" s="1277" t="s">
        <v>29</v>
      </c>
      <c r="H9850" s="1219">
        <v>1.7799</v>
      </c>
      <c r="K9850" s="1192" t="s">
        <v>4388</v>
      </c>
      <c r="L9850" s="1192" t="s">
        <v>430</v>
      </c>
      <c r="P9850" s="1192" t="s">
        <v>4390</v>
      </c>
      <c r="V9850" s="1192">
        <v>28</v>
      </c>
    </row>
    <row r="9851" spans="1:22" s="1192" customFormat="1" ht="14.4" x14ac:dyDescent="0.3">
      <c r="A9851" s="1192" t="s">
        <v>4692</v>
      </c>
      <c r="B9851" s="1192" t="s">
        <v>4693</v>
      </c>
      <c r="E9851" s="1741" t="s">
        <v>6506</v>
      </c>
      <c r="F9851" s="1998"/>
      <c r="G9851" s="1277" t="s">
        <v>20</v>
      </c>
      <c r="H9851" s="1219">
        <v>-1.2999999999999999E-3</v>
      </c>
      <c r="K9851" s="1192" t="s">
        <v>4388</v>
      </c>
      <c r="L9851" s="1192" t="s">
        <v>431</v>
      </c>
      <c r="P9851" s="1192" t="s">
        <v>4397</v>
      </c>
      <c r="T9851" s="1192">
        <v>44316</v>
      </c>
      <c r="V9851" s="1192">
        <v>139</v>
      </c>
    </row>
    <row r="9852" spans="1:22" s="1192" customFormat="1" ht="14.4" x14ac:dyDescent="0.3">
      <c r="A9852" s="1192" t="s">
        <v>4692</v>
      </c>
      <c r="B9852" s="1192" t="s">
        <v>4693</v>
      </c>
      <c r="E9852" s="1741" t="s">
        <v>6508</v>
      </c>
      <c r="F9852" s="1998"/>
      <c r="G9852" s="1277" t="s">
        <v>29</v>
      </c>
      <c r="H9852" s="1219">
        <v>-0.26100000000000001</v>
      </c>
      <c r="K9852" s="1192" t="s">
        <v>4388</v>
      </c>
      <c r="L9852" s="1192" t="s">
        <v>431</v>
      </c>
      <c r="P9852" s="1192" t="s">
        <v>4398</v>
      </c>
      <c r="T9852" s="1192">
        <v>44316</v>
      </c>
      <c r="V9852" s="1192">
        <v>96</v>
      </c>
    </row>
    <row r="9853" spans="1:22" s="1192" customFormat="1" ht="14.4" x14ac:dyDescent="0.3">
      <c r="A9853" s="1192" t="s">
        <v>4692</v>
      </c>
      <c r="B9853" s="1192" t="s">
        <v>4693</v>
      </c>
      <c r="E9853" s="1741" t="s">
        <v>213</v>
      </c>
      <c r="F9853" s="1741"/>
      <c r="G9853" s="1277" t="s">
        <v>29</v>
      </c>
      <c r="H9853" s="1219">
        <v>2.6507000000000001</v>
      </c>
      <c r="K9853" s="1192" t="s">
        <v>4388</v>
      </c>
      <c r="L9853" s="1192" t="s">
        <v>432</v>
      </c>
      <c r="P9853" s="1192" t="s">
        <v>4392</v>
      </c>
      <c r="V9853" s="1192">
        <v>47</v>
      </c>
    </row>
    <row r="9854" spans="1:22" s="1192" customFormat="1" ht="14.4" x14ac:dyDescent="0.3">
      <c r="A9854" s="1192" t="s">
        <v>4692</v>
      </c>
      <c r="B9854" s="1192" t="s">
        <v>4693</v>
      </c>
      <c r="E9854" s="1741" t="s">
        <v>209</v>
      </c>
      <c r="F9854" s="1741"/>
      <c r="G9854" s="1277" t="s">
        <v>29</v>
      </c>
      <c r="H9854" s="1219">
        <v>0.67110000000000003</v>
      </c>
      <c r="K9854" s="1192" t="s">
        <v>4388</v>
      </c>
      <c r="L9854" s="1192" t="s">
        <v>432</v>
      </c>
      <c r="P9854" s="1192" t="s">
        <v>4393</v>
      </c>
      <c r="V9854" s="1192">
        <v>74</v>
      </c>
    </row>
    <row r="9855" spans="1:22" s="1192" customFormat="1" ht="14.4" x14ac:dyDescent="0.3">
      <c r="A9855" s="1192" t="s">
        <v>4692</v>
      </c>
      <c r="B9855" s="1192" t="s">
        <v>4693</v>
      </c>
      <c r="E9855" s="1750" t="s">
        <v>2405</v>
      </c>
      <c r="F9855" s="2008"/>
      <c r="G9855" s="1277"/>
      <c r="H9855" s="896"/>
      <c r="K9855" s="1192" t="s">
        <v>2526</v>
      </c>
      <c r="V9855" s="1192">
        <v>48</v>
      </c>
    </row>
    <row r="9856" spans="1:22" s="1192" customFormat="1" ht="14.4" x14ac:dyDescent="0.3">
      <c r="A9856" s="1192" t="s">
        <v>4692</v>
      </c>
      <c r="B9856" s="1192" t="s">
        <v>4693</v>
      </c>
      <c r="E9856" s="1741" t="s">
        <v>2033</v>
      </c>
      <c r="F9856" s="1741"/>
      <c r="G9856" s="1277" t="s">
        <v>20</v>
      </c>
      <c r="H9856" s="1219">
        <v>3.0000000000000001E-3</v>
      </c>
      <c r="K9856" s="1192" t="s">
        <v>4388</v>
      </c>
      <c r="L9856" s="1192" t="s">
        <v>2374</v>
      </c>
      <c r="P9856" s="1192" t="s">
        <v>4394</v>
      </c>
      <c r="V9856" s="1192">
        <v>55</v>
      </c>
    </row>
    <row r="9857" spans="1:22" s="1192" customFormat="1" ht="14.4" x14ac:dyDescent="0.3">
      <c r="A9857" s="1192" t="s">
        <v>4692</v>
      </c>
      <c r="B9857" s="1192" t="s">
        <v>4693</v>
      </c>
      <c r="E9857" s="1741" t="s">
        <v>2034</v>
      </c>
      <c r="F9857" s="1741"/>
      <c r="G9857" s="1277" t="s">
        <v>20</v>
      </c>
      <c r="H9857" s="1219">
        <v>4.0000000000000002E-4</v>
      </c>
      <c r="K9857" s="1192" t="s">
        <v>4388</v>
      </c>
      <c r="L9857" s="1192" t="s">
        <v>2374</v>
      </c>
      <c r="P9857" s="1192" t="s">
        <v>4394</v>
      </c>
      <c r="V9857" s="1192">
        <v>65</v>
      </c>
    </row>
    <row r="9858" spans="1:22" s="1192" customFormat="1" ht="14.4" x14ac:dyDescent="0.3">
      <c r="A9858" s="1192" t="s">
        <v>4692</v>
      </c>
      <c r="B9858" s="1192" t="s">
        <v>4693</v>
      </c>
      <c r="E9858" s="1741" t="s">
        <v>428</v>
      </c>
      <c r="F9858" s="1741"/>
      <c r="G9858" s="1277" t="s">
        <v>20</v>
      </c>
      <c r="H9858" s="1219">
        <v>5.0000000000000001E-4</v>
      </c>
      <c r="K9858" s="1192" t="s">
        <v>4388</v>
      </c>
      <c r="L9858" s="1192" t="s">
        <v>2374</v>
      </c>
      <c r="P9858" s="1192" t="s">
        <v>4395</v>
      </c>
      <c r="V9858" s="1192">
        <v>57</v>
      </c>
    </row>
    <row r="9859" spans="1:22" s="1192" customFormat="1" ht="14.4" x14ac:dyDescent="0.3">
      <c r="A9859" s="1192" t="s">
        <v>4692</v>
      </c>
      <c r="B9859" s="1192" t="s">
        <v>4693</v>
      </c>
      <c r="E9859" s="1741" t="s">
        <v>28</v>
      </c>
      <c r="F9859" s="1741"/>
      <c r="G9859" s="1277" t="s">
        <v>19</v>
      </c>
      <c r="H9859" s="1218">
        <v>0.25</v>
      </c>
      <c r="K9859" s="1192" t="s">
        <v>4388</v>
      </c>
      <c r="L9859" s="1192" t="s">
        <v>2374</v>
      </c>
      <c r="P9859" s="1192" t="s">
        <v>4396</v>
      </c>
      <c r="V9859" s="1192">
        <v>63</v>
      </c>
    </row>
    <row r="9860" spans="1:22" s="1192" customFormat="1" ht="17.399999999999999" x14ac:dyDescent="0.3">
      <c r="A9860" s="1192" t="s">
        <v>4692</v>
      </c>
      <c r="B9860" s="1192" t="s">
        <v>4693</v>
      </c>
      <c r="E9860" s="1746" t="s">
        <v>592</v>
      </c>
      <c r="F9860" s="1746"/>
      <c r="G9860" s="1746"/>
      <c r="H9860" s="1746"/>
      <c r="K9860" s="1192" t="s">
        <v>2676</v>
      </c>
      <c r="V9860" s="1192">
        <v>47</v>
      </c>
    </row>
    <row r="9861" spans="1:22" s="1192" customFormat="1" ht="14.4" x14ac:dyDescent="0.3">
      <c r="A9861" s="1192" t="s">
        <v>4692</v>
      </c>
      <c r="B9861" s="1192" t="s">
        <v>4693</v>
      </c>
      <c r="E9861" s="1743" t="s">
        <v>3150</v>
      </c>
      <c r="F9861" s="1743"/>
      <c r="G9861" s="1743"/>
      <c r="H9861" s="1743"/>
      <c r="K9861" s="1192" t="s">
        <v>2676</v>
      </c>
      <c r="V9861" s="1192">
        <v>686</v>
      </c>
    </row>
    <row r="9862" spans="1:22" s="1192" customFormat="1" ht="14.4" x14ac:dyDescent="0.3">
      <c r="A9862" s="1192" t="s">
        <v>4692</v>
      </c>
      <c r="B9862" s="1192" t="s">
        <v>4693</v>
      </c>
      <c r="E9862" s="1750" t="s">
        <v>2389</v>
      </c>
      <c r="F9862" s="2037"/>
      <c r="G9862" s="2037"/>
      <c r="H9862" s="2037"/>
      <c r="K9862" s="1192" t="s">
        <v>2529</v>
      </c>
      <c r="V9862" s="1192">
        <v>11</v>
      </c>
    </row>
    <row r="9863" spans="1:22" s="1192" customFormat="1" ht="14.4" x14ac:dyDescent="0.3">
      <c r="A9863" s="1192" t="s">
        <v>4692</v>
      </c>
      <c r="B9863" s="1192" t="s">
        <v>4693</v>
      </c>
      <c r="E9863" s="1743" t="s">
        <v>2391</v>
      </c>
      <c r="F9863" s="1743"/>
      <c r="G9863" s="1743"/>
      <c r="H9863" s="1743"/>
      <c r="K9863" s="1192" t="s">
        <v>2676</v>
      </c>
      <c r="V9863" s="1192">
        <v>280</v>
      </c>
    </row>
    <row r="9864" spans="1:22" s="1192" customFormat="1" ht="14.4" x14ac:dyDescent="0.3">
      <c r="A9864" s="1192" t="s">
        <v>4692</v>
      </c>
      <c r="B9864" s="1192" t="s">
        <v>4693</v>
      </c>
      <c r="E9864" s="1743" t="s">
        <v>2392</v>
      </c>
      <c r="F9864" s="1743"/>
      <c r="G9864" s="1743"/>
      <c r="H9864" s="1743"/>
      <c r="K9864" s="1192" t="s">
        <v>2676</v>
      </c>
      <c r="V9864" s="1192">
        <v>411</v>
      </c>
    </row>
    <row r="9865" spans="1:22" s="1192" customFormat="1" ht="14.4" x14ac:dyDescent="0.3">
      <c r="A9865" s="1192" t="s">
        <v>4692</v>
      </c>
      <c r="B9865" s="1192" t="s">
        <v>4693</v>
      </c>
      <c r="E9865" s="1743" t="s">
        <v>3146</v>
      </c>
      <c r="F9865" s="1743"/>
      <c r="G9865" s="1743"/>
      <c r="H9865" s="1743"/>
      <c r="K9865" s="1192" t="s">
        <v>2676</v>
      </c>
      <c r="V9865" s="1192">
        <v>390</v>
      </c>
    </row>
    <row r="9866" spans="1:22" s="1192" customFormat="1" ht="14.4" x14ac:dyDescent="0.3">
      <c r="A9866" s="1192" t="s">
        <v>4692</v>
      </c>
      <c r="B9866" s="1192" t="s">
        <v>4693</v>
      </c>
      <c r="E9866" s="1743" t="s">
        <v>4500</v>
      </c>
      <c r="F9866" s="1743"/>
      <c r="G9866" s="1743"/>
      <c r="H9866" s="1743"/>
      <c r="K9866" s="1192" t="s">
        <v>2676</v>
      </c>
      <c r="V9866" s="1192">
        <v>247</v>
      </c>
    </row>
    <row r="9867" spans="1:22" s="1192" customFormat="1" ht="14.4" x14ac:dyDescent="0.3">
      <c r="A9867" s="1192" t="s">
        <v>4692</v>
      </c>
      <c r="B9867" s="1192" t="s">
        <v>4693</v>
      </c>
      <c r="E9867" s="1750" t="s">
        <v>2394</v>
      </c>
      <c r="F9867" s="2037"/>
      <c r="G9867" s="2037"/>
      <c r="H9867" s="2037"/>
      <c r="K9867" s="1192" t="s">
        <v>2531</v>
      </c>
      <c r="V9867" s="1192">
        <v>46</v>
      </c>
    </row>
    <row r="9868" spans="1:22" s="1192" customFormat="1" ht="14.4" x14ac:dyDescent="0.3">
      <c r="A9868" s="1192" t="s">
        <v>4692</v>
      </c>
      <c r="B9868" s="1192" t="s">
        <v>4693</v>
      </c>
      <c r="E9868" s="1741" t="s">
        <v>8</v>
      </c>
      <c r="F9868" s="1741"/>
      <c r="G9868" s="1277" t="s">
        <v>19</v>
      </c>
      <c r="H9868" s="1218">
        <v>14.66</v>
      </c>
      <c r="K9868" s="1192" t="s">
        <v>2676</v>
      </c>
      <c r="L9868" s="1192" t="s">
        <v>430</v>
      </c>
      <c r="P9868" s="1192" t="s">
        <v>2678</v>
      </c>
      <c r="V9868" s="1192">
        <v>31</v>
      </c>
    </row>
    <row r="9869" spans="1:22" s="1192" customFormat="1" ht="14.4" x14ac:dyDescent="0.3">
      <c r="A9869" s="1192" t="s">
        <v>4692</v>
      </c>
      <c r="B9869" s="1192" t="s">
        <v>4693</v>
      </c>
      <c r="E9869" s="1741" t="s">
        <v>80</v>
      </c>
      <c r="F9869" s="1741"/>
      <c r="G9869" s="1277" t="s">
        <v>20</v>
      </c>
      <c r="H9869" s="1219">
        <v>4.4000000000000003E-3</v>
      </c>
      <c r="K9869" s="1192" t="s">
        <v>2676</v>
      </c>
      <c r="L9869" s="1192" t="s">
        <v>430</v>
      </c>
      <c r="P9869" s="1192" t="s">
        <v>2679</v>
      </c>
      <c r="V9869" s="1192">
        <v>28</v>
      </c>
    </row>
    <row r="9870" spans="1:22" s="1192" customFormat="1" ht="14.4" x14ac:dyDescent="0.3">
      <c r="A9870" s="1192" t="s">
        <v>4692</v>
      </c>
      <c r="B9870" s="1192" t="s">
        <v>4693</v>
      </c>
      <c r="E9870" s="1741" t="s">
        <v>6506</v>
      </c>
      <c r="F9870" s="1998"/>
      <c r="G9870" s="1277" t="s">
        <v>20</v>
      </c>
      <c r="H9870" s="1219">
        <v>-1.2999999999999999E-3</v>
      </c>
      <c r="K9870" s="1192" t="s">
        <v>2676</v>
      </c>
      <c r="L9870" s="1192" t="s">
        <v>431</v>
      </c>
      <c r="P9870" s="1192" t="s">
        <v>2810</v>
      </c>
      <c r="T9870" s="1192">
        <v>44316</v>
      </c>
      <c r="V9870" s="1192">
        <v>139</v>
      </c>
    </row>
    <row r="9871" spans="1:22" s="1192" customFormat="1" ht="14.4" x14ac:dyDescent="0.3">
      <c r="A9871" s="1192" t="s">
        <v>4692</v>
      </c>
      <c r="B9871" s="1192" t="s">
        <v>4693</v>
      </c>
      <c r="E9871" s="1741" t="s">
        <v>6508</v>
      </c>
      <c r="F9871" s="1998"/>
      <c r="G9871" s="1277" t="s">
        <v>20</v>
      </c>
      <c r="H9871" s="1219">
        <v>-5.9999999999999995E-4</v>
      </c>
      <c r="K9871" s="1192" t="s">
        <v>2676</v>
      </c>
      <c r="L9871" s="1192" t="s">
        <v>431</v>
      </c>
      <c r="P9871" s="1192" t="s">
        <v>2681</v>
      </c>
      <c r="T9871" s="1192">
        <v>44316</v>
      </c>
      <c r="V9871" s="1192">
        <v>96</v>
      </c>
    </row>
    <row r="9872" spans="1:22" s="1192" customFormat="1" ht="14.4" x14ac:dyDescent="0.3">
      <c r="A9872" s="1192" t="s">
        <v>4692</v>
      </c>
      <c r="B9872" s="1192" t="s">
        <v>4693</v>
      </c>
      <c r="E9872" s="1741" t="s">
        <v>213</v>
      </c>
      <c r="F9872" s="1741"/>
      <c r="G9872" s="1277" t="s">
        <v>20</v>
      </c>
      <c r="H9872" s="1219">
        <v>6.3E-3</v>
      </c>
      <c r="K9872" s="1192" t="s">
        <v>2676</v>
      </c>
      <c r="L9872" s="1192" t="s">
        <v>432</v>
      </c>
      <c r="P9872" s="1192" t="s">
        <v>2682</v>
      </c>
      <c r="V9872" s="1192">
        <v>47</v>
      </c>
    </row>
    <row r="9873" spans="1:22" s="1192" customFormat="1" ht="14.4" x14ac:dyDescent="0.3">
      <c r="A9873" s="1192" t="s">
        <v>4692</v>
      </c>
      <c r="B9873" s="1192" t="s">
        <v>4693</v>
      </c>
      <c r="E9873" s="1741" t="s">
        <v>209</v>
      </c>
      <c r="F9873" s="1741"/>
      <c r="G9873" s="1277" t="s">
        <v>20</v>
      </c>
      <c r="H9873" s="1219">
        <v>1.8E-3</v>
      </c>
      <c r="K9873" s="1192" t="s">
        <v>2676</v>
      </c>
      <c r="L9873" s="1192" t="s">
        <v>432</v>
      </c>
      <c r="P9873" s="1192" t="s">
        <v>2683</v>
      </c>
      <c r="V9873" s="1192">
        <v>74</v>
      </c>
    </row>
    <row r="9874" spans="1:22" s="1192" customFormat="1" ht="14.4" x14ac:dyDescent="0.3">
      <c r="A9874" s="1192" t="s">
        <v>4692</v>
      </c>
      <c r="B9874" s="1192" t="s">
        <v>4693</v>
      </c>
      <c r="E9874" s="1750" t="s">
        <v>2405</v>
      </c>
      <c r="F9874" s="2008"/>
      <c r="G9874" s="1277"/>
      <c r="H9874" s="896"/>
      <c r="K9874" s="1192" t="s">
        <v>2532</v>
      </c>
      <c r="V9874" s="1192">
        <v>48</v>
      </c>
    </row>
    <row r="9875" spans="1:22" s="1192" customFormat="1" ht="14.4" x14ac:dyDescent="0.3">
      <c r="A9875" s="1192" t="s">
        <v>4692</v>
      </c>
      <c r="B9875" s="1192" t="s">
        <v>4693</v>
      </c>
      <c r="E9875" s="1741" t="s">
        <v>2033</v>
      </c>
      <c r="F9875" s="1741"/>
      <c r="G9875" s="1277" t="s">
        <v>20</v>
      </c>
      <c r="H9875" s="1219">
        <v>3.0000000000000001E-3</v>
      </c>
      <c r="K9875" s="1192" t="s">
        <v>2676</v>
      </c>
      <c r="L9875" s="1192" t="s">
        <v>2374</v>
      </c>
      <c r="P9875" s="1192" t="s">
        <v>2684</v>
      </c>
      <c r="V9875" s="1192">
        <v>55</v>
      </c>
    </row>
    <row r="9876" spans="1:22" s="1192" customFormat="1" ht="14.4" x14ac:dyDescent="0.3">
      <c r="A9876" s="1192" t="s">
        <v>4692</v>
      </c>
      <c r="B9876" s="1192" t="s">
        <v>4693</v>
      </c>
      <c r="E9876" s="1741" t="s">
        <v>2034</v>
      </c>
      <c r="F9876" s="1741"/>
      <c r="G9876" s="1277" t="s">
        <v>20</v>
      </c>
      <c r="H9876" s="1219">
        <v>4.0000000000000002E-4</v>
      </c>
      <c r="K9876" s="1192" t="s">
        <v>2676</v>
      </c>
      <c r="L9876" s="1192" t="s">
        <v>2374</v>
      </c>
      <c r="P9876" s="1192" t="s">
        <v>2684</v>
      </c>
      <c r="V9876" s="1192">
        <v>65</v>
      </c>
    </row>
    <row r="9877" spans="1:22" s="1192" customFormat="1" ht="14.4" x14ac:dyDescent="0.3">
      <c r="A9877" s="1192" t="s">
        <v>4692</v>
      </c>
      <c r="B9877" s="1192" t="s">
        <v>4693</v>
      </c>
      <c r="E9877" s="1741" t="s">
        <v>428</v>
      </c>
      <c r="F9877" s="1741"/>
      <c r="G9877" s="1277" t="s">
        <v>20</v>
      </c>
      <c r="H9877" s="1219">
        <v>5.0000000000000001E-4</v>
      </c>
      <c r="K9877" s="1192" t="s">
        <v>2676</v>
      </c>
      <c r="L9877" s="1192" t="s">
        <v>2374</v>
      </c>
      <c r="P9877" s="1192" t="s">
        <v>2685</v>
      </c>
      <c r="V9877" s="1192">
        <v>57</v>
      </c>
    </row>
    <row r="9878" spans="1:22" s="1192" customFormat="1" ht="14.4" x14ac:dyDescent="0.3">
      <c r="A9878" s="1192" t="s">
        <v>4692</v>
      </c>
      <c r="B9878" s="1192" t="s">
        <v>4693</v>
      </c>
      <c r="E9878" s="1741" t="s">
        <v>28</v>
      </c>
      <c r="F9878" s="1741"/>
      <c r="G9878" s="1277" t="s">
        <v>19</v>
      </c>
      <c r="H9878" s="1218">
        <v>0.25</v>
      </c>
      <c r="K9878" s="1192" t="s">
        <v>2676</v>
      </c>
      <c r="L9878" s="1192" t="s">
        <v>2374</v>
      </c>
      <c r="P9878" s="1192" t="s">
        <v>2686</v>
      </c>
      <c r="V9878" s="1192">
        <v>63</v>
      </c>
    </row>
    <row r="9879" spans="1:22" s="1192" customFormat="1" ht="17.399999999999999" x14ac:dyDescent="0.3">
      <c r="A9879" s="1192" t="s">
        <v>4692</v>
      </c>
      <c r="B9879" s="1192" t="s">
        <v>4693</v>
      </c>
      <c r="E9879" s="1746" t="s">
        <v>590</v>
      </c>
      <c r="F9879" s="1746"/>
      <c r="G9879" s="1746"/>
      <c r="H9879" s="1746"/>
      <c r="K9879" s="1192" t="s">
        <v>2687</v>
      </c>
      <c r="V9879" s="1192">
        <v>38</v>
      </c>
    </row>
    <row r="9880" spans="1:22" s="1192" customFormat="1" ht="14.4" x14ac:dyDescent="0.3">
      <c r="A9880" s="1192" t="s">
        <v>4692</v>
      </c>
      <c r="B9880" s="1192" t="s">
        <v>4693</v>
      </c>
      <c r="E9880" s="1743" t="s">
        <v>3151</v>
      </c>
      <c r="F9880" s="1743"/>
      <c r="G9880" s="1743"/>
      <c r="H9880" s="1743"/>
      <c r="K9880" s="1192" t="s">
        <v>2687</v>
      </c>
      <c r="V9880" s="1192">
        <v>593</v>
      </c>
    </row>
    <row r="9881" spans="1:22" s="1192" customFormat="1" ht="14.4" x14ac:dyDescent="0.3">
      <c r="A9881" s="1192" t="s">
        <v>4692</v>
      </c>
      <c r="B9881" s="1192" t="s">
        <v>4693</v>
      </c>
      <c r="E9881" s="1750" t="s">
        <v>2389</v>
      </c>
      <c r="F9881" s="2037"/>
      <c r="G9881" s="2037"/>
      <c r="H9881" s="2037"/>
      <c r="K9881" s="1192" t="s">
        <v>2424</v>
      </c>
      <c r="V9881" s="1192">
        <v>11</v>
      </c>
    </row>
    <row r="9882" spans="1:22" s="1192" customFormat="1" ht="14.4" x14ac:dyDescent="0.3">
      <c r="A9882" s="1192" t="s">
        <v>4692</v>
      </c>
      <c r="B9882" s="1192" t="s">
        <v>4693</v>
      </c>
      <c r="E9882" s="1743" t="s">
        <v>2391</v>
      </c>
      <c r="F9882" s="1743"/>
      <c r="G9882" s="1743"/>
      <c r="H9882" s="1743"/>
      <c r="K9882" s="1192" t="s">
        <v>2687</v>
      </c>
      <c r="V9882" s="1192">
        <v>280</v>
      </c>
    </row>
    <row r="9883" spans="1:22" s="1192" customFormat="1" ht="14.4" x14ac:dyDescent="0.3">
      <c r="A9883" s="1192" t="s">
        <v>4692</v>
      </c>
      <c r="B9883" s="1192" t="s">
        <v>4693</v>
      </c>
      <c r="E9883" s="1743" t="s">
        <v>2392</v>
      </c>
      <c r="F9883" s="1743"/>
      <c r="G9883" s="1743"/>
      <c r="H9883" s="1743"/>
      <c r="K9883" s="1192" t="s">
        <v>2687</v>
      </c>
      <c r="V9883" s="1192">
        <v>411</v>
      </c>
    </row>
    <row r="9884" spans="1:22" s="1192" customFormat="1" ht="14.4" x14ac:dyDescent="0.3">
      <c r="A9884" s="1192" t="s">
        <v>4692</v>
      </c>
      <c r="B9884" s="1192" t="s">
        <v>4693</v>
      </c>
      <c r="E9884" s="1743" t="s">
        <v>3146</v>
      </c>
      <c r="F9884" s="1743"/>
      <c r="G9884" s="1743"/>
      <c r="H9884" s="1743"/>
      <c r="K9884" s="1192" t="s">
        <v>2687</v>
      </c>
      <c r="V9884" s="1192">
        <v>390</v>
      </c>
    </row>
    <row r="9885" spans="1:22" s="1192" customFormat="1" ht="14.4" x14ac:dyDescent="0.3">
      <c r="A9885" s="1192" t="s">
        <v>4692</v>
      </c>
      <c r="B9885" s="1192" t="s">
        <v>4693</v>
      </c>
      <c r="E9885" s="1743" t="s">
        <v>4500</v>
      </c>
      <c r="F9885" s="1743"/>
      <c r="G9885" s="1743"/>
      <c r="H9885" s="1743"/>
      <c r="K9885" s="1192" t="s">
        <v>2687</v>
      </c>
      <c r="V9885" s="1192">
        <v>247</v>
      </c>
    </row>
    <row r="9886" spans="1:22" s="1192" customFormat="1" ht="14.4" x14ac:dyDescent="0.3">
      <c r="A9886" s="1192" t="s">
        <v>4692</v>
      </c>
      <c r="B9886" s="1192" t="s">
        <v>4693</v>
      </c>
      <c r="E9886" s="1750" t="s">
        <v>2394</v>
      </c>
      <c r="F9886" s="2037"/>
      <c r="G9886" s="2037"/>
      <c r="H9886" s="2037"/>
      <c r="K9886" s="1192" t="s">
        <v>2425</v>
      </c>
      <c r="V9886" s="1192">
        <v>46</v>
      </c>
    </row>
    <row r="9887" spans="1:22" s="1192" customFormat="1" ht="14.4" x14ac:dyDescent="0.3">
      <c r="A9887" s="1192" t="s">
        <v>4692</v>
      </c>
      <c r="B9887" s="1192" t="s">
        <v>4693</v>
      </c>
      <c r="E9887" s="1741" t="s">
        <v>8</v>
      </c>
      <c r="F9887" s="1741"/>
      <c r="G9887" s="1277" t="s">
        <v>19</v>
      </c>
      <c r="H9887" s="1218">
        <v>5.38</v>
      </c>
      <c r="K9887" s="1192" t="s">
        <v>2687</v>
      </c>
      <c r="L9887" s="1192" t="s">
        <v>430</v>
      </c>
      <c r="P9887" s="1192" t="s">
        <v>2689</v>
      </c>
      <c r="V9887" s="1192">
        <v>31</v>
      </c>
    </row>
    <row r="9888" spans="1:22" s="1192" customFormat="1" ht="14.4" x14ac:dyDescent="0.3">
      <c r="A9888" s="1192" t="s">
        <v>4692</v>
      </c>
      <c r="B9888" s="1192" t="s">
        <v>4693</v>
      </c>
      <c r="E9888" s="1741" t="s">
        <v>80</v>
      </c>
      <c r="F9888" s="1741"/>
      <c r="G9888" s="1277" t="s">
        <v>29</v>
      </c>
      <c r="H9888" s="1219">
        <v>3.5428999999999999</v>
      </c>
      <c r="K9888" s="1192" t="s">
        <v>2687</v>
      </c>
      <c r="L9888" s="1192" t="s">
        <v>430</v>
      </c>
      <c r="P9888" s="1192" t="s">
        <v>2690</v>
      </c>
      <c r="V9888" s="1192">
        <v>28</v>
      </c>
    </row>
    <row r="9889" spans="1:22" s="1192" customFormat="1" ht="14.4" x14ac:dyDescent="0.3">
      <c r="A9889" s="1192" t="s">
        <v>4692</v>
      </c>
      <c r="B9889" s="1192" t="s">
        <v>4693</v>
      </c>
      <c r="E9889" s="1741" t="s">
        <v>6506</v>
      </c>
      <c r="F9889" s="1998"/>
      <c r="G9889" s="1277" t="s">
        <v>20</v>
      </c>
      <c r="H9889" s="1219">
        <v>-1.2999999999999999E-3</v>
      </c>
      <c r="K9889" s="1192" t="s">
        <v>2687</v>
      </c>
      <c r="L9889" s="1192" t="s">
        <v>431</v>
      </c>
      <c r="P9889" s="1192" t="s">
        <v>2691</v>
      </c>
      <c r="T9889" s="1192">
        <v>44316</v>
      </c>
      <c r="V9889" s="1192">
        <v>139</v>
      </c>
    </row>
    <row r="9890" spans="1:22" s="1192" customFormat="1" ht="14.4" x14ac:dyDescent="0.3">
      <c r="A9890" s="1192" t="s">
        <v>4692</v>
      </c>
      <c r="B9890" s="1192" t="s">
        <v>4693</v>
      </c>
      <c r="E9890" s="1741" t="s">
        <v>6508</v>
      </c>
      <c r="F9890" s="1998"/>
      <c r="G9890" s="1277" t="s">
        <v>20</v>
      </c>
      <c r="H9890" s="1219">
        <v>-5.9999999999999995E-4</v>
      </c>
      <c r="K9890" s="1192" t="s">
        <v>2687</v>
      </c>
      <c r="L9890" s="1192" t="s">
        <v>431</v>
      </c>
      <c r="P9890" s="1192" t="s">
        <v>2693</v>
      </c>
      <c r="T9890" s="1192">
        <v>44316</v>
      </c>
      <c r="V9890" s="1192">
        <v>96</v>
      </c>
    </row>
    <row r="9891" spans="1:22" s="1192" customFormat="1" ht="14.4" x14ac:dyDescent="0.3">
      <c r="A9891" s="1192" t="s">
        <v>4692</v>
      </c>
      <c r="B9891" s="1192" t="s">
        <v>4693</v>
      </c>
      <c r="E9891" s="1741" t="s">
        <v>213</v>
      </c>
      <c r="F9891" s="1741"/>
      <c r="G9891" s="1277" t="s">
        <v>29</v>
      </c>
      <c r="H9891" s="1219">
        <v>1.9987999999999999</v>
      </c>
      <c r="K9891" s="1192" t="s">
        <v>2687</v>
      </c>
      <c r="L9891" s="1192" t="s">
        <v>432</v>
      </c>
      <c r="P9891" s="1192" t="s">
        <v>2694</v>
      </c>
      <c r="V9891" s="1192">
        <v>47</v>
      </c>
    </row>
    <row r="9892" spans="1:22" s="1192" customFormat="1" ht="14.4" x14ac:dyDescent="0.3">
      <c r="A9892" s="1192" t="s">
        <v>4692</v>
      </c>
      <c r="B9892" s="1192" t="s">
        <v>4693</v>
      </c>
      <c r="E9892" s="1741" t="s">
        <v>209</v>
      </c>
      <c r="F9892" s="1741"/>
      <c r="G9892" s="1277" t="s">
        <v>29</v>
      </c>
      <c r="H9892" s="1219">
        <v>0.51880000000000004</v>
      </c>
      <c r="K9892" s="1192" t="s">
        <v>2687</v>
      </c>
      <c r="L9892" s="1192" t="s">
        <v>432</v>
      </c>
      <c r="P9892" s="1192" t="s">
        <v>2813</v>
      </c>
      <c r="V9892" s="1192">
        <v>74</v>
      </c>
    </row>
    <row r="9893" spans="1:22" s="1192" customFormat="1" ht="14.4" x14ac:dyDescent="0.3">
      <c r="A9893" s="1192" t="s">
        <v>4692</v>
      </c>
      <c r="B9893" s="1192" t="s">
        <v>4693</v>
      </c>
      <c r="E9893" s="1750" t="s">
        <v>2405</v>
      </c>
      <c r="F9893" s="2008"/>
      <c r="G9893" s="1277"/>
      <c r="H9893" s="896"/>
      <c r="K9893" s="1192" t="s">
        <v>2427</v>
      </c>
      <c r="V9893" s="1192">
        <v>48</v>
      </c>
    </row>
    <row r="9894" spans="1:22" s="1192" customFormat="1" ht="14.4" x14ac:dyDescent="0.3">
      <c r="A9894" s="1192" t="s">
        <v>4692</v>
      </c>
      <c r="B9894" s="1192" t="s">
        <v>4693</v>
      </c>
      <c r="E9894" s="1741" t="s">
        <v>2033</v>
      </c>
      <c r="F9894" s="1741"/>
      <c r="G9894" s="1277" t="s">
        <v>20</v>
      </c>
      <c r="H9894" s="1219">
        <v>3.0000000000000001E-3</v>
      </c>
      <c r="K9894" s="1192" t="s">
        <v>2687</v>
      </c>
      <c r="L9894" s="1192" t="s">
        <v>2374</v>
      </c>
      <c r="P9894" s="1192" t="s">
        <v>2696</v>
      </c>
      <c r="V9894" s="1192">
        <v>55</v>
      </c>
    </row>
    <row r="9895" spans="1:22" s="1192" customFormat="1" ht="14.4" x14ac:dyDescent="0.3">
      <c r="A9895" s="1192" t="s">
        <v>4692</v>
      </c>
      <c r="B9895" s="1192" t="s">
        <v>4693</v>
      </c>
      <c r="E9895" s="1741" t="s">
        <v>2034</v>
      </c>
      <c r="F9895" s="1741"/>
      <c r="G9895" s="1277" t="s">
        <v>20</v>
      </c>
      <c r="H9895" s="1219">
        <v>4.0000000000000002E-4</v>
      </c>
      <c r="K9895" s="1192" t="s">
        <v>2687</v>
      </c>
      <c r="L9895" s="1192" t="s">
        <v>2374</v>
      </c>
      <c r="P9895" s="1192" t="s">
        <v>2696</v>
      </c>
      <c r="V9895" s="1192">
        <v>65</v>
      </c>
    </row>
    <row r="9896" spans="1:22" s="1192" customFormat="1" ht="14.4" x14ac:dyDescent="0.3">
      <c r="A9896" s="1192" t="s">
        <v>4692</v>
      </c>
      <c r="B9896" s="1192" t="s">
        <v>4693</v>
      </c>
      <c r="E9896" s="1741" t="s">
        <v>428</v>
      </c>
      <c r="F9896" s="1741"/>
      <c r="G9896" s="1277" t="s">
        <v>20</v>
      </c>
      <c r="H9896" s="1219">
        <v>5.0000000000000001E-4</v>
      </c>
      <c r="K9896" s="1192" t="s">
        <v>2687</v>
      </c>
      <c r="L9896" s="1192" t="s">
        <v>2374</v>
      </c>
      <c r="P9896" s="1192" t="s">
        <v>2697</v>
      </c>
      <c r="V9896" s="1192">
        <v>57</v>
      </c>
    </row>
    <row r="9897" spans="1:22" s="1192" customFormat="1" ht="14.4" x14ac:dyDescent="0.3">
      <c r="A9897" s="1192" t="s">
        <v>4692</v>
      </c>
      <c r="B9897" s="1192" t="s">
        <v>4693</v>
      </c>
      <c r="E9897" s="1741" t="s">
        <v>28</v>
      </c>
      <c r="F9897" s="1741"/>
      <c r="G9897" s="1277" t="s">
        <v>19</v>
      </c>
      <c r="H9897" s="1218">
        <v>0.25</v>
      </c>
      <c r="K9897" s="1192" t="s">
        <v>2687</v>
      </c>
      <c r="L9897" s="1192" t="s">
        <v>2374</v>
      </c>
      <c r="P9897" s="1192" t="s">
        <v>2698</v>
      </c>
      <c r="V9897" s="1192">
        <v>63</v>
      </c>
    </row>
    <row r="9898" spans="1:22" s="1192" customFormat="1" ht="17.399999999999999" x14ac:dyDescent="0.3">
      <c r="A9898" s="1192" t="s">
        <v>4692</v>
      </c>
      <c r="B9898" s="1192" t="s">
        <v>4693</v>
      </c>
      <c r="E9898" s="1746" t="s">
        <v>593</v>
      </c>
      <c r="F9898" s="1746"/>
      <c r="G9898" s="1746"/>
      <c r="H9898" s="1746"/>
      <c r="K9898" s="1192" t="s">
        <v>2651</v>
      </c>
      <c r="V9898" s="1192">
        <v>31</v>
      </c>
    </row>
    <row r="9899" spans="1:22" s="1192" customFormat="1" ht="14.4" x14ac:dyDescent="0.3">
      <c r="A9899" s="1192" t="s">
        <v>4692</v>
      </c>
      <c r="B9899" s="1192" t="s">
        <v>4693</v>
      </c>
      <c r="E9899" s="1743" t="s">
        <v>3152</v>
      </c>
      <c r="F9899" s="1743"/>
      <c r="G9899" s="1743"/>
      <c r="H9899" s="1743"/>
      <c r="K9899" s="1192" t="s">
        <v>2651</v>
      </c>
      <c r="V9899" s="1192">
        <v>293</v>
      </c>
    </row>
    <row r="9900" spans="1:22" s="1192" customFormat="1" ht="14.4" x14ac:dyDescent="0.3">
      <c r="A9900" s="1192" t="s">
        <v>4692</v>
      </c>
      <c r="B9900" s="1192" t="s">
        <v>4693</v>
      </c>
      <c r="E9900" s="1750" t="s">
        <v>2389</v>
      </c>
      <c r="F9900" s="2037"/>
      <c r="G9900" s="2037"/>
      <c r="H9900" s="2037"/>
      <c r="K9900" s="1192" t="s">
        <v>2430</v>
      </c>
      <c r="V9900" s="1192">
        <v>11</v>
      </c>
    </row>
    <row r="9901" spans="1:22" s="1192" customFormat="1" ht="14.4" x14ac:dyDescent="0.3">
      <c r="A9901" s="1192" t="s">
        <v>4692</v>
      </c>
      <c r="B9901" s="1192" t="s">
        <v>4693</v>
      </c>
      <c r="E9901" s="1743" t="s">
        <v>2391</v>
      </c>
      <c r="F9901" s="1743"/>
      <c r="G9901" s="1743"/>
      <c r="H9901" s="1743"/>
      <c r="K9901" s="1192" t="s">
        <v>2651</v>
      </c>
      <c r="V9901" s="1192">
        <v>280</v>
      </c>
    </row>
    <row r="9902" spans="1:22" s="1192" customFormat="1" ht="14.4" x14ac:dyDescent="0.3">
      <c r="A9902" s="1192" t="s">
        <v>4692</v>
      </c>
      <c r="B9902" s="1192" t="s">
        <v>4693</v>
      </c>
      <c r="E9902" s="1743" t="s">
        <v>2392</v>
      </c>
      <c r="F9902" s="1743"/>
      <c r="G9902" s="1743"/>
      <c r="H9902" s="1743"/>
      <c r="K9902" s="1192" t="s">
        <v>2651</v>
      </c>
      <c r="V9902" s="1192">
        <v>411</v>
      </c>
    </row>
    <row r="9903" spans="1:22" s="1192" customFormat="1" ht="14.4" x14ac:dyDescent="0.3">
      <c r="A9903" s="1192" t="s">
        <v>4692</v>
      </c>
      <c r="B9903" s="1192" t="s">
        <v>4693</v>
      </c>
      <c r="E9903" s="1743" t="s">
        <v>3153</v>
      </c>
      <c r="F9903" s="1743"/>
      <c r="G9903" s="1743"/>
      <c r="H9903" s="1743"/>
      <c r="K9903" s="1192" t="s">
        <v>2651</v>
      </c>
      <c r="V9903" s="1192">
        <v>221</v>
      </c>
    </row>
    <row r="9904" spans="1:22" s="1192" customFormat="1" ht="14.4" x14ac:dyDescent="0.3">
      <c r="A9904" s="1192" t="s">
        <v>4692</v>
      </c>
      <c r="B9904" s="1192" t="s">
        <v>4693</v>
      </c>
      <c r="E9904" s="1743" t="s">
        <v>4500</v>
      </c>
      <c r="F9904" s="1743"/>
      <c r="G9904" s="1743"/>
      <c r="H9904" s="1743"/>
      <c r="K9904" s="1192" t="s">
        <v>2651</v>
      </c>
      <c r="V9904" s="1192">
        <v>247</v>
      </c>
    </row>
    <row r="9905" spans="1:22" s="1192" customFormat="1" ht="14.4" x14ac:dyDescent="0.3">
      <c r="A9905" s="1192" t="s">
        <v>4692</v>
      </c>
      <c r="B9905" s="1192" t="s">
        <v>4693</v>
      </c>
      <c r="E9905" s="1750" t="s">
        <v>2394</v>
      </c>
      <c r="F9905" s="2037"/>
      <c r="G9905" s="2037"/>
      <c r="H9905" s="2037"/>
      <c r="K9905" s="1192" t="s">
        <v>2431</v>
      </c>
      <c r="V9905" s="1192">
        <v>46</v>
      </c>
    </row>
    <row r="9906" spans="1:22" s="1192" customFormat="1" ht="14.4" x14ac:dyDescent="0.3">
      <c r="A9906" s="1192" t="s">
        <v>4692</v>
      </c>
      <c r="B9906" s="1192" t="s">
        <v>4693</v>
      </c>
      <c r="E9906" s="1741" t="s">
        <v>7</v>
      </c>
      <c r="F9906" s="1741"/>
      <c r="G9906" s="1277" t="s">
        <v>19</v>
      </c>
      <c r="H9906" s="1218">
        <v>4.55</v>
      </c>
      <c r="K9906" s="1192" t="s">
        <v>2651</v>
      </c>
      <c r="L9906" s="1192" t="s">
        <v>430</v>
      </c>
      <c r="P9906" s="1192" t="s">
        <v>2653</v>
      </c>
      <c r="V9906" s="1192">
        <v>14</v>
      </c>
    </row>
    <row r="9907" spans="1:22" s="1192" customFormat="1" x14ac:dyDescent="0.35">
      <c r="A9907" s="1192" t="s">
        <v>4692</v>
      </c>
      <c r="B9907" s="1192" t="s">
        <v>4693</v>
      </c>
      <c r="E9907" s="1260" t="s">
        <v>81</v>
      </c>
      <c r="F9907" s="550"/>
      <c r="G9907" s="550"/>
      <c r="H9907" s="881"/>
      <c r="K9907" s="1192" t="s">
        <v>4697</v>
      </c>
      <c r="V9907" s="1192">
        <v>10</v>
      </c>
    </row>
    <row r="9908" spans="1:22" s="1192" customFormat="1" ht="14.4" x14ac:dyDescent="0.3">
      <c r="A9908" s="1192" t="s">
        <v>4692</v>
      </c>
      <c r="B9908" s="1192" t="s">
        <v>4693</v>
      </c>
      <c r="E9908" s="1741" t="s">
        <v>2449</v>
      </c>
      <c r="F9908" s="1741"/>
      <c r="G9908" s="1277" t="s">
        <v>29</v>
      </c>
      <c r="H9908" s="1219">
        <v>-0.6</v>
      </c>
      <c r="V9908" s="1192">
        <v>68</v>
      </c>
    </row>
    <row r="9909" spans="1:22" s="1192" customFormat="1" ht="14.4" x14ac:dyDescent="0.3">
      <c r="A9909" s="1192" t="s">
        <v>4692</v>
      </c>
      <c r="B9909" s="1192" t="s">
        <v>4693</v>
      </c>
      <c r="E9909" s="1741" t="s">
        <v>2450</v>
      </c>
      <c r="F9909" s="1741"/>
      <c r="G9909" s="1277" t="s">
        <v>82</v>
      </c>
      <c r="H9909" s="1218">
        <v>-1</v>
      </c>
      <c r="V9909" s="1192">
        <v>87</v>
      </c>
    </row>
    <row r="9910" spans="1:22" s="1192" customFormat="1" x14ac:dyDescent="0.35">
      <c r="A9910" s="1192" t="s">
        <v>4692</v>
      </c>
      <c r="B9910" s="1192" t="s">
        <v>4693</v>
      </c>
      <c r="E9910" s="1260" t="s">
        <v>83</v>
      </c>
      <c r="F9910" s="550"/>
      <c r="G9910" s="550"/>
      <c r="H9910" s="881"/>
      <c r="K9910" s="1192" t="s">
        <v>4698</v>
      </c>
      <c r="V9910" s="1192">
        <v>24</v>
      </c>
    </row>
    <row r="9911" spans="1:22" s="1192" customFormat="1" ht="14.4" x14ac:dyDescent="0.3">
      <c r="A9911" s="1192" t="s">
        <v>4692</v>
      </c>
      <c r="B9911" s="1192" t="s">
        <v>4693</v>
      </c>
      <c r="E9911" s="1743" t="s">
        <v>2391</v>
      </c>
      <c r="F9911" s="1743"/>
      <c r="G9911" s="1743"/>
      <c r="H9911" s="1743"/>
      <c r="V9911" s="1192">
        <v>280</v>
      </c>
    </row>
    <row r="9912" spans="1:22" s="1192" customFormat="1" ht="14.4" x14ac:dyDescent="0.3">
      <c r="A9912" s="1192" t="s">
        <v>4692</v>
      </c>
      <c r="B9912" s="1192" t="s">
        <v>4693</v>
      </c>
      <c r="E9912" s="1743" t="s">
        <v>2452</v>
      </c>
      <c r="F9912" s="1743"/>
      <c r="G9912" s="1743"/>
      <c r="H9912" s="1743"/>
      <c r="V9912" s="1192">
        <v>353</v>
      </c>
    </row>
    <row r="9913" spans="1:22" s="1192" customFormat="1" ht="14.4" x14ac:dyDescent="0.3">
      <c r="A9913" s="1192" t="s">
        <v>4692</v>
      </c>
      <c r="B9913" s="1192" t="s">
        <v>4693</v>
      </c>
      <c r="E9913" s="1743" t="s">
        <v>4500</v>
      </c>
      <c r="F9913" s="1743"/>
      <c r="G9913" s="1743"/>
      <c r="H9913" s="1743"/>
      <c r="V9913" s="1192">
        <v>247</v>
      </c>
    </row>
    <row r="9914" spans="1:22" s="1192" customFormat="1" ht="14.4" x14ac:dyDescent="0.3">
      <c r="A9914" s="1192" t="s">
        <v>4692</v>
      </c>
      <c r="B9914" s="1192" t="s">
        <v>4693</v>
      </c>
      <c r="E9914" s="1258" t="s">
        <v>2453</v>
      </c>
      <c r="F9914" s="1287"/>
      <c r="G9914" s="1287"/>
      <c r="H9914" s="879"/>
      <c r="K9914" s="1192" t="s">
        <v>4699</v>
      </c>
      <c r="V9914" s="1192">
        <v>23</v>
      </c>
    </row>
    <row r="9915" spans="1:22" s="1192" customFormat="1" ht="14.4" x14ac:dyDescent="0.3">
      <c r="A9915" s="1192" t="s">
        <v>4692</v>
      </c>
      <c r="B9915" s="1192" t="s">
        <v>4693</v>
      </c>
      <c r="E9915" s="1942" t="s">
        <v>2639</v>
      </c>
      <c r="F9915" s="1942"/>
      <c r="G9915" s="1277" t="s">
        <v>19</v>
      </c>
      <c r="H9915" s="1218">
        <v>15</v>
      </c>
      <c r="V9915" s="1192">
        <v>19</v>
      </c>
    </row>
    <row r="9916" spans="1:22" s="1192" customFormat="1" ht="14.4" x14ac:dyDescent="0.3">
      <c r="A9916" s="1192" t="s">
        <v>4692</v>
      </c>
      <c r="B9916" s="1192" t="s">
        <v>4693</v>
      </c>
      <c r="E9916" s="1942" t="s">
        <v>2456</v>
      </c>
      <c r="F9916" s="1942"/>
      <c r="G9916" s="1277" t="s">
        <v>19</v>
      </c>
      <c r="H9916" s="1218">
        <v>15</v>
      </c>
      <c r="V9916" s="1192">
        <v>20</v>
      </c>
    </row>
    <row r="9917" spans="1:22" s="1192" customFormat="1" ht="14.4" x14ac:dyDescent="0.3">
      <c r="A9917" s="1192" t="s">
        <v>4692</v>
      </c>
      <c r="B9917" s="1192" t="s">
        <v>4693</v>
      </c>
      <c r="E9917" s="1942" t="s">
        <v>2458</v>
      </c>
      <c r="F9917" s="1942"/>
      <c r="G9917" s="1277" t="s">
        <v>19</v>
      </c>
      <c r="H9917" s="1218">
        <v>15</v>
      </c>
      <c r="V9917" s="1192">
        <v>39</v>
      </c>
    </row>
    <row r="9918" spans="1:22" s="1192" customFormat="1" ht="14.4" x14ac:dyDescent="0.3">
      <c r="A9918" s="1192" t="s">
        <v>4692</v>
      </c>
      <c r="B9918" s="1192" t="s">
        <v>4693</v>
      </c>
      <c r="E9918" s="1942" t="s">
        <v>2459</v>
      </c>
      <c r="F9918" s="1942"/>
      <c r="G9918" s="1277" t="s">
        <v>19</v>
      </c>
      <c r="H9918" s="1218">
        <v>15</v>
      </c>
      <c r="V9918" s="1192">
        <v>37</v>
      </c>
    </row>
    <row r="9919" spans="1:22" s="1192" customFormat="1" ht="14.4" x14ac:dyDescent="0.3">
      <c r="A9919" s="1192" t="s">
        <v>4692</v>
      </c>
      <c r="B9919" s="1192" t="s">
        <v>4693</v>
      </c>
      <c r="E9919" s="1942" t="s">
        <v>3663</v>
      </c>
      <c r="F9919" s="1942"/>
      <c r="G9919" s="1277" t="s">
        <v>19</v>
      </c>
      <c r="H9919" s="1218">
        <v>15</v>
      </c>
      <c r="V9919" s="1192">
        <v>15</v>
      </c>
    </row>
    <row r="9920" spans="1:22" s="1192" customFormat="1" ht="14.4" x14ac:dyDescent="0.3">
      <c r="A9920" s="1192" t="s">
        <v>4692</v>
      </c>
      <c r="B9920" s="1192" t="s">
        <v>4693</v>
      </c>
      <c r="E9920" s="1942" t="s">
        <v>2461</v>
      </c>
      <c r="F9920" s="1942"/>
      <c r="G9920" s="1277" t="s">
        <v>19</v>
      </c>
      <c r="H9920" s="1218">
        <v>15</v>
      </c>
      <c r="V9920" s="1192">
        <v>17</v>
      </c>
    </row>
    <row r="9921" spans="1:22" s="1192" customFormat="1" ht="14.4" x14ac:dyDescent="0.3">
      <c r="A9921" s="1192" t="s">
        <v>4692</v>
      </c>
      <c r="B9921" s="1192" t="s">
        <v>4693</v>
      </c>
      <c r="E9921" s="1942" t="s">
        <v>2463</v>
      </c>
      <c r="F9921" s="1942"/>
      <c r="G9921" s="1277" t="s">
        <v>19</v>
      </c>
      <c r="H9921" s="1218">
        <v>15</v>
      </c>
      <c r="V9921" s="1192">
        <v>15</v>
      </c>
    </row>
    <row r="9922" spans="1:22" s="1192" customFormat="1" ht="14.4" x14ac:dyDescent="0.3">
      <c r="A9922" s="1192" t="s">
        <v>4692</v>
      </c>
      <c r="B9922" s="1192" t="s">
        <v>4693</v>
      </c>
      <c r="E9922" s="1942" t="s">
        <v>4189</v>
      </c>
      <c r="F9922" s="1942"/>
      <c r="G9922" s="1277" t="s">
        <v>19</v>
      </c>
      <c r="H9922" s="1218">
        <v>25</v>
      </c>
      <c r="V9922" s="1192">
        <v>39</v>
      </c>
    </row>
    <row r="9923" spans="1:22" s="1192" customFormat="1" ht="14.4" x14ac:dyDescent="0.3">
      <c r="A9923" s="1192" t="s">
        <v>4692</v>
      </c>
      <c r="B9923" s="1192" t="s">
        <v>4693</v>
      </c>
      <c r="E9923" s="1942" t="s">
        <v>119</v>
      </c>
      <c r="F9923" s="1942"/>
      <c r="G9923" s="1277" t="s">
        <v>19</v>
      </c>
      <c r="H9923" s="1218">
        <v>25</v>
      </c>
      <c r="V9923" s="1192">
        <v>35</v>
      </c>
    </row>
    <row r="9924" spans="1:22" s="1192" customFormat="1" ht="14.4" x14ac:dyDescent="0.3">
      <c r="A9924" s="1192" t="s">
        <v>4692</v>
      </c>
      <c r="B9924" s="1192" t="s">
        <v>4693</v>
      </c>
      <c r="E9924" s="1942" t="s">
        <v>2467</v>
      </c>
      <c r="F9924" s="1942"/>
      <c r="G9924" s="1277" t="s">
        <v>19</v>
      </c>
      <c r="H9924" s="1218">
        <v>15</v>
      </c>
      <c r="V9924" s="1192">
        <v>19</v>
      </c>
    </row>
    <row r="9925" spans="1:22" s="1192" customFormat="1" ht="14.4" x14ac:dyDescent="0.3">
      <c r="A9925" s="1192" t="s">
        <v>4692</v>
      </c>
      <c r="B9925" s="1192" t="s">
        <v>4693</v>
      </c>
      <c r="E9925" s="1942" t="s">
        <v>84</v>
      </c>
      <c r="F9925" s="1942"/>
      <c r="G9925" s="1277" t="s">
        <v>19</v>
      </c>
      <c r="H9925" s="1218">
        <v>30</v>
      </c>
      <c r="V9925" s="1192">
        <v>89</v>
      </c>
    </row>
    <row r="9926" spans="1:22" s="1192" customFormat="1" ht="14.4" x14ac:dyDescent="0.3">
      <c r="A9926" s="1192" t="s">
        <v>4692</v>
      </c>
      <c r="B9926" s="1192" t="s">
        <v>4693</v>
      </c>
      <c r="E9926" s="1942" t="s">
        <v>90</v>
      </c>
      <c r="F9926" s="1942"/>
      <c r="G9926" s="1277" t="s">
        <v>19</v>
      </c>
      <c r="H9926" s="1218">
        <v>30</v>
      </c>
      <c r="V9926" s="1192">
        <v>19</v>
      </c>
    </row>
    <row r="9927" spans="1:22" s="1192" customFormat="1" ht="14.4" x14ac:dyDescent="0.3">
      <c r="A9927" s="1192" t="s">
        <v>4692</v>
      </c>
      <c r="B9927" s="1192" t="s">
        <v>4693</v>
      </c>
      <c r="E9927" s="1942" t="s">
        <v>88</v>
      </c>
      <c r="F9927" s="1942"/>
      <c r="G9927" s="1277" t="s">
        <v>19</v>
      </c>
      <c r="H9927" s="1218">
        <v>30</v>
      </c>
      <c r="V9927" s="1192">
        <v>74</v>
      </c>
    </row>
    <row r="9928" spans="1:22" s="1192" customFormat="1" ht="14.4" x14ac:dyDescent="0.3">
      <c r="A9928" s="1192" t="s">
        <v>4692</v>
      </c>
      <c r="B9928" s="1192" t="s">
        <v>4693</v>
      </c>
      <c r="E9928" s="1253" t="s">
        <v>2468</v>
      </c>
      <c r="F9928" s="3"/>
      <c r="G9928" s="3"/>
      <c r="H9928" s="897"/>
      <c r="K9928" s="1192" t="s">
        <v>6584</v>
      </c>
      <c r="V9928" s="1192">
        <v>22</v>
      </c>
    </row>
    <row r="9929" spans="1:22" s="1192" customFormat="1" ht="14.4" x14ac:dyDescent="0.3">
      <c r="A9929" s="1192" t="s">
        <v>4692</v>
      </c>
      <c r="B9929" s="1192" t="s">
        <v>4693</v>
      </c>
      <c r="E9929" s="1942" t="s">
        <v>2470</v>
      </c>
      <c r="F9929" s="1942"/>
      <c r="G9929" s="1277"/>
      <c r="H9929" s="837"/>
      <c r="V9929" s="1192">
        <v>24</v>
      </c>
    </row>
    <row r="9930" spans="1:22" s="1192" customFormat="1" ht="14.4" x14ac:dyDescent="0.3">
      <c r="A9930" s="1192" t="s">
        <v>4692</v>
      </c>
      <c r="B9930" s="1192" t="s">
        <v>4693</v>
      </c>
      <c r="E9930" s="1942" t="s">
        <v>6195</v>
      </c>
      <c r="F9930" s="1942"/>
      <c r="G9930" s="1277" t="s">
        <v>82</v>
      </c>
      <c r="H9930" s="1218">
        <v>1.5</v>
      </c>
      <c r="V9930" s="1192">
        <v>74</v>
      </c>
    </row>
    <row r="9931" spans="1:22" s="1192" customFormat="1" ht="14.4" x14ac:dyDescent="0.3">
      <c r="A9931" s="1192" t="s">
        <v>4692</v>
      </c>
      <c r="B9931" s="1192" t="s">
        <v>4693</v>
      </c>
      <c r="E9931" s="1942" t="s">
        <v>6106</v>
      </c>
      <c r="F9931" s="1942"/>
      <c r="G9931" s="1277" t="s">
        <v>19</v>
      </c>
      <c r="H9931" s="1218">
        <v>65</v>
      </c>
      <c r="V9931" s="1192">
        <v>44</v>
      </c>
    </row>
    <row r="9932" spans="1:22" s="1192" customFormat="1" ht="14.4" x14ac:dyDescent="0.3">
      <c r="A9932" s="1192" t="s">
        <v>4692</v>
      </c>
      <c r="B9932" s="1192" t="s">
        <v>4693</v>
      </c>
      <c r="E9932" s="1942" t="s">
        <v>6107</v>
      </c>
      <c r="F9932" s="1942"/>
      <c r="G9932" s="1277" t="s">
        <v>19</v>
      </c>
      <c r="H9932" s="1218">
        <v>185</v>
      </c>
      <c r="V9932" s="1192">
        <v>43</v>
      </c>
    </row>
    <row r="9933" spans="1:22" s="1192" customFormat="1" ht="14.4" x14ac:dyDescent="0.3">
      <c r="A9933" s="1192" t="s">
        <v>4692</v>
      </c>
      <c r="B9933" s="1192" t="s">
        <v>4693</v>
      </c>
      <c r="E9933" s="1942" t="s">
        <v>6108</v>
      </c>
      <c r="F9933" s="1942"/>
      <c r="G9933" s="1277" t="s">
        <v>19</v>
      </c>
      <c r="H9933" s="1218">
        <v>185</v>
      </c>
      <c r="V9933" s="1192">
        <v>43</v>
      </c>
    </row>
    <row r="9934" spans="1:22" s="1192" customFormat="1" ht="14.4" x14ac:dyDescent="0.3">
      <c r="A9934" s="1192" t="s">
        <v>4692</v>
      </c>
      <c r="B9934" s="1192" t="s">
        <v>4693</v>
      </c>
      <c r="E9934" s="1942" t="s">
        <v>6115</v>
      </c>
      <c r="F9934" s="1942"/>
      <c r="G9934" s="1277" t="s">
        <v>19</v>
      </c>
      <c r="H9934" s="1218">
        <v>415</v>
      </c>
      <c r="V9934" s="1192">
        <v>42</v>
      </c>
    </row>
    <row r="9935" spans="1:22" s="1192" customFormat="1" ht="14.4" x14ac:dyDescent="0.3">
      <c r="A9935" s="1192" t="s">
        <v>4692</v>
      </c>
      <c r="B9935" s="1192" t="s">
        <v>4693</v>
      </c>
      <c r="E9935" s="1258" t="s">
        <v>2474</v>
      </c>
      <c r="F9935" s="452"/>
      <c r="G9935" s="360"/>
      <c r="H9935" s="837"/>
      <c r="V9935" s="1192">
        <v>5</v>
      </c>
    </row>
    <row r="9936" spans="1:22" s="1192" customFormat="1" ht="14.4" x14ac:dyDescent="0.3">
      <c r="A9936" s="1192" t="s">
        <v>4692</v>
      </c>
      <c r="B9936" s="1192" t="s">
        <v>4693</v>
      </c>
      <c r="E9936" s="1942" t="s">
        <v>2477</v>
      </c>
      <c r="F9936" s="1942"/>
      <c r="G9936" s="1277" t="s">
        <v>19</v>
      </c>
      <c r="H9936" s="1218">
        <v>65</v>
      </c>
      <c r="V9936" s="1192">
        <v>39</v>
      </c>
    </row>
    <row r="9937" spans="1:22" s="1192" customFormat="1" ht="14.4" x14ac:dyDescent="0.3">
      <c r="A9937" s="1192" t="s">
        <v>4692</v>
      </c>
      <c r="B9937" s="1192" t="s">
        <v>4693</v>
      </c>
      <c r="E9937" s="1942" t="s">
        <v>2841</v>
      </c>
      <c r="F9937" s="1942"/>
      <c r="G9937" s="1277" t="s">
        <v>19</v>
      </c>
      <c r="H9937" s="1218">
        <v>165</v>
      </c>
      <c r="V9937" s="1192">
        <v>61</v>
      </c>
    </row>
    <row r="9938" spans="1:22" s="1192" customFormat="1" ht="14.4" x14ac:dyDescent="0.3">
      <c r="A9938" s="1192" t="s">
        <v>4692</v>
      </c>
      <c r="B9938" s="1192" t="s">
        <v>4693</v>
      </c>
      <c r="E9938" s="1942" t="s">
        <v>6585</v>
      </c>
      <c r="F9938" s="1942"/>
      <c r="G9938" s="1277" t="s">
        <v>19</v>
      </c>
      <c r="H9938" s="1218">
        <v>65</v>
      </c>
      <c r="V9938" s="1192">
        <v>52</v>
      </c>
    </row>
    <row r="9939" spans="1:22" s="1192" customFormat="1" ht="14.4" x14ac:dyDescent="0.3">
      <c r="A9939" s="1192" t="s">
        <v>4692</v>
      </c>
      <c r="B9939" s="1192" t="s">
        <v>4693</v>
      </c>
      <c r="E9939" s="1942" t="s">
        <v>2760</v>
      </c>
      <c r="F9939" s="1942"/>
      <c r="G9939" s="1277"/>
      <c r="H9939" s="837"/>
      <c r="V9939" s="1192">
        <v>59</v>
      </c>
    </row>
    <row r="9940" spans="1:22" s="1192" customFormat="1" ht="14.4" x14ac:dyDescent="0.3">
      <c r="A9940" s="1192" t="s">
        <v>4692</v>
      </c>
      <c r="B9940" s="1192" t="s">
        <v>4693</v>
      </c>
      <c r="E9940" s="1942" t="s">
        <v>2832</v>
      </c>
      <c r="F9940" s="1942"/>
      <c r="G9940" s="1277" t="s">
        <v>19</v>
      </c>
      <c r="H9940" s="1218">
        <v>44.5</v>
      </c>
      <c r="V9940" s="1192">
        <v>45</v>
      </c>
    </row>
    <row r="9941" spans="1:22" s="1192" customFormat="1" ht="17.399999999999999" x14ac:dyDescent="0.3">
      <c r="A9941" s="1192" t="s">
        <v>4692</v>
      </c>
      <c r="B9941" s="1192" t="s">
        <v>4693</v>
      </c>
      <c r="E9941" s="1746" t="s">
        <v>73</v>
      </c>
      <c r="F9941" s="1746"/>
      <c r="G9941" s="1746"/>
      <c r="H9941" s="1746"/>
      <c r="K9941" s="1192" t="s">
        <v>4700</v>
      </c>
      <c r="V9941" s="1192">
        <v>38</v>
      </c>
    </row>
    <row r="9942" spans="1:22" s="1192" customFormat="1" ht="14.4" x14ac:dyDescent="0.3">
      <c r="A9942" s="1192" t="s">
        <v>4692</v>
      </c>
      <c r="B9942" s="1192" t="s">
        <v>4693</v>
      </c>
      <c r="E9942" s="1743" t="s">
        <v>2391</v>
      </c>
      <c r="F9942" s="1743"/>
      <c r="G9942" s="1743"/>
      <c r="H9942" s="1743"/>
      <c r="V9942" s="1192">
        <v>280</v>
      </c>
    </row>
    <row r="9943" spans="1:22" s="1192" customFormat="1" ht="14.4" x14ac:dyDescent="0.3">
      <c r="A9943" s="1192" t="s">
        <v>4692</v>
      </c>
      <c r="B9943" s="1192" t="s">
        <v>4693</v>
      </c>
      <c r="E9943" s="1743" t="s">
        <v>2392</v>
      </c>
      <c r="F9943" s="1743"/>
      <c r="G9943" s="1743"/>
      <c r="H9943" s="1743"/>
      <c r="V9943" s="1192">
        <v>411</v>
      </c>
    </row>
    <row r="9944" spans="1:22" s="1192" customFormat="1" ht="14.4" x14ac:dyDescent="0.3">
      <c r="A9944" s="1192" t="s">
        <v>4692</v>
      </c>
      <c r="B9944" s="1192" t="s">
        <v>4693</v>
      </c>
      <c r="E9944" s="1743" t="s">
        <v>2445</v>
      </c>
      <c r="F9944" s="1743"/>
      <c r="G9944" s="1743"/>
      <c r="H9944" s="1743"/>
      <c r="V9944" s="1192">
        <v>211</v>
      </c>
    </row>
    <row r="9945" spans="1:22" s="1192" customFormat="1" ht="14.4" x14ac:dyDescent="0.3">
      <c r="A9945" s="1192" t="s">
        <v>4692</v>
      </c>
      <c r="B9945" s="1192" t="s">
        <v>4693</v>
      </c>
      <c r="E9945" s="1743" t="s">
        <v>4500</v>
      </c>
      <c r="F9945" s="1743"/>
      <c r="G9945" s="1743"/>
      <c r="H9945" s="1743"/>
      <c r="V9945" s="1192">
        <v>247</v>
      </c>
    </row>
    <row r="9946" spans="1:22" s="1192" customFormat="1" ht="14.4" x14ac:dyDescent="0.3">
      <c r="A9946" s="1192" t="s">
        <v>4692</v>
      </c>
      <c r="B9946" s="1192" t="s">
        <v>4693</v>
      </c>
      <c r="E9946" s="1743" t="s">
        <v>2595</v>
      </c>
      <c r="F9946" s="1743"/>
      <c r="G9946" s="1743"/>
      <c r="H9946" s="1743"/>
      <c r="V9946" s="1192">
        <v>142</v>
      </c>
    </row>
    <row r="9947" spans="1:22" s="1192" customFormat="1" ht="14.4" x14ac:dyDescent="0.3">
      <c r="A9947" s="1192" t="s">
        <v>4692</v>
      </c>
      <c r="B9947" s="1192" t="s">
        <v>4693</v>
      </c>
      <c r="E9947" s="1741" t="s">
        <v>2485</v>
      </c>
      <c r="F9947" s="1741"/>
      <c r="G9947" s="360" t="s">
        <v>19</v>
      </c>
      <c r="H9947" s="1218">
        <v>102</v>
      </c>
      <c r="V9947" s="1192">
        <v>106</v>
      </c>
    </row>
    <row r="9948" spans="1:22" s="1192" customFormat="1" ht="14.4" x14ac:dyDescent="0.3">
      <c r="A9948" s="1192" t="s">
        <v>4692</v>
      </c>
      <c r="B9948" s="1192" t="s">
        <v>4693</v>
      </c>
      <c r="E9948" s="1741" t="s">
        <v>2486</v>
      </c>
      <c r="F9948" s="1741"/>
      <c r="G9948" s="1280" t="s">
        <v>19</v>
      </c>
      <c r="H9948" s="509">
        <v>40.799999999999997</v>
      </c>
      <c r="V9948" s="1192">
        <v>34</v>
      </c>
    </row>
    <row r="9949" spans="1:22" s="1192" customFormat="1" ht="14.4" x14ac:dyDescent="0.3">
      <c r="A9949" s="1192" t="s">
        <v>4692</v>
      </c>
      <c r="B9949" s="1192" t="s">
        <v>4693</v>
      </c>
      <c r="E9949" s="1741" t="s">
        <v>2487</v>
      </c>
      <c r="F9949" s="1741"/>
      <c r="G9949" s="1280" t="s">
        <v>2488</v>
      </c>
      <c r="H9949" s="509">
        <v>1.02</v>
      </c>
      <c r="V9949" s="1192">
        <v>51</v>
      </c>
    </row>
    <row r="9950" spans="1:22" s="1192" customFormat="1" ht="14.4" x14ac:dyDescent="0.3">
      <c r="A9950" s="1192" t="s">
        <v>4692</v>
      </c>
      <c r="B9950" s="1192" t="s">
        <v>4693</v>
      </c>
      <c r="E9950" s="1741" t="s">
        <v>2489</v>
      </c>
      <c r="F9950" s="1741"/>
      <c r="G9950" s="1280" t="s">
        <v>2488</v>
      </c>
      <c r="H9950" s="509">
        <v>0.61</v>
      </c>
      <c r="V9950" s="1192">
        <v>75</v>
      </c>
    </row>
    <row r="9951" spans="1:22" s="1192" customFormat="1" ht="14.4" x14ac:dyDescent="0.3">
      <c r="A9951" s="1192" t="s">
        <v>4692</v>
      </c>
      <c r="B9951" s="1192" t="s">
        <v>4693</v>
      </c>
      <c r="E9951" s="1741" t="s">
        <v>2490</v>
      </c>
      <c r="F9951" s="1741"/>
      <c r="G9951" s="1280" t="s">
        <v>2488</v>
      </c>
      <c r="H9951" s="509">
        <v>-0.61</v>
      </c>
      <c r="V9951" s="1192">
        <v>72</v>
      </c>
    </row>
    <row r="9952" spans="1:22" s="1192" customFormat="1" ht="14.4" x14ac:dyDescent="0.3">
      <c r="A9952" s="1192" t="s">
        <v>4692</v>
      </c>
      <c r="B9952" s="1192" t="s">
        <v>4693</v>
      </c>
      <c r="E9952" s="1741" t="s">
        <v>2596</v>
      </c>
      <c r="F9952" s="1741"/>
      <c r="G9952" s="1280"/>
      <c r="H9952" s="840"/>
      <c r="V9952" s="1192">
        <v>34</v>
      </c>
    </row>
    <row r="9953" spans="1:22" s="1192" customFormat="1" ht="14.4" x14ac:dyDescent="0.3">
      <c r="A9953" s="1192" t="s">
        <v>4692</v>
      </c>
      <c r="B9953" s="1192" t="s">
        <v>4693</v>
      </c>
      <c r="E9953" s="1941" t="s">
        <v>2492</v>
      </c>
      <c r="F9953" s="1941"/>
      <c r="G9953" s="360" t="s">
        <v>19</v>
      </c>
      <c r="H9953" s="1218">
        <v>0.51</v>
      </c>
      <c r="V9953" s="1192">
        <v>57</v>
      </c>
    </row>
    <row r="9954" spans="1:22" s="1192" customFormat="1" ht="14.4" x14ac:dyDescent="0.3">
      <c r="A9954" s="1192" t="s">
        <v>4692</v>
      </c>
      <c r="B9954" s="1192" t="s">
        <v>4693</v>
      </c>
      <c r="E9954" s="1941" t="s">
        <v>2493</v>
      </c>
      <c r="F9954" s="1941"/>
      <c r="G9954" s="360" t="s">
        <v>19</v>
      </c>
      <c r="H9954" s="1218">
        <v>1.02</v>
      </c>
      <c r="V9954" s="1192">
        <v>60</v>
      </c>
    </row>
    <row r="9955" spans="1:22" s="1192" customFormat="1" ht="14.4" x14ac:dyDescent="0.3">
      <c r="A9955" s="1192" t="s">
        <v>4692</v>
      </c>
      <c r="B9955" s="1192" t="s">
        <v>4693</v>
      </c>
      <c r="E9955" s="1741" t="s">
        <v>2494</v>
      </c>
      <c r="F9955" s="1741"/>
      <c r="G9955" s="360"/>
      <c r="H9955" s="837"/>
      <c r="V9955" s="1192">
        <v>91</v>
      </c>
    </row>
    <row r="9956" spans="1:22" s="1192" customFormat="1" ht="14.4" x14ac:dyDescent="0.3">
      <c r="A9956" s="1192" t="s">
        <v>4692</v>
      </c>
      <c r="B9956" s="1192" t="s">
        <v>4693</v>
      </c>
      <c r="E9956" s="1741" t="s">
        <v>2495</v>
      </c>
      <c r="F9956" s="1741"/>
      <c r="G9956" s="360"/>
      <c r="H9956" s="837"/>
      <c r="V9956" s="1192">
        <v>96</v>
      </c>
    </row>
    <row r="9957" spans="1:22" s="1192" customFormat="1" ht="14.4" x14ac:dyDescent="0.3">
      <c r="A9957" s="1192" t="s">
        <v>4692</v>
      </c>
      <c r="B9957" s="1192" t="s">
        <v>4693</v>
      </c>
      <c r="E9957" s="1741" t="s">
        <v>2597</v>
      </c>
      <c r="F9957" s="1741"/>
      <c r="G9957" s="360"/>
      <c r="H9957" s="837"/>
      <c r="V9957" s="1192">
        <v>77</v>
      </c>
    </row>
    <row r="9958" spans="1:22" s="1192" customFormat="1" ht="14.4" x14ac:dyDescent="0.3">
      <c r="A9958" s="1192" t="s">
        <v>4692</v>
      </c>
      <c r="B9958" s="1192" t="s">
        <v>4693</v>
      </c>
      <c r="E9958" s="1941" t="s">
        <v>2497</v>
      </c>
      <c r="F9958" s="1941"/>
      <c r="G9958" s="360" t="s">
        <v>19</v>
      </c>
      <c r="H9958" s="837" t="s">
        <v>2498</v>
      </c>
      <c r="V9958" s="1192">
        <v>18</v>
      </c>
    </row>
    <row r="9959" spans="1:22" s="1192" customFormat="1" ht="14.4" x14ac:dyDescent="0.3">
      <c r="A9959" s="1192" t="s">
        <v>4692</v>
      </c>
      <c r="B9959" s="1192" t="s">
        <v>4693</v>
      </c>
      <c r="E9959" s="1941" t="s">
        <v>2499</v>
      </c>
      <c r="F9959" s="1941"/>
      <c r="G9959" s="360" t="s">
        <v>19</v>
      </c>
      <c r="H9959" s="1218">
        <v>4.08</v>
      </c>
      <c r="V9959" s="1192">
        <v>69</v>
      </c>
    </row>
    <row r="9960" spans="1:22" s="1192" customFormat="1" ht="14.4" x14ac:dyDescent="0.3">
      <c r="A9960" s="1192" t="s">
        <v>4692</v>
      </c>
      <c r="B9960" s="1192" t="s">
        <v>4693</v>
      </c>
      <c r="E9960" s="1741" t="s">
        <v>4608</v>
      </c>
      <c r="F9960" s="1741"/>
      <c r="G9960" s="360" t="s">
        <v>19</v>
      </c>
      <c r="H9960" s="1218">
        <v>2.04</v>
      </c>
      <c r="V9960" s="1192">
        <v>199</v>
      </c>
    </row>
    <row r="9961" spans="1:22" s="1192" customFormat="1" x14ac:dyDescent="0.35">
      <c r="A9961" s="1192" t="s">
        <v>4692</v>
      </c>
      <c r="B9961" s="1192" t="s">
        <v>4693</v>
      </c>
      <c r="E9961" s="1260" t="s">
        <v>143</v>
      </c>
      <c r="F9961" s="550"/>
      <c r="G9961" s="550"/>
      <c r="H9961" s="881"/>
      <c r="K9961" s="1192" t="s">
        <v>4701</v>
      </c>
      <c r="V9961" s="1192">
        <v>12</v>
      </c>
    </row>
    <row r="9962" spans="1:22" s="1192" customFormat="1" ht="14.4" x14ac:dyDescent="0.3">
      <c r="A9962" s="1192" t="s">
        <v>4692</v>
      </c>
      <c r="B9962" s="1192" t="s">
        <v>4693</v>
      </c>
      <c r="E9962" s="1741" t="s">
        <v>2501</v>
      </c>
      <c r="F9962" s="1741"/>
      <c r="G9962" s="1741"/>
      <c r="H9962" s="1741"/>
      <c r="V9962" s="1192">
        <v>203</v>
      </c>
    </row>
    <row r="9963" spans="1:22" s="1192" customFormat="1" ht="14.4" x14ac:dyDescent="0.3">
      <c r="A9963" s="1192" t="s">
        <v>4692</v>
      </c>
      <c r="B9963" s="1192" t="s">
        <v>4693</v>
      </c>
      <c r="E9963" s="1741" t="s">
        <v>2599</v>
      </c>
      <c r="F9963" s="1741"/>
      <c r="G9963" s="1277"/>
      <c r="H9963" s="837">
        <v>1.0429999999999999</v>
      </c>
      <c r="V9963" s="1192">
        <v>57</v>
      </c>
    </row>
    <row r="9964" spans="1:22" s="1192" customFormat="1" ht="14.4" x14ac:dyDescent="0.3">
      <c r="A9964" s="1192" t="s">
        <v>4692</v>
      </c>
      <c r="B9964" s="1192" t="s">
        <v>4693</v>
      </c>
      <c r="E9964" s="1741" t="s">
        <v>2601</v>
      </c>
      <c r="F9964" s="1741"/>
      <c r="G9964" s="1277"/>
      <c r="H9964" s="837">
        <v>1.0325</v>
      </c>
      <c r="J9964" s="1192" t="s">
        <v>4702</v>
      </c>
      <c r="V9964" s="1192">
        <v>55</v>
      </c>
    </row>
    <row r="9965" spans="1:22" s="1192" customFormat="1" ht="22.8" x14ac:dyDescent="0.3">
      <c r="A9965" s="1192" t="s">
        <v>181</v>
      </c>
      <c r="B9965" s="1192" t="s">
        <v>4602</v>
      </c>
      <c r="C9965" s="1192" t="s">
        <v>2378</v>
      </c>
      <c r="E9965" s="1752" t="s">
        <v>181</v>
      </c>
      <c r="F9965" s="2039"/>
      <c r="G9965" s="2039"/>
      <c r="H9965" s="2039"/>
      <c r="I9965" s="1192" t="s">
        <v>603</v>
      </c>
      <c r="J9965" s="1192" t="s">
        <v>4603</v>
      </c>
      <c r="K9965" s="1192" t="s">
        <v>181</v>
      </c>
      <c r="M9965" s="1192">
        <v>7</v>
      </c>
      <c r="V9965" s="1192">
        <v>32</v>
      </c>
    </row>
    <row r="9966" spans="1:22" s="1192" customFormat="1" ht="22.8" x14ac:dyDescent="0.4">
      <c r="A9966" s="1192" t="s">
        <v>181</v>
      </c>
      <c r="B9966" s="1192" t="s">
        <v>4602</v>
      </c>
      <c r="C9966" s="1192" t="s">
        <v>2380</v>
      </c>
      <c r="E9966" s="2249" t="s">
        <v>4604</v>
      </c>
      <c r="F9966" s="2249"/>
      <c r="G9966" s="2249"/>
      <c r="H9966" s="2249"/>
      <c r="V9966" s="1192">
        <v>24</v>
      </c>
    </row>
    <row r="9967" spans="1:22" s="1192" customFormat="1" ht="17.399999999999999" x14ac:dyDescent="0.3">
      <c r="A9967" s="1192" t="s">
        <v>181</v>
      </c>
      <c r="B9967" s="1192" t="s">
        <v>4602</v>
      </c>
      <c r="C9967" s="1192" t="s">
        <v>2382</v>
      </c>
      <c r="E9967" s="1753" t="s">
        <v>2381</v>
      </c>
      <c r="F9967" s="2040"/>
      <c r="G9967" s="2040"/>
      <c r="H9967" s="2040"/>
      <c r="V9967" s="1192">
        <v>27</v>
      </c>
    </row>
    <row r="9968" spans="1:22" s="1192" customFormat="1" ht="15.6" x14ac:dyDescent="0.3">
      <c r="A9968" s="1192" t="s">
        <v>181</v>
      </c>
      <c r="B9968" s="1192" t="s">
        <v>4602</v>
      </c>
      <c r="C9968" s="1192" t="s">
        <v>2383</v>
      </c>
      <c r="E9968" s="1754" t="s">
        <v>6482</v>
      </c>
      <c r="F9968" s="2020"/>
      <c r="G9968" s="2020"/>
      <c r="H9968" s="2020"/>
      <c r="S9968" s="1192">
        <v>43952</v>
      </c>
      <c r="V9968" s="1192">
        <v>45</v>
      </c>
    </row>
    <row r="9969" spans="1:22" s="1192" customFormat="1" ht="14.4" x14ac:dyDescent="0.3">
      <c r="A9969" s="1192" t="s">
        <v>181</v>
      </c>
      <c r="B9969" s="1192" t="s">
        <v>4602</v>
      </c>
      <c r="E9969" s="1755" t="s">
        <v>2384</v>
      </c>
      <c r="F9969" s="2021"/>
      <c r="G9969" s="2021"/>
      <c r="H9969" s="2021"/>
      <c r="V9969" s="1192">
        <v>52</v>
      </c>
    </row>
    <row r="9970" spans="1:22" s="1192" customFormat="1" ht="14.4" x14ac:dyDescent="0.3">
      <c r="A9970" s="1192" t="s">
        <v>181</v>
      </c>
      <c r="B9970" s="1192" t="s">
        <v>4602</v>
      </c>
      <c r="E9970" s="1755" t="s">
        <v>2385</v>
      </c>
      <c r="F9970" s="2021"/>
      <c r="G9970" s="2021"/>
      <c r="H9970" s="2021"/>
      <c r="V9970" s="1192">
        <v>53</v>
      </c>
    </row>
    <row r="9971" spans="1:22" s="1192" customFormat="1" ht="14.4" x14ac:dyDescent="0.3">
      <c r="A9971" s="1192" t="s">
        <v>181</v>
      </c>
      <c r="B9971" s="1192" t="s">
        <v>4602</v>
      </c>
      <c r="E9971" s="1772" t="s">
        <v>6586</v>
      </c>
      <c r="F9971" s="1772"/>
      <c r="G9971" s="1772"/>
      <c r="H9971" s="1772"/>
      <c r="K9971" s="1192" t="s">
        <v>6586</v>
      </c>
      <c r="V9971" s="1192">
        <v>12</v>
      </c>
    </row>
    <row r="9972" spans="1:22" s="1192" customFormat="1" ht="14.4" x14ac:dyDescent="0.3">
      <c r="A9972" s="1192" t="s">
        <v>181</v>
      </c>
      <c r="B9972" s="1192" t="s">
        <v>4602</v>
      </c>
      <c r="E9972" s="1746" t="s">
        <v>427</v>
      </c>
      <c r="F9972" s="1743"/>
      <c r="G9972" s="1743"/>
      <c r="H9972" s="1743"/>
      <c r="K9972" s="1192" t="s">
        <v>2506</v>
      </c>
      <c r="V9972" s="1192">
        <v>34</v>
      </c>
    </row>
    <row r="9973" spans="1:22" s="1192" customFormat="1" ht="14.4" x14ac:dyDescent="0.3">
      <c r="A9973" s="1192" t="s">
        <v>181</v>
      </c>
      <c r="B9973" s="1192" t="s">
        <v>4602</v>
      </c>
      <c r="E9973" s="1743" t="s">
        <v>3192</v>
      </c>
      <c r="F9973" s="1743"/>
      <c r="G9973" s="1743"/>
      <c r="H9973" s="1743"/>
      <c r="K9973" s="1192" t="s">
        <v>2506</v>
      </c>
      <c r="V9973" s="1192">
        <v>415</v>
      </c>
    </row>
    <row r="9974" spans="1:22" s="1192" customFormat="1" ht="14.4" x14ac:dyDescent="0.3">
      <c r="A9974" s="1192" t="s">
        <v>181</v>
      </c>
      <c r="B9974" s="1192" t="s">
        <v>4602</v>
      </c>
      <c r="E9974" s="1750" t="s">
        <v>2389</v>
      </c>
      <c r="F9974" s="1743"/>
      <c r="G9974" s="1743"/>
      <c r="H9974" s="1743"/>
      <c r="K9974" s="1192" t="s">
        <v>2390</v>
      </c>
      <c r="V9974" s="1192">
        <v>11</v>
      </c>
    </row>
    <row r="9975" spans="1:22" s="1192" customFormat="1" ht="14.4" x14ac:dyDescent="0.3">
      <c r="A9975" s="1192" t="s">
        <v>181</v>
      </c>
      <c r="B9975" s="1192" t="s">
        <v>4602</v>
      </c>
      <c r="E9975" s="1743" t="s">
        <v>2391</v>
      </c>
      <c r="F9975" s="1743"/>
      <c r="G9975" s="1743"/>
      <c r="H9975" s="1743"/>
      <c r="K9975" s="1192" t="s">
        <v>2506</v>
      </c>
      <c r="V9975" s="1192">
        <v>280</v>
      </c>
    </row>
    <row r="9976" spans="1:22" s="1192" customFormat="1" ht="14.4" x14ac:dyDescent="0.3">
      <c r="A9976" s="1192" t="s">
        <v>181</v>
      </c>
      <c r="B9976" s="1192" t="s">
        <v>4602</v>
      </c>
      <c r="E9976" s="1743" t="s">
        <v>2392</v>
      </c>
      <c r="F9976" s="1743"/>
      <c r="G9976" s="1743"/>
      <c r="H9976" s="1743"/>
      <c r="K9976" s="1192" t="s">
        <v>2506</v>
      </c>
      <c r="V9976" s="1192">
        <v>411</v>
      </c>
    </row>
    <row r="9977" spans="1:22" s="1192" customFormat="1" ht="14.4" x14ac:dyDescent="0.3">
      <c r="A9977" s="1192" t="s">
        <v>181</v>
      </c>
      <c r="B9977" s="1192" t="s">
        <v>4602</v>
      </c>
      <c r="E9977" s="1743" t="s">
        <v>2393</v>
      </c>
      <c r="F9977" s="1743"/>
      <c r="G9977" s="1743"/>
      <c r="H9977" s="1743"/>
      <c r="K9977" s="1192" t="s">
        <v>2506</v>
      </c>
      <c r="V9977" s="1192">
        <v>387</v>
      </c>
    </row>
    <row r="9978" spans="1:22" s="1192" customFormat="1" ht="14.4" x14ac:dyDescent="0.3">
      <c r="A9978" s="1192" t="s">
        <v>181</v>
      </c>
      <c r="B9978" s="1192" t="s">
        <v>4602</v>
      </c>
      <c r="E9978" s="1743" t="s">
        <v>4500</v>
      </c>
      <c r="F9978" s="1743"/>
      <c r="G9978" s="1743"/>
      <c r="H9978" s="1743"/>
      <c r="K9978" s="1192" t="s">
        <v>2506</v>
      </c>
      <c r="V9978" s="1192">
        <v>247</v>
      </c>
    </row>
    <row r="9979" spans="1:22" s="1192" customFormat="1" ht="14.4" x14ac:dyDescent="0.3">
      <c r="A9979" s="1192" t="s">
        <v>181</v>
      </c>
      <c r="B9979" s="1192" t="s">
        <v>4602</v>
      </c>
      <c r="E9979" s="1750" t="s">
        <v>2394</v>
      </c>
      <c r="F9979" s="1743"/>
      <c r="G9979" s="1743"/>
      <c r="H9979" s="1743"/>
      <c r="K9979" s="1192" t="s">
        <v>2395</v>
      </c>
      <c r="V9979" s="1192">
        <v>46</v>
      </c>
    </row>
    <row r="9980" spans="1:22" s="1192" customFormat="1" ht="14.4" x14ac:dyDescent="0.3">
      <c r="A9980" s="1192" t="s">
        <v>181</v>
      </c>
      <c r="B9980" s="1192" t="s">
        <v>4602</v>
      </c>
      <c r="E9980" s="1741" t="s">
        <v>7</v>
      </c>
      <c r="F9980" s="1741"/>
      <c r="G9980" s="1277" t="s">
        <v>19</v>
      </c>
      <c r="H9980" s="1218">
        <v>34.72</v>
      </c>
      <c r="K9980" s="1192" t="s">
        <v>2506</v>
      </c>
      <c r="L9980" s="1192" t="s">
        <v>430</v>
      </c>
      <c r="P9980" s="1192" t="s">
        <v>2510</v>
      </c>
      <c r="V9980" s="1192">
        <v>14</v>
      </c>
    </row>
    <row r="9981" spans="1:22" s="1192" customFormat="1" ht="14.4" x14ac:dyDescent="0.3">
      <c r="A9981" s="1192" t="s">
        <v>181</v>
      </c>
      <c r="B9981" s="1192" t="s">
        <v>4602</v>
      </c>
      <c r="E9981" s="1741" t="s">
        <v>3900</v>
      </c>
      <c r="F9981" s="1741"/>
      <c r="G9981" s="1277" t="s">
        <v>19</v>
      </c>
      <c r="H9981" s="1218">
        <v>0.56999999999999995</v>
      </c>
      <c r="K9981" s="1192" t="s">
        <v>2506</v>
      </c>
      <c r="L9981" s="1192" t="s">
        <v>431</v>
      </c>
      <c r="P9981" s="1192" t="s">
        <v>2511</v>
      </c>
      <c r="T9981" s="1192">
        <v>44926</v>
      </c>
      <c r="V9981" s="1192">
        <v>64</v>
      </c>
    </row>
    <row r="9982" spans="1:22" s="1192" customFormat="1" ht="14.4" x14ac:dyDescent="0.3">
      <c r="A9982" s="1192" t="s">
        <v>181</v>
      </c>
      <c r="B9982" s="1192" t="s">
        <v>4602</v>
      </c>
      <c r="E9982" s="1741" t="s">
        <v>14</v>
      </c>
      <c r="F9982" s="1741"/>
      <c r="G9982" s="1277" t="s">
        <v>20</v>
      </c>
      <c r="H9982" s="1219">
        <v>4.1999999999999997E-3</v>
      </c>
      <c r="K9982" s="1192" t="s">
        <v>2506</v>
      </c>
      <c r="L9982" s="1192" t="s">
        <v>431</v>
      </c>
      <c r="P9982" s="1192" t="s">
        <v>2513</v>
      </c>
      <c r="V9982" s="1192">
        <v>24</v>
      </c>
    </row>
    <row r="9983" spans="1:22" s="1192" customFormat="1" ht="14.4" x14ac:dyDescent="0.3">
      <c r="A9983" s="1192" t="s">
        <v>181</v>
      </c>
      <c r="B9983" s="1192" t="s">
        <v>4602</v>
      </c>
      <c r="E9983" s="1741" t="s">
        <v>6535</v>
      </c>
      <c r="F9983" s="1998"/>
      <c r="G9983" s="1277" t="s">
        <v>20</v>
      </c>
      <c r="H9983" s="1219">
        <v>1.5E-3</v>
      </c>
      <c r="K9983" s="1192" t="s">
        <v>2506</v>
      </c>
      <c r="L9983" s="1192" t="s">
        <v>431</v>
      </c>
      <c r="P9983" s="1192" t="s">
        <v>2516</v>
      </c>
      <c r="T9983" s="1192">
        <v>44316</v>
      </c>
      <c r="V9983" s="1192">
        <v>132</v>
      </c>
    </row>
    <row r="9984" spans="1:22" s="1192" customFormat="1" ht="14.4" x14ac:dyDescent="0.3">
      <c r="A9984" s="1192" t="s">
        <v>181</v>
      </c>
      <c r="B9984" s="1192" t="s">
        <v>4602</v>
      </c>
      <c r="E9984" s="1741" t="s">
        <v>6587</v>
      </c>
      <c r="F9984" s="1998"/>
      <c r="G9984" s="1277" t="s">
        <v>20</v>
      </c>
      <c r="H9984" s="1219">
        <v>2.0000000000000001E-4</v>
      </c>
      <c r="K9984" s="1192" t="s">
        <v>2506</v>
      </c>
      <c r="L9984" s="1192" t="s">
        <v>431</v>
      </c>
      <c r="P9984" s="1192" t="s">
        <v>2514</v>
      </c>
      <c r="T9984" s="1192">
        <v>44316</v>
      </c>
      <c r="V9984" s="1192">
        <v>170</v>
      </c>
    </row>
    <row r="9985" spans="1:22" s="1192" customFormat="1" ht="14.4" x14ac:dyDescent="0.3">
      <c r="A9985" s="1192" t="s">
        <v>181</v>
      </c>
      <c r="B9985" s="1192" t="s">
        <v>4602</v>
      </c>
      <c r="E9985" s="1741" t="s">
        <v>6548</v>
      </c>
      <c r="F9985" s="1998"/>
      <c r="G9985" s="1277" t="s">
        <v>20</v>
      </c>
      <c r="H9985" s="1219">
        <v>1E-3</v>
      </c>
      <c r="K9985" s="1192" t="s">
        <v>2506</v>
      </c>
      <c r="L9985" s="1192" t="s">
        <v>430</v>
      </c>
      <c r="P9985" s="1192" t="s">
        <v>2515</v>
      </c>
      <c r="T9985" s="1192">
        <v>44316</v>
      </c>
      <c r="V9985" s="1192">
        <v>134</v>
      </c>
    </row>
    <row r="9986" spans="1:22" s="1192" customFormat="1" ht="14.4" x14ac:dyDescent="0.3">
      <c r="A9986" s="1192" t="s">
        <v>181</v>
      </c>
      <c r="B9986" s="1192" t="s">
        <v>4602</v>
      </c>
      <c r="E9986" s="1741" t="s">
        <v>213</v>
      </c>
      <c r="F9986" s="1741"/>
      <c r="G9986" s="1277" t="s">
        <v>20</v>
      </c>
      <c r="H9986" s="1219">
        <v>6.0000000000000001E-3</v>
      </c>
      <c r="K9986" s="1192" t="s">
        <v>2506</v>
      </c>
      <c r="L9986" s="1192" t="s">
        <v>432</v>
      </c>
      <c r="P9986" s="1192" t="s">
        <v>2517</v>
      </c>
      <c r="V9986" s="1192">
        <v>47</v>
      </c>
    </row>
    <row r="9987" spans="1:22" s="1192" customFormat="1" ht="14.4" x14ac:dyDescent="0.3">
      <c r="A9987" s="1192" t="s">
        <v>181</v>
      </c>
      <c r="B9987" s="1192" t="s">
        <v>4602</v>
      </c>
      <c r="E9987" s="1741" t="s">
        <v>209</v>
      </c>
      <c r="F9987" s="1741"/>
      <c r="G9987" s="1277" t="s">
        <v>20</v>
      </c>
      <c r="H9987" s="1219">
        <v>5.1999999999999998E-3</v>
      </c>
      <c r="K9987" s="1192" t="s">
        <v>2506</v>
      </c>
      <c r="L9987" s="1192" t="s">
        <v>432</v>
      </c>
      <c r="P9987" s="1192" t="s">
        <v>2518</v>
      </c>
      <c r="V9987" s="1192">
        <v>74</v>
      </c>
    </row>
    <row r="9988" spans="1:22" s="1192" customFormat="1" ht="14.4" x14ac:dyDescent="0.3">
      <c r="A9988" s="1192" t="s">
        <v>181</v>
      </c>
      <c r="B9988" s="1192" t="s">
        <v>4602</v>
      </c>
      <c r="E9988" s="1750" t="s">
        <v>2405</v>
      </c>
      <c r="F9988" s="1741"/>
      <c r="G9988" s="1741"/>
      <c r="H9988" s="1741"/>
      <c r="K9988" s="1192" t="s">
        <v>2406</v>
      </c>
      <c r="V9988" s="1192">
        <v>48</v>
      </c>
    </row>
    <row r="9989" spans="1:22" s="1192" customFormat="1" ht="14.4" x14ac:dyDescent="0.3">
      <c r="A9989" s="1192" t="s">
        <v>181</v>
      </c>
      <c r="B9989" s="1192" t="s">
        <v>4602</v>
      </c>
      <c r="E9989" s="1741" t="s">
        <v>2033</v>
      </c>
      <c r="F9989" s="1741"/>
      <c r="G9989" s="1277" t="s">
        <v>20</v>
      </c>
      <c r="H9989" s="1219">
        <v>3.0000000000000001E-3</v>
      </c>
      <c r="K9989" s="1192" t="s">
        <v>2506</v>
      </c>
      <c r="L9989" s="1192" t="s">
        <v>2374</v>
      </c>
      <c r="P9989" s="1192" t="s">
        <v>2519</v>
      </c>
      <c r="V9989" s="1192">
        <v>55</v>
      </c>
    </row>
    <row r="9990" spans="1:22" s="1192" customFormat="1" ht="14.4" x14ac:dyDescent="0.3">
      <c r="A9990" s="1192" t="s">
        <v>181</v>
      </c>
      <c r="B9990" s="1192" t="s">
        <v>4602</v>
      </c>
      <c r="E9990" s="1741" t="s">
        <v>2034</v>
      </c>
      <c r="F9990" s="1741"/>
      <c r="G9990" s="1277" t="s">
        <v>20</v>
      </c>
      <c r="H9990" s="1219">
        <v>4.0000000000000002E-4</v>
      </c>
      <c r="K9990" s="1192" t="s">
        <v>2506</v>
      </c>
      <c r="L9990" s="1192" t="s">
        <v>2374</v>
      </c>
      <c r="P9990" s="1192" t="s">
        <v>2519</v>
      </c>
      <c r="V9990" s="1192">
        <v>65</v>
      </c>
    </row>
    <row r="9991" spans="1:22" s="1192" customFormat="1" ht="14.4" x14ac:dyDescent="0.3">
      <c r="A9991" s="1192" t="s">
        <v>181</v>
      </c>
      <c r="B9991" s="1192" t="s">
        <v>4602</v>
      </c>
      <c r="E9991" s="1741" t="s">
        <v>428</v>
      </c>
      <c r="F9991" s="1741"/>
      <c r="G9991" s="1277" t="s">
        <v>20</v>
      </c>
      <c r="H9991" s="1219">
        <v>5.0000000000000001E-4</v>
      </c>
      <c r="K9991" s="1192" t="s">
        <v>2506</v>
      </c>
      <c r="L9991" s="1192" t="s">
        <v>2374</v>
      </c>
      <c r="P9991" s="1192" t="s">
        <v>2520</v>
      </c>
      <c r="V9991" s="1192">
        <v>57</v>
      </c>
    </row>
    <row r="9992" spans="1:22" s="1192" customFormat="1" ht="14.4" x14ac:dyDescent="0.3">
      <c r="A9992" s="1192" t="s">
        <v>181</v>
      </c>
      <c r="B9992" s="1192" t="s">
        <v>4602</v>
      </c>
      <c r="E9992" s="1741" t="s">
        <v>28</v>
      </c>
      <c r="F9992" s="1741"/>
      <c r="G9992" s="1277" t="s">
        <v>19</v>
      </c>
      <c r="H9992" s="1218">
        <v>0.25</v>
      </c>
      <c r="K9992" s="1192" t="s">
        <v>2506</v>
      </c>
      <c r="L9992" s="1192" t="s">
        <v>2374</v>
      </c>
      <c r="P9992" s="1192" t="s">
        <v>2521</v>
      </c>
      <c r="V9992" s="1192">
        <v>63</v>
      </c>
    </row>
    <row r="9993" spans="1:22" s="1192" customFormat="1" ht="17.399999999999999" x14ac:dyDescent="0.3">
      <c r="A9993" s="1192" t="s">
        <v>181</v>
      </c>
      <c r="B9993" s="1192" t="s">
        <v>4602</v>
      </c>
      <c r="E9993" s="1746" t="s">
        <v>2522</v>
      </c>
      <c r="F9993" s="1747"/>
      <c r="G9993" s="1747"/>
      <c r="H9993" s="1747"/>
      <c r="K9993" s="1192" t="s">
        <v>3901</v>
      </c>
      <c r="V9993" s="1192">
        <v>54</v>
      </c>
    </row>
    <row r="9994" spans="1:22" s="1192" customFormat="1" ht="14.4" x14ac:dyDescent="0.3">
      <c r="A9994" s="1192" t="s">
        <v>181</v>
      </c>
      <c r="B9994" s="1192" t="s">
        <v>4602</v>
      </c>
      <c r="E9994" s="1743" t="s">
        <v>3193</v>
      </c>
      <c r="F9994" s="1743"/>
      <c r="G9994" s="1743"/>
      <c r="H9994" s="1743"/>
      <c r="K9994" s="1192" t="s">
        <v>3901</v>
      </c>
      <c r="V9994" s="1192">
        <v>321</v>
      </c>
    </row>
    <row r="9995" spans="1:22" s="1192" customFormat="1" ht="14.4" x14ac:dyDescent="0.3">
      <c r="A9995" s="1192" t="s">
        <v>181</v>
      </c>
      <c r="B9995" s="1192" t="s">
        <v>4602</v>
      </c>
      <c r="E9995" s="1750" t="s">
        <v>2389</v>
      </c>
      <c r="F9995" s="1743"/>
      <c r="G9995" s="1743"/>
      <c r="H9995" s="1743"/>
      <c r="K9995" s="1192" t="s">
        <v>2412</v>
      </c>
      <c r="V9995" s="1192">
        <v>11</v>
      </c>
    </row>
    <row r="9996" spans="1:22" s="1192" customFormat="1" ht="14.4" x14ac:dyDescent="0.3">
      <c r="A9996" s="1192" t="s">
        <v>181</v>
      </c>
      <c r="B9996" s="1192" t="s">
        <v>4602</v>
      </c>
      <c r="E9996" s="1743" t="s">
        <v>2391</v>
      </c>
      <c r="F9996" s="1743"/>
      <c r="G9996" s="1743"/>
      <c r="H9996" s="1743"/>
      <c r="K9996" s="1192" t="s">
        <v>3901</v>
      </c>
      <c r="V9996" s="1192">
        <v>280</v>
      </c>
    </row>
    <row r="9997" spans="1:22" s="1192" customFormat="1" ht="14.4" x14ac:dyDescent="0.3">
      <c r="A9997" s="1192" t="s">
        <v>181</v>
      </c>
      <c r="B9997" s="1192" t="s">
        <v>4602</v>
      </c>
      <c r="E9997" s="1743" t="s">
        <v>2392</v>
      </c>
      <c r="F9997" s="1743"/>
      <c r="G9997" s="1743"/>
      <c r="H9997" s="1743"/>
      <c r="K9997" s="1192" t="s">
        <v>3901</v>
      </c>
      <c r="V9997" s="1192">
        <v>411</v>
      </c>
    </row>
    <row r="9998" spans="1:22" s="1192" customFormat="1" ht="14.4" x14ac:dyDescent="0.3">
      <c r="A9998" s="1192" t="s">
        <v>181</v>
      </c>
      <c r="B9998" s="1192" t="s">
        <v>4602</v>
      </c>
      <c r="E9998" s="1743" t="s">
        <v>2393</v>
      </c>
      <c r="F9998" s="1743"/>
      <c r="G9998" s="1743"/>
      <c r="H9998" s="1743"/>
      <c r="K9998" s="1192" t="s">
        <v>3901</v>
      </c>
      <c r="V9998" s="1192">
        <v>387</v>
      </c>
    </row>
    <row r="9999" spans="1:22" s="1192" customFormat="1" ht="14.4" x14ac:dyDescent="0.3">
      <c r="A9999" s="1192" t="s">
        <v>181</v>
      </c>
      <c r="B9999" s="1192" t="s">
        <v>4602</v>
      </c>
      <c r="E9999" s="1743" t="s">
        <v>4500</v>
      </c>
      <c r="F9999" s="1743"/>
      <c r="G9999" s="1743"/>
      <c r="H9999" s="1743"/>
      <c r="K9999" s="1192" t="s">
        <v>3901</v>
      </c>
      <c r="V9999" s="1192">
        <v>247</v>
      </c>
    </row>
    <row r="10000" spans="1:22" s="1192" customFormat="1" ht="14.4" x14ac:dyDescent="0.3">
      <c r="A10000" s="1192" t="s">
        <v>181</v>
      </c>
      <c r="B10000" s="1192" t="s">
        <v>4602</v>
      </c>
      <c r="E10000" s="1750" t="s">
        <v>2394</v>
      </c>
      <c r="F10000" s="1743"/>
      <c r="G10000" s="1743"/>
      <c r="H10000" s="1743"/>
      <c r="K10000" s="1192" t="s">
        <v>2413</v>
      </c>
      <c r="V10000" s="1192">
        <v>46</v>
      </c>
    </row>
    <row r="10001" spans="1:22" s="1192" customFormat="1" ht="14.4" x14ac:dyDescent="0.3">
      <c r="A10001" s="1192" t="s">
        <v>181</v>
      </c>
      <c r="B10001" s="1192" t="s">
        <v>4602</v>
      </c>
      <c r="E10001" s="1741" t="s">
        <v>7</v>
      </c>
      <c r="F10001" s="1741"/>
      <c r="G10001" s="1277" t="s">
        <v>19</v>
      </c>
      <c r="H10001" s="1218">
        <v>39.49</v>
      </c>
      <c r="K10001" s="1192" t="s">
        <v>3901</v>
      </c>
      <c r="L10001" s="1192" t="s">
        <v>430</v>
      </c>
      <c r="P10001" s="1192" t="s">
        <v>3902</v>
      </c>
      <c r="V10001" s="1192">
        <v>14</v>
      </c>
    </row>
    <row r="10002" spans="1:22" s="1192" customFormat="1" ht="14.4" x14ac:dyDescent="0.3">
      <c r="A10002" s="1192" t="s">
        <v>181</v>
      </c>
      <c r="B10002" s="1192" t="s">
        <v>4602</v>
      </c>
      <c r="E10002" s="1741" t="s">
        <v>3900</v>
      </c>
      <c r="F10002" s="1741"/>
      <c r="G10002" s="1277" t="s">
        <v>19</v>
      </c>
      <c r="H10002" s="1218">
        <v>0.56999999999999995</v>
      </c>
      <c r="K10002" s="1192" t="s">
        <v>3901</v>
      </c>
      <c r="L10002" s="1192" t="s">
        <v>431</v>
      </c>
      <c r="P10002" s="1192" t="s">
        <v>3903</v>
      </c>
      <c r="T10002" s="1192">
        <v>44926</v>
      </c>
      <c r="V10002" s="1192">
        <v>64</v>
      </c>
    </row>
    <row r="10003" spans="1:22" s="1192" customFormat="1" ht="14.4" x14ac:dyDescent="0.3">
      <c r="A10003" s="1192" t="s">
        <v>181</v>
      </c>
      <c r="B10003" s="1192" t="s">
        <v>4602</v>
      </c>
      <c r="E10003" s="1741" t="s">
        <v>80</v>
      </c>
      <c r="F10003" s="1741"/>
      <c r="G10003" s="1277" t="s">
        <v>20</v>
      </c>
      <c r="H10003" s="1219">
        <v>1.1599999999999999E-2</v>
      </c>
      <c r="K10003" s="1192" t="s">
        <v>3901</v>
      </c>
      <c r="L10003" s="1192" t="s">
        <v>430</v>
      </c>
      <c r="P10003" s="1192" t="s">
        <v>3904</v>
      </c>
      <c r="V10003" s="1192">
        <v>28</v>
      </c>
    </row>
    <row r="10004" spans="1:22" s="1192" customFormat="1" ht="14.4" x14ac:dyDescent="0.3">
      <c r="A10004" s="1192" t="s">
        <v>181</v>
      </c>
      <c r="B10004" s="1192" t="s">
        <v>4602</v>
      </c>
      <c r="E10004" s="1741" t="s">
        <v>14</v>
      </c>
      <c r="F10004" s="1741"/>
      <c r="G10004" s="1277" t="s">
        <v>20</v>
      </c>
      <c r="H10004" s="1219">
        <v>3.8999999999999998E-3</v>
      </c>
      <c r="K10004" s="1192" t="s">
        <v>3901</v>
      </c>
      <c r="L10004" s="1192" t="s">
        <v>431</v>
      </c>
      <c r="P10004" s="1192" t="s">
        <v>3905</v>
      </c>
      <c r="V10004" s="1192">
        <v>24</v>
      </c>
    </row>
    <row r="10005" spans="1:22" s="1192" customFormat="1" ht="14.4" x14ac:dyDescent="0.3">
      <c r="A10005" s="1192" t="s">
        <v>181</v>
      </c>
      <c r="B10005" s="1192" t="s">
        <v>4602</v>
      </c>
      <c r="E10005" s="1741" t="s">
        <v>6535</v>
      </c>
      <c r="F10005" s="1998"/>
      <c r="G10005" s="1277" t="s">
        <v>20</v>
      </c>
      <c r="H10005" s="1219">
        <v>1.5E-3</v>
      </c>
      <c r="K10005" s="1192" t="s">
        <v>3901</v>
      </c>
      <c r="L10005" s="1192" t="s">
        <v>431</v>
      </c>
      <c r="P10005" s="1192" t="s">
        <v>3911</v>
      </c>
      <c r="T10005" s="1192">
        <v>44316</v>
      </c>
      <c r="V10005" s="1192">
        <v>132</v>
      </c>
    </row>
    <row r="10006" spans="1:22" s="1192" customFormat="1" ht="14.4" x14ac:dyDescent="0.3">
      <c r="A10006" s="1192" t="s">
        <v>181</v>
      </c>
      <c r="B10006" s="1192" t="s">
        <v>4602</v>
      </c>
      <c r="E10006" s="1741" t="s">
        <v>6587</v>
      </c>
      <c r="F10006" s="1998"/>
      <c r="G10006" s="1277" t="s">
        <v>20</v>
      </c>
      <c r="H10006" s="1219">
        <v>2.0000000000000001E-4</v>
      </c>
      <c r="K10006" s="1192" t="s">
        <v>3901</v>
      </c>
      <c r="L10006" s="1192" t="s">
        <v>431</v>
      </c>
      <c r="P10006" s="1192" t="s">
        <v>3700</v>
      </c>
      <c r="T10006" s="1192">
        <v>44316</v>
      </c>
      <c r="V10006" s="1192">
        <v>170</v>
      </c>
    </row>
    <row r="10007" spans="1:22" s="1192" customFormat="1" ht="14.4" x14ac:dyDescent="0.3">
      <c r="A10007" s="1192" t="s">
        <v>181</v>
      </c>
      <c r="B10007" s="1192" t="s">
        <v>4602</v>
      </c>
      <c r="E10007" s="1741" t="s">
        <v>6548</v>
      </c>
      <c r="F10007" s="1998"/>
      <c r="G10007" s="1277" t="s">
        <v>20</v>
      </c>
      <c r="H10007" s="1219">
        <v>2.3999999999999998E-3</v>
      </c>
      <c r="K10007" s="1192" t="s">
        <v>3901</v>
      </c>
      <c r="L10007" s="1192" t="s">
        <v>430</v>
      </c>
      <c r="P10007" s="1192" t="s">
        <v>4000</v>
      </c>
      <c r="T10007" s="1192">
        <v>44316</v>
      </c>
      <c r="V10007" s="1192">
        <v>134</v>
      </c>
    </row>
    <row r="10008" spans="1:22" s="1192" customFormat="1" ht="14.4" x14ac:dyDescent="0.3">
      <c r="A10008" s="1192" t="s">
        <v>181</v>
      </c>
      <c r="B10008" s="1192" t="s">
        <v>4602</v>
      </c>
      <c r="E10008" s="1741" t="s">
        <v>213</v>
      </c>
      <c r="F10008" s="1741"/>
      <c r="G10008" s="1277" t="s">
        <v>20</v>
      </c>
      <c r="H10008" s="1219">
        <v>5.5999999999999999E-3</v>
      </c>
      <c r="K10008" s="1192" t="s">
        <v>3901</v>
      </c>
      <c r="L10008" s="1192" t="s">
        <v>432</v>
      </c>
      <c r="P10008" s="1192" t="s">
        <v>3906</v>
      </c>
      <c r="V10008" s="1192">
        <v>47</v>
      </c>
    </row>
    <row r="10009" spans="1:22" s="1192" customFormat="1" ht="14.4" x14ac:dyDescent="0.3">
      <c r="A10009" s="1192" t="s">
        <v>181</v>
      </c>
      <c r="B10009" s="1192" t="s">
        <v>4602</v>
      </c>
      <c r="E10009" s="1741" t="s">
        <v>209</v>
      </c>
      <c r="F10009" s="1741"/>
      <c r="G10009" s="1277" t="s">
        <v>20</v>
      </c>
      <c r="H10009" s="1219">
        <v>4.7999999999999996E-3</v>
      </c>
      <c r="K10009" s="1192" t="s">
        <v>3901</v>
      </c>
      <c r="L10009" s="1192" t="s">
        <v>432</v>
      </c>
      <c r="P10009" s="1192" t="s">
        <v>3907</v>
      </c>
      <c r="V10009" s="1192">
        <v>74</v>
      </c>
    </row>
    <row r="10010" spans="1:22" s="1192" customFormat="1" ht="14.4" x14ac:dyDescent="0.3">
      <c r="A10010" s="1192" t="s">
        <v>181</v>
      </c>
      <c r="B10010" s="1192" t="s">
        <v>4602</v>
      </c>
      <c r="E10010" s="1750" t="s">
        <v>2405</v>
      </c>
      <c r="F10010" s="1741"/>
      <c r="G10010" s="1741"/>
      <c r="H10010" s="1741"/>
      <c r="K10010" s="1192" t="s">
        <v>2418</v>
      </c>
      <c r="V10010" s="1192">
        <v>48</v>
      </c>
    </row>
    <row r="10011" spans="1:22" s="1192" customFormat="1" ht="14.4" x14ac:dyDescent="0.3">
      <c r="A10011" s="1192" t="s">
        <v>181</v>
      </c>
      <c r="B10011" s="1192" t="s">
        <v>4602</v>
      </c>
      <c r="E10011" s="1741" t="s">
        <v>2033</v>
      </c>
      <c r="F10011" s="1741"/>
      <c r="G10011" s="1277" t="s">
        <v>20</v>
      </c>
      <c r="H10011" s="1219">
        <v>3.0000000000000001E-3</v>
      </c>
      <c r="K10011" s="1192" t="s">
        <v>3901</v>
      </c>
      <c r="L10011" s="1192" t="s">
        <v>2374</v>
      </c>
      <c r="P10011" s="1192" t="s">
        <v>3908</v>
      </c>
      <c r="V10011" s="1192">
        <v>55</v>
      </c>
    </row>
    <row r="10012" spans="1:22" s="1192" customFormat="1" ht="14.4" x14ac:dyDescent="0.3">
      <c r="A10012" s="1192" t="s">
        <v>181</v>
      </c>
      <c r="B10012" s="1192" t="s">
        <v>4602</v>
      </c>
      <c r="E10012" s="1741" t="s">
        <v>2034</v>
      </c>
      <c r="F10012" s="1741"/>
      <c r="G10012" s="1277" t="s">
        <v>20</v>
      </c>
      <c r="H10012" s="1219">
        <v>4.0000000000000002E-4</v>
      </c>
      <c r="K10012" s="1192" t="s">
        <v>3901</v>
      </c>
      <c r="L10012" s="1192" t="s">
        <v>2374</v>
      </c>
      <c r="P10012" s="1192" t="s">
        <v>3908</v>
      </c>
      <c r="V10012" s="1192">
        <v>65</v>
      </c>
    </row>
    <row r="10013" spans="1:22" s="1192" customFormat="1" ht="14.4" x14ac:dyDescent="0.3">
      <c r="A10013" s="1192" t="s">
        <v>181</v>
      </c>
      <c r="B10013" s="1192" t="s">
        <v>4602</v>
      </c>
      <c r="E10013" s="1741" t="s">
        <v>428</v>
      </c>
      <c r="F10013" s="1741"/>
      <c r="G10013" s="1277" t="s">
        <v>20</v>
      </c>
      <c r="H10013" s="1219">
        <v>5.0000000000000001E-4</v>
      </c>
      <c r="K10013" s="1192" t="s">
        <v>3901</v>
      </c>
      <c r="L10013" s="1192" t="s">
        <v>2374</v>
      </c>
      <c r="P10013" s="1192" t="s">
        <v>3909</v>
      </c>
      <c r="V10013" s="1192">
        <v>57</v>
      </c>
    </row>
    <row r="10014" spans="1:22" s="1192" customFormat="1" ht="14.4" x14ac:dyDescent="0.3">
      <c r="A10014" s="1192" t="s">
        <v>181</v>
      </c>
      <c r="B10014" s="1192" t="s">
        <v>4602</v>
      </c>
      <c r="E10014" s="1741" t="s">
        <v>28</v>
      </c>
      <c r="F10014" s="1741"/>
      <c r="G10014" s="1277" t="s">
        <v>19</v>
      </c>
      <c r="H10014" s="1218">
        <v>0.25</v>
      </c>
      <c r="K10014" s="1192" t="s">
        <v>3901</v>
      </c>
      <c r="L10014" s="1192" t="s">
        <v>2374</v>
      </c>
      <c r="P10014" s="1192" t="s">
        <v>3910</v>
      </c>
      <c r="V10014" s="1192">
        <v>63</v>
      </c>
    </row>
    <row r="10015" spans="1:22" s="1192" customFormat="1" ht="17.399999999999999" x14ac:dyDescent="0.3">
      <c r="A10015" s="1192" t="s">
        <v>181</v>
      </c>
      <c r="B10015" s="1192" t="s">
        <v>4602</v>
      </c>
      <c r="E10015" s="1746" t="s">
        <v>591</v>
      </c>
      <c r="F10015" s="1747"/>
      <c r="G10015" s="1747"/>
      <c r="H10015" s="1747"/>
      <c r="K10015" s="1192" t="s">
        <v>4388</v>
      </c>
      <c r="V10015" s="1192">
        <v>53</v>
      </c>
    </row>
    <row r="10016" spans="1:22" s="1192" customFormat="1" ht="14.4" x14ac:dyDescent="0.3">
      <c r="A10016" s="1192" t="s">
        <v>181</v>
      </c>
      <c r="B10016" s="1192" t="s">
        <v>4602</v>
      </c>
      <c r="E10016" s="1743" t="s">
        <v>3194</v>
      </c>
      <c r="F10016" s="1743"/>
      <c r="G10016" s="1743"/>
      <c r="H10016" s="1743"/>
      <c r="K10016" s="1192" t="s">
        <v>4388</v>
      </c>
      <c r="V10016" s="1192">
        <v>355</v>
      </c>
    </row>
    <row r="10017" spans="1:22" s="1192" customFormat="1" ht="14.4" x14ac:dyDescent="0.3">
      <c r="A10017" s="1192" t="s">
        <v>181</v>
      </c>
      <c r="B10017" s="1192" t="s">
        <v>4602</v>
      </c>
      <c r="E10017" s="1750" t="s">
        <v>2389</v>
      </c>
      <c r="F10017" s="1743"/>
      <c r="G10017" s="1743"/>
      <c r="H10017" s="1743"/>
      <c r="K10017" s="1192" t="s">
        <v>2422</v>
      </c>
      <c r="V10017" s="1192">
        <v>11</v>
      </c>
    </row>
    <row r="10018" spans="1:22" s="1192" customFormat="1" ht="14.4" x14ac:dyDescent="0.3">
      <c r="A10018" s="1192" t="s">
        <v>181</v>
      </c>
      <c r="B10018" s="1192" t="s">
        <v>4602</v>
      </c>
      <c r="E10018" s="1743" t="s">
        <v>2391</v>
      </c>
      <c r="F10018" s="1743"/>
      <c r="G10018" s="1743"/>
      <c r="H10018" s="1743"/>
      <c r="K10018" s="1192" t="s">
        <v>4388</v>
      </c>
      <c r="V10018" s="1192">
        <v>280</v>
      </c>
    </row>
    <row r="10019" spans="1:22" s="1192" customFormat="1" ht="14.4" x14ac:dyDescent="0.3">
      <c r="A10019" s="1192" t="s">
        <v>181</v>
      </c>
      <c r="B10019" s="1192" t="s">
        <v>4602</v>
      </c>
      <c r="E10019" s="1743" t="s">
        <v>2392</v>
      </c>
      <c r="F10019" s="1743"/>
      <c r="G10019" s="1743"/>
      <c r="H10019" s="1743"/>
      <c r="K10019" s="1192" t="s">
        <v>4388</v>
      </c>
      <c r="V10019" s="1192">
        <v>411</v>
      </c>
    </row>
    <row r="10020" spans="1:22" s="1192" customFormat="1" ht="14.4" x14ac:dyDescent="0.3">
      <c r="A10020" s="1192" t="s">
        <v>181</v>
      </c>
      <c r="B10020" s="1192" t="s">
        <v>4602</v>
      </c>
      <c r="E10020" s="1743" t="s">
        <v>2393</v>
      </c>
      <c r="F10020" s="1743"/>
      <c r="G10020" s="1743"/>
      <c r="H10020" s="1743"/>
      <c r="K10020" s="1192" t="s">
        <v>4388</v>
      </c>
      <c r="V10020" s="1192">
        <v>387</v>
      </c>
    </row>
    <row r="10021" spans="1:22" s="1192" customFormat="1" ht="14.4" x14ac:dyDescent="0.3">
      <c r="A10021" s="1192" t="s">
        <v>181</v>
      </c>
      <c r="B10021" s="1192" t="s">
        <v>4602</v>
      </c>
      <c r="E10021" s="1743" t="s">
        <v>4605</v>
      </c>
      <c r="F10021" s="1743"/>
      <c r="G10021" s="1743"/>
      <c r="H10021" s="1743"/>
      <c r="K10021" s="1192" t="s">
        <v>4388</v>
      </c>
      <c r="V10021" s="1192">
        <v>684</v>
      </c>
    </row>
    <row r="10022" spans="1:22" s="1192" customFormat="1" ht="14.4" x14ac:dyDescent="0.3">
      <c r="A10022" s="1192" t="s">
        <v>181</v>
      </c>
      <c r="B10022" s="1192" t="s">
        <v>4602</v>
      </c>
      <c r="E10022" s="1743" t="s">
        <v>4503</v>
      </c>
      <c r="F10022" s="1743"/>
      <c r="G10022" s="1743"/>
      <c r="H10022" s="1743"/>
      <c r="K10022" s="1192" t="s">
        <v>4388</v>
      </c>
      <c r="V10022" s="1192">
        <v>677</v>
      </c>
    </row>
    <row r="10023" spans="1:22" s="1192" customFormat="1" ht="14.4" x14ac:dyDescent="0.3">
      <c r="A10023" s="1192" t="s">
        <v>181</v>
      </c>
      <c r="B10023" s="1192" t="s">
        <v>4602</v>
      </c>
      <c r="E10023" s="1743" t="s">
        <v>4500</v>
      </c>
      <c r="F10023" s="1743"/>
      <c r="G10023" s="1743"/>
      <c r="H10023" s="1743"/>
      <c r="K10023" s="1192" t="s">
        <v>4388</v>
      </c>
      <c r="V10023" s="1192">
        <v>247</v>
      </c>
    </row>
    <row r="10024" spans="1:22" s="1192" customFormat="1" ht="14.4" x14ac:dyDescent="0.3">
      <c r="A10024" s="1192" t="s">
        <v>181</v>
      </c>
      <c r="B10024" s="1192" t="s">
        <v>4602</v>
      </c>
      <c r="E10024" s="1750" t="s">
        <v>2394</v>
      </c>
      <c r="F10024" s="1743"/>
      <c r="G10024" s="1743"/>
      <c r="H10024" s="1743"/>
      <c r="K10024" s="1192" t="s">
        <v>2423</v>
      </c>
      <c r="V10024" s="1192">
        <v>46</v>
      </c>
    </row>
    <row r="10025" spans="1:22" s="1192" customFormat="1" ht="14.4" x14ac:dyDescent="0.3">
      <c r="A10025" s="1192" t="s">
        <v>181</v>
      </c>
      <c r="B10025" s="1192" t="s">
        <v>4602</v>
      </c>
      <c r="E10025" s="1741" t="s">
        <v>7</v>
      </c>
      <c r="F10025" s="1741"/>
      <c r="G10025" s="1277" t="s">
        <v>19</v>
      </c>
      <c r="H10025" s="1218">
        <v>237.63</v>
      </c>
      <c r="K10025" s="1192" t="s">
        <v>4388</v>
      </c>
      <c r="L10025" s="1192" t="s">
        <v>430</v>
      </c>
      <c r="P10025" s="1192" t="s">
        <v>4389</v>
      </c>
      <c r="V10025" s="1192">
        <v>14</v>
      </c>
    </row>
    <row r="10026" spans="1:22" s="1192" customFormat="1" ht="14.4" x14ac:dyDescent="0.3">
      <c r="A10026" s="1192" t="s">
        <v>181</v>
      </c>
      <c r="B10026" s="1192" t="s">
        <v>4602</v>
      </c>
      <c r="E10026" s="1741" t="s">
        <v>80</v>
      </c>
      <c r="F10026" s="1741"/>
      <c r="G10026" s="1277" t="s">
        <v>29</v>
      </c>
      <c r="H10026" s="1219">
        <v>2.7204000000000002</v>
      </c>
      <c r="K10026" s="1192" t="s">
        <v>4388</v>
      </c>
      <c r="L10026" s="1192" t="s">
        <v>430</v>
      </c>
      <c r="P10026" s="1192" t="s">
        <v>4390</v>
      </c>
      <c r="V10026" s="1192">
        <v>28</v>
      </c>
    </row>
    <row r="10027" spans="1:22" s="1192" customFormat="1" ht="14.4" x14ac:dyDescent="0.3">
      <c r="A10027" s="1192" t="s">
        <v>181</v>
      </c>
      <c r="B10027" s="1192" t="s">
        <v>4602</v>
      </c>
      <c r="E10027" s="1741" t="s">
        <v>14</v>
      </c>
      <c r="F10027" s="1741"/>
      <c r="G10027" s="1277" t="s">
        <v>29</v>
      </c>
      <c r="H10027" s="1219">
        <v>1.5720000000000001</v>
      </c>
      <c r="K10027" s="1192" t="s">
        <v>4388</v>
      </c>
      <c r="L10027" s="1192" t="s">
        <v>431</v>
      </c>
      <c r="P10027" s="1192" t="s">
        <v>4391</v>
      </c>
      <c r="V10027" s="1192">
        <v>24</v>
      </c>
    </row>
    <row r="10028" spans="1:22" s="1192" customFormat="1" ht="14.4" x14ac:dyDescent="0.3">
      <c r="A10028" s="1192" t="s">
        <v>181</v>
      </c>
      <c r="B10028" s="1192" t="s">
        <v>4602</v>
      </c>
      <c r="E10028" s="1741" t="s">
        <v>6535</v>
      </c>
      <c r="F10028" s="1998"/>
      <c r="G10028" s="1277" t="s">
        <v>29</v>
      </c>
      <c r="H10028" s="1219">
        <v>0.7087</v>
      </c>
      <c r="K10028" s="1192" t="s">
        <v>4388</v>
      </c>
      <c r="L10028" s="1192" t="s">
        <v>431</v>
      </c>
      <c r="P10028" s="1192" t="s">
        <v>4398</v>
      </c>
      <c r="T10028" s="1192">
        <v>44316</v>
      </c>
      <c r="V10028" s="1192">
        <v>132</v>
      </c>
    </row>
    <row r="10029" spans="1:22" s="1192" customFormat="1" ht="14.4" x14ac:dyDescent="0.3">
      <c r="A10029" s="1192" t="s">
        <v>181</v>
      </c>
      <c r="B10029" s="1192" t="s">
        <v>4602</v>
      </c>
      <c r="E10029" s="1741" t="s">
        <v>6587</v>
      </c>
      <c r="F10029" s="1998"/>
      <c r="G10029" s="1277" t="s">
        <v>20</v>
      </c>
      <c r="H10029" s="1219">
        <v>2.0000000000000001E-4</v>
      </c>
      <c r="K10029" s="1192" t="s">
        <v>4388</v>
      </c>
      <c r="L10029" s="1192" t="s">
        <v>431</v>
      </c>
      <c r="P10029" s="1192" t="s">
        <v>4397</v>
      </c>
      <c r="T10029" s="1192">
        <v>44316</v>
      </c>
      <c r="V10029" s="1192">
        <v>170</v>
      </c>
    </row>
    <row r="10030" spans="1:22" s="1192" customFormat="1" ht="14.4" x14ac:dyDescent="0.3">
      <c r="A10030" s="1192" t="s">
        <v>181</v>
      </c>
      <c r="B10030" s="1192" t="s">
        <v>4602</v>
      </c>
      <c r="E10030" s="1741" t="s">
        <v>6548</v>
      </c>
      <c r="F10030" s="1998"/>
      <c r="G10030" s="1277" t="s">
        <v>29</v>
      </c>
      <c r="H10030" s="1219">
        <v>0.1227</v>
      </c>
      <c r="K10030" s="1192" t="s">
        <v>4388</v>
      </c>
      <c r="L10030" s="1192" t="s">
        <v>430</v>
      </c>
      <c r="P10030" s="1192" t="s">
        <v>4400</v>
      </c>
      <c r="T10030" s="1192">
        <v>44316</v>
      </c>
      <c r="V10030" s="1192">
        <v>134</v>
      </c>
    </row>
    <row r="10031" spans="1:22" s="1192" customFormat="1" ht="14.4" x14ac:dyDescent="0.3">
      <c r="A10031" s="1192" t="s">
        <v>181</v>
      </c>
      <c r="B10031" s="1192" t="s">
        <v>4602</v>
      </c>
      <c r="E10031" s="1741" t="s">
        <v>213</v>
      </c>
      <c r="F10031" s="1741"/>
      <c r="G10031" s="1277" t="s">
        <v>29</v>
      </c>
      <c r="H10031" s="1219">
        <v>2.4388000000000001</v>
      </c>
      <c r="K10031" s="1192" t="s">
        <v>4388</v>
      </c>
      <c r="L10031" s="1192" t="s">
        <v>432</v>
      </c>
      <c r="P10031" s="1192" t="s">
        <v>4392</v>
      </c>
      <c r="V10031" s="1192">
        <v>47</v>
      </c>
    </row>
    <row r="10032" spans="1:22" s="1192" customFormat="1" ht="14.4" x14ac:dyDescent="0.3">
      <c r="A10032" s="1192" t="s">
        <v>181</v>
      </c>
      <c r="B10032" s="1192" t="s">
        <v>4602</v>
      </c>
      <c r="E10032" s="1741" t="s">
        <v>209</v>
      </c>
      <c r="F10032" s="1741"/>
      <c r="G10032" s="1277" t="s">
        <v>29</v>
      </c>
      <c r="H10032" s="1219">
        <v>2.0910000000000002</v>
      </c>
      <c r="K10032" s="1192" t="s">
        <v>4388</v>
      </c>
      <c r="L10032" s="1192" t="s">
        <v>432</v>
      </c>
      <c r="P10032" s="1192" t="s">
        <v>4393</v>
      </c>
      <c r="V10032" s="1192">
        <v>74</v>
      </c>
    </row>
    <row r="10033" spans="1:22" s="1192" customFormat="1" ht="14.4" x14ac:dyDescent="0.3">
      <c r="A10033" s="1192" t="s">
        <v>181</v>
      </c>
      <c r="B10033" s="1192" t="s">
        <v>4602</v>
      </c>
      <c r="E10033" s="1750" t="s">
        <v>2405</v>
      </c>
      <c r="F10033" s="1741"/>
      <c r="G10033" s="1741"/>
      <c r="H10033" s="1741"/>
      <c r="K10033" s="1192" t="s">
        <v>2526</v>
      </c>
      <c r="V10033" s="1192">
        <v>48</v>
      </c>
    </row>
    <row r="10034" spans="1:22" s="1192" customFormat="1" ht="14.4" x14ac:dyDescent="0.3">
      <c r="A10034" s="1192" t="s">
        <v>181</v>
      </c>
      <c r="B10034" s="1192" t="s">
        <v>4602</v>
      </c>
      <c r="E10034" s="1741" t="s">
        <v>2033</v>
      </c>
      <c r="F10034" s="1741"/>
      <c r="G10034" s="1277" t="s">
        <v>20</v>
      </c>
      <c r="H10034" s="1219">
        <v>3.0000000000000001E-3</v>
      </c>
      <c r="K10034" s="1192" t="s">
        <v>4388</v>
      </c>
      <c r="L10034" s="1192" t="s">
        <v>2374</v>
      </c>
      <c r="P10034" s="1192" t="s">
        <v>4394</v>
      </c>
      <c r="V10034" s="1192">
        <v>55</v>
      </c>
    </row>
    <row r="10035" spans="1:22" s="1192" customFormat="1" ht="14.4" x14ac:dyDescent="0.3">
      <c r="A10035" s="1192" t="s">
        <v>181</v>
      </c>
      <c r="B10035" s="1192" t="s">
        <v>4602</v>
      </c>
      <c r="E10035" s="1741" t="s">
        <v>2034</v>
      </c>
      <c r="F10035" s="1741"/>
      <c r="G10035" s="1277" t="s">
        <v>20</v>
      </c>
      <c r="H10035" s="1219">
        <v>4.0000000000000002E-4</v>
      </c>
      <c r="K10035" s="1192" t="s">
        <v>4388</v>
      </c>
      <c r="L10035" s="1192" t="s">
        <v>2374</v>
      </c>
      <c r="P10035" s="1192" t="s">
        <v>4394</v>
      </c>
      <c r="V10035" s="1192">
        <v>65</v>
      </c>
    </row>
    <row r="10036" spans="1:22" s="1192" customFormat="1" ht="14.4" x14ac:dyDescent="0.3">
      <c r="A10036" s="1192" t="s">
        <v>181</v>
      </c>
      <c r="B10036" s="1192" t="s">
        <v>4602</v>
      </c>
      <c r="E10036" s="1741" t="s">
        <v>428</v>
      </c>
      <c r="F10036" s="1741"/>
      <c r="G10036" s="1277" t="s">
        <v>20</v>
      </c>
      <c r="H10036" s="1219">
        <v>5.0000000000000001E-4</v>
      </c>
      <c r="K10036" s="1192" t="s">
        <v>4388</v>
      </c>
      <c r="L10036" s="1192" t="s">
        <v>2374</v>
      </c>
      <c r="P10036" s="1192" t="s">
        <v>4395</v>
      </c>
      <c r="V10036" s="1192">
        <v>57</v>
      </c>
    </row>
    <row r="10037" spans="1:22" s="1192" customFormat="1" ht="14.4" x14ac:dyDescent="0.3">
      <c r="A10037" s="1192" t="s">
        <v>181</v>
      </c>
      <c r="B10037" s="1192" t="s">
        <v>4602</v>
      </c>
      <c r="E10037" s="1741" t="s">
        <v>28</v>
      </c>
      <c r="F10037" s="1741"/>
      <c r="G10037" s="1277" t="s">
        <v>19</v>
      </c>
      <c r="H10037" s="1218">
        <v>0.25</v>
      </c>
      <c r="K10037" s="1192" t="s">
        <v>4388</v>
      </c>
      <c r="L10037" s="1192" t="s">
        <v>2374</v>
      </c>
      <c r="P10037" s="1192" t="s">
        <v>4396</v>
      </c>
      <c r="V10037" s="1192">
        <v>63</v>
      </c>
    </row>
    <row r="10038" spans="1:22" s="1192" customFormat="1" ht="17.399999999999999" x14ac:dyDescent="0.3">
      <c r="A10038" s="1192" t="s">
        <v>181</v>
      </c>
      <c r="B10038" s="1192" t="s">
        <v>4602</v>
      </c>
      <c r="E10038" s="1746" t="s">
        <v>592</v>
      </c>
      <c r="F10038" s="1747"/>
      <c r="G10038" s="1747"/>
      <c r="H10038" s="1747"/>
      <c r="K10038" s="1192" t="s">
        <v>2676</v>
      </c>
      <c r="V10038" s="1192">
        <v>47</v>
      </c>
    </row>
    <row r="10039" spans="1:22" s="1192" customFormat="1" ht="14.4" x14ac:dyDescent="0.3">
      <c r="A10039" s="1192" t="s">
        <v>181</v>
      </c>
      <c r="B10039" s="1192" t="s">
        <v>4602</v>
      </c>
      <c r="E10039" s="1743" t="s">
        <v>3195</v>
      </c>
      <c r="F10039" s="1743"/>
      <c r="G10039" s="1743"/>
      <c r="H10039" s="1743"/>
      <c r="K10039" s="1192" t="s">
        <v>2676</v>
      </c>
      <c r="V10039" s="1192">
        <v>415</v>
      </c>
    </row>
    <row r="10040" spans="1:22" s="1192" customFormat="1" ht="14.4" x14ac:dyDescent="0.3">
      <c r="A10040" s="1192" t="s">
        <v>181</v>
      </c>
      <c r="B10040" s="1192" t="s">
        <v>4602</v>
      </c>
      <c r="E10040" s="1750" t="s">
        <v>2389</v>
      </c>
      <c r="F10040" s="1743"/>
      <c r="G10040" s="1743"/>
      <c r="H10040" s="1743"/>
      <c r="K10040" s="1192" t="s">
        <v>2529</v>
      </c>
      <c r="V10040" s="1192">
        <v>11</v>
      </c>
    </row>
    <row r="10041" spans="1:22" s="1192" customFormat="1" ht="14.4" x14ac:dyDescent="0.3">
      <c r="A10041" s="1192" t="s">
        <v>181</v>
      </c>
      <c r="B10041" s="1192" t="s">
        <v>4602</v>
      </c>
      <c r="E10041" s="1743" t="s">
        <v>2391</v>
      </c>
      <c r="F10041" s="1743"/>
      <c r="G10041" s="1743"/>
      <c r="H10041" s="1743"/>
      <c r="K10041" s="1192" t="s">
        <v>2676</v>
      </c>
      <c r="V10041" s="1192">
        <v>280</v>
      </c>
    </row>
    <row r="10042" spans="1:22" s="1192" customFormat="1" ht="14.4" x14ac:dyDescent="0.3">
      <c r="A10042" s="1192" t="s">
        <v>181</v>
      </c>
      <c r="B10042" s="1192" t="s">
        <v>4602</v>
      </c>
      <c r="E10042" s="1743" t="s">
        <v>2392</v>
      </c>
      <c r="F10042" s="1743"/>
      <c r="G10042" s="1743"/>
      <c r="H10042" s="1743"/>
      <c r="K10042" s="1192" t="s">
        <v>2676</v>
      </c>
      <c r="V10042" s="1192">
        <v>411</v>
      </c>
    </row>
    <row r="10043" spans="1:22" s="1192" customFormat="1" ht="14.4" x14ac:dyDescent="0.3">
      <c r="A10043" s="1192" t="s">
        <v>181</v>
      </c>
      <c r="B10043" s="1192" t="s">
        <v>4602</v>
      </c>
      <c r="E10043" s="1743" t="s">
        <v>2393</v>
      </c>
      <c r="F10043" s="1743"/>
      <c r="G10043" s="1743"/>
      <c r="H10043" s="1743"/>
      <c r="K10043" s="1192" t="s">
        <v>2676</v>
      </c>
      <c r="V10043" s="1192">
        <v>387</v>
      </c>
    </row>
    <row r="10044" spans="1:22" s="1192" customFormat="1" ht="14.4" x14ac:dyDescent="0.3">
      <c r="A10044" s="1192" t="s">
        <v>181</v>
      </c>
      <c r="B10044" s="1192" t="s">
        <v>4602</v>
      </c>
      <c r="E10044" s="1743" t="s">
        <v>4500</v>
      </c>
      <c r="F10044" s="1743"/>
      <c r="G10044" s="1743"/>
      <c r="H10044" s="1743"/>
      <c r="K10044" s="1192" t="s">
        <v>2676</v>
      </c>
      <c r="V10044" s="1192">
        <v>247</v>
      </c>
    </row>
    <row r="10045" spans="1:22" s="1192" customFormat="1" ht="14.4" x14ac:dyDescent="0.3">
      <c r="A10045" s="1192" t="s">
        <v>181</v>
      </c>
      <c r="B10045" s="1192" t="s">
        <v>4602</v>
      </c>
      <c r="E10045" s="1750" t="s">
        <v>2394</v>
      </c>
      <c r="F10045" s="1743"/>
      <c r="G10045" s="1743"/>
      <c r="H10045" s="1743"/>
      <c r="K10045" s="1192" t="s">
        <v>2531</v>
      </c>
      <c r="V10045" s="1192">
        <v>46</v>
      </c>
    </row>
    <row r="10046" spans="1:22" s="1192" customFormat="1" ht="14.4" x14ac:dyDescent="0.3">
      <c r="A10046" s="1192" t="s">
        <v>181</v>
      </c>
      <c r="B10046" s="1192" t="s">
        <v>4602</v>
      </c>
      <c r="E10046" s="1741" t="s">
        <v>7</v>
      </c>
      <c r="F10046" s="1741"/>
      <c r="G10046" s="1277" t="s">
        <v>19</v>
      </c>
      <c r="H10046" s="1218">
        <v>11.32</v>
      </c>
      <c r="K10046" s="1192" t="s">
        <v>2676</v>
      </c>
      <c r="L10046" s="1192" t="s">
        <v>430</v>
      </c>
      <c r="P10046" s="1192" t="s">
        <v>2678</v>
      </c>
      <c r="V10046" s="1192">
        <v>14</v>
      </c>
    </row>
    <row r="10047" spans="1:22" s="1192" customFormat="1" ht="14.4" x14ac:dyDescent="0.3">
      <c r="A10047" s="1192" t="s">
        <v>181</v>
      </c>
      <c r="B10047" s="1192" t="s">
        <v>4602</v>
      </c>
      <c r="E10047" s="1741" t="s">
        <v>80</v>
      </c>
      <c r="F10047" s="1741"/>
      <c r="G10047" s="1277" t="s">
        <v>20</v>
      </c>
      <c r="H10047" s="1219">
        <v>2.2100000000000002E-2</v>
      </c>
      <c r="K10047" s="1192" t="s">
        <v>2676</v>
      </c>
      <c r="L10047" s="1192" t="s">
        <v>430</v>
      </c>
      <c r="P10047" s="1192" t="s">
        <v>2679</v>
      </c>
      <c r="V10047" s="1192">
        <v>28</v>
      </c>
    </row>
    <row r="10048" spans="1:22" s="1192" customFormat="1" ht="14.4" x14ac:dyDescent="0.3">
      <c r="A10048" s="1192" t="s">
        <v>181</v>
      </c>
      <c r="B10048" s="1192" t="s">
        <v>4602</v>
      </c>
      <c r="E10048" s="1741" t="s">
        <v>14</v>
      </c>
      <c r="F10048" s="1741"/>
      <c r="G10048" s="1277" t="s">
        <v>20</v>
      </c>
      <c r="H10048" s="1219">
        <v>3.8999999999999998E-3</v>
      </c>
      <c r="K10048" s="1192" t="s">
        <v>2676</v>
      </c>
      <c r="L10048" s="1192" t="s">
        <v>431</v>
      </c>
      <c r="P10048" s="1192" t="s">
        <v>2809</v>
      </c>
      <c r="V10048" s="1192">
        <v>24</v>
      </c>
    </row>
    <row r="10049" spans="1:22" s="1192" customFormat="1" ht="14.4" x14ac:dyDescent="0.3">
      <c r="A10049" s="1192" t="s">
        <v>181</v>
      </c>
      <c r="B10049" s="1192" t="s">
        <v>4602</v>
      </c>
      <c r="E10049" s="1741" t="s">
        <v>6535</v>
      </c>
      <c r="F10049" s="1998"/>
      <c r="G10049" s="1277" t="s">
        <v>20</v>
      </c>
      <c r="H10049" s="1219">
        <v>1.6000000000000001E-3</v>
      </c>
      <c r="K10049" s="1192" t="s">
        <v>2676</v>
      </c>
      <c r="L10049" s="1192" t="s">
        <v>431</v>
      </c>
      <c r="P10049" s="1192" t="s">
        <v>2681</v>
      </c>
      <c r="T10049" s="1192">
        <v>44316</v>
      </c>
      <c r="V10049" s="1192">
        <v>132</v>
      </c>
    </row>
    <row r="10050" spans="1:22" s="1192" customFormat="1" ht="14.4" x14ac:dyDescent="0.3">
      <c r="A10050" s="1192" t="s">
        <v>181</v>
      </c>
      <c r="B10050" s="1192" t="s">
        <v>4602</v>
      </c>
      <c r="E10050" s="1741" t="s">
        <v>213</v>
      </c>
      <c r="F10050" s="1741"/>
      <c r="G10050" s="1277" t="s">
        <v>20</v>
      </c>
      <c r="H10050" s="1219">
        <v>5.5999999999999999E-3</v>
      </c>
      <c r="K10050" s="1192" t="s">
        <v>2676</v>
      </c>
      <c r="L10050" s="1192" t="s">
        <v>432</v>
      </c>
      <c r="P10050" s="1192" t="s">
        <v>2682</v>
      </c>
      <c r="V10050" s="1192">
        <v>47</v>
      </c>
    </row>
    <row r="10051" spans="1:22" s="1192" customFormat="1" ht="14.4" x14ac:dyDescent="0.3">
      <c r="A10051" s="1192" t="s">
        <v>181</v>
      </c>
      <c r="B10051" s="1192" t="s">
        <v>4602</v>
      </c>
      <c r="E10051" s="1741" t="s">
        <v>209</v>
      </c>
      <c r="F10051" s="1741"/>
      <c r="G10051" s="1277" t="s">
        <v>20</v>
      </c>
      <c r="H10051" s="1219">
        <v>4.7999999999999996E-3</v>
      </c>
      <c r="K10051" s="1192" t="s">
        <v>2676</v>
      </c>
      <c r="L10051" s="1192" t="s">
        <v>432</v>
      </c>
      <c r="P10051" s="1192" t="s">
        <v>2683</v>
      </c>
      <c r="V10051" s="1192">
        <v>74</v>
      </c>
    </row>
    <row r="10052" spans="1:22" s="1192" customFormat="1" ht="14.4" x14ac:dyDescent="0.3">
      <c r="A10052" s="1192" t="s">
        <v>181</v>
      </c>
      <c r="B10052" s="1192" t="s">
        <v>4602</v>
      </c>
      <c r="E10052" s="1750" t="s">
        <v>2405</v>
      </c>
      <c r="F10052" s="1741"/>
      <c r="G10052" s="1741"/>
      <c r="H10052" s="1741"/>
      <c r="K10052" s="1192" t="s">
        <v>2532</v>
      </c>
      <c r="V10052" s="1192">
        <v>48</v>
      </c>
    </row>
    <row r="10053" spans="1:22" s="1192" customFormat="1" ht="14.4" x14ac:dyDescent="0.3">
      <c r="A10053" s="1192" t="s">
        <v>181</v>
      </c>
      <c r="B10053" s="1192" t="s">
        <v>4602</v>
      </c>
      <c r="E10053" s="1741" t="s">
        <v>2033</v>
      </c>
      <c r="F10053" s="1741"/>
      <c r="G10053" s="1277" t="s">
        <v>20</v>
      </c>
      <c r="H10053" s="1219">
        <v>3.0000000000000001E-3</v>
      </c>
      <c r="K10053" s="1192" t="s">
        <v>2676</v>
      </c>
      <c r="L10053" s="1192" t="s">
        <v>2374</v>
      </c>
      <c r="P10053" s="1192" t="s">
        <v>2684</v>
      </c>
      <c r="V10053" s="1192">
        <v>55</v>
      </c>
    </row>
    <row r="10054" spans="1:22" s="1192" customFormat="1" ht="14.4" x14ac:dyDescent="0.3">
      <c r="A10054" s="1192" t="s">
        <v>181</v>
      </c>
      <c r="B10054" s="1192" t="s">
        <v>4602</v>
      </c>
      <c r="E10054" s="1741" t="s">
        <v>2034</v>
      </c>
      <c r="F10054" s="1741"/>
      <c r="G10054" s="1277" t="s">
        <v>20</v>
      </c>
      <c r="H10054" s="1219">
        <v>4.0000000000000002E-4</v>
      </c>
      <c r="K10054" s="1192" t="s">
        <v>2676</v>
      </c>
      <c r="L10054" s="1192" t="s">
        <v>2374</v>
      </c>
      <c r="P10054" s="1192" t="s">
        <v>2684</v>
      </c>
      <c r="V10054" s="1192">
        <v>65</v>
      </c>
    </row>
    <row r="10055" spans="1:22" s="1192" customFormat="1" ht="14.4" x14ac:dyDescent="0.3">
      <c r="A10055" s="1192" t="s">
        <v>181</v>
      </c>
      <c r="B10055" s="1192" t="s">
        <v>4602</v>
      </c>
      <c r="E10055" s="1741" t="s">
        <v>428</v>
      </c>
      <c r="F10055" s="1741"/>
      <c r="G10055" s="1277" t="s">
        <v>20</v>
      </c>
      <c r="H10055" s="1219">
        <v>5.0000000000000001E-4</v>
      </c>
      <c r="K10055" s="1192" t="s">
        <v>2676</v>
      </c>
      <c r="L10055" s="1192" t="s">
        <v>2374</v>
      </c>
      <c r="P10055" s="1192" t="s">
        <v>2685</v>
      </c>
      <c r="V10055" s="1192">
        <v>57</v>
      </c>
    </row>
    <row r="10056" spans="1:22" s="1192" customFormat="1" ht="14.4" x14ac:dyDescent="0.3">
      <c r="A10056" s="1192" t="s">
        <v>181</v>
      </c>
      <c r="B10056" s="1192" t="s">
        <v>4602</v>
      </c>
      <c r="E10056" s="1741" t="s">
        <v>28</v>
      </c>
      <c r="F10056" s="1741"/>
      <c r="G10056" s="1277" t="s">
        <v>19</v>
      </c>
      <c r="H10056" s="1218">
        <v>0.25</v>
      </c>
      <c r="K10056" s="1192" t="s">
        <v>2676</v>
      </c>
      <c r="L10056" s="1192" t="s">
        <v>2374</v>
      </c>
      <c r="P10056" s="1192" t="s">
        <v>2686</v>
      </c>
      <c r="V10056" s="1192">
        <v>63</v>
      </c>
    </row>
    <row r="10057" spans="1:22" s="1192" customFormat="1" ht="17.399999999999999" x14ac:dyDescent="0.3">
      <c r="A10057" s="1192" t="s">
        <v>181</v>
      </c>
      <c r="B10057" s="1192" t="s">
        <v>4602</v>
      </c>
      <c r="E10057" s="1746" t="s">
        <v>604</v>
      </c>
      <c r="F10057" s="1747"/>
      <c r="G10057" s="1747"/>
      <c r="H10057" s="1747"/>
      <c r="K10057" s="1192" t="s">
        <v>2823</v>
      </c>
      <c r="V10057" s="1192">
        <v>40</v>
      </c>
    </row>
    <row r="10058" spans="1:22" s="1192" customFormat="1" ht="14.4" x14ac:dyDescent="0.3">
      <c r="A10058" s="1192" t="s">
        <v>181</v>
      </c>
      <c r="B10058" s="1192" t="s">
        <v>4602</v>
      </c>
      <c r="E10058" s="1743" t="s">
        <v>3196</v>
      </c>
      <c r="F10058" s="1743"/>
      <c r="G10058" s="1743"/>
      <c r="H10058" s="1743"/>
      <c r="K10058" s="1192" t="s">
        <v>2823</v>
      </c>
      <c r="V10058" s="1192">
        <v>250</v>
      </c>
    </row>
    <row r="10059" spans="1:22" s="1192" customFormat="1" ht="14.4" x14ac:dyDescent="0.3">
      <c r="A10059" s="1192" t="s">
        <v>181</v>
      </c>
      <c r="B10059" s="1192" t="s">
        <v>4602</v>
      </c>
      <c r="E10059" s="1750" t="s">
        <v>2389</v>
      </c>
      <c r="F10059" s="1743"/>
      <c r="G10059" s="1743"/>
      <c r="H10059" s="1743"/>
      <c r="K10059" s="1192" t="s">
        <v>2424</v>
      </c>
      <c r="V10059" s="1192">
        <v>11</v>
      </c>
    </row>
    <row r="10060" spans="1:22" s="1192" customFormat="1" ht="14.4" x14ac:dyDescent="0.3">
      <c r="A10060" s="1192" t="s">
        <v>181</v>
      </c>
      <c r="B10060" s="1192" t="s">
        <v>4602</v>
      </c>
      <c r="E10060" s="1743" t="s">
        <v>2391</v>
      </c>
      <c r="F10060" s="1743"/>
      <c r="G10060" s="1743"/>
      <c r="H10060" s="1743"/>
      <c r="K10060" s="1192" t="s">
        <v>2823</v>
      </c>
      <c r="V10060" s="1192">
        <v>280</v>
      </c>
    </row>
    <row r="10061" spans="1:22" s="1192" customFormat="1" ht="14.4" x14ac:dyDescent="0.3">
      <c r="A10061" s="1192" t="s">
        <v>181</v>
      </c>
      <c r="B10061" s="1192" t="s">
        <v>4602</v>
      </c>
      <c r="E10061" s="1743" t="s">
        <v>2392</v>
      </c>
      <c r="F10061" s="1743"/>
      <c r="G10061" s="1743"/>
      <c r="H10061" s="1743"/>
      <c r="K10061" s="1192" t="s">
        <v>2823</v>
      </c>
      <c r="V10061" s="1192">
        <v>411</v>
      </c>
    </row>
    <row r="10062" spans="1:22" s="1192" customFormat="1" ht="14.4" x14ac:dyDescent="0.3">
      <c r="A10062" s="1192" t="s">
        <v>181</v>
      </c>
      <c r="B10062" s="1192" t="s">
        <v>4602</v>
      </c>
      <c r="E10062" s="1743" t="s">
        <v>2393</v>
      </c>
      <c r="F10062" s="1743"/>
      <c r="G10062" s="1743"/>
      <c r="H10062" s="1743"/>
      <c r="K10062" s="1192" t="s">
        <v>2823</v>
      </c>
      <c r="V10062" s="1192">
        <v>387</v>
      </c>
    </row>
    <row r="10063" spans="1:22" s="1192" customFormat="1" ht="14.4" x14ac:dyDescent="0.3">
      <c r="A10063" s="1192" t="s">
        <v>181</v>
      </c>
      <c r="B10063" s="1192" t="s">
        <v>4602</v>
      </c>
      <c r="E10063" s="1743" t="s">
        <v>4500</v>
      </c>
      <c r="F10063" s="1743"/>
      <c r="G10063" s="1743"/>
      <c r="H10063" s="1743"/>
      <c r="K10063" s="1192" t="s">
        <v>2823</v>
      </c>
      <c r="V10063" s="1192">
        <v>247</v>
      </c>
    </row>
    <row r="10064" spans="1:22" s="1192" customFormat="1" ht="14.4" x14ac:dyDescent="0.3">
      <c r="A10064" s="1192" t="s">
        <v>181</v>
      </c>
      <c r="B10064" s="1192" t="s">
        <v>4602</v>
      </c>
      <c r="E10064" s="1750" t="s">
        <v>2394</v>
      </c>
      <c r="F10064" s="1743"/>
      <c r="G10064" s="1743"/>
      <c r="H10064" s="1743"/>
      <c r="K10064" s="1192" t="s">
        <v>2425</v>
      </c>
      <c r="V10064" s="1192">
        <v>46</v>
      </c>
    </row>
    <row r="10065" spans="1:22" s="1192" customFormat="1" ht="14.4" x14ac:dyDescent="0.3">
      <c r="A10065" s="1192" t="s">
        <v>181</v>
      </c>
      <c r="B10065" s="1192" t="s">
        <v>4602</v>
      </c>
      <c r="E10065" s="1741" t="s">
        <v>7</v>
      </c>
      <c r="F10065" s="1741"/>
      <c r="G10065" s="1277" t="s">
        <v>19</v>
      </c>
      <c r="H10065" s="1218">
        <v>5.69</v>
      </c>
      <c r="K10065" s="1192" t="s">
        <v>2823</v>
      </c>
      <c r="L10065" s="1192" t="s">
        <v>430</v>
      </c>
      <c r="P10065" s="1192" t="s">
        <v>2824</v>
      </c>
      <c r="V10065" s="1192">
        <v>14</v>
      </c>
    </row>
    <row r="10066" spans="1:22" s="1192" customFormat="1" ht="14.4" x14ac:dyDescent="0.3">
      <c r="A10066" s="1192" t="s">
        <v>181</v>
      </c>
      <c r="B10066" s="1192" t="s">
        <v>4602</v>
      </c>
      <c r="E10066" s="1741" t="s">
        <v>80</v>
      </c>
      <c r="F10066" s="1741"/>
      <c r="G10066" s="1277" t="s">
        <v>29</v>
      </c>
      <c r="H10066" s="1219">
        <v>19.768799999999999</v>
      </c>
      <c r="K10066" s="1192" t="s">
        <v>2823</v>
      </c>
      <c r="L10066" s="1192" t="s">
        <v>430</v>
      </c>
      <c r="P10066" s="1192" t="s">
        <v>2825</v>
      </c>
      <c r="V10066" s="1192">
        <v>28</v>
      </c>
    </row>
    <row r="10067" spans="1:22" s="1192" customFormat="1" ht="14.4" x14ac:dyDescent="0.3">
      <c r="A10067" s="1192" t="s">
        <v>181</v>
      </c>
      <c r="B10067" s="1192" t="s">
        <v>4602</v>
      </c>
      <c r="E10067" s="1741" t="s">
        <v>14</v>
      </c>
      <c r="F10067" s="1741"/>
      <c r="G10067" s="1277" t="s">
        <v>29</v>
      </c>
      <c r="H10067" s="1219">
        <v>1.1175999999999999</v>
      </c>
      <c r="K10067" s="1192" t="s">
        <v>2823</v>
      </c>
      <c r="L10067" s="1192" t="s">
        <v>431</v>
      </c>
      <c r="P10067" s="1192" t="s">
        <v>2826</v>
      </c>
      <c r="V10067" s="1192">
        <v>24</v>
      </c>
    </row>
    <row r="10068" spans="1:22" s="1192" customFormat="1" ht="14.4" x14ac:dyDescent="0.3">
      <c r="A10068" s="1192" t="s">
        <v>181</v>
      </c>
      <c r="B10068" s="1192" t="s">
        <v>4602</v>
      </c>
      <c r="E10068" s="1741" t="s">
        <v>6535</v>
      </c>
      <c r="F10068" s="1998"/>
      <c r="G10068" s="1277" t="s">
        <v>29</v>
      </c>
      <c r="H10068" s="1219">
        <v>0.73029999999999995</v>
      </c>
      <c r="K10068" s="1192" t="s">
        <v>2823</v>
      </c>
      <c r="L10068" s="1192" t="s">
        <v>431</v>
      </c>
      <c r="P10068" s="1192" t="s">
        <v>2915</v>
      </c>
      <c r="T10068" s="1192">
        <v>44316</v>
      </c>
      <c r="V10068" s="1192">
        <v>132</v>
      </c>
    </row>
    <row r="10069" spans="1:22" s="1192" customFormat="1" ht="14.4" x14ac:dyDescent="0.3">
      <c r="A10069" s="1192" t="s">
        <v>181</v>
      </c>
      <c r="B10069" s="1192" t="s">
        <v>4602</v>
      </c>
      <c r="E10069" s="1741" t="s">
        <v>213</v>
      </c>
      <c r="F10069" s="1741"/>
      <c r="G10069" s="1277" t="s">
        <v>29</v>
      </c>
      <c r="H10069" s="1219">
        <v>1.7352000000000001</v>
      </c>
      <c r="K10069" s="1192" t="s">
        <v>2823</v>
      </c>
      <c r="L10069" s="1192" t="s">
        <v>432</v>
      </c>
      <c r="P10069" s="1192" t="s">
        <v>2827</v>
      </c>
      <c r="V10069" s="1192">
        <v>47</v>
      </c>
    </row>
    <row r="10070" spans="1:22" s="1192" customFormat="1" ht="14.4" x14ac:dyDescent="0.3">
      <c r="A10070" s="1192" t="s">
        <v>181</v>
      </c>
      <c r="B10070" s="1192" t="s">
        <v>4602</v>
      </c>
      <c r="E10070" s="1741" t="s">
        <v>209</v>
      </c>
      <c r="F10070" s="1741"/>
      <c r="G10070" s="1277" t="s">
        <v>29</v>
      </c>
      <c r="H10070" s="1219">
        <v>1.4867999999999999</v>
      </c>
      <c r="K10070" s="1192" t="s">
        <v>2823</v>
      </c>
      <c r="L10070" s="1192" t="s">
        <v>432</v>
      </c>
      <c r="P10070" s="1192" t="s">
        <v>2828</v>
      </c>
      <c r="V10070" s="1192">
        <v>74</v>
      </c>
    </row>
    <row r="10071" spans="1:22" s="1192" customFormat="1" ht="14.4" x14ac:dyDescent="0.3">
      <c r="A10071" s="1192" t="s">
        <v>181</v>
      </c>
      <c r="B10071" s="1192" t="s">
        <v>4602</v>
      </c>
      <c r="E10071" s="1750" t="s">
        <v>2405</v>
      </c>
      <c r="F10071" s="1741"/>
      <c r="G10071" s="1741"/>
      <c r="H10071" s="1741"/>
      <c r="K10071" s="1192" t="s">
        <v>2427</v>
      </c>
      <c r="V10071" s="1192">
        <v>48</v>
      </c>
    </row>
    <row r="10072" spans="1:22" s="1192" customFormat="1" ht="14.4" x14ac:dyDescent="0.3">
      <c r="A10072" s="1192" t="s">
        <v>181</v>
      </c>
      <c r="B10072" s="1192" t="s">
        <v>4602</v>
      </c>
      <c r="E10072" s="1741" t="s">
        <v>2033</v>
      </c>
      <c r="F10072" s="1741"/>
      <c r="G10072" s="1277" t="s">
        <v>20</v>
      </c>
      <c r="H10072" s="1219">
        <v>3.0000000000000001E-3</v>
      </c>
      <c r="K10072" s="1192" t="s">
        <v>2823</v>
      </c>
      <c r="L10072" s="1192" t="s">
        <v>2374</v>
      </c>
      <c r="P10072" s="1192" t="s">
        <v>2829</v>
      </c>
      <c r="V10072" s="1192">
        <v>55</v>
      </c>
    </row>
    <row r="10073" spans="1:22" s="1192" customFormat="1" ht="14.4" x14ac:dyDescent="0.3">
      <c r="A10073" s="1192" t="s">
        <v>181</v>
      </c>
      <c r="B10073" s="1192" t="s">
        <v>4602</v>
      </c>
      <c r="E10073" s="1741" t="s">
        <v>2034</v>
      </c>
      <c r="F10073" s="1741"/>
      <c r="G10073" s="1277" t="s">
        <v>20</v>
      </c>
      <c r="H10073" s="1219">
        <v>4.0000000000000002E-4</v>
      </c>
      <c r="K10073" s="1192" t="s">
        <v>2823</v>
      </c>
      <c r="L10073" s="1192" t="s">
        <v>2374</v>
      </c>
      <c r="P10073" s="1192" t="s">
        <v>2829</v>
      </c>
      <c r="V10073" s="1192">
        <v>65</v>
      </c>
    </row>
    <row r="10074" spans="1:22" s="1192" customFormat="1" ht="14.4" x14ac:dyDescent="0.3">
      <c r="A10074" s="1192" t="s">
        <v>181</v>
      </c>
      <c r="B10074" s="1192" t="s">
        <v>4602</v>
      </c>
      <c r="E10074" s="1741" t="s">
        <v>428</v>
      </c>
      <c r="F10074" s="1741"/>
      <c r="G10074" s="1277" t="s">
        <v>20</v>
      </c>
      <c r="H10074" s="1219">
        <v>5.0000000000000001E-4</v>
      </c>
      <c r="K10074" s="1192" t="s">
        <v>2823</v>
      </c>
      <c r="L10074" s="1192" t="s">
        <v>2374</v>
      </c>
      <c r="P10074" s="1192" t="s">
        <v>2830</v>
      </c>
      <c r="V10074" s="1192">
        <v>57</v>
      </c>
    </row>
    <row r="10075" spans="1:22" s="1192" customFormat="1" ht="14.4" x14ac:dyDescent="0.3">
      <c r="A10075" s="1192" t="s">
        <v>181</v>
      </c>
      <c r="B10075" s="1192" t="s">
        <v>4602</v>
      </c>
      <c r="E10075" s="1741" t="s">
        <v>28</v>
      </c>
      <c r="F10075" s="1741"/>
      <c r="G10075" s="1277" t="s">
        <v>19</v>
      </c>
      <c r="H10075" s="1218">
        <v>0.25</v>
      </c>
      <c r="K10075" s="1192" t="s">
        <v>2823</v>
      </c>
      <c r="L10075" s="1192" t="s">
        <v>2374</v>
      </c>
      <c r="P10075" s="1192" t="s">
        <v>2831</v>
      </c>
      <c r="V10075" s="1192">
        <v>63</v>
      </c>
    </row>
    <row r="10076" spans="1:22" s="1192" customFormat="1" ht="17.399999999999999" x14ac:dyDescent="0.3">
      <c r="A10076" s="1192" t="s">
        <v>181</v>
      </c>
      <c r="B10076" s="1192" t="s">
        <v>4602</v>
      </c>
      <c r="E10076" s="1746" t="s">
        <v>590</v>
      </c>
      <c r="F10076" s="1747"/>
      <c r="G10076" s="1747"/>
      <c r="H10076" s="1747"/>
      <c r="K10076" s="1192" t="s">
        <v>2428</v>
      </c>
      <c r="V10076" s="1192">
        <v>38</v>
      </c>
    </row>
    <row r="10077" spans="1:22" s="1192" customFormat="1" ht="14.4" x14ac:dyDescent="0.3">
      <c r="A10077" s="1192" t="s">
        <v>181</v>
      </c>
      <c r="B10077" s="1192" t="s">
        <v>4602</v>
      </c>
      <c r="E10077" s="1743" t="s">
        <v>3197</v>
      </c>
      <c r="F10077" s="1743"/>
      <c r="G10077" s="1743"/>
      <c r="H10077" s="1743"/>
      <c r="K10077" s="1192" t="s">
        <v>2428</v>
      </c>
      <c r="V10077" s="1192">
        <v>526</v>
      </c>
    </row>
    <row r="10078" spans="1:22" s="1192" customFormat="1" ht="14.4" x14ac:dyDescent="0.3">
      <c r="A10078" s="1192" t="s">
        <v>181</v>
      </c>
      <c r="B10078" s="1192" t="s">
        <v>4602</v>
      </c>
      <c r="E10078" s="1750" t="s">
        <v>2389</v>
      </c>
      <c r="F10078" s="1743"/>
      <c r="G10078" s="1743"/>
      <c r="H10078" s="1743"/>
      <c r="K10078" s="1192" t="s">
        <v>2430</v>
      </c>
      <c r="V10078" s="1192">
        <v>11</v>
      </c>
    </row>
    <row r="10079" spans="1:22" s="1192" customFormat="1" ht="14.4" x14ac:dyDescent="0.3">
      <c r="A10079" s="1192" t="s">
        <v>181</v>
      </c>
      <c r="B10079" s="1192" t="s">
        <v>4602</v>
      </c>
      <c r="E10079" s="1743" t="s">
        <v>2391</v>
      </c>
      <c r="F10079" s="1743"/>
      <c r="G10079" s="1743"/>
      <c r="H10079" s="1743"/>
      <c r="K10079" s="1192" t="s">
        <v>2428</v>
      </c>
      <c r="V10079" s="1192">
        <v>280</v>
      </c>
    </row>
    <row r="10080" spans="1:22" s="1192" customFormat="1" ht="14.4" x14ac:dyDescent="0.3">
      <c r="A10080" s="1192" t="s">
        <v>181</v>
      </c>
      <c r="B10080" s="1192" t="s">
        <v>4602</v>
      </c>
      <c r="E10080" s="1743" t="s">
        <v>2392</v>
      </c>
      <c r="F10080" s="1743"/>
      <c r="G10080" s="1743"/>
      <c r="H10080" s="1743"/>
      <c r="K10080" s="1192" t="s">
        <v>2428</v>
      </c>
      <c r="V10080" s="1192">
        <v>411</v>
      </c>
    </row>
    <row r="10081" spans="1:22" s="1192" customFormat="1" ht="14.4" x14ac:dyDescent="0.3">
      <c r="A10081" s="1192" t="s">
        <v>181</v>
      </c>
      <c r="B10081" s="1192" t="s">
        <v>4602</v>
      </c>
      <c r="E10081" s="1743" t="s">
        <v>2393</v>
      </c>
      <c r="F10081" s="1743"/>
      <c r="G10081" s="1743"/>
      <c r="H10081" s="1743"/>
      <c r="K10081" s="1192" t="s">
        <v>2428</v>
      </c>
      <c r="V10081" s="1192">
        <v>387</v>
      </c>
    </row>
    <row r="10082" spans="1:22" s="1192" customFormat="1" ht="14.4" x14ac:dyDescent="0.3">
      <c r="A10082" s="1192" t="s">
        <v>181</v>
      </c>
      <c r="B10082" s="1192" t="s">
        <v>4602</v>
      </c>
      <c r="E10082" s="1743" t="s">
        <v>4500</v>
      </c>
      <c r="F10082" s="1743"/>
      <c r="G10082" s="1743"/>
      <c r="H10082" s="1743"/>
      <c r="K10082" s="1192" t="s">
        <v>2428</v>
      </c>
      <c r="V10082" s="1192">
        <v>247</v>
      </c>
    </row>
    <row r="10083" spans="1:22" s="1192" customFormat="1" ht="14.4" x14ac:dyDescent="0.3">
      <c r="A10083" s="1192" t="s">
        <v>181</v>
      </c>
      <c r="B10083" s="1192" t="s">
        <v>4602</v>
      </c>
      <c r="E10083" s="1750" t="s">
        <v>2394</v>
      </c>
      <c r="F10083" s="1743"/>
      <c r="G10083" s="1743"/>
      <c r="H10083" s="1743"/>
      <c r="K10083" s="1192" t="s">
        <v>2431</v>
      </c>
      <c r="V10083" s="1192">
        <v>46</v>
      </c>
    </row>
    <row r="10084" spans="1:22" s="1192" customFormat="1" ht="14.4" x14ac:dyDescent="0.3">
      <c r="A10084" s="1192" t="s">
        <v>181</v>
      </c>
      <c r="B10084" s="1192" t="s">
        <v>4602</v>
      </c>
      <c r="E10084" s="1741" t="s">
        <v>7</v>
      </c>
      <c r="F10084" s="1741"/>
      <c r="G10084" s="1277" t="s">
        <v>19</v>
      </c>
      <c r="H10084" s="1218">
        <v>2.1</v>
      </c>
      <c r="K10084" s="1192" t="s">
        <v>2428</v>
      </c>
      <c r="L10084" s="1192" t="s">
        <v>430</v>
      </c>
      <c r="P10084" s="1192" t="s">
        <v>2432</v>
      </c>
      <c r="V10084" s="1192">
        <v>14</v>
      </c>
    </row>
    <row r="10085" spans="1:22" s="1192" customFormat="1" ht="14.4" x14ac:dyDescent="0.3">
      <c r="A10085" s="1192" t="s">
        <v>181</v>
      </c>
      <c r="B10085" s="1192" t="s">
        <v>4602</v>
      </c>
      <c r="E10085" s="1741" t="s">
        <v>80</v>
      </c>
      <c r="F10085" s="1741"/>
      <c r="G10085" s="1277" t="s">
        <v>29</v>
      </c>
      <c r="H10085" s="1219">
        <v>9.6439000000000004</v>
      </c>
      <c r="K10085" s="1192" t="s">
        <v>2428</v>
      </c>
      <c r="L10085" s="1192" t="s">
        <v>430</v>
      </c>
      <c r="P10085" s="1192" t="s">
        <v>2433</v>
      </c>
      <c r="V10085" s="1192">
        <v>28</v>
      </c>
    </row>
    <row r="10086" spans="1:22" s="1192" customFormat="1" ht="14.4" x14ac:dyDescent="0.3">
      <c r="A10086" s="1192" t="s">
        <v>181</v>
      </c>
      <c r="B10086" s="1192" t="s">
        <v>4602</v>
      </c>
      <c r="E10086" s="1741" t="s">
        <v>14</v>
      </c>
      <c r="F10086" s="1741"/>
      <c r="G10086" s="1277" t="s">
        <v>29</v>
      </c>
      <c r="H10086" s="1219">
        <v>1.1077999999999999</v>
      </c>
      <c r="K10086" s="1192" t="s">
        <v>2428</v>
      </c>
      <c r="L10086" s="1192" t="s">
        <v>431</v>
      </c>
      <c r="P10086" s="1192" t="s">
        <v>2764</v>
      </c>
      <c r="V10086" s="1192">
        <v>24</v>
      </c>
    </row>
    <row r="10087" spans="1:22" s="1192" customFormat="1" ht="14.4" x14ac:dyDescent="0.3">
      <c r="A10087" s="1192" t="s">
        <v>181</v>
      </c>
      <c r="B10087" s="1192" t="s">
        <v>4602</v>
      </c>
      <c r="E10087" s="1741" t="s">
        <v>6535</v>
      </c>
      <c r="F10087" s="1998"/>
      <c r="G10087" s="1277" t="s">
        <v>29</v>
      </c>
      <c r="H10087" s="1219">
        <v>0.75109999999999999</v>
      </c>
      <c r="K10087" s="1192" t="s">
        <v>2428</v>
      </c>
      <c r="L10087" s="1192" t="s">
        <v>431</v>
      </c>
      <c r="P10087" s="1192" t="s">
        <v>2434</v>
      </c>
      <c r="T10087" s="1192">
        <v>44316</v>
      </c>
      <c r="V10087" s="1192">
        <v>132</v>
      </c>
    </row>
    <row r="10088" spans="1:22" s="1192" customFormat="1" ht="14.4" x14ac:dyDescent="0.3">
      <c r="A10088" s="1192" t="s">
        <v>181</v>
      </c>
      <c r="B10088" s="1192" t="s">
        <v>4602</v>
      </c>
      <c r="E10088" s="1741" t="s">
        <v>6587</v>
      </c>
      <c r="F10088" s="1998"/>
      <c r="G10088" s="1277" t="s">
        <v>20</v>
      </c>
      <c r="H10088" s="1219">
        <v>2.0000000000000001E-4</v>
      </c>
      <c r="K10088" s="1192" t="s">
        <v>2428</v>
      </c>
      <c r="L10088" s="1192" t="s">
        <v>431</v>
      </c>
      <c r="P10088" s="1192" t="s">
        <v>2435</v>
      </c>
      <c r="T10088" s="1192">
        <v>44316</v>
      </c>
      <c r="V10088" s="1192">
        <v>170</v>
      </c>
    </row>
    <row r="10089" spans="1:22" s="1192" customFormat="1" ht="14.4" x14ac:dyDescent="0.3">
      <c r="A10089" s="1192" t="s">
        <v>181</v>
      </c>
      <c r="B10089" s="1192" t="s">
        <v>4602</v>
      </c>
      <c r="E10089" s="1741" t="s">
        <v>213</v>
      </c>
      <c r="F10089" s="1741"/>
      <c r="G10089" s="1277" t="s">
        <v>29</v>
      </c>
      <c r="H10089" s="1219">
        <v>1.7159</v>
      </c>
      <c r="K10089" s="1192" t="s">
        <v>2428</v>
      </c>
      <c r="L10089" s="1192" t="s">
        <v>432</v>
      </c>
      <c r="P10089" s="1192" t="s">
        <v>2436</v>
      </c>
      <c r="V10089" s="1192">
        <v>47</v>
      </c>
    </row>
    <row r="10090" spans="1:22" s="1192" customFormat="1" ht="14.4" x14ac:dyDescent="0.3">
      <c r="A10090" s="1192" t="s">
        <v>181</v>
      </c>
      <c r="B10090" s="1192" t="s">
        <v>4602</v>
      </c>
      <c r="E10090" s="1741" t="s">
        <v>209</v>
      </c>
      <c r="F10090" s="1741"/>
      <c r="G10090" s="1277" t="s">
        <v>29</v>
      </c>
      <c r="H10090" s="1219">
        <v>1.4735</v>
      </c>
      <c r="K10090" s="1192" t="s">
        <v>2428</v>
      </c>
      <c r="L10090" s="1192" t="s">
        <v>432</v>
      </c>
      <c r="P10090" s="1192" t="s">
        <v>2437</v>
      </c>
      <c r="V10090" s="1192">
        <v>74</v>
      </c>
    </row>
    <row r="10091" spans="1:22" s="1192" customFormat="1" ht="14.4" x14ac:dyDescent="0.3">
      <c r="A10091" s="1192" t="s">
        <v>181</v>
      </c>
      <c r="B10091" s="1192" t="s">
        <v>4602</v>
      </c>
      <c r="E10091" s="1750" t="s">
        <v>2405</v>
      </c>
      <c r="F10091" s="1741"/>
      <c r="G10091" s="1741"/>
      <c r="H10091" s="1741"/>
      <c r="K10091" s="1192" t="s">
        <v>2438</v>
      </c>
      <c r="V10091" s="1192">
        <v>48</v>
      </c>
    </row>
    <row r="10092" spans="1:22" s="1192" customFormat="1" ht="14.4" x14ac:dyDescent="0.3">
      <c r="A10092" s="1192" t="s">
        <v>181</v>
      </c>
      <c r="B10092" s="1192" t="s">
        <v>4602</v>
      </c>
      <c r="E10092" s="1741" t="s">
        <v>2033</v>
      </c>
      <c r="F10092" s="1741"/>
      <c r="G10092" s="1277" t="s">
        <v>20</v>
      </c>
      <c r="H10092" s="1219">
        <v>3.0000000000000001E-3</v>
      </c>
      <c r="K10092" s="1192" t="s">
        <v>2428</v>
      </c>
      <c r="L10092" s="1192" t="s">
        <v>2374</v>
      </c>
      <c r="P10092" s="1192" t="s">
        <v>2439</v>
      </c>
      <c r="V10092" s="1192">
        <v>55</v>
      </c>
    </row>
    <row r="10093" spans="1:22" s="1192" customFormat="1" ht="14.4" x14ac:dyDescent="0.3">
      <c r="A10093" s="1192" t="s">
        <v>181</v>
      </c>
      <c r="B10093" s="1192" t="s">
        <v>4602</v>
      </c>
      <c r="E10093" s="1741" t="s">
        <v>2034</v>
      </c>
      <c r="F10093" s="1741"/>
      <c r="G10093" s="1277" t="s">
        <v>20</v>
      </c>
      <c r="H10093" s="1219">
        <v>4.0000000000000002E-4</v>
      </c>
      <c r="K10093" s="1192" t="s">
        <v>2428</v>
      </c>
      <c r="L10093" s="1192" t="s">
        <v>2374</v>
      </c>
      <c r="P10093" s="1192" t="s">
        <v>2439</v>
      </c>
      <c r="V10093" s="1192">
        <v>65</v>
      </c>
    </row>
    <row r="10094" spans="1:22" s="1192" customFormat="1" ht="14.4" x14ac:dyDescent="0.3">
      <c r="A10094" s="1192" t="s">
        <v>181</v>
      </c>
      <c r="B10094" s="1192" t="s">
        <v>4602</v>
      </c>
      <c r="E10094" s="1741" t="s">
        <v>428</v>
      </c>
      <c r="F10094" s="1741"/>
      <c r="G10094" s="1277" t="s">
        <v>20</v>
      </c>
      <c r="H10094" s="1219">
        <v>5.0000000000000001E-4</v>
      </c>
      <c r="K10094" s="1192" t="s">
        <v>2428</v>
      </c>
      <c r="L10094" s="1192" t="s">
        <v>2374</v>
      </c>
      <c r="P10094" s="1192" t="s">
        <v>2440</v>
      </c>
      <c r="V10094" s="1192">
        <v>57</v>
      </c>
    </row>
    <row r="10095" spans="1:22" s="1192" customFormat="1" ht="14.4" x14ac:dyDescent="0.3">
      <c r="A10095" s="1192" t="s">
        <v>181</v>
      </c>
      <c r="B10095" s="1192" t="s">
        <v>4602</v>
      </c>
      <c r="E10095" s="1741" t="s">
        <v>28</v>
      </c>
      <c r="F10095" s="1741"/>
      <c r="G10095" s="1277" t="s">
        <v>19</v>
      </c>
      <c r="H10095" s="1218">
        <v>0.25</v>
      </c>
      <c r="K10095" s="1192" t="s">
        <v>2428</v>
      </c>
      <c r="L10095" s="1192" t="s">
        <v>2374</v>
      </c>
      <c r="P10095" s="1192" t="s">
        <v>2441</v>
      </c>
      <c r="V10095" s="1192">
        <v>63</v>
      </c>
    </row>
    <row r="10096" spans="1:22" s="1192" customFormat="1" ht="17.399999999999999" x14ac:dyDescent="0.3">
      <c r="A10096" s="1192" t="s">
        <v>181</v>
      </c>
      <c r="B10096" s="1192" t="s">
        <v>4602</v>
      </c>
      <c r="E10096" s="1746" t="s">
        <v>593</v>
      </c>
      <c r="F10096" s="1747"/>
      <c r="G10096" s="1747"/>
      <c r="H10096" s="1747"/>
      <c r="K10096" s="1192" t="s">
        <v>2442</v>
      </c>
      <c r="V10096" s="1192">
        <v>31</v>
      </c>
    </row>
    <row r="10097" spans="1:22" s="1192" customFormat="1" ht="14.4" x14ac:dyDescent="0.3">
      <c r="A10097" s="1192" t="s">
        <v>181</v>
      </c>
      <c r="B10097" s="1192" t="s">
        <v>4602</v>
      </c>
      <c r="E10097" s="1743" t="s">
        <v>2966</v>
      </c>
      <c r="F10097" s="1743"/>
      <c r="G10097" s="1743"/>
      <c r="H10097" s="1743"/>
      <c r="K10097" s="1192" t="s">
        <v>2442</v>
      </c>
      <c r="V10097" s="1192">
        <v>286</v>
      </c>
    </row>
    <row r="10098" spans="1:22" s="1192" customFormat="1" ht="14.4" x14ac:dyDescent="0.3">
      <c r="A10098" s="1192" t="s">
        <v>181</v>
      </c>
      <c r="B10098" s="1192" t="s">
        <v>4602</v>
      </c>
      <c r="E10098" s="1750" t="s">
        <v>2389</v>
      </c>
      <c r="F10098" s="1743"/>
      <c r="G10098" s="1743"/>
      <c r="H10098" s="1743"/>
      <c r="K10098" s="1192" t="s">
        <v>2444</v>
      </c>
      <c r="V10098" s="1192">
        <v>11</v>
      </c>
    </row>
    <row r="10099" spans="1:22" s="1192" customFormat="1" ht="14.4" x14ac:dyDescent="0.3">
      <c r="A10099" s="1192" t="s">
        <v>181</v>
      </c>
      <c r="B10099" s="1192" t="s">
        <v>4602</v>
      </c>
      <c r="E10099" s="1743" t="s">
        <v>2391</v>
      </c>
      <c r="F10099" s="1743"/>
      <c r="G10099" s="1743"/>
      <c r="H10099" s="1743"/>
      <c r="K10099" s="1192" t="s">
        <v>2442</v>
      </c>
      <c r="V10099" s="1192">
        <v>280</v>
      </c>
    </row>
    <row r="10100" spans="1:22" s="1192" customFormat="1" ht="14.4" x14ac:dyDescent="0.3">
      <c r="A10100" s="1192" t="s">
        <v>181</v>
      </c>
      <c r="B10100" s="1192" t="s">
        <v>4602</v>
      </c>
      <c r="E10100" s="1743" t="s">
        <v>2392</v>
      </c>
      <c r="F10100" s="1743"/>
      <c r="G10100" s="1743"/>
      <c r="H10100" s="1743"/>
      <c r="K10100" s="1192" t="s">
        <v>2442</v>
      </c>
      <c r="V10100" s="1192">
        <v>411</v>
      </c>
    </row>
    <row r="10101" spans="1:22" s="1192" customFormat="1" ht="14.4" x14ac:dyDescent="0.3">
      <c r="A10101" s="1192" t="s">
        <v>181</v>
      </c>
      <c r="B10101" s="1192" t="s">
        <v>4602</v>
      </c>
      <c r="E10101" s="1743" t="s">
        <v>2445</v>
      </c>
      <c r="F10101" s="1743"/>
      <c r="G10101" s="1743"/>
      <c r="H10101" s="1743"/>
      <c r="K10101" s="1192" t="s">
        <v>2442</v>
      </c>
      <c r="V10101" s="1192">
        <v>211</v>
      </c>
    </row>
    <row r="10102" spans="1:22" s="1192" customFormat="1" ht="14.4" x14ac:dyDescent="0.3">
      <c r="A10102" s="1192" t="s">
        <v>181</v>
      </c>
      <c r="B10102" s="1192" t="s">
        <v>4602</v>
      </c>
      <c r="E10102" s="1743" t="s">
        <v>4500</v>
      </c>
      <c r="F10102" s="1743"/>
      <c r="G10102" s="1743"/>
      <c r="H10102" s="1743"/>
      <c r="K10102" s="1192" t="s">
        <v>2442</v>
      </c>
      <c r="V10102" s="1192">
        <v>247</v>
      </c>
    </row>
    <row r="10103" spans="1:22" s="1192" customFormat="1" ht="14.4" x14ac:dyDescent="0.3">
      <c r="A10103" s="1192" t="s">
        <v>181</v>
      </c>
      <c r="B10103" s="1192" t="s">
        <v>4602</v>
      </c>
      <c r="E10103" s="1750" t="s">
        <v>2394</v>
      </c>
      <c r="F10103" s="2037"/>
      <c r="G10103" s="2037"/>
      <c r="H10103" s="2037"/>
      <c r="K10103" s="1192" t="s">
        <v>2446</v>
      </c>
      <c r="V10103" s="1192">
        <v>46</v>
      </c>
    </row>
    <row r="10104" spans="1:22" s="1192" customFormat="1" ht="14.4" x14ac:dyDescent="0.3">
      <c r="A10104" s="1192" t="s">
        <v>181</v>
      </c>
      <c r="B10104" s="1192" t="s">
        <v>4602</v>
      </c>
      <c r="E10104" s="1741" t="s">
        <v>7</v>
      </c>
      <c r="F10104" s="1741"/>
      <c r="G10104" s="1277" t="s">
        <v>19</v>
      </c>
      <c r="H10104" s="1218">
        <v>10</v>
      </c>
      <c r="K10104" s="1192" t="s">
        <v>2442</v>
      </c>
      <c r="L10104" s="1192" t="s">
        <v>430</v>
      </c>
      <c r="P10104" s="1192" t="s">
        <v>2447</v>
      </c>
      <c r="V10104" s="1192">
        <v>14</v>
      </c>
    </row>
    <row r="10105" spans="1:22" s="1192" customFormat="1" x14ac:dyDescent="0.3">
      <c r="A10105" s="1192" t="s">
        <v>181</v>
      </c>
      <c r="B10105" s="1192" t="s">
        <v>4602</v>
      </c>
      <c r="E10105" s="2170" t="s">
        <v>81</v>
      </c>
      <c r="F10105" s="1999"/>
      <c r="G10105" s="1999"/>
      <c r="H10105" s="1999"/>
      <c r="K10105" s="1192" t="s">
        <v>3366</v>
      </c>
      <c r="V10105" s="1192">
        <v>10</v>
      </c>
    </row>
    <row r="10106" spans="1:22" s="1192" customFormat="1" ht="14.4" x14ac:dyDescent="0.3">
      <c r="A10106" s="1192" t="s">
        <v>181</v>
      </c>
      <c r="B10106" s="1192" t="s">
        <v>4602</v>
      </c>
      <c r="E10106" s="1741" t="s">
        <v>2449</v>
      </c>
      <c r="F10106" s="1741"/>
      <c r="G10106" s="1277" t="s">
        <v>29</v>
      </c>
      <c r="H10106" s="1219">
        <v>-0.6</v>
      </c>
      <c r="V10106" s="1192">
        <v>68</v>
      </c>
    </row>
    <row r="10107" spans="1:22" s="1192" customFormat="1" ht="14.4" x14ac:dyDescent="0.3">
      <c r="A10107" s="1192" t="s">
        <v>181</v>
      </c>
      <c r="B10107" s="1192" t="s">
        <v>4602</v>
      </c>
      <c r="E10107" s="1741" t="s">
        <v>2450</v>
      </c>
      <c r="F10107" s="1741"/>
      <c r="G10107" s="1277" t="s">
        <v>82</v>
      </c>
      <c r="H10107" s="1218">
        <v>-1</v>
      </c>
      <c r="V10107" s="1192">
        <v>87</v>
      </c>
    </row>
    <row r="10108" spans="1:22" s="1192" customFormat="1" x14ac:dyDescent="0.3">
      <c r="A10108" s="1192" t="s">
        <v>181</v>
      </c>
      <c r="B10108" s="1192" t="s">
        <v>4602</v>
      </c>
      <c r="E10108" s="1746" t="s">
        <v>83</v>
      </c>
      <c r="F10108" s="1999"/>
      <c r="G10108" s="1999"/>
      <c r="H10108" s="1999"/>
      <c r="K10108" s="1192" t="s">
        <v>3367</v>
      </c>
      <c r="V10108" s="1192">
        <v>24</v>
      </c>
    </row>
    <row r="10109" spans="1:22" s="1192" customFormat="1" ht="14.4" x14ac:dyDescent="0.3">
      <c r="A10109" s="1192" t="s">
        <v>181</v>
      </c>
      <c r="B10109" s="1192" t="s">
        <v>4602</v>
      </c>
      <c r="E10109" s="1743" t="s">
        <v>2391</v>
      </c>
      <c r="F10109" s="1743"/>
      <c r="G10109" s="1743"/>
      <c r="H10109" s="1743"/>
      <c r="V10109" s="1192">
        <v>280</v>
      </c>
    </row>
    <row r="10110" spans="1:22" s="1192" customFormat="1" ht="14.4" x14ac:dyDescent="0.3">
      <c r="A10110" s="1192" t="s">
        <v>181</v>
      </c>
      <c r="B10110" s="1192" t="s">
        <v>4602</v>
      </c>
      <c r="E10110" s="1743" t="s">
        <v>2452</v>
      </c>
      <c r="F10110" s="1743"/>
      <c r="G10110" s="1743"/>
      <c r="H10110" s="1743"/>
      <c r="V10110" s="1192">
        <v>353</v>
      </c>
    </row>
    <row r="10111" spans="1:22" s="1192" customFormat="1" ht="14.4" x14ac:dyDescent="0.3">
      <c r="A10111" s="1192" t="s">
        <v>181</v>
      </c>
      <c r="B10111" s="1192" t="s">
        <v>4602</v>
      </c>
      <c r="E10111" s="1743" t="s">
        <v>4500</v>
      </c>
      <c r="F10111" s="1743"/>
      <c r="G10111" s="1743"/>
      <c r="H10111" s="1743"/>
      <c r="V10111" s="1192">
        <v>247</v>
      </c>
    </row>
    <row r="10112" spans="1:22" s="1192" customFormat="1" ht="14.4" x14ac:dyDescent="0.3">
      <c r="A10112" s="1192" t="s">
        <v>181</v>
      </c>
      <c r="B10112" s="1192" t="s">
        <v>4602</v>
      </c>
      <c r="E10112" s="1750" t="s">
        <v>2453</v>
      </c>
      <c r="F10112" s="1998"/>
      <c r="G10112" s="1998"/>
      <c r="H10112" s="1998"/>
      <c r="K10112" s="1192" t="s">
        <v>3368</v>
      </c>
      <c r="V10112" s="1192">
        <v>23</v>
      </c>
    </row>
    <row r="10113" spans="1:22" s="1192" customFormat="1" ht="14.4" x14ac:dyDescent="0.3">
      <c r="A10113" s="1192" t="s">
        <v>181</v>
      </c>
      <c r="B10113" s="1192" t="s">
        <v>4602</v>
      </c>
      <c r="E10113" s="1942" t="s">
        <v>2639</v>
      </c>
      <c r="F10113" s="1942"/>
      <c r="G10113" s="1277" t="s">
        <v>19</v>
      </c>
      <c r="H10113" s="1218">
        <v>15</v>
      </c>
      <c r="V10113" s="1192">
        <v>19</v>
      </c>
    </row>
    <row r="10114" spans="1:22" s="1192" customFormat="1" ht="14.4" x14ac:dyDescent="0.3">
      <c r="A10114" s="1192" t="s">
        <v>181</v>
      </c>
      <c r="B10114" s="1192" t="s">
        <v>4602</v>
      </c>
      <c r="E10114" s="1942" t="s">
        <v>4606</v>
      </c>
      <c r="F10114" s="1942"/>
      <c r="G10114" s="1277" t="s">
        <v>19</v>
      </c>
      <c r="H10114" s="1218">
        <v>15</v>
      </c>
      <c r="V10114" s="1192">
        <v>36</v>
      </c>
    </row>
    <row r="10115" spans="1:22" s="1192" customFormat="1" ht="14.4" x14ac:dyDescent="0.3">
      <c r="A10115" s="1192" t="s">
        <v>181</v>
      </c>
      <c r="B10115" s="1192" t="s">
        <v>4602</v>
      </c>
      <c r="E10115" s="1942" t="s">
        <v>2459</v>
      </c>
      <c r="F10115" s="1942"/>
      <c r="G10115" s="1277" t="s">
        <v>19</v>
      </c>
      <c r="H10115" s="1218">
        <v>15</v>
      </c>
      <c r="V10115" s="1192">
        <v>37</v>
      </c>
    </row>
    <row r="10116" spans="1:22" s="1192" customFormat="1" ht="14.4" x14ac:dyDescent="0.3">
      <c r="A10116" s="1192" t="s">
        <v>181</v>
      </c>
      <c r="B10116" s="1192" t="s">
        <v>4602</v>
      </c>
      <c r="E10116" s="1942" t="s">
        <v>2461</v>
      </c>
      <c r="F10116" s="1942"/>
      <c r="G10116" s="1277" t="s">
        <v>19</v>
      </c>
      <c r="H10116" s="1218">
        <v>15</v>
      </c>
      <c r="V10116" s="1192">
        <v>17</v>
      </c>
    </row>
    <row r="10117" spans="1:22" s="1192" customFormat="1" ht="14.4" x14ac:dyDescent="0.3">
      <c r="A10117" s="1192" t="s">
        <v>181</v>
      </c>
      <c r="B10117" s="1192" t="s">
        <v>4602</v>
      </c>
      <c r="E10117" s="1942" t="s">
        <v>119</v>
      </c>
      <c r="F10117" s="1942"/>
      <c r="G10117" s="1277" t="s">
        <v>19</v>
      </c>
      <c r="H10117" s="1218">
        <v>15</v>
      </c>
      <c r="V10117" s="1192">
        <v>35</v>
      </c>
    </row>
    <row r="10118" spans="1:22" s="1192" customFormat="1" ht="14.4" x14ac:dyDescent="0.3">
      <c r="A10118" s="1192" t="s">
        <v>181</v>
      </c>
      <c r="B10118" s="1192" t="s">
        <v>4602</v>
      </c>
      <c r="E10118" s="1942" t="s">
        <v>2467</v>
      </c>
      <c r="F10118" s="1942"/>
      <c r="G10118" s="1277" t="s">
        <v>19</v>
      </c>
      <c r="H10118" s="1218">
        <v>15</v>
      </c>
      <c r="V10118" s="1192">
        <v>19</v>
      </c>
    </row>
    <row r="10119" spans="1:22" s="1192" customFormat="1" ht="14.4" x14ac:dyDescent="0.3">
      <c r="A10119" s="1192" t="s">
        <v>181</v>
      </c>
      <c r="B10119" s="1192" t="s">
        <v>4602</v>
      </c>
      <c r="E10119" s="1942" t="s">
        <v>84</v>
      </c>
      <c r="F10119" s="1942"/>
      <c r="G10119" s="1277" t="s">
        <v>19</v>
      </c>
      <c r="H10119" s="1218">
        <v>30</v>
      </c>
      <c r="V10119" s="1192">
        <v>89</v>
      </c>
    </row>
    <row r="10120" spans="1:22" s="1192" customFormat="1" ht="14.4" x14ac:dyDescent="0.3">
      <c r="A10120" s="1192" t="s">
        <v>181</v>
      </c>
      <c r="B10120" s="1192" t="s">
        <v>4602</v>
      </c>
      <c r="E10120" s="1942" t="s">
        <v>90</v>
      </c>
      <c r="F10120" s="1942"/>
      <c r="G10120" s="1277" t="s">
        <v>19</v>
      </c>
      <c r="H10120" s="1218">
        <v>30</v>
      </c>
      <c r="V10120" s="1192">
        <v>19</v>
      </c>
    </row>
    <row r="10121" spans="1:22" s="1192" customFormat="1" ht="14.4" x14ac:dyDescent="0.3">
      <c r="A10121" s="1192" t="s">
        <v>181</v>
      </c>
      <c r="B10121" s="1192" t="s">
        <v>4602</v>
      </c>
      <c r="E10121" s="1942" t="s">
        <v>88</v>
      </c>
      <c r="F10121" s="1942"/>
      <c r="G10121" s="1277" t="s">
        <v>19</v>
      </c>
      <c r="H10121" s="1218">
        <v>30</v>
      </c>
      <c r="V10121" s="1192">
        <v>74</v>
      </c>
    </row>
    <row r="10122" spans="1:22" s="1192" customFormat="1" ht="14.4" x14ac:dyDescent="0.3">
      <c r="A10122" s="1192" t="s">
        <v>181</v>
      </c>
      <c r="B10122" s="1192" t="s">
        <v>4602</v>
      </c>
      <c r="E10122" s="1750" t="s">
        <v>4607</v>
      </c>
      <c r="F10122" s="1998"/>
      <c r="G10122" s="1998"/>
      <c r="H10122" s="1998"/>
      <c r="V10122" s="1192">
        <v>39</v>
      </c>
    </row>
    <row r="10123" spans="1:22" s="1192" customFormat="1" ht="14.4" x14ac:dyDescent="0.3">
      <c r="A10123" s="1192" t="s">
        <v>181</v>
      </c>
      <c r="B10123" s="1192" t="s">
        <v>4602</v>
      </c>
      <c r="E10123" s="1942" t="s">
        <v>3918</v>
      </c>
      <c r="F10123" s="1942"/>
      <c r="G10123" s="1277"/>
      <c r="H10123" s="837"/>
      <c r="V10123" s="1192">
        <v>24</v>
      </c>
    </row>
    <row r="10124" spans="1:22" s="1192" customFormat="1" ht="14.4" x14ac:dyDescent="0.3">
      <c r="A10124" s="1192" t="s">
        <v>181</v>
      </c>
      <c r="B10124" s="1192" t="s">
        <v>4602</v>
      </c>
      <c r="E10124" s="1942" t="s">
        <v>6195</v>
      </c>
      <c r="F10124" s="1942"/>
      <c r="G10124" s="1277" t="s">
        <v>82</v>
      </c>
      <c r="H10124" s="1218">
        <v>1.5</v>
      </c>
      <c r="V10124" s="1192">
        <v>74</v>
      </c>
    </row>
    <row r="10125" spans="1:22" s="1192" customFormat="1" ht="14.4" x14ac:dyDescent="0.3">
      <c r="A10125" s="1192" t="s">
        <v>181</v>
      </c>
      <c r="B10125" s="1192" t="s">
        <v>4602</v>
      </c>
      <c r="E10125" s="1942" t="s">
        <v>6106</v>
      </c>
      <c r="F10125" s="1942"/>
      <c r="G10125" s="1277" t="s">
        <v>19</v>
      </c>
      <c r="H10125" s="1218">
        <v>65</v>
      </c>
      <c r="V10125" s="1192">
        <v>44</v>
      </c>
    </row>
    <row r="10126" spans="1:22" s="1192" customFormat="1" ht="14.4" x14ac:dyDescent="0.3">
      <c r="A10126" s="1192" t="s">
        <v>181</v>
      </c>
      <c r="B10126" s="1192" t="s">
        <v>4602</v>
      </c>
      <c r="E10126" s="1942" t="s">
        <v>6107</v>
      </c>
      <c r="F10126" s="1942"/>
      <c r="G10126" s="1277" t="s">
        <v>19</v>
      </c>
      <c r="H10126" s="1218">
        <v>185</v>
      </c>
      <c r="V10126" s="1192">
        <v>43</v>
      </c>
    </row>
    <row r="10127" spans="1:22" s="1192" customFormat="1" ht="14.4" x14ac:dyDescent="0.3">
      <c r="A10127" s="1192" t="s">
        <v>181</v>
      </c>
      <c r="B10127" s="1192" t="s">
        <v>4602</v>
      </c>
      <c r="E10127" s="1942" t="s">
        <v>6108</v>
      </c>
      <c r="F10127" s="1942"/>
      <c r="G10127" s="1277" t="s">
        <v>19</v>
      </c>
      <c r="H10127" s="1218">
        <v>185</v>
      </c>
      <c r="V10127" s="1192">
        <v>43</v>
      </c>
    </row>
    <row r="10128" spans="1:22" s="1192" customFormat="1" ht="14.4" x14ac:dyDescent="0.3">
      <c r="A10128" s="1192" t="s">
        <v>181</v>
      </c>
      <c r="B10128" s="1192" t="s">
        <v>4602</v>
      </c>
      <c r="E10128" s="1942" t="s">
        <v>6115</v>
      </c>
      <c r="F10128" s="1942"/>
      <c r="G10128" s="1277" t="s">
        <v>19</v>
      </c>
      <c r="H10128" s="1218">
        <v>415</v>
      </c>
      <c r="V10128" s="1192">
        <v>42</v>
      </c>
    </row>
    <row r="10129" spans="1:22" s="1192" customFormat="1" ht="14.4" x14ac:dyDescent="0.3">
      <c r="A10129" s="1192" t="s">
        <v>181</v>
      </c>
      <c r="B10129" s="1192" t="s">
        <v>4602</v>
      </c>
      <c r="E10129" s="1750" t="s">
        <v>2474</v>
      </c>
      <c r="F10129" s="1998"/>
      <c r="G10129" s="1998"/>
      <c r="H10129" s="1998"/>
      <c r="V10129" s="1192">
        <v>5</v>
      </c>
    </row>
    <row r="10130" spans="1:22" s="1192" customFormat="1" ht="14.4" x14ac:dyDescent="0.3">
      <c r="A10130" s="1192" t="s">
        <v>181</v>
      </c>
      <c r="B10130" s="1192" t="s">
        <v>4602</v>
      </c>
      <c r="E10130" s="1942" t="s">
        <v>2703</v>
      </c>
      <c r="F10130" s="1942"/>
      <c r="G10130" s="1277" t="s">
        <v>19</v>
      </c>
      <c r="H10130" s="1218">
        <v>500</v>
      </c>
      <c r="V10130" s="1192">
        <v>64</v>
      </c>
    </row>
    <row r="10131" spans="1:22" s="1192" customFormat="1" ht="14.4" x14ac:dyDescent="0.3">
      <c r="A10131" s="1192" t="s">
        <v>181</v>
      </c>
      <c r="B10131" s="1192" t="s">
        <v>4602</v>
      </c>
      <c r="E10131" s="1942" t="s">
        <v>2758</v>
      </c>
      <c r="F10131" s="1942"/>
      <c r="G10131" s="1277" t="s">
        <v>19</v>
      </c>
      <c r="H10131" s="1218">
        <v>300</v>
      </c>
      <c r="V10131" s="1192">
        <v>67</v>
      </c>
    </row>
    <row r="10132" spans="1:22" s="1192" customFormat="1" ht="14.4" x14ac:dyDescent="0.3">
      <c r="A10132" s="1192" t="s">
        <v>181</v>
      </c>
      <c r="B10132" s="1192" t="s">
        <v>4602</v>
      </c>
      <c r="E10132" s="1942" t="s">
        <v>2759</v>
      </c>
      <c r="F10132" s="1942"/>
      <c r="G10132" s="1277" t="s">
        <v>19</v>
      </c>
      <c r="H10132" s="1218">
        <v>1000</v>
      </c>
      <c r="V10132" s="1192">
        <v>66</v>
      </c>
    </row>
    <row r="10133" spans="1:22" s="1192" customFormat="1" ht="14.4" x14ac:dyDescent="0.3">
      <c r="A10133" s="1192" t="s">
        <v>181</v>
      </c>
      <c r="B10133" s="1192" t="s">
        <v>4602</v>
      </c>
      <c r="E10133" s="1942" t="s">
        <v>2477</v>
      </c>
      <c r="F10133" s="1942"/>
      <c r="G10133" s="1277" t="s">
        <v>19</v>
      </c>
      <c r="H10133" s="1218">
        <v>30</v>
      </c>
      <c r="V10133" s="1192">
        <v>39</v>
      </c>
    </row>
    <row r="10134" spans="1:22" s="1192" customFormat="1" ht="14.4" x14ac:dyDescent="0.3">
      <c r="A10134" s="1192" t="s">
        <v>181</v>
      </c>
      <c r="B10134" s="1192" t="s">
        <v>4602</v>
      </c>
      <c r="E10134" s="1942" t="s">
        <v>2768</v>
      </c>
      <c r="F10134" s="1942"/>
      <c r="G10134" s="1277" t="s">
        <v>19</v>
      </c>
      <c r="H10134" s="1218">
        <v>44.5</v>
      </c>
      <c r="V10134" s="1192">
        <v>104</v>
      </c>
    </row>
    <row r="10135" spans="1:22" s="1192" customFormat="1" x14ac:dyDescent="0.3">
      <c r="A10135" s="1192" t="s">
        <v>181</v>
      </c>
      <c r="B10135" s="1192" t="s">
        <v>4602</v>
      </c>
      <c r="E10135" s="1746" t="s">
        <v>73</v>
      </c>
      <c r="F10135" s="1999"/>
      <c r="G10135" s="1999"/>
      <c r="H10135" s="1999"/>
      <c r="K10135" s="1192" t="s">
        <v>3369</v>
      </c>
      <c r="V10135" s="1192">
        <v>38</v>
      </c>
    </row>
    <row r="10136" spans="1:22" s="1192" customFormat="1" ht="14.4" x14ac:dyDescent="0.3">
      <c r="A10136" s="1192" t="s">
        <v>181</v>
      </c>
      <c r="B10136" s="1192" t="s">
        <v>4602</v>
      </c>
      <c r="E10136" s="1743" t="s">
        <v>2391</v>
      </c>
      <c r="F10136" s="1743"/>
      <c r="G10136" s="1743"/>
      <c r="H10136" s="1743"/>
      <c r="V10136" s="1192">
        <v>280</v>
      </c>
    </row>
    <row r="10137" spans="1:22" s="1192" customFormat="1" ht="14.4" x14ac:dyDescent="0.3">
      <c r="A10137" s="1192" t="s">
        <v>181</v>
      </c>
      <c r="B10137" s="1192" t="s">
        <v>4602</v>
      </c>
      <c r="E10137" s="1743" t="s">
        <v>2392</v>
      </c>
      <c r="F10137" s="1743"/>
      <c r="G10137" s="1743"/>
      <c r="H10137" s="1743"/>
      <c r="V10137" s="1192">
        <v>411</v>
      </c>
    </row>
    <row r="10138" spans="1:22" s="1192" customFormat="1" ht="14.4" x14ac:dyDescent="0.3">
      <c r="A10138" s="1192" t="s">
        <v>181</v>
      </c>
      <c r="B10138" s="1192" t="s">
        <v>4602</v>
      </c>
      <c r="E10138" s="1743" t="s">
        <v>2445</v>
      </c>
      <c r="F10138" s="1743"/>
      <c r="G10138" s="1743"/>
      <c r="H10138" s="1743"/>
      <c r="V10138" s="1192">
        <v>211</v>
      </c>
    </row>
    <row r="10139" spans="1:22" s="1192" customFormat="1" ht="14.4" x14ac:dyDescent="0.3">
      <c r="A10139" s="1192" t="s">
        <v>181</v>
      </c>
      <c r="B10139" s="1192" t="s">
        <v>4602</v>
      </c>
      <c r="E10139" s="1743" t="s">
        <v>4500</v>
      </c>
      <c r="F10139" s="1743"/>
      <c r="G10139" s="1743"/>
      <c r="H10139" s="1743"/>
      <c r="V10139" s="1192">
        <v>247</v>
      </c>
    </row>
    <row r="10140" spans="1:22" s="1192" customFormat="1" ht="14.4" x14ac:dyDescent="0.3">
      <c r="A10140" s="1192" t="s">
        <v>181</v>
      </c>
      <c r="B10140" s="1192" t="s">
        <v>4602</v>
      </c>
      <c r="E10140" s="1743" t="s">
        <v>2595</v>
      </c>
      <c r="F10140" s="1743"/>
      <c r="G10140" s="1743"/>
      <c r="H10140" s="1743"/>
      <c r="V10140" s="1192">
        <v>142</v>
      </c>
    </row>
    <row r="10141" spans="1:22" s="1192" customFormat="1" ht="14.4" x14ac:dyDescent="0.3">
      <c r="A10141" s="1192" t="s">
        <v>181</v>
      </c>
      <c r="B10141" s="1192" t="s">
        <v>4602</v>
      </c>
      <c r="E10141" s="1741" t="s">
        <v>2485</v>
      </c>
      <c r="F10141" s="1741"/>
      <c r="G10141" s="1266" t="s">
        <v>19</v>
      </c>
      <c r="H10141" s="358">
        <v>102</v>
      </c>
      <c r="V10141" s="1192">
        <v>106</v>
      </c>
    </row>
    <row r="10142" spans="1:22" s="1192" customFormat="1" ht="14.4" x14ac:dyDescent="0.3">
      <c r="A10142" s="1192" t="s">
        <v>181</v>
      </c>
      <c r="B10142" s="1192" t="s">
        <v>4602</v>
      </c>
      <c r="E10142" s="1741" t="s">
        <v>2486</v>
      </c>
      <c r="F10142" s="1741"/>
      <c r="G10142" s="1266" t="s">
        <v>19</v>
      </c>
      <c r="H10142" s="358">
        <v>40.799999999999997</v>
      </c>
      <c r="V10142" s="1192">
        <v>34</v>
      </c>
    </row>
    <row r="10143" spans="1:22" s="1192" customFormat="1" ht="14.4" x14ac:dyDescent="0.3">
      <c r="A10143" s="1192" t="s">
        <v>181</v>
      </c>
      <c r="B10143" s="1192" t="s">
        <v>4602</v>
      </c>
      <c r="E10143" s="1741" t="s">
        <v>2487</v>
      </c>
      <c r="F10143" s="1741"/>
      <c r="G10143" s="1266" t="s">
        <v>2488</v>
      </c>
      <c r="H10143" s="358">
        <v>1.02</v>
      </c>
      <c r="V10143" s="1192">
        <v>51</v>
      </c>
    </row>
    <row r="10144" spans="1:22" s="1192" customFormat="1" ht="14.4" x14ac:dyDescent="0.3">
      <c r="A10144" s="1192" t="s">
        <v>181</v>
      </c>
      <c r="B10144" s="1192" t="s">
        <v>4602</v>
      </c>
      <c r="E10144" s="1741" t="s">
        <v>2489</v>
      </c>
      <c r="F10144" s="1741"/>
      <c r="G10144" s="1266" t="s">
        <v>2488</v>
      </c>
      <c r="H10144" s="358">
        <v>0.61</v>
      </c>
      <c r="V10144" s="1192">
        <v>75</v>
      </c>
    </row>
    <row r="10145" spans="1:22" s="1192" customFormat="1" ht="14.4" x14ac:dyDescent="0.3">
      <c r="A10145" s="1192" t="s">
        <v>181</v>
      </c>
      <c r="B10145" s="1192" t="s">
        <v>4602</v>
      </c>
      <c r="E10145" s="1741" t="s">
        <v>2490</v>
      </c>
      <c r="F10145" s="1741"/>
      <c r="G10145" s="1266" t="s">
        <v>2488</v>
      </c>
      <c r="H10145" s="358">
        <v>-0.61</v>
      </c>
      <c r="V10145" s="1192">
        <v>72</v>
      </c>
    </row>
    <row r="10146" spans="1:22" s="1192" customFormat="1" ht="14.4" x14ac:dyDescent="0.3">
      <c r="A10146" s="1192" t="s">
        <v>181</v>
      </c>
      <c r="B10146" s="1192" t="s">
        <v>4602</v>
      </c>
      <c r="E10146" s="1941" t="s">
        <v>2596</v>
      </c>
      <c r="F10146" s="1941"/>
      <c r="G10146" s="2042"/>
      <c r="H10146" s="2042"/>
      <c r="V10146" s="1192">
        <v>34</v>
      </c>
    </row>
    <row r="10147" spans="1:22" s="1192" customFormat="1" ht="14.4" x14ac:dyDescent="0.3">
      <c r="A10147" s="1192" t="s">
        <v>181</v>
      </c>
      <c r="B10147" s="1192" t="s">
        <v>4602</v>
      </c>
      <c r="E10147" s="1941" t="s">
        <v>2492</v>
      </c>
      <c r="F10147" s="1941"/>
      <c r="G10147" s="1266" t="s">
        <v>19</v>
      </c>
      <c r="H10147" s="358">
        <v>0.51</v>
      </c>
      <c r="V10147" s="1192">
        <v>57</v>
      </c>
    </row>
    <row r="10148" spans="1:22" s="1192" customFormat="1" ht="14.4" x14ac:dyDescent="0.3">
      <c r="A10148" s="1192" t="s">
        <v>181</v>
      </c>
      <c r="B10148" s="1192" t="s">
        <v>4602</v>
      </c>
      <c r="E10148" s="1941" t="s">
        <v>2493</v>
      </c>
      <c r="F10148" s="1941"/>
      <c r="G10148" s="1266" t="s">
        <v>19</v>
      </c>
      <c r="H10148" s="358">
        <v>1.02</v>
      </c>
      <c r="V10148" s="1192">
        <v>60</v>
      </c>
    </row>
    <row r="10149" spans="1:22" s="1192" customFormat="1" ht="14.4" x14ac:dyDescent="0.3">
      <c r="A10149" s="1192" t="s">
        <v>181</v>
      </c>
      <c r="B10149" s="1192" t="s">
        <v>4602</v>
      </c>
      <c r="E10149" s="1741" t="s">
        <v>2494</v>
      </c>
      <c r="F10149" s="1741"/>
      <c r="G10149" s="1998"/>
      <c r="H10149" s="1998"/>
      <c r="V10149" s="1192">
        <v>91</v>
      </c>
    </row>
    <row r="10150" spans="1:22" s="1192" customFormat="1" ht="14.4" x14ac:dyDescent="0.3">
      <c r="A10150" s="1192" t="s">
        <v>181</v>
      </c>
      <c r="B10150" s="1192" t="s">
        <v>4602</v>
      </c>
      <c r="E10150" s="1741" t="s">
        <v>2495</v>
      </c>
      <c r="F10150" s="1741"/>
      <c r="G10150" s="1998"/>
      <c r="H10150" s="1998"/>
      <c r="V10150" s="1192">
        <v>96</v>
      </c>
    </row>
    <row r="10151" spans="1:22" s="1192" customFormat="1" ht="14.4" x14ac:dyDescent="0.3">
      <c r="A10151" s="1192" t="s">
        <v>181</v>
      </c>
      <c r="B10151" s="1192" t="s">
        <v>4602</v>
      </c>
      <c r="E10151" s="1941" t="s">
        <v>2597</v>
      </c>
      <c r="F10151" s="1941"/>
      <c r="G10151" s="2042"/>
      <c r="H10151" s="2042"/>
      <c r="V10151" s="1192">
        <v>77</v>
      </c>
    </row>
    <row r="10152" spans="1:22" s="1192" customFormat="1" ht="14.4" x14ac:dyDescent="0.3">
      <c r="A10152" s="1192" t="s">
        <v>181</v>
      </c>
      <c r="B10152" s="1192" t="s">
        <v>4602</v>
      </c>
      <c r="E10152" s="1941" t="s">
        <v>2497</v>
      </c>
      <c r="F10152" s="1941"/>
      <c r="G10152" s="1266" t="s">
        <v>19</v>
      </c>
      <c r="H10152" s="899" t="s">
        <v>2498</v>
      </c>
      <c r="V10152" s="1192">
        <v>18</v>
      </c>
    </row>
    <row r="10153" spans="1:22" s="1192" customFormat="1" ht="14.4" x14ac:dyDescent="0.3">
      <c r="A10153" s="1192" t="s">
        <v>181</v>
      </c>
      <c r="B10153" s="1192" t="s">
        <v>4602</v>
      </c>
      <c r="E10153" s="1941" t="s">
        <v>2499</v>
      </c>
      <c r="F10153" s="1941"/>
      <c r="G10153" s="1266" t="s">
        <v>19</v>
      </c>
      <c r="H10153" s="358">
        <v>4.08</v>
      </c>
      <c r="V10153" s="1192">
        <v>69</v>
      </c>
    </row>
    <row r="10154" spans="1:22" s="1192" customFormat="1" ht="14.4" x14ac:dyDescent="0.3">
      <c r="A10154" s="1192" t="s">
        <v>181</v>
      </c>
      <c r="B10154" s="1192" t="s">
        <v>4602</v>
      </c>
      <c r="E10154" s="1741" t="s">
        <v>4608</v>
      </c>
      <c r="F10154" s="1741"/>
      <c r="G10154" s="1277" t="s">
        <v>19</v>
      </c>
      <c r="H10154" s="1218">
        <v>2.04</v>
      </c>
      <c r="V10154" s="1192">
        <v>199</v>
      </c>
    </row>
    <row r="10155" spans="1:22" s="1192" customFormat="1" x14ac:dyDescent="0.3">
      <c r="A10155" s="1192" t="s">
        <v>181</v>
      </c>
      <c r="B10155" s="1192" t="s">
        <v>4602</v>
      </c>
      <c r="E10155" s="1746" t="s">
        <v>143</v>
      </c>
      <c r="F10155" s="1999"/>
      <c r="G10155" s="1999"/>
      <c r="H10155" s="1999"/>
      <c r="K10155" s="1192" t="s">
        <v>3370</v>
      </c>
      <c r="V10155" s="1192">
        <v>12</v>
      </c>
    </row>
    <row r="10156" spans="1:22" s="1192" customFormat="1" ht="14.4" x14ac:dyDescent="0.3">
      <c r="A10156" s="1192" t="s">
        <v>181</v>
      </c>
      <c r="B10156" s="1192" t="s">
        <v>4602</v>
      </c>
      <c r="E10156" s="1741" t="s">
        <v>2501</v>
      </c>
      <c r="F10156" s="1741"/>
      <c r="G10156" s="1741"/>
      <c r="H10156" s="1741"/>
      <c r="V10156" s="1192">
        <v>203</v>
      </c>
    </row>
    <row r="10157" spans="1:22" s="1192" customFormat="1" ht="14.4" x14ac:dyDescent="0.3">
      <c r="A10157" s="1192" t="s">
        <v>181</v>
      </c>
      <c r="B10157" s="1192" t="s">
        <v>4602</v>
      </c>
      <c r="E10157" s="1741" t="s">
        <v>2599</v>
      </c>
      <c r="F10157" s="1741"/>
      <c r="G10157" s="1277"/>
      <c r="H10157" s="837">
        <v>1.0723</v>
      </c>
      <c r="V10157" s="1192">
        <v>57</v>
      </c>
    </row>
    <row r="10158" spans="1:22" s="1192" customFormat="1" ht="14.4" x14ac:dyDescent="0.3">
      <c r="A10158" s="1192" t="s">
        <v>181</v>
      </c>
      <c r="B10158" s="1192" t="s">
        <v>4602</v>
      </c>
      <c r="E10158" s="1741" t="s">
        <v>2601</v>
      </c>
      <c r="F10158" s="1741"/>
      <c r="G10158" s="1277"/>
      <c r="H10158" s="837">
        <v>1.0617000000000001</v>
      </c>
      <c r="J10158" s="1192" t="s">
        <v>4609</v>
      </c>
      <c r="V10158" s="1192">
        <v>55</v>
      </c>
    </row>
    <row r="10159" spans="1:22" s="1192" customFormat="1" ht="22.8" x14ac:dyDescent="0.3">
      <c r="A10159" s="1192" t="s">
        <v>181</v>
      </c>
      <c r="C10159" s="1192" t="s">
        <v>2378</v>
      </c>
      <c r="E10159" s="1752" t="s">
        <v>181</v>
      </c>
      <c r="F10159" s="2039"/>
      <c r="G10159" s="2039"/>
      <c r="H10159" s="2039"/>
      <c r="I10159" s="1192" t="s">
        <v>603</v>
      </c>
      <c r="J10159" s="1192" t="s">
        <v>4610</v>
      </c>
      <c r="K10159" s="1192" t="s">
        <v>181</v>
      </c>
      <c r="M10159" s="1192">
        <v>7</v>
      </c>
      <c r="V10159" s="1192">
        <v>32</v>
      </c>
    </row>
    <row r="10160" spans="1:22" s="1192" customFormat="1" ht="17.399999999999999" x14ac:dyDescent="0.3">
      <c r="A10160" s="1192" t="s">
        <v>181</v>
      </c>
      <c r="C10160" s="1192" t="s">
        <v>2380</v>
      </c>
      <c r="E10160" s="1753" t="s">
        <v>2381</v>
      </c>
      <c r="F10160" s="2040"/>
      <c r="G10160" s="2040"/>
      <c r="H10160" s="2040"/>
      <c r="V10160" s="1192">
        <v>27</v>
      </c>
    </row>
    <row r="10161" spans="1:22" s="1192" customFormat="1" ht="15.6" x14ac:dyDescent="0.3">
      <c r="A10161" s="1192" t="s">
        <v>181</v>
      </c>
      <c r="C10161" s="1192" t="s">
        <v>2382</v>
      </c>
      <c r="E10161" s="1754" t="s">
        <v>6482</v>
      </c>
      <c r="F10161" s="2020"/>
      <c r="G10161" s="2020"/>
      <c r="H10161" s="2020"/>
      <c r="S10161" s="1192">
        <v>43952</v>
      </c>
      <c r="V10161" s="1192">
        <v>45</v>
      </c>
    </row>
    <row r="10162" spans="1:22" s="1192" customFormat="1" ht="14.4" x14ac:dyDescent="0.3">
      <c r="A10162" s="1192" t="s">
        <v>181</v>
      </c>
      <c r="C10162" s="1192" t="s">
        <v>2383</v>
      </c>
      <c r="E10162" s="1755" t="s">
        <v>2384</v>
      </c>
      <c r="F10162" s="2021"/>
      <c r="G10162" s="2021"/>
      <c r="H10162" s="2021"/>
      <c r="V10162" s="1192">
        <v>52</v>
      </c>
    </row>
    <row r="10163" spans="1:22" s="1192" customFormat="1" ht="14.4" x14ac:dyDescent="0.3">
      <c r="A10163" s="1192" t="s">
        <v>181</v>
      </c>
      <c r="E10163" s="1755" t="s">
        <v>2385</v>
      </c>
      <c r="F10163" s="2021"/>
      <c r="G10163" s="2021"/>
      <c r="H10163" s="2021"/>
      <c r="V10163" s="1192">
        <v>53</v>
      </c>
    </row>
    <row r="10164" spans="1:22" s="1192" customFormat="1" ht="14.4" x14ac:dyDescent="0.3">
      <c r="A10164" s="1192" t="s">
        <v>181</v>
      </c>
      <c r="E10164" s="1772" t="s">
        <v>6586</v>
      </c>
      <c r="F10164" s="1772"/>
      <c r="G10164" s="1772"/>
      <c r="H10164" s="1772"/>
      <c r="K10164" s="1192" t="s">
        <v>6586</v>
      </c>
      <c r="V10164" s="1192">
        <v>12</v>
      </c>
    </row>
    <row r="10165" spans="1:22" s="1192" customFormat="1" ht="14.4" x14ac:dyDescent="0.3">
      <c r="A10165" s="1192" t="s">
        <v>181</v>
      </c>
      <c r="E10165" s="1746" t="s">
        <v>427</v>
      </c>
      <c r="F10165" s="1743"/>
      <c r="G10165" s="1743"/>
      <c r="H10165" s="1743"/>
      <c r="K10165" s="1192" t="s">
        <v>2506</v>
      </c>
      <c r="V10165" s="1192">
        <v>34</v>
      </c>
    </row>
    <row r="10166" spans="1:22" s="1192" customFormat="1" ht="14.4" x14ac:dyDescent="0.3">
      <c r="A10166" s="1192" t="s">
        <v>181</v>
      </c>
      <c r="E10166" s="1743" t="s">
        <v>3192</v>
      </c>
      <c r="F10166" s="1743"/>
      <c r="G10166" s="1743"/>
      <c r="H10166" s="1743"/>
      <c r="K10166" s="1192" t="s">
        <v>2506</v>
      </c>
      <c r="V10166" s="1192">
        <v>415</v>
      </c>
    </row>
    <row r="10167" spans="1:22" s="1192" customFormat="1" ht="14.4" x14ac:dyDescent="0.3">
      <c r="A10167" s="1192" t="s">
        <v>181</v>
      </c>
      <c r="E10167" s="1750" t="s">
        <v>2389</v>
      </c>
      <c r="F10167" s="1743"/>
      <c r="G10167" s="1743"/>
      <c r="H10167" s="1743"/>
      <c r="K10167" s="1192" t="s">
        <v>2390</v>
      </c>
      <c r="V10167" s="1192">
        <v>11</v>
      </c>
    </row>
    <row r="10168" spans="1:22" s="1192" customFormat="1" ht="14.4" x14ac:dyDescent="0.3">
      <c r="A10168" s="1192" t="s">
        <v>181</v>
      </c>
      <c r="E10168" s="1743" t="s">
        <v>2391</v>
      </c>
      <c r="F10168" s="1743"/>
      <c r="G10168" s="1743"/>
      <c r="H10168" s="1743"/>
      <c r="K10168" s="1192" t="s">
        <v>2506</v>
      </c>
      <c r="V10168" s="1192">
        <v>280</v>
      </c>
    </row>
    <row r="10169" spans="1:22" s="1192" customFormat="1" ht="14.4" x14ac:dyDescent="0.3">
      <c r="A10169" s="1192" t="s">
        <v>181</v>
      </c>
      <c r="E10169" s="1743" t="s">
        <v>2392</v>
      </c>
      <c r="F10169" s="1743"/>
      <c r="G10169" s="1743"/>
      <c r="H10169" s="1743"/>
      <c r="K10169" s="1192" t="s">
        <v>2506</v>
      </c>
      <c r="V10169" s="1192">
        <v>411</v>
      </c>
    </row>
    <row r="10170" spans="1:22" s="1192" customFormat="1" ht="14.4" x14ac:dyDescent="0.3">
      <c r="A10170" s="1192" t="s">
        <v>181</v>
      </c>
      <c r="E10170" s="1743" t="s">
        <v>2393</v>
      </c>
      <c r="F10170" s="1743"/>
      <c r="G10170" s="1743"/>
      <c r="H10170" s="1743"/>
      <c r="K10170" s="1192" t="s">
        <v>2506</v>
      </c>
      <c r="V10170" s="1192">
        <v>387</v>
      </c>
    </row>
    <row r="10171" spans="1:22" s="1192" customFormat="1" ht="14.4" x14ac:dyDescent="0.3">
      <c r="A10171" s="1192" t="s">
        <v>181</v>
      </c>
      <c r="E10171" s="1743" t="s">
        <v>4500</v>
      </c>
      <c r="F10171" s="1743"/>
      <c r="G10171" s="1743"/>
      <c r="H10171" s="1743"/>
      <c r="K10171" s="1192" t="s">
        <v>2506</v>
      </c>
      <c r="V10171" s="1192">
        <v>247</v>
      </c>
    </row>
    <row r="10172" spans="1:22" s="1192" customFormat="1" ht="14.4" x14ac:dyDescent="0.3">
      <c r="A10172" s="1192" t="s">
        <v>181</v>
      </c>
      <c r="E10172" s="1750" t="s">
        <v>2394</v>
      </c>
      <c r="F10172" s="1743"/>
      <c r="G10172" s="1743"/>
      <c r="H10172" s="1743"/>
      <c r="K10172" s="1192" t="s">
        <v>2395</v>
      </c>
      <c r="V10172" s="1192">
        <v>46</v>
      </c>
    </row>
    <row r="10173" spans="1:22" s="1192" customFormat="1" ht="14.4" x14ac:dyDescent="0.3">
      <c r="A10173" s="1192" t="s">
        <v>181</v>
      </c>
      <c r="E10173" s="1741" t="s">
        <v>7</v>
      </c>
      <c r="F10173" s="1741"/>
      <c r="G10173" s="1277" t="s">
        <v>19</v>
      </c>
      <c r="H10173" s="1218">
        <v>34.72</v>
      </c>
      <c r="K10173" s="1192" t="s">
        <v>2506</v>
      </c>
      <c r="L10173" s="1192" t="s">
        <v>430</v>
      </c>
      <c r="P10173" s="1192" t="s">
        <v>2510</v>
      </c>
      <c r="V10173" s="1192">
        <v>14</v>
      </c>
    </row>
    <row r="10174" spans="1:22" s="1192" customFormat="1" ht="14.4" x14ac:dyDescent="0.3">
      <c r="A10174" s="1192" t="s">
        <v>181</v>
      </c>
      <c r="E10174" s="1741" t="s">
        <v>3900</v>
      </c>
      <c r="F10174" s="1741"/>
      <c r="G10174" s="1277" t="s">
        <v>19</v>
      </c>
      <c r="H10174" s="1218">
        <v>0.56999999999999995</v>
      </c>
      <c r="K10174" s="1192" t="s">
        <v>2506</v>
      </c>
      <c r="L10174" s="1192" t="s">
        <v>431</v>
      </c>
      <c r="P10174" s="1192" t="s">
        <v>2511</v>
      </c>
      <c r="T10174" s="1192">
        <v>44926</v>
      </c>
      <c r="V10174" s="1192">
        <v>64</v>
      </c>
    </row>
    <row r="10175" spans="1:22" s="1192" customFormat="1" ht="14.4" x14ac:dyDescent="0.3">
      <c r="A10175" s="1192" t="s">
        <v>181</v>
      </c>
      <c r="E10175" s="1741" t="s">
        <v>14</v>
      </c>
      <c r="F10175" s="1741"/>
      <c r="G10175" s="1277" t="s">
        <v>20</v>
      </c>
      <c r="H10175" s="1219">
        <v>4.1999999999999997E-3</v>
      </c>
      <c r="K10175" s="1192" t="s">
        <v>2506</v>
      </c>
      <c r="L10175" s="1192" t="s">
        <v>431</v>
      </c>
      <c r="P10175" s="1192" t="s">
        <v>2513</v>
      </c>
      <c r="V10175" s="1192">
        <v>24</v>
      </c>
    </row>
    <row r="10176" spans="1:22" s="1192" customFormat="1" ht="14.4" x14ac:dyDescent="0.3">
      <c r="A10176" s="1192" t="s">
        <v>181</v>
      </c>
      <c r="E10176" s="1741" t="s">
        <v>6508</v>
      </c>
      <c r="F10176" s="1998"/>
      <c r="G10176" s="1277" t="s">
        <v>20</v>
      </c>
      <c r="H10176" s="1219">
        <v>1.4E-3</v>
      </c>
      <c r="K10176" s="1192" t="s">
        <v>2506</v>
      </c>
      <c r="L10176" s="1192" t="s">
        <v>431</v>
      </c>
      <c r="P10176" s="1192" t="s">
        <v>2516</v>
      </c>
      <c r="T10176" s="1192">
        <v>44316</v>
      </c>
      <c r="V10176" s="1192">
        <v>96</v>
      </c>
    </row>
    <row r="10177" spans="1:22" s="1192" customFormat="1" ht="14.4" x14ac:dyDescent="0.3">
      <c r="A10177" s="1192" t="s">
        <v>181</v>
      </c>
      <c r="E10177" s="1741" t="s">
        <v>6506</v>
      </c>
      <c r="F10177" s="1998"/>
      <c r="G10177" s="1277" t="s">
        <v>20</v>
      </c>
      <c r="H10177" s="1219">
        <v>-4.0000000000000002E-4</v>
      </c>
      <c r="K10177" s="1192" t="s">
        <v>2506</v>
      </c>
      <c r="L10177" s="1192" t="s">
        <v>431</v>
      </c>
      <c r="P10177" s="1192" t="s">
        <v>2514</v>
      </c>
      <c r="T10177" s="1192">
        <v>44316</v>
      </c>
      <c r="V10177" s="1192">
        <v>139</v>
      </c>
    </row>
    <row r="10178" spans="1:22" s="1192" customFormat="1" ht="14.4" x14ac:dyDescent="0.3">
      <c r="A10178" s="1192" t="s">
        <v>181</v>
      </c>
      <c r="E10178" s="1741" t="s">
        <v>6548</v>
      </c>
      <c r="F10178" s="1998"/>
      <c r="G10178" s="1277" t="s">
        <v>20</v>
      </c>
      <c r="H10178" s="1219">
        <v>2.0000000000000001E-4</v>
      </c>
      <c r="K10178" s="1192" t="s">
        <v>2506</v>
      </c>
      <c r="L10178" s="1192" t="s">
        <v>430</v>
      </c>
      <c r="P10178" s="1192" t="s">
        <v>2515</v>
      </c>
      <c r="T10178" s="1192">
        <v>44316</v>
      </c>
      <c r="V10178" s="1192">
        <v>134</v>
      </c>
    </row>
    <row r="10179" spans="1:22" s="1192" customFormat="1" ht="14.4" x14ac:dyDescent="0.3">
      <c r="A10179" s="1192" t="s">
        <v>181</v>
      </c>
      <c r="E10179" s="1741" t="s">
        <v>213</v>
      </c>
      <c r="F10179" s="1741"/>
      <c r="G10179" s="1277" t="s">
        <v>20</v>
      </c>
      <c r="H10179" s="1219">
        <v>6.0000000000000001E-3</v>
      </c>
      <c r="K10179" s="1192" t="s">
        <v>2506</v>
      </c>
      <c r="L10179" s="1192" t="s">
        <v>432</v>
      </c>
      <c r="P10179" s="1192" t="s">
        <v>2517</v>
      </c>
      <c r="V10179" s="1192">
        <v>47</v>
      </c>
    </row>
    <row r="10180" spans="1:22" s="1192" customFormat="1" ht="14.4" x14ac:dyDescent="0.3">
      <c r="A10180" s="1192" t="s">
        <v>181</v>
      </c>
      <c r="E10180" s="1741" t="s">
        <v>209</v>
      </c>
      <c r="F10180" s="1741"/>
      <c r="G10180" s="1277" t="s">
        <v>20</v>
      </c>
      <c r="H10180" s="1219">
        <v>5.1999999999999998E-3</v>
      </c>
      <c r="K10180" s="1192" t="s">
        <v>2506</v>
      </c>
      <c r="L10180" s="1192" t="s">
        <v>432</v>
      </c>
      <c r="P10180" s="1192" t="s">
        <v>2518</v>
      </c>
      <c r="V10180" s="1192">
        <v>74</v>
      </c>
    </row>
    <row r="10181" spans="1:22" s="1192" customFormat="1" ht="14.4" x14ac:dyDescent="0.3">
      <c r="A10181" s="1192" t="s">
        <v>181</v>
      </c>
      <c r="E10181" s="1750" t="s">
        <v>2405</v>
      </c>
      <c r="F10181" s="1741"/>
      <c r="G10181" s="1741"/>
      <c r="H10181" s="1741"/>
      <c r="K10181" s="1192" t="s">
        <v>2406</v>
      </c>
      <c r="V10181" s="1192">
        <v>48</v>
      </c>
    </row>
    <row r="10182" spans="1:22" s="1192" customFormat="1" ht="14.4" x14ac:dyDescent="0.3">
      <c r="A10182" s="1192" t="s">
        <v>181</v>
      </c>
      <c r="E10182" s="1741" t="s">
        <v>2033</v>
      </c>
      <c r="F10182" s="1741"/>
      <c r="G10182" s="1277" t="s">
        <v>20</v>
      </c>
      <c r="H10182" s="1219">
        <v>3.0000000000000001E-3</v>
      </c>
      <c r="K10182" s="1192" t="s">
        <v>2506</v>
      </c>
      <c r="L10182" s="1192" t="s">
        <v>2374</v>
      </c>
      <c r="P10182" s="1192" t="s">
        <v>2519</v>
      </c>
      <c r="V10182" s="1192">
        <v>55</v>
      </c>
    </row>
    <row r="10183" spans="1:22" s="1192" customFormat="1" ht="14.4" x14ac:dyDescent="0.3">
      <c r="A10183" s="1192" t="s">
        <v>181</v>
      </c>
      <c r="E10183" s="1741" t="s">
        <v>2034</v>
      </c>
      <c r="F10183" s="1741"/>
      <c r="G10183" s="1277" t="s">
        <v>20</v>
      </c>
      <c r="H10183" s="1219">
        <v>4.0000000000000002E-4</v>
      </c>
      <c r="K10183" s="1192" t="s">
        <v>2506</v>
      </c>
      <c r="L10183" s="1192" t="s">
        <v>2374</v>
      </c>
      <c r="P10183" s="1192" t="s">
        <v>2519</v>
      </c>
      <c r="V10183" s="1192">
        <v>65</v>
      </c>
    </row>
    <row r="10184" spans="1:22" s="1192" customFormat="1" ht="14.4" x14ac:dyDescent="0.3">
      <c r="A10184" s="1192" t="s">
        <v>181</v>
      </c>
      <c r="E10184" s="1741" t="s">
        <v>428</v>
      </c>
      <c r="F10184" s="1741"/>
      <c r="G10184" s="1277" t="s">
        <v>20</v>
      </c>
      <c r="H10184" s="1219">
        <v>5.0000000000000001E-4</v>
      </c>
      <c r="K10184" s="1192" t="s">
        <v>2506</v>
      </c>
      <c r="L10184" s="1192" t="s">
        <v>2374</v>
      </c>
      <c r="P10184" s="1192" t="s">
        <v>2520</v>
      </c>
      <c r="V10184" s="1192">
        <v>57</v>
      </c>
    </row>
    <row r="10185" spans="1:22" s="1192" customFormat="1" ht="14.4" x14ac:dyDescent="0.3">
      <c r="A10185" s="1192" t="s">
        <v>181</v>
      </c>
      <c r="E10185" s="1741" t="s">
        <v>28</v>
      </c>
      <c r="F10185" s="1741"/>
      <c r="G10185" s="1277" t="s">
        <v>19</v>
      </c>
      <c r="H10185" s="1218">
        <v>0.25</v>
      </c>
      <c r="K10185" s="1192" t="s">
        <v>2506</v>
      </c>
      <c r="L10185" s="1192" t="s">
        <v>2374</v>
      </c>
      <c r="P10185" s="1192" t="s">
        <v>2521</v>
      </c>
      <c r="V10185" s="1192">
        <v>63</v>
      </c>
    </row>
    <row r="10186" spans="1:22" s="1192" customFormat="1" ht="17.399999999999999" x14ac:dyDescent="0.3">
      <c r="A10186" s="1192" t="s">
        <v>181</v>
      </c>
      <c r="E10186" s="1746" t="s">
        <v>2522</v>
      </c>
      <c r="F10186" s="1747"/>
      <c r="G10186" s="1747"/>
      <c r="H10186" s="1747"/>
      <c r="K10186" s="1192" t="s">
        <v>3901</v>
      </c>
      <c r="V10186" s="1192">
        <v>54</v>
      </c>
    </row>
    <row r="10187" spans="1:22" s="1192" customFormat="1" ht="14.4" x14ac:dyDescent="0.3">
      <c r="A10187" s="1192" t="s">
        <v>181</v>
      </c>
      <c r="E10187" s="1743" t="s">
        <v>3193</v>
      </c>
      <c r="F10187" s="1743"/>
      <c r="G10187" s="1743"/>
      <c r="H10187" s="1743"/>
      <c r="K10187" s="1192" t="s">
        <v>3901</v>
      </c>
      <c r="V10187" s="1192">
        <v>321</v>
      </c>
    </row>
    <row r="10188" spans="1:22" s="1192" customFormat="1" ht="14.4" x14ac:dyDescent="0.3">
      <c r="A10188" s="1192" t="s">
        <v>181</v>
      </c>
      <c r="E10188" s="1750" t="s">
        <v>2389</v>
      </c>
      <c r="F10188" s="1743"/>
      <c r="G10188" s="1743"/>
      <c r="H10188" s="1743"/>
      <c r="K10188" s="1192" t="s">
        <v>2412</v>
      </c>
      <c r="V10188" s="1192">
        <v>11</v>
      </c>
    </row>
    <row r="10189" spans="1:22" s="1192" customFormat="1" ht="14.4" x14ac:dyDescent="0.3">
      <c r="A10189" s="1192" t="s">
        <v>181</v>
      </c>
      <c r="E10189" s="1743" t="s">
        <v>2391</v>
      </c>
      <c r="F10189" s="1743"/>
      <c r="G10189" s="1743"/>
      <c r="H10189" s="1743"/>
      <c r="K10189" s="1192" t="s">
        <v>3901</v>
      </c>
      <c r="V10189" s="1192">
        <v>280</v>
      </c>
    </row>
    <row r="10190" spans="1:22" s="1192" customFormat="1" ht="14.4" x14ac:dyDescent="0.3">
      <c r="A10190" s="1192" t="s">
        <v>181</v>
      </c>
      <c r="E10190" s="1743" t="s">
        <v>2392</v>
      </c>
      <c r="F10190" s="1743"/>
      <c r="G10190" s="1743"/>
      <c r="H10190" s="1743"/>
      <c r="K10190" s="1192" t="s">
        <v>3901</v>
      </c>
      <c r="V10190" s="1192">
        <v>411</v>
      </c>
    </row>
    <row r="10191" spans="1:22" s="1192" customFormat="1" ht="14.4" x14ac:dyDescent="0.3">
      <c r="A10191" s="1192" t="s">
        <v>181</v>
      </c>
      <c r="E10191" s="1743" t="s">
        <v>2393</v>
      </c>
      <c r="F10191" s="1743"/>
      <c r="G10191" s="1743"/>
      <c r="H10191" s="1743"/>
      <c r="K10191" s="1192" t="s">
        <v>3901</v>
      </c>
      <c r="V10191" s="1192">
        <v>387</v>
      </c>
    </row>
    <row r="10192" spans="1:22" s="1192" customFormat="1" ht="14.4" x14ac:dyDescent="0.3">
      <c r="A10192" s="1192" t="s">
        <v>181</v>
      </c>
      <c r="E10192" s="1743" t="s">
        <v>4500</v>
      </c>
      <c r="F10192" s="1743"/>
      <c r="G10192" s="1743"/>
      <c r="H10192" s="1743"/>
      <c r="K10192" s="1192" t="s">
        <v>3901</v>
      </c>
      <c r="V10192" s="1192">
        <v>247</v>
      </c>
    </row>
    <row r="10193" spans="1:22" s="1192" customFormat="1" ht="14.4" x14ac:dyDescent="0.3">
      <c r="A10193" s="1192" t="s">
        <v>181</v>
      </c>
      <c r="E10193" s="1750" t="s">
        <v>2394</v>
      </c>
      <c r="F10193" s="1743"/>
      <c r="G10193" s="1743"/>
      <c r="H10193" s="1743"/>
      <c r="K10193" s="1192" t="s">
        <v>2413</v>
      </c>
      <c r="V10193" s="1192">
        <v>46</v>
      </c>
    </row>
    <row r="10194" spans="1:22" s="1192" customFormat="1" ht="14.4" x14ac:dyDescent="0.3">
      <c r="A10194" s="1192" t="s">
        <v>181</v>
      </c>
      <c r="E10194" s="1741" t="s">
        <v>7</v>
      </c>
      <c r="F10194" s="1741"/>
      <c r="G10194" s="1277" t="s">
        <v>19</v>
      </c>
      <c r="H10194" s="1218">
        <v>39.49</v>
      </c>
      <c r="K10194" s="1192" t="s">
        <v>3901</v>
      </c>
      <c r="L10194" s="1192" t="s">
        <v>430</v>
      </c>
      <c r="P10194" s="1192" t="s">
        <v>3902</v>
      </c>
      <c r="V10194" s="1192">
        <v>14</v>
      </c>
    </row>
    <row r="10195" spans="1:22" s="1192" customFormat="1" ht="14.4" x14ac:dyDescent="0.3">
      <c r="A10195" s="1192" t="s">
        <v>181</v>
      </c>
      <c r="E10195" s="1741" t="s">
        <v>3900</v>
      </c>
      <c r="F10195" s="1741"/>
      <c r="G10195" s="1277" t="s">
        <v>19</v>
      </c>
      <c r="H10195" s="1218">
        <v>0.56999999999999995</v>
      </c>
      <c r="K10195" s="1192" t="s">
        <v>3901</v>
      </c>
      <c r="L10195" s="1192" t="s">
        <v>431</v>
      </c>
      <c r="P10195" s="1192" t="s">
        <v>3903</v>
      </c>
      <c r="T10195" s="1192">
        <v>44926</v>
      </c>
      <c r="V10195" s="1192">
        <v>64</v>
      </c>
    </row>
    <row r="10196" spans="1:22" s="1192" customFormat="1" ht="14.4" x14ac:dyDescent="0.3">
      <c r="A10196" s="1192" t="s">
        <v>181</v>
      </c>
      <c r="E10196" s="1741" t="s">
        <v>80</v>
      </c>
      <c r="F10196" s="1741"/>
      <c r="G10196" s="1277" t="s">
        <v>20</v>
      </c>
      <c r="H10196" s="1219">
        <v>1.1599999999999999E-2</v>
      </c>
      <c r="K10196" s="1192" t="s">
        <v>3901</v>
      </c>
      <c r="L10196" s="1192" t="s">
        <v>430</v>
      </c>
      <c r="P10196" s="1192" t="s">
        <v>3904</v>
      </c>
      <c r="V10196" s="1192">
        <v>28</v>
      </c>
    </row>
    <row r="10197" spans="1:22" s="1192" customFormat="1" ht="14.4" x14ac:dyDescent="0.3">
      <c r="A10197" s="1192" t="s">
        <v>181</v>
      </c>
      <c r="E10197" s="1741" t="s">
        <v>14</v>
      </c>
      <c r="F10197" s="1741"/>
      <c r="G10197" s="1277" t="s">
        <v>20</v>
      </c>
      <c r="H10197" s="1219">
        <v>3.8999999999999998E-3</v>
      </c>
      <c r="K10197" s="1192" t="s">
        <v>3901</v>
      </c>
      <c r="L10197" s="1192" t="s">
        <v>431</v>
      </c>
      <c r="P10197" s="1192" t="s">
        <v>3905</v>
      </c>
      <c r="V10197" s="1192">
        <v>24</v>
      </c>
    </row>
    <row r="10198" spans="1:22" s="1192" customFormat="1" ht="14.4" x14ac:dyDescent="0.3">
      <c r="A10198" s="1192" t="s">
        <v>181</v>
      </c>
      <c r="E10198" s="1741" t="s">
        <v>6508</v>
      </c>
      <c r="F10198" s="1998"/>
      <c r="G10198" s="1277" t="s">
        <v>20</v>
      </c>
      <c r="H10198" s="1219">
        <v>1.4E-3</v>
      </c>
      <c r="K10198" s="1192" t="s">
        <v>3901</v>
      </c>
      <c r="L10198" s="1192" t="s">
        <v>431</v>
      </c>
      <c r="P10198" s="1192" t="s">
        <v>3911</v>
      </c>
      <c r="T10198" s="1192">
        <v>44316</v>
      </c>
      <c r="V10198" s="1192">
        <v>96</v>
      </c>
    </row>
    <row r="10199" spans="1:22" s="1192" customFormat="1" ht="14.4" x14ac:dyDescent="0.3">
      <c r="A10199" s="1192" t="s">
        <v>181</v>
      </c>
      <c r="E10199" s="1741" t="s">
        <v>6506</v>
      </c>
      <c r="F10199" s="1998"/>
      <c r="G10199" s="1277" t="s">
        <v>20</v>
      </c>
      <c r="H10199" s="1219">
        <v>-4.0000000000000002E-4</v>
      </c>
      <c r="K10199" s="1192" t="s">
        <v>3901</v>
      </c>
      <c r="L10199" s="1192" t="s">
        <v>431</v>
      </c>
      <c r="P10199" s="1192" t="s">
        <v>3700</v>
      </c>
      <c r="T10199" s="1192">
        <v>44316</v>
      </c>
      <c r="V10199" s="1192">
        <v>139</v>
      </c>
    </row>
    <row r="10200" spans="1:22" s="1192" customFormat="1" ht="14.4" x14ac:dyDescent="0.3">
      <c r="A10200" s="1192" t="s">
        <v>181</v>
      </c>
      <c r="E10200" s="1741" t="s">
        <v>6588</v>
      </c>
      <c r="F10200" s="1998"/>
      <c r="G10200" s="1277" t="s">
        <v>20</v>
      </c>
      <c r="H10200" s="1219">
        <v>2.8E-3</v>
      </c>
      <c r="K10200" s="1192" t="s">
        <v>3901</v>
      </c>
      <c r="L10200" s="1192" t="s">
        <v>430</v>
      </c>
      <c r="P10200" s="1192" t="s">
        <v>4000</v>
      </c>
      <c r="T10200" s="1192">
        <v>44316</v>
      </c>
      <c r="V10200" s="1192">
        <v>135</v>
      </c>
    </row>
    <row r="10201" spans="1:22" s="1192" customFormat="1" ht="14.4" x14ac:dyDescent="0.3">
      <c r="A10201" s="1192" t="s">
        <v>181</v>
      </c>
      <c r="E10201" s="1741" t="s">
        <v>213</v>
      </c>
      <c r="F10201" s="1741"/>
      <c r="G10201" s="1277" t="s">
        <v>20</v>
      </c>
      <c r="H10201" s="1219">
        <v>5.5999999999999999E-3</v>
      </c>
      <c r="K10201" s="1192" t="s">
        <v>3901</v>
      </c>
      <c r="L10201" s="1192" t="s">
        <v>432</v>
      </c>
      <c r="P10201" s="1192" t="s">
        <v>3906</v>
      </c>
      <c r="V10201" s="1192">
        <v>47</v>
      </c>
    </row>
    <row r="10202" spans="1:22" s="1192" customFormat="1" ht="14.4" x14ac:dyDescent="0.3">
      <c r="A10202" s="1192" t="s">
        <v>181</v>
      </c>
      <c r="E10202" s="1741" t="s">
        <v>209</v>
      </c>
      <c r="F10202" s="1741"/>
      <c r="G10202" s="1277" t="s">
        <v>20</v>
      </c>
      <c r="H10202" s="1219">
        <v>4.7999999999999996E-3</v>
      </c>
      <c r="K10202" s="1192" t="s">
        <v>3901</v>
      </c>
      <c r="L10202" s="1192" t="s">
        <v>432</v>
      </c>
      <c r="P10202" s="1192" t="s">
        <v>3907</v>
      </c>
      <c r="V10202" s="1192">
        <v>74</v>
      </c>
    </row>
    <row r="10203" spans="1:22" s="1192" customFormat="1" ht="14.4" x14ac:dyDescent="0.3">
      <c r="A10203" s="1192" t="s">
        <v>181</v>
      </c>
      <c r="E10203" s="1750" t="s">
        <v>2405</v>
      </c>
      <c r="F10203" s="1741"/>
      <c r="G10203" s="1741"/>
      <c r="H10203" s="1741"/>
      <c r="K10203" s="1192" t="s">
        <v>2418</v>
      </c>
      <c r="V10203" s="1192">
        <v>48</v>
      </c>
    </row>
    <row r="10204" spans="1:22" s="1192" customFormat="1" ht="14.4" x14ac:dyDescent="0.3">
      <c r="A10204" s="1192" t="s">
        <v>181</v>
      </c>
      <c r="E10204" s="1741" t="s">
        <v>2033</v>
      </c>
      <c r="F10204" s="1741"/>
      <c r="G10204" s="1277" t="s">
        <v>20</v>
      </c>
      <c r="H10204" s="1219">
        <v>3.0000000000000001E-3</v>
      </c>
      <c r="K10204" s="1192" t="s">
        <v>3901</v>
      </c>
      <c r="L10204" s="1192" t="s">
        <v>2374</v>
      </c>
      <c r="P10204" s="1192" t="s">
        <v>3908</v>
      </c>
      <c r="V10204" s="1192">
        <v>55</v>
      </c>
    </row>
    <row r="10205" spans="1:22" s="1192" customFormat="1" ht="14.4" x14ac:dyDescent="0.3">
      <c r="A10205" s="1192" t="s">
        <v>181</v>
      </c>
      <c r="E10205" s="1741" t="s">
        <v>2034</v>
      </c>
      <c r="F10205" s="1741"/>
      <c r="G10205" s="1277" t="s">
        <v>20</v>
      </c>
      <c r="H10205" s="1219">
        <v>4.0000000000000002E-4</v>
      </c>
      <c r="K10205" s="1192" t="s">
        <v>3901</v>
      </c>
      <c r="L10205" s="1192" t="s">
        <v>2374</v>
      </c>
      <c r="P10205" s="1192" t="s">
        <v>3908</v>
      </c>
      <c r="V10205" s="1192">
        <v>65</v>
      </c>
    </row>
    <row r="10206" spans="1:22" s="1192" customFormat="1" ht="14.4" x14ac:dyDescent="0.3">
      <c r="A10206" s="1192" t="s">
        <v>181</v>
      </c>
      <c r="E10206" s="1741" t="s">
        <v>428</v>
      </c>
      <c r="F10206" s="1741"/>
      <c r="G10206" s="1277" t="s">
        <v>20</v>
      </c>
      <c r="H10206" s="1219">
        <v>5.0000000000000001E-4</v>
      </c>
      <c r="K10206" s="1192" t="s">
        <v>3901</v>
      </c>
      <c r="L10206" s="1192" t="s">
        <v>2374</v>
      </c>
      <c r="P10206" s="1192" t="s">
        <v>3909</v>
      </c>
      <c r="V10206" s="1192">
        <v>57</v>
      </c>
    </row>
    <row r="10207" spans="1:22" s="1192" customFormat="1" ht="14.4" x14ac:dyDescent="0.3">
      <c r="A10207" s="1192" t="s">
        <v>181</v>
      </c>
      <c r="E10207" s="1741" t="s">
        <v>28</v>
      </c>
      <c r="F10207" s="1741"/>
      <c r="G10207" s="1277" t="s">
        <v>19</v>
      </c>
      <c r="H10207" s="1218">
        <v>0.25</v>
      </c>
      <c r="K10207" s="1192" t="s">
        <v>3901</v>
      </c>
      <c r="L10207" s="1192" t="s">
        <v>2374</v>
      </c>
      <c r="P10207" s="1192" t="s">
        <v>3910</v>
      </c>
      <c r="V10207" s="1192">
        <v>63</v>
      </c>
    </row>
    <row r="10208" spans="1:22" s="1192" customFormat="1" ht="17.399999999999999" x14ac:dyDescent="0.3">
      <c r="A10208" s="1192" t="s">
        <v>181</v>
      </c>
      <c r="E10208" s="1746" t="s">
        <v>591</v>
      </c>
      <c r="F10208" s="1747"/>
      <c r="G10208" s="1747"/>
      <c r="H10208" s="1747"/>
      <c r="K10208" s="1192" t="s">
        <v>4388</v>
      </c>
      <c r="V10208" s="1192">
        <v>53</v>
      </c>
    </row>
    <row r="10209" spans="1:22" s="1192" customFormat="1" ht="14.4" x14ac:dyDescent="0.3">
      <c r="A10209" s="1192" t="s">
        <v>181</v>
      </c>
      <c r="E10209" s="1743" t="s">
        <v>3194</v>
      </c>
      <c r="F10209" s="1743"/>
      <c r="G10209" s="1743"/>
      <c r="H10209" s="1743"/>
      <c r="K10209" s="1192" t="s">
        <v>4388</v>
      </c>
      <c r="V10209" s="1192">
        <v>355</v>
      </c>
    </row>
    <row r="10210" spans="1:22" s="1192" customFormat="1" ht="14.4" x14ac:dyDescent="0.3">
      <c r="A10210" s="1192" t="s">
        <v>181</v>
      </c>
      <c r="E10210" s="1750" t="s">
        <v>2389</v>
      </c>
      <c r="F10210" s="1743"/>
      <c r="G10210" s="1743"/>
      <c r="H10210" s="1743"/>
      <c r="K10210" s="1192" t="s">
        <v>2422</v>
      </c>
      <c r="V10210" s="1192">
        <v>11</v>
      </c>
    </row>
    <row r="10211" spans="1:22" s="1192" customFormat="1" ht="14.4" x14ac:dyDescent="0.3">
      <c r="A10211" s="1192" t="s">
        <v>181</v>
      </c>
      <c r="E10211" s="1743" t="s">
        <v>2391</v>
      </c>
      <c r="F10211" s="1743"/>
      <c r="G10211" s="1743"/>
      <c r="H10211" s="1743"/>
      <c r="K10211" s="1192" t="s">
        <v>4388</v>
      </c>
      <c r="V10211" s="1192">
        <v>280</v>
      </c>
    </row>
    <row r="10212" spans="1:22" s="1192" customFormat="1" ht="14.4" x14ac:dyDescent="0.3">
      <c r="A10212" s="1192" t="s">
        <v>181</v>
      </c>
      <c r="E10212" s="1743" t="s">
        <v>2392</v>
      </c>
      <c r="F10212" s="1743"/>
      <c r="G10212" s="1743"/>
      <c r="H10212" s="1743"/>
      <c r="K10212" s="1192" t="s">
        <v>4388</v>
      </c>
      <c r="V10212" s="1192">
        <v>411</v>
      </c>
    </row>
    <row r="10213" spans="1:22" s="1192" customFormat="1" ht="14.4" x14ac:dyDescent="0.3">
      <c r="A10213" s="1192" t="s">
        <v>181</v>
      </c>
      <c r="E10213" s="1743" t="s">
        <v>2393</v>
      </c>
      <c r="F10213" s="1743"/>
      <c r="G10213" s="1743"/>
      <c r="H10213" s="1743"/>
      <c r="K10213" s="1192" t="s">
        <v>4388</v>
      </c>
      <c r="V10213" s="1192">
        <v>387</v>
      </c>
    </row>
    <row r="10214" spans="1:22" s="1192" customFormat="1" ht="14.4" x14ac:dyDescent="0.3">
      <c r="A10214" s="1192" t="s">
        <v>181</v>
      </c>
      <c r="E10214" s="1743" t="s">
        <v>4605</v>
      </c>
      <c r="F10214" s="1743"/>
      <c r="G10214" s="1743"/>
      <c r="H10214" s="1743"/>
      <c r="K10214" s="1192" t="s">
        <v>4388</v>
      </c>
      <c r="V10214" s="1192">
        <v>684</v>
      </c>
    </row>
    <row r="10215" spans="1:22" s="1192" customFormat="1" ht="14.4" x14ac:dyDescent="0.3">
      <c r="A10215" s="1192" t="s">
        <v>181</v>
      </c>
      <c r="E10215" s="1743" t="s">
        <v>4503</v>
      </c>
      <c r="F10215" s="1743"/>
      <c r="G10215" s="1743"/>
      <c r="H10215" s="1743"/>
      <c r="K10215" s="1192" t="s">
        <v>4388</v>
      </c>
      <c r="V10215" s="1192">
        <v>677</v>
      </c>
    </row>
    <row r="10216" spans="1:22" s="1192" customFormat="1" ht="14.4" x14ac:dyDescent="0.3">
      <c r="A10216" s="1192" t="s">
        <v>181</v>
      </c>
      <c r="E10216" s="1743" t="s">
        <v>4500</v>
      </c>
      <c r="F10216" s="1743"/>
      <c r="G10216" s="1743"/>
      <c r="H10216" s="1743"/>
      <c r="K10216" s="1192" t="s">
        <v>4388</v>
      </c>
      <c r="V10216" s="1192">
        <v>247</v>
      </c>
    </row>
    <row r="10217" spans="1:22" s="1192" customFormat="1" ht="14.4" x14ac:dyDescent="0.3">
      <c r="A10217" s="1192" t="s">
        <v>181</v>
      </c>
      <c r="E10217" s="1750" t="s">
        <v>2394</v>
      </c>
      <c r="F10217" s="1743"/>
      <c r="G10217" s="1743"/>
      <c r="H10217" s="1743"/>
      <c r="K10217" s="1192" t="s">
        <v>2423</v>
      </c>
      <c r="V10217" s="1192">
        <v>46</v>
      </c>
    </row>
    <row r="10218" spans="1:22" s="1192" customFormat="1" ht="14.4" x14ac:dyDescent="0.3">
      <c r="A10218" s="1192" t="s">
        <v>181</v>
      </c>
      <c r="E10218" s="1741" t="s">
        <v>7</v>
      </c>
      <c r="F10218" s="1741"/>
      <c r="G10218" s="1277" t="s">
        <v>19</v>
      </c>
      <c r="H10218" s="1218">
        <v>237.63</v>
      </c>
      <c r="K10218" s="1192" t="s">
        <v>4388</v>
      </c>
      <c r="L10218" s="1192" t="s">
        <v>430</v>
      </c>
      <c r="P10218" s="1192" t="s">
        <v>4389</v>
      </c>
      <c r="V10218" s="1192">
        <v>14</v>
      </c>
    </row>
    <row r="10219" spans="1:22" s="1192" customFormat="1" ht="14.4" x14ac:dyDescent="0.3">
      <c r="A10219" s="1192" t="s">
        <v>181</v>
      </c>
      <c r="E10219" s="1741" t="s">
        <v>80</v>
      </c>
      <c r="F10219" s="1741"/>
      <c r="G10219" s="1277" t="s">
        <v>29</v>
      </c>
      <c r="H10219" s="1219">
        <v>2.7204000000000002</v>
      </c>
      <c r="K10219" s="1192" t="s">
        <v>4388</v>
      </c>
      <c r="L10219" s="1192" t="s">
        <v>430</v>
      </c>
      <c r="P10219" s="1192" t="s">
        <v>4390</v>
      </c>
      <c r="V10219" s="1192">
        <v>28</v>
      </c>
    </row>
    <row r="10220" spans="1:22" s="1192" customFormat="1" ht="14.4" x14ac:dyDescent="0.3">
      <c r="A10220" s="1192" t="s">
        <v>181</v>
      </c>
      <c r="E10220" s="1741" t="s">
        <v>14</v>
      </c>
      <c r="F10220" s="1741"/>
      <c r="G10220" s="1277" t="s">
        <v>29</v>
      </c>
      <c r="H10220" s="1219">
        <v>1.5720000000000001</v>
      </c>
      <c r="K10220" s="1192" t="s">
        <v>4388</v>
      </c>
      <c r="L10220" s="1192" t="s">
        <v>431</v>
      </c>
      <c r="P10220" s="1192" t="s">
        <v>4391</v>
      </c>
      <c r="V10220" s="1192">
        <v>24</v>
      </c>
    </row>
    <row r="10221" spans="1:22" s="1192" customFormat="1" ht="14.4" x14ac:dyDescent="0.3">
      <c r="A10221" s="1192" t="s">
        <v>181</v>
      </c>
      <c r="E10221" s="1741" t="s">
        <v>6508</v>
      </c>
      <c r="F10221" s="1998"/>
      <c r="G10221" s="1277" t="s">
        <v>29</v>
      </c>
      <c r="H10221" s="1219">
        <v>0.58299999999999996</v>
      </c>
      <c r="K10221" s="1192" t="s">
        <v>4388</v>
      </c>
      <c r="L10221" s="1192" t="s">
        <v>431</v>
      </c>
      <c r="P10221" s="1192" t="s">
        <v>4398</v>
      </c>
      <c r="T10221" s="1192">
        <v>44316</v>
      </c>
      <c r="V10221" s="1192">
        <v>96</v>
      </c>
    </row>
    <row r="10222" spans="1:22" s="1192" customFormat="1" ht="14.4" x14ac:dyDescent="0.3">
      <c r="A10222" s="1192" t="s">
        <v>181</v>
      </c>
      <c r="E10222" s="1741" t="s">
        <v>6506</v>
      </c>
      <c r="F10222" s="1998"/>
      <c r="G10222" s="1277" t="s">
        <v>20</v>
      </c>
      <c r="H10222" s="1219">
        <v>-4.0000000000000002E-4</v>
      </c>
      <c r="K10222" s="1192" t="s">
        <v>4388</v>
      </c>
      <c r="L10222" s="1192" t="s">
        <v>431</v>
      </c>
      <c r="P10222" s="1192" t="s">
        <v>4397</v>
      </c>
      <c r="T10222" s="1192">
        <v>44316</v>
      </c>
      <c r="V10222" s="1192">
        <v>139</v>
      </c>
    </row>
    <row r="10223" spans="1:22" s="1192" customFormat="1" ht="14.4" x14ac:dyDescent="0.3">
      <c r="A10223" s="1192" t="s">
        <v>181</v>
      </c>
      <c r="E10223" s="1741" t="s">
        <v>6588</v>
      </c>
      <c r="F10223" s="1998"/>
      <c r="G10223" s="1277" t="s">
        <v>29</v>
      </c>
      <c r="H10223" s="1219">
        <v>0.1368</v>
      </c>
      <c r="K10223" s="1192" t="s">
        <v>4388</v>
      </c>
      <c r="L10223" s="1192" t="s">
        <v>430</v>
      </c>
      <c r="P10223" s="1192" t="s">
        <v>4400</v>
      </c>
      <c r="T10223" s="1192">
        <v>44316</v>
      </c>
      <c r="V10223" s="1192">
        <v>135</v>
      </c>
    </row>
    <row r="10224" spans="1:22" s="1192" customFormat="1" ht="14.4" x14ac:dyDescent="0.3">
      <c r="A10224" s="1192" t="s">
        <v>181</v>
      </c>
      <c r="E10224" s="1741" t="s">
        <v>213</v>
      </c>
      <c r="F10224" s="1741"/>
      <c r="G10224" s="1277" t="s">
        <v>29</v>
      </c>
      <c r="H10224" s="1219">
        <v>2.4388000000000001</v>
      </c>
      <c r="K10224" s="1192" t="s">
        <v>4388</v>
      </c>
      <c r="L10224" s="1192" t="s">
        <v>432</v>
      </c>
      <c r="P10224" s="1192" t="s">
        <v>4392</v>
      </c>
      <c r="V10224" s="1192">
        <v>47</v>
      </c>
    </row>
    <row r="10225" spans="1:22" s="1192" customFormat="1" ht="14.4" x14ac:dyDescent="0.3">
      <c r="A10225" s="1192" t="s">
        <v>181</v>
      </c>
      <c r="E10225" s="1741" t="s">
        <v>209</v>
      </c>
      <c r="F10225" s="1741"/>
      <c r="G10225" s="1277" t="s">
        <v>29</v>
      </c>
      <c r="H10225" s="1219">
        <v>2.0910000000000002</v>
      </c>
      <c r="K10225" s="1192" t="s">
        <v>4388</v>
      </c>
      <c r="L10225" s="1192" t="s">
        <v>432</v>
      </c>
      <c r="P10225" s="1192" t="s">
        <v>4393</v>
      </c>
      <c r="V10225" s="1192">
        <v>74</v>
      </c>
    </row>
    <row r="10226" spans="1:22" s="1192" customFormat="1" ht="14.4" x14ac:dyDescent="0.3">
      <c r="A10226" s="1192" t="s">
        <v>181</v>
      </c>
      <c r="E10226" s="1750" t="s">
        <v>2405</v>
      </c>
      <c r="F10226" s="1741"/>
      <c r="G10226" s="1741"/>
      <c r="H10226" s="1741"/>
      <c r="K10226" s="1192" t="s">
        <v>2526</v>
      </c>
      <c r="V10226" s="1192">
        <v>48</v>
      </c>
    </row>
    <row r="10227" spans="1:22" s="1192" customFormat="1" ht="14.4" x14ac:dyDescent="0.3">
      <c r="A10227" s="1192" t="s">
        <v>181</v>
      </c>
      <c r="E10227" s="1741" t="s">
        <v>2033</v>
      </c>
      <c r="F10227" s="1741"/>
      <c r="G10227" s="1277" t="s">
        <v>20</v>
      </c>
      <c r="H10227" s="1219">
        <v>3.0000000000000001E-3</v>
      </c>
      <c r="K10227" s="1192" t="s">
        <v>4388</v>
      </c>
      <c r="L10227" s="1192" t="s">
        <v>2374</v>
      </c>
      <c r="P10227" s="1192" t="s">
        <v>4394</v>
      </c>
      <c r="V10227" s="1192">
        <v>55</v>
      </c>
    </row>
    <row r="10228" spans="1:22" s="1192" customFormat="1" ht="14.4" x14ac:dyDescent="0.3">
      <c r="A10228" s="1192" t="s">
        <v>181</v>
      </c>
      <c r="E10228" s="1741" t="s">
        <v>2034</v>
      </c>
      <c r="F10228" s="1741"/>
      <c r="G10228" s="1277" t="s">
        <v>20</v>
      </c>
      <c r="H10228" s="1219">
        <v>4.0000000000000002E-4</v>
      </c>
      <c r="K10228" s="1192" t="s">
        <v>4388</v>
      </c>
      <c r="L10228" s="1192" t="s">
        <v>2374</v>
      </c>
      <c r="P10228" s="1192" t="s">
        <v>4394</v>
      </c>
      <c r="V10228" s="1192">
        <v>65</v>
      </c>
    </row>
    <row r="10229" spans="1:22" s="1192" customFormat="1" ht="14.4" x14ac:dyDescent="0.3">
      <c r="A10229" s="1192" t="s">
        <v>181</v>
      </c>
      <c r="E10229" s="1741" t="s">
        <v>428</v>
      </c>
      <c r="F10229" s="1741"/>
      <c r="G10229" s="1277" t="s">
        <v>20</v>
      </c>
      <c r="H10229" s="1219">
        <v>5.0000000000000001E-4</v>
      </c>
      <c r="K10229" s="1192" t="s">
        <v>4388</v>
      </c>
      <c r="L10229" s="1192" t="s">
        <v>2374</v>
      </c>
      <c r="P10229" s="1192" t="s">
        <v>4395</v>
      </c>
      <c r="V10229" s="1192">
        <v>57</v>
      </c>
    </row>
    <row r="10230" spans="1:22" s="1192" customFormat="1" ht="14.4" x14ac:dyDescent="0.3">
      <c r="A10230" s="1192" t="s">
        <v>181</v>
      </c>
      <c r="E10230" s="1741" t="s">
        <v>28</v>
      </c>
      <c r="F10230" s="1741"/>
      <c r="G10230" s="1277" t="s">
        <v>19</v>
      </c>
      <c r="H10230" s="1218">
        <v>0.25</v>
      </c>
      <c r="K10230" s="1192" t="s">
        <v>4388</v>
      </c>
      <c r="L10230" s="1192" t="s">
        <v>2374</v>
      </c>
      <c r="P10230" s="1192" t="s">
        <v>4396</v>
      </c>
      <c r="V10230" s="1192">
        <v>63</v>
      </c>
    </row>
    <row r="10231" spans="1:22" s="1192" customFormat="1" ht="17.399999999999999" x14ac:dyDescent="0.3">
      <c r="A10231" s="1192" t="s">
        <v>181</v>
      </c>
      <c r="E10231" s="1746" t="s">
        <v>592</v>
      </c>
      <c r="F10231" s="1747"/>
      <c r="G10231" s="1747"/>
      <c r="H10231" s="1747"/>
      <c r="K10231" s="1192" t="s">
        <v>2676</v>
      </c>
      <c r="V10231" s="1192">
        <v>47</v>
      </c>
    </row>
    <row r="10232" spans="1:22" s="1192" customFormat="1" ht="14.4" x14ac:dyDescent="0.3">
      <c r="A10232" s="1192" t="s">
        <v>181</v>
      </c>
      <c r="E10232" s="1743" t="s">
        <v>3195</v>
      </c>
      <c r="F10232" s="1743"/>
      <c r="G10232" s="1743"/>
      <c r="H10232" s="1743"/>
      <c r="K10232" s="1192" t="s">
        <v>2676</v>
      </c>
      <c r="V10232" s="1192">
        <v>415</v>
      </c>
    </row>
    <row r="10233" spans="1:22" s="1192" customFormat="1" ht="14.4" x14ac:dyDescent="0.3">
      <c r="A10233" s="1192" t="s">
        <v>181</v>
      </c>
      <c r="E10233" s="1750" t="s">
        <v>2389</v>
      </c>
      <c r="F10233" s="1743"/>
      <c r="G10233" s="1743"/>
      <c r="H10233" s="1743"/>
      <c r="K10233" s="1192" t="s">
        <v>2529</v>
      </c>
      <c r="V10233" s="1192">
        <v>11</v>
      </c>
    </row>
    <row r="10234" spans="1:22" s="1192" customFormat="1" ht="14.4" x14ac:dyDescent="0.3">
      <c r="A10234" s="1192" t="s">
        <v>181</v>
      </c>
      <c r="E10234" s="1743" t="s">
        <v>2391</v>
      </c>
      <c r="F10234" s="1743"/>
      <c r="G10234" s="1743"/>
      <c r="H10234" s="1743"/>
      <c r="K10234" s="1192" t="s">
        <v>2676</v>
      </c>
      <c r="V10234" s="1192">
        <v>280</v>
      </c>
    </row>
    <row r="10235" spans="1:22" s="1192" customFormat="1" ht="14.4" x14ac:dyDescent="0.3">
      <c r="A10235" s="1192" t="s">
        <v>181</v>
      </c>
      <c r="E10235" s="1743" t="s">
        <v>2392</v>
      </c>
      <c r="F10235" s="1743"/>
      <c r="G10235" s="1743"/>
      <c r="H10235" s="1743"/>
      <c r="K10235" s="1192" t="s">
        <v>2676</v>
      </c>
      <c r="V10235" s="1192">
        <v>411</v>
      </c>
    </row>
    <row r="10236" spans="1:22" s="1192" customFormat="1" ht="14.4" x14ac:dyDescent="0.3">
      <c r="A10236" s="1192" t="s">
        <v>181</v>
      </c>
      <c r="E10236" s="1743" t="s">
        <v>2393</v>
      </c>
      <c r="F10236" s="1743"/>
      <c r="G10236" s="1743"/>
      <c r="H10236" s="1743"/>
      <c r="K10236" s="1192" t="s">
        <v>2676</v>
      </c>
      <c r="V10236" s="1192">
        <v>387</v>
      </c>
    </row>
    <row r="10237" spans="1:22" s="1192" customFormat="1" ht="14.4" x14ac:dyDescent="0.3">
      <c r="A10237" s="1192" t="s">
        <v>181</v>
      </c>
      <c r="E10237" s="1743" t="s">
        <v>4500</v>
      </c>
      <c r="F10237" s="1743"/>
      <c r="G10237" s="1743"/>
      <c r="H10237" s="1743"/>
      <c r="K10237" s="1192" t="s">
        <v>2676</v>
      </c>
      <c r="V10237" s="1192">
        <v>247</v>
      </c>
    </row>
    <row r="10238" spans="1:22" s="1192" customFormat="1" ht="14.4" x14ac:dyDescent="0.3">
      <c r="A10238" s="1192" t="s">
        <v>181</v>
      </c>
      <c r="E10238" s="1750" t="s">
        <v>2394</v>
      </c>
      <c r="F10238" s="1743"/>
      <c r="G10238" s="1743"/>
      <c r="H10238" s="1743"/>
      <c r="K10238" s="1192" t="s">
        <v>2531</v>
      </c>
      <c r="V10238" s="1192">
        <v>46</v>
      </c>
    </row>
    <row r="10239" spans="1:22" s="1192" customFormat="1" ht="14.4" x14ac:dyDescent="0.3">
      <c r="A10239" s="1192" t="s">
        <v>181</v>
      </c>
      <c r="E10239" s="1741" t="s">
        <v>7</v>
      </c>
      <c r="F10239" s="1741"/>
      <c r="G10239" s="1277" t="s">
        <v>19</v>
      </c>
      <c r="H10239" s="1218">
        <v>11.32</v>
      </c>
      <c r="K10239" s="1192" t="s">
        <v>2676</v>
      </c>
      <c r="L10239" s="1192" t="s">
        <v>430</v>
      </c>
      <c r="P10239" s="1192" t="s">
        <v>2678</v>
      </c>
      <c r="V10239" s="1192">
        <v>14</v>
      </c>
    </row>
    <row r="10240" spans="1:22" s="1192" customFormat="1" ht="14.4" x14ac:dyDescent="0.3">
      <c r="A10240" s="1192" t="s">
        <v>181</v>
      </c>
      <c r="E10240" s="1741" t="s">
        <v>80</v>
      </c>
      <c r="F10240" s="1741"/>
      <c r="G10240" s="1277" t="s">
        <v>20</v>
      </c>
      <c r="H10240" s="1219">
        <v>2.2100000000000002E-2</v>
      </c>
      <c r="K10240" s="1192" t="s">
        <v>2676</v>
      </c>
      <c r="L10240" s="1192" t="s">
        <v>430</v>
      </c>
      <c r="P10240" s="1192" t="s">
        <v>2679</v>
      </c>
      <c r="V10240" s="1192">
        <v>28</v>
      </c>
    </row>
    <row r="10241" spans="1:22" s="1192" customFormat="1" ht="14.4" x14ac:dyDescent="0.3">
      <c r="A10241" s="1192" t="s">
        <v>181</v>
      </c>
      <c r="E10241" s="1741" t="s">
        <v>14</v>
      </c>
      <c r="F10241" s="1741"/>
      <c r="G10241" s="1277" t="s">
        <v>20</v>
      </c>
      <c r="H10241" s="1219">
        <v>3.8999999999999998E-3</v>
      </c>
      <c r="K10241" s="1192" t="s">
        <v>2676</v>
      </c>
      <c r="L10241" s="1192" t="s">
        <v>431</v>
      </c>
      <c r="P10241" s="1192" t="s">
        <v>2809</v>
      </c>
      <c r="V10241" s="1192">
        <v>24</v>
      </c>
    </row>
    <row r="10242" spans="1:22" s="1192" customFormat="1" ht="14.4" x14ac:dyDescent="0.3">
      <c r="A10242" s="1192" t="s">
        <v>181</v>
      </c>
      <c r="E10242" s="1741" t="s">
        <v>6508</v>
      </c>
      <c r="F10242" s="1998"/>
      <c r="G10242" s="1277" t="s">
        <v>20</v>
      </c>
      <c r="H10242" s="1219">
        <v>1.4E-3</v>
      </c>
      <c r="K10242" s="1192" t="s">
        <v>2676</v>
      </c>
      <c r="L10242" s="1192" t="s">
        <v>431</v>
      </c>
      <c r="P10242" s="1192" t="s">
        <v>2681</v>
      </c>
      <c r="T10242" s="1192">
        <v>44316</v>
      </c>
      <c r="V10242" s="1192">
        <v>96</v>
      </c>
    </row>
    <row r="10243" spans="1:22" s="1192" customFormat="1" ht="14.4" x14ac:dyDescent="0.3">
      <c r="A10243" s="1192" t="s">
        <v>181</v>
      </c>
      <c r="E10243" s="1741" t="s">
        <v>6588</v>
      </c>
      <c r="F10243" s="1998"/>
      <c r="G10243" s="1277" t="s">
        <v>20</v>
      </c>
      <c r="H10243" s="1219">
        <v>1.0200000000000001E-2</v>
      </c>
      <c r="K10243" s="1192" t="s">
        <v>2676</v>
      </c>
      <c r="L10243" s="1192" t="s">
        <v>430</v>
      </c>
      <c r="P10243" s="1192" t="s">
        <v>2680</v>
      </c>
      <c r="T10243" s="1192">
        <v>44316</v>
      </c>
      <c r="V10243" s="1192">
        <v>135</v>
      </c>
    </row>
    <row r="10244" spans="1:22" s="1192" customFormat="1" ht="14.4" x14ac:dyDescent="0.3">
      <c r="A10244" s="1192" t="s">
        <v>181</v>
      </c>
      <c r="E10244" s="1741" t="s">
        <v>213</v>
      </c>
      <c r="F10244" s="1741"/>
      <c r="G10244" s="1277" t="s">
        <v>20</v>
      </c>
      <c r="H10244" s="1219">
        <v>5.5999999999999999E-3</v>
      </c>
      <c r="K10244" s="1192" t="s">
        <v>2676</v>
      </c>
      <c r="L10244" s="1192" t="s">
        <v>432</v>
      </c>
      <c r="P10244" s="1192" t="s">
        <v>2682</v>
      </c>
      <c r="V10244" s="1192">
        <v>47</v>
      </c>
    </row>
    <row r="10245" spans="1:22" s="1192" customFormat="1" ht="14.4" x14ac:dyDescent="0.3">
      <c r="A10245" s="1192" t="s">
        <v>181</v>
      </c>
      <c r="E10245" s="1741" t="s">
        <v>209</v>
      </c>
      <c r="F10245" s="1741"/>
      <c r="G10245" s="1277" t="s">
        <v>20</v>
      </c>
      <c r="H10245" s="1219">
        <v>4.7999999999999996E-3</v>
      </c>
      <c r="K10245" s="1192" t="s">
        <v>2676</v>
      </c>
      <c r="L10245" s="1192" t="s">
        <v>432</v>
      </c>
      <c r="P10245" s="1192" t="s">
        <v>2683</v>
      </c>
      <c r="V10245" s="1192">
        <v>74</v>
      </c>
    </row>
    <row r="10246" spans="1:22" s="1192" customFormat="1" ht="14.4" x14ac:dyDescent="0.3">
      <c r="A10246" s="1192" t="s">
        <v>181</v>
      </c>
      <c r="E10246" s="1750" t="s">
        <v>2405</v>
      </c>
      <c r="F10246" s="1741"/>
      <c r="G10246" s="1741"/>
      <c r="H10246" s="1741"/>
      <c r="K10246" s="1192" t="s">
        <v>2532</v>
      </c>
      <c r="V10246" s="1192">
        <v>48</v>
      </c>
    </row>
    <row r="10247" spans="1:22" s="1192" customFormat="1" ht="14.4" x14ac:dyDescent="0.3">
      <c r="A10247" s="1192" t="s">
        <v>181</v>
      </c>
      <c r="E10247" s="1741" t="s">
        <v>2033</v>
      </c>
      <c r="F10247" s="1741"/>
      <c r="G10247" s="1277" t="s">
        <v>20</v>
      </c>
      <c r="H10247" s="1219">
        <v>3.0000000000000001E-3</v>
      </c>
      <c r="K10247" s="1192" t="s">
        <v>2676</v>
      </c>
      <c r="L10247" s="1192" t="s">
        <v>2374</v>
      </c>
      <c r="P10247" s="1192" t="s">
        <v>2684</v>
      </c>
      <c r="V10247" s="1192">
        <v>55</v>
      </c>
    </row>
    <row r="10248" spans="1:22" s="1192" customFormat="1" ht="14.4" x14ac:dyDescent="0.3">
      <c r="A10248" s="1192" t="s">
        <v>181</v>
      </c>
      <c r="E10248" s="1741" t="s">
        <v>2034</v>
      </c>
      <c r="F10248" s="1741"/>
      <c r="G10248" s="1277" t="s">
        <v>20</v>
      </c>
      <c r="H10248" s="1219">
        <v>4.0000000000000002E-4</v>
      </c>
      <c r="K10248" s="1192" t="s">
        <v>2676</v>
      </c>
      <c r="L10248" s="1192" t="s">
        <v>2374</v>
      </c>
      <c r="P10248" s="1192" t="s">
        <v>2684</v>
      </c>
      <c r="V10248" s="1192">
        <v>65</v>
      </c>
    </row>
    <row r="10249" spans="1:22" s="1192" customFormat="1" ht="14.4" x14ac:dyDescent="0.3">
      <c r="A10249" s="1192" t="s">
        <v>181</v>
      </c>
      <c r="E10249" s="1741" t="s">
        <v>428</v>
      </c>
      <c r="F10249" s="1741"/>
      <c r="G10249" s="1277" t="s">
        <v>20</v>
      </c>
      <c r="H10249" s="1219">
        <v>5.0000000000000001E-4</v>
      </c>
      <c r="K10249" s="1192" t="s">
        <v>2676</v>
      </c>
      <c r="L10249" s="1192" t="s">
        <v>2374</v>
      </c>
      <c r="P10249" s="1192" t="s">
        <v>2685</v>
      </c>
      <c r="V10249" s="1192">
        <v>57</v>
      </c>
    </row>
    <row r="10250" spans="1:22" s="1192" customFormat="1" ht="14.4" x14ac:dyDescent="0.3">
      <c r="A10250" s="1192" t="s">
        <v>181</v>
      </c>
      <c r="E10250" s="1741" t="s">
        <v>28</v>
      </c>
      <c r="F10250" s="1741"/>
      <c r="G10250" s="1277" t="s">
        <v>19</v>
      </c>
      <c r="H10250" s="1218">
        <v>0.25</v>
      </c>
      <c r="K10250" s="1192" t="s">
        <v>2676</v>
      </c>
      <c r="L10250" s="1192" t="s">
        <v>2374</v>
      </c>
      <c r="P10250" s="1192" t="s">
        <v>2686</v>
      </c>
      <c r="V10250" s="1192">
        <v>63</v>
      </c>
    </row>
    <row r="10251" spans="1:22" s="1192" customFormat="1" ht="17.399999999999999" x14ac:dyDescent="0.3">
      <c r="A10251" s="1192" t="s">
        <v>181</v>
      </c>
      <c r="E10251" s="1746" t="s">
        <v>604</v>
      </c>
      <c r="F10251" s="1747"/>
      <c r="G10251" s="1747"/>
      <c r="H10251" s="1747"/>
      <c r="K10251" s="1192" t="s">
        <v>2823</v>
      </c>
      <c r="V10251" s="1192">
        <v>40</v>
      </c>
    </row>
    <row r="10252" spans="1:22" s="1192" customFormat="1" ht="14.4" x14ac:dyDescent="0.3">
      <c r="A10252" s="1192" t="s">
        <v>181</v>
      </c>
      <c r="E10252" s="1743" t="s">
        <v>3196</v>
      </c>
      <c r="F10252" s="1743"/>
      <c r="G10252" s="1743"/>
      <c r="H10252" s="1743"/>
      <c r="K10252" s="1192" t="s">
        <v>2823</v>
      </c>
      <c r="V10252" s="1192">
        <v>250</v>
      </c>
    </row>
    <row r="10253" spans="1:22" s="1192" customFormat="1" ht="14.4" x14ac:dyDescent="0.3">
      <c r="A10253" s="1192" t="s">
        <v>181</v>
      </c>
      <c r="E10253" s="1750" t="s">
        <v>2389</v>
      </c>
      <c r="F10253" s="1743"/>
      <c r="G10253" s="1743"/>
      <c r="H10253" s="1743"/>
      <c r="K10253" s="1192" t="s">
        <v>2424</v>
      </c>
      <c r="V10253" s="1192">
        <v>11</v>
      </c>
    </row>
    <row r="10254" spans="1:22" s="1192" customFormat="1" ht="14.4" x14ac:dyDescent="0.3">
      <c r="A10254" s="1192" t="s">
        <v>181</v>
      </c>
      <c r="E10254" s="1743" t="s">
        <v>2391</v>
      </c>
      <c r="F10254" s="1743"/>
      <c r="G10254" s="1743"/>
      <c r="H10254" s="1743"/>
      <c r="K10254" s="1192" t="s">
        <v>2823</v>
      </c>
      <c r="V10254" s="1192">
        <v>280</v>
      </c>
    </row>
    <row r="10255" spans="1:22" s="1192" customFormat="1" ht="14.4" x14ac:dyDescent="0.3">
      <c r="A10255" s="1192" t="s">
        <v>181</v>
      </c>
      <c r="E10255" s="1743" t="s">
        <v>2392</v>
      </c>
      <c r="F10255" s="1743"/>
      <c r="G10255" s="1743"/>
      <c r="H10255" s="1743"/>
      <c r="K10255" s="1192" t="s">
        <v>2823</v>
      </c>
      <c r="V10255" s="1192">
        <v>411</v>
      </c>
    </row>
    <row r="10256" spans="1:22" s="1192" customFormat="1" ht="14.4" x14ac:dyDescent="0.3">
      <c r="A10256" s="1192" t="s">
        <v>181</v>
      </c>
      <c r="E10256" s="1743" t="s">
        <v>2393</v>
      </c>
      <c r="F10256" s="1743"/>
      <c r="G10256" s="1743"/>
      <c r="H10256" s="1743"/>
      <c r="K10256" s="1192" t="s">
        <v>2823</v>
      </c>
      <c r="V10256" s="1192">
        <v>387</v>
      </c>
    </row>
    <row r="10257" spans="1:22" s="1192" customFormat="1" ht="14.4" x14ac:dyDescent="0.3">
      <c r="A10257" s="1192" t="s">
        <v>181</v>
      </c>
      <c r="E10257" s="1743" t="s">
        <v>4500</v>
      </c>
      <c r="F10257" s="1743"/>
      <c r="G10257" s="1743"/>
      <c r="H10257" s="1743"/>
      <c r="K10257" s="1192" t="s">
        <v>2823</v>
      </c>
      <c r="V10257" s="1192">
        <v>247</v>
      </c>
    </row>
    <row r="10258" spans="1:22" s="1192" customFormat="1" ht="14.4" x14ac:dyDescent="0.3">
      <c r="A10258" s="1192" t="s">
        <v>181</v>
      </c>
      <c r="E10258" s="1750" t="s">
        <v>2394</v>
      </c>
      <c r="F10258" s="1743"/>
      <c r="G10258" s="1743"/>
      <c r="H10258" s="1743"/>
      <c r="K10258" s="1192" t="s">
        <v>2425</v>
      </c>
      <c r="V10258" s="1192">
        <v>46</v>
      </c>
    </row>
    <row r="10259" spans="1:22" s="1192" customFormat="1" ht="14.4" x14ac:dyDescent="0.3">
      <c r="A10259" s="1192" t="s">
        <v>181</v>
      </c>
      <c r="E10259" s="1741" t="s">
        <v>7</v>
      </c>
      <c r="F10259" s="1741"/>
      <c r="G10259" s="1277" t="s">
        <v>19</v>
      </c>
      <c r="H10259" s="1218">
        <v>5.69</v>
      </c>
      <c r="K10259" s="1192" t="s">
        <v>2823</v>
      </c>
      <c r="L10259" s="1192" t="s">
        <v>430</v>
      </c>
      <c r="P10259" s="1192" t="s">
        <v>2824</v>
      </c>
      <c r="V10259" s="1192">
        <v>14</v>
      </c>
    </row>
    <row r="10260" spans="1:22" s="1192" customFormat="1" ht="14.4" x14ac:dyDescent="0.3">
      <c r="A10260" s="1192" t="s">
        <v>181</v>
      </c>
      <c r="E10260" s="1741" t="s">
        <v>80</v>
      </c>
      <c r="F10260" s="1741"/>
      <c r="G10260" s="1277" t="s">
        <v>29</v>
      </c>
      <c r="H10260" s="1219">
        <v>19.768799999999999</v>
      </c>
      <c r="K10260" s="1192" t="s">
        <v>2823</v>
      </c>
      <c r="L10260" s="1192" t="s">
        <v>430</v>
      </c>
      <c r="P10260" s="1192" t="s">
        <v>2825</v>
      </c>
      <c r="V10260" s="1192">
        <v>28</v>
      </c>
    </row>
    <row r="10261" spans="1:22" s="1192" customFormat="1" ht="14.4" x14ac:dyDescent="0.3">
      <c r="A10261" s="1192" t="s">
        <v>181</v>
      </c>
      <c r="E10261" s="1741" t="s">
        <v>14</v>
      </c>
      <c r="F10261" s="1741"/>
      <c r="G10261" s="1277" t="s">
        <v>29</v>
      </c>
      <c r="H10261" s="1219">
        <v>1.1175999999999999</v>
      </c>
      <c r="K10261" s="1192" t="s">
        <v>2823</v>
      </c>
      <c r="L10261" s="1192" t="s">
        <v>431</v>
      </c>
      <c r="P10261" s="1192" t="s">
        <v>2826</v>
      </c>
      <c r="V10261" s="1192">
        <v>24</v>
      </c>
    </row>
    <row r="10262" spans="1:22" s="1192" customFormat="1" ht="14.4" x14ac:dyDescent="0.3">
      <c r="A10262" s="1192" t="s">
        <v>181</v>
      </c>
      <c r="E10262" s="1741" t="s">
        <v>6508</v>
      </c>
      <c r="F10262" s="1998"/>
      <c r="G10262" s="1277" t="s">
        <v>29</v>
      </c>
      <c r="H10262" s="1219">
        <v>0.51200000000000001</v>
      </c>
      <c r="K10262" s="1192" t="s">
        <v>2823</v>
      </c>
      <c r="L10262" s="1192" t="s">
        <v>431</v>
      </c>
      <c r="P10262" s="1192" t="s">
        <v>2915</v>
      </c>
      <c r="T10262" s="1192">
        <v>44316</v>
      </c>
      <c r="V10262" s="1192">
        <v>96</v>
      </c>
    </row>
    <row r="10263" spans="1:22" s="1192" customFormat="1" ht="14.4" x14ac:dyDescent="0.3">
      <c r="A10263" s="1192" t="s">
        <v>181</v>
      </c>
      <c r="E10263" s="1741" t="s">
        <v>6588</v>
      </c>
      <c r="F10263" s="1998"/>
      <c r="G10263" s="1277" t="s">
        <v>29</v>
      </c>
      <c r="H10263" s="1219">
        <v>-2.3332999999999999</v>
      </c>
      <c r="K10263" s="1192" t="s">
        <v>2823</v>
      </c>
      <c r="L10263" s="1192" t="s">
        <v>430</v>
      </c>
      <c r="P10263" s="1192" t="s">
        <v>3342</v>
      </c>
      <c r="T10263" s="1192">
        <v>44316</v>
      </c>
      <c r="V10263" s="1192">
        <v>135</v>
      </c>
    </row>
    <row r="10264" spans="1:22" s="1192" customFormat="1" ht="14.4" x14ac:dyDescent="0.3">
      <c r="A10264" s="1192" t="s">
        <v>181</v>
      </c>
      <c r="E10264" s="1741" t="s">
        <v>213</v>
      </c>
      <c r="F10264" s="1741"/>
      <c r="G10264" s="1277" t="s">
        <v>29</v>
      </c>
      <c r="H10264" s="1219">
        <v>1.7352000000000001</v>
      </c>
      <c r="K10264" s="1192" t="s">
        <v>2823</v>
      </c>
      <c r="L10264" s="1192" t="s">
        <v>432</v>
      </c>
      <c r="P10264" s="1192" t="s">
        <v>2827</v>
      </c>
      <c r="V10264" s="1192">
        <v>47</v>
      </c>
    </row>
    <row r="10265" spans="1:22" s="1192" customFormat="1" ht="14.4" x14ac:dyDescent="0.3">
      <c r="A10265" s="1192" t="s">
        <v>181</v>
      </c>
      <c r="E10265" s="1741" t="s">
        <v>209</v>
      </c>
      <c r="F10265" s="1741"/>
      <c r="G10265" s="1277" t="s">
        <v>29</v>
      </c>
      <c r="H10265" s="1219">
        <v>1.4867999999999999</v>
      </c>
      <c r="K10265" s="1192" t="s">
        <v>2823</v>
      </c>
      <c r="L10265" s="1192" t="s">
        <v>432</v>
      </c>
      <c r="P10265" s="1192" t="s">
        <v>2828</v>
      </c>
      <c r="V10265" s="1192">
        <v>74</v>
      </c>
    </row>
    <row r="10266" spans="1:22" s="1192" customFormat="1" ht="14.4" x14ac:dyDescent="0.3">
      <c r="A10266" s="1192" t="s">
        <v>181</v>
      </c>
      <c r="E10266" s="1750" t="s">
        <v>2405</v>
      </c>
      <c r="F10266" s="1741"/>
      <c r="G10266" s="1741"/>
      <c r="H10266" s="1741"/>
      <c r="K10266" s="1192" t="s">
        <v>2427</v>
      </c>
      <c r="V10266" s="1192">
        <v>48</v>
      </c>
    </row>
    <row r="10267" spans="1:22" s="1192" customFormat="1" ht="14.4" x14ac:dyDescent="0.3">
      <c r="A10267" s="1192" t="s">
        <v>181</v>
      </c>
      <c r="E10267" s="1741" t="s">
        <v>2033</v>
      </c>
      <c r="F10267" s="1741"/>
      <c r="G10267" s="1277" t="s">
        <v>20</v>
      </c>
      <c r="H10267" s="1219">
        <v>3.0000000000000001E-3</v>
      </c>
      <c r="K10267" s="1192" t="s">
        <v>2823</v>
      </c>
      <c r="L10267" s="1192" t="s">
        <v>2374</v>
      </c>
      <c r="P10267" s="1192" t="s">
        <v>2829</v>
      </c>
      <c r="V10267" s="1192">
        <v>55</v>
      </c>
    </row>
    <row r="10268" spans="1:22" s="1192" customFormat="1" ht="14.4" x14ac:dyDescent="0.3">
      <c r="A10268" s="1192" t="s">
        <v>181</v>
      </c>
      <c r="E10268" s="1741" t="s">
        <v>2034</v>
      </c>
      <c r="F10268" s="1741"/>
      <c r="G10268" s="1277" t="s">
        <v>20</v>
      </c>
      <c r="H10268" s="1219">
        <v>4.0000000000000002E-4</v>
      </c>
      <c r="K10268" s="1192" t="s">
        <v>2823</v>
      </c>
      <c r="L10268" s="1192" t="s">
        <v>2374</v>
      </c>
      <c r="P10268" s="1192" t="s">
        <v>2829</v>
      </c>
      <c r="V10268" s="1192">
        <v>65</v>
      </c>
    </row>
    <row r="10269" spans="1:22" s="1192" customFormat="1" ht="14.4" x14ac:dyDescent="0.3">
      <c r="A10269" s="1192" t="s">
        <v>181</v>
      </c>
      <c r="E10269" s="1741" t="s">
        <v>428</v>
      </c>
      <c r="F10269" s="1741"/>
      <c r="G10269" s="1277" t="s">
        <v>20</v>
      </c>
      <c r="H10269" s="1219">
        <v>5.0000000000000001E-4</v>
      </c>
      <c r="K10269" s="1192" t="s">
        <v>2823</v>
      </c>
      <c r="L10269" s="1192" t="s">
        <v>2374</v>
      </c>
      <c r="P10269" s="1192" t="s">
        <v>2830</v>
      </c>
      <c r="V10269" s="1192">
        <v>57</v>
      </c>
    </row>
    <row r="10270" spans="1:22" s="1192" customFormat="1" ht="14.4" x14ac:dyDescent="0.3">
      <c r="A10270" s="1192" t="s">
        <v>181</v>
      </c>
      <c r="E10270" s="1741" t="s">
        <v>28</v>
      </c>
      <c r="F10270" s="1741"/>
      <c r="G10270" s="1277" t="s">
        <v>19</v>
      </c>
      <c r="H10270" s="1218">
        <v>0.25</v>
      </c>
      <c r="K10270" s="1192" t="s">
        <v>2823</v>
      </c>
      <c r="L10270" s="1192" t="s">
        <v>2374</v>
      </c>
      <c r="P10270" s="1192" t="s">
        <v>2831</v>
      </c>
      <c r="V10270" s="1192">
        <v>63</v>
      </c>
    </row>
    <row r="10271" spans="1:22" s="1192" customFormat="1" ht="17.399999999999999" x14ac:dyDescent="0.3">
      <c r="A10271" s="1192" t="s">
        <v>181</v>
      </c>
      <c r="E10271" s="1746" t="s">
        <v>590</v>
      </c>
      <c r="F10271" s="1747"/>
      <c r="G10271" s="1747"/>
      <c r="H10271" s="1747"/>
      <c r="K10271" s="1192" t="s">
        <v>2428</v>
      </c>
      <c r="V10271" s="1192">
        <v>38</v>
      </c>
    </row>
    <row r="10272" spans="1:22" s="1192" customFormat="1" ht="14.4" x14ac:dyDescent="0.3">
      <c r="A10272" s="1192" t="s">
        <v>181</v>
      </c>
      <c r="E10272" s="1743" t="s">
        <v>3197</v>
      </c>
      <c r="F10272" s="1743"/>
      <c r="G10272" s="1743"/>
      <c r="H10272" s="1743"/>
      <c r="K10272" s="1192" t="s">
        <v>2428</v>
      </c>
      <c r="V10272" s="1192">
        <v>526</v>
      </c>
    </row>
    <row r="10273" spans="1:22" s="1192" customFormat="1" ht="14.4" x14ac:dyDescent="0.3">
      <c r="A10273" s="1192" t="s">
        <v>181</v>
      </c>
      <c r="E10273" s="1750" t="s">
        <v>2389</v>
      </c>
      <c r="F10273" s="1743"/>
      <c r="G10273" s="1743"/>
      <c r="H10273" s="1743"/>
      <c r="K10273" s="1192" t="s">
        <v>2430</v>
      </c>
      <c r="V10273" s="1192">
        <v>11</v>
      </c>
    </row>
    <row r="10274" spans="1:22" s="1192" customFormat="1" ht="14.4" x14ac:dyDescent="0.3">
      <c r="A10274" s="1192" t="s">
        <v>181</v>
      </c>
      <c r="E10274" s="1743" t="s">
        <v>2391</v>
      </c>
      <c r="F10274" s="1743"/>
      <c r="G10274" s="1743"/>
      <c r="H10274" s="1743"/>
      <c r="K10274" s="1192" t="s">
        <v>2428</v>
      </c>
      <c r="V10274" s="1192">
        <v>280</v>
      </c>
    </row>
    <row r="10275" spans="1:22" s="1192" customFormat="1" ht="14.4" x14ac:dyDescent="0.3">
      <c r="A10275" s="1192" t="s">
        <v>181</v>
      </c>
      <c r="E10275" s="1743" t="s">
        <v>2392</v>
      </c>
      <c r="F10275" s="1743"/>
      <c r="G10275" s="1743"/>
      <c r="H10275" s="1743"/>
      <c r="K10275" s="1192" t="s">
        <v>2428</v>
      </c>
      <c r="V10275" s="1192">
        <v>411</v>
      </c>
    </row>
    <row r="10276" spans="1:22" s="1192" customFormat="1" ht="14.4" x14ac:dyDescent="0.3">
      <c r="A10276" s="1192" t="s">
        <v>181</v>
      </c>
      <c r="E10276" s="1743" t="s">
        <v>2393</v>
      </c>
      <c r="F10276" s="1743"/>
      <c r="G10276" s="1743"/>
      <c r="H10276" s="1743"/>
      <c r="K10276" s="1192" t="s">
        <v>2428</v>
      </c>
      <c r="V10276" s="1192">
        <v>387</v>
      </c>
    </row>
    <row r="10277" spans="1:22" s="1192" customFormat="1" ht="14.4" x14ac:dyDescent="0.3">
      <c r="A10277" s="1192" t="s">
        <v>181</v>
      </c>
      <c r="E10277" s="1743" t="s">
        <v>4500</v>
      </c>
      <c r="F10277" s="1743"/>
      <c r="G10277" s="1743"/>
      <c r="H10277" s="1743"/>
      <c r="K10277" s="1192" t="s">
        <v>2428</v>
      </c>
      <c r="V10277" s="1192">
        <v>247</v>
      </c>
    </row>
    <row r="10278" spans="1:22" s="1192" customFormat="1" ht="14.4" x14ac:dyDescent="0.3">
      <c r="A10278" s="1192" t="s">
        <v>181</v>
      </c>
      <c r="E10278" s="1750" t="s">
        <v>2394</v>
      </c>
      <c r="F10278" s="1743"/>
      <c r="G10278" s="1743"/>
      <c r="H10278" s="1743"/>
      <c r="K10278" s="1192" t="s">
        <v>2431</v>
      </c>
      <c r="V10278" s="1192">
        <v>46</v>
      </c>
    </row>
    <row r="10279" spans="1:22" s="1192" customFormat="1" ht="14.4" x14ac:dyDescent="0.3">
      <c r="A10279" s="1192" t="s">
        <v>181</v>
      </c>
      <c r="E10279" s="1741" t="s">
        <v>7</v>
      </c>
      <c r="F10279" s="1741"/>
      <c r="G10279" s="1277" t="s">
        <v>19</v>
      </c>
      <c r="H10279" s="1218">
        <v>2.1</v>
      </c>
      <c r="K10279" s="1192" t="s">
        <v>2428</v>
      </c>
      <c r="L10279" s="1192" t="s">
        <v>430</v>
      </c>
      <c r="P10279" s="1192" t="s">
        <v>2432</v>
      </c>
      <c r="V10279" s="1192">
        <v>14</v>
      </c>
    </row>
    <row r="10280" spans="1:22" s="1192" customFormat="1" ht="14.4" x14ac:dyDescent="0.3">
      <c r="A10280" s="1192" t="s">
        <v>181</v>
      </c>
      <c r="E10280" s="1741" t="s">
        <v>80</v>
      </c>
      <c r="F10280" s="1741"/>
      <c r="G10280" s="1277" t="s">
        <v>29</v>
      </c>
      <c r="H10280" s="1219">
        <v>9.6439000000000004</v>
      </c>
      <c r="K10280" s="1192" t="s">
        <v>2428</v>
      </c>
      <c r="L10280" s="1192" t="s">
        <v>430</v>
      </c>
      <c r="P10280" s="1192" t="s">
        <v>2433</v>
      </c>
      <c r="V10280" s="1192">
        <v>28</v>
      </c>
    </row>
    <row r="10281" spans="1:22" s="1192" customFormat="1" ht="14.4" x14ac:dyDescent="0.3">
      <c r="A10281" s="1192" t="s">
        <v>181</v>
      </c>
      <c r="E10281" s="1741" t="s">
        <v>14</v>
      </c>
      <c r="F10281" s="1741"/>
      <c r="G10281" s="1277" t="s">
        <v>29</v>
      </c>
      <c r="H10281" s="1219">
        <v>1.1077999999999999</v>
      </c>
      <c r="K10281" s="1192" t="s">
        <v>2428</v>
      </c>
      <c r="L10281" s="1192" t="s">
        <v>431</v>
      </c>
      <c r="P10281" s="1192" t="s">
        <v>2764</v>
      </c>
      <c r="V10281" s="1192">
        <v>24</v>
      </c>
    </row>
    <row r="10282" spans="1:22" s="1192" customFormat="1" ht="14.4" x14ac:dyDescent="0.3">
      <c r="A10282" s="1192" t="s">
        <v>181</v>
      </c>
      <c r="E10282" s="1741" t="s">
        <v>6508</v>
      </c>
      <c r="F10282" s="1998"/>
      <c r="G10282" s="1277" t="s">
        <v>29</v>
      </c>
      <c r="H10282" s="1219">
        <v>0.52280000000000004</v>
      </c>
      <c r="K10282" s="1192" t="s">
        <v>2428</v>
      </c>
      <c r="L10282" s="1192" t="s">
        <v>431</v>
      </c>
      <c r="P10282" s="1192" t="s">
        <v>2434</v>
      </c>
      <c r="T10282" s="1192">
        <v>44316</v>
      </c>
      <c r="V10282" s="1192">
        <v>96</v>
      </c>
    </row>
    <row r="10283" spans="1:22" s="1192" customFormat="1" ht="14.4" x14ac:dyDescent="0.3">
      <c r="A10283" s="1192" t="s">
        <v>181</v>
      </c>
      <c r="E10283" s="1741" t="s">
        <v>6506</v>
      </c>
      <c r="F10283" s="1998"/>
      <c r="G10283" s="1277" t="s">
        <v>20</v>
      </c>
      <c r="H10283" s="1219">
        <v>-4.0000000000000002E-4</v>
      </c>
      <c r="K10283" s="1192" t="s">
        <v>2428</v>
      </c>
      <c r="L10283" s="1192" t="s">
        <v>431</v>
      </c>
      <c r="P10283" s="1192" t="s">
        <v>2435</v>
      </c>
      <c r="T10283" s="1192">
        <v>44316</v>
      </c>
      <c r="V10283" s="1192">
        <v>139</v>
      </c>
    </row>
    <row r="10284" spans="1:22" s="1192" customFormat="1" ht="14.4" x14ac:dyDescent="0.3">
      <c r="A10284" s="1192" t="s">
        <v>181</v>
      </c>
      <c r="E10284" s="1741" t="s">
        <v>6588</v>
      </c>
      <c r="F10284" s="1998"/>
      <c r="G10284" s="1277" t="s">
        <v>29</v>
      </c>
      <c r="H10284" s="1219">
        <v>0.83179999999999998</v>
      </c>
      <c r="K10284" s="1192" t="s">
        <v>2428</v>
      </c>
      <c r="L10284" s="1192" t="s">
        <v>430</v>
      </c>
      <c r="P10284" s="1192" t="s">
        <v>3343</v>
      </c>
      <c r="T10284" s="1192">
        <v>44316</v>
      </c>
      <c r="V10284" s="1192">
        <v>135</v>
      </c>
    </row>
    <row r="10285" spans="1:22" s="1192" customFormat="1" ht="14.4" x14ac:dyDescent="0.3">
      <c r="A10285" s="1192" t="s">
        <v>181</v>
      </c>
      <c r="E10285" s="1741" t="s">
        <v>213</v>
      </c>
      <c r="F10285" s="1741"/>
      <c r="G10285" s="1277" t="s">
        <v>29</v>
      </c>
      <c r="H10285" s="1219">
        <v>1.7159</v>
      </c>
      <c r="K10285" s="1192" t="s">
        <v>2428</v>
      </c>
      <c r="L10285" s="1192" t="s">
        <v>432</v>
      </c>
      <c r="P10285" s="1192" t="s">
        <v>2436</v>
      </c>
      <c r="V10285" s="1192">
        <v>47</v>
      </c>
    </row>
    <row r="10286" spans="1:22" s="1192" customFormat="1" ht="14.4" x14ac:dyDescent="0.3">
      <c r="A10286" s="1192" t="s">
        <v>181</v>
      </c>
      <c r="E10286" s="1741" t="s">
        <v>209</v>
      </c>
      <c r="F10286" s="1741"/>
      <c r="G10286" s="1277" t="s">
        <v>29</v>
      </c>
      <c r="H10286" s="1219">
        <v>1.4735</v>
      </c>
      <c r="K10286" s="1192" t="s">
        <v>2428</v>
      </c>
      <c r="L10286" s="1192" t="s">
        <v>432</v>
      </c>
      <c r="P10286" s="1192" t="s">
        <v>2437</v>
      </c>
      <c r="V10286" s="1192">
        <v>74</v>
      </c>
    </row>
    <row r="10287" spans="1:22" s="1192" customFormat="1" ht="14.4" x14ac:dyDescent="0.3">
      <c r="A10287" s="1192" t="s">
        <v>181</v>
      </c>
      <c r="E10287" s="1750" t="s">
        <v>2405</v>
      </c>
      <c r="F10287" s="1741"/>
      <c r="G10287" s="1741"/>
      <c r="H10287" s="1741"/>
      <c r="K10287" s="1192" t="s">
        <v>2438</v>
      </c>
      <c r="V10287" s="1192">
        <v>48</v>
      </c>
    </row>
    <row r="10288" spans="1:22" s="1192" customFormat="1" ht="14.4" x14ac:dyDescent="0.3">
      <c r="A10288" s="1192" t="s">
        <v>181</v>
      </c>
      <c r="E10288" s="1741" t="s">
        <v>2033</v>
      </c>
      <c r="F10288" s="1741"/>
      <c r="G10288" s="1277" t="s">
        <v>20</v>
      </c>
      <c r="H10288" s="1219">
        <v>3.0000000000000001E-3</v>
      </c>
      <c r="K10288" s="1192" t="s">
        <v>2428</v>
      </c>
      <c r="L10288" s="1192" t="s">
        <v>2374</v>
      </c>
      <c r="P10288" s="1192" t="s">
        <v>2439</v>
      </c>
      <c r="V10288" s="1192">
        <v>55</v>
      </c>
    </row>
    <row r="10289" spans="1:22" s="1192" customFormat="1" ht="14.4" x14ac:dyDescent="0.3">
      <c r="A10289" s="1192" t="s">
        <v>181</v>
      </c>
      <c r="E10289" s="1741" t="s">
        <v>2034</v>
      </c>
      <c r="F10289" s="1741"/>
      <c r="G10289" s="1277" t="s">
        <v>20</v>
      </c>
      <c r="H10289" s="1219">
        <v>4.0000000000000002E-4</v>
      </c>
      <c r="K10289" s="1192" t="s">
        <v>2428</v>
      </c>
      <c r="L10289" s="1192" t="s">
        <v>2374</v>
      </c>
      <c r="P10289" s="1192" t="s">
        <v>2439</v>
      </c>
      <c r="V10289" s="1192">
        <v>65</v>
      </c>
    </row>
    <row r="10290" spans="1:22" s="1192" customFormat="1" ht="14.4" x14ac:dyDescent="0.3">
      <c r="A10290" s="1192" t="s">
        <v>181</v>
      </c>
      <c r="E10290" s="1741" t="s">
        <v>428</v>
      </c>
      <c r="F10290" s="1741"/>
      <c r="G10290" s="1277" t="s">
        <v>20</v>
      </c>
      <c r="H10290" s="1219">
        <v>5.0000000000000001E-4</v>
      </c>
      <c r="K10290" s="1192" t="s">
        <v>2428</v>
      </c>
      <c r="L10290" s="1192" t="s">
        <v>2374</v>
      </c>
      <c r="P10290" s="1192" t="s">
        <v>2440</v>
      </c>
      <c r="V10290" s="1192">
        <v>57</v>
      </c>
    </row>
    <row r="10291" spans="1:22" s="1192" customFormat="1" ht="14.4" x14ac:dyDescent="0.3">
      <c r="A10291" s="1192" t="s">
        <v>181</v>
      </c>
      <c r="E10291" s="1741" t="s">
        <v>28</v>
      </c>
      <c r="F10291" s="1741"/>
      <c r="G10291" s="1277" t="s">
        <v>19</v>
      </c>
      <c r="H10291" s="1218">
        <v>0.25</v>
      </c>
      <c r="K10291" s="1192" t="s">
        <v>2428</v>
      </c>
      <c r="L10291" s="1192" t="s">
        <v>2374</v>
      </c>
      <c r="P10291" s="1192" t="s">
        <v>2441</v>
      </c>
      <c r="V10291" s="1192">
        <v>63</v>
      </c>
    </row>
    <row r="10292" spans="1:22" s="1192" customFormat="1" ht="17.399999999999999" x14ac:dyDescent="0.3">
      <c r="A10292" s="1192" t="s">
        <v>181</v>
      </c>
      <c r="E10292" s="1746" t="s">
        <v>593</v>
      </c>
      <c r="F10292" s="1747"/>
      <c r="G10292" s="1747"/>
      <c r="H10292" s="1747"/>
      <c r="K10292" s="1192" t="s">
        <v>2442</v>
      </c>
      <c r="V10292" s="1192">
        <v>31</v>
      </c>
    </row>
    <row r="10293" spans="1:22" s="1192" customFormat="1" ht="14.4" x14ac:dyDescent="0.3">
      <c r="A10293" s="1192" t="s">
        <v>181</v>
      </c>
      <c r="E10293" s="1743" t="s">
        <v>2966</v>
      </c>
      <c r="F10293" s="1743"/>
      <c r="G10293" s="1743"/>
      <c r="H10293" s="1743"/>
      <c r="K10293" s="1192" t="s">
        <v>2442</v>
      </c>
      <c r="V10293" s="1192">
        <v>286</v>
      </c>
    </row>
    <row r="10294" spans="1:22" s="1192" customFormat="1" ht="14.4" x14ac:dyDescent="0.3">
      <c r="A10294" s="1192" t="s">
        <v>181</v>
      </c>
      <c r="E10294" s="1750" t="s">
        <v>2389</v>
      </c>
      <c r="F10294" s="1743"/>
      <c r="G10294" s="1743"/>
      <c r="H10294" s="1743"/>
      <c r="K10294" s="1192" t="s">
        <v>2444</v>
      </c>
      <c r="V10294" s="1192">
        <v>11</v>
      </c>
    </row>
    <row r="10295" spans="1:22" s="1192" customFormat="1" ht="14.4" x14ac:dyDescent="0.3">
      <c r="A10295" s="1192" t="s">
        <v>181</v>
      </c>
      <c r="E10295" s="1743" t="s">
        <v>2391</v>
      </c>
      <c r="F10295" s="1743"/>
      <c r="G10295" s="1743"/>
      <c r="H10295" s="1743"/>
      <c r="K10295" s="1192" t="s">
        <v>2442</v>
      </c>
      <c r="V10295" s="1192">
        <v>280</v>
      </c>
    </row>
    <row r="10296" spans="1:22" s="1192" customFormat="1" ht="14.4" x14ac:dyDescent="0.3">
      <c r="A10296" s="1192" t="s">
        <v>181</v>
      </c>
      <c r="E10296" s="1743" t="s">
        <v>2392</v>
      </c>
      <c r="F10296" s="1743"/>
      <c r="G10296" s="1743"/>
      <c r="H10296" s="1743"/>
      <c r="K10296" s="1192" t="s">
        <v>2442</v>
      </c>
      <c r="V10296" s="1192">
        <v>411</v>
      </c>
    </row>
    <row r="10297" spans="1:22" s="1192" customFormat="1" ht="14.4" x14ac:dyDescent="0.3">
      <c r="A10297" s="1192" t="s">
        <v>181</v>
      </c>
      <c r="E10297" s="1743" t="s">
        <v>2445</v>
      </c>
      <c r="F10297" s="1743"/>
      <c r="G10297" s="1743"/>
      <c r="H10297" s="1743"/>
      <c r="K10297" s="1192" t="s">
        <v>2442</v>
      </c>
      <c r="V10297" s="1192">
        <v>211</v>
      </c>
    </row>
    <row r="10298" spans="1:22" s="1192" customFormat="1" ht="14.4" x14ac:dyDescent="0.3">
      <c r="A10298" s="1192" t="s">
        <v>181</v>
      </c>
      <c r="E10298" s="1743" t="s">
        <v>4500</v>
      </c>
      <c r="F10298" s="1743"/>
      <c r="G10298" s="1743"/>
      <c r="H10298" s="1743"/>
      <c r="K10298" s="1192" t="s">
        <v>2442</v>
      </c>
      <c r="V10298" s="1192">
        <v>247</v>
      </c>
    </row>
    <row r="10299" spans="1:22" s="1192" customFormat="1" ht="14.4" x14ac:dyDescent="0.3">
      <c r="A10299" s="1192" t="s">
        <v>181</v>
      </c>
      <c r="E10299" s="1750" t="s">
        <v>2394</v>
      </c>
      <c r="F10299" s="2037"/>
      <c r="G10299" s="2037"/>
      <c r="H10299" s="2037"/>
      <c r="K10299" s="1192" t="s">
        <v>2446</v>
      </c>
      <c r="V10299" s="1192">
        <v>46</v>
      </c>
    </row>
    <row r="10300" spans="1:22" s="1192" customFormat="1" ht="14.4" x14ac:dyDescent="0.3">
      <c r="A10300" s="1192" t="s">
        <v>181</v>
      </c>
      <c r="E10300" s="1741" t="s">
        <v>7</v>
      </c>
      <c r="F10300" s="1741"/>
      <c r="G10300" s="1277" t="s">
        <v>19</v>
      </c>
      <c r="H10300" s="1218">
        <v>10</v>
      </c>
      <c r="K10300" s="1192" t="s">
        <v>2442</v>
      </c>
      <c r="L10300" s="1192" t="s">
        <v>430</v>
      </c>
      <c r="P10300" s="1192" t="s">
        <v>2447</v>
      </c>
      <c r="V10300" s="1192">
        <v>14</v>
      </c>
    </row>
    <row r="10301" spans="1:22" s="1192" customFormat="1" x14ac:dyDescent="0.3">
      <c r="A10301" s="1192" t="s">
        <v>181</v>
      </c>
      <c r="E10301" s="2170" t="s">
        <v>81</v>
      </c>
      <c r="F10301" s="1999"/>
      <c r="G10301" s="1999"/>
      <c r="H10301" s="1999"/>
      <c r="K10301" s="1192" t="s">
        <v>3366</v>
      </c>
      <c r="V10301" s="1192">
        <v>10</v>
      </c>
    </row>
    <row r="10302" spans="1:22" s="1192" customFormat="1" ht="14.4" x14ac:dyDescent="0.3">
      <c r="A10302" s="1192" t="s">
        <v>181</v>
      </c>
      <c r="E10302" s="1741" t="s">
        <v>2449</v>
      </c>
      <c r="F10302" s="1741"/>
      <c r="G10302" s="1277" t="s">
        <v>29</v>
      </c>
      <c r="H10302" s="1219">
        <v>-0.6</v>
      </c>
      <c r="V10302" s="1192">
        <v>68</v>
      </c>
    </row>
    <row r="10303" spans="1:22" s="1192" customFormat="1" ht="14.4" x14ac:dyDescent="0.3">
      <c r="A10303" s="1192" t="s">
        <v>181</v>
      </c>
      <c r="E10303" s="1741" t="s">
        <v>2450</v>
      </c>
      <c r="F10303" s="1741"/>
      <c r="G10303" s="1277" t="s">
        <v>82</v>
      </c>
      <c r="H10303" s="1218">
        <v>-1</v>
      </c>
      <c r="V10303" s="1192">
        <v>87</v>
      </c>
    </row>
    <row r="10304" spans="1:22" s="1192" customFormat="1" x14ac:dyDescent="0.3">
      <c r="A10304" s="1192" t="s">
        <v>181</v>
      </c>
      <c r="E10304" s="1746" t="s">
        <v>83</v>
      </c>
      <c r="F10304" s="1999"/>
      <c r="G10304" s="1999"/>
      <c r="H10304" s="1999"/>
      <c r="K10304" s="1192" t="s">
        <v>3367</v>
      </c>
      <c r="V10304" s="1192">
        <v>24</v>
      </c>
    </row>
    <row r="10305" spans="1:22" s="1192" customFormat="1" ht="14.4" x14ac:dyDescent="0.3">
      <c r="A10305" s="1192" t="s">
        <v>181</v>
      </c>
      <c r="E10305" s="1743" t="s">
        <v>2391</v>
      </c>
      <c r="F10305" s="1743"/>
      <c r="G10305" s="1743"/>
      <c r="H10305" s="1743"/>
      <c r="V10305" s="1192">
        <v>280</v>
      </c>
    </row>
    <row r="10306" spans="1:22" s="1192" customFormat="1" ht="14.4" x14ac:dyDescent="0.3">
      <c r="A10306" s="1192" t="s">
        <v>181</v>
      </c>
      <c r="E10306" s="1743" t="s">
        <v>2452</v>
      </c>
      <c r="F10306" s="1743"/>
      <c r="G10306" s="1743"/>
      <c r="H10306" s="1743"/>
      <c r="V10306" s="1192">
        <v>353</v>
      </c>
    </row>
    <row r="10307" spans="1:22" s="1192" customFormat="1" ht="14.4" x14ac:dyDescent="0.3">
      <c r="A10307" s="1192" t="s">
        <v>181</v>
      </c>
      <c r="E10307" s="1743" t="s">
        <v>4500</v>
      </c>
      <c r="F10307" s="1743"/>
      <c r="G10307" s="1743"/>
      <c r="H10307" s="1743"/>
      <c r="V10307" s="1192">
        <v>247</v>
      </c>
    </row>
    <row r="10308" spans="1:22" s="1192" customFormat="1" ht="14.4" x14ac:dyDescent="0.3">
      <c r="A10308" s="1192" t="s">
        <v>181</v>
      </c>
      <c r="E10308" s="1750" t="s">
        <v>2453</v>
      </c>
      <c r="F10308" s="1998"/>
      <c r="G10308" s="1998"/>
      <c r="H10308" s="1998"/>
      <c r="K10308" s="1192" t="s">
        <v>3368</v>
      </c>
      <c r="V10308" s="1192">
        <v>23</v>
      </c>
    </row>
    <row r="10309" spans="1:22" s="1192" customFormat="1" ht="14.4" x14ac:dyDescent="0.3">
      <c r="A10309" s="1192" t="s">
        <v>181</v>
      </c>
      <c r="E10309" s="1942" t="s">
        <v>2639</v>
      </c>
      <c r="F10309" s="1942"/>
      <c r="G10309" s="1277" t="s">
        <v>19</v>
      </c>
      <c r="H10309" s="1218">
        <v>15</v>
      </c>
      <c r="V10309" s="1192">
        <v>19</v>
      </c>
    </row>
    <row r="10310" spans="1:22" s="1192" customFormat="1" ht="14.4" x14ac:dyDescent="0.3">
      <c r="A10310" s="1192" t="s">
        <v>181</v>
      </c>
      <c r="E10310" s="1942" t="s">
        <v>4611</v>
      </c>
      <c r="F10310" s="1942"/>
      <c r="G10310" s="1277" t="s">
        <v>19</v>
      </c>
      <c r="H10310" s="1218">
        <v>15</v>
      </c>
      <c r="V10310" s="1192">
        <v>36</v>
      </c>
    </row>
    <row r="10311" spans="1:22" s="1192" customFormat="1" ht="14.4" x14ac:dyDescent="0.3">
      <c r="A10311" s="1192" t="s">
        <v>181</v>
      </c>
      <c r="E10311" s="1942" t="s">
        <v>2459</v>
      </c>
      <c r="F10311" s="1942"/>
      <c r="G10311" s="1277" t="s">
        <v>19</v>
      </c>
      <c r="H10311" s="1218">
        <v>15</v>
      </c>
      <c r="V10311" s="1192">
        <v>37</v>
      </c>
    </row>
    <row r="10312" spans="1:22" s="1192" customFormat="1" ht="14.4" x14ac:dyDescent="0.3">
      <c r="A10312" s="1192" t="s">
        <v>181</v>
      </c>
      <c r="E10312" s="1942" t="s">
        <v>2461</v>
      </c>
      <c r="F10312" s="1942"/>
      <c r="G10312" s="1277" t="s">
        <v>19</v>
      </c>
      <c r="H10312" s="1218">
        <v>15</v>
      </c>
      <c r="V10312" s="1192">
        <v>17</v>
      </c>
    </row>
    <row r="10313" spans="1:22" s="1192" customFormat="1" ht="14.4" x14ac:dyDescent="0.3">
      <c r="A10313" s="1192" t="s">
        <v>181</v>
      </c>
      <c r="E10313" s="1942" t="s">
        <v>119</v>
      </c>
      <c r="F10313" s="1942"/>
      <c r="G10313" s="1277" t="s">
        <v>19</v>
      </c>
      <c r="H10313" s="1218">
        <v>15</v>
      </c>
      <c r="V10313" s="1192">
        <v>35</v>
      </c>
    </row>
    <row r="10314" spans="1:22" s="1192" customFormat="1" ht="14.4" x14ac:dyDescent="0.3">
      <c r="A10314" s="1192" t="s">
        <v>181</v>
      </c>
      <c r="E10314" s="1942" t="s">
        <v>2467</v>
      </c>
      <c r="F10314" s="1942"/>
      <c r="G10314" s="1277" t="s">
        <v>19</v>
      </c>
      <c r="H10314" s="1218">
        <v>15</v>
      </c>
      <c r="V10314" s="1192">
        <v>19</v>
      </c>
    </row>
    <row r="10315" spans="1:22" s="1192" customFormat="1" ht="14.4" x14ac:dyDescent="0.3">
      <c r="A10315" s="1192" t="s">
        <v>181</v>
      </c>
      <c r="E10315" s="1942" t="s">
        <v>84</v>
      </c>
      <c r="F10315" s="1942"/>
      <c r="G10315" s="1277" t="s">
        <v>19</v>
      </c>
      <c r="H10315" s="1218">
        <v>30</v>
      </c>
      <c r="V10315" s="1192">
        <v>89</v>
      </c>
    </row>
    <row r="10316" spans="1:22" s="1192" customFormat="1" ht="14.4" x14ac:dyDescent="0.3">
      <c r="A10316" s="1192" t="s">
        <v>181</v>
      </c>
      <c r="E10316" s="1942" t="s">
        <v>90</v>
      </c>
      <c r="F10316" s="1942"/>
      <c r="G10316" s="1277" t="s">
        <v>19</v>
      </c>
      <c r="H10316" s="1218">
        <v>30</v>
      </c>
      <c r="V10316" s="1192">
        <v>19</v>
      </c>
    </row>
    <row r="10317" spans="1:22" s="1192" customFormat="1" ht="14.4" x14ac:dyDescent="0.3">
      <c r="A10317" s="1192" t="s">
        <v>181</v>
      </c>
      <c r="E10317" s="1942" t="s">
        <v>88</v>
      </c>
      <c r="F10317" s="1942"/>
      <c r="G10317" s="1277" t="s">
        <v>19</v>
      </c>
      <c r="H10317" s="1218">
        <v>30</v>
      </c>
      <c r="V10317" s="1192">
        <v>74</v>
      </c>
    </row>
    <row r="10318" spans="1:22" s="1192" customFormat="1" ht="14.4" x14ac:dyDescent="0.3">
      <c r="A10318" s="1192" t="s">
        <v>181</v>
      </c>
      <c r="E10318" s="1750" t="s">
        <v>2468</v>
      </c>
      <c r="F10318" s="1998"/>
      <c r="G10318" s="1998"/>
      <c r="H10318" s="1998"/>
      <c r="K10318" s="1192" t="s">
        <v>6589</v>
      </c>
      <c r="V10318" s="1192">
        <v>22</v>
      </c>
    </row>
    <row r="10319" spans="1:22" s="1192" customFormat="1" ht="14.4" x14ac:dyDescent="0.3">
      <c r="A10319" s="1192" t="s">
        <v>181</v>
      </c>
      <c r="E10319" s="1942" t="s">
        <v>3918</v>
      </c>
      <c r="F10319" s="1942"/>
      <c r="G10319" s="1277"/>
      <c r="H10319" s="837"/>
      <c r="V10319" s="1192">
        <v>24</v>
      </c>
    </row>
    <row r="10320" spans="1:22" s="1192" customFormat="1" ht="14.4" x14ac:dyDescent="0.3">
      <c r="A10320" s="1192" t="s">
        <v>181</v>
      </c>
      <c r="E10320" s="1942" t="s">
        <v>6195</v>
      </c>
      <c r="F10320" s="1942"/>
      <c r="G10320" s="1277" t="s">
        <v>82</v>
      </c>
      <c r="H10320" s="1218">
        <v>1.5</v>
      </c>
      <c r="V10320" s="1192">
        <v>74</v>
      </c>
    </row>
    <row r="10321" spans="1:22" s="1192" customFormat="1" ht="14.4" x14ac:dyDescent="0.3">
      <c r="A10321" s="1192" t="s">
        <v>181</v>
      </c>
      <c r="E10321" s="1942" t="s">
        <v>6106</v>
      </c>
      <c r="F10321" s="1942"/>
      <c r="G10321" s="1277" t="s">
        <v>19</v>
      </c>
      <c r="H10321" s="1218">
        <v>65</v>
      </c>
      <c r="V10321" s="1192">
        <v>44</v>
      </c>
    </row>
    <row r="10322" spans="1:22" s="1192" customFormat="1" ht="14.4" x14ac:dyDescent="0.3">
      <c r="A10322" s="1192" t="s">
        <v>181</v>
      </c>
      <c r="E10322" s="1942" t="s">
        <v>6107</v>
      </c>
      <c r="F10322" s="1942"/>
      <c r="G10322" s="1277" t="s">
        <v>19</v>
      </c>
      <c r="H10322" s="1218">
        <v>185</v>
      </c>
      <c r="V10322" s="1192">
        <v>43</v>
      </c>
    </row>
    <row r="10323" spans="1:22" s="1192" customFormat="1" ht="14.4" x14ac:dyDescent="0.3">
      <c r="A10323" s="1192" t="s">
        <v>181</v>
      </c>
      <c r="E10323" s="1942" t="s">
        <v>6108</v>
      </c>
      <c r="F10323" s="1942"/>
      <c r="G10323" s="1277" t="s">
        <v>19</v>
      </c>
      <c r="H10323" s="1218">
        <v>185</v>
      </c>
      <c r="V10323" s="1192">
        <v>43</v>
      </c>
    </row>
    <row r="10324" spans="1:22" s="1192" customFormat="1" ht="14.4" x14ac:dyDescent="0.3">
      <c r="A10324" s="1192" t="s">
        <v>181</v>
      </c>
      <c r="E10324" s="1942" t="s">
        <v>6115</v>
      </c>
      <c r="F10324" s="1942"/>
      <c r="G10324" s="1277" t="s">
        <v>19</v>
      </c>
      <c r="H10324" s="1218">
        <v>415</v>
      </c>
      <c r="V10324" s="1192">
        <v>42</v>
      </c>
    </row>
    <row r="10325" spans="1:22" s="1192" customFormat="1" ht="14.4" x14ac:dyDescent="0.3">
      <c r="A10325" s="1192" t="s">
        <v>181</v>
      </c>
      <c r="E10325" s="1750" t="s">
        <v>2474</v>
      </c>
      <c r="F10325" s="1998"/>
      <c r="G10325" s="1998"/>
      <c r="H10325" s="1998"/>
      <c r="V10325" s="1192">
        <v>5</v>
      </c>
    </row>
    <row r="10326" spans="1:22" s="1192" customFormat="1" ht="14.4" x14ac:dyDescent="0.3">
      <c r="A10326" s="1192" t="s">
        <v>181</v>
      </c>
      <c r="E10326" s="1942" t="s">
        <v>2703</v>
      </c>
      <c r="F10326" s="1942"/>
      <c r="G10326" s="1277" t="s">
        <v>19</v>
      </c>
      <c r="H10326" s="1218">
        <v>500</v>
      </c>
      <c r="V10326" s="1192">
        <v>64</v>
      </c>
    </row>
    <row r="10327" spans="1:22" s="1192" customFormat="1" ht="14.4" x14ac:dyDescent="0.3">
      <c r="A10327" s="1192" t="s">
        <v>181</v>
      </c>
      <c r="E10327" s="1942" t="s">
        <v>2758</v>
      </c>
      <c r="F10327" s="1942"/>
      <c r="G10327" s="1277" t="s">
        <v>19</v>
      </c>
      <c r="H10327" s="1218">
        <v>300</v>
      </c>
      <c r="V10327" s="1192">
        <v>67</v>
      </c>
    </row>
    <row r="10328" spans="1:22" s="1192" customFormat="1" ht="14.4" x14ac:dyDescent="0.3">
      <c r="A10328" s="1192" t="s">
        <v>181</v>
      </c>
      <c r="E10328" s="1942" t="s">
        <v>2759</v>
      </c>
      <c r="F10328" s="1942"/>
      <c r="G10328" s="1277" t="s">
        <v>19</v>
      </c>
      <c r="H10328" s="1218">
        <v>1000</v>
      </c>
      <c r="V10328" s="1192">
        <v>66</v>
      </c>
    </row>
    <row r="10329" spans="1:22" s="1192" customFormat="1" ht="14.4" x14ac:dyDescent="0.3">
      <c r="A10329" s="1192" t="s">
        <v>181</v>
      </c>
      <c r="E10329" s="1942" t="s">
        <v>2477</v>
      </c>
      <c r="F10329" s="1942"/>
      <c r="G10329" s="1277" t="s">
        <v>19</v>
      </c>
      <c r="H10329" s="1218">
        <v>30</v>
      </c>
      <c r="V10329" s="1192">
        <v>39</v>
      </c>
    </row>
    <row r="10330" spans="1:22" s="1192" customFormat="1" ht="14.4" x14ac:dyDescent="0.3">
      <c r="A10330" s="1192" t="s">
        <v>181</v>
      </c>
      <c r="E10330" s="1942" t="s">
        <v>2768</v>
      </c>
      <c r="F10330" s="1942"/>
      <c r="G10330" s="1277" t="s">
        <v>19</v>
      </c>
      <c r="H10330" s="1218">
        <v>44.5</v>
      </c>
      <c r="V10330" s="1192">
        <v>104</v>
      </c>
    </row>
    <row r="10331" spans="1:22" s="1192" customFormat="1" x14ac:dyDescent="0.3">
      <c r="A10331" s="1192" t="s">
        <v>181</v>
      </c>
      <c r="E10331" s="1746" t="s">
        <v>73</v>
      </c>
      <c r="F10331" s="1999"/>
      <c r="G10331" s="1999"/>
      <c r="H10331" s="1999"/>
      <c r="K10331" s="1192" t="s">
        <v>3369</v>
      </c>
      <c r="V10331" s="1192">
        <v>38</v>
      </c>
    </row>
    <row r="10332" spans="1:22" s="1192" customFormat="1" ht="14.4" x14ac:dyDescent="0.3">
      <c r="A10332" s="1192" t="s">
        <v>181</v>
      </c>
      <c r="E10332" s="1743" t="s">
        <v>2391</v>
      </c>
      <c r="F10332" s="1743"/>
      <c r="G10332" s="1743"/>
      <c r="H10332" s="1743"/>
      <c r="V10332" s="1192">
        <v>280</v>
      </c>
    </row>
    <row r="10333" spans="1:22" s="1192" customFormat="1" ht="14.4" x14ac:dyDescent="0.3">
      <c r="A10333" s="1192" t="s">
        <v>181</v>
      </c>
      <c r="E10333" s="1743" t="s">
        <v>2392</v>
      </c>
      <c r="F10333" s="1743"/>
      <c r="G10333" s="1743"/>
      <c r="H10333" s="1743"/>
      <c r="V10333" s="1192">
        <v>411</v>
      </c>
    </row>
    <row r="10334" spans="1:22" s="1192" customFormat="1" ht="14.4" x14ac:dyDescent="0.3">
      <c r="A10334" s="1192" t="s">
        <v>181</v>
      </c>
      <c r="E10334" s="1743" t="s">
        <v>2445</v>
      </c>
      <c r="F10334" s="1743"/>
      <c r="G10334" s="1743"/>
      <c r="H10334" s="1743"/>
      <c r="V10334" s="1192">
        <v>211</v>
      </c>
    </row>
    <row r="10335" spans="1:22" s="1192" customFormat="1" ht="14.4" x14ac:dyDescent="0.3">
      <c r="A10335" s="1192" t="s">
        <v>181</v>
      </c>
      <c r="E10335" s="1743" t="s">
        <v>4500</v>
      </c>
      <c r="F10335" s="1743"/>
      <c r="G10335" s="1743"/>
      <c r="H10335" s="1743"/>
      <c r="V10335" s="1192">
        <v>247</v>
      </c>
    </row>
    <row r="10336" spans="1:22" s="1192" customFormat="1" ht="14.4" x14ac:dyDescent="0.3">
      <c r="A10336" s="1192" t="s">
        <v>181</v>
      </c>
      <c r="E10336" s="1743" t="s">
        <v>2595</v>
      </c>
      <c r="F10336" s="1743"/>
      <c r="G10336" s="1743"/>
      <c r="H10336" s="1743"/>
      <c r="V10336" s="1192">
        <v>142</v>
      </c>
    </row>
    <row r="10337" spans="1:22" s="1192" customFormat="1" ht="14.4" x14ac:dyDescent="0.3">
      <c r="A10337" s="1192" t="s">
        <v>181</v>
      </c>
      <c r="E10337" s="1741" t="s">
        <v>2485</v>
      </c>
      <c r="F10337" s="1741"/>
      <c r="G10337" s="1266" t="s">
        <v>19</v>
      </c>
      <c r="H10337" s="358">
        <v>102</v>
      </c>
      <c r="V10337" s="1192">
        <v>106</v>
      </c>
    </row>
    <row r="10338" spans="1:22" s="1192" customFormat="1" ht="14.4" x14ac:dyDescent="0.3">
      <c r="A10338" s="1192" t="s">
        <v>181</v>
      </c>
      <c r="E10338" s="1741" t="s">
        <v>2486</v>
      </c>
      <c r="F10338" s="1741"/>
      <c r="G10338" s="1266" t="s">
        <v>19</v>
      </c>
      <c r="H10338" s="358">
        <v>40.799999999999997</v>
      </c>
      <c r="V10338" s="1192">
        <v>34</v>
      </c>
    </row>
    <row r="10339" spans="1:22" s="1192" customFormat="1" ht="14.4" x14ac:dyDescent="0.3">
      <c r="A10339" s="1192" t="s">
        <v>181</v>
      </c>
      <c r="E10339" s="1741" t="s">
        <v>2487</v>
      </c>
      <c r="F10339" s="1741"/>
      <c r="G10339" s="1266" t="s">
        <v>2488</v>
      </c>
      <c r="H10339" s="358">
        <v>1.02</v>
      </c>
      <c r="V10339" s="1192">
        <v>51</v>
      </c>
    </row>
    <row r="10340" spans="1:22" s="1192" customFormat="1" ht="14.4" x14ac:dyDescent="0.3">
      <c r="A10340" s="1192" t="s">
        <v>181</v>
      </c>
      <c r="E10340" s="1741" t="s">
        <v>2489</v>
      </c>
      <c r="F10340" s="1741"/>
      <c r="G10340" s="1266" t="s">
        <v>2488</v>
      </c>
      <c r="H10340" s="358">
        <v>0.61</v>
      </c>
      <c r="V10340" s="1192">
        <v>75</v>
      </c>
    </row>
    <row r="10341" spans="1:22" s="1192" customFormat="1" ht="14.4" x14ac:dyDescent="0.3">
      <c r="A10341" s="1192" t="s">
        <v>181</v>
      </c>
      <c r="E10341" s="1741" t="s">
        <v>2490</v>
      </c>
      <c r="F10341" s="1741"/>
      <c r="G10341" s="1266" t="s">
        <v>2488</v>
      </c>
      <c r="H10341" s="358">
        <v>-0.61</v>
      </c>
      <c r="V10341" s="1192">
        <v>72</v>
      </c>
    </row>
    <row r="10342" spans="1:22" s="1192" customFormat="1" ht="14.4" x14ac:dyDescent="0.3">
      <c r="A10342" s="1192" t="s">
        <v>181</v>
      </c>
      <c r="E10342" s="1941" t="s">
        <v>2596</v>
      </c>
      <c r="F10342" s="1941"/>
      <c r="G10342" s="2042"/>
      <c r="H10342" s="2042"/>
      <c r="V10342" s="1192">
        <v>34</v>
      </c>
    </row>
    <row r="10343" spans="1:22" s="1192" customFormat="1" ht="14.4" x14ac:dyDescent="0.3">
      <c r="A10343" s="1192" t="s">
        <v>181</v>
      </c>
      <c r="E10343" s="1941" t="s">
        <v>2492</v>
      </c>
      <c r="F10343" s="1941"/>
      <c r="G10343" s="1266" t="s">
        <v>19</v>
      </c>
      <c r="H10343" s="358">
        <v>0.51</v>
      </c>
      <c r="V10343" s="1192">
        <v>57</v>
      </c>
    </row>
    <row r="10344" spans="1:22" s="1192" customFormat="1" ht="14.4" x14ac:dyDescent="0.3">
      <c r="A10344" s="1192" t="s">
        <v>181</v>
      </c>
      <c r="E10344" s="1941" t="s">
        <v>2493</v>
      </c>
      <c r="F10344" s="1941"/>
      <c r="G10344" s="1266" t="s">
        <v>19</v>
      </c>
      <c r="H10344" s="358">
        <v>1.02</v>
      </c>
      <c r="V10344" s="1192">
        <v>60</v>
      </c>
    </row>
    <row r="10345" spans="1:22" s="1192" customFormat="1" ht="14.4" x14ac:dyDescent="0.3">
      <c r="A10345" s="1192" t="s">
        <v>181</v>
      </c>
      <c r="E10345" s="1741" t="s">
        <v>2494</v>
      </c>
      <c r="F10345" s="1741"/>
      <c r="G10345" s="1998"/>
      <c r="H10345" s="1998"/>
      <c r="V10345" s="1192">
        <v>91</v>
      </c>
    </row>
    <row r="10346" spans="1:22" s="1192" customFormat="1" ht="14.4" x14ac:dyDescent="0.3">
      <c r="A10346" s="1192" t="s">
        <v>181</v>
      </c>
      <c r="E10346" s="1741" t="s">
        <v>2495</v>
      </c>
      <c r="F10346" s="1741"/>
      <c r="G10346" s="1998"/>
      <c r="H10346" s="1998"/>
      <c r="V10346" s="1192">
        <v>96</v>
      </c>
    </row>
    <row r="10347" spans="1:22" s="1192" customFormat="1" ht="14.4" x14ac:dyDescent="0.3">
      <c r="A10347" s="1192" t="s">
        <v>181</v>
      </c>
      <c r="E10347" s="1941" t="s">
        <v>2597</v>
      </c>
      <c r="F10347" s="1941"/>
      <c r="G10347" s="2042"/>
      <c r="H10347" s="2042"/>
      <c r="V10347" s="1192">
        <v>77</v>
      </c>
    </row>
    <row r="10348" spans="1:22" s="1192" customFormat="1" ht="14.4" x14ac:dyDescent="0.3">
      <c r="A10348" s="1192" t="s">
        <v>181</v>
      </c>
      <c r="E10348" s="1941" t="s">
        <v>2497</v>
      </c>
      <c r="F10348" s="1941"/>
      <c r="G10348" s="1266" t="s">
        <v>19</v>
      </c>
      <c r="H10348" s="899" t="s">
        <v>2498</v>
      </c>
      <c r="V10348" s="1192">
        <v>18</v>
      </c>
    </row>
    <row r="10349" spans="1:22" s="1192" customFormat="1" ht="14.4" x14ac:dyDescent="0.3">
      <c r="A10349" s="1192" t="s">
        <v>181</v>
      </c>
      <c r="E10349" s="1941" t="s">
        <v>2499</v>
      </c>
      <c r="F10349" s="1941"/>
      <c r="G10349" s="1266" t="s">
        <v>19</v>
      </c>
      <c r="H10349" s="358">
        <v>4.08</v>
      </c>
      <c r="V10349" s="1192">
        <v>69</v>
      </c>
    </row>
    <row r="10350" spans="1:22" s="1192" customFormat="1" ht="14.4" x14ac:dyDescent="0.3">
      <c r="A10350" s="1192" t="s">
        <v>181</v>
      </c>
      <c r="E10350" s="1741" t="s">
        <v>4608</v>
      </c>
      <c r="F10350" s="1741"/>
      <c r="G10350" s="1277" t="s">
        <v>19</v>
      </c>
      <c r="H10350" s="1218">
        <v>2.04</v>
      </c>
      <c r="V10350" s="1192">
        <v>199</v>
      </c>
    </row>
    <row r="10351" spans="1:22" s="1192" customFormat="1" x14ac:dyDescent="0.3">
      <c r="A10351" s="1192" t="s">
        <v>181</v>
      </c>
      <c r="E10351" s="1746" t="s">
        <v>143</v>
      </c>
      <c r="F10351" s="1999"/>
      <c r="G10351" s="1999"/>
      <c r="H10351" s="1999"/>
      <c r="K10351" s="1192" t="s">
        <v>3370</v>
      </c>
      <c r="V10351" s="1192">
        <v>12</v>
      </c>
    </row>
    <row r="10352" spans="1:22" s="1192" customFormat="1" ht="14.4" x14ac:dyDescent="0.3">
      <c r="A10352" s="1192" t="s">
        <v>181</v>
      </c>
      <c r="E10352" s="1741" t="s">
        <v>2501</v>
      </c>
      <c r="F10352" s="1741"/>
      <c r="G10352" s="1741"/>
      <c r="H10352" s="1741"/>
      <c r="V10352" s="1192">
        <v>203</v>
      </c>
    </row>
    <row r="10353" spans="1:22" s="1192" customFormat="1" ht="14.4" x14ac:dyDescent="0.3">
      <c r="A10353" s="1192" t="s">
        <v>181</v>
      </c>
      <c r="E10353" s="1741" t="s">
        <v>2599</v>
      </c>
      <c r="F10353" s="1741"/>
      <c r="G10353" s="1277"/>
      <c r="H10353" s="837">
        <v>1.0723</v>
      </c>
      <c r="V10353" s="1192">
        <v>57</v>
      </c>
    </row>
    <row r="10354" spans="1:22" s="1192" customFormat="1" ht="14.4" x14ac:dyDescent="0.3">
      <c r="A10354" s="1192" t="s">
        <v>181</v>
      </c>
      <c r="E10354" s="1741" t="s">
        <v>2601</v>
      </c>
      <c r="F10354" s="1741"/>
      <c r="G10354" s="1277"/>
      <c r="H10354" s="837">
        <v>1.0617000000000001</v>
      </c>
      <c r="J10354" s="1192" t="s">
        <v>4612</v>
      </c>
      <c r="V10354" s="1192">
        <v>55</v>
      </c>
    </row>
    <row r="10355" spans="1:22" s="1192" customFormat="1" ht="22.8" x14ac:dyDescent="0.3">
      <c r="A10355" s="1192" t="s">
        <v>429</v>
      </c>
      <c r="C10355" s="1192" t="s">
        <v>2378</v>
      </c>
      <c r="E10355" s="1752" t="s">
        <v>429</v>
      </c>
      <c r="F10355" s="1752"/>
      <c r="G10355" s="1752"/>
      <c r="H10355" s="1752"/>
      <c r="I10355" s="1192" t="s">
        <v>603</v>
      </c>
      <c r="J10355" s="1192" t="s">
        <v>3224</v>
      </c>
      <c r="K10355" s="1192" t="s">
        <v>429</v>
      </c>
      <c r="M10355" s="1192">
        <v>9</v>
      </c>
      <c r="V10355" s="1192">
        <v>30</v>
      </c>
    </row>
    <row r="10356" spans="1:22" s="1192" customFormat="1" ht="17.399999999999999" x14ac:dyDescent="0.3">
      <c r="A10356" s="1192" t="s">
        <v>429</v>
      </c>
      <c r="C10356" s="1192" t="s">
        <v>2380</v>
      </c>
      <c r="E10356" s="1753" t="s">
        <v>2381</v>
      </c>
      <c r="F10356" s="1753"/>
      <c r="G10356" s="1753"/>
      <c r="H10356" s="1753"/>
      <c r="V10356" s="1192">
        <v>27</v>
      </c>
    </row>
    <row r="10357" spans="1:22" s="1192" customFormat="1" ht="15.6" x14ac:dyDescent="0.3">
      <c r="A10357" s="1192" t="s">
        <v>429</v>
      </c>
      <c r="C10357" s="1192" t="s">
        <v>2382</v>
      </c>
      <c r="E10357" s="1754" t="s">
        <v>6482</v>
      </c>
      <c r="F10357" s="1754"/>
      <c r="G10357" s="1754"/>
      <c r="H10357" s="1754"/>
      <c r="S10357" s="1192">
        <v>43952</v>
      </c>
      <c r="V10357" s="1192">
        <v>45</v>
      </c>
    </row>
    <row r="10358" spans="1:22" s="1192" customFormat="1" ht="14.4" x14ac:dyDescent="0.3">
      <c r="A10358" s="1192" t="s">
        <v>429</v>
      </c>
      <c r="C10358" s="1192" t="s">
        <v>2383</v>
      </c>
      <c r="E10358" s="1755" t="s">
        <v>2384</v>
      </c>
      <c r="F10358" s="1755"/>
      <c r="G10358" s="1755"/>
      <c r="H10358" s="1755"/>
      <c r="V10358" s="1192">
        <v>52</v>
      </c>
    </row>
    <row r="10359" spans="1:22" s="1192" customFormat="1" ht="14.4" x14ac:dyDescent="0.3">
      <c r="A10359" s="1192" t="s">
        <v>429</v>
      </c>
      <c r="E10359" s="1755" t="s">
        <v>2385</v>
      </c>
      <c r="F10359" s="1755"/>
      <c r="G10359" s="1755"/>
      <c r="H10359" s="1755"/>
      <c r="V10359" s="1192">
        <v>53</v>
      </c>
    </row>
    <row r="10360" spans="1:22" s="1192" customFormat="1" ht="14.4" x14ac:dyDescent="0.3">
      <c r="A10360" s="1192" t="s">
        <v>429</v>
      </c>
      <c r="E10360" s="1772" t="s">
        <v>6590</v>
      </c>
      <c r="F10360" s="1772"/>
      <c r="G10360" s="1772"/>
      <c r="H10360" s="1772"/>
      <c r="K10360" s="1192" t="s">
        <v>6590</v>
      </c>
      <c r="V10360" s="1192">
        <v>12</v>
      </c>
    </row>
    <row r="10361" spans="1:22" s="1192" customFormat="1" ht="17.399999999999999" x14ac:dyDescent="0.3">
      <c r="A10361" s="1192" t="s">
        <v>429</v>
      </c>
      <c r="E10361" s="2017" t="s">
        <v>427</v>
      </c>
      <c r="F10361" s="1988"/>
      <c r="G10361" s="1988"/>
      <c r="H10361" s="1988"/>
      <c r="K10361" s="1192" t="s">
        <v>2506</v>
      </c>
      <c r="V10361" s="1192">
        <v>34</v>
      </c>
    </row>
    <row r="10362" spans="1:22" s="1192" customFormat="1" ht="14.4" x14ac:dyDescent="0.3">
      <c r="A10362" s="1192" t="s">
        <v>429</v>
      </c>
      <c r="E10362" s="1743" t="s">
        <v>3225</v>
      </c>
      <c r="F10362" s="1743"/>
      <c r="G10362" s="1743"/>
      <c r="H10362" s="1743"/>
      <c r="K10362" s="1192" t="s">
        <v>2506</v>
      </c>
      <c r="V10362" s="1192">
        <v>635</v>
      </c>
    </row>
    <row r="10363" spans="1:22" s="1192" customFormat="1" ht="14.4" x14ac:dyDescent="0.3">
      <c r="A10363" s="1192" t="s">
        <v>429</v>
      </c>
      <c r="E10363" s="1743" t="s">
        <v>3226</v>
      </c>
      <c r="F10363" s="1743"/>
      <c r="G10363" s="1743"/>
      <c r="H10363" s="1743"/>
      <c r="K10363" s="1192" t="s">
        <v>2506</v>
      </c>
      <c r="V10363" s="1192">
        <v>789</v>
      </c>
    </row>
    <row r="10364" spans="1:22" s="1192" customFormat="1" ht="14.4" x14ac:dyDescent="0.3">
      <c r="A10364" s="1192" t="s">
        <v>429</v>
      </c>
      <c r="E10364" s="2018" t="s">
        <v>2389</v>
      </c>
      <c r="F10364" s="1988"/>
      <c r="G10364" s="1988"/>
      <c r="H10364" s="1988"/>
      <c r="K10364" s="1192" t="s">
        <v>2390</v>
      </c>
      <c r="V10364" s="1192">
        <v>11</v>
      </c>
    </row>
    <row r="10365" spans="1:22" s="1192" customFormat="1" ht="14.4" x14ac:dyDescent="0.3">
      <c r="A10365" s="1192" t="s">
        <v>429</v>
      </c>
      <c r="E10365" s="1743" t="s">
        <v>2391</v>
      </c>
      <c r="F10365" s="1743"/>
      <c r="G10365" s="1743"/>
      <c r="H10365" s="1743"/>
      <c r="K10365" s="1192" t="s">
        <v>2506</v>
      </c>
      <c r="V10365" s="1192">
        <v>280</v>
      </c>
    </row>
    <row r="10366" spans="1:22" s="1192" customFormat="1" ht="14.4" x14ac:dyDescent="0.3">
      <c r="A10366" s="1192" t="s">
        <v>429</v>
      </c>
      <c r="E10366" s="1743" t="s">
        <v>2392</v>
      </c>
      <c r="F10366" s="1743"/>
      <c r="G10366" s="1743"/>
      <c r="H10366" s="1743"/>
      <c r="K10366" s="1192" t="s">
        <v>2506</v>
      </c>
      <c r="V10366" s="1192">
        <v>411</v>
      </c>
    </row>
    <row r="10367" spans="1:22" s="1192" customFormat="1" ht="14.4" x14ac:dyDescent="0.3">
      <c r="A10367" s="1192" t="s">
        <v>429</v>
      </c>
      <c r="E10367" s="1743" t="s">
        <v>2393</v>
      </c>
      <c r="F10367" s="1743"/>
      <c r="G10367" s="1743"/>
      <c r="H10367" s="1743"/>
      <c r="K10367" s="1192" t="s">
        <v>2506</v>
      </c>
      <c r="V10367" s="1192">
        <v>387</v>
      </c>
    </row>
    <row r="10368" spans="1:22" s="1192" customFormat="1" ht="14.4" x14ac:dyDescent="0.3">
      <c r="A10368" s="1192" t="s">
        <v>429</v>
      </c>
      <c r="E10368" s="1743" t="s">
        <v>4705</v>
      </c>
      <c r="F10368" s="1743"/>
      <c r="G10368" s="1743"/>
      <c r="H10368" s="1743"/>
      <c r="K10368" s="1192" t="s">
        <v>2506</v>
      </c>
      <c r="V10368" s="1192">
        <v>278</v>
      </c>
    </row>
    <row r="10369" spans="1:22" s="1192" customFormat="1" ht="14.4" x14ac:dyDescent="0.3">
      <c r="A10369" s="1192" t="s">
        <v>429</v>
      </c>
      <c r="E10369" s="2018" t="s">
        <v>2394</v>
      </c>
      <c r="F10369" s="1988"/>
      <c r="G10369" s="1988"/>
      <c r="H10369" s="1988"/>
      <c r="K10369" s="1192" t="s">
        <v>2395</v>
      </c>
      <c r="V10369" s="1192">
        <v>46</v>
      </c>
    </row>
    <row r="10370" spans="1:22" s="1192" customFormat="1" ht="14.4" x14ac:dyDescent="0.3">
      <c r="A10370" s="1192" t="s">
        <v>429</v>
      </c>
      <c r="E10370" s="1741" t="s">
        <v>7</v>
      </c>
      <c r="F10370" s="1741"/>
      <c r="G10370" s="1277" t="s">
        <v>19</v>
      </c>
      <c r="H10370" s="1218">
        <v>28.39</v>
      </c>
      <c r="K10370" s="1192" t="s">
        <v>2506</v>
      </c>
      <c r="L10370" s="1192" t="s">
        <v>430</v>
      </c>
      <c r="P10370" s="1192" t="s">
        <v>2510</v>
      </c>
      <c r="V10370" s="1192">
        <v>14</v>
      </c>
    </row>
    <row r="10371" spans="1:22" s="1192" customFormat="1" ht="14.4" x14ac:dyDescent="0.3">
      <c r="A10371" s="1192" t="s">
        <v>429</v>
      </c>
      <c r="E10371" s="1741" t="s">
        <v>3900</v>
      </c>
      <c r="F10371" s="1741"/>
      <c r="G10371" s="1277" t="s">
        <v>19</v>
      </c>
      <c r="H10371" s="1218">
        <v>0.56999999999999995</v>
      </c>
      <c r="K10371" s="1192" t="s">
        <v>2506</v>
      </c>
      <c r="L10371" s="1192" t="s">
        <v>431</v>
      </c>
      <c r="P10371" s="1192" t="s">
        <v>2511</v>
      </c>
      <c r="T10371" s="1192">
        <v>44926</v>
      </c>
      <c r="V10371" s="1192">
        <v>64</v>
      </c>
    </row>
    <row r="10372" spans="1:22" s="1192" customFormat="1" ht="14.4" x14ac:dyDescent="0.3">
      <c r="A10372" s="1192" t="s">
        <v>429</v>
      </c>
      <c r="E10372" s="1741" t="s">
        <v>14</v>
      </c>
      <c r="F10372" s="1741"/>
      <c r="G10372" s="1277" t="s">
        <v>20</v>
      </c>
      <c r="H10372" s="1219">
        <v>5.9999999999999995E-4</v>
      </c>
      <c r="K10372" s="1192" t="s">
        <v>2506</v>
      </c>
      <c r="L10372" s="1192" t="s">
        <v>431</v>
      </c>
      <c r="P10372" s="1192" t="s">
        <v>2513</v>
      </c>
      <c r="V10372" s="1192">
        <v>24</v>
      </c>
    </row>
    <row r="10373" spans="1:22" s="1192" customFormat="1" ht="14.4" x14ac:dyDescent="0.3">
      <c r="A10373" s="1192" t="s">
        <v>429</v>
      </c>
      <c r="E10373" s="1741" t="s">
        <v>213</v>
      </c>
      <c r="F10373" s="1741"/>
      <c r="G10373" s="1277" t="s">
        <v>20</v>
      </c>
      <c r="H10373" s="1219">
        <v>7.6E-3</v>
      </c>
      <c r="K10373" s="1192" t="s">
        <v>2506</v>
      </c>
      <c r="L10373" s="1192" t="s">
        <v>432</v>
      </c>
      <c r="P10373" s="1192" t="s">
        <v>2517</v>
      </c>
      <c r="V10373" s="1192">
        <v>47</v>
      </c>
    </row>
    <row r="10374" spans="1:22" s="1192" customFormat="1" ht="14.4" x14ac:dyDescent="0.3">
      <c r="A10374" s="1192" t="s">
        <v>429</v>
      </c>
      <c r="E10374" s="1741" t="s">
        <v>209</v>
      </c>
      <c r="F10374" s="1741"/>
      <c r="G10374" s="1277" t="s">
        <v>20</v>
      </c>
      <c r="H10374" s="1219">
        <v>6.6E-3</v>
      </c>
      <c r="K10374" s="1192" t="s">
        <v>2506</v>
      </c>
      <c r="L10374" s="1192" t="s">
        <v>432</v>
      </c>
      <c r="P10374" s="1192" t="s">
        <v>2518</v>
      </c>
      <c r="V10374" s="1192">
        <v>74</v>
      </c>
    </row>
    <row r="10375" spans="1:22" s="1192" customFormat="1" ht="14.4" x14ac:dyDescent="0.3">
      <c r="A10375" s="1192" t="s">
        <v>429</v>
      </c>
      <c r="E10375" s="1750" t="s">
        <v>2405</v>
      </c>
      <c r="F10375" s="1741"/>
      <c r="G10375" s="1277"/>
      <c r="H10375" s="896"/>
      <c r="K10375" s="1192" t="s">
        <v>2406</v>
      </c>
      <c r="V10375" s="1192">
        <v>48</v>
      </c>
    </row>
    <row r="10376" spans="1:22" s="1192" customFormat="1" ht="14.4" x14ac:dyDescent="0.3">
      <c r="A10376" s="1192" t="s">
        <v>429</v>
      </c>
      <c r="E10376" s="1741" t="s">
        <v>2033</v>
      </c>
      <c r="F10376" s="1741"/>
      <c r="G10376" s="1277" t="s">
        <v>20</v>
      </c>
      <c r="H10376" s="1219">
        <v>3.0000000000000001E-3</v>
      </c>
      <c r="K10376" s="1192" t="s">
        <v>2506</v>
      </c>
      <c r="L10376" s="1192" t="s">
        <v>2374</v>
      </c>
      <c r="P10376" s="1192" t="s">
        <v>2519</v>
      </c>
      <c r="V10376" s="1192">
        <v>55</v>
      </c>
    </row>
    <row r="10377" spans="1:22" s="1192" customFormat="1" ht="14.4" x14ac:dyDescent="0.3">
      <c r="A10377" s="1192" t="s">
        <v>429</v>
      </c>
      <c r="E10377" s="1741" t="s">
        <v>2034</v>
      </c>
      <c r="F10377" s="1741"/>
      <c r="G10377" s="1277" t="s">
        <v>20</v>
      </c>
      <c r="H10377" s="1219">
        <v>4.0000000000000002E-4</v>
      </c>
      <c r="K10377" s="1192" t="s">
        <v>2506</v>
      </c>
      <c r="L10377" s="1192" t="s">
        <v>2374</v>
      </c>
      <c r="P10377" s="1192" t="s">
        <v>2519</v>
      </c>
      <c r="V10377" s="1192">
        <v>65</v>
      </c>
    </row>
    <row r="10378" spans="1:22" s="1192" customFormat="1" ht="14.4" x14ac:dyDescent="0.3">
      <c r="A10378" s="1192" t="s">
        <v>429</v>
      </c>
      <c r="E10378" s="1741" t="s">
        <v>428</v>
      </c>
      <c r="F10378" s="1741"/>
      <c r="G10378" s="1277" t="s">
        <v>20</v>
      </c>
      <c r="H10378" s="1219">
        <v>5.0000000000000001E-4</v>
      </c>
      <c r="K10378" s="1192" t="s">
        <v>2506</v>
      </c>
      <c r="L10378" s="1192" t="s">
        <v>2374</v>
      </c>
      <c r="P10378" s="1192" t="s">
        <v>2520</v>
      </c>
      <c r="V10378" s="1192">
        <v>57</v>
      </c>
    </row>
    <row r="10379" spans="1:22" s="1192" customFormat="1" ht="14.4" x14ac:dyDescent="0.3">
      <c r="A10379" s="1192" t="s">
        <v>429</v>
      </c>
      <c r="E10379" s="1741" t="s">
        <v>28</v>
      </c>
      <c r="F10379" s="1741"/>
      <c r="G10379" s="1277" t="s">
        <v>19</v>
      </c>
      <c r="H10379" s="1218">
        <v>0.25</v>
      </c>
      <c r="K10379" s="1192" t="s">
        <v>2506</v>
      </c>
      <c r="L10379" s="1192" t="s">
        <v>2374</v>
      </c>
      <c r="P10379" s="1192" t="s">
        <v>2521</v>
      </c>
      <c r="V10379" s="1192">
        <v>63</v>
      </c>
    </row>
    <row r="10380" spans="1:22" s="1192" customFormat="1" ht="17.399999999999999" x14ac:dyDescent="0.3">
      <c r="A10380" s="1192" t="s">
        <v>429</v>
      </c>
      <c r="E10380" s="2017" t="s">
        <v>2522</v>
      </c>
      <c r="F10380" s="1987"/>
      <c r="G10380" s="1987"/>
      <c r="H10380" s="1987"/>
      <c r="K10380" s="1192" t="s">
        <v>3901</v>
      </c>
      <c r="V10380" s="1192">
        <v>54</v>
      </c>
    </row>
    <row r="10381" spans="1:22" s="1192" customFormat="1" ht="14.4" x14ac:dyDescent="0.3">
      <c r="A10381" s="1192" t="s">
        <v>429</v>
      </c>
      <c r="E10381" s="1743" t="s">
        <v>3227</v>
      </c>
      <c r="F10381" s="1743"/>
      <c r="G10381" s="1743"/>
      <c r="H10381" s="1743"/>
      <c r="K10381" s="1192" t="s">
        <v>3901</v>
      </c>
      <c r="V10381" s="1192">
        <v>391</v>
      </c>
    </row>
    <row r="10382" spans="1:22" s="1192" customFormat="1" ht="14.4" x14ac:dyDescent="0.3">
      <c r="A10382" s="1192" t="s">
        <v>429</v>
      </c>
      <c r="E10382" s="2018" t="s">
        <v>2389</v>
      </c>
      <c r="F10382" s="1988"/>
      <c r="G10382" s="1988"/>
      <c r="H10382" s="1988"/>
      <c r="K10382" s="1192" t="s">
        <v>2412</v>
      </c>
      <c r="V10382" s="1192">
        <v>11</v>
      </c>
    </row>
    <row r="10383" spans="1:22" s="1192" customFormat="1" ht="14.4" x14ac:dyDescent="0.3">
      <c r="A10383" s="1192" t="s">
        <v>429</v>
      </c>
      <c r="E10383" s="1743" t="s">
        <v>2391</v>
      </c>
      <c r="F10383" s="1743"/>
      <c r="G10383" s="1743"/>
      <c r="H10383" s="1743"/>
      <c r="K10383" s="1192" t="s">
        <v>3901</v>
      </c>
      <c r="V10383" s="1192">
        <v>280</v>
      </c>
    </row>
    <row r="10384" spans="1:22" s="1192" customFormat="1" ht="14.4" x14ac:dyDescent="0.3">
      <c r="A10384" s="1192" t="s">
        <v>429</v>
      </c>
      <c r="E10384" s="1743" t="s">
        <v>2392</v>
      </c>
      <c r="F10384" s="1743"/>
      <c r="G10384" s="1743"/>
      <c r="H10384" s="1743"/>
      <c r="K10384" s="1192" t="s">
        <v>3901</v>
      </c>
      <c r="V10384" s="1192">
        <v>411</v>
      </c>
    </row>
    <row r="10385" spans="1:22" s="1192" customFormat="1" ht="14.4" x14ac:dyDescent="0.3">
      <c r="A10385" s="1192" t="s">
        <v>429</v>
      </c>
      <c r="E10385" s="1743" t="s">
        <v>2393</v>
      </c>
      <c r="F10385" s="1743"/>
      <c r="G10385" s="1743"/>
      <c r="H10385" s="1743"/>
      <c r="K10385" s="1192" t="s">
        <v>3901</v>
      </c>
      <c r="V10385" s="1192">
        <v>387</v>
      </c>
    </row>
    <row r="10386" spans="1:22" s="1192" customFormat="1" ht="14.4" x14ac:dyDescent="0.3">
      <c r="A10386" s="1192" t="s">
        <v>429</v>
      </c>
      <c r="E10386" s="1743" t="s">
        <v>4705</v>
      </c>
      <c r="F10386" s="1743"/>
      <c r="G10386" s="1743"/>
      <c r="H10386" s="1743"/>
      <c r="K10386" s="1192" t="s">
        <v>3901</v>
      </c>
      <c r="V10386" s="1192">
        <v>278</v>
      </c>
    </row>
    <row r="10387" spans="1:22" s="1192" customFormat="1" ht="14.4" x14ac:dyDescent="0.3">
      <c r="A10387" s="1192" t="s">
        <v>429</v>
      </c>
      <c r="E10387" s="2018" t="s">
        <v>2394</v>
      </c>
      <c r="F10387" s="1988"/>
      <c r="G10387" s="1988"/>
      <c r="H10387" s="1988"/>
      <c r="K10387" s="1192" t="s">
        <v>2413</v>
      </c>
      <c r="V10387" s="1192">
        <v>46</v>
      </c>
    </row>
    <row r="10388" spans="1:22" s="1192" customFormat="1" ht="14.4" x14ac:dyDescent="0.3">
      <c r="A10388" s="1192" t="s">
        <v>429</v>
      </c>
      <c r="E10388" s="1741" t="s">
        <v>7</v>
      </c>
      <c r="F10388" s="1741"/>
      <c r="G10388" s="1277" t="s">
        <v>19</v>
      </c>
      <c r="H10388" s="1218">
        <v>17.46</v>
      </c>
      <c r="K10388" s="1192" t="s">
        <v>3901</v>
      </c>
      <c r="L10388" s="1192" t="s">
        <v>430</v>
      </c>
      <c r="P10388" s="1192" t="s">
        <v>3902</v>
      </c>
      <c r="V10388" s="1192">
        <v>14</v>
      </c>
    </row>
    <row r="10389" spans="1:22" s="1192" customFormat="1" ht="14.4" x14ac:dyDescent="0.3">
      <c r="A10389" s="1192" t="s">
        <v>429</v>
      </c>
      <c r="E10389" s="1741" t="s">
        <v>3900</v>
      </c>
      <c r="F10389" s="1741"/>
      <c r="G10389" s="1277" t="s">
        <v>19</v>
      </c>
      <c r="H10389" s="1218">
        <v>0.56999999999999995</v>
      </c>
      <c r="K10389" s="1192" t="s">
        <v>3901</v>
      </c>
      <c r="L10389" s="1192" t="s">
        <v>431</v>
      </c>
      <c r="P10389" s="1192" t="s">
        <v>3903</v>
      </c>
      <c r="T10389" s="1192">
        <v>44926</v>
      </c>
      <c r="V10389" s="1192">
        <v>64</v>
      </c>
    </row>
    <row r="10390" spans="1:22" s="1192" customFormat="1" ht="14.4" x14ac:dyDescent="0.3">
      <c r="A10390" s="1192" t="s">
        <v>429</v>
      </c>
      <c r="E10390" s="1741" t="s">
        <v>80</v>
      </c>
      <c r="F10390" s="1741"/>
      <c r="G10390" s="1277" t="s">
        <v>20</v>
      </c>
      <c r="H10390" s="1219">
        <v>1.84E-2</v>
      </c>
      <c r="K10390" s="1192" t="s">
        <v>3901</v>
      </c>
      <c r="L10390" s="1192" t="s">
        <v>430</v>
      </c>
      <c r="P10390" s="1192" t="s">
        <v>3904</v>
      </c>
      <c r="V10390" s="1192">
        <v>28</v>
      </c>
    </row>
    <row r="10391" spans="1:22" s="1192" customFormat="1" ht="14.4" x14ac:dyDescent="0.3">
      <c r="A10391" s="1192" t="s">
        <v>429</v>
      </c>
      <c r="E10391" s="1741" t="s">
        <v>14</v>
      </c>
      <c r="F10391" s="1741"/>
      <c r="G10391" s="1277" t="s">
        <v>20</v>
      </c>
      <c r="H10391" s="1219">
        <v>5.9999999999999995E-4</v>
      </c>
      <c r="K10391" s="1192" t="s">
        <v>3901</v>
      </c>
      <c r="L10391" s="1192" t="s">
        <v>431</v>
      </c>
      <c r="P10391" s="1192" t="s">
        <v>3905</v>
      </c>
      <c r="V10391" s="1192">
        <v>24</v>
      </c>
    </row>
    <row r="10392" spans="1:22" s="1192" customFormat="1" ht="14.4" x14ac:dyDescent="0.3">
      <c r="A10392" s="1192" t="s">
        <v>429</v>
      </c>
      <c r="E10392" s="1741" t="s">
        <v>213</v>
      </c>
      <c r="F10392" s="1741"/>
      <c r="G10392" s="1277" t="s">
        <v>20</v>
      </c>
      <c r="H10392" s="1219">
        <v>6.8999999999999999E-3</v>
      </c>
      <c r="K10392" s="1192" t="s">
        <v>3901</v>
      </c>
      <c r="L10392" s="1192" t="s">
        <v>432</v>
      </c>
      <c r="P10392" s="1192" t="s">
        <v>3906</v>
      </c>
      <c r="V10392" s="1192">
        <v>47</v>
      </c>
    </row>
    <row r="10393" spans="1:22" s="1192" customFormat="1" ht="14.4" x14ac:dyDescent="0.3">
      <c r="A10393" s="1192" t="s">
        <v>429</v>
      </c>
      <c r="E10393" s="1741" t="s">
        <v>209</v>
      </c>
      <c r="F10393" s="1741"/>
      <c r="G10393" s="1277" t="s">
        <v>20</v>
      </c>
      <c r="H10393" s="1219">
        <v>5.8999999999999999E-3</v>
      </c>
      <c r="K10393" s="1192" t="s">
        <v>3901</v>
      </c>
      <c r="L10393" s="1192" t="s">
        <v>432</v>
      </c>
      <c r="P10393" s="1192" t="s">
        <v>3907</v>
      </c>
      <c r="V10393" s="1192">
        <v>74</v>
      </c>
    </row>
    <row r="10394" spans="1:22" s="1192" customFormat="1" ht="14.4" x14ac:dyDescent="0.3">
      <c r="A10394" s="1192" t="s">
        <v>429</v>
      </c>
      <c r="E10394" s="1750" t="s">
        <v>2405</v>
      </c>
      <c r="F10394" s="1741"/>
      <c r="G10394" s="1277"/>
      <c r="H10394" s="896"/>
      <c r="K10394" s="1192" t="s">
        <v>2418</v>
      </c>
      <c r="V10394" s="1192">
        <v>48</v>
      </c>
    </row>
    <row r="10395" spans="1:22" s="1192" customFormat="1" ht="14.4" x14ac:dyDescent="0.3">
      <c r="A10395" s="1192" t="s">
        <v>429</v>
      </c>
      <c r="E10395" s="1741" t="s">
        <v>2033</v>
      </c>
      <c r="F10395" s="1741"/>
      <c r="G10395" s="1277" t="s">
        <v>20</v>
      </c>
      <c r="H10395" s="1219">
        <v>3.0000000000000001E-3</v>
      </c>
      <c r="K10395" s="1192" t="s">
        <v>3901</v>
      </c>
      <c r="L10395" s="1192" t="s">
        <v>2374</v>
      </c>
      <c r="P10395" s="1192" t="s">
        <v>3908</v>
      </c>
      <c r="V10395" s="1192">
        <v>55</v>
      </c>
    </row>
    <row r="10396" spans="1:22" s="1192" customFormat="1" ht="14.4" x14ac:dyDescent="0.3">
      <c r="A10396" s="1192" t="s">
        <v>429</v>
      </c>
      <c r="E10396" s="1741" t="s">
        <v>2034</v>
      </c>
      <c r="F10396" s="1741"/>
      <c r="G10396" s="1277" t="s">
        <v>20</v>
      </c>
      <c r="H10396" s="1219">
        <v>4.0000000000000002E-4</v>
      </c>
      <c r="K10396" s="1192" t="s">
        <v>3901</v>
      </c>
      <c r="L10396" s="1192" t="s">
        <v>2374</v>
      </c>
      <c r="P10396" s="1192" t="s">
        <v>3908</v>
      </c>
      <c r="V10396" s="1192">
        <v>65</v>
      </c>
    </row>
    <row r="10397" spans="1:22" s="1192" customFormat="1" ht="14.4" x14ac:dyDescent="0.3">
      <c r="A10397" s="1192" t="s">
        <v>429</v>
      </c>
      <c r="E10397" s="1741" t="s">
        <v>428</v>
      </c>
      <c r="F10397" s="1741"/>
      <c r="G10397" s="1277" t="s">
        <v>20</v>
      </c>
      <c r="H10397" s="1219">
        <v>5.0000000000000001E-4</v>
      </c>
      <c r="K10397" s="1192" t="s">
        <v>3901</v>
      </c>
      <c r="L10397" s="1192" t="s">
        <v>2374</v>
      </c>
      <c r="P10397" s="1192" t="s">
        <v>3909</v>
      </c>
      <c r="V10397" s="1192">
        <v>57</v>
      </c>
    </row>
    <row r="10398" spans="1:22" s="1192" customFormat="1" ht="14.4" x14ac:dyDescent="0.3">
      <c r="A10398" s="1192" t="s">
        <v>429</v>
      </c>
      <c r="E10398" s="1741" t="s">
        <v>28</v>
      </c>
      <c r="F10398" s="1741"/>
      <c r="G10398" s="1277" t="s">
        <v>19</v>
      </c>
      <c r="H10398" s="1218">
        <v>0.25</v>
      </c>
      <c r="K10398" s="1192" t="s">
        <v>3901</v>
      </c>
      <c r="L10398" s="1192" t="s">
        <v>2374</v>
      </c>
      <c r="P10398" s="1192" t="s">
        <v>3910</v>
      </c>
      <c r="V10398" s="1192">
        <v>63</v>
      </c>
    </row>
    <row r="10399" spans="1:22" s="1192" customFormat="1" ht="17.399999999999999" x14ac:dyDescent="0.3">
      <c r="A10399" s="1192" t="s">
        <v>429</v>
      </c>
      <c r="E10399" s="2017" t="s">
        <v>2524</v>
      </c>
      <c r="F10399" s="1987"/>
      <c r="G10399" s="1987"/>
      <c r="H10399" s="1987"/>
      <c r="K10399" s="1192" t="s">
        <v>3937</v>
      </c>
      <c r="V10399" s="1192">
        <v>51</v>
      </c>
    </row>
    <row r="10400" spans="1:22" s="1192" customFormat="1" ht="14.4" x14ac:dyDescent="0.3">
      <c r="A10400" s="1192" t="s">
        <v>429</v>
      </c>
      <c r="E10400" s="1743" t="s">
        <v>3228</v>
      </c>
      <c r="F10400" s="1743"/>
      <c r="G10400" s="1743"/>
      <c r="H10400" s="1743"/>
      <c r="K10400" s="1192" t="s">
        <v>3937</v>
      </c>
      <c r="V10400" s="1192">
        <v>433</v>
      </c>
    </row>
    <row r="10401" spans="1:22" s="1192" customFormat="1" ht="14.4" x14ac:dyDescent="0.3">
      <c r="A10401" s="1192" t="s">
        <v>429</v>
      </c>
      <c r="E10401" s="2018" t="s">
        <v>2389</v>
      </c>
      <c r="F10401" s="1988"/>
      <c r="G10401" s="1988"/>
      <c r="H10401" s="1988"/>
      <c r="K10401" s="1192" t="s">
        <v>2422</v>
      </c>
      <c r="V10401" s="1192">
        <v>11</v>
      </c>
    </row>
    <row r="10402" spans="1:22" s="1192" customFormat="1" ht="14.4" x14ac:dyDescent="0.3">
      <c r="A10402" s="1192" t="s">
        <v>429</v>
      </c>
      <c r="E10402" s="1743" t="s">
        <v>2391</v>
      </c>
      <c r="F10402" s="1743"/>
      <c r="G10402" s="1743"/>
      <c r="H10402" s="1743"/>
      <c r="K10402" s="1192" t="s">
        <v>3937</v>
      </c>
      <c r="V10402" s="1192">
        <v>280</v>
      </c>
    </row>
    <row r="10403" spans="1:22" s="1192" customFormat="1" ht="14.4" x14ac:dyDescent="0.3">
      <c r="A10403" s="1192" t="s">
        <v>429</v>
      </c>
      <c r="E10403" s="1743" t="s">
        <v>2392</v>
      </c>
      <c r="F10403" s="1743"/>
      <c r="G10403" s="1743"/>
      <c r="H10403" s="1743"/>
      <c r="K10403" s="1192" t="s">
        <v>3937</v>
      </c>
      <c r="V10403" s="1192">
        <v>411</v>
      </c>
    </row>
    <row r="10404" spans="1:22" s="1192" customFormat="1" ht="14.4" x14ac:dyDescent="0.3">
      <c r="A10404" s="1192" t="s">
        <v>429</v>
      </c>
      <c r="E10404" s="1743" t="s">
        <v>2393</v>
      </c>
      <c r="F10404" s="1743"/>
      <c r="G10404" s="1743"/>
      <c r="H10404" s="1743"/>
      <c r="K10404" s="1192" t="s">
        <v>3937</v>
      </c>
      <c r="V10404" s="1192">
        <v>387</v>
      </c>
    </row>
    <row r="10405" spans="1:22" s="1192" customFormat="1" ht="14.4" x14ac:dyDescent="0.3">
      <c r="A10405" s="1192" t="s">
        <v>429</v>
      </c>
      <c r="E10405" s="1743" t="s">
        <v>4503</v>
      </c>
      <c r="F10405" s="1743"/>
      <c r="G10405" s="1743"/>
      <c r="H10405" s="1743"/>
      <c r="K10405" s="1192" t="s">
        <v>3937</v>
      </c>
      <c r="V10405" s="1192">
        <v>677</v>
      </c>
    </row>
    <row r="10406" spans="1:22" s="1192" customFormat="1" ht="14.4" x14ac:dyDescent="0.3">
      <c r="A10406" s="1192" t="s">
        <v>429</v>
      </c>
      <c r="E10406" s="1743" t="s">
        <v>4644</v>
      </c>
      <c r="F10406" s="1743"/>
      <c r="G10406" s="1743"/>
      <c r="H10406" s="1743"/>
      <c r="K10406" s="1192" t="s">
        <v>3937</v>
      </c>
      <c r="V10406" s="1192">
        <v>693</v>
      </c>
    </row>
    <row r="10407" spans="1:22" s="1192" customFormat="1" ht="14.4" x14ac:dyDescent="0.3">
      <c r="A10407" s="1192" t="s">
        <v>429</v>
      </c>
      <c r="E10407" s="1743" t="s">
        <v>2986</v>
      </c>
      <c r="F10407" s="1743"/>
      <c r="G10407" s="1743"/>
      <c r="H10407" s="1743"/>
      <c r="K10407" s="1192" t="s">
        <v>3937</v>
      </c>
      <c r="V10407" s="1192">
        <v>246</v>
      </c>
    </row>
    <row r="10408" spans="1:22" s="1192" customFormat="1" ht="14.4" x14ac:dyDescent="0.3">
      <c r="A10408" s="1192" t="s">
        <v>429</v>
      </c>
      <c r="E10408" s="2018" t="s">
        <v>2394</v>
      </c>
      <c r="F10408" s="1988"/>
      <c r="G10408" s="1988"/>
      <c r="H10408" s="1988"/>
      <c r="K10408" s="1192" t="s">
        <v>2423</v>
      </c>
      <c r="V10408" s="1192">
        <v>46</v>
      </c>
    </row>
    <row r="10409" spans="1:22" s="1192" customFormat="1" ht="14.4" x14ac:dyDescent="0.3">
      <c r="A10409" s="1192" t="s">
        <v>429</v>
      </c>
      <c r="E10409" s="1741" t="s">
        <v>7</v>
      </c>
      <c r="F10409" s="1741"/>
      <c r="G10409" s="1277" t="s">
        <v>19</v>
      </c>
      <c r="H10409" s="1218">
        <v>82.4</v>
      </c>
      <c r="K10409" s="1192" t="s">
        <v>3937</v>
      </c>
      <c r="L10409" s="1192" t="s">
        <v>430</v>
      </c>
      <c r="P10409" s="1192" t="s">
        <v>3938</v>
      </c>
      <c r="V10409" s="1192">
        <v>14</v>
      </c>
    </row>
    <row r="10410" spans="1:22" s="1192" customFormat="1" ht="14.4" x14ac:dyDescent="0.3">
      <c r="A10410" s="1192" t="s">
        <v>429</v>
      </c>
      <c r="E10410" s="1741" t="s">
        <v>80</v>
      </c>
      <c r="F10410" s="1741"/>
      <c r="G10410" s="1277" t="s">
        <v>29</v>
      </c>
      <c r="H10410" s="1219">
        <v>3.1888999999999998</v>
      </c>
      <c r="K10410" s="1192" t="s">
        <v>3937</v>
      </c>
      <c r="L10410" s="1192" t="s">
        <v>430</v>
      </c>
      <c r="P10410" s="1192" t="s">
        <v>3939</v>
      </c>
      <c r="V10410" s="1192">
        <v>28</v>
      </c>
    </row>
    <row r="10411" spans="1:22" s="1192" customFormat="1" ht="14.4" x14ac:dyDescent="0.3">
      <c r="A10411" s="1192" t="s">
        <v>429</v>
      </c>
      <c r="E10411" s="1741" t="s">
        <v>3229</v>
      </c>
      <c r="F10411" s="1741"/>
      <c r="G10411" s="1277" t="s">
        <v>29</v>
      </c>
      <c r="H10411" s="1219">
        <v>0.62929999999999997</v>
      </c>
      <c r="K10411" s="1192" t="s">
        <v>3937</v>
      </c>
      <c r="L10411" s="1192" t="s">
        <v>430</v>
      </c>
      <c r="P10411" s="1192" t="s">
        <v>4236</v>
      </c>
      <c r="V10411" s="1192">
        <v>88</v>
      </c>
    </row>
    <row r="10412" spans="1:22" s="1192" customFormat="1" ht="14.4" x14ac:dyDescent="0.3">
      <c r="A10412" s="1192" t="s">
        <v>429</v>
      </c>
      <c r="E10412" s="1741" t="s">
        <v>14</v>
      </c>
      <c r="F10412" s="1741"/>
      <c r="G10412" s="1277" t="s">
        <v>29</v>
      </c>
      <c r="H10412" s="1219">
        <v>0.26</v>
      </c>
      <c r="K10412" s="1192" t="s">
        <v>3937</v>
      </c>
      <c r="L10412" s="1192" t="s">
        <v>431</v>
      </c>
      <c r="P10412" s="1192" t="s">
        <v>3940</v>
      </c>
      <c r="V10412" s="1192">
        <v>24</v>
      </c>
    </row>
    <row r="10413" spans="1:22" s="1192" customFormat="1" ht="14.4" x14ac:dyDescent="0.3">
      <c r="A10413" s="1192" t="s">
        <v>429</v>
      </c>
      <c r="E10413" s="1741" t="s">
        <v>213</v>
      </c>
      <c r="F10413" s="1741"/>
      <c r="G10413" s="1277" t="s">
        <v>29</v>
      </c>
      <c r="H10413" s="1219">
        <v>3.0943999999999998</v>
      </c>
      <c r="K10413" s="1192" t="s">
        <v>3937</v>
      </c>
      <c r="L10413" s="1192" t="s">
        <v>432</v>
      </c>
      <c r="P10413" s="1192" t="s">
        <v>3941</v>
      </c>
      <c r="V10413" s="1192">
        <v>47</v>
      </c>
    </row>
    <row r="10414" spans="1:22" s="1192" customFormat="1" ht="14.4" x14ac:dyDescent="0.3">
      <c r="A10414" s="1192" t="s">
        <v>429</v>
      </c>
      <c r="E10414" s="1741" t="s">
        <v>209</v>
      </c>
      <c r="F10414" s="1741"/>
      <c r="G10414" s="1277" t="s">
        <v>29</v>
      </c>
      <c r="H10414" s="1219">
        <v>2.6894999999999998</v>
      </c>
      <c r="K10414" s="1192" t="s">
        <v>3937</v>
      </c>
      <c r="L10414" s="1192" t="s">
        <v>432</v>
      </c>
      <c r="P10414" s="1192" t="s">
        <v>3942</v>
      </c>
      <c r="V10414" s="1192">
        <v>74</v>
      </c>
    </row>
    <row r="10415" spans="1:22" s="1192" customFormat="1" ht="14.4" x14ac:dyDescent="0.3">
      <c r="A10415" s="1192" t="s">
        <v>429</v>
      </c>
      <c r="E10415" s="1750" t="s">
        <v>2405</v>
      </c>
      <c r="F10415" s="1741"/>
      <c r="G10415" s="1277"/>
      <c r="H10415" s="896"/>
      <c r="K10415" s="1192" t="s">
        <v>2526</v>
      </c>
      <c r="V10415" s="1192">
        <v>48</v>
      </c>
    </row>
    <row r="10416" spans="1:22" s="1192" customFormat="1" ht="14.4" x14ac:dyDescent="0.3">
      <c r="A10416" s="1192" t="s">
        <v>429</v>
      </c>
      <c r="E10416" s="1741" t="s">
        <v>2033</v>
      </c>
      <c r="F10416" s="1741"/>
      <c r="G10416" s="1277" t="s">
        <v>20</v>
      </c>
      <c r="H10416" s="1219">
        <v>3.0000000000000001E-3</v>
      </c>
      <c r="K10416" s="1192" t="s">
        <v>3937</v>
      </c>
      <c r="L10416" s="1192" t="s">
        <v>2374</v>
      </c>
      <c r="P10416" s="1192" t="s">
        <v>3943</v>
      </c>
      <c r="V10416" s="1192">
        <v>55</v>
      </c>
    </row>
    <row r="10417" spans="1:22" s="1192" customFormat="1" ht="14.4" x14ac:dyDescent="0.3">
      <c r="A10417" s="1192" t="s">
        <v>429</v>
      </c>
      <c r="E10417" s="1741" t="s">
        <v>2034</v>
      </c>
      <c r="F10417" s="1741"/>
      <c r="G10417" s="1277" t="s">
        <v>20</v>
      </c>
      <c r="H10417" s="1219">
        <v>4.0000000000000002E-4</v>
      </c>
      <c r="K10417" s="1192" t="s">
        <v>3937</v>
      </c>
      <c r="L10417" s="1192" t="s">
        <v>2374</v>
      </c>
      <c r="P10417" s="1192" t="s">
        <v>3943</v>
      </c>
      <c r="V10417" s="1192">
        <v>65</v>
      </c>
    </row>
    <row r="10418" spans="1:22" s="1192" customFormat="1" ht="14.4" x14ac:dyDescent="0.3">
      <c r="A10418" s="1192" t="s">
        <v>429</v>
      </c>
      <c r="E10418" s="1741" t="s">
        <v>428</v>
      </c>
      <c r="F10418" s="1741"/>
      <c r="G10418" s="1277" t="s">
        <v>20</v>
      </c>
      <c r="H10418" s="1219">
        <v>5.0000000000000001E-4</v>
      </c>
      <c r="K10418" s="1192" t="s">
        <v>3937</v>
      </c>
      <c r="L10418" s="1192" t="s">
        <v>2374</v>
      </c>
      <c r="P10418" s="1192" t="s">
        <v>3944</v>
      </c>
      <c r="V10418" s="1192">
        <v>57</v>
      </c>
    </row>
    <row r="10419" spans="1:22" s="1192" customFormat="1" ht="14.4" x14ac:dyDescent="0.3">
      <c r="A10419" s="1192" t="s">
        <v>429</v>
      </c>
      <c r="E10419" s="1741" t="s">
        <v>28</v>
      </c>
      <c r="F10419" s="1741"/>
      <c r="G10419" s="1277" t="s">
        <v>19</v>
      </c>
      <c r="H10419" s="1218">
        <v>0.25</v>
      </c>
      <c r="K10419" s="1192" t="s">
        <v>3937</v>
      </c>
      <c r="L10419" s="1192" t="s">
        <v>2374</v>
      </c>
      <c r="P10419" s="1192" t="s">
        <v>3945</v>
      </c>
      <c r="V10419" s="1192">
        <v>63</v>
      </c>
    </row>
    <row r="10420" spans="1:22" s="1192" customFormat="1" ht="17.399999999999999" x14ac:dyDescent="0.3">
      <c r="A10420" s="1192" t="s">
        <v>429</v>
      </c>
      <c r="E10420" s="2017" t="s">
        <v>2527</v>
      </c>
      <c r="F10420" s="1987"/>
      <c r="G10420" s="1987"/>
      <c r="H10420" s="1987"/>
      <c r="K10420" s="1192" t="s">
        <v>3946</v>
      </c>
      <c r="V10420" s="1192">
        <v>56</v>
      </c>
    </row>
    <row r="10421" spans="1:22" s="1192" customFormat="1" ht="14.4" x14ac:dyDescent="0.3">
      <c r="A10421" s="1192" t="s">
        <v>429</v>
      </c>
      <c r="E10421" s="1743" t="s">
        <v>3230</v>
      </c>
      <c r="F10421" s="1743"/>
      <c r="G10421" s="1743"/>
      <c r="H10421" s="1743"/>
      <c r="K10421" s="1192" t="s">
        <v>3946</v>
      </c>
      <c r="V10421" s="1192">
        <v>487</v>
      </c>
    </row>
    <row r="10422" spans="1:22" s="1192" customFormat="1" ht="14.4" x14ac:dyDescent="0.3">
      <c r="A10422" s="1192" t="s">
        <v>429</v>
      </c>
      <c r="E10422" s="2018" t="s">
        <v>2389</v>
      </c>
      <c r="F10422" s="1988"/>
      <c r="G10422" s="1988"/>
      <c r="H10422" s="1988"/>
      <c r="K10422" s="1192" t="s">
        <v>2529</v>
      </c>
      <c r="V10422" s="1192">
        <v>11</v>
      </c>
    </row>
    <row r="10423" spans="1:22" s="1192" customFormat="1" ht="14.4" x14ac:dyDescent="0.3">
      <c r="A10423" s="1192" t="s">
        <v>429</v>
      </c>
      <c r="E10423" s="1743" t="s">
        <v>2391</v>
      </c>
      <c r="F10423" s="1743"/>
      <c r="G10423" s="1743"/>
      <c r="H10423" s="1743"/>
      <c r="K10423" s="1192" t="s">
        <v>3946</v>
      </c>
      <c r="V10423" s="1192">
        <v>280</v>
      </c>
    </row>
    <row r="10424" spans="1:22" s="1192" customFormat="1" ht="14.4" x14ac:dyDescent="0.3">
      <c r="A10424" s="1192" t="s">
        <v>429</v>
      </c>
      <c r="E10424" s="1743" t="s">
        <v>2392</v>
      </c>
      <c r="F10424" s="1743"/>
      <c r="G10424" s="1743"/>
      <c r="H10424" s="1743"/>
      <c r="K10424" s="1192" t="s">
        <v>3946</v>
      </c>
      <c r="V10424" s="1192">
        <v>411</v>
      </c>
    </row>
    <row r="10425" spans="1:22" s="1192" customFormat="1" ht="14.4" x14ac:dyDescent="0.3">
      <c r="A10425" s="1192" t="s">
        <v>429</v>
      </c>
      <c r="E10425" s="1743" t="s">
        <v>2393</v>
      </c>
      <c r="F10425" s="1743"/>
      <c r="G10425" s="1743"/>
      <c r="H10425" s="1743"/>
      <c r="K10425" s="1192" t="s">
        <v>3946</v>
      </c>
      <c r="V10425" s="1192">
        <v>387</v>
      </c>
    </row>
    <row r="10426" spans="1:22" s="1192" customFormat="1" ht="14.4" x14ac:dyDescent="0.3">
      <c r="A10426" s="1192" t="s">
        <v>429</v>
      </c>
      <c r="E10426" s="1743" t="s">
        <v>4503</v>
      </c>
      <c r="F10426" s="1743"/>
      <c r="G10426" s="1743"/>
      <c r="H10426" s="1743"/>
      <c r="K10426" s="1192" t="s">
        <v>3946</v>
      </c>
      <c r="V10426" s="1192">
        <v>677</v>
      </c>
    </row>
    <row r="10427" spans="1:22" s="1192" customFormat="1" ht="14.4" x14ac:dyDescent="0.3">
      <c r="A10427" s="1192" t="s">
        <v>429</v>
      </c>
      <c r="E10427" s="1743" t="s">
        <v>4644</v>
      </c>
      <c r="F10427" s="1743"/>
      <c r="G10427" s="1743"/>
      <c r="H10427" s="1743"/>
      <c r="K10427" s="1192" t="s">
        <v>3946</v>
      </c>
      <c r="V10427" s="1192">
        <v>693</v>
      </c>
    </row>
    <row r="10428" spans="1:22" s="1192" customFormat="1" ht="14.4" x14ac:dyDescent="0.3">
      <c r="A10428" s="1192" t="s">
        <v>429</v>
      </c>
      <c r="E10428" s="1743" t="s">
        <v>2986</v>
      </c>
      <c r="F10428" s="1743"/>
      <c r="G10428" s="1743"/>
      <c r="H10428" s="1743"/>
      <c r="K10428" s="1192" t="s">
        <v>3946</v>
      </c>
      <c r="V10428" s="1192">
        <v>246</v>
      </c>
    </row>
    <row r="10429" spans="1:22" s="1192" customFormat="1" ht="14.4" x14ac:dyDescent="0.3">
      <c r="A10429" s="1192" t="s">
        <v>429</v>
      </c>
      <c r="E10429" s="2018" t="s">
        <v>2394</v>
      </c>
      <c r="F10429" s="1988"/>
      <c r="G10429" s="1988"/>
      <c r="H10429" s="1988"/>
      <c r="K10429" s="1192" t="s">
        <v>2531</v>
      </c>
      <c r="V10429" s="1192">
        <v>46</v>
      </c>
    </row>
    <row r="10430" spans="1:22" s="1192" customFormat="1" ht="14.4" x14ac:dyDescent="0.3">
      <c r="A10430" s="1192" t="s">
        <v>429</v>
      </c>
      <c r="E10430" s="1741" t="s">
        <v>7</v>
      </c>
      <c r="F10430" s="1741"/>
      <c r="G10430" s="1277" t="s">
        <v>19</v>
      </c>
      <c r="H10430" s="1218">
        <v>648.29</v>
      </c>
      <c r="K10430" s="1192" t="s">
        <v>3946</v>
      </c>
      <c r="L10430" s="1192" t="s">
        <v>430</v>
      </c>
      <c r="P10430" s="1192" t="s">
        <v>3947</v>
      </c>
      <c r="V10430" s="1192">
        <v>14</v>
      </c>
    </row>
    <row r="10431" spans="1:22" s="1192" customFormat="1" ht="14.4" x14ac:dyDescent="0.3">
      <c r="A10431" s="1192" t="s">
        <v>429</v>
      </c>
      <c r="E10431" s="1741" t="s">
        <v>80</v>
      </c>
      <c r="F10431" s="1741"/>
      <c r="G10431" s="1277" t="s">
        <v>29</v>
      </c>
      <c r="H10431" s="1219">
        <v>2.2357</v>
      </c>
      <c r="K10431" s="1192" t="s">
        <v>3946</v>
      </c>
      <c r="L10431" s="1192" t="s">
        <v>430</v>
      </c>
      <c r="P10431" s="1192" t="s">
        <v>3948</v>
      </c>
      <c r="V10431" s="1192">
        <v>28</v>
      </c>
    </row>
    <row r="10432" spans="1:22" s="1192" customFormat="1" ht="14.4" x14ac:dyDescent="0.3">
      <c r="A10432" s="1192" t="s">
        <v>429</v>
      </c>
      <c r="E10432" s="1741" t="s">
        <v>3229</v>
      </c>
      <c r="F10432" s="1741"/>
      <c r="G10432" s="1277" t="s">
        <v>29</v>
      </c>
      <c r="H10432" s="1219">
        <v>0.62929999999999997</v>
      </c>
      <c r="K10432" s="1192" t="s">
        <v>3946</v>
      </c>
      <c r="L10432" s="1192" t="s">
        <v>430</v>
      </c>
      <c r="P10432" s="1192" t="s">
        <v>4237</v>
      </c>
      <c r="V10432" s="1192">
        <v>88</v>
      </c>
    </row>
    <row r="10433" spans="1:22" s="1192" customFormat="1" ht="14.4" x14ac:dyDescent="0.3">
      <c r="A10433" s="1192" t="s">
        <v>429</v>
      </c>
      <c r="E10433" s="1741" t="s">
        <v>14</v>
      </c>
      <c r="F10433" s="1741"/>
      <c r="G10433" s="1277" t="s">
        <v>29</v>
      </c>
      <c r="H10433" s="1219">
        <v>0.25580000000000003</v>
      </c>
      <c r="K10433" s="1192" t="s">
        <v>3946</v>
      </c>
      <c r="L10433" s="1192" t="s">
        <v>431</v>
      </c>
      <c r="P10433" s="1192" t="s">
        <v>3949</v>
      </c>
      <c r="V10433" s="1192">
        <v>24</v>
      </c>
    </row>
    <row r="10434" spans="1:22" s="1192" customFormat="1" ht="14.4" x14ac:dyDescent="0.3">
      <c r="A10434" s="1192" t="s">
        <v>429</v>
      </c>
      <c r="E10434" s="1741" t="s">
        <v>213</v>
      </c>
      <c r="F10434" s="1741"/>
      <c r="G10434" s="1277" t="s">
        <v>29</v>
      </c>
      <c r="H10434" s="1219">
        <v>3.0432999999999999</v>
      </c>
      <c r="K10434" s="1192" t="s">
        <v>3946</v>
      </c>
      <c r="L10434" s="1192" t="s">
        <v>432</v>
      </c>
      <c r="P10434" s="1192" t="s">
        <v>3950</v>
      </c>
      <c r="V10434" s="1192">
        <v>47</v>
      </c>
    </row>
    <row r="10435" spans="1:22" s="1192" customFormat="1" ht="14.4" x14ac:dyDescent="0.3">
      <c r="A10435" s="1192" t="s">
        <v>429</v>
      </c>
      <c r="E10435" s="1741" t="s">
        <v>209</v>
      </c>
      <c r="F10435" s="1741"/>
      <c r="G10435" s="1277" t="s">
        <v>29</v>
      </c>
      <c r="H10435" s="1219">
        <v>2.6457000000000002</v>
      </c>
      <c r="K10435" s="1192" t="s">
        <v>3946</v>
      </c>
      <c r="L10435" s="1192" t="s">
        <v>432</v>
      </c>
      <c r="P10435" s="1192" t="s">
        <v>3951</v>
      </c>
      <c r="V10435" s="1192">
        <v>74</v>
      </c>
    </row>
    <row r="10436" spans="1:22" s="1192" customFormat="1" ht="14.4" x14ac:dyDescent="0.3">
      <c r="A10436" s="1192" t="s">
        <v>429</v>
      </c>
      <c r="E10436" s="1750" t="s">
        <v>2405</v>
      </c>
      <c r="F10436" s="1741"/>
      <c r="G10436" s="1277"/>
      <c r="H10436" s="896"/>
      <c r="K10436" s="1192" t="s">
        <v>2532</v>
      </c>
      <c r="V10436" s="1192">
        <v>48</v>
      </c>
    </row>
    <row r="10437" spans="1:22" s="1192" customFormat="1" ht="14.4" x14ac:dyDescent="0.3">
      <c r="A10437" s="1192" t="s">
        <v>429</v>
      </c>
      <c r="E10437" s="1741" t="s">
        <v>2033</v>
      </c>
      <c r="F10437" s="1741"/>
      <c r="G10437" s="1277" t="s">
        <v>20</v>
      </c>
      <c r="H10437" s="1219">
        <v>3.0000000000000001E-3</v>
      </c>
      <c r="K10437" s="1192" t="s">
        <v>3946</v>
      </c>
      <c r="L10437" s="1192" t="s">
        <v>2374</v>
      </c>
      <c r="P10437" s="1192" t="s">
        <v>3952</v>
      </c>
      <c r="V10437" s="1192">
        <v>55</v>
      </c>
    </row>
    <row r="10438" spans="1:22" s="1192" customFormat="1" ht="14.4" x14ac:dyDescent="0.3">
      <c r="A10438" s="1192" t="s">
        <v>429</v>
      </c>
      <c r="E10438" s="1741" t="s">
        <v>2034</v>
      </c>
      <c r="F10438" s="1741"/>
      <c r="G10438" s="1277" t="s">
        <v>20</v>
      </c>
      <c r="H10438" s="1219">
        <v>4.0000000000000002E-4</v>
      </c>
      <c r="K10438" s="1192" t="s">
        <v>3946</v>
      </c>
      <c r="L10438" s="1192" t="s">
        <v>2374</v>
      </c>
      <c r="P10438" s="1192" t="s">
        <v>3952</v>
      </c>
      <c r="V10438" s="1192">
        <v>65</v>
      </c>
    </row>
    <row r="10439" spans="1:22" s="1192" customFormat="1" ht="14.4" x14ac:dyDescent="0.3">
      <c r="A10439" s="1192" t="s">
        <v>429</v>
      </c>
      <c r="E10439" s="1741" t="s">
        <v>428</v>
      </c>
      <c r="F10439" s="1741"/>
      <c r="G10439" s="1277" t="s">
        <v>20</v>
      </c>
      <c r="H10439" s="1219">
        <v>5.0000000000000001E-4</v>
      </c>
      <c r="K10439" s="1192" t="s">
        <v>3946</v>
      </c>
      <c r="L10439" s="1192" t="s">
        <v>2374</v>
      </c>
      <c r="P10439" s="1192" t="s">
        <v>3953</v>
      </c>
      <c r="V10439" s="1192">
        <v>57</v>
      </c>
    </row>
    <row r="10440" spans="1:22" s="1192" customFormat="1" ht="14.4" x14ac:dyDescent="0.3">
      <c r="A10440" s="1192" t="s">
        <v>429</v>
      </c>
      <c r="E10440" s="1741" t="s">
        <v>28</v>
      </c>
      <c r="F10440" s="1741"/>
      <c r="G10440" s="1277" t="s">
        <v>19</v>
      </c>
      <c r="H10440" s="1218">
        <v>0.25</v>
      </c>
      <c r="K10440" s="1192" t="s">
        <v>3946</v>
      </c>
      <c r="L10440" s="1192" t="s">
        <v>2374</v>
      </c>
      <c r="P10440" s="1192" t="s">
        <v>3954</v>
      </c>
      <c r="V10440" s="1192">
        <v>63</v>
      </c>
    </row>
    <row r="10441" spans="1:22" s="1192" customFormat="1" ht="17.399999999999999" x14ac:dyDescent="0.3">
      <c r="A10441" s="1192" t="s">
        <v>429</v>
      </c>
      <c r="E10441" s="2017" t="s">
        <v>596</v>
      </c>
      <c r="F10441" s="1987"/>
      <c r="G10441" s="1987"/>
      <c r="H10441" s="1987"/>
      <c r="K10441" s="1192" t="s">
        <v>2533</v>
      </c>
      <c r="V10441" s="1192">
        <v>32</v>
      </c>
    </row>
    <row r="10442" spans="1:22" s="1192" customFormat="1" ht="14.4" x14ac:dyDescent="0.3">
      <c r="A10442" s="1192" t="s">
        <v>429</v>
      </c>
      <c r="E10442" s="1743" t="s">
        <v>3231</v>
      </c>
      <c r="F10442" s="1743"/>
      <c r="G10442" s="1743"/>
      <c r="H10442" s="1743"/>
      <c r="K10442" s="1192" t="s">
        <v>2533</v>
      </c>
      <c r="V10442" s="1192">
        <v>464</v>
      </c>
    </row>
    <row r="10443" spans="1:22" s="1192" customFormat="1" ht="14.4" x14ac:dyDescent="0.3">
      <c r="A10443" s="1192" t="s">
        <v>429</v>
      </c>
      <c r="E10443" s="2018" t="s">
        <v>2389</v>
      </c>
      <c r="F10443" s="1988"/>
      <c r="G10443" s="1988"/>
      <c r="H10443" s="1988"/>
      <c r="K10443" s="1192" t="s">
        <v>2424</v>
      </c>
      <c r="V10443" s="1192">
        <v>11</v>
      </c>
    </row>
    <row r="10444" spans="1:22" s="1192" customFormat="1" ht="14.4" x14ac:dyDescent="0.3">
      <c r="A10444" s="1192" t="s">
        <v>429</v>
      </c>
      <c r="E10444" s="1743" t="s">
        <v>2391</v>
      </c>
      <c r="F10444" s="1743"/>
      <c r="G10444" s="1743"/>
      <c r="H10444" s="1743"/>
      <c r="K10444" s="1192" t="s">
        <v>2533</v>
      </c>
      <c r="V10444" s="1192">
        <v>280</v>
      </c>
    </row>
    <row r="10445" spans="1:22" s="1192" customFormat="1" ht="14.4" x14ac:dyDescent="0.3">
      <c r="A10445" s="1192" t="s">
        <v>429</v>
      </c>
      <c r="E10445" s="1743" t="s">
        <v>2392</v>
      </c>
      <c r="F10445" s="1743"/>
      <c r="G10445" s="1743"/>
      <c r="H10445" s="1743"/>
      <c r="K10445" s="1192" t="s">
        <v>2533</v>
      </c>
      <c r="V10445" s="1192">
        <v>411</v>
      </c>
    </row>
    <row r="10446" spans="1:22" s="1192" customFormat="1" ht="14.4" x14ac:dyDescent="0.3">
      <c r="A10446" s="1192" t="s">
        <v>429</v>
      </c>
      <c r="E10446" s="1743" t="s">
        <v>2393</v>
      </c>
      <c r="F10446" s="1743"/>
      <c r="G10446" s="1743"/>
      <c r="H10446" s="1743"/>
      <c r="K10446" s="1192" t="s">
        <v>2533</v>
      </c>
      <c r="V10446" s="1192">
        <v>387</v>
      </c>
    </row>
    <row r="10447" spans="1:22" s="1192" customFormat="1" ht="14.4" x14ac:dyDescent="0.3">
      <c r="A10447" s="1192" t="s">
        <v>429</v>
      </c>
      <c r="E10447" s="1743" t="s">
        <v>4503</v>
      </c>
      <c r="F10447" s="1743"/>
      <c r="G10447" s="1743"/>
      <c r="H10447" s="1743"/>
      <c r="K10447" s="1192" t="s">
        <v>2533</v>
      </c>
      <c r="V10447" s="1192">
        <v>677</v>
      </c>
    </row>
    <row r="10448" spans="1:22" s="1192" customFormat="1" ht="14.4" x14ac:dyDescent="0.3">
      <c r="A10448" s="1192" t="s">
        <v>429</v>
      </c>
      <c r="E10448" s="1743" t="s">
        <v>4644</v>
      </c>
      <c r="F10448" s="1743"/>
      <c r="G10448" s="1743"/>
      <c r="H10448" s="1743"/>
      <c r="K10448" s="1192" t="s">
        <v>2533</v>
      </c>
      <c r="V10448" s="1192">
        <v>693</v>
      </c>
    </row>
    <row r="10449" spans="1:22" s="1192" customFormat="1" ht="14.4" x14ac:dyDescent="0.3">
      <c r="A10449" s="1192" t="s">
        <v>429</v>
      </c>
      <c r="E10449" s="1743" t="s">
        <v>4706</v>
      </c>
      <c r="F10449" s="1743"/>
      <c r="G10449" s="1743"/>
      <c r="H10449" s="1743"/>
      <c r="K10449" s="1192" t="s">
        <v>2533</v>
      </c>
      <c r="V10449" s="1192">
        <v>243</v>
      </c>
    </row>
    <row r="10450" spans="1:22" s="1192" customFormat="1" ht="14.4" x14ac:dyDescent="0.3">
      <c r="A10450" s="1192" t="s">
        <v>429</v>
      </c>
      <c r="E10450" s="2018" t="s">
        <v>2394</v>
      </c>
      <c r="F10450" s="1988"/>
      <c r="G10450" s="1988"/>
      <c r="H10450" s="1988"/>
      <c r="K10450" s="1192" t="s">
        <v>2425</v>
      </c>
      <c r="V10450" s="1192">
        <v>46</v>
      </c>
    </row>
    <row r="10451" spans="1:22" s="1192" customFormat="1" ht="14.4" x14ac:dyDescent="0.3">
      <c r="A10451" s="1192" t="s">
        <v>429</v>
      </c>
      <c r="E10451" s="1741" t="s">
        <v>7</v>
      </c>
      <c r="F10451" s="1741"/>
      <c r="G10451" s="1277" t="s">
        <v>19</v>
      </c>
      <c r="H10451" s="1218">
        <v>2588.83</v>
      </c>
      <c r="K10451" s="1192" t="s">
        <v>2533</v>
      </c>
      <c r="L10451" s="1192" t="s">
        <v>430</v>
      </c>
      <c r="P10451" s="1192" t="s">
        <v>2535</v>
      </c>
      <c r="V10451" s="1192">
        <v>14</v>
      </c>
    </row>
    <row r="10452" spans="1:22" s="1192" customFormat="1" ht="14.4" x14ac:dyDescent="0.3">
      <c r="A10452" s="1192" t="s">
        <v>429</v>
      </c>
      <c r="E10452" s="1741" t="s">
        <v>80</v>
      </c>
      <c r="F10452" s="1741"/>
      <c r="G10452" s="1277" t="s">
        <v>29</v>
      </c>
      <c r="H10452" s="1219">
        <v>1.5499000000000001</v>
      </c>
      <c r="K10452" s="1192" t="s">
        <v>2533</v>
      </c>
      <c r="L10452" s="1192" t="s">
        <v>430</v>
      </c>
      <c r="P10452" s="1192" t="s">
        <v>2536</v>
      </c>
      <c r="V10452" s="1192">
        <v>28</v>
      </c>
    </row>
    <row r="10453" spans="1:22" s="1192" customFormat="1" ht="14.4" x14ac:dyDescent="0.3">
      <c r="A10453" s="1192" t="s">
        <v>429</v>
      </c>
      <c r="E10453" s="1741" t="s">
        <v>3229</v>
      </c>
      <c r="F10453" s="1741"/>
      <c r="G10453" s="1277" t="s">
        <v>29</v>
      </c>
      <c r="H10453" s="1219">
        <v>0.62929999999999997</v>
      </c>
      <c r="K10453" s="1192" t="s">
        <v>2533</v>
      </c>
      <c r="L10453" s="1192" t="s">
        <v>430</v>
      </c>
      <c r="P10453" s="1192" t="s">
        <v>4238</v>
      </c>
      <c r="V10453" s="1192">
        <v>88</v>
      </c>
    </row>
    <row r="10454" spans="1:22" s="1192" customFormat="1" ht="14.4" x14ac:dyDescent="0.3">
      <c r="A10454" s="1192" t="s">
        <v>429</v>
      </c>
      <c r="E10454" s="1741" t="s">
        <v>14</v>
      </c>
      <c r="F10454" s="1741"/>
      <c r="G10454" s="1277" t="s">
        <v>29</v>
      </c>
      <c r="H10454" s="1219">
        <v>0.28599999999999998</v>
      </c>
      <c r="K10454" s="1192" t="s">
        <v>2533</v>
      </c>
      <c r="L10454" s="1192" t="s">
        <v>431</v>
      </c>
      <c r="P10454" s="1192" t="s">
        <v>2537</v>
      </c>
      <c r="V10454" s="1192">
        <v>24</v>
      </c>
    </row>
    <row r="10455" spans="1:22" s="1192" customFormat="1" ht="14.4" x14ac:dyDescent="0.3">
      <c r="A10455" s="1192" t="s">
        <v>429</v>
      </c>
      <c r="E10455" s="1741" t="s">
        <v>215</v>
      </c>
      <c r="F10455" s="1741"/>
      <c r="G10455" s="1277" t="s">
        <v>29</v>
      </c>
      <c r="H10455" s="1219">
        <v>3.2955999999999999</v>
      </c>
      <c r="K10455" s="1192" t="s">
        <v>2533</v>
      </c>
      <c r="L10455" s="1192" t="s">
        <v>432</v>
      </c>
      <c r="P10455" s="1192" t="s">
        <v>2833</v>
      </c>
      <c r="V10455" s="1192">
        <v>66</v>
      </c>
    </row>
    <row r="10456" spans="1:22" s="1192" customFormat="1" ht="14.4" x14ac:dyDescent="0.3">
      <c r="A10456" s="1192" t="s">
        <v>429</v>
      </c>
      <c r="E10456" s="1741" t="s">
        <v>211</v>
      </c>
      <c r="F10456" s="1741"/>
      <c r="G10456" s="1277" t="s">
        <v>29</v>
      </c>
      <c r="H10456" s="1219">
        <v>2.9588000000000001</v>
      </c>
      <c r="K10456" s="1192" t="s">
        <v>2533</v>
      </c>
      <c r="L10456" s="1192" t="s">
        <v>432</v>
      </c>
      <c r="P10456" s="1192" t="s">
        <v>2834</v>
      </c>
      <c r="V10456" s="1192">
        <v>93</v>
      </c>
    </row>
    <row r="10457" spans="1:22" s="1192" customFormat="1" ht="14.4" x14ac:dyDescent="0.3">
      <c r="A10457" s="1192" t="s">
        <v>429</v>
      </c>
      <c r="E10457" s="1750" t="s">
        <v>2405</v>
      </c>
      <c r="F10457" s="1741"/>
      <c r="G10457" s="1277"/>
      <c r="H10457" s="896"/>
      <c r="K10457" s="1192" t="s">
        <v>2427</v>
      </c>
      <c r="V10457" s="1192">
        <v>48</v>
      </c>
    </row>
    <row r="10458" spans="1:22" s="1192" customFormat="1" ht="14.4" x14ac:dyDescent="0.3">
      <c r="A10458" s="1192" t="s">
        <v>429</v>
      </c>
      <c r="E10458" s="1741" t="s">
        <v>2033</v>
      </c>
      <c r="F10458" s="1741"/>
      <c r="G10458" s="1277" t="s">
        <v>20</v>
      </c>
      <c r="H10458" s="1219">
        <v>3.0000000000000001E-3</v>
      </c>
      <c r="K10458" s="1192" t="s">
        <v>2533</v>
      </c>
      <c r="L10458" s="1192" t="s">
        <v>2374</v>
      </c>
      <c r="P10458" s="1192" t="s">
        <v>2540</v>
      </c>
      <c r="V10458" s="1192">
        <v>55</v>
      </c>
    </row>
    <row r="10459" spans="1:22" s="1192" customFormat="1" ht="14.4" x14ac:dyDescent="0.3">
      <c r="A10459" s="1192" t="s">
        <v>429</v>
      </c>
      <c r="E10459" s="1741" t="s">
        <v>2034</v>
      </c>
      <c r="F10459" s="1741"/>
      <c r="G10459" s="1277" t="s">
        <v>20</v>
      </c>
      <c r="H10459" s="1219">
        <v>4.0000000000000002E-4</v>
      </c>
      <c r="K10459" s="1192" t="s">
        <v>2533</v>
      </c>
      <c r="L10459" s="1192" t="s">
        <v>2374</v>
      </c>
      <c r="P10459" s="1192" t="s">
        <v>2540</v>
      </c>
      <c r="V10459" s="1192">
        <v>65</v>
      </c>
    </row>
    <row r="10460" spans="1:22" s="1192" customFormat="1" ht="14.4" x14ac:dyDescent="0.3">
      <c r="A10460" s="1192" t="s">
        <v>429</v>
      </c>
      <c r="E10460" s="1741" t="s">
        <v>428</v>
      </c>
      <c r="F10460" s="1741"/>
      <c r="G10460" s="1277" t="s">
        <v>20</v>
      </c>
      <c r="H10460" s="1219">
        <v>5.0000000000000001E-4</v>
      </c>
      <c r="K10460" s="1192" t="s">
        <v>2533</v>
      </c>
      <c r="L10460" s="1192" t="s">
        <v>2374</v>
      </c>
      <c r="P10460" s="1192" t="s">
        <v>2541</v>
      </c>
      <c r="V10460" s="1192">
        <v>57</v>
      </c>
    </row>
    <row r="10461" spans="1:22" s="1192" customFormat="1" ht="14.4" x14ac:dyDescent="0.3">
      <c r="A10461" s="1192" t="s">
        <v>429</v>
      </c>
      <c r="E10461" s="1741" t="s">
        <v>28</v>
      </c>
      <c r="F10461" s="1741"/>
      <c r="G10461" s="1277" t="s">
        <v>19</v>
      </c>
      <c r="H10461" s="1218">
        <v>0.25</v>
      </c>
      <c r="K10461" s="1192" t="s">
        <v>2533</v>
      </c>
      <c r="L10461" s="1192" t="s">
        <v>2374</v>
      </c>
      <c r="P10461" s="1192" t="s">
        <v>2542</v>
      </c>
      <c r="V10461" s="1192">
        <v>63</v>
      </c>
    </row>
    <row r="10462" spans="1:22" s="1192" customFormat="1" ht="17.399999999999999" x14ac:dyDescent="0.3">
      <c r="A10462" s="1192" t="s">
        <v>429</v>
      </c>
      <c r="E10462" s="2017" t="s">
        <v>592</v>
      </c>
      <c r="F10462" s="1987"/>
      <c r="G10462" s="1987"/>
      <c r="H10462" s="1987"/>
      <c r="K10462" s="1192" t="s">
        <v>2543</v>
      </c>
      <c r="V10462" s="1192">
        <v>47</v>
      </c>
    </row>
    <row r="10463" spans="1:22" s="1192" customFormat="1" ht="14.4" x14ac:dyDescent="0.3">
      <c r="A10463" s="1192" t="s">
        <v>429</v>
      </c>
      <c r="E10463" s="1743" t="s">
        <v>3232</v>
      </c>
      <c r="F10463" s="1743"/>
      <c r="G10463" s="1743"/>
      <c r="H10463" s="1743"/>
      <c r="K10463" s="1192" t="s">
        <v>2543</v>
      </c>
      <c r="V10463" s="1192">
        <v>491</v>
      </c>
    </row>
    <row r="10464" spans="1:22" s="1192" customFormat="1" ht="14.4" x14ac:dyDescent="0.3">
      <c r="A10464" s="1192" t="s">
        <v>429</v>
      </c>
      <c r="E10464" s="2018" t="s">
        <v>2389</v>
      </c>
      <c r="F10464" s="1988"/>
      <c r="G10464" s="1988"/>
      <c r="H10464" s="1988"/>
      <c r="K10464" s="1192" t="s">
        <v>2430</v>
      </c>
      <c r="V10464" s="1192">
        <v>11</v>
      </c>
    </row>
    <row r="10465" spans="1:22" s="1192" customFormat="1" ht="14.4" x14ac:dyDescent="0.3">
      <c r="A10465" s="1192" t="s">
        <v>429</v>
      </c>
      <c r="E10465" s="1743" t="s">
        <v>2391</v>
      </c>
      <c r="F10465" s="1743"/>
      <c r="G10465" s="1743"/>
      <c r="H10465" s="1743"/>
      <c r="K10465" s="1192" t="s">
        <v>2543</v>
      </c>
      <c r="V10465" s="1192">
        <v>280</v>
      </c>
    </row>
    <row r="10466" spans="1:22" s="1192" customFormat="1" ht="14.4" x14ac:dyDescent="0.3">
      <c r="A10466" s="1192" t="s">
        <v>429</v>
      </c>
      <c r="E10466" s="1743" t="s">
        <v>2392</v>
      </c>
      <c r="F10466" s="1743"/>
      <c r="G10466" s="1743"/>
      <c r="H10466" s="1743"/>
      <c r="K10466" s="1192" t="s">
        <v>2543</v>
      </c>
      <c r="V10466" s="1192">
        <v>411</v>
      </c>
    </row>
    <row r="10467" spans="1:22" s="1192" customFormat="1" ht="14.4" x14ac:dyDescent="0.3">
      <c r="A10467" s="1192" t="s">
        <v>429</v>
      </c>
      <c r="E10467" s="1743" t="s">
        <v>2393</v>
      </c>
      <c r="F10467" s="1743"/>
      <c r="G10467" s="1743"/>
      <c r="H10467" s="1743"/>
      <c r="K10467" s="1192" t="s">
        <v>2543</v>
      </c>
      <c r="V10467" s="1192">
        <v>387</v>
      </c>
    </row>
    <row r="10468" spans="1:22" s="1192" customFormat="1" ht="14.4" x14ac:dyDescent="0.3">
      <c r="A10468" s="1192" t="s">
        <v>429</v>
      </c>
      <c r="E10468" s="1743" t="s">
        <v>2986</v>
      </c>
      <c r="F10468" s="1743"/>
      <c r="G10468" s="1743"/>
      <c r="H10468" s="1743"/>
      <c r="K10468" s="1192" t="s">
        <v>2543</v>
      </c>
      <c r="V10468" s="1192">
        <v>246</v>
      </c>
    </row>
    <row r="10469" spans="1:22" s="1192" customFormat="1" ht="14.4" x14ac:dyDescent="0.3">
      <c r="A10469" s="1192" t="s">
        <v>429</v>
      </c>
      <c r="E10469" s="2018" t="s">
        <v>2394</v>
      </c>
      <c r="F10469" s="1988"/>
      <c r="G10469" s="1988"/>
      <c r="H10469" s="1988"/>
      <c r="K10469" s="1192" t="s">
        <v>2431</v>
      </c>
      <c r="V10469" s="1192">
        <v>46</v>
      </c>
    </row>
    <row r="10470" spans="1:22" s="1192" customFormat="1" ht="14.4" x14ac:dyDescent="0.3">
      <c r="A10470" s="1192" t="s">
        <v>429</v>
      </c>
      <c r="E10470" s="1741" t="s">
        <v>8</v>
      </c>
      <c r="F10470" s="1741"/>
      <c r="G10470" s="1277" t="s">
        <v>19</v>
      </c>
      <c r="H10470" s="1218">
        <v>8.32</v>
      </c>
      <c r="K10470" s="1192" t="s">
        <v>2543</v>
      </c>
      <c r="L10470" s="1192" t="s">
        <v>430</v>
      </c>
      <c r="P10470" s="1192" t="s">
        <v>2545</v>
      </c>
      <c r="V10470" s="1192">
        <v>31</v>
      </c>
    </row>
    <row r="10471" spans="1:22" s="1192" customFormat="1" ht="14.4" x14ac:dyDescent="0.3">
      <c r="A10471" s="1192" t="s">
        <v>429</v>
      </c>
      <c r="E10471" s="1741" t="s">
        <v>80</v>
      </c>
      <c r="F10471" s="1741"/>
      <c r="G10471" s="1277" t="s">
        <v>20</v>
      </c>
      <c r="H10471" s="1219">
        <v>1.7600000000000001E-2</v>
      </c>
      <c r="K10471" s="1192" t="s">
        <v>2543</v>
      </c>
      <c r="L10471" s="1192" t="s">
        <v>430</v>
      </c>
      <c r="P10471" s="1192" t="s">
        <v>2546</v>
      </c>
      <c r="V10471" s="1192">
        <v>28</v>
      </c>
    </row>
    <row r="10472" spans="1:22" s="1192" customFormat="1" ht="14.4" x14ac:dyDescent="0.3">
      <c r="A10472" s="1192" t="s">
        <v>429</v>
      </c>
      <c r="E10472" s="1741" t="s">
        <v>14</v>
      </c>
      <c r="F10472" s="1741"/>
      <c r="G10472" s="1277" t="s">
        <v>20</v>
      </c>
      <c r="H10472" s="1219">
        <v>5.9999999999999995E-4</v>
      </c>
      <c r="K10472" s="1192" t="s">
        <v>2543</v>
      </c>
      <c r="L10472" s="1192" t="s">
        <v>431</v>
      </c>
      <c r="P10472" s="1192" t="s">
        <v>2547</v>
      </c>
      <c r="V10472" s="1192">
        <v>24</v>
      </c>
    </row>
    <row r="10473" spans="1:22" s="1192" customFormat="1" ht="14.4" x14ac:dyDescent="0.3">
      <c r="A10473" s="1192" t="s">
        <v>429</v>
      </c>
      <c r="E10473" s="1741" t="s">
        <v>213</v>
      </c>
      <c r="F10473" s="1741"/>
      <c r="G10473" s="1277" t="s">
        <v>20</v>
      </c>
      <c r="H10473" s="1219">
        <v>6.8999999999999999E-3</v>
      </c>
      <c r="K10473" s="1192" t="s">
        <v>2543</v>
      </c>
      <c r="L10473" s="1192" t="s">
        <v>432</v>
      </c>
      <c r="P10473" s="1192" t="s">
        <v>2550</v>
      </c>
      <c r="V10473" s="1192">
        <v>47</v>
      </c>
    </row>
    <row r="10474" spans="1:22" s="1192" customFormat="1" ht="14.4" x14ac:dyDescent="0.3">
      <c r="A10474" s="1192" t="s">
        <v>429</v>
      </c>
      <c r="E10474" s="1741" t="s">
        <v>209</v>
      </c>
      <c r="F10474" s="1741"/>
      <c r="G10474" s="1277" t="s">
        <v>20</v>
      </c>
      <c r="H10474" s="1219">
        <v>5.8999999999999999E-3</v>
      </c>
      <c r="K10474" s="1192" t="s">
        <v>2543</v>
      </c>
      <c r="L10474" s="1192" t="s">
        <v>432</v>
      </c>
      <c r="P10474" s="1192" t="s">
        <v>2551</v>
      </c>
      <c r="V10474" s="1192">
        <v>74</v>
      </c>
    </row>
    <row r="10475" spans="1:22" s="1192" customFormat="1" ht="14.4" x14ac:dyDescent="0.3">
      <c r="A10475" s="1192" t="s">
        <v>429</v>
      </c>
      <c r="E10475" s="1750" t="s">
        <v>2405</v>
      </c>
      <c r="F10475" s="1741"/>
      <c r="G10475" s="1277"/>
      <c r="H10475" s="896"/>
      <c r="K10475" s="1192" t="s">
        <v>2438</v>
      </c>
      <c r="V10475" s="1192">
        <v>48</v>
      </c>
    </row>
    <row r="10476" spans="1:22" s="1192" customFormat="1" ht="14.4" x14ac:dyDescent="0.3">
      <c r="A10476" s="1192" t="s">
        <v>429</v>
      </c>
      <c r="E10476" s="1741" t="s">
        <v>2033</v>
      </c>
      <c r="F10476" s="1741"/>
      <c r="G10476" s="1277" t="s">
        <v>20</v>
      </c>
      <c r="H10476" s="1219">
        <v>3.0000000000000001E-3</v>
      </c>
      <c r="K10476" s="1192" t="s">
        <v>2543</v>
      </c>
      <c r="L10476" s="1192" t="s">
        <v>2374</v>
      </c>
      <c r="P10476" s="1192" t="s">
        <v>2552</v>
      </c>
      <c r="V10476" s="1192">
        <v>55</v>
      </c>
    </row>
    <row r="10477" spans="1:22" s="1192" customFormat="1" ht="14.4" x14ac:dyDescent="0.3">
      <c r="A10477" s="1192" t="s">
        <v>429</v>
      </c>
      <c r="E10477" s="1741" t="s">
        <v>2034</v>
      </c>
      <c r="F10477" s="1741"/>
      <c r="G10477" s="1277" t="s">
        <v>20</v>
      </c>
      <c r="H10477" s="1219">
        <v>4.0000000000000002E-4</v>
      </c>
      <c r="K10477" s="1192" t="s">
        <v>2543</v>
      </c>
      <c r="L10477" s="1192" t="s">
        <v>2374</v>
      </c>
      <c r="P10477" s="1192" t="s">
        <v>2552</v>
      </c>
      <c r="V10477" s="1192">
        <v>65</v>
      </c>
    </row>
    <row r="10478" spans="1:22" s="1192" customFormat="1" ht="14.4" x14ac:dyDescent="0.3">
      <c r="A10478" s="1192" t="s">
        <v>429</v>
      </c>
      <c r="E10478" s="1741" t="s">
        <v>428</v>
      </c>
      <c r="F10478" s="1741"/>
      <c r="G10478" s="1277" t="s">
        <v>20</v>
      </c>
      <c r="H10478" s="1219">
        <v>5.0000000000000001E-4</v>
      </c>
      <c r="K10478" s="1192" t="s">
        <v>2543</v>
      </c>
      <c r="L10478" s="1192" t="s">
        <v>2374</v>
      </c>
      <c r="P10478" s="1192" t="s">
        <v>2553</v>
      </c>
      <c r="V10478" s="1192">
        <v>57</v>
      </c>
    </row>
    <row r="10479" spans="1:22" s="1192" customFormat="1" ht="14.4" x14ac:dyDescent="0.3">
      <c r="A10479" s="1192" t="s">
        <v>429</v>
      </c>
      <c r="E10479" s="1741" t="s">
        <v>28</v>
      </c>
      <c r="F10479" s="1741"/>
      <c r="G10479" s="1277" t="s">
        <v>19</v>
      </c>
      <c r="H10479" s="1218">
        <v>0.25</v>
      </c>
      <c r="K10479" s="1192" t="s">
        <v>2543</v>
      </c>
      <c r="L10479" s="1192" t="s">
        <v>2374</v>
      </c>
      <c r="P10479" s="1192" t="s">
        <v>2554</v>
      </c>
      <c r="V10479" s="1192">
        <v>63</v>
      </c>
    </row>
    <row r="10480" spans="1:22" s="1192" customFormat="1" ht="17.399999999999999" x14ac:dyDescent="0.3">
      <c r="A10480" s="1192" t="s">
        <v>429</v>
      </c>
      <c r="E10480" s="2017" t="s">
        <v>604</v>
      </c>
      <c r="F10480" s="1987"/>
      <c r="G10480" s="1987"/>
      <c r="H10480" s="1987"/>
      <c r="K10480" s="1192" t="s">
        <v>2555</v>
      </c>
      <c r="V10480" s="1192">
        <v>40</v>
      </c>
    </row>
    <row r="10481" spans="1:22" s="1192" customFormat="1" ht="14.4" x14ac:dyDescent="0.3">
      <c r="A10481" s="1192" t="s">
        <v>429</v>
      </c>
      <c r="E10481" s="1743" t="s">
        <v>3233</v>
      </c>
      <c r="F10481" s="1743"/>
      <c r="G10481" s="1743"/>
      <c r="H10481" s="1743"/>
      <c r="K10481" s="1192" t="s">
        <v>2555</v>
      </c>
      <c r="V10481" s="1192">
        <v>240</v>
      </c>
    </row>
    <row r="10482" spans="1:22" s="1192" customFormat="1" ht="14.4" x14ac:dyDescent="0.3">
      <c r="A10482" s="1192" t="s">
        <v>429</v>
      </c>
      <c r="E10482" s="2018" t="s">
        <v>2389</v>
      </c>
      <c r="F10482" s="1988"/>
      <c r="G10482" s="1988"/>
      <c r="H10482" s="1988"/>
      <c r="K10482" s="1192" t="s">
        <v>2444</v>
      </c>
      <c r="V10482" s="1192">
        <v>11</v>
      </c>
    </row>
    <row r="10483" spans="1:22" s="1192" customFormat="1" ht="14.4" x14ac:dyDescent="0.3">
      <c r="A10483" s="1192" t="s">
        <v>429</v>
      </c>
      <c r="E10483" s="1743" t="s">
        <v>2391</v>
      </c>
      <c r="F10483" s="1743"/>
      <c r="G10483" s="1743"/>
      <c r="H10483" s="1743"/>
      <c r="K10483" s="1192" t="s">
        <v>2555</v>
      </c>
      <c r="V10483" s="1192">
        <v>280</v>
      </c>
    </row>
    <row r="10484" spans="1:22" s="1192" customFormat="1" ht="14.4" x14ac:dyDescent="0.3">
      <c r="A10484" s="1192" t="s">
        <v>429</v>
      </c>
      <c r="E10484" s="1743" t="s">
        <v>2392</v>
      </c>
      <c r="F10484" s="1743"/>
      <c r="G10484" s="1743"/>
      <c r="H10484" s="1743"/>
      <c r="K10484" s="1192" t="s">
        <v>2555</v>
      </c>
      <c r="V10484" s="1192">
        <v>411</v>
      </c>
    </row>
    <row r="10485" spans="1:22" s="1192" customFormat="1" ht="14.4" x14ac:dyDescent="0.3">
      <c r="A10485" s="1192" t="s">
        <v>429</v>
      </c>
      <c r="E10485" s="1743" t="s">
        <v>2393</v>
      </c>
      <c r="F10485" s="1743"/>
      <c r="G10485" s="1743"/>
      <c r="H10485" s="1743"/>
      <c r="K10485" s="1192" t="s">
        <v>2555</v>
      </c>
      <c r="V10485" s="1192">
        <v>387</v>
      </c>
    </row>
    <row r="10486" spans="1:22" s="1192" customFormat="1" ht="14.4" x14ac:dyDescent="0.3">
      <c r="A10486" s="1192" t="s">
        <v>429</v>
      </c>
      <c r="E10486" s="1743" t="s">
        <v>2986</v>
      </c>
      <c r="F10486" s="1743"/>
      <c r="G10486" s="1743"/>
      <c r="H10486" s="1743"/>
      <c r="K10486" s="1192" t="s">
        <v>2555</v>
      </c>
      <c r="V10486" s="1192">
        <v>246</v>
      </c>
    </row>
    <row r="10487" spans="1:22" s="1192" customFormat="1" ht="14.4" x14ac:dyDescent="0.3">
      <c r="A10487" s="1192" t="s">
        <v>429</v>
      </c>
      <c r="E10487" s="2018" t="s">
        <v>2394</v>
      </c>
      <c r="F10487" s="1988"/>
      <c r="G10487" s="1988"/>
      <c r="H10487" s="1988"/>
      <c r="K10487" s="1192" t="s">
        <v>2446</v>
      </c>
      <c r="V10487" s="1192">
        <v>46</v>
      </c>
    </row>
    <row r="10488" spans="1:22" s="1192" customFormat="1" ht="14.4" x14ac:dyDescent="0.3">
      <c r="A10488" s="1192" t="s">
        <v>429</v>
      </c>
      <c r="E10488" s="1741" t="s">
        <v>8</v>
      </c>
      <c r="F10488" s="1741"/>
      <c r="G10488" s="1277" t="s">
        <v>19</v>
      </c>
      <c r="H10488" s="1218">
        <v>5.35</v>
      </c>
      <c r="K10488" s="1192" t="s">
        <v>2555</v>
      </c>
      <c r="L10488" s="1192" t="s">
        <v>430</v>
      </c>
      <c r="P10488" s="1192" t="s">
        <v>2557</v>
      </c>
      <c r="V10488" s="1192">
        <v>31</v>
      </c>
    </row>
    <row r="10489" spans="1:22" s="1192" customFormat="1" ht="14.4" x14ac:dyDescent="0.3">
      <c r="A10489" s="1192" t="s">
        <v>429</v>
      </c>
      <c r="E10489" s="1741" t="s">
        <v>80</v>
      </c>
      <c r="F10489" s="1741"/>
      <c r="G10489" s="1277" t="s">
        <v>29</v>
      </c>
      <c r="H10489" s="1219">
        <v>40.509900000000002</v>
      </c>
      <c r="K10489" s="1192" t="s">
        <v>2555</v>
      </c>
      <c r="L10489" s="1192" t="s">
        <v>430</v>
      </c>
      <c r="P10489" s="1192" t="s">
        <v>2558</v>
      </c>
      <c r="V10489" s="1192">
        <v>28</v>
      </c>
    </row>
    <row r="10490" spans="1:22" s="1192" customFormat="1" ht="14.4" x14ac:dyDescent="0.3">
      <c r="A10490" s="1192" t="s">
        <v>429</v>
      </c>
      <c r="E10490" s="1741" t="s">
        <v>14</v>
      </c>
      <c r="F10490" s="1741"/>
      <c r="G10490" s="1277" t="s">
        <v>29</v>
      </c>
      <c r="H10490" s="1219">
        <v>0.17860000000000001</v>
      </c>
      <c r="K10490" s="1192" t="s">
        <v>2555</v>
      </c>
      <c r="L10490" s="1192" t="s">
        <v>431</v>
      </c>
      <c r="P10490" s="1192" t="s">
        <v>2559</v>
      </c>
      <c r="V10490" s="1192">
        <v>24</v>
      </c>
    </row>
    <row r="10491" spans="1:22" s="1192" customFormat="1" ht="14.4" x14ac:dyDescent="0.3">
      <c r="A10491" s="1192" t="s">
        <v>429</v>
      </c>
      <c r="E10491" s="1741" t="s">
        <v>213</v>
      </c>
      <c r="F10491" s="1741"/>
      <c r="G10491" s="1277" t="s">
        <v>29</v>
      </c>
      <c r="H10491" s="1219">
        <v>2.1065999999999998</v>
      </c>
      <c r="K10491" s="1192" t="s">
        <v>2555</v>
      </c>
      <c r="L10491" s="1192" t="s">
        <v>432</v>
      </c>
      <c r="P10491" s="1192" t="s">
        <v>2563</v>
      </c>
      <c r="V10491" s="1192">
        <v>47</v>
      </c>
    </row>
    <row r="10492" spans="1:22" s="1192" customFormat="1" ht="14.4" x14ac:dyDescent="0.3">
      <c r="A10492" s="1192" t="s">
        <v>429</v>
      </c>
      <c r="E10492" s="1741" t="s">
        <v>209</v>
      </c>
      <c r="F10492" s="1741"/>
      <c r="G10492" s="1277" t="s">
        <v>29</v>
      </c>
      <c r="H10492" s="1219">
        <v>1.8472</v>
      </c>
      <c r="K10492" s="1192" t="s">
        <v>2555</v>
      </c>
      <c r="L10492" s="1192" t="s">
        <v>432</v>
      </c>
      <c r="P10492" s="1192" t="s">
        <v>2564</v>
      </c>
      <c r="V10492" s="1192">
        <v>74</v>
      </c>
    </row>
    <row r="10493" spans="1:22" s="1192" customFormat="1" ht="14.4" x14ac:dyDescent="0.3">
      <c r="A10493" s="1192" t="s">
        <v>429</v>
      </c>
      <c r="E10493" s="1750" t="s">
        <v>2405</v>
      </c>
      <c r="F10493" s="1741"/>
      <c r="G10493" s="1277"/>
      <c r="H10493" s="896"/>
      <c r="K10493" s="1192" t="s">
        <v>2565</v>
      </c>
      <c r="V10493" s="1192">
        <v>48</v>
      </c>
    </row>
    <row r="10494" spans="1:22" s="1192" customFormat="1" ht="14.4" x14ac:dyDescent="0.3">
      <c r="A10494" s="1192" t="s">
        <v>429</v>
      </c>
      <c r="E10494" s="1741" t="s">
        <v>2033</v>
      </c>
      <c r="F10494" s="1741"/>
      <c r="G10494" s="1277" t="s">
        <v>20</v>
      </c>
      <c r="H10494" s="1219">
        <v>3.0000000000000001E-3</v>
      </c>
      <c r="K10494" s="1192" t="s">
        <v>2555</v>
      </c>
      <c r="L10494" s="1192" t="s">
        <v>2374</v>
      </c>
      <c r="P10494" s="1192" t="s">
        <v>2566</v>
      </c>
      <c r="V10494" s="1192">
        <v>55</v>
      </c>
    </row>
    <row r="10495" spans="1:22" s="1192" customFormat="1" ht="14.4" x14ac:dyDescent="0.3">
      <c r="A10495" s="1192" t="s">
        <v>429</v>
      </c>
      <c r="E10495" s="1741" t="s">
        <v>2034</v>
      </c>
      <c r="F10495" s="1741"/>
      <c r="G10495" s="1277" t="s">
        <v>20</v>
      </c>
      <c r="H10495" s="1219">
        <v>4.0000000000000002E-4</v>
      </c>
      <c r="K10495" s="1192" t="s">
        <v>2555</v>
      </c>
      <c r="L10495" s="1192" t="s">
        <v>2374</v>
      </c>
      <c r="P10495" s="1192" t="s">
        <v>2566</v>
      </c>
      <c r="V10495" s="1192">
        <v>65</v>
      </c>
    </row>
    <row r="10496" spans="1:22" s="1192" customFormat="1" ht="14.4" x14ac:dyDescent="0.3">
      <c r="A10496" s="1192" t="s">
        <v>429</v>
      </c>
      <c r="E10496" s="1741" t="s">
        <v>428</v>
      </c>
      <c r="F10496" s="1741"/>
      <c r="G10496" s="1277" t="s">
        <v>20</v>
      </c>
      <c r="H10496" s="1219">
        <v>5.0000000000000001E-4</v>
      </c>
      <c r="K10496" s="1192" t="s">
        <v>2555</v>
      </c>
      <c r="L10496" s="1192" t="s">
        <v>2374</v>
      </c>
      <c r="P10496" s="1192" t="s">
        <v>2567</v>
      </c>
      <c r="V10496" s="1192">
        <v>57</v>
      </c>
    </row>
    <row r="10497" spans="1:22" s="1192" customFormat="1" ht="14.4" x14ac:dyDescent="0.3">
      <c r="A10497" s="1192" t="s">
        <v>429</v>
      </c>
      <c r="E10497" s="1741" t="s">
        <v>28</v>
      </c>
      <c r="F10497" s="1741"/>
      <c r="G10497" s="1277" t="s">
        <v>19</v>
      </c>
      <c r="H10497" s="1218">
        <v>0.25</v>
      </c>
      <c r="K10497" s="1192" t="s">
        <v>2555</v>
      </c>
      <c r="L10497" s="1192" t="s">
        <v>2374</v>
      </c>
      <c r="P10497" s="1192" t="s">
        <v>2568</v>
      </c>
      <c r="V10497" s="1192">
        <v>63</v>
      </c>
    </row>
    <row r="10498" spans="1:22" s="1192" customFormat="1" ht="17.399999999999999" x14ac:dyDescent="0.3">
      <c r="A10498" s="1192" t="s">
        <v>429</v>
      </c>
      <c r="E10498" s="2017" t="s">
        <v>590</v>
      </c>
      <c r="F10498" s="1987"/>
      <c r="G10498" s="1987"/>
      <c r="H10498" s="1987"/>
      <c r="K10498" s="1192" t="s">
        <v>2569</v>
      </c>
      <c r="V10498" s="1192">
        <v>38</v>
      </c>
    </row>
    <row r="10499" spans="1:22" s="1192" customFormat="1" ht="14.4" x14ac:dyDescent="0.3">
      <c r="A10499" s="1192" t="s">
        <v>429</v>
      </c>
      <c r="E10499" s="1743" t="s">
        <v>3234</v>
      </c>
      <c r="F10499" s="1743"/>
      <c r="G10499" s="1743"/>
      <c r="H10499" s="1743"/>
      <c r="K10499" s="1192" t="s">
        <v>2569</v>
      </c>
      <c r="V10499" s="1192">
        <v>297</v>
      </c>
    </row>
    <row r="10500" spans="1:22" s="1192" customFormat="1" ht="14.4" x14ac:dyDescent="0.3">
      <c r="A10500" s="1192" t="s">
        <v>429</v>
      </c>
      <c r="E10500" s="2018" t="s">
        <v>2389</v>
      </c>
      <c r="F10500" s="1988"/>
      <c r="G10500" s="1988"/>
      <c r="H10500" s="1988"/>
      <c r="K10500" s="1192" t="s">
        <v>2571</v>
      </c>
      <c r="V10500" s="1192">
        <v>11</v>
      </c>
    </row>
    <row r="10501" spans="1:22" s="1192" customFormat="1" ht="14.4" x14ac:dyDescent="0.3">
      <c r="A10501" s="1192" t="s">
        <v>429</v>
      </c>
      <c r="E10501" s="1743" t="s">
        <v>2391</v>
      </c>
      <c r="F10501" s="1743"/>
      <c r="G10501" s="1743"/>
      <c r="H10501" s="1743"/>
      <c r="K10501" s="1192" t="s">
        <v>2569</v>
      </c>
      <c r="V10501" s="1192">
        <v>280</v>
      </c>
    </row>
    <row r="10502" spans="1:22" s="1192" customFormat="1" ht="14.4" x14ac:dyDescent="0.3">
      <c r="A10502" s="1192" t="s">
        <v>429</v>
      </c>
      <c r="E10502" s="1743" t="s">
        <v>2392</v>
      </c>
      <c r="F10502" s="1743"/>
      <c r="G10502" s="1743"/>
      <c r="H10502" s="1743"/>
      <c r="K10502" s="1192" t="s">
        <v>2569</v>
      </c>
      <c r="V10502" s="1192">
        <v>411</v>
      </c>
    </row>
    <row r="10503" spans="1:22" s="1192" customFormat="1" ht="14.4" x14ac:dyDescent="0.3">
      <c r="A10503" s="1192" t="s">
        <v>429</v>
      </c>
      <c r="E10503" s="1743" t="s">
        <v>2393</v>
      </c>
      <c r="F10503" s="1743"/>
      <c r="G10503" s="1743"/>
      <c r="H10503" s="1743"/>
      <c r="K10503" s="1192" t="s">
        <v>2569</v>
      </c>
      <c r="V10503" s="1192">
        <v>387</v>
      </c>
    </row>
    <row r="10504" spans="1:22" s="1192" customFormat="1" ht="14.4" x14ac:dyDescent="0.3">
      <c r="A10504" s="1192" t="s">
        <v>429</v>
      </c>
      <c r="E10504" s="1743" t="s">
        <v>2986</v>
      </c>
      <c r="F10504" s="1743"/>
      <c r="G10504" s="1743"/>
      <c r="H10504" s="1743"/>
      <c r="K10504" s="1192" t="s">
        <v>2569</v>
      </c>
      <c r="V10504" s="1192">
        <v>246</v>
      </c>
    </row>
    <row r="10505" spans="1:22" s="1192" customFormat="1" ht="14.4" x14ac:dyDescent="0.3">
      <c r="A10505" s="1192" t="s">
        <v>429</v>
      </c>
      <c r="E10505" s="2018" t="s">
        <v>2394</v>
      </c>
      <c r="F10505" s="1988"/>
      <c r="G10505" s="1988"/>
      <c r="H10505" s="1988"/>
      <c r="K10505" s="1192" t="s">
        <v>2572</v>
      </c>
      <c r="V10505" s="1192">
        <v>46</v>
      </c>
    </row>
    <row r="10506" spans="1:22" s="1192" customFormat="1" ht="14.4" x14ac:dyDescent="0.3">
      <c r="A10506" s="1192" t="s">
        <v>429</v>
      </c>
      <c r="E10506" s="1741" t="s">
        <v>8</v>
      </c>
      <c r="F10506" s="1741"/>
      <c r="G10506" s="1277" t="s">
        <v>19</v>
      </c>
      <c r="H10506" s="1218">
        <v>2.5499999999999998</v>
      </c>
      <c r="K10506" s="1192" t="s">
        <v>2569</v>
      </c>
      <c r="L10506" s="1192" t="s">
        <v>430</v>
      </c>
      <c r="P10506" s="1192" t="s">
        <v>2573</v>
      </c>
      <c r="V10506" s="1192">
        <v>31</v>
      </c>
    </row>
    <row r="10507" spans="1:22" s="1192" customFormat="1" ht="14.4" x14ac:dyDescent="0.3">
      <c r="A10507" s="1192" t="s">
        <v>429</v>
      </c>
      <c r="E10507" s="1741" t="s">
        <v>80</v>
      </c>
      <c r="F10507" s="1741"/>
      <c r="G10507" s="1277" t="s">
        <v>29</v>
      </c>
      <c r="H10507" s="1219">
        <v>11.152799999999999</v>
      </c>
      <c r="K10507" s="1192" t="s">
        <v>2569</v>
      </c>
      <c r="L10507" s="1192" t="s">
        <v>430</v>
      </c>
      <c r="P10507" s="1192" t="s">
        <v>2574</v>
      </c>
      <c r="V10507" s="1192">
        <v>28</v>
      </c>
    </row>
    <row r="10508" spans="1:22" s="1192" customFormat="1" ht="14.4" x14ac:dyDescent="0.3">
      <c r="A10508" s="1192" t="s">
        <v>429</v>
      </c>
      <c r="E10508" s="1741" t="s">
        <v>14</v>
      </c>
      <c r="F10508" s="1741"/>
      <c r="G10508" s="1277" t="s">
        <v>29</v>
      </c>
      <c r="H10508" s="1219">
        <v>0.1749</v>
      </c>
      <c r="K10508" s="1192" t="s">
        <v>2569</v>
      </c>
      <c r="L10508" s="1192" t="s">
        <v>431</v>
      </c>
      <c r="P10508" s="1192" t="s">
        <v>2575</v>
      </c>
      <c r="V10508" s="1192">
        <v>24</v>
      </c>
    </row>
    <row r="10509" spans="1:22" s="1192" customFormat="1" ht="14.4" x14ac:dyDescent="0.3">
      <c r="A10509" s="1192" t="s">
        <v>429</v>
      </c>
      <c r="E10509" s="1741" t="s">
        <v>213</v>
      </c>
      <c r="F10509" s="1741"/>
      <c r="G10509" s="1277" t="s">
        <v>29</v>
      </c>
      <c r="H10509" s="1219">
        <v>2.0956999999999999</v>
      </c>
      <c r="K10509" s="1192" t="s">
        <v>2569</v>
      </c>
      <c r="L10509" s="1192" t="s">
        <v>432</v>
      </c>
      <c r="P10509" s="1192" t="s">
        <v>2579</v>
      </c>
      <c r="V10509" s="1192">
        <v>47</v>
      </c>
    </row>
    <row r="10510" spans="1:22" s="1192" customFormat="1" ht="14.4" x14ac:dyDescent="0.3">
      <c r="A10510" s="1192" t="s">
        <v>429</v>
      </c>
      <c r="E10510" s="1741" t="s">
        <v>209</v>
      </c>
      <c r="F10510" s="1741"/>
      <c r="G10510" s="1277" t="s">
        <v>29</v>
      </c>
      <c r="H10510" s="1219">
        <v>1.8091999999999999</v>
      </c>
      <c r="K10510" s="1192" t="s">
        <v>2569</v>
      </c>
      <c r="L10510" s="1192" t="s">
        <v>432</v>
      </c>
      <c r="P10510" s="1192" t="s">
        <v>2580</v>
      </c>
      <c r="V10510" s="1192">
        <v>74</v>
      </c>
    </row>
    <row r="10511" spans="1:22" s="1192" customFormat="1" ht="14.4" x14ac:dyDescent="0.3">
      <c r="A10511" s="1192" t="s">
        <v>429</v>
      </c>
      <c r="E10511" s="1750" t="s">
        <v>2405</v>
      </c>
      <c r="F10511" s="1741"/>
      <c r="G10511" s="1277"/>
      <c r="H10511" s="896"/>
      <c r="K10511" s="1192" t="s">
        <v>2581</v>
      </c>
      <c r="V10511" s="1192">
        <v>48</v>
      </c>
    </row>
    <row r="10512" spans="1:22" s="1192" customFormat="1" ht="14.4" x14ac:dyDescent="0.3">
      <c r="A10512" s="1192" t="s">
        <v>429</v>
      </c>
      <c r="E10512" s="1741" t="s">
        <v>2033</v>
      </c>
      <c r="F10512" s="1741"/>
      <c r="G10512" s="1277" t="s">
        <v>20</v>
      </c>
      <c r="H10512" s="1219">
        <v>3.0000000000000001E-3</v>
      </c>
      <c r="K10512" s="1192" t="s">
        <v>2569</v>
      </c>
      <c r="L10512" s="1192" t="s">
        <v>2374</v>
      </c>
      <c r="P10512" s="1192" t="s">
        <v>2582</v>
      </c>
      <c r="V10512" s="1192">
        <v>55</v>
      </c>
    </row>
    <row r="10513" spans="1:22" s="1192" customFormat="1" ht="14.4" x14ac:dyDescent="0.3">
      <c r="A10513" s="1192" t="s">
        <v>429</v>
      </c>
      <c r="E10513" s="1741" t="s">
        <v>2034</v>
      </c>
      <c r="F10513" s="1741"/>
      <c r="G10513" s="1277" t="s">
        <v>20</v>
      </c>
      <c r="H10513" s="1219">
        <v>4.0000000000000002E-4</v>
      </c>
      <c r="K10513" s="1192" t="s">
        <v>2569</v>
      </c>
      <c r="L10513" s="1192" t="s">
        <v>2374</v>
      </c>
      <c r="P10513" s="1192" t="s">
        <v>2582</v>
      </c>
      <c r="V10513" s="1192">
        <v>65</v>
      </c>
    </row>
    <row r="10514" spans="1:22" s="1192" customFormat="1" ht="14.4" x14ac:dyDescent="0.3">
      <c r="A10514" s="1192" t="s">
        <v>429</v>
      </c>
      <c r="E10514" s="1741" t="s">
        <v>428</v>
      </c>
      <c r="F10514" s="1741"/>
      <c r="G10514" s="1277" t="s">
        <v>20</v>
      </c>
      <c r="H10514" s="1219">
        <v>5.0000000000000001E-4</v>
      </c>
      <c r="K10514" s="1192" t="s">
        <v>2569</v>
      </c>
      <c r="L10514" s="1192" t="s">
        <v>2374</v>
      </c>
      <c r="P10514" s="1192" t="s">
        <v>2583</v>
      </c>
      <c r="V10514" s="1192">
        <v>57</v>
      </c>
    </row>
    <row r="10515" spans="1:22" s="1192" customFormat="1" ht="14.4" x14ac:dyDescent="0.3">
      <c r="A10515" s="1192" t="s">
        <v>429</v>
      </c>
      <c r="E10515" s="1741" t="s">
        <v>28</v>
      </c>
      <c r="F10515" s="1741"/>
      <c r="G10515" s="1277" t="s">
        <v>19</v>
      </c>
      <c r="H10515" s="1218">
        <v>0.25</v>
      </c>
      <c r="K10515" s="1192" t="s">
        <v>2569</v>
      </c>
      <c r="L10515" s="1192" t="s">
        <v>2374</v>
      </c>
      <c r="P10515" s="1192" t="s">
        <v>2584</v>
      </c>
      <c r="V10515" s="1192">
        <v>63</v>
      </c>
    </row>
    <row r="10516" spans="1:22" s="1192" customFormat="1" ht="17.399999999999999" x14ac:dyDescent="0.3">
      <c r="A10516" s="1192" t="s">
        <v>429</v>
      </c>
      <c r="E10516" s="2017" t="s">
        <v>593</v>
      </c>
      <c r="F10516" s="1987"/>
      <c r="G10516" s="1987"/>
      <c r="H10516" s="1987"/>
      <c r="K10516" s="1192" t="s">
        <v>2585</v>
      </c>
      <c r="V10516" s="1192">
        <v>31</v>
      </c>
    </row>
    <row r="10517" spans="1:22" s="1192" customFormat="1" ht="14.4" x14ac:dyDescent="0.3">
      <c r="A10517" s="1192" t="s">
        <v>429</v>
      </c>
      <c r="E10517" s="1743" t="s">
        <v>3235</v>
      </c>
      <c r="F10517" s="1743"/>
      <c r="G10517" s="1743"/>
      <c r="H10517" s="1743"/>
      <c r="K10517" s="1192" t="s">
        <v>2585</v>
      </c>
      <c r="V10517" s="1192">
        <v>284</v>
      </c>
    </row>
    <row r="10518" spans="1:22" s="1192" customFormat="1" ht="14.4" x14ac:dyDescent="0.3">
      <c r="A10518" s="1192" t="s">
        <v>429</v>
      </c>
      <c r="E10518" s="2018" t="s">
        <v>2389</v>
      </c>
      <c r="F10518" s="1988"/>
      <c r="G10518" s="1988"/>
      <c r="H10518" s="1988"/>
      <c r="K10518" s="1192" t="s">
        <v>2586</v>
      </c>
      <c r="V10518" s="1192">
        <v>11</v>
      </c>
    </row>
    <row r="10519" spans="1:22" s="1192" customFormat="1" ht="14.4" x14ac:dyDescent="0.3">
      <c r="A10519" s="1192" t="s">
        <v>429</v>
      </c>
      <c r="E10519" s="1743" t="s">
        <v>2391</v>
      </c>
      <c r="F10519" s="1743"/>
      <c r="G10519" s="1743"/>
      <c r="H10519" s="1743"/>
      <c r="K10519" s="1192" t="s">
        <v>2585</v>
      </c>
      <c r="V10519" s="1192">
        <v>280</v>
      </c>
    </row>
    <row r="10520" spans="1:22" s="1192" customFormat="1" ht="14.4" x14ac:dyDescent="0.3">
      <c r="A10520" s="1192" t="s">
        <v>429</v>
      </c>
      <c r="E10520" s="1743" t="s">
        <v>2392</v>
      </c>
      <c r="F10520" s="1743"/>
      <c r="G10520" s="1743"/>
      <c r="H10520" s="1743"/>
      <c r="K10520" s="1192" t="s">
        <v>2585</v>
      </c>
      <c r="V10520" s="1192">
        <v>411</v>
      </c>
    </row>
    <row r="10521" spans="1:22" s="1192" customFormat="1" ht="14.4" x14ac:dyDescent="0.3">
      <c r="A10521" s="1192" t="s">
        <v>429</v>
      </c>
      <c r="E10521" s="1743" t="s">
        <v>2445</v>
      </c>
      <c r="F10521" s="1743"/>
      <c r="G10521" s="1743"/>
      <c r="H10521" s="1743"/>
      <c r="K10521" s="1192" t="s">
        <v>2585</v>
      </c>
      <c r="V10521" s="1192">
        <v>211</v>
      </c>
    </row>
    <row r="10522" spans="1:22" s="1192" customFormat="1" ht="14.4" x14ac:dyDescent="0.3">
      <c r="A10522" s="1192" t="s">
        <v>429</v>
      </c>
      <c r="E10522" s="1743" t="s">
        <v>2986</v>
      </c>
      <c r="F10522" s="1743"/>
      <c r="G10522" s="1743"/>
      <c r="H10522" s="1743"/>
      <c r="K10522" s="1192" t="s">
        <v>2585</v>
      </c>
      <c r="V10522" s="1192">
        <v>246</v>
      </c>
    </row>
    <row r="10523" spans="1:22" s="1192" customFormat="1" ht="14.4" x14ac:dyDescent="0.3">
      <c r="A10523" s="1192" t="s">
        <v>429</v>
      </c>
      <c r="E10523" s="2018" t="s">
        <v>2394</v>
      </c>
      <c r="F10523" s="1988"/>
      <c r="G10523" s="1988"/>
      <c r="H10523" s="1988"/>
      <c r="K10523" s="1192" t="s">
        <v>2587</v>
      </c>
      <c r="V10523" s="1192">
        <v>46</v>
      </c>
    </row>
    <row r="10524" spans="1:22" s="1192" customFormat="1" ht="14.4" x14ac:dyDescent="0.3">
      <c r="A10524" s="1192" t="s">
        <v>429</v>
      </c>
      <c r="E10524" s="1741" t="s">
        <v>7</v>
      </c>
      <c r="F10524" s="1741"/>
      <c r="G10524" s="1277" t="s">
        <v>19</v>
      </c>
      <c r="H10524" s="1218">
        <v>4.55</v>
      </c>
      <c r="K10524" s="1192" t="s">
        <v>2585</v>
      </c>
      <c r="L10524" s="1192" t="s">
        <v>430</v>
      </c>
      <c r="P10524" s="1192" t="s">
        <v>2588</v>
      </c>
      <c r="V10524" s="1192">
        <v>14</v>
      </c>
    </row>
    <row r="10525" spans="1:22" s="1192" customFormat="1" ht="17.399999999999999" x14ac:dyDescent="0.3">
      <c r="A10525" s="1192" t="s">
        <v>429</v>
      </c>
      <c r="E10525" s="1269" t="s">
        <v>81</v>
      </c>
      <c r="F10525" s="592"/>
      <c r="G10525" s="592"/>
      <c r="H10525" s="939"/>
      <c r="K10525" s="1192" t="s">
        <v>3236</v>
      </c>
      <c r="V10525" s="1192">
        <v>10</v>
      </c>
    </row>
    <row r="10526" spans="1:22" s="1192" customFormat="1" ht="14.4" x14ac:dyDescent="0.3">
      <c r="A10526" s="1192" t="s">
        <v>429</v>
      </c>
      <c r="E10526" s="1741" t="s">
        <v>2449</v>
      </c>
      <c r="F10526" s="1741"/>
      <c r="G10526" s="1277" t="s">
        <v>29</v>
      </c>
      <c r="H10526" s="1219">
        <v>-0.6</v>
      </c>
      <c r="V10526" s="1192">
        <v>68</v>
      </c>
    </row>
    <row r="10527" spans="1:22" s="1192" customFormat="1" ht="14.4" x14ac:dyDescent="0.3">
      <c r="A10527" s="1192" t="s">
        <v>429</v>
      </c>
      <c r="E10527" s="1741" t="s">
        <v>2450</v>
      </c>
      <c r="F10527" s="1741"/>
      <c r="G10527" s="1277" t="s">
        <v>82</v>
      </c>
      <c r="H10527" s="1218">
        <v>-1</v>
      </c>
      <c r="V10527" s="1192">
        <v>87</v>
      </c>
    </row>
    <row r="10528" spans="1:22" s="1192" customFormat="1" ht="17.399999999999999" x14ac:dyDescent="0.3">
      <c r="A10528" s="1192" t="s">
        <v>429</v>
      </c>
      <c r="E10528" s="1269" t="s">
        <v>83</v>
      </c>
      <c r="F10528" s="592"/>
      <c r="G10528" s="592"/>
      <c r="H10528" s="939"/>
      <c r="K10528" s="1192" t="s">
        <v>3237</v>
      </c>
      <c r="V10528" s="1192">
        <v>24</v>
      </c>
    </row>
    <row r="10529" spans="1:22" s="1192" customFormat="1" ht="14.4" x14ac:dyDescent="0.3">
      <c r="A10529" s="1192" t="s">
        <v>429</v>
      </c>
      <c r="E10529" s="1743" t="s">
        <v>2391</v>
      </c>
      <c r="F10529" s="1743"/>
      <c r="G10529" s="1743"/>
      <c r="H10529" s="1743"/>
      <c r="V10529" s="1192">
        <v>280</v>
      </c>
    </row>
    <row r="10530" spans="1:22" s="1192" customFormat="1" ht="14.4" x14ac:dyDescent="0.3">
      <c r="A10530" s="1192" t="s">
        <v>429</v>
      </c>
      <c r="E10530" s="1743" t="s">
        <v>3238</v>
      </c>
      <c r="F10530" s="1743"/>
      <c r="G10530" s="1743"/>
      <c r="H10530" s="1743"/>
      <c r="V10530" s="1192">
        <v>355</v>
      </c>
    </row>
    <row r="10531" spans="1:22" s="1192" customFormat="1" ht="14.4" x14ac:dyDescent="0.3">
      <c r="A10531" s="1192" t="s">
        <v>429</v>
      </c>
      <c r="E10531" s="1743" t="s">
        <v>4500</v>
      </c>
      <c r="F10531" s="1743"/>
      <c r="G10531" s="1743"/>
      <c r="H10531" s="1743"/>
      <c r="V10531" s="1192">
        <v>247</v>
      </c>
    </row>
    <row r="10532" spans="1:22" s="1192" customFormat="1" ht="14.4" x14ac:dyDescent="0.3">
      <c r="A10532" s="1192" t="s">
        <v>429</v>
      </c>
      <c r="E10532" s="1270" t="s">
        <v>2453</v>
      </c>
      <c r="F10532" s="553"/>
      <c r="G10532" s="553"/>
      <c r="H10532" s="940"/>
      <c r="K10532" s="1192" t="s">
        <v>3239</v>
      </c>
      <c r="V10532" s="1192">
        <v>23</v>
      </c>
    </row>
    <row r="10533" spans="1:22" s="1192" customFormat="1" ht="14.4" x14ac:dyDescent="0.3">
      <c r="A10533" s="1192" t="s">
        <v>429</v>
      </c>
      <c r="E10533" s="1942" t="s">
        <v>2639</v>
      </c>
      <c r="F10533" s="1942"/>
      <c r="G10533" s="1277" t="s">
        <v>19</v>
      </c>
      <c r="H10533" s="1218">
        <v>15</v>
      </c>
      <c r="V10533" s="1192">
        <v>19</v>
      </c>
    </row>
    <row r="10534" spans="1:22" s="1192" customFormat="1" ht="14.4" x14ac:dyDescent="0.3">
      <c r="A10534" s="1192" t="s">
        <v>429</v>
      </c>
      <c r="E10534" s="1942" t="s">
        <v>2456</v>
      </c>
      <c r="F10534" s="1942"/>
      <c r="G10534" s="1277" t="s">
        <v>19</v>
      </c>
      <c r="H10534" s="1218">
        <v>15</v>
      </c>
      <c r="V10534" s="1192">
        <v>20</v>
      </c>
    </row>
    <row r="10535" spans="1:22" s="1192" customFormat="1" ht="14.4" x14ac:dyDescent="0.3">
      <c r="A10535" s="1192" t="s">
        <v>429</v>
      </c>
      <c r="E10535" s="1942" t="s">
        <v>3663</v>
      </c>
      <c r="F10535" s="1942"/>
      <c r="G10535" s="1277" t="s">
        <v>19</v>
      </c>
      <c r="H10535" s="1218">
        <v>15</v>
      </c>
      <c r="V10535" s="1192">
        <v>15</v>
      </c>
    </row>
    <row r="10536" spans="1:22" s="1192" customFormat="1" ht="14.4" x14ac:dyDescent="0.3">
      <c r="A10536" s="1192" t="s">
        <v>429</v>
      </c>
      <c r="E10536" s="1942" t="s">
        <v>2464</v>
      </c>
      <c r="F10536" s="1942"/>
      <c r="G10536" s="1277" t="s">
        <v>19</v>
      </c>
      <c r="H10536" s="1218">
        <v>15</v>
      </c>
      <c r="V10536" s="1192">
        <v>56</v>
      </c>
    </row>
    <row r="10537" spans="1:22" s="1192" customFormat="1" ht="14.4" x14ac:dyDescent="0.3">
      <c r="A10537" s="1192" t="s">
        <v>429</v>
      </c>
      <c r="E10537" s="1942" t="s">
        <v>84</v>
      </c>
      <c r="F10537" s="1942"/>
      <c r="G10537" s="1277" t="s">
        <v>19</v>
      </c>
      <c r="H10537" s="1218">
        <v>30</v>
      </c>
      <c r="V10537" s="1192">
        <v>89</v>
      </c>
    </row>
    <row r="10538" spans="1:22" s="1192" customFormat="1" ht="14.4" x14ac:dyDescent="0.3">
      <c r="A10538" s="1192" t="s">
        <v>429</v>
      </c>
      <c r="E10538" s="1942" t="s">
        <v>119</v>
      </c>
      <c r="F10538" s="1942"/>
      <c r="G10538" s="1277" t="s">
        <v>19</v>
      </c>
      <c r="H10538" s="1218">
        <v>15</v>
      </c>
      <c r="V10538" s="1192">
        <v>35</v>
      </c>
    </row>
    <row r="10539" spans="1:22" s="1192" customFormat="1" ht="14.4" x14ac:dyDescent="0.3">
      <c r="A10539" s="1192" t="s">
        <v>429</v>
      </c>
      <c r="E10539" s="1942" t="s">
        <v>90</v>
      </c>
      <c r="F10539" s="1942"/>
      <c r="G10539" s="1277" t="s">
        <v>19</v>
      </c>
      <c r="H10539" s="1218">
        <v>30</v>
      </c>
      <c r="V10539" s="1192">
        <v>19</v>
      </c>
    </row>
    <row r="10540" spans="1:22" s="1192" customFormat="1" ht="14.4" x14ac:dyDescent="0.3">
      <c r="A10540" s="1192" t="s">
        <v>429</v>
      </c>
      <c r="E10540" s="1270" t="s">
        <v>2468</v>
      </c>
      <c r="F10540" s="553"/>
      <c r="G10540" s="553"/>
      <c r="H10540" s="940"/>
      <c r="K10540" s="1192" t="s">
        <v>3240</v>
      </c>
      <c r="V10540" s="1192">
        <v>22</v>
      </c>
    </row>
    <row r="10541" spans="1:22" s="1192" customFormat="1" ht="14.4" x14ac:dyDescent="0.3">
      <c r="A10541" s="1192" t="s">
        <v>429</v>
      </c>
      <c r="E10541" s="1942" t="s">
        <v>3918</v>
      </c>
      <c r="F10541" s="1942"/>
      <c r="G10541" s="1277"/>
      <c r="H10541" s="837"/>
      <c r="V10541" s="1192">
        <v>24</v>
      </c>
    </row>
    <row r="10542" spans="1:22" s="1192" customFormat="1" ht="14.4" x14ac:dyDescent="0.3">
      <c r="A10542" s="1192" t="s">
        <v>429</v>
      </c>
      <c r="E10542" s="1942" t="s">
        <v>6195</v>
      </c>
      <c r="F10542" s="1942"/>
      <c r="G10542" s="1277" t="s">
        <v>82</v>
      </c>
      <c r="H10542" s="1218">
        <v>1.5</v>
      </c>
      <c r="V10542" s="1192">
        <v>74</v>
      </c>
    </row>
    <row r="10543" spans="1:22" s="1192" customFormat="1" ht="14.4" x14ac:dyDescent="0.3">
      <c r="A10543" s="1192" t="s">
        <v>429</v>
      </c>
      <c r="E10543" s="2038" t="s">
        <v>6591</v>
      </c>
      <c r="F10543" s="2038"/>
      <c r="G10543" s="1277" t="s">
        <v>19</v>
      </c>
      <c r="H10543" s="1218">
        <v>65</v>
      </c>
      <c r="V10543" s="1192">
        <v>71</v>
      </c>
    </row>
    <row r="10544" spans="1:22" s="1192" customFormat="1" ht="14.4" x14ac:dyDescent="0.3">
      <c r="A10544" s="1192" t="s">
        <v>429</v>
      </c>
      <c r="E10544" s="2038" t="s">
        <v>6592</v>
      </c>
      <c r="F10544" s="2038"/>
      <c r="G10544" s="1277" t="s">
        <v>19</v>
      </c>
      <c r="H10544" s="1218">
        <v>185</v>
      </c>
      <c r="V10544" s="1192">
        <v>70</v>
      </c>
    </row>
    <row r="10545" spans="1:22" s="1192" customFormat="1" ht="14.4" x14ac:dyDescent="0.3">
      <c r="A10545" s="1192" t="s">
        <v>429</v>
      </c>
      <c r="E10545" s="1270" t="s">
        <v>2474</v>
      </c>
      <c r="F10545" s="453"/>
      <c r="G10545" s="360"/>
      <c r="H10545" s="844"/>
      <c r="V10545" s="1192">
        <v>5</v>
      </c>
    </row>
    <row r="10546" spans="1:22" s="1192" customFormat="1" ht="14.4" x14ac:dyDescent="0.3">
      <c r="A10546" s="1192" t="s">
        <v>429</v>
      </c>
      <c r="E10546" s="1942" t="s">
        <v>3241</v>
      </c>
      <c r="F10546" s="1942"/>
      <c r="G10546" s="1277" t="s">
        <v>19</v>
      </c>
      <c r="H10546" s="1218">
        <v>5.5</v>
      </c>
      <c r="V10546" s="1192">
        <v>42</v>
      </c>
    </row>
    <row r="10547" spans="1:22" s="1192" customFormat="1" ht="14.4" x14ac:dyDescent="0.3">
      <c r="A10547" s="1192" t="s">
        <v>429</v>
      </c>
      <c r="E10547" s="1942" t="s">
        <v>2760</v>
      </c>
      <c r="F10547" s="1942"/>
      <c r="G10547" s="1277" t="s">
        <v>19</v>
      </c>
      <c r="H10547" s="1218">
        <v>44.5</v>
      </c>
      <c r="V10547" s="1192">
        <v>59</v>
      </c>
    </row>
    <row r="10548" spans="1:22" s="1192" customFormat="1" ht="14.4" x14ac:dyDescent="0.3">
      <c r="A10548" s="1192" t="s">
        <v>429</v>
      </c>
      <c r="E10548" s="1942" t="s">
        <v>2476</v>
      </c>
      <c r="F10548" s="1942"/>
      <c r="G10548" s="1277"/>
      <c r="H10548" s="837"/>
      <c r="V10548" s="1192">
        <v>44</v>
      </c>
    </row>
    <row r="10549" spans="1:22" s="1192" customFormat="1" ht="14.4" x14ac:dyDescent="0.3">
      <c r="A10549" s="1192" t="s">
        <v>429</v>
      </c>
      <c r="E10549" s="1942" t="s">
        <v>3242</v>
      </c>
      <c r="F10549" s="1942"/>
      <c r="G10549" s="1277" t="s">
        <v>19</v>
      </c>
      <c r="H10549" s="1218">
        <v>5.59</v>
      </c>
      <c r="V10549" s="1192">
        <v>44</v>
      </c>
    </row>
    <row r="10550" spans="1:22" s="1192" customFormat="1" ht="17.399999999999999" x14ac:dyDescent="0.3">
      <c r="A10550" s="1192" t="s">
        <v>429</v>
      </c>
      <c r="E10550" s="1269" t="s">
        <v>73</v>
      </c>
      <c r="F10550" s="592"/>
      <c r="G10550" s="592"/>
      <c r="H10550" s="939"/>
      <c r="K10550" s="1192" t="s">
        <v>3243</v>
      </c>
      <c r="V10550" s="1192">
        <v>38</v>
      </c>
    </row>
    <row r="10551" spans="1:22" s="1192" customFormat="1" ht="14.4" x14ac:dyDescent="0.3">
      <c r="A10551" s="1192" t="s">
        <v>429</v>
      </c>
      <c r="E10551" s="1743" t="s">
        <v>3244</v>
      </c>
      <c r="F10551" s="1743"/>
      <c r="G10551" s="1743"/>
      <c r="H10551" s="1743"/>
      <c r="V10551" s="1192">
        <v>281</v>
      </c>
    </row>
    <row r="10552" spans="1:22" s="1192" customFormat="1" ht="14.4" x14ac:dyDescent="0.3">
      <c r="A10552" s="1192" t="s">
        <v>429</v>
      </c>
      <c r="E10552" s="1743" t="s">
        <v>3245</v>
      </c>
      <c r="F10552" s="1743"/>
      <c r="G10552" s="1743"/>
      <c r="H10552" s="1743"/>
      <c r="V10552" s="1192">
        <v>414</v>
      </c>
    </row>
    <row r="10553" spans="1:22" s="1192" customFormat="1" ht="14.4" x14ac:dyDescent="0.3">
      <c r="A10553" s="1192" t="s">
        <v>429</v>
      </c>
      <c r="E10553" s="1743" t="s">
        <v>2445</v>
      </c>
      <c r="F10553" s="1743"/>
      <c r="G10553" s="1743"/>
      <c r="H10553" s="1743"/>
      <c r="V10553" s="1192">
        <v>211</v>
      </c>
    </row>
    <row r="10554" spans="1:22" s="1192" customFormat="1" ht="14.4" x14ac:dyDescent="0.3">
      <c r="A10554" s="1192" t="s">
        <v>429</v>
      </c>
      <c r="E10554" s="1743" t="s">
        <v>4707</v>
      </c>
      <c r="F10554" s="1743"/>
      <c r="G10554" s="1743"/>
      <c r="H10554" s="1743"/>
      <c r="V10554" s="1192">
        <v>249</v>
      </c>
    </row>
    <row r="10555" spans="1:22" s="1192" customFormat="1" ht="14.4" x14ac:dyDescent="0.3">
      <c r="A10555" s="1192" t="s">
        <v>429</v>
      </c>
      <c r="E10555" s="1743" t="s">
        <v>2595</v>
      </c>
      <c r="F10555" s="1743"/>
      <c r="G10555" s="1743"/>
      <c r="H10555" s="1743"/>
      <c r="V10555" s="1192">
        <v>142</v>
      </c>
    </row>
    <row r="10556" spans="1:22" s="1192" customFormat="1" ht="14.4" x14ac:dyDescent="0.3">
      <c r="A10556" s="1192" t="s">
        <v>429</v>
      </c>
      <c r="E10556" s="1741" t="s">
        <v>2485</v>
      </c>
      <c r="F10556" s="1741"/>
      <c r="G10556" s="360" t="s">
        <v>19</v>
      </c>
      <c r="H10556" s="1218">
        <v>102</v>
      </c>
      <c r="V10556" s="1192">
        <v>106</v>
      </c>
    </row>
    <row r="10557" spans="1:22" s="1192" customFormat="1" ht="14.4" x14ac:dyDescent="0.3">
      <c r="A10557" s="1192" t="s">
        <v>429</v>
      </c>
      <c r="E10557" s="1741" t="s">
        <v>3919</v>
      </c>
      <c r="F10557" s="1741"/>
      <c r="G10557" s="360" t="s">
        <v>19</v>
      </c>
      <c r="H10557" s="1218">
        <v>40.799999999999997</v>
      </c>
      <c r="V10557" s="1192">
        <v>34</v>
      </c>
    </row>
    <row r="10558" spans="1:22" s="1192" customFormat="1" ht="14.4" x14ac:dyDescent="0.3">
      <c r="A10558" s="1192" t="s">
        <v>429</v>
      </c>
      <c r="E10558" s="1741" t="s">
        <v>3920</v>
      </c>
      <c r="F10558" s="1741"/>
      <c r="G10558" s="360" t="s">
        <v>2488</v>
      </c>
      <c r="H10558" s="1218">
        <v>1.02</v>
      </c>
      <c r="V10558" s="1192">
        <v>51</v>
      </c>
    </row>
    <row r="10559" spans="1:22" s="1192" customFormat="1" ht="14.4" x14ac:dyDescent="0.3">
      <c r="A10559" s="1192" t="s">
        <v>429</v>
      </c>
      <c r="E10559" s="1741" t="s">
        <v>2489</v>
      </c>
      <c r="F10559" s="1741"/>
      <c r="G10559" s="360" t="s">
        <v>2488</v>
      </c>
      <c r="H10559" s="1218">
        <v>0.61</v>
      </c>
      <c r="V10559" s="1192">
        <v>75</v>
      </c>
    </row>
    <row r="10560" spans="1:22" s="1192" customFormat="1" ht="14.4" x14ac:dyDescent="0.3">
      <c r="A10560" s="1192" t="s">
        <v>429</v>
      </c>
      <c r="E10560" s="1741" t="s">
        <v>2490</v>
      </c>
      <c r="F10560" s="1741"/>
      <c r="G10560" s="360" t="s">
        <v>2488</v>
      </c>
      <c r="H10560" s="1218">
        <v>-0.61</v>
      </c>
      <c r="V10560" s="1192">
        <v>72</v>
      </c>
    </row>
    <row r="10561" spans="1:22" s="1192" customFormat="1" ht="14.4" x14ac:dyDescent="0.3">
      <c r="A10561" s="1192" t="s">
        <v>429</v>
      </c>
      <c r="E10561" s="1741" t="s">
        <v>2491</v>
      </c>
      <c r="F10561" s="1741"/>
      <c r="G10561" s="360"/>
      <c r="H10561" s="837"/>
      <c r="V10561" s="1192">
        <v>35</v>
      </c>
    </row>
    <row r="10562" spans="1:22" s="1192" customFormat="1" ht="14.4" x14ac:dyDescent="0.3">
      <c r="A10562" s="1192" t="s">
        <v>429</v>
      </c>
      <c r="E10562" s="1941" t="s">
        <v>2492</v>
      </c>
      <c r="F10562" s="1941"/>
      <c r="G10562" s="360" t="s">
        <v>19</v>
      </c>
      <c r="H10562" s="1218">
        <v>0.51</v>
      </c>
      <c r="V10562" s="1192">
        <v>57</v>
      </c>
    </row>
    <row r="10563" spans="1:22" s="1192" customFormat="1" ht="14.4" x14ac:dyDescent="0.3">
      <c r="A10563" s="1192" t="s">
        <v>429</v>
      </c>
      <c r="E10563" s="1941" t="s">
        <v>2493</v>
      </c>
      <c r="F10563" s="1941"/>
      <c r="G10563" s="360" t="s">
        <v>19</v>
      </c>
      <c r="H10563" s="1218">
        <v>1.02</v>
      </c>
      <c r="V10563" s="1192">
        <v>60</v>
      </c>
    </row>
    <row r="10564" spans="1:22" s="1192" customFormat="1" ht="14.4" x14ac:dyDescent="0.3">
      <c r="A10564" s="1192" t="s">
        <v>429</v>
      </c>
      <c r="E10564" s="1741" t="s">
        <v>2494</v>
      </c>
      <c r="F10564" s="1741"/>
      <c r="G10564" s="360"/>
      <c r="H10564" s="837"/>
      <c r="V10564" s="1192">
        <v>91</v>
      </c>
    </row>
    <row r="10565" spans="1:22" s="1192" customFormat="1" ht="14.4" x14ac:dyDescent="0.3">
      <c r="A10565" s="1192" t="s">
        <v>429</v>
      </c>
      <c r="E10565" s="1741" t="s">
        <v>2495</v>
      </c>
      <c r="F10565" s="1741"/>
      <c r="G10565" s="360"/>
      <c r="H10565" s="837"/>
      <c r="V10565" s="1192">
        <v>96</v>
      </c>
    </row>
    <row r="10566" spans="1:22" s="1192" customFormat="1" ht="14.4" x14ac:dyDescent="0.3">
      <c r="A10566" s="1192" t="s">
        <v>429</v>
      </c>
      <c r="E10566" s="1741" t="s">
        <v>2496</v>
      </c>
      <c r="F10566" s="1741"/>
      <c r="G10566" s="360"/>
      <c r="H10566" s="837"/>
      <c r="V10566" s="1192">
        <v>78</v>
      </c>
    </row>
    <row r="10567" spans="1:22" s="1192" customFormat="1" ht="14.4" x14ac:dyDescent="0.3">
      <c r="A10567" s="1192" t="s">
        <v>429</v>
      </c>
      <c r="E10567" s="1941" t="s">
        <v>2497</v>
      </c>
      <c r="F10567" s="1941"/>
      <c r="G10567" s="360" t="s">
        <v>19</v>
      </c>
      <c r="H10567" s="837" t="s">
        <v>2498</v>
      </c>
      <c r="V10567" s="1192">
        <v>18</v>
      </c>
    </row>
    <row r="10568" spans="1:22" s="1192" customFormat="1" ht="14.4" x14ac:dyDescent="0.3">
      <c r="A10568" s="1192" t="s">
        <v>429</v>
      </c>
      <c r="E10568" s="1941" t="s">
        <v>2499</v>
      </c>
      <c r="F10568" s="1941"/>
      <c r="G10568" s="360" t="s">
        <v>19</v>
      </c>
      <c r="H10568" s="1218">
        <v>4.08</v>
      </c>
      <c r="V10568" s="1192">
        <v>69</v>
      </c>
    </row>
    <row r="10569" spans="1:22" s="1192" customFormat="1" ht="14.4" x14ac:dyDescent="0.3">
      <c r="A10569" s="1192" t="s">
        <v>429</v>
      </c>
      <c r="E10569" s="1741" t="s">
        <v>4608</v>
      </c>
      <c r="F10569" s="1741"/>
      <c r="G10569" s="360" t="s">
        <v>19</v>
      </c>
      <c r="H10569" s="1136">
        <v>2.04</v>
      </c>
      <c r="V10569" s="1192">
        <v>199</v>
      </c>
    </row>
    <row r="10570" spans="1:22" s="1192" customFormat="1" ht="17.399999999999999" x14ac:dyDescent="0.3">
      <c r="A10570" s="1192" t="s">
        <v>429</v>
      </c>
      <c r="E10570" s="1269" t="s">
        <v>143</v>
      </c>
      <c r="F10570" s="592"/>
      <c r="G10570" s="592"/>
      <c r="H10570" s="939"/>
      <c r="K10570" s="1192" t="s">
        <v>3246</v>
      </c>
      <c r="V10570" s="1192">
        <v>12</v>
      </c>
    </row>
    <row r="10571" spans="1:22" s="1192" customFormat="1" ht="14.4" x14ac:dyDescent="0.3">
      <c r="A10571" s="1192" t="s">
        <v>429</v>
      </c>
      <c r="E10571" s="1741" t="s">
        <v>2501</v>
      </c>
      <c r="F10571" s="1741"/>
      <c r="G10571" s="1741"/>
      <c r="H10571" s="1741"/>
      <c r="V10571" s="1192">
        <v>203</v>
      </c>
    </row>
    <row r="10572" spans="1:22" s="1192" customFormat="1" ht="14.4" x14ac:dyDescent="0.3">
      <c r="A10572" s="1192" t="s">
        <v>429</v>
      </c>
      <c r="E10572" s="1741" t="s">
        <v>2599</v>
      </c>
      <c r="F10572" s="1741"/>
      <c r="G10572" s="1277"/>
      <c r="H10572" s="837">
        <v>1.0375000000000001</v>
      </c>
      <c r="V10572" s="1192">
        <v>57</v>
      </c>
    </row>
    <row r="10573" spans="1:22" s="1192" customFormat="1" ht="14.4" x14ac:dyDescent="0.3">
      <c r="A10573" s="1192" t="s">
        <v>429</v>
      </c>
      <c r="E10573" s="1741" t="s">
        <v>2600</v>
      </c>
      <c r="F10573" s="1741"/>
      <c r="G10573" s="1277"/>
      <c r="H10573" s="837">
        <v>1.0154000000000001</v>
      </c>
      <c r="V10573" s="1192">
        <v>57</v>
      </c>
    </row>
    <row r="10574" spans="1:22" s="1192" customFormat="1" ht="14.4" x14ac:dyDescent="0.3">
      <c r="A10574" s="1192" t="s">
        <v>429</v>
      </c>
      <c r="E10574" s="1741" t="s">
        <v>2601</v>
      </c>
      <c r="F10574" s="1741"/>
      <c r="G10574" s="1277"/>
      <c r="H10574" s="837">
        <v>1.0271999999999999</v>
      </c>
      <c r="V10574" s="1192">
        <v>55</v>
      </c>
    </row>
    <row r="10575" spans="1:22" s="1192" customFormat="1" ht="14.4" x14ac:dyDescent="0.3">
      <c r="A10575" s="1192" t="s">
        <v>429</v>
      </c>
      <c r="E10575" s="1741" t="s">
        <v>2602</v>
      </c>
      <c r="F10575" s="1741"/>
      <c r="G10575" s="1277"/>
      <c r="H10575" s="837">
        <v>1.0054000000000001</v>
      </c>
      <c r="J10575" s="1192" t="s">
        <v>3247</v>
      </c>
      <c r="V10575" s="1192">
        <v>55</v>
      </c>
    </row>
    <row r="10576" spans="1:22" s="1192" customFormat="1" ht="22.8" x14ac:dyDescent="0.3">
      <c r="A10576" s="1192" t="s">
        <v>186</v>
      </c>
      <c r="C10576" s="1192" t="s">
        <v>2378</v>
      </c>
      <c r="E10576" s="1752" t="s">
        <v>186</v>
      </c>
      <c r="F10576" s="2039"/>
      <c r="G10576" s="2039"/>
      <c r="H10576" s="2039"/>
      <c r="I10576" s="1192" t="s">
        <v>603</v>
      </c>
      <c r="J10576" s="1192" t="s">
        <v>2804</v>
      </c>
      <c r="K10576" s="1192" t="s">
        <v>186</v>
      </c>
      <c r="M10576" s="1192">
        <v>6</v>
      </c>
      <c r="V10576" s="1192">
        <v>27</v>
      </c>
    </row>
    <row r="10577" spans="1:22" s="1192" customFormat="1" ht="17.399999999999999" x14ac:dyDescent="0.3">
      <c r="A10577" s="1192" t="s">
        <v>186</v>
      </c>
      <c r="C10577" s="1192" t="s">
        <v>2380</v>
      </c>
      <c r="E10577" s="1753" t="s">
        <v>2381</v>
      </c>
      <c r="F10577" s="2040"/>
      <c r="G10577" s="2040"/>
      <c r="H10577" s="2040"/>
      <c r="V10577" s="1192">
        <v>27</v>
      </c>
    </row>
    <row r="10578" spans="1:22" s="1192" customFormat="1" ht="15.6" x14ac:dyDescent="0.3">
      <c r="A10578" s="1192" t="s">
        <v>186</v>
      </c>
      <c r="C10578" s="1192" t="s">
        <v>2382</v>
      </c>
      <c r="E10578" s="1754" t="s">
        <v>6482</v>
      </c>
      <c r="F10578" s="2020"/>
      <c r="G10578" s="2020"/>
      <c r="H10578" s="2020"/>
      <c r="S10578" s="1192">
        <v>43952</v>
      </c>
      <c r="V10578" s="1192">
        <v>45</v>
      </c>
    </row>
    <row r="10579" spans="1:22" s="1192" customFormat="1" ht="14.4" x14ac:dyDescent="0.3">
      <c r="A10579" s="1192" t="s">
        <v>186</v>
      </c>
      <c r="C10579" s="1192" t="s">
        <v>2383</v>
      </c>
      <c r="E10579" s="1755" t="s">
        <v>2384</v>
      </c>
      <c r="F10579" s="2021"/>
      <c r="G10579" s="2021"/>
      <c r="H10579" s="2021"/>
      <c r="V10579" s="1192">
        <v>52</v>
      </c>
    </row>
    <row r="10580" spans="1:22" s="1192" customFormat="1" ht="14.4" x14ac:dyDescent="0.3">
      <c r="A10580" s="1192" t="s">
        <v>186</v>
      </c>
      <c r="E10580" s="1755" t="s">
        <v>2385</v>
      </c>
      <c r="F10580" s="2021"/>
      <c r="G10580" s="2021"/>
      <c r="H10580" s="2021"/>
      <c r="V10580" s="1192">
        <v>53</v>
      </c>
    </row>
    <row r="10581" spans="1:22" s="1192" customFormat="1" ht="14.4" x14ac:dyDescent="0.3">
      <c r="A10581" s="1192" t="s">
        <v>186</v>
      </c>
      <c r="E10581" s="1772" t="s">
        <v>6593</v>
      </c>
      <c r="F10581" s="2022"/>
      <c r="G10581" s="2022"/>
      <c r="H10581" s="2022"/>
      <c r="K10581" s="1192" t="s">
        <v>6593</v>
      </c>
      <c r="V10581" s="1192">
        <v>12</v>
      </c>
    </row>
    <row r="10582" spans="1:22" s="1192" customFormat="1" ht="14.4" x14ac:dyDescent="0.3">
      <c r="A10582" s="1192" t="s">
        <v>186</v>
      </c>
      <c r="E10582" s="1746" t="s">
        <v>427</v>
      </c>
      <c r="F10582" s="1743"/>
      <c r="G10582" s="1743"/>
      <c r="H10582" s="1743"/>
      <c r="K10582" s="1192" t="s">
        <v>2506</v>
      </c>
      <c r="V10582" s="1192">
        <v>34</v>
      </c>
    </row>
    <row r="10583" spans="1:22" s="1192" customFormat="1" ht="14.4" x14ac:dyDescent="0.3">
      <c r="A10583" s="1192" t="s">
        <v>186</v>
      </c>
      <c r="E10583" s="1743" t="s">
        <v>2805</v>
      </c>
      <c r="F10583" s="1743"/>
      <c r="G10583" s="1743"/>
      <c r="H10583" s="1743"/>
      <c r="K10583" s="1192" t="s">
        <v>2506</v>
      </c>
      <c r="V10583" s="1192">
        <v>618</v>
      </c>
    </row>
    <row r="10584" spans="1:22" s="1192" customFormat="1" ht="14.4" x14ac:dyDescent="0.3">
      <c r="A10584" s="1192" t="s">
        <v>186</v>
      </c>
      <c r="E10584" s="1750" t="s">
        <v>2389</v>
      </c>
      <c r="F10584" s="1743"/>
      <c r="G10584" s="1743"/>
      <c r="H10584" s="1743"/>
      <c r="K10584" s="1192" t="s">
        <v>2390</v>
      </c>
      <c r="V10584" s="1192">
        <v>11</v>
      </c>
    </row>
    <row r="10585" spans="1:22" s="1192" customFormat="1" ht="14.4" x14ac:dyDescent="0.3">
      <c r="A10585" s="1192" t="s">
        <v>186</v>
      </c>
      <c r="E10585" s="1743" t="s">
        <v>2391</v>
      </c>
      <c r="F10585" s="1743"/>
      <c r="G10585" s="1743"/>
      <c r="H10585" s="1743"/>
      <c r="K10585" s="1192" t="s">
        <v>2506</v>
      </c>
      <c r="V10585" s="1192">
        <v>280</v>
      </c>
    </row>
    <row r="10586" spans="1:22" s="1192" customFormat="1" ht="14.4" x14ac:dyDescent="0.3">
      <c r="A10586" s="1192" t="s">
        <v>186</v>
      </c>
      <c r="E10586" s="1743" t="s">
        <v>2392</v>
      </c>
      <c r="F10586" s="1743"/>
      <c r="G10586" s="1743"/>
      <c r="H10586" s="1743"/>
      <c r="K10586" s="1192" t="s">
        <v>2506</v>
      </c>
      <c r="V10586" s="1192">
        <v>411</v>
      </c>
    </row>
    <row r="10587" spans="1:22" s="1192" customFormat="1" ht="14.4" x14ac:dyDescent="0.3">
      <c r="A10587" s="1192" t="s">
        <v>186</v>
      </c>
      <c r="E10587" s="1743" t="s">
        <v>2508</v>
      </c>
      <c r="F10587" s="1743"/>
      <c r="G10587" s="1743"/>
      <c r="H10587" s="1743"/>
      <c r="K10587" s="1192" t="s">
        <v>2506</v>
      </c>
      <c r="V10587" s="1192">
        <v>386</v>
      </c>
    </row>
    <row r="10588" spans="1:22" s="1192" customFormat="1" ht="14.4" x14ac:dyDescent="0.3">
      <c r="A10588" s="1192" t="s">
        <v>186</v>
      </c>
      <c r="E10588" s="1743" t="s">
        <v>2986</v>
      </c>
      <c r="F10588" s="1743"/>
      <c r="G10588" s="1743"/>
      <c r="H10588" s="1743"/>
      <c r="K10588" s="1192" t="s">
        <v>2506</v>
      </c>
      <c r="V10588" s="1192">
        <v>246</v>
      </c>
    </row>
    <row r="10589" spans="1:22" s="1192" customFormat="1" ht="14.4" x14ac:dyDescent="0.3">
      <c r="A10589" s="1192" t="s">
        <v>186</v>
      </c>
      <c r="E10589" s="1750" t="s">
        <v>2394</v>
      </c>
      <c r="F10589" s="1743"/>
      <c r="G10589" s="1743"/>
      <c r="H10589" s="1743"/>
      <c r="K10589" s="1192" t="s">
        <v>2395</v>
      </c>
      <c r="V10589" s="1192">
        <v>46</v>
      </c>
    </row>
    <row r="10590" spans="1:22" s="1192" customFormat="1" ht="14.4" x14ac:dyDescent="0.3">
      <c r="A10590" s="1192" t="s">
        <v>186</v>
      </c>
      <c r="E10590" s="1741" t="s">
        <v>7</v>
      </c>
      <c r="F10590" s="1741"/>
      <c r="G10590" s="1277" t="s">
        <v>19</v>
      </c>
      <c r="H10590" s="1218">
        <v>38.19</v>
      </c>
      <c r="K10590" s="1192" t="s">
        <v>2506</v>
      </c>
      <c r="L10590" s="1192" t="s">
        <v>430</v>
      </c>
      <c r="P10590" s="1192" t="s">
        <v>2510</v>
      </c>
      <c r="V10590" s="1192">
        <v>14</v>
      </c>
    </row>
    <row r="10591" spans="1:22" s="1192" customFormat="1" ht="14.4" x14ac:dyDescent="0.3">
      <c r="A10591" s="1192" t="s">
        <v>186</v>
      </c>
      <c r="E10591" s="1741" t="s">
        <v>3900</v>
      </c>
      <c r="F10591" s="1741"/>
      <c r="G10591" s="1277" t="s">
        <v>19</v>
      </c>
      <c r="H10591" s="1218">
        <v>0.56999999999999995</v>
      </c>
      <c r="K10591" s="1192" t="s">
        <v>2506</v>
      </c>
      <c r="L10591" s="1192" t="s">
        <v>431</v>
      </c>
      <c r="P10591" s="1192" t="s">
        <v>2511</v>
      </c>
      <c r="T10591" s="1192">
        <v>44926</v>
      </c>
      <c r="V10591" s="1192">
        <v>64</v>
      </c>
    </row>
    <row r="10592" spans="1:22" s="1192" customFormat="1" ht="14.4" x14ac:dyDescent="0.3">
      <c r="A10592" s="1192" t="s">
        <v>186</v>
      </c>
      <c r="E10592" s="1741" t="s">
        <v>14</v>
      </c>
      <c r="F10592" s="1741"/>
      <c r="G10592" s="1277" t="s">
        <v>20</v>
      </c>
      <c r="H10592" s="1219">
        <v>1.6000000000000001E-3</v>
      </c>
      <c r="K10592" s="1192" t="s">
        <v>2506</v>
      </c>
      <c r="L10592" s="1192" t="s">
        <v>431</v>
      </c>
      <c r="P10592" s="1192" t="s">
        <v>2513</v>
      </c>
      <c r="V10592" s="1192">
        <v>24</v>
      </c>
    </row>
    <row r="10593" spans="1:22" s="1192" customFormat="1" ht="14.4" x14ac:dyDescent="0.3">
      <c r="A10593" s="1192" t="s">
        <v>186</v>
      </c>
      <c r="E10593" s="1741" t="s">
        <v>6506</v>
      </c>
      <c r="F10593" s="1998"/>
      <c r="G10593" s="1277" t="s">
        <v>20</v>
      </c>
      <c r="H10593" s="1219">
        <v>-2.5000000000000001E-3</v>
      </c>
      <c r="K10593" s="1192" t="s">
        <v>2506</v>
      </c>
      <c r="L10593" s="1192" t="s">
        <v>431</v>
      </c>
      <c r="P10593" s="1192" t="s">
        <v>2514</v>
      </c>
      <c r="T10593" s="1192">
        <v>44316</v>
      </c>
      <c r="V10593" s="1192">
        <v>139</v>
      </c>
    </row>
    <row r="10594" spans="1:22" s="1192" customFormat="1" ht="14.4" x14ac:dyDescent="0.3">
      <c r="A10594" s="1192" t="s">
        <v>186</v>
      </c>
      <c r="E10594" s="1741" t="s">
        <v>6508</v>
      </c>
      <c r="F10594" s="1998"/>
      <c r="G10594" s="1277" t="s">
        <v>20</v>
      </c>
      <c r="H10594" s="1219">
        <v>-1.9E-3</v>
      </c>
      <c r="K10594" s="1192" t="s">
        <v>2506</v>
      </c>
      <c r="L10594" s="1192" t="s">
        <v>431</v>
      </c>
      <c r="P10594" s="1192" t="s">
        <v>2516</v>
      </c>
      <c r="T10594" s="1192">
        <v>44316</v>
      </c>
      <c r="V10594" s="1192">
        <v>96</v>
      </c>
    </row>
    <row r="10595" spans="1:22" s="1192" customFormat="1" ht="14.4" x14ac:dyDescent="0.3">
      <c r="A10595" s="1192" t="s">
        <v>186</v>
      </c>
      <c r="E10595" s="1741" t="s">
        <v>213</v>
      </c>
      <c r="F10595" s="1741"/>
      <c r="G10595" s="1277" t="s">
        <v>20</v>
      </c>
      <c r="H10595" s="1219">
        <v>6.4000000000000003E-3</v>
      </c>
      <c r="K10595" s="1192" t="s">
        <v>2506</v>
      </c>
      <c r="L10595" s="1192" t="s">
        <v>432</v>
      </c>
      <c r="P10595" s="1192" t="s">
        <v>2517</v>
      </c>
      <c r="V10595" s="1192">
        <v>47</v>
      </c>
    </row>
    <row r="10596" spans="1:22" s="1192" customFormat="1" ht="14.4" x14ac:dyDescent="0.3">
      <c r="A10596" s="1192" t="s">
        <v>186</v>
      </c>
      <c r="E10596" s="1741" t="s">
        <v>209</v>
      </c>
      <c r="F10596" s="1741"/>
      <c r="G10596" s="1277" t="s">
        <v>20</v>
      </c>
      <c r="H10596" s="1219">
        <v>3.0999999999999999E-3</v>
      </c>
      <c r="K10596" s="1192" t="s">
        <v>2506</v>
      </c>
      <c r="L10596" s="1192" t="s">
        <v>432</v>
      </c>
      <c r="P10596" s="1192" t="s">
        <v>2518</v>
      </c>
      <c r="V10596" s="1192">
        <v>74</v>
      </c>
    </row>
    <row r="10597" spans="1:22" s="1192" customFormat="1" ht="14.4" x14ac:dyDescent="0.3">
      <c r="A10597" s="1192" t="s">
        <v>186</v>
      </c>
      <c r="E10597" s="1750" t="s">
        <v>2405</v>
      </c>
      <c r="F10597" s="2008"/>
      <c r="G10597" s="1277"/>
      <c r="H10597" s="896"/>
      <c r="K10597" s="1192" t="s">
        <v>2406</v>
      </c>
      <c r="V10597" s="1192">
        <v>48</v>
      </c>
    </row>
    <row r="10598" spans="1:22" s="1192" customFormat="1" ht="14.4" x14ac:dyDescent="0.3">
      <c r="A10598" s="1192" t="s">
        <v>186</v>
      </c>
      <c r="E10598" s="1741" t="s">
        <v>2033</v>
      </c>
      <c r="F10598" s="1741"/>
      <c r="G10598" s="1277" t="s">
        <v>20</v>
      </c>
      <c r="H10598" s="1219">
        <v>3.0000000000000001E-3</v>
      </c>
      <c r="K10598" s="1192" t="s">
        <v>2506</v>
      </c>
      <c r="L10598" s="1192" t="s">
        <v>2374</v>
      </c>
      <c r="P10598" s="1192" t="s">
        <v>2519</v>
      </c>
      <c r="V10598" s="1192">
        <v>55</v>
      </c>
    </row>
    <row r="10599" spans="1:22" s="1192" customFormat="1" ht="14.4" x14ac:dyDescent="0.3">
      <c r="A10599" s="1192" t="s">
        <v>186</v>
      </c>
      <c r="E10599" s="1741" t="s">
        <v>2034</v>
      </c>
      <c r="F10599" s="1741"/>
      <c r="G10599" s="1277" t="s">
        <v>20</v>
      </c>
      <c r="H10599" s="1219">
        <v>4.0000000000000002E-4</v>
      </c>
      <c r="K10599" s="1192" t="s">
        <v>2506</v>
      </c>
      <c r="L10599" s="1192" t="s">
        <v>2374</v>
      </c>
      <c r="P10599" s="1192" t="s">
        <v>2519</v>
      </c>
      <c r="V10599" s="1192">
        <v>65</v>
      </c>
    </row>
    <row r="10600" spans="1:22" s="1192" customFormat="1" ht="14.4" x14ac:dyDescent="0.3">
      <c r="A10600" s="1192" t="s">
        <v>186</v>
      </c>
      <c r="E10600" s="1741" t="s">
        <v>428</v>
      </c>
      <c r="F10600" s="1741"/>
      <c r="G10600" s="1277" t="s">
        <v>20</v>
      </c>
      <c r="H10600" s="1219">
        <v>5.0000000000000001E-4</v>
      </c>
      <c r="K10600" s="1192" t="s">
        <v>2506</v>
      </c>
      <c r="L10600" s="1192" t="s">
        <v>2374</v>
      </c>
      <c r="P10600" s="1192" t="s">
        <v>2520</v>
      </c>
      <c r="V10600" s="1192">
        <v>57</v>
      </c>
    </row>
    <row r="10601" spans="1:22" s="1192" customFormat="1" ht="14.4" x14ac:dyDescent="0.3">
      <c r="A10601" s="1192" t="s">
        <v>186</v>
      </c>
      <c r="E10601" s="1741" t="s">
        <v>28</v>
      </c>
      <c r="F10601" s="1741"/>
      <c r="G10601" s="1277" t="s">
        <v>19</v>
      </c>
      <c r="H10601" s="1218">
        <v>0.25</v>
      </c>
      <c r="K10601" s="1192" t="s">
        <v>2506</v>
      </c>
      <c r="L10601" s="1192" t="s">
        <v>2374</v>
      </c>
      <c r="P10601" s="1192" t="s">
        <v>2521</v>
      </c>
      <c r="V10601" s="1192">
        <v>63</v>
      </c>
    </row>
    <row r="10602" spans="1:22" s="1192" customFormat="1" ht="17.399999999999999" x14ac:dyDescent="0.3">
      <c r="A10602" s="1192" t="s">
        <v>186</v>
      </c>
      <c r="E10602" s="1746" t="s">
        <v>2522</v>
      </c>
      <c r="F10602" s="1747"/>
      <c r="G10602" s="1747"/>
      <c r="H10602" s="1747"/>
      <c r="K10602" s="1192" t="s">
        <v>3901</v>
      </c>
      <c r="V10602" s="1192">
        <v>54</v>
      </c>
    </row>
    <row r="10603" spans="1:22" s="1192" customFormat="1" ht="14.4" x14ac:dyDescent="0.3">
      <c r="A10603" s="1192" t="s">
        <v>186</v>
      </c>
      <c r="E10603" s="1743" t="s">
        <v>2806</v>
      </c>
      <c r="F10603" s="1743"/>
      <c r="G10603" s="1743"/>
      <c r="H10603" s="1743"/>
      <c r="K10603" s="1192" t="s">
        <v>3901</v>
      </c>
      <c r="V10603" s="1192">
        <v>331</v>
      </c>
    </row>
    <row r="10604" spans="1:22" s="1192" customFormat="1" ht="14.4" x14ac:dyDescent="0.3">
      <c r="A10604" s="1192" t="s">
        <v>186</v>
      </c>
      <c r="E10604" s="1750" t="s">
        <v>2389</v>
      </c>
      <c r="F10604" s="1743"/>
      <c r="G10604" s="1743"/>
      <c r="H10604" s="1743"/>
      <c r="K10604" s="1192" t="s">
        <v>2412</v>
      </c>
      <c r="V10604" s="1192">
        <v>11</v>
      </c>
    </row>
    <row r="10605" spans="1:22" s="1192" customFormat="1" ht="14.4" x14ac:dyDescent="0.3">
      <c r="A10605" s="1192" t="s">
        <v>186</v>
      </c>
      <c r="E10605" s="1743" t="s">
        <v>2391</v>
      </c>
      <c r="F10605" s="1743"/>
      <c r="G10605" s="1743"/>
      <c r="H10605" s="1743"/>
      <c r="K10605" s="1192" t="s">
        <v>3901</v>
      </c>
      <c r="V10605" s="1192">
        <v>280</v>
      </c>
    </row>
    <row r="10606" spans="1:22" s="1192" customFormat="1" ht="14.4" x14ac:dyDescent="0.3">
      <c r="A10606" s="1192" t="s">
        <v>186</v>
      </c>
      <c r="E10606" s="1743" t="s">
        <v>2392</v>
      </c>
      <c r="F10606" s="1743"/>
      <c r="G10606" s="1743"/>
      <c r="H10606" s="1743"/>
      <c r="K10606" s="1192" t="s">
        <v>3901</v>
      </c>
      <c r="V10606" s="1192">
        <v>411</v>
      </c>
    </row>
    <row r="10607" spans="1:22" s="1192" customFormat="1" ht="14.4" x14ac:dyDescent="0.3">
      <c r="A10607" s="1192" t="s">
        <v>186</v>
      </c>
      <c r="E10607" s="1743" t="s">
        <v>2508</v>
      </c>
      <c r="F10607" s="1743"/>
      <c r="G10607" s="1743"/>
      <c r="H10607" s="1743"/>
      <c r="K10607" s="1192" t="s">
        <v>3901</v>
      </c>
      <c r="V10607" s="1192">
        <v>386</v>
      </c>
    </row>
    <row r="10608" spans="1:22" s="1192" customFormat="1" ht="14.4" x14ac:dyDescent="0.3">
      <c r="A10608" s="1192" t="s">
        <v>186</v>
      </c>
      <c r="E10608" s="1743" t="s">
        <v>2986</v>
      </c>
      <c r="F10608" s="1743"/>
      <c r="G10608" s="1743"/>
      <c r="H10608" s="1743"/>
      <c r="K10608" s="1192" t="s">
        <v>3901</v>
      </c>
      <c r="V10608" s="1192">
        <v>246</v>
      </c>
    </row>
    <row r="10609" spans="1:22" s="1192" customFormat="1" ht="14.4" x14ac:dyDescent="0.3">
      <c r="A10609" s="1192" t="s">
        <v>186</v>
      </c>
      <c r="E10609" s="1750" t="s">
        <v>2394</v>
      </c>
      <c r="F10609" s="1743"/>
      <c r="G10609" s="1743"/>
      <c r="H10609" s="1743"/>
      <c r="K10609" s="1192" t="s">
        <v>2413</v>
      </c>
      <c r="V10609" s="1192">
        <v>46</v>
      </c>
    </row>
    <row r="10610" spans="1:22" s="1192" customFormat="1" ht="14.4" x14ac:dyDescent="0.3">
      <c r="A10610" s="1192" t="s">
        <v>186</v>
      </c>
      <c r="E10610" s="1741" t="s">
        <v>7</v>
      </c>
      <c r="F10610" s="1741"/>
      <c r="G10610" s="1277" t="s">
        <v>19</v>
      </c>
      <c r="H10610" s="1218">
        <v>33.270000000000003</v>
      </c>
      <c r="K10610" s="1192" t="s">
        <v>3901</v>
      </c>
      <c r="L10610" s="1192" t="s">
        <v>430</v>
      </c>
      <c r="P10610" s="1192" t="s">
        <v>3902</v>
      </c>
      <c r="V10610" s="1192">
        <v>14</v>
      </c>
    </row>
    <row r="10611" spans="1:22" s="1192" customFormat="1" ht="14.4" x14ac:dyDescent="0.3">
      <c r="A10611" s="1192" t="s">
        <v>186</v>
      </c>
      <c r="E10611" s="1741" t="s">
        <v>3900</v>
      </c>
      <c r="F10611" s="1741"/>
      <c r="G10611" s="1277" t="s">
        <v>19</v>
      </c>
      <c r="H10611" s="1218">
        <v>0.56999999999999995</v>
      </c>
      <c r="K10611" s="1192" t="s">
        <v>3901</v>
      </c>
      <c r="L10611" s="1192" t="s">
        <v>431</v>
      </c>
      <c r="P10611" s="1192" t="s">
        <v>3903</v>
      </c>
      <c r="T10611" s="1192">
        <v>44926</v>
      </c>
      <c r="V10611" s="1192">
        <v>64</v>
      </c>
    </row>
    <row r="10612" spans="1:22" s="1192" customFormat="1" ht="14.4" x14ac:dyDescent="0.3">
      <c r="A10612" s="1192" t="s">
        <v>186</v>
      </c>
      <c r="E10612" s="1741" t="s">
        <v>80</v>
      </c>
      <c r="F10612" s="1741"/>
      <c r="G10612" s="1277" t="s">
        <v>20</v>
      </c>
      <c r="H10612" s="1219">
        <v>1.8599999999999998E-2</v>
      </c>
      <c r="K10612" s="1192" t="s">
        <v>3901</v>
      </c>
      <c r="L10612" s="1192" t="s">
        <v>430</v>
      </c>
      <c r="P10612" s="1192" t="s">
        <v>3904</v>
      </c>
      <c r="V10612" s="1192">
        <v>28</v>
      </c>
    </row>
    <row r="10613" spans="1:22" s="1192" customFormat="1" ht="14.4" x14ac:dyDescent="0.3">
      <c r="A10613" s="1192" t="s">
        <v>186</v>
      </c>
      <c r="E10613" s="1741" t="s">
        <v>14</v>
      </c>
      <c r="F10613" s="1741"/>
      <c r="G10613" s="1277" t="s">
        <v>20</v>
      </c>
      <c r="H10613" s="1219">
        <v>1.5E-3</v>
      </c>
      <c r="K10613" s="1192" t="s">
        <v>3901</v>
      </c>
      <c r="L10613" s="1192" t="s">
        <v>431</v>
      </c>
      <c r="P10613" s="1192" t="s">
        <v>3905</v>
      </c>
      <c r="V10613" s="1192">
        <v>24</v>
      </c>
    </row>
    <row r="10614" spans="1:22" s="1192" customFormat="1" ht="14.4" x14ac:dyDescent="0.3">
      <c r="A10614" s="1192" t="s">
        <v>186</v>
      </c>
      <c r="E10614" s="1741" t="s">
        <v>6506</v>
      </c>
      <c r="F10614" s="1998"/>
      <c r="G10614" s="1277" t="s">
        <v>20</v>
      </c>
      <c r="H10614" s="1219">
        <v>-2.5000000000000001E-3</v>
      </c>
      <c r="K10614" s="1192" t="s">
        <v>3901</v>
      </c>
      <c r="L10614" s="1192" t="s">
        <v>431</v>
      </c>
      <c r="P10614" s="1192" t="s">
        <v>3700</v>
      </c>
      <c r="T10614" s="1192">
        <v>44316</v>
      </c>
      <c r="V10614" s="1192">
        <v>139</v>
      </c>
    </row>
    <row r="10615" spans="1:22" s="1192" customFormat="1" ht="14.4" x14ac:dyDescent="0.3">
      <c r="A10615" s="1192" t="s">
        <v>186</v>
      </c>
      <c r="E10615" s="1741" t="s">
        <v>6508</v>
      </c>
      <c r="F10615" s="1998"/>
      <c r="G10615" s="1277" t="s">
        <v>20</v>
      </c>
      <c r="H10615" s="1219">
        <v>-1.9E-3</v>
      </c>
      <c r="K10615" s="1192" t="s">
        <v>3901</v>
      </c>
      <c r="L10615" s="1192" t="s">
        <v>431</v>
      </c>
      <c r="P10615" s="1192" t="s">
        <v>3911</v>
      </c>
      <c r="T10615" s="1192">
        <v>44316</v>
      </c>
      <c r="V10615" s="1192">
        <v>96</v>
      </c>
    </row>
    <row r="10616" spans="1:22" s="1192" customFormat="1" ht="14.4" x14ac:dyDescent="0.3">
      <c r="A10616" s="1192" t="s">
        <v>186</v>
      </c>
      <c r="E10616" s="1741" t="s">
        <v>213</v>
      </c>
      <c r="F10616" s="1741"/>
      <c r="G10616" s="1277" t="s">
        <v>20</v>
      </c>
      <c r="H10616" s="1219">
        <v>6.1000000000000004E-3</v>
      </c>
      <c r="K10616" s="1192" t="s">
        <v>3901</v>
      </c>
      <c r="L10616" s="1192" t="s">
        <v>432</v>
      </c>
      <c r="P10616" s="1192" t="s">
        <v>3906</v>
      </c>
      <c r="V10616" s="1192">
        <v>47</v>
      </c>
    </row>
    <row r="10617" spans="1:22" s="1192" customFormat="1" ht="14.4" x14ac:dyDescent="0.3">
      <c r="A10617" s="1192" t="s">
        <v>186</v>
      </c>
      <c r="E10617" s="1741" t="s">
        <v>209</v>
      </c>
      <c r="F10617" s="1741"/>
      <c r="G10617" s="1277" t="s">
        <v>20</v>
      </c>
      <c r="H10617" s="1219">
        <v>2.8999999999999998E-3</v>
      </c>
      <c r="K10617" s="1192" t="s">
        <v>3901</v>
      </c>
      <c r="L10617" s="1192" t="s">
        <v>432</v>
      </c>
      <c r="P10617" s="1192" t="s">
        <v>3907</v>
      </c>
      <c r="V10617" s="1192">
        <v>74</v>
      </c>
    </row>
    <row r="10618" spans="1:22" s="1192" customFormat="1" ht="14.4" x14ac:dyDescent="0.3">
      <c r="A10618" s="1192" t="s">
        <v>186</v>
      </c>
      <c r="E10618" s="1750" t="s">
        <v>2405</v>
      </c>
      <c r="F10618" s="1741"/>
      <c r="G10618" s="1277"/>
      <c r="H10618" s="896"/>
      <c r="K10618" s="1192" t="s">
        <v>2418</v>
      </c>
      <c r="V10618" s="1192">
        <v>48</v>
      </c>
    </row>
    <row r="10619" spans="1:22" s="1192" customFormat="1" ht="14.4" x14ac:dyDescent="0.3">
      <c r="A10619" s="1192" t="s">
        <v>186</v>
      </c>
      <c r="E10619" s="1741" t="s">
        <v>2033</v>
      </c>
      <c r="F10619" s="1741"/>
      <c r="G10619" s="1277" t="s">
        <v>20</v>
      </c>
      <c r="H10619" s="1219">
        <v>3.0000000000000001E-3</v>
      </c>
      <c r="K10619" s="1192" t="s">
        <v>3901</v>
      </c>
      <c r="L10619" s="1192" t="s">
        <v>2374</v>
      </c>
      <c r="P10619" s="1192" t="s">
        <v>3908</v>
      </c>
      <c r="V10619" s="1192">
        <v>55</v>
      </c>
    </row>
    <row r="10620" spans="1:22" s="1192" customFormat="1" ht="14.4" x14ac:dyDescent="0.3">
      <c r="A10620" s="1192" t="s">
        <v>186</v>
      </c>
      <c r="E10620" s="1741" t="s">
        <v>2034</v>
      </c>
      <c r="F10620" s="1741"/>
      <c r="G10620" s="1277" t="s">
        <v>20</v>
      </c>
      <c r="H10620" s="1219">
        <v>4.0000000000000002E-4</v>
      </c>
      <c r="K10620" s="1192" t="s">
        <v>3901</v>
      </c>
      <c r="L10620" s="1192" t="s">
        <v>2374</v>
      </c>
      <c r="P10620" s="1192" t="s">
        <v>3908</v>
      </c>
      <c r="V10620" s="1192">
        <v>65</v>
      </c>
    </row>
    <row r="10621" spans="1:22" s="1192" customFormat="1" ht="14.4" x14ac:dyDescent="0.3">
      <c r="A10621" s="1192" t="s">
        <v>186</v>
      </c>
      <c r="E10621" s="1741" t="s">
        <v>428</v>
      </c>
      <c r="F10621" s="1741"/>
      <c r="G10621" s="1277" t="s">
        <v>20</v>
      </c>
      <c r="H10621" s="1219">
        <v>5.0000000000000001E-4</v>
      </c>
      <c r="K10621" s="1192" t="s">
        <v>3901</v>
      </c>
      <c r="L10621" s="1192" t="s">
        <v>2374</v>
      </c>
      <c r="P10621" s="1192" t="s">
        <v>3909</v>
      </c>
      <c r="V10621" s="1192">
        <v>57</v>
      </c>
    </row>
    <row r="10622" spans="1:22" s="1192" customFormat="1" ht="14.4" x14ac:dyDescent="0.3">
      <c r="A10622" s="1192" t="s">
        <v>186</v>
      </c>
      <c r="E10622" s="1741" t="s">
        <v>28</v>
      </c>
      <c r="F10622" s="1741"/>
      <c r="G10622" s="1277" t="s">
        <v>19</v>
      </c>
      <c r="H10622" s="1218">
        <v>0.25</v>
      </c>
      <c r="K10622" s="1192" t="s">
        <v>3901</v>
      </c>
      <c r="L10622" s="1192" t="s">
        <v>2374</v>
      </c>
      <c r="P10622" s="1192" t="s">
        <v>3910</v>
      </c>
      <c r="V10622" s="1192">
        <v>63</v>
      </c>
    </row>
    <row r="10623" spans="1:22" s="1192" customFormat="1" ht="17.399999999999999" x14ac:dyDescent="0.3">
      <c r="A10623" s="1192" t="s">
        <v>186</v>
      </c>
      <c r="E10623" s="1746" t="s">
        <v>591</v>
      </c>
      <c r="F10623" s="1747"/>
      <c r="G10623" s="1747"/>
      <c r="H10623" s="1747"/>
      <c r="K10623" s="1192" t="s">
        <v>4388</v>
      </c>
      <c r="V10623" s="1192">
        <v>53</v>
      </c>
    </row>
    <row r="10624" spans="1:22" s="1192" customFormat="1" ht="14.4" x14ac:dyDescent="0.3">
      <c r="A10624" s="1192" t="s">
        <v>186</v>
      </c>
      <c r="E10624" s="1743" t="s">
        <v>2807</v>
      </c>
      <c r="F10624" s="1743"/>
      <c r="G10624" s="1743"/>
      <c r="H10624" s="1743"/>
      <c r="K10624" s="1192" t="s">
        <v>4388</v>
      </c>
      <c r="V10624" s="1192">
        <v>356</v>
      </c>
    </row>
    <row r="10625" spans="1:22" s="1192" customFormat="1" ht="14.4" x14ac:dyDescent="0.3">
      <c r="A10625" s="1192" t="s">
        <v>186</v>
      </c>
      <c r="E10625" s="2009" t="s">
        <v>2389</v>
      </c>
      <c r="F10625" s="2041"/>
      <c r="G10625" s="2041"/>
      <c r="H10625" s="2041"/>
      <c r="K10625" s="1192" t="s">
        <v>2422</v>
      </c>
      <c r="V10625" s="1192">
        <v>11</v>
      </c>
    </row>
    <row r="10626" spans="1:22" s="1192" customFormat="1" ht="14.4" x14ac:dyDescent="0.3">
      <c r="A10626" s="1192" t="s">
        <v>186</v>
      </c>
      <c r="E10626" s="1743" t="s">
        <v>2391</v>
      </c>
      <c r="F10626" s="1743"/>
      <c r="G10626" s="1743"/>
      <c r="H10626" s="1743"/>
      <c r="K10626" s="1192" t="s">
        <v>4388</v>
      </c>
      <c r="V10626" s="1192">
        <v>280</v>
      </c>
    </row>
    <row r="10627" spans="1:22" s="1192" customFormat="1" ht="14.4" x14ac:dyDescent="0.3">
      <c r="A10627" s="1192" t="s">
        <v>186</v>
      </c>
      <c r="E10627" s="1743" t="s">
        <v>2392</v>
      </c>
      <c r="F10627" s="1743"/>
      <c r="G10627" s="1743"/>
      <c r="H10627" s="1743"/>
      <c r="K10627" s="1192" t="s">
        <v>4388</v>
      </c>
      <c r="V10627" s="1192">
        <v>411</v>
      </c>
    </row>
    <row r="10628" spans="1:22" s="1192" customFormat="1" ht="14.4" x14ac:dyDescent="0.3">
      <c r="A10628" s="1192" t="s">
        <v>186</v>
      </c>
      <c r="E10628" s="1743" t="s">
        <v>2508</v>
      </c>
      <c r="F10628" s="1743"/>
      <c r="G10628" s="1743"/>
      <c r="H10628" s="1743"/>
      <c r="K10628" s="1192" t="s">
        <v>4388</v>
      </c>
      <c r="V10628" s="1192">
        <v>386</v>
      </c>
    </row>
    <row r="10629" spans="1:22" s="1192" customFormat="1" ht="14.4" x14ac:dyDescent="0.3">
      <c r="A10629" s="1192" t="s">
        <v>186</v>
      </c>
      <c r="E10629" s="1743" t="s">
        <v>4503</v>
      </c>
      <c r="F10629" s="1743"/>
      <c r="G10629" s="1743"/>
      <c r="H10629" s="1743"/>
      <c r="K10629" s="1192" t="s">
        <v>4388</v>
      </c>
      <c r="V10629" s="1192">
        <v>677</v>
      </c>
    </row>
    <row r="10630" spans="1:22" s="1192" customFormat="1" ht="14.4" x14ac:dyDescent="0.3">
      <c r="A10630" s="1192" t="s">
        <v>186</v>
      </c>
      <c r="E10630" s="1743" t="s">
        <v>4644</v>
      </c>
      <c r="F10630" s="1743"/>
      <c r="G10630" s="1743"/>
      <c r="H10630" s="1743"/>
      <c r="K10630" s="1192" t="s">
        <v>4388</v>
      </c>
      <c r="V10630" s="1192">
        <v>693</v>
      </c>
    </row>
    <row r="10631" spans="1:22" s="1192" customFormat="1" ht="14.4" x14ac:dyDescent="0.3">
      <c r="A10631" s="1192" t="s">
        <v>186</v>
      </c>
      <c r="E10631" s="1743" t="s">
        <v>2986</v>
      </c>
      <c r="F10631" s="1743"/>
      <c r="G10631" s="1743"/>
      <c r="H10631" s="1743"/>
      <c r="K10631" s="1192" t="s">
        <v>4388</v>
      </c>
      <c r="V10631" s="1192">
        <v>246</v>
      </c>
    </row>
    <row r="10632" spans="1:22" s="1192" customFormat="1" ht="14.4" x14ac:dyDescent="0.3">
      <c r="A10632" s="1192" t="s">
        <v>186</v>
      </c>
      <c r="E10632" s="1750" t="s">
        <v>2394</v>
      </c>
      <c r="F10632" s="1743"/>
      <c r="G10632" s="1743"/>
      <c r="H10632" s="1743"/>
      <c r="K10632" s="1192" t="s">
        <v>2423</v>
      </c>
      <c r="V10632" s="1192">
        <v>46</v>
      </c>
    </row>
    <row r="10633" spans="1:22" s="1192" customFormat="1" ht="14.4" x14ac:dyDescent="0.3">
      <c r="A10633" s="1192" t="s">
        <v>186</v>
      </c>
      <c r="E10633" s="1741" t="s">
        <v>7</v>
      </c>
      <c r="F10633" s="1741"/>
      <c r="G10633" s="1277" t="s">
        <v>19</v>
      </c>
      <c r="H10633" s="1218">
        <v>200.75</v>
      </c>
      <c r="K10633" s="1192" t="s">
        <v>4388</v>
      </c>
      <c r="L10633" s="1192" t="s">
        <v>430</v>
      </c>
      <c r="P10633" s="1192" t="s">
        <v>4389</v>
      </c>
      <c r="V10633" s="1192">
        <v>14</v>
      </c>
    </row>
    <row r="10634" spans="1:22" s="1192" customFormat="1" ht="14.4" x14ac:dyDescent="0.3">
      <c r="A10634" s="1192" t="s">
        <v>186</v>
      </c>
      <c r="E10634" s="1741" t="s">
        <v>80</v>
      </c>
      <c r="F10634" s="1741"/>
      <c r="G10634" s="1277" t="s">
        <v>29</v>
      </c>
      <c r="H10634" s="1219">
        <v>1.1571</v>
      </c>
      <c r="K10634" s="1192" t="s">
        <v>4388</v>
      </c>
      <c r="L10634" s="1192" t="s">
        <v>430</v>
      </c>
      <c r="P10634" s="1192" t="s">
        <v>4390</v>
      </c>
      <c r="V10634" s="1192">
        <v>28</v>
      </c>
    </row>
    <row r="10635" spans="1:22" s="1192" customFormat="1" ht="14.4" x14ac:dyDescent="0.3">
      <c r="A10635" s="1192" t="s">
        <v>186</v>
      </c>
      <c r="E10635" s="1741" t="s">
        <v>14</v>
      </c>
      <c r="F10635" s="1741"/>
      <c r="G10635" s="1277" t="s">
        <v>29</v>
      </c>
      <c r="H10635" s="1219">
        <v>0.53769999999999996</v>
      </c>
      <c r="K10635" s="1192" t="s">
        <v>4388</v>
      </c>
      <c r="L10635" s="1192" t="s">
        <v>431</v>
      </c>
      <c r="P10635" s="1192" t="s">
        <v>4391</v>
      </c>
      <c r="V10635" s="1192">
        <v>24</v>
      </c>
    </row>
    <row r="10636" spans="1:22" s="1192" customFormat="1" ht="14.4" x14ac:dyDescent="0.3">
      <c r="A10636" s="1192" t="s">
        <v>186</v>
      </c>
      <c r="E10636" s="1741" t="s">
        <v>6506</v>
      </c>
      <c r="F10636" s="1998"/>
      <c r="G10636" s="1277" t="s">
        <v>20</v>
      </c>
      <c r="H10636" s="1219">
        <v>-2.5000000000000001E-3</v>
      </c>
      <c r="K10636" s="1192" t="s">
        <v>4388</v>
      </c>
      <c r="L10636" s="1192" t="s">
        <v>431</v>
      </c>
      <c r="P10636" s="1192" t="s">
        <v>4397</v>
      </c>
      <c r="T10636" s="1192">
        <v>44316</v>
      </c>
      <c r="V10636" s="1192">
        <v>139</v>
      </c>
    </row>
    <row r="10637" spans="1:22" s="1192" customFormat="1" ht="14.4" x14ac:dyDescent="0.3">
      <c r="A10637" s="1192" t="s">
        <v>186</v>
      </c>
      <c r="E10637" s="1741" t="s">
        <v>6508</v>
      </c>
      <c r="F10637" s="1998"/>
      <c r="G10637" s="1277" t="s">
        <v>29</v>
      </c>
      <c r="H10637" s="1219">
        <v>-0.59960000000000002</v>
      </c>
      <c r="K10637" s="1192" t="s">
        <v>4388</v>
      </c>
      <c r="L10637" s="1192" t="s">
        <v>431</v>
      </c>
      <c r="P10637" s="1192" t="s">
        <v>4398</v>
      </c>
      <c r="T10637" s="1192">
        <v>44316</v>
      </c>
      <c r="V10637" s="1192">
        <v>96</v>
      </c>
    </row>
    <row r="10638" spans="1:22" s="1192" customFormat="1" ht="14.4" x14ac:dyDescent="0.3">
      <c r="A10638" s="1192" t="s">
        <v>186</v>
      </c>
      <c r="E10638" s="1741" t="s">
        <v>213</v>
      </c>
      <c r="F10638" s="1741"/>
      <c r="G10638" s="1277" t="s">
        <v>29</v>
      </c>
      <c r="H10638" s="1219">
        <v>2.4363999999999999</v>
      </c>
      <c r="K10638" s="1192" t="s">
        <v>4388</v>
      </c>
      <c r="L10638" s="1192" t="s">
        <v>432</v>
      </c>
      <c r="P10638" s="1192" t="s">
        <v>4392</v>
      </c>
      <c r="V10638" s="1192">
        <v>47</v>
      </c>
    </row>
    <row r="10639" spans="1:22" s="1192" customFormat="1" ht="14.4" x14ac:dyDescent="0.3">
      <c r="A10639" s="1192" t="s">
        <v>186</v>
      </c>
      <c r="E10639" s="1741" t="s">
        <v>2847</v>
      </c>
      <c r="F10639" s="1741"/>
      <c r="G10639" s="1277" t="s">
        <v>29</v>
      </c>
      <c r="H10639" s="1219">
        <v>1.1444000000000001</v>
      </c>
      <c r="K10639" s="1192" t="s">
        <v>4388</v>
      </c>
      <c r="L10639" s="1192" t="s">
        <v>432</v>
      </c>
      <c r="P10639" s="1192" t="s">
        <v>4393</v>
      </c>
      <c r="V10639" s="1192">
        <v>75</v>
      </c>
    </row>
    <row r="10640" spans="1:22" s="1192" customFormat="1" ht="14.4" x14ac:dyDescent="0.3">
      <c r="A10640" s="1192" t="s">
        <v>186</v>
      </c>
      <c r="E10640" s="1750" t="s">
        <v>2405</v>
      </c>
      <c r="F10640" s="1741"/>
      <c r="G10640" s="1277"/>
      <c r="H10640" s="896"/>
      <c r="K10640" s="1192" t="s">
        <v>2526</v>
      </c>
      <c r="V10640" s="1192">
        <v>48</v>
      </c>
    </row>
    <row r="10641" spans="1:22" s="1192" customFormat="1" ht="14.4" x14ac:dyDescent="0.3">
      <c r="A10641" s="1192" t="s">
        <v>186</v>
      </c>
      <c r="E10641" s="1741" t="s">
        <v>2033</v>
      </c>
      <c r="F10641" s="1741"/>
      <c r="G10641" s="1277" t="s">
        <v>20</v>
      </c>
      <c r="H10641" s="1219">
        <v>3.0000000000000001E-3</v>
      </c>
      <c r="K10641" s="1192" t="s">
        <v>4388</v>
      </c>
      <c r="L10641" s="1192" t="s">
        <v>2374</v>
      </c>
      <c r="P10641" s="1192" t="s">
        <v>4394</v>
      </c>
      <c r="V10641" s="1192">
        <v>55</v>
      </c>
    </row>
    <row r="10642" spans="1:22" s="1192" customFormat="1" ht="14.4" x14ac:dyDescent="0.3">
      <c r="A10642" s="1192" t="s">
        <v>186</v>
      </c>
      <c r="E10642" s="1741" t="s">
        <v>2034</v>
      </c>
      <c r="F10642" s="1741"/>
      <c r="G10642" s="1277" t="s">
        <v>20</v>
      </c>
      <c r="H10642" s="1219">
        <v>4.0000000000000002E-4</v>
      </c>
      <c r="K10642" s="1192" t="s">
        <v>4388</v>
      </c>
      <c r="L10642" s="1192" t="s">
        <v>2374</v>
      </c>
      <c r="P10642" s="1192" t="s">
        <v>4394</v>
      </c>
      <c r="V10642" s="1192">
        <v>65</v>
      </c>
    </row>
    <row r="10643" spans="1:22" s="1192" customFormat="1" ht="14.4" x14ac:dyDescent="0.3">
      <c r="A10643" s="1192" t="s">
        <v>186</v>
      </c>
      <c r="E10643" s="1741" t="s">
        <v>428</v>
      </c>
      <c r="F10643" s="1741"/>
      <c r="G10643" s="1277" t="s">
        <v>20</v>
      </c>
      <c r="H10643" s="1219">
        <v>5.0000000000000001E-4</v>
      </c>
      <c r="K10643" s="1192" t="s">
        <v>4388</v>
      </c>
      <c r="L10643" s="1192" t="s">
        <v>2374</v>
      </c>
      <c r="P10643" s="1192" t="s">
        <v>4395</v>
      </c>
      <c r="V10643" s="1192">
        <v>57</v>
      </c>
    </row>
    <row r="10644" spans="1:22" s="1192" customFormat="1" ht="14.4" x14ac:dyDescent="0.3">
      <c r="A10644" s="1192" t="s">
        <v>186</v>
      </c>
      <c r="E10644" s="1741" t="s">
        <v>28</v>
      </c>
      <c r="F10644" s="1741"/>
      <c r="G10644" s="1277" t="s">
        <v>19</v>
      </c>
      <c r="H10644" s="1218">
        <v>0.25</v>
      </c>
      <c r="K10644" s="1192" t="s">
        <v>4388</v>
      </c>
      <c r="L10644" s="1192" t="s">
        <v>2374</v>
      </c>
      <c r="P10644" s="1192" t="s">
        <v>4396</v>
      </c>
      <c r="V10644" s="1192">
        <v>63</v>
      </c>
    </row>
    <row r="10645" spans="1:22" s="1192" customFormat="1" ht="17.399999999999999" x14ac:dyDescent="0.3">
      <c r="A10645" s="1192" t="s">
        <v>186</v>
      </c>
      <c r="E10645" s="1746" t="s">
        <v>592</v>
      </c>
      <c r="F10645" s="1747"/>
      <c r="G10645" s="1747"/>
      <c r="H10645" s="1747"/>
      <c r="K10645" s="1192" t="s">
        <v>2676</v>
      </c>
      <c r="V10645" s="1192">
        <v>47</v>
      </c>
    </row>
    <row r="10646" spans="1:22" s="1192" customFormat="1" ht="14.4" x14ac:dyDescent="0.3">
      <c r="A10646" s="1192" t="s">
        <v>186</v>
      </c>
      <c r="E10646" s="1743" t="s">
        <v>2808</v>
      </c>
      <c r="F10646" s="1743"/>
      <c r="G10646" s="1743"/>
      <c r="H10646" s="1743"/>
      <c r="K10646" s="1192" t="s">
        <v>2676</v>
      </c>
      <c r="V10646" s="1192">
        <v>619</v>
      </c>
    </row>
    <row r="10647" spans="1:22" s="1192" customFormat="1" ht="14.4" x14ac:dyDescent="0.3">
      <c r="A10647" s="1192" t="s">
        <v>186</v>
      </c>
      <c r="E10647" s="1750" t="s">
        <v>2389</v>
      </c>
      <c r="F10647" s="1743"/>
      <c r="G10647" s="1743"/>
      <c r="H10647" s="1743"/>
      <c r="K10647" s="1192" t="s">
        <v>2529</v>
      </c>
      <c r="V10647" s="1192">
        <v>11</v>
      </c>
    </row>
    <row r="10648" spans="1:22" s="1192" customFormat="1" ht="14.4" x14ac:dyDescent="0.3">
      <c r="A10648" s="1192" t="s">
        <v>186</v>
      </c>
      <c r="E10648" s="1743" t="s">
        <v>2391</v>
      </c>
      <c r="F10648" s="1743"/>
      <c r="G10648" s="1743"/>
      <c r="H10648" s="1743"/>
      <c r="K10648" s="1192" t="s">
        <v>2676</v>
      </c>
      <c r="V10648" s="1192">
        <v>280</v>
      </c>
    </row>
    <row r="10649" spans="1:22" s="1192" customFormat="1" ht="14.4" x14ac:dyDescent="0.3">
      <c r="A10649" s="1192" t="s">
        <v>186</v>
      </c>
      <c r="E10649" s="1743" t="s">
        <v>2392</v>
      </c>
      <c r="F10649" s="1743"/>
      <c r="G10649" s="1743"/>
      <c r="H10649" s="1743"/>
      <c r="K10649" s="1192" t="s">
        <v>2676</v>
      </c>
      <c r="V10649" s="1192">
        <v>411</v>
      </c>
    </row>
    <row r="10650" spans="1:22" s="1192" customFormat="1" ht="14.4" x14ac:dyDescent="0.3">
      <c r="A10650" s="1192" t="s">
        <v>186</v>
      </c>
      <c r="E10650" s="1743" t="s">
        <v>2508</v>
      </c>
      <c r="F10650" s="1743"/>
      <c r="G10650" s="1743"/>
      <c r="H10650" s="1743"/>
      <c r="K10650" s="1192" t="s">
        <v>2676</v>
      </c>
      <c r="V10650" s="1192">
        <v>386</v>
      </c>
    </row>
    <row r="10651" spans="1:22" s="1192" customFormat="1" ht="14.4" x14ac:dyDescent="0.3">
      <c r="A10651" s="1192" t="s">
        <v>186</v>
      </c>
      <c r="E10651" s="1743" t="s">
        <v>2986</v>
      </c>
      <c r="F10651" s="1743"/>
      <c r="G10651" s="1743"/>
      <c r="H10651" s="1743"/>
      <c r="K10651" s="1192" t="s">
        <v>2676</v>
      </c>
      <c r="V10651" s="1192">
        <v>246</v>
      </c>
    </row>
    <row r="10652" spans="1:22" s="1192" customFormat="1" ht="14.4" x14ac:dyDescent="0.3">
      <c r="A10652" s="1192" t="s">
        <v>186</v>
      </c>
      <c r="E10652" s="1750" t="s">
        <v>2394</v>
      </c>
      <c r="F10652" s="1743"/>
      <c r="G10652" s="1743"/>
      <c r="H10652" s="1743"/>
      <c r="K10652" s="1192" t="s">
        <v>2531</v>
      </c>
      <c r="V10652" s="1192">
        <v>46</v>
      </c>
    </row>
    <row r="10653" spans="1:22" s="1192" customFormat="1" ht="14.4" x14ac:dyDescent="0.3">
      <c r="A10653" s="1192" t="s">
        <v>186</v>
      </c>
      <c r="E10653" s="1741" t="s">
        <v>8</v>
      </c>
      <c r="F10653" s="1741"/>
      <c r="G10653" s="1277" t="s">
        <v>19</v>
      </c>
      <c r="H10653" s="1218">
        <v>16.86</v>
      </c>
      <c r="K10653" s="1192" t="s">
        <v>2676</v>
      </c>
      <c r="L10653" s="1192" t="s">
        <v>430</v>
      </c>
      <c r="P10653" s="1192" t="s">
        <v>2678</v>
      </c>
      <c r="V10653" s="1192">
        <v>31</v>
      </c>
    </row>
    <row r="10654" spans="1:22" s="1192" customFormat="1" ht="14.4" x14ac:dyDescent="0.3">
      <c r="A10654" s="1192" t="s">
        <v>186</v>
      </c>
      <c r="E10654" s="1741" t="s">
        <v>80</v>
      </c>
      <c r="F10654" s="1741"/>
      <c r="G10654" s="1277" t="s">
        <v>20</v>
      </c>
      <c r="H10654" s="1219">
        <v>1.8499999999999999E-2</v>
      </c>
      <c r="K10654" s="1192" t="s">
        <v>2676</v>
      </c>
      <c r="L10654" s="1192" t="s">
        <v>430</v>
      </c>
      <c r="P10654" s="1192" t="s">
        <v>2679</v>
      </c>
      <c r="V10654" s="1192">
        <v>28</v>
      </c>
    </row>
    <row r="10655" spans="1:22" s="1192" customFormat="1" ht="14.4" x14ac:dyDescent="0.3">
      <c r="A10655" s="1192" t="s">
        <v>186</v>
      </c>
      <c r="E10655" s="1741" t="s">
        <v>14</v>
      </c>
      <c r="F10655" s="1741"/>
      <c r="G10655" s="1277" t="s">
        <v>20</v>
      </c>
      <c r="H10655" s="1219">
        <v>1.5E-3</v>
      </c>
      <c r="K10655" s="1192" t="s">
        <v>2676</v>
      </c>
      <c r="L10655" s="1192" t="s">
        <v>431</v>
      </c>
      <c r="P10655" s="1192" t="s">
        <v>2809</v>
      </c>
      <c r="V10655" s="1192">
        <v>24</v>
      </c>
    </row>
    <row r="10656" spans="1:22" s="1192" customFormat="1" ht="14.4" x14ac:dyDescent="0.3">
      <c r="A10656" s="1192" t="s">
        <v>186</v>
      </c>
      <c r="E10656" s="1741" t="s">
        <v>6506</v>
      </c>
      <c r="F10656" s="1998"/>
      <c r="G10656" s="1277" t="s">
        <v>20</v>
      </c>
      <c r="H10656" s="1219">
        <v>-2.5000000000000001E-3</v>
      </c>
      <c r="K10656" s="1192" t="s">
        <v>2676</v>
      </c>
      <c r="L10656" s="1192" t="s">
        <v>431</v>
      </c>
      <c r="P10656" s="1192" t="s">
        <v>2810</v>
      </c>
      <c r="T10656" s="1192">
        <v>44316</v>
      </c>
      <c r="V10656" s="1192">
        <v>139</v>
      </c>
    </row>
    <row r="10657" spans="1:22" s="1192" customFormat="1" ht="14.4" x14ac:dyDescent="0.3">
      <c r="A10657" s="1192" t="s">
        <v>186</v>
      </c>
      <c r="E10657" s="1741" t="s">
        <v>6508</v>
      </c>
      <c r="F10657" s="1998"/>
      <c r="G10657" s="1277" t="s">
        <v>20</v>
      </c>
      <c r="H10657" s="1219">
        <v>-1.9E-3</v>
      </c>
      <c r="K10657" s="1192" t="s">
        <v>2676</v>
      </c>
      <c r="L10657" s="1192" t="s">
        <v>431</v>
      </c>
      <c r="P10657" s="1192" t="s">
        <v>2681</v>
      </c>
      <c r="T10657" s="1192">
        <v>44316</v>
      </c>
      <c r="V10657" s="1192">
        <v>96</v>
      </c>
    </row>
    <row r="10658" spans="1:22" s="1192" customFormat="1" ht="14.4" x14ac:dyDescent="0.3">
      <c r="A10658" s="1192" t="s">
        <v>186</v>
      </c>
      <c r="E10658" s="1741" t="s">
        <v>213</v>
      </c>
      <c r="F10658" s="1741"/>
      <c r="G10658" s="1277" t="s">
        <v>20</v>
      </c>
      <c r="H10658" s="1219">
        <v>6.1000000000000004E-3</v>
      </c>
      <c r="K10658" s="1192" t="s">
        <v>2676</v>
      </c>
      <c r="L10658" s="1192" t="s">
        <v>432</v>
      </c>
      <c r="P10658" s="1192" t="s">
        <v>2682</v>
      </c>
      <c r="V10658" s="1192">
        <v>47</v>
      </c>
    </row>
    <row r="10659" spans="1:22" s="1192" customFormat="1" ht="14.4" x14ac:dyDescent="0.3">
      <c r="A10659" s="1192" t="s">
        <v>186</v>
      </c>
      <c r="E10659" s="1741" t="s">
        <v>209</v>
      </c>
      <c r="F10659" s="1741"/>
      <c r="G10659" s="1277" t="s">
        <v>20</v>
      </c>
      <c r="H10659" s="1219">
        <v>2.8999999999999998E-3</v>
      </c>
      <c r="K10659" s="1192" t="s">
        <v>2676</v>
      </c>
      <c r="L10659" s="1192" t="s">
        <v>432</v>
      </c>
      <c r="P10659" s="1192" t="s">
        <v>2683</v>
      </c>
      <c r="V10659" s="1192">
        <v>74</v>
      </c>
    </row>
    <row r="10660" spans="1:22" s="1192" customFormat="1" ht="14.4" x14ac:dyDescent="0.3">
      <c r="A10660" s="1192" t="s">
        <v>186</v>
      </c>
      <c r="E10660" s="1750" t="s">
        <v>2405</v>
      </c>
      <c r="F10660" s="1741"/>
      <c r="G10660" s="1277"/>
      <c r="H10660" s="896"/>
      <c r="K10660" s="1192" t="s">
        <v>2532</v>
      </c>
      <c r="V10660" s="1192">
        <v>48</v>
      </c>
    </row>
    <row r="10661" spans="1:22" s="1192" customFormat="1" ht="14.4" x14ac:dyDescent="0.3">
      <c r="A10661" s="1192" t="s">
        <v>186</v>
      </c>
      <c r="E10661" s="1741" t="s">
        <v>2033</v>
      </c>
      <c r="F10661" s="1741"/>
      <c r="G10661" s="1277" t="s">
        <v>20</v>
      </c>
      <c r="H10661" s="1219">
        <v>3.0000000000000001E-3</v>
      </c>
      <c r="K10661" s="1192" t="s">
        <v>2676</v>
      </c>
      <c r="L10661" s="1192" t="s">
        <v>2374</v>
      </c>
      <c r="P10661" s="1192" t="s">
        <v>2684</v>
      </c>
      <c r="V10661" s="1192">
        <v>55</v>
      </c>
    </row>
    <row r="10662" spans="1:22" s="1192" customFormat="1" ht="14.4" x14ac:dyDescent="0.3">
      <c r="A10662" s="1192" t="s">
        <v>186</v>
      </c>
      <c r="E10662" s="1741" t="s">
        <v>2034</v>
      </c>
      <c r="F10662" s="1741"/>
      <c r="G10662" s="1277" t="s">
        <v>20</v>
      </c>
      <c r="H10662" s="1219">
        <v>4.0000000000000002E-4</v>
      </c>
      <c r="K10662" s="1192" t="s">
        <v>2676</v>
      </c>
      <c r="L10662" s="1192" t="s">
        <v>2374</v>
      </c>
      <c r="P10662" s="1192" t="s">
        <v>2684</v>
      </c>
      <c r="V10662" s="1192">
        <v>65</v>
      </c>
    </row>
    <row r="10663" spans="1:22" s="1192" customFormat="1" ht="14.4" x14ac:dyDescent="0.3">
      <c r="A10663" s="1192" t="s">
        <v>186</v>
      </c>
      <c r="E10663" s="1741" t="s">
        <v>428</v>
      </c>
      <c r="F10663" s="1741"/>
      <c r="G10663" s="1277" t="s">
        <v>20</v>
      </c>
      <c r="H10663" s="1219">
        <v>5.0000000000000001E-4</v>
      </c>
      <c r="K10663" s="1192" t="s">
        <v>2676</v>
      </c>
      <c r="L10663" s="1192" t="s">
        <v>2374</v>
      </c>
      <c r="P10663" s="1192" t="s">
        <v>2685</v>
      </c>
      <c r="V10663" s="1192">
        <v>57</v>
      </c>
    </row>
    <row r="10664" spans="1:22" s="1192" customFormat="1" ht="14.4" x14ac:dyDescent="0.3">
      <c r="A10664" s="1192" t="s">
        <v>186</v>
      </c>
      <c r="E10664" s="1741" t="s">
        <v>28</v>
      </c>
      <c r="F10664" s="1741"/>
      <c r="G10664" s="1277" t="s">
        <v>19</v>
      </c>
      <c r="H10664" s="1218">
        <v>0.25</v>
      </c>
      <c r="K10664" s="1192" t="s">
        <v>2676</v>
      </c>
      <c r="L10664" s="1192" t="s">
        <v>2374</v>
      </c>
      <c r="P10664" s="1192" t="s">
        <v>2686</v>
      </c>
      <c r="V10664" s="1192">
        <v>63</v>
      </c>
    </row>
    <row r="10665" spans="1:22" s="1192" customFormat="1" ht="17.399999999999999" x14ac:dyDescent="0.3">
      <c r="A10665" s="1192" t="s">
        <v>186</v>
      </c>
      <c r="E10665" s="1746" t="s">
        <v>590</v>
      </c>
      <c r="F10665" s="1747"/>
      <c r="G10665" s="1747"/>
      <c r="H10665" s="1747"/>
      <c r="K10665" s="1192" t="s">
        <v>2687</v>
      </c>
      <c r="V10665" s="1192">
        <v>38</v>
      </c>
    </row>
    <row r="10666" spans="1:22" s="1192" customFormat="1" ht="14.4" x14ac:dyDescent="0.3">
      <c r="A10666" s="1192" t="s">
        <v>186</v>
      </c>
      <c r="E10666" s="1743" t="s">
        <v>2811</v>
      </c>
      <c r="F10666" s="1743"/>
      <c r="G10666" s="1743"/>
      <c r="H10666" s="1743"/>
      <c r="K10666" s="1192" t="s">
        <v>2687</v>
      </c>
      <c r="V10666" s="1192">
        <v>551</v>
      </c>
    </row>
    <row r="10667" spans="1:22" s="1192" customFormat="1" ht="14.4" x14ac:dyDescent="0.3">
      <c r="A10667" s="1192" t="s">
        <v>186</v>
      </c>
      <c r="E10667" s="1750" t="s">
        <v>2389</v>
      </c>
      <c r="F10667" s="1743"/>
      <c r="G10667" s="1743"/>
      <c r="H10667" s="1743"/>
      <c r="K10667" s="1192" t="s">
        <v>2424</v>
      </c>
      <c r="V10667" s="1192">
        <v>11</v>
      </c>
    </row>
    <row r="10668" spans="1:22" s="1192" customFormat="1" ht="14.4" x14ac:dyDescent="0.3">
      <c r="A10668" s="1192" t="s">
        <v>186</v>
      </c>
      <c r="E10668" s="1743" t="s">
        <v>2391</v>
      </c>
      <c r="F10668" s="1743"/>
      <c r="G10668" s="1743"/>
      <c r="H10668" s="1743"/>
      <c r="K10668" s="1192" t="s">
        <v>2687</v>
      </c>
      <c r="V10668" s="1192">
        <v>280</v>
      </c>
    </row>
    <row r="10669" spans="1:22" s="1192" customFormat="1" ht="14.4" x14ac:dyDescent="0.3">
      <c r="A10669" s="1192" t="s">
        <v>186</v>
      </c>
      <c r="E10669" s="1743" t="s">
        <v>2392</v>
      </c>
      <c r="F10669" s="1743"/>
      <c r="G10669" s="1743"/>
      <c r="H10669" s="1743"/>
      <c r="K10669" s="1192" t="s">
        <v>2687</v>
      </c>
      <c r="V10669" s="1192">
        <v>411</v>
      </c>
    </row>
    <row r="10670" spans="1:22" s="1192" customFormat="1" ht="14.4" x14ac:dyDescent="0.3">
      <c r="A10670" s="1192" t="s">
        <v>186</v>
      </c>
      <c r="E10670" s="1743" t="s">
        <v>2508</v>
      </c>
      <c r="F10670" s="1743"/>
      <c r="G10670" s="1743"/>
      <c r="H10670" s="1743"/>
      <c r="K10670" s="1192" t="s">
        <v>2687</v>
      </c>
      <c r="V10670" s="1192">
        <v>386</v>
      </c>
    </row>
    <row r="10671" spans="1:22" s="1192" customFormat="1" ht="14.4" x14ac:dyDescent="0.3">
      <c r="A10671" s="1192" t="s">
        <v>186</v>
      </c>
      <c r="E10671" s="1743" t="s">
        <v>2986</v>
      </c>
      <c r="F10671" s="1743"/>
      <c r="G10671" s="1743"/>
      <c r="H10671" s="1743"/>
      <c r="K10671" s="1192" t="s">
        <v>2687</v>
      </c>
      <c r="V10671" s="1192">
        <v>246</v>
      </c>
    </row>
    <row r="10672" spans="1:22" s="1192" customFormat="1" ht="14.4" x14ac:dyDescent="0.3">
      <c r="A10672" s="1192" t="s">
        <v>186</v>
      </c>
      <c r="E10672" s="1750" t="s">
        <v>2394</v>
      </c>
      <c r="F10672" s="1743"/>
      <c r="G10672" s="1743"/>
      <c r="H10672" s="1743"/>
      <c r="K10672" s="1192" t="s">
        <v>2425</v>
      </c>
      <c r="V10672" s="1192">
        <v>46</v>
      </c>
    </row>
    <row r="10673" spans="1:22" s="1192" customFormat="1" ht="14.4" x14ac:dyDescent="0.3">
      <c r="A10673" s="1192" t="s">
        <v>186</v>
      </c>
      <c r="E10673" s="1741" t="s">
        <v>8</v>
      </c>
      <c r="F10673" s="1741"/>
      <c r="G10673" s="1277" t="s">
        <v>19</v>
      </c>
      <c r="H10673" s="1218">
        <v>8.01</v>
      </c>
      <c r="K10673" s="1192" t="s">
        <v>2687</v>
      </c>
      <c r="L10673" s="1192" t="s">
        <v>430</v>
      </c>
      <c r="P10673" s="1192" t="s">
        <v>2689</v>
      </c>
      <c r="V10673" s="1192">
        <v>31</v>
      </c>
    </row>
    <row r="10674" spans="1:22" s="1192" customFormat="1" ht="14.4" x14ac:dyDescent="0.3">
      <c r="A10674" s="1192" t="s">
        <v>186</v>
      </c>
      <c r="E10674" s="1741" t="s">
        <v>80</v>
      </c>
      <c r="F10674" s="1741"/>
      <c r="G10674" s="1277" t="s">
        <v>29</v>
      </c>
      <c r="H10674" s="1219">
        <v>9.4335000000000004</v>
      </c>
      <c r="K10674" s="1192" t="s">
        <v>2687</v>
      </c>
      <c r="L10674" s="1192" t="s">
        <v>430</v>
      </c>
      <c r="P10674" s="1192" t="s">
        <v>2690</v>
      </c>
      <c r="V10674" s="1192">
        <v>28</v>
      </c>
    </row>
    <row r="10675" spans="1:22" s="1192" customFormat="1" ht="14.4" x14ac:dyDescent="0.3">
      <c r="A10675" s="1192" t="s">
        <v>186</v>
      </c>
      <c r="E10675" s="1741" t="s">
        <v>14</v>
      </c>
      <c r="F10675" s="1741"/>
      <c r="G10675" s="1277" t="s">
        <v>29</v>
      </c>
      <c r="H10675" s="1219">
        <v>0.41520000000000001</v>
      </c>
      <c r="K10675" s="1192" t="s">
        <v>2687</v>
      </c>
      <c r="L10675" s="1192" t="s">
        <v>431</v>
      </c>
      <c r="P10675" s="1192" t="s">
        <v>2812</v>
      </c>
      <c r="V10675" s="1192">
        <v>24</v>
      </c>
    </row>
    <row r="10676" spans="1:22" s="1192" customFormat="1" ht="14.4" x14ac:dyDescent="0.3">
      <c r="A10676" s="1192" t="s">
        <v>186</v>
      </c>
      <c r="E10676" s="1741" t="s">
        <v>6506</v>
      </c>
      <c r="F10676" s="1998"/>
      <c r="G10676" s="1277" t="s">
        <v>20</v>
      </c>
      <c r="H10676" s="1219">
        <v>-2.5000000000000001E-3</v>
      </c>
      <c r="K10676" s="1192" t="s">
        <v>2687</v>
      </c>
      <c r="L10676" s="1192" t="s">
        <v>431</v>
      </c>
      <c r="P10676" s="1192" t="s">
        <v>2691</v>
      </c>
      <c r="T10676" s="1192">
        <v>44316</v>
      </c>
      <c r="V10676" s="1192">
        <v>139</v>
      </c>
    </row>
    <row r="10677" spans="1:22" s="1192" customFormat="1" ht="14.4" x14ac:dyDescent="0.3">
      <c r="A10677" s="1192" t="s">
        <v>186</v>
      </c>
      <c r="E10677" s="1741" t="s">
        <v>6508</v>
      </c>
      <c r="F10677" s="1998"/>
      <c r="G10677" s="1277" t="s">
        <v>29</v>
      </c>
      <c r="H10677" s="1219">
        <v>-0.67759999999999998</v>
      </c>
      <c r="K10677" s="1192" t="s">
        <v>2687</v>
      </c>
      <c r="L10677" s="1192" t="s">
        <v>431</v>
      </c>
      <c r="P10677" s="1192" t="s">
        <v>2693</v>
      </c>
      <c r="T10677" s="1192">
        <v>44316</v>
      </c>
      <c r="V10677" s="1192">
        <v>96</v>
      </c>
    </row>
    <row r="10678" spans="1:22" s="1192" customFormat="1" ht="14.4" x14ac:dyDescent="0.3">
      <c r="A10678" s="1192" t="s">
        <v>186</v>
      </c>
      <c r="E10678" s="1741" t="s">
        <v>213</v>
      </c>
      <c r="F10678" s="1741"/>
      <c r="G10678" s="1277" t="s">
        <v>29</v>
      </c>
      <c r="H10678" s="1219">
        <v>1.8375999999999999</v>
      </c>
      <c r="K10678" s="1192" t="s">
        <v>2687</v>
      </c>
      <c r="L10678" s="1192" t="s">
        <v>432</v>
      </c>
      <c r="P10678" s="1192" t="s">
        <v>2694</v>
      </c>
      <c r="V10678" s="1192">
        <v>47</v>
      </c>
    </row>
    <row r="10679" spans="1:22" s="1192" customFormat="1" ht="14.4" x14ac:dyDescent="0.3">
      <c r="A10679" s="1192" t="s">
        <v>186</v>
      </c>
      <c r="E10679" s="1741" t="s">
        <v>209</v>
      </c>
      <c r="F10679" s="1741"/>
      <c r="G10679" s="1277" t="s">
        <v>29</v>
      </c>
      <c r="H10679" s="1219">
        <v>0.88449999999999995</v>
      </c>
      <c r="K10679" s="1192" t="s">
        <v>2687</v>
      </c>
      <c r="L10679" s="1192" t="s">
        <v>432</v>
      </c>
      <c r="P10679" s="1192" t="s">
        <v>2813</v>
      </c>
      <c r="V10679" s="1192">
        <v>74</v>
      </c>
    </row>
    <row r="10680" spans="1:22" s="1192" customFormat="1" ht="14.4" x14ac:dyDescent="0.3">
      <c r="A10680" s="1192" t="s">
        <v>186</v>
      </c>
      <c r="E10680" s="1750" t="s">
        <v>2405</v>
      </c>
      <c r="F10680" s="1741"/>
      <c r="G10680" s="1277"/>
      <c r="H10680" s="896"/>
      <c r="K10680" s="1192" t="s">
        <v>2427</v>
      </c>
      <c r="V10680" s="1192">
        <v>48</v>
      </c>
    </row>
    <row r="10681" spans="1:22" s="1192" customFormat="1" ht="14.4" x14ac:dyDescent="0.3">
      <c r="A10681" s="1192" t="s">
        <v>186</v>
      </c>
      <c r="E10681" s="1741" t="s">
        <v>2033</v>
      </c>
      <c r="F10681" s="1741"/>
      <c r="G10681" s="1277" t="s">
        <v>20</v>
      </c>
      <c r="H10681" s="1219">
        <v>3.0000000000000001E-3</v>
      </c>
      <c r="K10681" s="1192" t="s">
        <v>2687</v>
      </c>
      <c r="L10681" s="1192" t="s">
        <v>2374</v>
      </c>
      <c r="P10681" s="1192" t="s">
        <v>2696</v>
      </c>
      <c r="V10681" s="1192">
        <v>55</v>
      </c>
    </row>
    <row r="10682" spans="1:22" s="1192" customFormat="1" ht="14.4" x14ac:dyDescent="0.3">
      <c r="A10682" s="1192" t="s">
        <v>186</v>
      </c>
      <c r="E10682" s="1741" t="s">
        <v>2034</v>
      </c>
      <c r="F10682" s="1741"/>
      <c r="G10682" s="1277" t="s">
        <v>20</v>
      </c>
      <c r="H10682" s="1219">
        <v>4.0000000000000002E-4</v>
      </c>
      <c r="K10682" s="1192" t="s">
        <v>2687</v>
      </c>
      <c r="L10682" s="1192" t="s">
        <v>2374</v>
      </c>
      <c r="P10682" s="1192" t="s">
        <v>2696</v>
      </c>
      <c r="V10682" s="1192">
        <v>65</v>
      </c>
    </row>
    <row r="10683" spans="1:22" s="1192" customFormat="1" ht="14.4" x14ac:dyDescent="0.3">
      <c r="A10683" s="1192" t="s">
        <v>186</v>
      </c>
      <c r="E10683" s="1741" t="s">
        <v>428</v>
      </c>
      <c r="F10683" s="1741"/>
      <c r="G10683" s="1277" t="s">
        <v>20</v>
      </c>
      <c r="H10683" s="1219">
        <v>5.0000000000000001E-4</v>
      </c>
      <c r="K10683" s="1192" t="s">
        <v>2687</v>
      </c>
      <c r="L10683" s="1192" t="s">
        <v>2374</v>
      </c>
      <c r="P10683" s="1192" t="s">
        <v>2697</v>
      </c>
      <c r="V10683" s="1192">
        <v>57</v>
      </c>
    </row>
    <row r="10684" spans="1:22" s="1192" customFormat="1" ht="14.4" x14ac:dyDescent="0.3">
      <c r="A10684" s="1192" t="s">
        <v>186</v>
      </c>
      <c r="E10684" s="1741" t="s">
        <v>28</v>
      </c>
      <c r="F10684" s="1741"/>
      <c r="G10684" s="1277" t="s">
        <v>19</v>
      </c>
      <c r="H10684" s="1218">
        <v>0.25</v>
      </c>
      <c r="K10684" s="1192" t="s">
        <v>2687</v>
      </c>
      <c r="L10684" s="1192" t="s">
        <v>2374</v>
      </c>
      <c r="P10684" s="1192" t="s">
        <v>2698</v>
      </c>
      <c r="V10684" s="1192">
        <v>63</v>
      </c>
    </row>
    <row r="10685" spans="1:22" s="1192" customFormat="1" ht="17.399999999999999" x14ac:dyDescent="0.3">
      <c r="A10685" s="1192" t="s">
        <v>186</v>
      </c>
      <c r="E10685" s="1746" t="s">
        <v>593</v>
      </c>
      <c r="F10685" s="1747"/>
      <c r="G10685" s="1747"/>
      <c r="H10685" s="1747"/>
      <c r="K10685" s="1192" t="s">
        <v>2651</v>
      </c>
      <c r="V10685" s="1192">
        <v>31</v>
      </c>
    </row>
    <row r="10686" spans="1:22" s="1192" customFormat="1" ht="14.4" x14ac:dyDescent="0.3">
      <c r="A10686" s="1192" t="s">
        <v>186</v>
      </c>
      <c r="E10686" s="1743" t="s">
        <v>2652</v>
      </c>
      <c r="F10686" s="1743"/>
      <c r="G10686" s="1743"/>
      <c r="H10686" s="1743"/>
      <c r="K10686" s="1192" t="s">
        <v>2651</v>
      </c>
      <c r="V10686" s="1192">
        <v>285</v>
      </c>
    </row>
    <row r="10687" spans="1:22" s="1192" customFormat="1" ht="14.4" x14ac:dyDescent="0.3">
      <c r="A10687" s="1192" t="s">
        <v>186</v>
      </c>
      <c r="E10687" s="1750" t="s">
        <v>2389</v>
      </c>
      <c r="F10687" s="1743"/>
      <c r="G10687" s="1743"/>
      <c r="H10687" s="1743"/>
      <c r="K10687" s="1192" t="s">
        <v>2430</v>
      </c>
      <c r="V10687" s="1192">
        <v>11</v>
      </c>
    </row>
    <row r="10688" spans="1:22" s="1192" customFormat="1" ht="14.4" x14ac:dyDescent="0.3">
      <c r="A10688" s="1192" t="s">
        <v>186</v>
      </c>
      <c r="E10688" s="1743" t="s">
        <v>2391</v>
      </c>
      <c r="F10688" s="1743"/>
      <c r="G10688" s="1743"/>
      <c r="H10688" s="1743"/>
      <c r="K10688" s="1192" t="s">
        <v>2651</v>
      </c>
      <c r="V10688" s="1192">
        <v>280</v>
      </c>
    </row>
    <row r="10689" spans="1:22" s="1192" customFormat="1" ht="14.4" x14ac:dyDescent="0.3">
      <c r="A10689" s="1192" t="s">
        <v>186</v>
      </c>
      <c r="E10689" s="1743" t="s">
        <v>2392</v>
      </c>
      <c r="F10689" s="1743"/>
      <c r="G10689" s="1743"/>
      <c r="H10689" s="1743"/>
      <c r="K10689" s="1192" t="s">
        <v>2651</v>
      </c>
      <c r="V10689" s="1192">
        <v>411</v>
      </c>
    </row>
    <row r="10690" spans="1:22" s="1192" customFormat="1" ht="14.4" x14ac:dyDescent="0.3">
      <c r="A10690" s="1192" t="s">
        <v>186</v>
      </c>
      <c r="E10690" s="1743" t="s">
        <v>2445</v>
      </c>
      <c r="F10690" s="1743"/>
      <c r="G10690" s="1743"/>
      <c r="H10690" s="1743"/>
      <c r="K10690" s="1192" t="s">
        <v>2651</v>
      </c>
      <c r="V10690" s="1192">
        <v>211</v>
      </c>
    </row>
    <row r="10691" spans="1:22" s="1192" customFormat="1" ht="14.4" x14ac:dyDescent="0.3">
      <c r="A10691" s="1192" t="s">
        <v>186</v>
      </c>
      <c r="E10691" s="1743" t="s">
        <v>2986</v>
      </c>
      <c r="F10691" s="1743"/>
      <c r="G10691" s="1743"/>
      <c r="H10691" s="1743"/>
      <c r="K10691" s="1192" t="s">
        <v>2651</v>
      </c>
      <c r="V10691" s="1192">
        <v>246</v>
      </c>
    </row>
    <row r="10692" spans="1:22" s="1192" customFormat="1" ht="14.4" x14ac:dyDescent="0.3">
      <c r="A10692" s="1192" t="s">
        <v>186</v>
      </c>
      <c r="E10692" s="1750" t="s">
        <v>2394</v>
      </c>
      <c r="F10692" s="1743"/>
      <c r="G10692" s="1743"/>
      <c r="H10692" s="1743"/>
      <c r="K10692" s="1192" t="s">
        <v>2431</v>
      </c>
      <c r="V10692" s="1192">
        <v>46</v>
      </c>
    </row>
    <row r="10693" spans="1:22" s="1192" customFormat="1" ht="14.4" x14ac:dyDescent="0.3">
      <c r="A10693" s="1192" t="s">
        <v>186</v>
      </c>
      <c r="E10693" s="1741" t="s">
        <v>7</v>
      </c>
      <c r="F10693" s="1741"/>
      <c r="G10693" s="1277" t="s">
        <v>19</v>
      </c>
      <c r="H10693" s="1218">
        <v>4.55</v>
      </c>
      <c r="K10693" s="1192" t="s">
        <v>2651</v>
      </c>
      <c r="L10693" s="1192" t="s">
        <v>430</v>
      </c>
      <c r="P10693" s="1192" t="s">
        <v>2653</v>
      </c>
      <c r="V10693" s="1192">
        <v>14</v>
      </c>
    </row>
    <row r="10694" spans="1:22" s="1192" customFormat="1" ht="17.399999999999999" x14ac:dyDescent="0.3">
      <c r="A10694" s="1192" t="s">
        <v>186</v>
      </c>
      <c r="E10694" s="1746" t="s">
        <v>81</v>
      </c>
      <c r="F10694" s="1746"/>
      <c r="G10694" s="573"/>
      <c r="H10694" s="930"/>
      <c r="K10694" s="1192" t="s">
        <v>2814</v>
      </c>
      <c r="V10694" s="1192">
        <v>10</v>
      </c>
    </row>
    <row r="10695" spans="1:22" s="1192" customFormat="1" ht="14.4" x14ac:dyDescent="0.3">
      <c r="A10695" s="1192" t="s">
        <v>186</v>
      </c>
      <c r="E10695" s="1741" t="s">
        <v>2449</v>
      </c>
      <c r="F10695" s="1741"/>
      <c r="G10695" s="1277" t="s">
        <v>29</v>
      </c>
      <c r="H10695" s="564">
        <v>-0.6</v>
      </c>
      <c r="V10695" s="1192">
        <v>68</v>
      </c>
    </row>
    <row r="10696" spans="1:22" s="1192" customFormat="1" ht="14.4" x14ac:dyDescent="0.3">
      <c r="A10696" s="1192" t="s">
        <v>186</v>
      </c>
      <c r="E10696" s="1741" t="s">
        <v>2450</v>
      </c>
      <c r="F10696" s="1741"/>
      <c r="G10696" s="1277" t="s">
        <v>82</v>
      </c>
      <c r="H10696" s="579">
        <v>-1</v>
      </c>
      <c r="V10696" s="1192">
        <v>87</v>
      </c>
    </row>
    <row r="10697" spans="1:22" s="1192" customFormat="1" ht="17.399999999999999" x14ac:dyDescent="0.3">
      <c r="A10697" s="1192" t="s">
        <v>186</v>
      </c>
      <c r="E10697" s="1746" t="s">
        <v>83</v>
      </c>
      <c r="F10697" s="1747"/>
      <c r="G10697" s="573"/>
      <c r="H10697" s="930"/>
      <c r="K10697" s="1192" t="s">
        <v>2815</v>
      </c>
      <c r="V10697" s="1192">
        <v>24</v>
      </c>
    </row>
    <row r="10698" spans="1:22" s="1192" customFormat="1" ht="14.4" x14ac:dyDescent="0.3">
      <c r="A10698" s="1192" t="s">
        <v>186</v>
      </c>
      <c r="E10698" s="2037" t="s">
        <v>2389</v>
      </c>
      <c r="F10698" s="1743"/>
      <c r="G10698" s="1743"/>
      <c r="H10698" s="1743"/>
      <c r="V10698" s="1192">
        <v>11</v>
      </c>
    </row>
    <row r="10699" spans="1:22" s="1192" customFormat="1" ht="14.4" x14ac:dyDescent="0.3">
      <c r="A10699" s="1192" t="s">
        <v>186</v>
      </c>
      <c r="E10699" s="1743" t="s">
        <v>2391</v>
      </c>
      <c r="F10699" s="1743"/>
      <c r="G10699" s="1743"/>
      <c r="H10699" s="1743"/>
      <c r="V10699" s="1192">
        <v>280</v>
      </c>
    </row>
    <row r="10700" spans="1:22" s="1192" customFormat="1" ht="14.4" x14ac:dyDescent="0.3">
      <c r="A10700" s="1192" t="s">
        <v>186</v>
      </c>
      <c r="E10700" s="1743" t="s">
        <v>2452</v>
      </c>
      <c r="F10700" s="1743"/>
      <c r="G10700" s="1743"/>
      <c r="H10700" s="1743"/>
      <c r="V10700" s="1192">
        <v>353</v>
      </c>
    </row>
    <row r="10701" spans="1:22" s="1192" customFormat="1" ht="14.4" x14ac:dyDescent="0.3">
      <c r="A10701" s="1192" t="s">
        <v>186</v>
      </c>
      <c r="E10701" s="1743" t="s">
        <v>2986</v>
      </c>
      <c r="F10701" s="1743"/>
      <c r="G10701" s="1743"/>
      <c r="H10701" s="1743"/>
      <c r="V10701" s="1192">
        <v>246</v>
      </c>
    </row>
    <row r="10702" spans="1:22" s="1192" customFormat="1" ht="14.4" x14ac:dyDescent="0.3">
      <c r="A10702" s="1192" t="s">
        <v>186</v>
      </c>
      <c r="E10702" s="1258" t="s">
        <v>2453</v>
      </c>
      <c r="F10702" s="3"/>
      <c r="G10702" s="3"/>
      <c r="H10702" s="897"/>
      <c r="K10702" s="1192" t="s">
        <v>2816</v>
      </c>
      <c r="V10702" s="1192">
        <v>23</v>
      </c>
    </row>
    <row r="10703" spans="1:22" s="1192" customFormat="1" ht="14.4" x14ac:dyDescent="0.3">
      <c r="A10703" s="1192" t="s">
        <v>186</v>
      </c>
      <c r="E10703" s="1942" t="s">
        <v>2639</v>
      </c>
      <c r="F10703" s="1942"/>
      <c r="G10703" s="1277" t="s">
        <v>19</v>
      </c>
      <c r="H10703" s="1218">
        <v>15</v>
      </c>
      <c r="V10703" s="1192">
        <v>19</v>
      </c>
    </row>
    <row r="10704" spans="1:22" s="1192" customFormat="1" ht="14.4" x14ac:dyDescent="0.3">
      <c r="A10704" s="1192" t="s">
        <v>186</v>
      </c>
      <c r="E10704" s="1942" t="s">
        <v>119</v>
      </c>
      <c r="F10704" s="1942"/>
      <c r="G10704" s="1277" t="s">
        <v>19</v>
      </c>
      <c r="H10704" s="1218">
        <v>15</v>
      </c>
      <c r="V10704" s="1192">
        <v>35</v>
      </c>
    </row>
    <row r="10705" spans="1:22" s="1192" customFormat="1" ht="14.4" x14ac:dyDescent="0.3">
      <c r="A10705" s="1192" t="s">
        <v>186</v>
      </c>
      <c r="E10705" s="1942" t="s">
        <v>2456</v>
      </c>
      <c r="F10705" s="1942"/>
      <c r="G10705" s="1277" t="s">
        <v>19</v>
      </c>
      <c r="H10705" s="1218">
        <v>15</v>
      </c>
      <c r="V10705" s="1192">
        <v>20</v>
      </c>
    </row>
    <row r="10706" spans="1:22" s="1192" customFormat="1" ht="14.4" x14ac:dyDescent="0.3">
      <c r="A10706" s="1192" t="s">
        <v>186</v>
      </c>
      <c r="E10706" s="1942" t="s">
        <v>2463</v>
      </c>
      <c r="F10706" s="1942"/>
      <c r="G10706" s="1277" t="s">
        <v>19</v>
      </c>
      <c r="H10706" s="1218">
        <v>15</v>
      </c>
      <c r="V10706" s="1192">
        <v>15</v>
      </c>
    </row>
    <row r="10707" spans="1:22" s="1192" customFormat="1" ht="14.4" x14ac:dyDescent="0.3">
      <c r="A10707" s="1192" t="s">
        <v>186</v>
      </c>
      <c r="E10707" s="1942" t="s">
        <v>2459</v>
      </c>
      <c r="F10707" s="1942"/>
      <c r="G10707" s="1277" t="s">
        <v>19</v>
      </c>
      <c r="H10707" s="1218">
        <v>15</v>
      </c>
      <c r="V10707" s="1192">
        <v>37</v>
      </c>
    </row>
    <row r="10708" spans="1:22" s="1192" customFormat="1" ht="14.4" x14ac:dyDescent="0.3">
      <c r="A10708" s="1192" t="s">
        <v>186</v>
      </c>
      <c r="E10708" s="1942" t="s">
        <v>84</v>
      </c>
      <c r="F10708" s="1942"/>
      <c r="G10708" s="1277" t="s">
        <v>19</v>
      </c>
      <c r="H10708" s="1218">
        <v>30</v>
      </c>
      <c r="V10708" s="1192">
        <v>89</v>
      </c>
    </row>
    <row r="10709" spans="1:22" s="1192" customFormat="1" ht="14.4" x14ac:dyDescent="0.3">
      <c r="A10709" s="1192" t="s">
        <v>186</v>
      </c>
      <c r="E10709" s="1942" t="s">
        <v>88</v>
      </c>
      <c r="F10709" s="1942"/>
      <c r="G10709" s="1277" t="s">
        <v>19</v>
      </c>
      <c r="H10709" s="1218">
        <v>30</v>
      </c>
      <c r="V10709" s="1192">
        <v>74</v>
      </c>
    </row>
    <row r="10710" spans="1:22" s="1192" customFormat="1" ht="14.4" x14ac:dyDescent="0.3">
      <c r="A10710" s="1192" t="s">
        <v>186</v>
      </c>
      <c r="E10710" s="1270" t="s">
        <v>2468</v>
      </c>
      <c r="F10710" s="3"/>
      <c r="G10710" s="3"/>
      <c r="H10710" s="897"/>
      <c r="K10710" s="1192" t="s">
        <v>6594</v>
      </c>
      <c r="V10710" s="1192">
        <v>22</v>
      </c>
    </row>
    <row r="10711" spans="1:22" s="1192" customFormat="1" ht="14.4" x14ac:dyDescent="0.3">
      <c r="A10711" s="1192" t="s">
        <v>186</v>
      </c>
      <c r="E10711" s="1942" t="s">
        <v>3918</v>
      </c>
      <c r="F10711" s="1942"/>
      <c r="G10711" s="1277"/>
      <c r="H10711" s="837"/>
      <c r="V10711" s="1192">
        <v>24</v>
      </c>
    </row>
    <row r="10712" spans="1:22" s="1192" customFormat="1" ht="14.4" x14ac:dyDescent="0.3">
      <c r="A10712" s="1192" t="s">
        <v>186</v>
      </c>
      <c r="E10712" s="1942" t="s">
        <v>6195</v>
      </c>
      <c r="F10712" s="1942"/>
      <c r="G10712" s="1277" t="s">
        <v>82</v>
      </c>
      <c r="H10712" s="1218">
        <v>1.5</v>
      </c>
      <c r="V10712" s="1192">
        <v>74</v>
      </c>
    </row>
    <row r="10713" spans="1:22" s="1192" customFormat="1" ht="14.4" x14ac:dyDescent="0.3">
      <c r="A10713" s="1192" t="s">
        <v>186</v>
      </c>
      <c r="E10713" s="1942" t="s">
        <v>6106</v>
      </c>
      <c r="F10713" s="1942"/>
      <c r="G10713" s="1277" t="s">
        <v>19</v>
      </c>
      <c r="H10713" s="1218">
        <v>65</v>
      </c>
      <c r="V10713" s="1192">
        <v>44</v>
      </c>
    </row>
    <row r="10714" spans="1:22" s="1192" customFormat="1" ht="14.4" x14ac:dyDescent="0.3">
      <c r="A10714" s="1192" t="s">
        <v>186</v>
      </c>
      <c r="E10714" s="1942" t="s">
        <v>6107</v>
      </c>
      <c r="F10714" s="1942"/>
      <c r="G10714" s="1277" t="s">
        <v>19</v>
      </c>
      <c r="H10714" s="1218">
        <v>185</v>
      </c>
      <c r="V10714" s="1192">
        <v>43</v>
      </c>
    </row>
    <row r="10715" spans="1:22" s="1192" customFormat="1" ht="14.4" x14ac:dyDescent="0.3">
      <c r="A10715" s="1192" t="s">
        <v>186</v>
      </c>
      <c r="E10715" s="1258" t="s">
        <v>2474</v>
      </c>
      <c r="F10715" s="3"/>
      <c r="G10715" s="3"/>
      <c r="H10715" s="897"/>
      <c r="V10715" s="1192">
        <v>5</v>
      </c>
    </row>
    <row r="10716" spans="1:22" s="1192" customFormat="1" ht="14.4" x14ac:dyDescent="0.3">
      <c r="A10716" s="1192" t="s">
        <v>186</v>
      </c>
      <c r="E10716" s="1942" t="s">
        <v>2760</v>
      </c>
      <c r="F10716" s="1942"/>
      <c r="G10716" s="1277" t="s">
        <v>19</v>
      </c>
      <c r="H10716" s="1218">
        <v>44.5</v>
      </c>
      <c r="V10716" s="1192">
        <v>59</v>
      </c>
    </row>
    <row r="10717" spans="1:22" s="1192" customFormat="1" ht="14.4" x14ac:dyDescent="0.3">
      <c r="A10717" s="1192" t="s">
        <v>186</v>
      </c>
      <c r="E10717" s="1942" t="s">
        <v>2476</v>
      </c>
      <c r="F10717" s="1942"/>
      <c r="G10717" s="1277"/>
      <c r="H10717" s="837"/>
      <c r="V10717" s="1192">
        <v>44</v>
      </c>
    </row>
    <row r="10718" spans="1:22" s="1192" customFormat="1" x14ac:dyDescent="0.35">
      <c r="A10718" s="1192" t="s">
        <v>186</v>
      </c>
      <c r="E10718" s="1746" t="s">
        <v>73</v>
      </c>
      <c r="F10718" s="1747"/>
      <c r="G10718" s="550"/>
      <c r="H10718" s="881"/>
      <c r="K10718" s="1192" t="s">
        <v>2817</v>
      </c>
      <c r="V10718" s="1192">
        <v>38</v>
      </c>
    </row>
    <row r="10719" spans="1:22" s="1192" customFormat="1" ht="14.4" x14ac:dyDescent="0.3">
      <c r="A10719" s="1192" t="s">
        <v>186</v>
      </c>
      <c r="E10719" s="2037" t="s">
        <v>2389</v>
      </c>
      <c r="F10719" s="1743"/>
      <c r="G10719" s="1743"/>
      <c r="H10719" s="1743"/>
      <c r="K10719" s="1192" t="s">
        <v>2430</v>
      </c>
      <c r="V10719" s="1192">
        <v>11</v>
      </c>
    </row>
    <row r="10720" spans="1:22" s="1192" customFormat="1" ht="14.4" x14ac:dyDescent="0.3">
      <c r="A10720" s="1192" t="s">
        <v>186</v>
      </c>
      <c r="E10720" s="1743" t="s">
        <v>2391</v>
      </c>
      <c r="F10720" s="1743"/>
      <c r="G10720" s="1743"/>
      <c r="H10720" s="1743"/>
      <c r="V10720" s="1192">
        <v>280</v>
      </c>
    </row>
    <row r="10721" spans="1:22" s="1192" customFormat="1" ht="14.4" x14ac:dyDescent="0.3">
      <c r="A10721" s="1192" t="s">
        <v>186</v>
      </c>
      <c r="E10721" s="1743" t="s">
        <v>2392</v>
      </c>
      <c r="F10721" s="1743"/>
      <c r="G10721" s="1743"/>
      <c r="H10721" s="1743"/>
      <c r="V10721" s="1192">
        <v>411</v>
      </c>
    </row>
    <row r="10722" spans="1:22" s="1192" customFormat="1" ht="14.4" x14ac:dyDescent="0.3">
      <c r="A10722" s="1192" t="s">
        <v>186</v>
      </c>
      <c r="E10722" s="1743" t="s">
        <v>2445</v>
      </c>
      <c r="F10722" s="1743"/>
      <c r="G10722" s="1743"/>
      <c r="H10722" s="1743"/>
      <c r="V10722" s="1192">
        <v>211</v>
      </c>
    </row>
    <row r="10723" spans="1:22" s="1192" customFormat="1" ht="14.4" x14ac:dyDescent="0.3">
      <c r="A10723" s="1192" t="s">
        <v>186</v>
      </c>
      <c r="E10723" s="1743" t="s">
        <v>2986</v>
      </c>
      <c r="F10723" s="1743"/>
      <c r="G10723" s="1743"/>
      <c r="H10723" s="1743"/>
      <c r="V10723" s="1192">
        <v>246</v>
      </c>
    </row>
    <row r="10724" spans="1:22" s="1192" customFormat="1" ht="14.4" x14ac:dyDescent="0.3">
      <c r="A10724" s="1192" t="s">
        <v>186</v>
      </c>
      <c r="E10724" s="1743" t="s">
        <v>2818</v>
      </c>
      <c r="F10724" s="1743"/>
      <c r="G10724" s="1743"/>
      <c r="H10724" s="1743"/>
      <c r="V10724" s="1192">
        <v>141</v>
      </c>
    </row>
    <row r="10725" spans="1:22" s="1192" customFormat="1" ht="14.4" x14ac:dyDescent="0.3">
      <c r="A10725" s="1192" t="s">
        <v>186</v>
      </c>
      <c r="E10725" s="1741" t="s">
        <v>2485</v>
      </c>
      <c r="F10725" s="1741"/>
      <c r="G10725" s="1280" t="s">
        <v>19</v>
      </c>
      <c r="H10725" s="509">
        <v>102</v>
      </c>
      <c r="V10725" s="1192">
        <v>106</v>
      </c>
    </row>
    <row r="10726" spans="1:22" s="1192" customFormat="1" ht="14.4" x14ac:dyDescent="0.3">
      <c r="A10726" s="1192" t="s">
        <v>186</v>
      </c>
      <c r="E10726" s="1741" t="s">
        <v>3919</v>
      </c>
      <c r="F10726" s="1741"/>
      <c r="G10726" s="1280" t="s">
        <v>19</v>
      </c>
      <c r="H10726" s="509">
        <v>40.799999999999997</v>
      </c>
      <c r="V10726" s="1192">
        <v>34</v>
      </c>
    </row>
    <row r="10727" spans="1:22" s="1192" customFormat="1" ht="14.4" x14ac:dyDescent="0.3">
      <c r="A10727" s="1192" t="s">
        <v>186</v>
      </c>
      <c r="E10727" s="1741" t="s">
        <v>3920</v>
      </c>
      <c r="F10727" s="1741"/>
      <c r="G10727" s="1280" t="s">
        <v>2488</v>
      </c>
      <c r="H10727" s="509">
        <v>1.02</v>
      </c>
      <c r="V10727" s="1192">
        <v>51</v>
      </c>
    </row>
    <row r="10728" spans="1:22" s="1192" customFormat="1" ht="14.4" x14ac:dyDescent="0.3">
      <c r="A10728" s="1192" t="s">
        <v>186</v>
      </c>
      <c r="E10728" s="1741" t="s">
        <v>2489</v>
      </c>
      <c r="F10728" s="1741"/>
      <c r="G10728" s="1280" t="s">
        <v>2488</v>
      </c>
      <c r="H10728" s="509">
        <v>0.61</v>
      </c>
      <c r="V10728" s="1192">
        <v>75</v>
      </c>
    </row>
    <row r="10729" spans="1:22" s="1192" customFormat="1" ht="14.4" x14ac:dyDescent="0.3">
      <c r="A10729" s="1192" t="s">
        <v>186</v>
      </c>
      <c r="E10729" s="1741" t="s">
        <v>2490</v>
      </c>
      <c r="F10729" s="1741"/>
      <c r="G10729" s="1280" t="s">
        <v>2488</v>
      </c>
      <c r="H10729" s="509">
        <v>-0.61</v>
      </c>
      <c r="V10729" s="1192">
        <v>72</v>
      </c>
    </row>
    <row r="10730" spans="1:22" s="1192" customFormat="1" ht="14.4" x14ac:dyDescent="0.3">
      <c r="A10730" s="1192" t="s">
        <v>186</v>
      </c>
      <c r="E10730" s="1741" t="s">
        <v>2596</v>
      </c>
      <c r="F10730" s="1741"/>
      <c r="G10730" s="1280"/>
      <c r="H10730" s="840"/>
      <c r="V10730" s="1192">
        <v>34</v>
      </c>
    </row>
    <row r="10731" spans="1:22" s="1192" customFormat="1" ht="14.4" x14ac:dyDescent="0.3">
      <c r="A10731" s="1192" t="s">
        <v>186</v>
      </c>
      <c r="E10731" s="1741" t="s">
        <v>4638</v>
      </c>
      <c r="F10731" s="1741"/>
      <c r="G10731" s="1280" t="s">
        <v>19</v>
      </c>
      <c r="H10731" s="509">
        <v>0.51</v>
      </c>
      <c r="V10731" s="1192">
        <v>80</v>
      </c>
    </row>
    <row r="10732" spans="1:22" s="1192" customFormat="1" ht="14.4" x14ac:dyDescent="0.3">
      <c r="A10732" s="1192" t="s">
        <v>186</v>
      </c>
      <c r="E10732" s="1741" t="s">
        <v>4639</v>
      </c>
      <c r="F10732" s="1741"/>
      <c r="G10732" s="1280" t="s">
        <v>19</v>
      </c>
      <c r="H10732" s="509">
        <v>1.02</v>
      </c>
      <c r="V10732" s="1192">
        <v>83</v>
      </c>
    </row>
    <row r="10733" spans="1:22" s="1192" customFormat="1" ht="14.4" x14ac:dyDescent="0.3">
      <c r="A10733" s="1192" t="s">
        <v>186</v>
      </c>
      <c r="E10733" s="1741" t="s">
        <v>2494</v>
      </c>
      <c r="F10733" s="1741"/>
      <c r="G10733" s="1280"/>
      <c r="H10733" s="840"/>
      <c r="V10733" s="1192">
        <v>91</v>
      </c>
    </row>
    <row r="10734" spans="1:22" s="1192" customFormat="1" ht="14.4" x14ac:dyDescent="0.3">
      <c r="A10734" s="1192" t="s">
        <v>186</v>
      </c>
      <c r="E10734" s="1741" t="s">
        <v>2495</v>
      </c>
      <c r="F10734" s="1741"/>
      <c r="G10734" s="1280"/>
      <c r="H10734" s="840"/>
      <c r="V10734" s="1192">
        <v>96</v>
      </c>
    </row>
    <row r="10735" spans="1:22" s="1192" customFormat="1" ht="14.4" x14ac:dyDescent="0.3">
      <c r="A10735" s="1192" t="s">
        <v>186</v>
      </c>
      <c r="E10735" s="1741" t="s">
        <v>2597</v>
      </c>
      <c r="F10735" s="1741"/>
      <c r="G10735" s="1280"/>
      <c r="H10735" s="840"/>
      <c r="V10735" s="1192">
        <v>77</v>
      </c>
    </row>
    <row r="10736" spans="1:22" s="1192" customFormat="1" ht="14.4" x14ac:dyDescent="0.3">
      <c r="A10736" s="1192" t="s">
        <v>186</v>
      </c>
      <c r="E10736" s="1741" t="s">
        <v>4640</v>
      </c>
      <c r="F10736" s="1741"/>
      <c r="G10736" s="1280" t="s">
        <v>19</v>
      </c>
      <c r="H10736" s="840" t="s">
        <v>2498</v>
      </c>
      <c r="V10736" s="1192">
        <v>41</v>
      </c>
    </row>
    <row r="10737" spans="1:22" s="1192" customFormat="1" ht="14.4" x14ac:dyDescent="0.3">
      <c r="A10737" s="1192" t="s">
        <v>186</v>
      </c>
      <c r="E10737" s="1741" t="s">
        <v>4641</v>
      </c>
      <c r="F10737" s="1741"/>
      <c r="G10737" s="1280" t="s">
        <v>19</v>
      </c>
      <c r="H10737" s="509">
        <v>4.08</v>
      </c>
      <c r="V10737" s="1192">
        <v>92</v>
      </c>
    </row>
    <row r="10738" spans="1:22" s="1192" customFormat="1" ht="14.4" x14ac:dyDescent="0.3">
      <c r="A10738" s="1192" t="s">
        <v>186</v>
      </c>
      <c r="E10738" s="1741" t="s">
        <v>4608</v>
      </c>
      <c r="F10738" s="1741"/>
      <c r="G10738" s="452" t="s">
        <v>19</v>
      </c>
      <c r="H10738" s="1218">
        <v>2.04</v>
      </c>
      <c r="V10738" s="1192">
        <v>199</v>
      </c>
    </row>
    <row r="10739" spans="1:22" s="1192" customFormat="1" x14ac:dyDescent="0.35">
      <c r="A10739" s="1192" t="s">
        <v>186</v>
      </c>
      <c r="E10739" s="1260" t="s">
        <v>143</v>
      </c>
      <c r="F10739" s="550"/>
      <c r="G10739" s="550"/>
      <c r="H10739" s="881"/>
      <c r="K10739" s="1192" t="s">
        <v>2819</v>
      </c>
      <c r="V10739" s="1192">
        <v>12</v>
      </c>
    </row>
    <row r="10740" spans="1:22" s="1192" customFormat="1" ht="14.4" x14ac:dyDescent="0.3">
      <c r="A10740" s="1192" t="s">
        <v>186</v>
      </c>
      <c r="E10740" s="1741" t="s">
        <v>2501</v>
      </c>
      <c r="F10740" s="1741"/>
      <c r="G10740" s="1741"/>
      <c r="H10740" s="1741"/>
      <c r="V10740" s="1192">
        <v>203</v>
      </c>
    </row>
    <row r="10741" spans="1:22" s="1192" customFormat="1" ht="14.4" x14ac:dyDescent="0.3">
      <c r="A10741" s="1192" t="s">
        <v>186</v>
      </c>
      <c r="E10741" s="1741" t="s">
        <v>2599</v>
      </c>
      <c r="F10741" s="1741"/>
      <c r="G10741" s="1277"/>
      <c r="H10741" s="837">
        <v>1.0693999999999999</v>
      </c>
      <c r="V10741" s="1192">
        <v>57</v>
      </c>
    </row>
    <row r="10742" spans="1:22" s="1192" customFormat="1" ht="14.4" x14ac:dyDescent="0.3">
      <c r="A10742" s="1192" t="s">
        <v>186</v>
      </c>
      <c r="E10742" s="1741" t="s">
        <v>2601</v>
      </c>
      <c r="F10742" s="1741"/>
      <c r="G10742" s="1277"/>
      <c r="H10742" s="837">
        <v>1.0587</v>
      </c>
      <c r="J10742" s="1192" t="s">
        <v>2820</v>
      </c>
      <c r="V10742" s="1192">
        <v>55</v>
      </c>
    </row>
    <row r="10743" spans="1:22" s="1192" customFormat="1" ht="22.8" x14ac:dyDescent="0.3">
      <c r="A10743" s="1192" t="s">
        <v>418</v>
      </c>
      <c r="C10743" s="1192" t="s">
        <v>2378</v>
      </c>
      <c r="E10743" s="1752" t="s">
        <v>418</v>
      </c>
      <c r="F10743" s="2039"/>
      <c r="G10743" s="2039"/>
      <c r="H10743" s="2039"/>
      <c r="I10743" s="1192" t="s">
        <v>603</v>
      </c>
      <c r="J10743" s="1192" t="s">
        <v>3277</v>
      </c>
      <c r="K10743" s="1192" t="s">
        <v>418</v>
      </c>
      <c r="M10743" s="1192">
        <v>7</v>
      </c>
      <c r="V10743" s="1192">
        <v>29</v>
      </c>
    </row>
    <row r="10744" spans="1:22" s="1192" customFormat="1" ht="17.399999999999999" x14ac:dyDescent="0.3">
      <c r="A10744" s="1192" t="s">
        <v>418</v>
      </c>
      <c r="C10744" s="1192" t="s">
        <v>2380</v>
      </c>
      <c r="E10744" s="1753" t="s">
        <v>2381</v>
      </c>
      <c r="F10744" s="2040"/>
      <c r="G10744" s="2040"/>
      <c r="H10744" s="2040"/>
      <c r="V10744" s="1192">
        <v>27</v>
      </c>
    </row>
    <row r="10745" spans="1:22" s="1192" customFormat="1" ht="15.6" x14ac:dyDescent="0.3">
      <c r="A10745" s="1192" t="s">
        <v>418</v>
      </c>
      <c r="C10745" s="1192" t="s">
        <v>2382</v>
      </c>
      <c r="E10745" s="1754" t="s">
        <v>6482</v>
      </c>
      <c r="F10745" s="2020"/>
      <c r="G10745" s="2020"/>
      <c r="H10745" s="2020"/>
      <c r="S10745" s="1192">
        <v>43952</v>
      </c>
      <c r="V10745" s="1192">
        <v>45</v>
      </c>
    </row>
    <row r="10746" spans="1:22" s="1192" customFormat="1" ht="14.4" x14ac:dyDescent="0.3">
      <c r="A10746" s="1192" t="s">
        <v>418</v>
      </c>
      <c r="C10746" s="1192" t="s">
        <v>2383</v>
      </c>
      <c r="E10746" s="1755" t="s">
        <v>2384</v>
      </c>
      <c r="F10746" s="2021"/>
      <c r="G10746" s="2021"/>
      <c r="H10746" s="2021"/>
      <c r="V10746" s="1192">
        <v>52</v>
      </c>
    </row>
    <row r="10747" spans="1:22" s="1192" customFormat="1" ht="14.4" x14ac:dyDescent="0.3">
      <c r="A10747" s="1192" t="s">
        <v>418</v>
      </c>
      <c r="E10747" s="1755" t="s">
        <v>2385</v>
      </c>
      <c r="F10747" s="2021"/>
      <c r="G10747" s="2021"/>
      <c r="H10747" s="2021"/>
      <c r="V10747" s="1192">
        <v>53</v>
      </c>
    </row>
    <row r="10748" spans="1:22" s="1192" customFormat="1" ht="14.4" x14ac:dyDescent="0.3">
      <c r="A10748" s="1192" t="s">
        <v>418</v>
      </c>
      <c r="E10748" s="1772" t="s">
        <v>6595</v>
      </c>
      <c r="F10748" s="2022"/>
      <c r="G10748" s="2022"/>
      <c r="H10748" s="2022"/>
      <c r="K10748" s="1192" t="s">
        <v>6595</v>
      </c>
      <c r="V10748" s="1192">
        <v>12</v>
      </c>
    </row>
    <row r="10749" spans="1:22" s="1192" customFormat="1" ht="14.4" x14ac:dyDescent="0.3">
      <c r="A10749" s="1192" t="s">
        <v>418</v>
      </c>
      <c r="E10749" s="1746" t="s">
        <v>427</v>
      </c>
      <c r="F10749" s="1743"/>
      <c r="G10749" s="1743"/>
      <c r="H10749" s="1743"/>
      <c r="K10749" s="1192" t="s">
        <v>2506</v>
      </c>
      <c r="V10749" s="1192">
        <v>34</v>
      </c>
    </row>
    <row r="10750" spans="1:22" s="1192" customFormat="1" ht="14.4" x14ac:dyDescent="0.3">
      <c r="A10750" s="1192" t="s">
        <v>418</v>
      </c>
      <c r="E10750" s="1743" t="s">
        <v>3278</v>
      </c>
      <c r="F10750" s="1743"/>
      <c r="G10750" s="1743"/>
      <c r="H10750" s="1743"/>
      <c r="K10750" s="1192" t="s">
        <v>2506</v>
      </c>
      <c r="V10750" s="1192">
        <v>480</v>
      </c>
    </row>
    <row r="10751" spans="1:22" s="1192" customFormat="1" ht="14.4" x14ac:dyDescent="0.3">
      <c r="A10751" s="1192" t="s">
        <v>418</v>
      </c>
      <c r="E10751" s="1750" t="s">
        <v>2389</v>
      </c>
      <c r="F10751" s="1743"/>
      <c r="G10751" s="1743"/>
      <c r="H10751" s="1743"/>
      <c r="K10751" s="1192" t="s">
        <v>2390</v>
      </c>
      <c r="V10751" s="1192">
        <v>11</v>
      </c>
    </row>
    <row r="10752" spans="1:22" s="1192" customFormat="1" ht="14.4" x14ac:dyDescent="0.3">
      <c r="A10752" s="1192" t="s">
        <v>418</v>
      </c>
      <c r="E10752" s="1743" t="s">
        <v>2391</v>
      </c>
      <c r="F10752" s="1743"/>
      <c r="G10752" s="1743"/>
      <c r="H10752" s="1743"/>
      <c r="K10752" s="1192" t="s">
        <v>2506</v>
      </c>
      <c r="V10752" s="1192">
        <v>280</v>
      </c>
    </row>
    <row r="10753" spans="1:22" s="1192" customFormat="1" ht="14.4" x14ac:dyDescent="0.3">
      <c r="A10753" s="1192" t="s">
        <v>418</v>
      </c>
      <c r="E10753" s="1743" t="s">
        <v>2392</v>
      </c>
      <c r="F10753" s="1743"/>
      <c r="G10753" s="1743"/>
      <c r="H10753" s="1743"/>
      <c r="K10753" s="1192" t="s">
        <v>2506</v>
      </c>
      <c r="V10753" s="1192">
        <v>411</v>
      </c>
    </row>
    <row r="10754" spans="1:22" s="1192" customFormat="1" ht="14.4" x14ac:dyDescent="0.3">
      <c r="A10754" s="1192" t="s">
        <v>418</v>
      </c>
      <c r="E10754" s="1743" t="s">
        <v>2508</v>
      </c>
      <c r="F10754" s="1743"/>
      <c r="G10754" s="1743"/>
      <c r="H10754" s="1743"/>
      <c r="K10754" s="1192" t="s">
        <v>2506</v>
      </c>
      <c r="V10754" s="1192">
        <v>386</v>
      </c>
    </row>
    <row r="10755" spans="1:22" s="1192" customFormat="1" ht="14.4" x14ac:dyDescent="0.3">
      <c r="A10755" s="1192" t="s">
        <v>418</v>
      </c>
      <c r="E10755" s="1743" t="s">
        <v>2986</v>
      </c>
      <c r="F10755" s="1743"/>
      <c r="G10755" s="1743"/>
      <c r="H10755" s="1743"/>
      <c r="K10755" s="1192" t="s">
        <v>2506</v>
      </c>
      <c r="V10755" s="1192">
        <v>246</v>
      </c>
    </row>
    <row r="10756" spans="1:22" s="1192" customFormat="1" ht="14.4" x14ac:dyDescent="0.3">
      <c r="A10756" s="1192" t="s">
        <v>418</v>
      </c>
      <c r="E10756" s="1750" t="s">
        <v>2394</v>
      </c>
      <c r="F10756" s="1743"/>
      <c r="G10756" s="1743"/>
      <c r="H10756" s="1743"/>
      <c r="K10756" s="1192" t="s">
        <v>2395</v>
      </c>
      <c r="V10756" s="1192">
        <v>46</v>
      </c>
    </row>
    <row r="10757" spans="1:22" s="1192" customFormat="1" ht="14.4" x14ac:dyDescent="0.3">
      <c r="A10757" s="1192" t="s">
        <v>418</v>
      </c>
      <c r="E10757" s="1741" t="s">
        <v>7</v>
      </c>
      <c r="F10757" s="1741"/>
      <c r="G10757" s="1277" t="s">
        <v>19</v>
      </c>
      <c r="H10757" s="1218">
        <v>33.67</v>
      </c>
      <c r="K10757" s="1192" t="s">
        <v>2506</v>
      </c>
      <c r="L10757" s="1192" t="s">
        <v>430</v>
      </c>
      <c r="P10757" s="1192" t="s">
        <v>2510</v>
      </c>
      <c r="V10757" s="1192">
        <v>14</v>
      </c>
    </row>
    <row r="10758" spans="1:22" s="1192" customFormat="1" ht="14.4" x14ac:dyDescent="0.3">
      <c r="A10758" s="1192" t="s">
        <v>418</v>
      </c>
      <c r="E10758" s="1741" t="s">
        <v>3900</v>
      </c>
      <c r="F10758" s="1741"/>
      <c r="G10758" s="1277" t="s">
        <v>19</v>
      </c>
      <c r="H10758" s="1218">
        <v>0.56999999999999995</v>
      </c>
      <c r="K10758" s="1192" t="s">
        <v>2506</v>
      </c>
      <c r="L10758" s="1192" t="s">
        <v>431</v>
      </c>
      <c r="P10758" s="1192" t="s">
        <v>2511</v>
      </c>
      <c r="T10758" s="1192">
        <v>44926</v>
      </c>
      <c r="V10758" s="1192">
        <v>64</v>
      </c>
    </row>
    <row r="10759" spans="1:22" s="1192" customFormat="1" ht="14.4" x14ac:dyDescent="0.3">
      <c r="A10759" s="1192" t="s">
        <v>418</v>
      </c>
      <c r="E10759" s="1741" t="s">
        <v>14</v>
      </c>
      <c r="F10759" s="1741"/>
      <c r="G10759" s="1277" t="s">
        <v>20</v>
      </c>
      <c r="H10759" s="1219">
        <v>5.0000000000000001E-4</v>
      </c>
      <c r="K10759" s="1192" t="s">
        <v>2506</v>
      </c>
      <c r="L10759" s="1192" t="s">
        <v>431</v>
      </c>
      <c r="P10759" s="1192" t="s">
        <v>2513</v>
      </c>
      <c r="V10759" s="1192">
        <v>24</v>
      </c>
    </row>
    <row r="10760" spans="1:22" s="1192" customFormat="1" ht="14.4" x14ac:dyDescent="0.3">
      <c r="A10760" s="1192" t="s">
        <v>418</v>
      </c>
      <c r="E10760" s="1741" t="s">
        <v>6596</v>
      </c>
      <c r="F10760" s="1998"/>
      <c r="G10760" s="1277" t="s">
        <v>20</v>
      </c>
      <c r="H10760" s="1219">
        <v>1E-4</v>
      </c>
      <c r="K10760" s="1192" t="s">
        <v>2506</v>
      </c>
      <c r="L10760" s="1192" t="s">
        <v>431</v>
      </c>
      <c r="P10760" s="1192" t="s">
        <v>2514</v>
      </c>
      <c r="T10760" s="1192">
        <v>44012</v>
      </c>
      <c r="V10760" s="1192">
        <v>138</v>
      </c>
    </row>
    <row r="10761" spans="1:22" s="1192" customFormat="1" ht="14.4" x14ac:dyDescent="0.3">
      <c r="A10761" s="1192" t="s">
        <v>418</v>
      </c>
      <c r="E10761" s="1741" t="s">
        <v>6508</v>
      </c>
      <c r="F10761" s="1998"/>
      <c r="G10761" s="1277" t="s">
        <v>20</v>
      </c>
      <c r="H10761" s="1219">
        <v>1.1999999999999999E-3</v>
      </c>
      <c r="K10761" s="1192" t="s">
        <v>2506</v>
      </c>
      <c r="L10761" s="1192" t="s">
        <v>431</v>
      </c>
      <c r="P10761" s="1192" t="s">
        <v>2516</v>
      </c>
      <c r="T10761" s="1192">
        <v>44316</v>
      </c>
      <c r="V10761" s="1192">
        <v>96</v>
      </c>
    </row>
    <row r="10762" spans="1:22" s="1192" customFormat="1" ht="14.4" x14ac:dyDescent="0.3">
      <c r="A10762" s="1192" t="s">
        <v>418</v>
      </c>
      <c r="E10762" s="1741" t="s">
        <v>213</v>
      </c>
      <c r="F10762" s="1741"/>
      <c r="G10762" s="1277" t="s">
        <v>20</v>
      </c>
      <c r="H10762" s="1219">
        <v>7.4000000000000003E-3</v>
      </c>
      <c r="K10762" s="1192" t="s">
        <v>2506</v>
      </c>
      <c r="L10762" s="1192" t="s">
        <v>432</v>
      </c>
      <c r="P10762" s="1192" t="s">
        <v>2517</v>
      </c>
      <c r="V10762" s="1192">
        <v>47</v>
      </c>
    </row>
    <row r="10763" spans="1:22" s="1192" customFormat="1" ht="14.4" x14ac:dyDescent="0.3">
      <c r="A10763" s="1192" t="s">
        <v>418</v>
      </c>
      <c r="E10763" s="1741" t="s">
        <v>209</v>
      </c>
      <c r="F10763" s="1741"/>
      <c r="G10763" s="1277" t="s">
        <v>20</v>
      </c>
      <c r="H10763" s="1219">
        <v>5.4000000000000003E-3</v>
      </c>
      <c r="K10763" s="1192" t="s">
        <v>2506</v>
      </c>
      <c r="L10763" s="1192" t="s">
        <v>432</v>
      </c>
      <c r="P10763" s="1192" t="s">
        <v>2518</v>
      </c>
      <c r="V10763" s="1192">
        <v>74</v>
      </c>
    </row>
    <row r="10764" spans="1:22" s="1192" customFormat="1" ht="14.4" x14ac:dyDescent="0.3">
      <c r="A10764" s="1192" t="s">
        <v>418</v>
      </c>
      <c r="E10764" s="1750" t="s">
        <v>2405</v>
      </c>
      <c r="F10764" s="1741"/>
      <c r="G10764" s="1741"/>
      <c r="H10764" s="1741"/>
      <c r="K10764" s="1192" t="s">
        <v>2406</v>
      </c>
      <c r="V10764" s="1192">
        <v>48</v>
      </c>
    </row>
    <row r="10765" spans="1:22" s="1192" customFormat="1" ht="14.4" x14ac:dyDescent="0.3">
      <c r="A10765" s="1192" t="s">
        <v>418</v>
      </c>
      <c r="E10765" s="1741" t="s">
        <v>2033</v>
      </c>
      <c r="F10765" s="1741"/>
      <c r="G10765" s="1277" t="s">
        <v>20</v>
      </c>
      <c r="H10765" s="1219">
        <v>3.0000000000000001E-3</v>
      </c>
      <c r="K10765" s="1192" t="s">
        <v>2506</v>
      </c>
      <c r="L10765" s="1192" t="s">
        <v>2374</v>
      </c>
      <c r="P10765" s="1192" t="s">
        <v>2519</v>
      </c>
      <c r="V10765" s="1192">
        <v>55</v>
      </c>
    </row>
    <row r="10766" spans="1:22" s="1192" customFormat="1" ht="14.4" x14ac:dyDescent="0.3">
      <c r="A10766" s="1192" t="s">
        <v>418</v>
      </c>
      <c r="E10766" s="1741" t="s">
        <v>2034</v>
      </c>
      <c r="F10766" s="1741"/>
      <c r="G10766" s="1277" t="s">
        <v>20</v>
      </c>
      <c r="H10766" s="1219">
        <v>4.0000000000000002E-4</v>
      </c>
      <c r="K10766" s="1192" t="s">
        <v>2506</v>
      </c>
      <c r="L10766" s="1192" t="s">
        <v>2374</v>
      </c>
      <c r="P10766" s="1192" t="s">
        <v>2519</v>
      </c>
      <c r="V10766" s="1192">
        <v>65</v>
      </c>
    </row>
    <row r="10767" spans="1:22" s="1192" customFormat="1" ht="14.4" x14ac:dyDescent="0.3">
      <c r="A10767" s="1192" t="s">
        <v>418</v>
      </c>
      <c r="E10767" s="1741" t="s">
        <v>428</v>
      </c>
      <c r="F10767" s="1741"/>
      <c r="G10767" s="1277" t="s">
        <v>20</v>
      </c>
      <c r="H10767" s="1219">
        <v>5.0000000000000001E-4</v>
      </c>
      <c r="K10767" s="1192" t="s">
        <v>2506</v>
      </c>
      <c r="L10767" s="1192" t="s">
        <v>2374</v>
      </c>
      <c r="P10767" s="1192" t="s">
        <v>2520</v>
      </c>
      <c r="V10767" s="1192">
        <v>57</v>
      </c>
    </row>
    <row r="10768" spans="1:22" s="1192" customFormat="1" ht="14.4" x14ac:dyDescent="0.3">
      <c r="A10768" s="1192" t="s">
        <v>418</v>
      </c>
      <c r="E10768" s="1741" t="s">
        <v>28</v>
      </c>
      <c r="F10768" s="1741"/>
      <c r="G10768" s="1277" t="s">
        <v>19</v>
      </c>
      <c r="H10768" s="1218">
        <v>0.25</v>
      </c>
      <c r="K10768" s="1192" t="s">
        <v>2506</v>
      </c>
      <c r="L10768" s="1192" t="s">
        <v>2374</v>
      </c>
      <c r="P10768" s="1192" t="s">
        <v>2521</v>
      </c>
      <c r="V10768" s="1192">
        <v>63</v>
      </c>
    </row>
    <row r="10769" spans="1:22" s="1192" customFormat="1" ht="17.399999999999999" x14ac:dyDescent="0.3">
      <c r="A10769" s="1192" t="s">
        <v>418</v>
      </c>
      <c r="E10769" s="1746" t="s">
        <v>2522</v>
      </c>
      <c r="F10769" s="1747"/>
      <c r="G10769" s="1747"/>
      <c r="H10769" s="1747"/>
      <c r="K10769" s="1192" t="s">
        <v>3901</v>
      </c>
      <c r="V10769" s="1192">
        <v>54</v>
      </c>
    </row>
    <row r="10770" spans="1:22" s="1192" customFormat="1" ht="14.4" x14ac:dyDescent="0.3">
      <c r="A10770" s="1192" t="s">
        <v>418</v>
      </c>
      <c r="E10770" s="1743" t="s">
        <v>3279</v>
      </c>
      <c r="F10770" s="1743"/>
      <c r="G10770" s="1743"/>
      <c r="H10770" s="1743"/>
      <c r="K10770" s="1192" t="s">
        <v>3901</v>
      </c>
      <c r="V10770" s="1192">
        <v>322</v>
      </c>
    </row>
    <row r="10771" spans="1:22" s="1192" customFormat="1" ht="14.4" x14ac:dyDescent="0.3">
      <c r="A10771" s="1192" t="s">
        <v>418</v>
      </c>
      <c r="E10771" s="1750" t="s">
        <v>2389</v>
      </c>
      <c r="F10771" s="1743"/>
      <c r="G10771" s="1743"/>
      <c r="H10771" s="1743"/>
      <c r="K10771" s="1192" t="s">
        <v>2412</v>
      </c>
      <c r="V10771" s="1192">
        <v>11</v>
      </c>
    </row>
    <row r="10772" spans="1:22" s="1192" customFormat="1" ht="14.4" x14ac:dyDescent="0.3">
      <c r="A10772" s="1192" t="s">
        <v>418</v>
      </c>
      <c r="E10772" s="1743" t="s">
        <v>2391</v>
      </c>
      <c r="F10772" s="1743"/>
      <c r="G10772" s="1743"/>
      <c r="H10772" s="1743"/>
      <c r="K10772" s="1192" t="s">
        <v>3901</v>
      </c>
      <c r="V10772" s="1192">
        <v>280</v>
      </c>
    </row>
    <row r="10773" spans="1:22" s="1192" customFormat="1" ht="14.4" x14ac:dyDescent="0.3">
      <c r="A10773" s="1192" t="s">
        <v>418</v>
      </c>
      <c r="E10773" s="1743" t="s">
        <v>2392</v>
      </c>
      <c r="F10773" s="1743"/>
      <c r="G10773" s="1743"/>
      <c r="H10773" s="1743"/>
      <c r="K10773" s="1192" t="s">
        <v>3901</v>
      </c>
      <c r="V10773" s="1192">
        <v>411</v>
      </c>
    </row>
    <row r="10774" spans="1:22" s="1192" customFormat="1" ht="14.4" x14ac:dyDescent="0.3">
      <c r="A10774" s="1192" t="s">
        <v>418</v>
      </c>
      <c r="E10774" s="1743" t="s">
        <v>2508</v>
      </c>
      <c r="F10774" s="1743"/>
      <c r="G10774" s="1743"/>
      <c r="H10774" s="1743"/>
      <c r="K10774" s="1192" t="s">
        <v>3901</v>
      </c>
      <c r="V10774" s="1192">
        <v>386</v>
      </c>
    </row>
    <row r="10775" spans="1:22" s="1192" customFormat="1" ht="14.4" x14ac:dyDescent="0.3">
      <c r="A10775" s="1192" t="s">
        <v>418</v>
      </c>
      <c r="E10775" s="1743" t="s">
        <v>2986</v>
      </c>
      <c r="F10775" s="1743"/>
      <c r="G10775" s="1743"/>
      <c r="H10775" s="1743"/>
      <c r="K10775" s="1192" t="s">
        <v>3901</v>
      </c>
      <c r="V10775" s="1192">
        <v>246</v>
      </c>
    </row>
    <row r="10776" spans="1:22" s="1192" customFormat="1" ht="14.4" x14ac:dyDescent="0.3">
      <c r="A10776" s="1192" t="s">
        <v>418</v>
      </c>
      <c r="E10776" s="1750" t="s">
        <v>2394</v>
      </c>
      <c r="F10776" s="1743"/>
      <c r="G10776" s="1743"/>
      <c r="H10776" s="1743"/>
      <c r="K10776" s="1192" t="s">
        <v>2413</v>
      </c>
      <c r="V10776" s="1192">
        <v>46</v>
      </c>
    </row>
    <row r="10777" spans="1:22" s="1192" customFormat="1" ht="14.4" x14ac:dyDescent="0.3">
      <c r="A10777" s="1192" t="s">
        <v>418</v>
      </c>
      <c r="E10777" s="1741" t="s">
        <v>7</v>
      </c>
      <c r="F10777" s="1741"/>
      <c r="G10777" s="1277" t="s">
        <v>19</v>
      </c>
      <c r="H10777" s="1218">
        <v>40.15</v>
      </c>
      <c r="K10777" s="1192" t="s">
        <v>3901</v>
      </c>
      <c r="L10777" s="1192" t="s">
        <v>430</v>
      </c>
      <c r="P10777" s="1192" t="s">
        <v>3902</v>
      </c>
      <c r="V10777" s="1192">
        <v>14</v>
      </c>
    </row>
    <row r="10778" spans="1:22" s="1192" customFormat="1" ht="14.4" x14ac:dyDescent="0.3">
      <c r="A10778" s="1192" t="s">
        <v>418</v>
      </c>
      <c r="E10778" s="1741" t="s">
        <v>3900</v>
      </c>
      <c r="F10778" s="1741"/>
      <c r="G10778" s="1277" t="s">
        <v>19</v>
      </c>
      <c r="H10778" s="1218">
        <v>0.56999999999999995</v>
      </c>
      <c r="K10778" s="1192" t="s">
        <v>3901</v>
      </c>
      <c r="L10778" s="1192" t="s">
        <v>431</v>
      </c>
      <c r="P10778" s="1192" t="s">
        <v>3903</v>
      </c>
      <c r="T10778" s="1192">
        <v>44926</v>
      </c>
      <c r="V10778" s="1192">
        <v>64</v>
      </c>
    </row>
    <row r="10779" spans="1:22" s="1192" customFormat="1" ht="14.4" x14ac:dyDescent="0.3">
      <c r="A10779" s="1192" t="s">
        <v>418</v>
      </c>
      <c r="E10779" s="1741" t="s">
        <v>80</v>
      </c>
      <c r="F10779" s="1741"/>
      <c r="G10779" s="1277" t="s">
        <v>20</v>
      </c>
      <c r="H10779" s="1219">
        <v>1.46E-2</v>
      </c>
      <c r="K10779" s="1192" t="s">
        <v>3901</v>
      </c>
      <c r="L10779" s="1192" t="s">
        <v>430</v>
      </c>
      <c r="P10779" s="1192" t="s">
        <v>3904</v>
      </c>
      <c r="V10779" s="1192">
        <v>28</v>
      </c>
    </row>
    <row r="10780" spans="1:22" s="1192" customFormat="1" ht="14.4" x14ac:dyDescent="0.3">
      <c r="A10780" s="1192" t="s">
        <v>418</v>
      </c>
      <c r="E10780" s="1741" t="s">
        <v>14</v>
      </c>
      <c r="F10780" s="1741"/>
      <c r="G10780" s="1277" t="s">
        <v>20</v>
      </c>
      <c r="H10780" s="1219">
        <v>4.0000000000000002E-4</v>
      </c>
      <c r="K10780" s="1192" t="s">
        <v>3901</v>
      </c>
      <c r="L10780" s="1192" t="s">
        <v>431</v>
      </c>
      <c r="P10780" s="1192" t="s">
        <v>3905</v>
      </c>
      <c r="V10780" s="1192">
        <v>24</v>
      </c>
    </row>
    <row r="10781" spans="1:22" s="1192" customFormat="1" ht="14.4" x14ac:dyDescent="0.3">
      <c r="A10781" s="1192" t="s">
        <v>418</v>
      </c>
      <c r="E10781" s="1741" t="s">
        <v>6596</v>
      </c>
      <c r="F10781" s="1998"/>
      <c r="G10781" s="1277" t="s">
        <v>20</v>
      </c>
      <c r="H10781" s="1219">
        <v>1E-4</v>
      </c>
      <c r="K10781" s="1192" t="s">
        <v>3901</v>
      </c>
      <c r="L10781" s="1192" t="s">
        <v>431</v>
      </c>
      <c r="P10781" s="1192" t="s">
        <v>3700</v>
      </c>
      <c r="T10781" s="1192">
        <v>44012</v>
      </c>
      <c r="V10781" s="1192">
        <v>138</v>
      </c>
    </row>
    <row r="10782" spans="1:22" s="1192" customFormat="1" ht="14.4" x14ac:dyDescent="0.3">
      <c r="A10782" s="1192" t="s">
        <v>418</v>
      </c>
      <c r="E10782" s="1741" t="s">
        <v>6508</v>
      </c>
      <c r="F10782" s="1998"/>
      <c r="G10782" s="1277" t="s">
        <v>20</v>
      </c>
      <c r="H10782" s="1219">
        <v>1.1999999999999999E-3</v>
      </c>
      <c r="K10782" s="1192" t="s">
        <v>3901</v>
      </c>
      <c r="L10782" s="1192" t="s">
        <v>431</v>
      </c>
      <c r="P10782" s="1192" t="s">
        <v>3911</v>
      </c>
      <c r="T10782" s="1192">
        <v>44316</v>
      </c>
      <c r="V10782" s="1192">
        <v>96</v>
      </c>
    </row>
    <row r="10783" spans="1:22" s="1192" customFormat="1" ht="14.4" x14ac:dyDescent="0.3">
      <c r="A10783" s="1192" t="s">
        <v>418</v>
      </c>
      <c r="E10783" s="1741" t="s">
        <v>213</v>
      </c>
      <c r="F10783" s="1741"/>
      <c r="G10783" s="1277" t="s">
        <v>20</v>
      </c>
      <c r="H10783" s="1219">
        <v>6.7000000000000002E-3</v>
      </c>
      <c r="K10783" s="1192" t="s">
        <v>3901</v>
      </c>
      <c r="L10783" s="1192" t="s">
        <v>432</v>
      </c>
      <c r="P10783" s="1192" t="s">
        <v>3906</v>
      </c>
      <c r="V10783" s="1192">
        <v>47</v>
      </c>
    </row>
    <row r="10784" spans="1:22" s="1192" customFormat="1" ht="14.4" x14ac:dyDescent="0.3">
      <c r="A10784" s="1192" t="s">
        <v>418</v>
      </c>
      <c r="E10784" s="1741" t="s">
        <v>209</v>
      </c>
      <c r="F10784" s="1741"/>
      <c r="G10784" s="1277" t="s">
        <v>20</v>
      </c>
      <c r="H10784" s="1219">
        <v>4.7000000000000002E-3</v>
      </c>
      <c r="K10784" s="1192" t="s">
        <v>3901</v>
      </c>
      <c r="L10784" s="1192" t="s">
        <v>432</v>
      </c>
      <c r="P10784" s="1192" t="s">
        <v>3907</v>
      </c>
      <c r="V10784" s="1192">
        <v>74</v>
      </c>
    </row>
    <row r="10785" spans="1:22" s="1192" customFormat="1" ht="14.4" x14ac:dyDescent="0.3">
      <c r="A10785" s="1192" t="s">
        <v>418</v>
      </c>
      <c r="E10785" s="1750" t="s">
        <v>2405</v>
      </c>
      <c r="F10785" s="1741"/>
      <c r="G10785" s="1741"/>
      <c r="H10785" s="1741"/>
      <c r="K10785" s="1192" t="s">
        <v>2418</v>
      </c>
      <c r="V10785" s="1192">
        <v>48</v>
      </c>
    </row>
    <row r="10786" spans="1:22" s="1192" customFormat="1" ht="14.4" x14ac:dyDescent="0.3">
      <c r="A10786" s="1192" t="s">
        <v>418</v>
      </c>
      <c r="E10786" s="1741" t="s">
        <v>2033</v>
      </c>
      <c r="F10786" s="1741"/>
      <c r="G10786" s="1277" t="s">
        <v>20</v>
      </c>
      <c r="H10786" s="1219">
        <v>3.0000000000000001E-3</v>
      </c>
      <c r="K10786" s="1192" t="s">
        <v>3901</v>
      </c>
      <c r="L10786" s="1192" t="s">
        <v>2374</v>
      </c>
      <c r="P10786" s="1192" t="s">
        <v>3908</v>
      </c>
      <c r="V10786" s="1192">
        <v>55</v>
      </c>
    </row>
    <row r="10787" spans="1:22" s="1192" customFormat="1" ht="14.4" x14ac:dyDescent="0.3">
      <c r="A10787" s="1192" t="s">
        <v>418</v>
      </c>
      <c r="E10787" s="1741" t="s">
        <v>2034</v>
      </c>
      <c r="F10787" s="1741"/>
      <c r="G10787" s="1277" t="s">
        <v>20</v>
      </c>
      <c r="H10787" s="1219">
        <v>4.0000000000000002E-4</v>
      </c>
      <c r="K10787" s="1192" t="s">
        <v>3901</v>
      </c>
      <c r="L10787" s="1192" t="s">
        <v>2374</v>
      </c>
      <c r="P10787" s="1192" t="s">
        <v>3908</v>
      </c>
      <c r="V10787" s="1192">
        <v>65</v>
      </c>
    </row>
    <row r="10788" spans="1:22" s="1192" customFormat="1" ht="14.4" x14ac:dyDescent="0.3">
      <c r="A10788" s="1192" t="s">
        <v>418</v>
      </c>
      <c r="E10788" s="1741" t="s">
        <v>428</v>
      </c>
      <c r="F10788" s="1741"/>
      <c r="G10788" s="1277" t="s">
        <v>20</v>
      </c>
      <c r="H10788" s="1219">
        <v>5.0000000000000001E-4</v>
      </c>
      <c r="K10788" s="1192" t="s">
        <v>3901</v>
      </c>
      <c r="L10788" s="1192" t="s">
        <v>2374</v>
      </c>
      <c r="P10788" s="1192" t="s">
        <v>3909</v>
      </c>
      <c r="V10788" s="1192">
        <v>57</v>
      </c>
    </row>
    <row r="10789" spans="1:22" s="1192" customFormat="1" ht="14.4" x14ac:dyDescent="0.3">
      <c r="A10789" s="1192" t="s">
        <v>418</v>
      </c>
      <c r="E10789" s="1741" t="s">
        <v>28</v>
      </c>
      <c r="F10789" s="1741"/>
      <c r="G10789" s="1277" t="s">
        <v>19</v>
      </c>
      <c r="H10789" s="1218">
        <v>0.25</v>
      </c>
      <c r="K10789" s="1192" t="s">
        <v>3901</v>
      </c>
      <c r="L10789" s="1192" t="s">
        <v>2374</v>
      </c>
      <c r="P10789" s="1192" t="s">
        <v>3910</v>
      </c>
      <c r="V10789" s="1192">
        <v>63</v>
      </c>
    </row>
    <row r="10790" spans="1:22" s="1192" customFormat="1" ht="17.399999999999999" x14ac:dyDescent="0.3">
      <c r="A10790" s="1192" t="s">
        <v>418</v>
      </c>
      <c r="E10790" s="1746" t="s">
        <v>591</v>
      </c>
      <c r="F10790" s="1747"/>
      <c r="G10790" s="1747"/>
      <c r="H10790" s="1747"/>
      <c r="K10790" s="1192" t="s">
        <v>4388</v>
      </c>
      <c r="V10790" s="1192">
        <v>53</v>
      </c>
    </row>
    <row r="10791" spans="1:22" s="1192" customFormat="1" ht="14.4" x14ac:dyDescent="0.3">
      <c r="A10791" s="1192" t="s">
        <v>418</v>
      </c>
      <c r="E10791" s="1743" t="s">
        <v>3280</v>
      </c>
      <c r="F10791" s="1743"/>
      <c r="G10791" s="1743"/>
      <c r="H10791" s="1743"/>
      <c r="K10791" s="1192" t="s">
        <v>4388</v>
      </c>
      <c r="V10791" s="1192">
        <v>352</v>
      </c>
    </row>
    <row r="10792" spans="1:22" s="1192" customFormat="1" ht="14.4" x14ac:dyDescent="0.3">
      <c r="A10792" s="1192" t="s">
        <v>418</v>
      </c>
      <c r="E10792" s="1750" t="s">
        <v>2389</v>
      </c>
      <c r="F10792" s="1743"/>
      <c r="G10792" s="1743"/>
      <c r="H10792" s="1743"/>
      <c r="K10792" s="1192" t="s">
        <v>2422</v>
      </c>
      <c r="V10792" s="1192">
        <v>11</v>
      </c>
    </row>
    <row r="10793" spans="1:22" s="1192" customFormat="1" ht="14.4" x14ac:dyDescent="0.3">
      <c r="A10793" s="1192" t="s">
        <v>418</v>
      </c>
      <c r="E10793" s="1743" t="s">
        <v>2391</v>
      </c>
      <c r="F10793" s="1743"/>
      <c r="G10793" s="1743"/>
      <c r="H10793" s="1743"/>
      <c r="K10793" s="1192" t="s">
        <v>4388</v>
      </c>
      <c r="V10793" s="1192">
        <v>280</v>
      </c>
    </row>
    <row r="10794" spans="1:22" s="1192" customFormat="1" ht="14.4" x14ac:dyDescent="0.3">
      <c r="A10794" s="1192" t="s">
        <v>418</v>
      </c>
      <c r="E10794" s="1743" t="s">
        <v>2392</v>
      </c>
      <c r="F10794" s="1743"/>
      <c r="G10794" s="1743"/>
      <c r="H10794" s="1743"/>
      <c r="K10794" s="1192" t="s">
        <v>4388</v>
      </c>
      <c r="V10794" s="1192">
        <v>411</v>
      </c>
    </row>
    <row r="10795" spans="1:22" s="1192" customFormat="1" ht="14.4" x14ac:dyDescent="0.3">
      <c r="A10795" s="1192" t="s">
        <v>418</v>
      </c>
      <c r="E10795" s="1743" t="s">
        <v>2508</v>
      </c>
      <c r="F10795" s="1743"/>
      <c r="G10795" s="1743"/>
      <c r="H10795" s="1743"/>
      <c r="K10795" s="1192" t="s">
        <v>4388</v>
      </c>
      <c r="V10795" s="1192">
        <v>386</v>
      </c>
    </row>
    <row r="10796" spans="1:22" s="1192" customFormat="1" ht="14.4" x14ac:dyDescent="0.3">
      <c r="A10796" s="1192" t="s">
        <v>418</v>
      </c>
      <c r="E10796" s="1743" t="s">
        <v>4632</v>
      </c>
      <c r="F10796" s="1743"/>
      <c r="G10796" s="1743"/>
      <c r="H10796" s="1743"/>
      <c r="K10796" s="1192" t="s">
        <v>4388</v>
      </c>
      <c r="V10796" s="1192">
        <v>680</v>
      </c>
    </row>
    <row r="10797" spans="1:22" s="1192" customFormat="1" ht="14.4" x14ac:dyDescent="0.3">
      <c r="A10797" s="1192" t="s">
        <v>418</v>
      </c>
      <c r="E10797" s="1743" t="s">
        <v>4644</v>
      </c>
      <c r="F10797" s="1743"/>
      <c r="G10797" s="1743"/>
      <c r="H10797" s="1743"/>
      <c r="K10797" s="1192" t="s">
        <v>4388</v>
      </c>
      <c r="V10797" s="1192">
        <v>693</v>
      </c>
    </row>
    <row r="10798" spans="1:22" s="1192" customFormat="1" ht="14.4" x14ac:dyDescent="0.3">
      <c r="A10798" s="1192" t="s">
        <v>418</v>
      </c>
      <c r="E10798" s="1743" t="s">
        <v>2986</v>
      </c>
      <c r="F10798" s="1743"/>
      <c r="G10798" s="1743"/>
      <c r="H10798" s="1743"/>
      <c r="K10798" s="1192" t="s">
        <v>4388</v>
      </c>
      <c r="V10798" s="1192">
        <v>246</v>
      </c>
    </row>
    <row r="10799" spans="1:22" s="1192" customFormat="1" ht="14.4" x14ac:dyDescent="0.3">
      <c r="A10799" s="1192" t="s">
        <v>418</v>
      </c>
      <c r="E10799" s="1750" t="s">
        <v>2394</v>
      </c>
      <c r="F10799" s="1743"/>
      <c r="G10799" s="1743"/>
      <c r="H10799" s="1743"/>
      <c r="K10799" s="1192" t="s">
        <v>2423</v>
      </c>
      <c r="V10799" s="1192">
        <v>46</v>
      </c>
    </row>
    <row r="10800" spans="1:22" s="1192" customFormat="1" ht="14.4" x14ac:dyDescent="0.3">
      <c r="A10800" s="1192" t="s">
        <v>418</v>
      </c>
      <c r="E10800" s="1741" t="s">
        <v>7</v>
      </c>
      <c r="F10800" s="1741"/>
      <c r="G10800" s="1277" t="s">
        <v>19</v>
      </c>
      <c r="H10800" s="1218">
        <v>109.12</v>
      </c>
      <c r="K10800" s="1192" t="s">
        <v>4388</v>
      </c>
      <c r="L10800" s="1192" t="s">
        <v>430</v>
      </c>
      <c r="P10800" s="1192" t="s">
        <v>4389</v>
      </c>
      <c r="V10800" s="1192">
        <v>14</v>
      </c>
    </row>
    <row r="10801" spans="1:22" s="1192" customFormat="1" ht="14.4" x14ac:dyDescent="0.3">
      <c r="A10801" s="1192" t="s">
        <v>418</v>
      </c>
      <c r="E10801" s="1741" t="s">
        <v>80</v>
      </c>
      <c r="F10801" s="1741"/>
      <c r="G10801" s="1277" t="s">
        <v>29</v>
      </c>
      <c r="H10801" s="1219">
        <v>3.5670999999999999</v>
      </c>
      <c r="K10801" s="1192" t="s">
        <v>4388</v>
      </c>
      <c r="L10801" s="1192" t="s">
        <v>430</v>
      </c>
      <c r="P10801" s="1192" t="s">
        <v>4390</v>
      </c>
      <c r="V10801" s="1192">
        <v>28</v>
      </c>
    </row>
    <row r="10802" spans="1:22" s="1192" customFormat="1" ht="14.4" x14ac:dyDescent="0.3">
      <c r="A10802" s="1192" t="s">
        <v>418</v>
      </c>
      <c r="E10802" s="1741" t="s">
        <v>14</v>
      </c>
      <c r="F10802" s="1741"/>
      <c r="G10802" s="1277" t="s">
        <v>29</v>
      </c>
      <c r="H10802" s="1219">
        <v>0.16120000000000001</v>
      </c>
      <c r="K10802" s="1192" t="s">
        <v>4388</v>
      </c>
      <c r="L10802" s="1192" t="s">
        <v>431</v>
      </c>
      <c r="P10802" s="1192" t="s">
        <v>4391</v>
      </c>
      <c r="V10802" s="1192">
        <v>24</v>
      </c>
    </row>
    <row r="10803" spans="1:22" s="1192" customFormat="1" ht="14.4" x14ac:dyDescent="0.3">
      <c r="A10803" s="1192" t="s">
        <v>418</v>
      </c>
      <c r="E10803" s="1741" t="s">
        <v>6596</v>
      </c>
      <c r="F10803" s="1998"/>
      <c r="G10803" s="1277" t="s">
        <v>20</v>
      </c>
      <c r="H10803" s="1219">
        <v>1E-4</v>
      </c>
      <c r="K10803" s="1192" t="s">
        <v>4388</v>
      </c>
      <c r="L10803" s="1192" t="s">
        <v>431</v>
      </c>
      <c r="P10803" s="1192" t="s">
        <v>4397</v>
      </c>
      <c r="T10803" s="1192">
        <v>44012</v>
      </c>
      <c r="V10803" s="1192">
        <v>138</v>
      </c>
    </row>
    <row r="10804" spans="1:22" s="1192" customFormat="1" ht="14.4" x14ac:dyDescent="0.3">
      <c r="A10804" s="1192" t="s">
        <v>418</v>
      </c>
      <c r="E10804" s="1741" t="s">
        <v>6509</v>
      </c>
      <c r="F10804" s="1998"/>
      <c r="G10804" s="1277" t="s">
        <v>29</v>
      </c>
      <c r="H10804" s="1219">
        <v>3.8399999999999997E-2</v>
      </c>
      <c r="K10804" s="1192" t="s">
        <v>4388</v>
      </c>
      <c r="L10804" s="1192" t="s">
        <v>431</v>
      </c>
      <c r="P10804" s="1192" t="s">
        <v>4398</v>
      </c>
      <c r="T10804" s="1192">
        <v>44316</v>
      </c>
      <c r="V10804" s="1192">
        <v>156</v>
      </c>
    </row>
    <row r="10805" spans="1:22" s="1192" customFormat="1" ht="14.4" x14ac:dyDescent="0.3">
      <c r="A10805" s="1192" t="s">
        <v>418</v>
      </c>
      <c r="E10805" s="1741" t="s">
        <v>6508</v>
      </c>
      <c r="F10805" s="1998"/>
      <c r="G10805" s="1277" t="s">
        <v>29</v>
      </c>
      <c r="H10805" s="1219">
        <v>0.43659999999999999</v>
      </c>
      <c r="K10805" s="1192" t="s">
        <v>4388</v>
      </c>
      <c r="L10805" s="1192" t="s">
        <v>431</v>
      </c>
      <c r="P10805" s="1192" t="s">
        <v>4398</v>
      </c>
      <c r="T10805" s="1192">
        <v>44316</v>
      </c>
      <c r="V10805" s="1192">
        <v>96</v>
      </c>
    </row>
    <row r="10806" spans="1:22" s="1192" customFormat="1" ht="14.4" x14ac:dyDescent="0.3">
      <c r="A10806" s="1192" t="s">
        <v>418</v>
      </c>
      <c r="E10806" s="1741" t="s">
        <v>213</v>
      </c>
      <c r="F10806" s="1741"/>
      <c r="G10806" s="1277" t="s">
        <v>29</v>
      </c>
      <c r="H10806" s="1219">
        <v>2.7627999999999999</v>
      </c>
      <c r="K10806" s="1192" t="s">
        <v>4388</v>
      </c>
      <c r="L10806" s="1192" t="s">
        <v>432</v>
      </c>
      <c r="P10806" s="1192" t="s">
        <v>4392</v>
      </c>
      <c r="V10806" s="1192">
        <v>47</v>
      </c>
    </row>
    <row r="10807" spans="1:22" s="1192" customFormat="1" ht="14.4" x14ac:dyDescent="0.3">
      <c r="A10807" s="1192" t="s">
        <v>418</v>
      </c>
      <c r="E10807" s="1741" t="s">
        <v>2847</v>
      </c>
      <c r="F10807" s="1741"/>
      <c r="G10807" s="1277" t="s">
        <v>29</v>
      </c>
      <c r="H10807" s="1219">
        <v>1.9004000000000001</v>
      </c>
      <c r="K10807" s="1192" t="s">
        <v>4388</v>
      </c>
      <c r="L10807" s="1192" t="s">
        <v>432</v>
      </c>
      <c r="P10807" s="1192" t="s">
        <v>4393</v>
      </c>
      <c r="V10807" s="1192">
        <v>75</v>
      </c>
    </row>
    <row r="10808" spans="1:22" s="1192" customFormat="1" ht="14.4" x14ac:dyDescent="0.3">
      <c r="A10808" s="1192" t="s">
        <v>418</v>
      </c>
      <c r="E10808" s="1750" t="s">
        <v>2405</v>
      </c>
      <c r="F10808" s="1741"/>
      <c r="G10808" s="1741"/>
      <c r="H10808" s="1741"/>
      <c r="K10808" s="1192" t="s">
        <v>2526</v>
      </c>
      <c r="V10808" s="1192">
        <v>48</v>
      </c>
    </row>
    <row r="10809" spans="1:22" s="1192" customFormat="1" ht="14.4" x14ac:dyDescent="0.3">
      <c r="A10809" s="1192" t="s">
        <v>418</v>
      </c>
      <c r="E10809" s="1741" t="s">
        <v>2033</v>
      </c>
      <c r="F10809" s="1741"/>
      <c r="G10809" s="1277" t="s">
        <v>20</v>
      </c>
      <c r="H10809" s="1219">
        <v>3.0000000000000001E-3</v>
      </c>
      <c r="K10809" s="1192" t="s">
        <v>4388</v>
      </c>
      <c r="L10809" s="1192" t="s">
        <v>2374</v>
      </c>
      <c r="P10809" s="1192" t="s">
        <v>4394</v>
      </c>
      <c r="V10809" s="1192">
        <v>55</v>
      </c>
    </row>
    <row r="10810" spans="1:22" s="1192" customFormat="1" ht="14.4" x14ac:dyDescent="0.3">
      <c r="A10810" s="1192" t="s">
        <v>418</v>
      </c>
      <c r="E10810" s="1741" t="s">
        <v>2034</v>
      </c>
      <c r="F10810" s="1741"/>
      <c r="G10810" s="1277" t="s">
        <v>20</v>
      </c>
      <c r="H10810" s="1219">
        <v>4.0000000000000002E-4</v>
      </c>
      <c r="K10810" s="1192" t="s">
        <v>4388</v>
      </c>
      <c r="L10810" s="1192" t="s">
        <v>2374</v>
      </c>
      <c r="P10810" s="1192" t="s">
        <v>4394</v>
      </c>
      <c r="V10810" s="1192">
        <v>65</v>
      </c>
    </row>
    <row r="10811" spans="1:22" s="1192" customFormat="1" ht="14.4" x14ac:dyDescent="0.3">
      <c r="A10811" s="1192" t="s">
        <v>418</v>
      </c>
      <c r="E10811" s="1741" t="s">
        <v>428</v>
      </c>
      <c r="F10811" s="1741"/>
      <c r="G10811" s="1277" t="s">
        <v>20</v>
      </c>
      <c r="H10811" s="1219">
        <v>5.0000000000000001E-4</v>
      </c>
      <c r="K10811" s="1192" t="s">
        <v>4388</v>
      </c>
      <c r="L10811" s="1192" t="s">
        <v>2374</v>
      </c>
      <c r="P10811" s="1192" t="s">
        <v>4395</v>
      </c>
      <c r="V10811" s="1192">
        <v>57</v>
      </c>
    </row>
    <row r="10812" spans="1:22" s="1192" customFormat="1" ht="14.4" x14ac:dyDescent="0.3">
      <c r="A10812" s="1192" t="s">
        <v>418</v>
      </c>
      <c r="E10812" s="1741" t="s">
        <v>28</v>
      </c>
      <c r="F10812" s="1741"/>
      <c r="G10812" s="1277" t="s">
        <v>19</v>
      </c>
      <c r="H10812" s="1218">
        <v>0.25</v>
      </c>
      <c r="K10812" s="1192" t="s">
        <v>4388</v>
      </c>
      <c r="L10812" s="1192" t="s">
        <v>2374</v>
      </c>
      <c r="P10812" s="1192" t="s">
        <v>4396</v>
      </c>
      <c r="V10812" s="1192">
        <v>63</v>
      </c>
    </row>
    <row r="10813" spans="1:22" s="1192" customFormat="1" ht="17.399999999999999" x14ac:dyDescent="0.3">
      <c r="A10813" s="1192" t="s">
        <v>418</v>
      </c>
      <c r="E10813" s="1746" t="s">
        <v>592</v>
      </c>
      <c r="F10813" s="1747"/>
      <c r="G10813" s="1747"/>
      <c r="H10813" s="1747"/>
      <c r="K10813" s="1192" t="s">
        <v>2676</v>
      </c>
      <c r="V10813" s="1192">
        <v>47</v>
      </c>
    </row>
    <row r="10814" spans="1:22" s="1192" customFormat="1" ht="14.4" x14ac:dyDescent="0.3">
      <c r="A10814" s="1192" t="s">
        <v>418</v>
      </c>
      <c r="E10814" s="1743" t="s">
        <v>3281</v>
      </c>
      <c r="F10814" s="1743"/>
      <c r="G10814" s="1743"/>
      <c r="H10814" s="1743"/>
      <c r="K10814" s="1192" t="s">
        <v>2676</v>
      </c>
      <c r="V10814" s="1192">
        <v>612</v>
      </c>
    </row>
    <row r="10815" spans="1:22" s="1192" customFormat="1" ht="14.4" x14ac:dyDescent="0.3">
      <c r="A10815" s="1192" t="s">
        <v>418</v>
      </c>
      <c r="E10815" s="1750" t="s">
        <v>2389</v>
      </c>
      <c r="F10815" s="1743"/>
      <c r="G10815" s="1743"/>
      <c r="H10815" s="1743"/>
      <c r="K10815" s="1192" t="s">
        <v>2529</v>
      </c>
      <c r="V10815" s="1192">
        <v>11</v>
      </c>
    </row>
    <row r="10816" spans="1:22" s="1192" customFormat="1" ht="14.4" x14ac:dyDescent="0.3">
      <c r="A10816" s="1192" t="s">
        <v>418</v>
      </c>
      <c r="E10816" s="1743" t="s">
        <v>2391</v>
      </c>
      <c r="F10816" s="1743"/>
      <c r="G10816" s="1743"/>
      <c r="H10816" s="1743"/>
      <c r="K10816" s="1192" t="s">
        <v>2676</v>
      </c>
      <c r="V10816" s="1192">
        <v>280</v>
      </c>
    </row>
    <row r="10817" spans="1:22" s="1192" customFormat="1" ht="14.4" x14ac:dyDescent="0.3">
      <c r="A10817" s="1192" t="s">
        <v>418</v>
      </c>
      <c r="E10817" s="1743" t="s">
        <v>2392</v>
      </c>
      <c r="F10817" s="1743"/>
      <c r="G10817" s="1743"/>
      <c r="H10817" s="1743"/>
      <c r="K10817" s="1192" t="s">
        <v>2676</v>
      </c>
      <c r="V10817" s="1192">
        <v>411</v>
      </c>
    </row>
    <row r="10818" spans="1:22" s="1192" customFormat="1" ht="14.4" x14ac:dyDescent="0.3">
      <c r="A10818" s="1192" t="s">
        <v>418</v>
      </c>
      <c r="E10818" s="1743" t="s">
        <v>2508</v>
      </c>
      <c r="F10818" s="1743"/>
      <c r="G10818" s="1743"/>
      <c r="H10818" s="1743"/>
      <c r="K10818" s="1192" t="s">
        <v>2676</v>
      </c>
      <c r="V10818" s="1192">
        <v>386</v>
      </c>
    </row>
    <row r="10819" spans="1:22" s="1192" customFormat="1" ht="14.4" x14ac:dyDescent="0.3">
      <c r="A10819" s="1192" t="s">
        <v>418</v>
      </c>
      <c r="E10819" s="1743" t="s">
        <v>2986</v>
      </c>
      <c r="F10819" s="1743"/>
      <c r="G10819" s="1743"/>
      <c r="H10819" s="1743"/>
      <c r="K10819" s="1192" t="s">
        <v>2676</v>
      </c>
      <c r="V10819" s="1192">
        <v>246</v>
      </c>
    </row>
    <row r="10820" spans="1:22" s="1192" customFormat="1" ht="14.4" x14ac:dyDescent="0.3">
      <c r="A10820" s="1192" t="s">
        <v>418</v>
      </c>
      <c r="E10820" s="1750" t="s">
        <v>2394</v>
      </c>
      <c r="F10820" s="1743"/>
      <c r="G10820" s="1743"/>
      <c r="H10820" s="1743"/>
      <c r="K10820" s="1192" t="s">
        <v>2531</v>
      </c>
      <c r="V10820" s="1192">
        <v>46</v>
      </c>
    </row>
    <row r="10821" spans="1:22" s="1192" customFormat="1" ht="14.4" x14ac:dyDescent="0.3">
      <c r="A10821" s="1192" t="s">
        <v>418</v>
      </c>
      <c r="E10821" s="1741" t="s">
        <v>9</v>
      </c>
      <c r="F10821" s="1741"/>
      <c r="G10821" s="1277" t="s">
        <v>19</v>
      </c>
      <c r="H10821" s="1218">
        <v>20.73</v>
      </c>
      <c r="K10821" s="1192" t="s">
        <v>2676</v>
      </c>
      <c r="L10821" s="1192" t="s">
        <v>430</v>
      </c>
      <c r="P10821" s="1192" t="s">
        <v>2678</v>
      </c>
      <c r="V10821" s="1192">
        <v>29</v>
      </c>
    </row>
    <row r="10822" spans="1:22" s="1192" customFormat="1" ht="14.4" x14ac:dyDescent="0.3">
      <c r="A10822" s="1192" t="s">
        <v>418</v>
      </c>
      <c r="E10822" s="1741" t="s">
        <v>80</v>
      </c>
      <c r="F10822" s="1741"/>
      <c r="G10822" s="1277" t="s">
        <v>20</v>
      </c>
      <c r="H10822" s="1219">
        <v>1.44E-2</v>
      </c>
      <c r="K10822" s="1192" t="s">
        <v>2676</v>
      </c>
      <c r="L10822" s="1192" t="s">
        <v>430</v>
      </c>
      <c r="P10822" s="1192" t="s">
        <v>2679</v>
      </c>
      <c r="V10822" s="1192">
        <v>28</v>
      </c>
    </row>
    <row r="10823" spans="1:22" s="1192" customFormat="1" ht="14.4" x14ac:dyDescent="0.3">
      <c r="A10823" s="1192" t="s">
        <v>418</v>
      </c>
      <c r="E10823" s="1741" t="s">
        <v>14</v>
      </c>
      <c r="F10823" s="1741"/>
      <c r="G10823" s="1277" t="s">
        <v>20</v>
      </c>
      <c r="H10823" s="1219">
        <v>4.0000000000000002E-4</v>
      </c>
      <c r="K10823" s="1192" t="s">
        <v>2676</v>
      </c>
      <c r="L10823" s="1192" t="s">
        <v>431</v>
      </c>
      <c r="P10823" s="1192" t="s">
        <v>2809</v>
      </c>
      <c r="V10823" s="1192">
        <v>24</v>
      </c>
    </row>
    <row r="10824" spans="1:22" s="1192" customFormat="1" ht="14.4" x14ac:dyDescent="0.3">
      <c r="A10824" s="1192" t="s">
        <v>418</v>
      </c>
      <c r="E10824" s="1741" t="s">
        <v>6508</v>
      </c>
      <c r="F10824" s="1998"/>
      <c r="G10824" s="1277" t="s">
        <v>20</v>
      </c>
      <c r="H10824" s="1219">
        <v>1.1999999999999999E-3</v>
      </c>
      <c r="K10824" s="1192" t="s">
        <v>2676</v>
      </c>
      <c r="L10824" s="1192" t="s">
        <v>431</v>
      </c>
      <c r="P10824" s="1192" t="s">
        <v>2681</v>
      </c>
      <c r="T10824" s="1192">
        <v>44316</v>
      </c>
      <c r="V10824" s="1192">
        <v>96</v>
      </c>
    </row>
    <row r="10825" spans="1:22" s="1192" customFormat="1" ht="14.4" x14ac:dyDescent="0.3">
      <c r="A10825" s="1192" t="s">
        <v>418</v>
      </c>
      <c r="E10825" s="1741" t="s">
        <v>213</v>
      </c>
      <c r="F10825" s="1741"/>
      <c r="G10825" s="1277" t="s">
        <v>20</v>
      </c>
      <c r="H10825" s="1219">
        <v>6.7000000000000002E-3</v>
      </c>
      <c r="K10825" s="1192" t="s">
        <v>2676</v>
      </c>
      <c r="L10825" s="1192" t="s">
        <v>432</v>
      </c>
      <c r="P10825" s="1192" t="s">
        <v>2682</v>
      </c>
      <c r="V10825" s="1192">
        <v>47</v>
      </c>
    </row>
    <row r="10826" spans="1:22" s="1192" customFormat="1" ht="14.4" x14ac:dyDescent="0.3">
      <c r="A10826" s="1192" t="s">
        <v>418</v>
      </c>
      <c r="E10826" s="1741" t="s">
        <v>209</v>
      </c>
      <c r="F10826" s="1741"/>
      <c r="G10826" s="1277" t="s">
        <v>20</v>
      </c>
      <c r="H10826" s="1219">
        <v>4.7000000000000002E-3</v>
      </c>
      <c r="K10826" s="1192" t="s">
        <v>2676</v>
      </c>
      <c r="L10826" s="1192" t="s">
        <v>432</v>
      </c>
      <c r="P10826" s="1192" t="s">
        <v>2683</v>
      </c>
      <c r="V10826" s="1192">
        <v>74</v>
      </c>
    </row>
    <row r="10827" spans="1:22" s="1192" customFormat="1" ht="14.4" x14ac:dyDescent="0.3">
      <c r="A10827" s="1192" t="s">
        <v>418</v>
      </c>
      <c r="E10827" s="1750" t="s">
        <v>2405</v>
      </c>
      <c r="F10827" s="1741"/>
      <c r="G10827" s="1741"/>
      <c r="H10827" s="1741"/>
      <c r="K10827" s="1192" t="s">
        <v>2532</v>
      </c>
      <c r="V10827" s="1192">
        <v>48</v>
      </c>
    </row>
    <row r="10828" spans="1:22" s="1192" customFormat="1" ht="14.4" x14ac:dyDescent="0.3">
      <c r="A10828" s="1192" t="s">
        <v>418</v>
      </c>
      <c r="E10828" s="1741" t="s">
        <v>2033</v>
      </c>
      <c r="F10828" s="1741"/>
      <c r="G10828" s="1277" t="s">
        <v>20</v>
      </c>
      <c r="H10828" s="1219">
        <v>3.0000000000000001E-3</v>
      </c>
      <c r="K10828" s="1192" t="s">
        <v>2676</v>
      </c>
      <c r="L10828" s="1192" t="s">
        <v>2374</v>
      </c>
      <c r="P10828" s="1192" t="s">
        <v>2684</v>
      </c>
      <c r="V10828" s="1192">
        <v>55</v>
      </c>
    </row>
    <row r="10829" spans="1:22" s="1192" customFormat="1" ht="14.4" x14ac:dyDescent="0.3">
      <c r="A10829" s="1192" t="s">
        <v>418</v>
      </c>
      <c r="E10829" s="1741" t="s">
        <v>2034</v>
      </c>
      <c r="F10829" s="1741"/>
      <c r="G10829" s="1277" t="s">
        <v>20</v>
      </c>
      <c r="H10829" s="1219">
        <v>4.0000000000000002E-4</v>
      </c>
      <c r="K10829" s="1192" t="s">
        <v>2676</v>
      </c>
      <c r="L10829" s="1192" t="s">
        <v>2374</v>
      </c>
      <c r="P10829" s="1192" t="s">
        <v>2684</v>
      </c>
      <c r="V10829" s="1192">
        <v>65</v>
      </c>
    </row>
    <row r="10830" spans="1:22" s="1192" customFormat="1" ht="14.4" x14ac:dyDescent="0.3">
      <c r="A10830" s="1192" t="s">
        <v>418</v>
      </c>
      <c r="E10830" s="1741" t="s">
        <v>428</v>
      </c>
      <c r="F10830" s="1741"/>
      <c r="G10830" s="1277" t="s">
        <v>20</v>
      </c>
      <c r="H10830" s="1219">
        <v>5.0000000000000001E-4</v>
      </c>
      <c r="K10830" s="1192" t="s">
        <v>2676</v>
      </c>
      <c r="L10830" s="1192" t="s">
        <v>2374</v>
      </c>
      <c r="P10830" s="1192" t="s">
        <v>2685</v>
      </c>
      <c r="V10830" s="1192">
        <v>57</v>
      </c>
    </row>
    <row r="10831" spans="1:22" s="1192" customFormat="1" ht="14.4" x14ac:dyDescent="0.3">
      <c r="A10831" s="1192" t="s">
        <v>418</v>
      </c>
      <c r="E10831" s="1741" t="s">
        <v>28</v>
      </c>
      <c r="F10831" s="1741"/>
      <c r="G10831" s="1277" t="s">
        <v>19</v>
      </c>
      <c r="H10831" s="1218">
        <v>0.25</v>
      </c>
      <c r="K10831" s="1192" t="s">
        <v>2676</v>
      </c>
      <c r="L10831" s="1192" t="s">
        <v>2374</v>
      </c>
      <c r="P10831" s="1192" t="s">
        <v>2686</v>
      </c>
      <c r="V10831" s="1192">
        <v>63</v>
      </c>
    </row>
    <row r="10832" spans="1:22" s="1192" customFormat="1" ht="17.399999999999999" x14ac:dyDescent="0.3">
      <c r="A10832" s="1192" t="s">
        <v>418</v>
      </c>
      <c r="E10832" s="1746" t="s">
        <v>604</v>
      </c>
      <c r="F10832" s="1747"/>
      <c r="G10832" s="1747"/>
      <c r="H10832" s="1747"/>
      <c r="K10832" s="1192" t="s">
        <v>2823</v>
      </c>
      <c r="V10832" s="1192">
        <v>40</v>
      </c>
    </row>
    <row r="10833" spans="1:22" s="1192" customFormat="1" ht="14.4" x14ac:dyDescent="0.3">
      <c r="A10833" s="1192" t="s">
        <v>418</v>
      </c>
      <c r="E10833" s="1743" t="s">
        <v>2556</v>
      </c>
      <c r="F10833" s="1743"/>
      <c r="G10833" s="1743"/>
      <c r="H10833" s="1743"/>
      <c r="K10833" s="1192" t="s">
        <v>2823</v>
      </c>
      <c r="V10833" s="1192">
        <v>253</v>
      </c>
    </row>
    <row r="10834" spans="1:22" s="1192" customFormat="1" ht="14.4" x14ac:dyDescent="0.3">
      <c r="A10834" s="1192" t="s">
        <v>418</v>
      </c>
      <c r="E10834" s="1750" t="s">
        <v>2389</v>
      </c>
      <c r="F10834" s="1743"/>
      <c r="G10834" s="1743"/>
      <c r="H10834" s="1743"/>
      <c r="K10834" s="1192" t="s">
        <v>2424</v>
      </c>
      <c r="V10834" s="1192">
        <v>11</v>
      </c>
    </row>
    <row r="10835" spans="1:22" s="1192" customFormat="1" ht="14.4" x14ac:dyDescent="0.3">
      <c r="A10835" s="1192" t="s">
        <v>418</v>
      </c>
      <c r="E10835" s="1743" t="s">
        <v>2391</v>
      </c>
      <c r="F10835" s="1743"/>
      <c r="G10835" s="1743"/>
      <c r="H10835" s="1743"/>
      <c r="K10835" s="1192" t="s">
        <v>2823</v>
      </c>
      <c r="V10835" s="1192">
        <v>280</v>
      </c>
    </row>
    <row r="10836" spans="1:22" s="1192" customFormat="1" ht="14.4" x14ac:dyDescent="0.3">
      <c r="A10836" s="1192" t="s">
        <v>418</v>
      </c>
      <c r="E10836" s="1743" t="s">
        <v>2392</v>
      </c>
      <c r="F10836" s="1743"/>
      <c r="G10836" s="1743"/>
      <c r="H10836" s="1743"/>
      <c r="K10836" s="1192" t="s">
        <v>2823</v>
      </c>
      <c r="V10836" s="1192">
        <v>411</v>
      </c>
    </row>
    <row r="10837" spans="1:22" s="1192" customFormat="1" ht="14.4" x14ac:dyDescent="0.3">
      <c r="A10837" s="1192" t="s">
        <v>418</v>
      </c>
      <c r="E10837" s="1743" t="s">
        <v>2508</v>
      </c>
      <c r="F10837" s="1743"/>
      <c r="G10837" s="1743"/>
      <c r="H10837" s="1743"/>
      <c r="K10837" s="1192" t="s">
        <v>2823</v>
      </c>
      <c r="V10837" s="1192">
        <v>386</v>
      </c>
    </row>
    <row r="10838" spans="1:22" s="1192" customFormat="1" ht="14.4" x14ac:dyDescent="0.3">
      <c r="A10838" s="1192" t="s">
        <v>418</v>
      </c>
      <c r="E10838" s="1743" t="s">
        <v>2986</v>
      </c>
      <c r="F10838" s="1743"/>
      <c r="G10838" s="1743"/>
      <c r="H10838" s="1743"/>
      <c r="K10838" s="1192" t="s">
        <v>2823</v>
      </c>
      <c r="V10838" s="1192">
        <v>246</v>
      </c>
    </row>
    <row r="10839" spans="1:22" s="1192" customFormat="1" ht="14.4" x14ac:dyDescent="0.3">
      <c r="A10839" s="1192" t="s">
        <v>418</v>
      </c>
      <c r="E10839" s="1750" t="s">
        <v>2394</v>
      </c>
      <c r="F10839" s="1743"/>
      <c r="G10839" s="1743"/>
      <c r="H10839" s="1743"/>
      <c r="K10839" s="1192" t="s">
        <v>2425</v>
      </c>
      <c r="V10839" s="1192">
        <v>46</v>
      </c>
    </row>
    <row r="10840" spans="1:22" s="1192" customFormat="1" ht="14.4" x14ac:dyDescent="0.3">
      <c r="A10840" s="1192" t="s">
        <v>418</v>
      </c>
      <c r="E10840" s="1741" t="s">
        <v>7</v>
      </c>
      <c r="F10840" s="1741"/>
      <c r="G10840" s="1277" t="s">
        <v>19</v>
      </c>
      <c r="H10840" s="1218">
        <v>18.03</v>
      </c>
      <c r="K10840" s="1192" t="s">
        <v>2823</v>
      </c>
      <c r="L10840" s="1192" t="s">
        <v>430</v>
      </c>
      <c r="P10840" s="1192" t="s">
        <v>2824</v>
      </c>
      <c r="V10840" s="1192">
        <v>14</v>
      </c>
    </row>
    <row r="10841" spans="1:22" s="1192" customFormat="1" ht="14.4" x14ac:dyDescent="0.3">
      <c r="A10841" s="1192" t="s">
        <v>418</v>
      </c>
      <c r="E10841" s="1741" t="s">
        <v>80</v>
      </c>
      <c r="F10841" s="1741"/>
      <c r="G10841" s="1277" t="s">
        <v>29</v>
      </c>
      <c r="H10841" s="1219">
        <v>22.499500000000001</v>
      </c>
      <c r="K10841" s="1192" t="s">
        <v>2823</v>
      </c>
      <c r="L10841" s="1192" t="s">
        <v>430</v>
      </c>
      <c r="P10841" s="1192" t="s">
        <v>2825</v>
      </c>
      <c r="V10841" s="1192">
        <v>28</v>
      </c>
    </row>
    <row r="10842" spans="1:22" s="1192" customFormat="1" ht="14.4" x14ac:dyDescent="0.3">
      <c r="A10842" s="1192" t="s">
        <v>418</v>
      </c>
      <c r="E10842" s="1741" t="s">
        <v>14</v>
      </c>
      <c r="F10842" s="1741"/>
      <c r="G10842" s="1277" t="s">
        <v>29</v>
      </c>
      <c r="H10842" s="1219">
        <v>0.13469999999999999</v>
      </c>
      <c r="K10842" s="1192" t="s">
        <v>2823</v>
      </c>
      <c r="L10842" s="1192" t="s">
        <v>431</v>
      </c>
      <c r="P10842" s="1192" t="s">
        <v>2826</v>
      </c>
      <c r="V10842" s="1192">
        <v>24</v>
      </c>
    </row>
    <row r="10843" spans="1:22" s="1192" customFormat="1" ht="14.4" x14ac:dyDescent="0.3">
      <c r="A10843" s="1192" t="s">
        <v>418</v>
      </c>
      <c r="E10843" s="1741" t="s">
        <v>6508</v>
      </c>
      <c r="F10843" s="1998"/>
      <c r="G10843" s="1277" t="s">
        <v>29</v>
      </c>
      <c r="H10843" s="1219">
        <v>0.40789999999999998</v>
      </c>
      <c r="K10843" s="1192" t="s">
        <v>2823</v>
      </c>
      <c r="L10843" s="1192" t="s">
        <v>431</v>
      </c>
      <c r="P10843" s="1192" t="s">
        <v>2915</v>
      </c>
      <c r="T10843" s="1192">
        <v>44316</v>
      </c>
      <c r="V10843" s="1192">
        <v>96</v>
      </c>
    </row>
    <row r="10844" spans="1:22" s="1192" customFormat="1" ht="14.4" x14ac:dyDescent="0.3">
      <c r="A10844" s="1192" t="s">
        <v>418</v>
      </c>
      <c r="E10844" s="1741" t="s">
        <v>213</v>
      </c>
      <c r="F10844" s="1741"/>
      <c r="G10844" s="1277" t="s">
        <v>29</v>
      </c>
      <c r="H10844" s="1219">
        <v>2.0455000000000001</v>
      </c>
      <c r="K10844" s="1192" t="s">
        <v>2823</v>
      </c>
      <c r="L10844" s="1192" t="s">
        <v>432</v>
      </c>
      <c r="P10844" s="1192" t="s">
        <v>2827</v>
      </c>
      <c r="V10844" s="1192">
        <v>47</v>
      </c>
    </row>
    <row r="10845" spans="1:22" s="1192" customFormat="1" ht="14.4" x14ac:dyDescent="0.3">
      <c r="A10845" s="1192" t="s">
        <v>418</v>
      </c>
      <c r="E10845" s="1741" t="s">
        <v>209</v>
      </c>
      <c r="F10845" s="1741"/>
      <c r="G10845" s="1277" t="s">
        <v>29</v>
      </c>
      <c r="H10845" s="1219">
        <v>1.5881000000000001</v>
      </c>
      <c r="K10845" s="1192" t="s">
        <v>2823</v>
      </c>
      <c r="L10845" s="1192" t="s">
        <v>432</v>
      </c>
      <c r="P10845" s="1192" t="s">
        <v>2828</v>
      </c>
      <c r="V10845" s="1192">
        <v>74</v>
      </c>
    </row>
    <row r="10846" spans="1:22" s="1192" customFormat="1" ht="14.4" x14ac:dyDescent="0.3">
      <c r="A10846" s="1192" t="s">
        <v>418</v>
      </c>
      <c r="E10846" s="1750" t="s">
        <v>2405</v>
      </c>
      <c r="F10846" s="1741"/>
      <c r="G10846" s="1741"/>
      <c r="H10846" s="1741"/>
      <c r="K10846" s="1192" t="s">
        <v>2427</v>
      </c>
      <c r="V10846" s="1192">
        <v>48</v>
      </c>
    </row>
    <row r="10847" spans="1:22" s="1192" customFormat="1" ht="14.4" x14ac:dyDescent="0.3">
      <c r="A10847" s="1192" t="s">
        <v>418</v>
      </c>
      <c r="E10847" s="1741" t="s">
        <v>2033</v>
      </c>
      <c r="F10847" s="1741"/>
      <c r="G10847" s="1277" t="s">
        <v>20</v>
      </c>
      <c r="H10847" s="1219">
        <v>3.0000000000000001E-3</v>
      </c>
      <c r="K10847" s="1192" t="s">
        <v>2823</v>
      </c>
      <c r="L10847" s="1192" t="s">
        <v>2374</v>
      </c>
      <c r="P10847" s="1192" t="s">
        <v>2829</v>
      </c>
      <c r="V10847" s="1192">
        <v>55</v>
      </c>
    </row>
    <row r="10848" spans="1:22" s="1192" customFormat="1" ht="14.4" x14ac:dyDescent="0.3">
      <c r="A10848" s="1192" t="s">
        <v>418</v>
      </c>
      <c r="E10848" s="1741" t="s">
        <v>2034</v>
      </c>
      <c r="F10848" s="1741"/>
      <c r="G10848" s="1277" t="s">
        <v>20</v>
      </c>
      <c r="H10848" s="1219">
        <v>4.0000000000000002E-4</v>
      </c>
      <c r="K10848" s="1192" t="s">
        <v>2823</v>
      </c>
      <c r="L10848" s="1192" t="s">
        <v>2374</v>
      </c>
      <c r="P10848" s="1192" t="s">
        <v>2829</v>
      </c>
      <c r="V10848" s="1192">
        <v>65</v>
      </c>
    </row>
    <row r="10849" spans="1:22" s="1192" customFormat="1" ht="14.4" x14ac:dyDescent="0.3">
      <c r="A10849" s="1192" t="s">
        <v>418</v>
      </c>
      <c r="E10849" s="1741" t="s">
        <v>428</v>
      </c>
      <c r="F10849" s="1741"/>
      <c r="G10849" s="1277" t="s">
        <v>20</v>
      </c>
      <c r="H10849" s="1219">
        <v>5.0000000000000001E-4</v>
      </c>
      <c r="K10849" s="1192" t="s">
        <v>2823</v>
      </c>
      <c r="L10849" s="1192" t="s">
        <v>2374</v>
      </c>
      <c r="P10849" s="1192" t="s">
        <v>2830</v>
      </c>
      <c r="V10849" s="1192">
        <v>57</v>
      </c>
    </row>
    <row r="10850" spans="1:22" s="1192" customFormat="1" ht="14.4" x14ac:dyDescent="0.3">
      <c r="A10850" s="1192" t="s">
        <v>418</v>
      </c>
      <c r="E10850" s="1741" t="s">
        <v>28</v>
      </c>
      <c r="F10850" s="1741"/>
      <c r="G10850" s="1277" t="s">
        <v>19</v>
      </c>
      <c r="H10850" s="1218">
        <v>0.25</v>
      </c>
      <c r="K10850" s="1192" t="s">
        <v>2823</v>
      </c>
      <c r="L10850" s="1192" t="s">
        <v>2374</v>
      </c>
      <c r="P10850" s="1192" t="s">
        <v>2831</v>
      </c>
      <c r="V10850" s="1192">
        <v>63</v>
      </c>
    </row>
    <row r="10851" spans="1:22" s="1192" customFormat="1" ht="17.399999999999999" x14ac:dyDescent="0.3">
      <c r="A10851" s="1192" t="s">
        <v>418</v>
      </c>
      <c r="E10851" s="1746" t="s">
        <v>590</v>
      </c>
      <c r="F10851" s="1747"/>
      <c r="G10851" s="1747"/>
      <c r="H10851" s="1747"/>
      <c r="K10851" s="1192" t="s">
        <v>2428</v>
      </c>
      <c r="V10851" s="1192">
        <v>38</v>
      </c>
    </row>
    <row r="10852" spans="1:22" s="1192" customFormat="1" ht="14.4" x14ac:dyDescent="0.3">
      <c r="A10852" s="1192" t="s">
        <v>418</v>
      </c>
      <c r="E10852" s="1743" t="s">
        <v>3282</v>
      </c>
      <c r="F10852" s="1743"/>
      <c r="G10852" s="1743"/>
      <c r="H10852" s="1743"/>
      <c r="K10852" s="1192" t="s">
        <v>2428</v>
      </c>
      <c r="V10852" s="1192">
        <v>884</v>
      </c>
    </row>
    <row r="10853" spans="1:22" s="1192" customFormat="1" ht="14.4" x14ac:dyDescent="0.3">
      <c r="A10853" s="1192" t="s">
        <v>418</v>
      </c>
      <c r="E10853" s="1750" t="s">
        <v>2389</v>
      </c>
      <c r="F10853" s="1743"/>
      <c r="G10853" s="1743"/>
      <c r="H10853" s="1743"/>
      <c r="K10853" s="1192" t="s">
        <v>2430</v>
      </c>
      <c r="V10853" s="1192">
        <v>11</v>
      </c>
    </row>
    <row r="10854" spans="1:22" s="1192" customFormat="1" ht="14.4" x14ac:dyDescent="0.3">
      <c r="A10854" s="1192" t="s">
        <v>418</v>
      </c>
      <c r="E10854" s="1743" t="s">
        <v>2391</v>
      </c>
      <c r="F10854" s="1743"/>
      <c r="G10854" s="1743"/>
      <c r="H10854" s="1743"/>
      <c r="K10854" s="1192" t="s">
        <v>2428</v>
      </c>
      <c r="V10854" s="1192">
        <v>280</v>
      </c>
    </row>
    <row r="10855" spans="1:22" s="1192" customFormat="1" ht="14.4" x14ac:dyDescent="0.3">
      <c r="A10855" s="1192" t="s">
        <v>418</v>
      </c>
      <c r="E10855" s="1743" t="s">
        <v>2392</v>
      </c>
      <c r="F10855" s="1743"/>
      <c r="G10855" s="1743"/>
      <c r="H10855" s="1743"/>
      <c r="K10855" s="1192" t="s">
        <v>2428</v>
      </c>
      <c r="V10855" s="1192">
        <v>411</v>
      </c>
    </row>
    <row r="10856" spans="1:22" s="1192" customFormat="1" ht="14.4" x14ac:dyDescent="0.3">
      <c r="A10856" s="1192" t="s">
        <v>418</v>
      </c>
      <c r="E10856" s="1743" t="s">
        <v>2508</v>
      </c>
      <c r="F10856" s="1743"/>
      <c r="G10856" s="1743"/>
      <c r="H10856" s="1743"/>
      <c r="K10856" s="1192" t="s">
        <v>2428</v>
      </c>
      <c r="V10856" s="1192">
        <v>386</v>
      </c>
    </row>
    <row r="10857" spans="1:22" s="1192" customFormat="1" ht="14.4" x14ac:dyDescent="0.3">
      <c r="A10857" s="1192" t="s">
        <v>418</v>
      </c>
      <c r="E10857" s="1743" t="s">
        <v>2986</v>
      </c>
      <c r="F10857" s="1743"/>
      <c r="G10857" s="1743"/>
      <c r="H10857" s="1743"/>
      <c r="K10857" s="1192" t="s">
        <v>2428</v>
      </c>
      <c r="V10857" s="1192">
        <v>246</v>
      </c>
    </row>
    <row r="10858" spans="1:22" s="1192" customFormat="1" ht="14.4" x14ac:dyDescent="0.3">
      <c r="A10858" s="1192" t="s">
        <v>418</v>
      </c>
      <c r="E10858" s="1750" t="s">
        <v>2394</v>
      </c>
      <c r="F10858" s="1743"/>
      <c r="G10858" s="1743"/>
      <c r="H10858" s="1743"/>
      <c r="K10858" s="1192" t="s">
        <v>2431</v>
      </c>
      <c r="V10858" s="1192">
        <v>46</v>
      </c>
    </row>
    <row r="10859" spans="1:22" s="1192" customFormat="1" ht="14.4" x14ac:dyDescent="0.3">
      <c r="A10859" s="1192" t="s">
        <v>418</v>
      </c>
      <c r="E10859" s="1741" t="s">
        <v>8</v>
      </c>
      <c r="F10859" s="1741"/>
      <c r="G10859" s="1277" t="s">
        <v>19</v>
      </c>
      <c r="H10859" s="1218">
        <v>1.27</v>
      </c>
      <c r="K10859" s="1192" t="s">
        <v>2428</v>
      </c>
      <c r="L10859" s="1192" t="s">
        <v>430</v>
      </c>
      <c r="P10859" s="1192" t="s">
        <v>2432</v>
      </c>
      <c r="V10859" s="1192">
        <v>31</v>
      </c>
    </row>
    <row r="10860" spans="1:22" s="1192" customFormat="1" ht="14.4" x14ac:dyDescent="0.3">
      <c r="A10860" s="1192" t="s">
        <v>418</v>
      </c>
      <c r="E10860" s="1741" t="s">
        <v>80</v>
      </c>
      <c r="F10860" s="1741"/>
      <c r="G10860" s="1277" t="s">
        <v>29</v>
      </c>
      <c r="H10860" s="1219">
        <v>4.9782999999999999</v>
      </c>
      <c r="K10860" s="1192" t="s">
        <v>2428</v>
      </c>
      <c r="L10860" s="1192" t="s">
        <v>430</v>
      </c>
      <c r="P10860" s="1192" t="s">
        <v>2433</v>
      </c>
      <c r="V10860" s="1192">
        <v>28</v>
      </c>
    </row>
    <row r="10861" spans="1:22" s="1192" customFormat="1" ht="14.4" x14ac:dyDescent="0.3">
      <c r="A10861" s="1192" t="s">
        <v>418</v>
      </c>
      <c r="E10861" s="1741" t="s">
        <v>14</v>
      </c>
      <c r="F10861" s="1741"/>
      <c r="G10861" s="1277" t="s">
        <v>29</v>
      </c>
      <c r="H10861" s="1219">
        <v>0.1239</v>
      </c>
      <c r="K10861" s="1192" t="s">
        <v>2428</v>
      </c>
      <c r="L10861" s="1192" t="s">
        <v>431</v>
      </c>
      <c r="P10861" s="1192" t="s">
        <v>2764</v>
      </c>
      <c r="V10861" s="1192">
        <v>24</v>
      </c>
    </row>
    <row r="10862" spans="1:22" s="1192" customFormat="1" ht="14.4" x14ac:dyDescent="0.3">
      <c r="A10862" s="1192" t="s">
        <v>418</v>
      </c>
      <c r="E10862" s="1741" t="s">
        <v>6596</v>
      </c>
      <c r="F10862" s="1998"/>
      <c r="G10862" s="1277" t="s">
        <v>20</v>
      </c>
      <c r="H10862" s="1219">
        <v>1E-4</v>
      </c>
      <c r="K10862" s="1192" t="s">
        <v>2428</v>
      </c>
      <c r="L10862" s="1192" t="s">
        <v>431</v>
      </c>
      <c r="P10862" s="1192" t="s">
        <v>2435</v>
      </c>
      <c r="T10862" s="1192">
        <v>44012</v>
      </c>
      <c r="V10862" s="1192">
        <v>138</v>
      </c>
    </row>
    <row r="10863" spans="1:22" s="1192" customFormat="1" ht="14.4" x14ac:dyDescent="0.3">
      <c r="A10863" s="1192" t="s">
        <v>418</v>
      </c>
      <c r="E10863" s="1741" t="s">
        <v>6508</v>
      </c>
      <c r="F10863" s="1998"/>
      <c r="G10863" s="1277" t="s">
        <v>29</v>
      </c>
      <c r="H10863" s="1219">
        <v>0.43169999999999997</v>
      </c>
      <c r="K10863" s="1192" t="s">
        <v>2428</v>
      </c>
      <c r="L10863" s="1192" t="s">
        <v>431</v>
      </c>
      <c r="P10863" s="1192" t="s">
        <v>2434</v>
      </c>
      <c r="T10863" s="1192">
        <v>44316</v>
      </c>
      <c r="V10863" s="1192">
        <v>96</v>
      </c>
    </row>
    <row r="10864" spans="1:22" s="1192" customFormat="1" ht="14.4" x14ac:dyDescent="0.3">
      <c r="A10864" s="1192" t="s">
        <v>418</v>
      </c>
      <c r="E10864" s="1741" t="s">
        <v>213</v>
      </c>
      <c r="F10864" s="1741"/>
      <c r="G10864" s="1277" t="s">
        <v>29</v>
      </c>
      <c r="H10864" s="1219">
        <v>2.0884</v>
      </c>
      <c r="K10864" s="1192" t="s">
        <v>2428</v>
      </c>
      <c r="L10864" s="1192" t="s">
        <v>432</v>
      </c>
      <c r="P10864" s="1192" t="s">
        <v>2436</v>
      </c>
      <c r="V10864" s="1192">
        <v>47</v>
      </c>
    </row>
    <row r="10865" spans="1:22" s="1192" customFormat="1" ht="14.4" x14ac:dyDescent="0.3">
      <c r="A10865" s="1192" t="s">
        <v>418</v>
      </c>
      <c r="E10865" s="1741" t="s">
        <v>209</v>
      </c>
      <c r="F10865" s="1741"/>
      <c r="G10865" s="1277" t="s">
        <v>29</v>
      </c>
      <c r="H10865" s="1219">
        <v>1.46</v>
      </c>
      <c r="K10865" s="1192" t="s">
        <v>2428</v>
      </c>
      <c r="L10865" s="1192" t="s">
        <v>432</v>
      </c>
      <c r="P10865" s="1192" t="s">
        <v>2437</v>
      </c>
      <c r="V10865" s="1192">
        <v>74</v>
      </c>
    </row>
    <row r="10866" spans="1:22" s="1192" customFormat="1" ht="14.4" x14ac:dyDescent="0.3">
      <c r="A10866" s="1192" t="s">
        <v>418</v>
      </c>
      <c r="E10866" s="1750" t="s">
        <v>2405</v>
      </c>
      <c r="F10866" s="1741"/>
      <c r="G10866" s="1741"/>
      <c r="H10866" s="1741"/>
      <c r="K10866" s="1192" t="s">
        <v>2438</v>
      </c>
      <c r="V10866" s="1192">
        <v>48</v>
      </c>
    </row>
    <row r="10867" spans="1:22" s="1192" customFormat="1" ht="14.4" x14ac:dyDescent="0.3">
      <c r="A10867" s="1192" t="s">
        <v>418</v>
      </c>
      <c r="E10867" s="1741" t="s">
        <v>2033</v>
      </c>
      <c r="F10867" s="1741"/>
      <c r="G10867" s="1277" t="s">
        <v>20</v>
      </c>
      <c r="H10867" s="1219">
        <v>3.0000000000000001E-3</v>
      </c>
      <c r="K10867" s="1192" t="s">
        <v>2428</v>
      </c>
      <c r="L10867" s="1192" t="s">
        <v>2374</v>
      </c>
      <c r="P10867" s="1192" t="s">
        <v>2439</v>
      </c>
      <c r="V10867" s="1192">
        <v>55</v>
      </c>
    </row>
    <row r="10868" spans="1:22" s="1192" customFormat="1" ht="14.4" x14ac:dyDescent="0.3">
      <c r="A10868" s="1192" t="s">
        <v>418</v>
      </c>
      <c r="E10868" s="1741" t="s">
        <v>2034</v>
      </c>
      <c r="F10868" s="1741"/>
      <c r="G10868" s="1277" t="s">
        <v>20</v>
      </c>
      <c r="H10868" s="1219">
        <v>4.0000000000000002E-4</v>
      </c>
      <c r="K10868" s="1192" t="s">
        <v>2428</v>
      </c>
      <c r="L10868" s="1192" t="s">
        <v>2374</v>
      </c>
      <c r="P10868" s="1192" t="s">
        <v>2439</v>
      </c>
      <c r="V10868" s="1192">
        <v>65</v>
      </c>
    </row>
    <row r="10869" spans="1:22" s="1192" customFormat="1" ht="14.4" x14ac:dyDescent="0.3">
      <c r="A10869" s="1192" t="s">
        <v>418</v>
      </c>
      <c r="E10869" s="1741" t="s">
        <v>428</v>
      </c>
      <c r="F10869" s="1741"/>
      <c r="G10869" s="1277" t="s">
        <v>20</v>
      </c>
      <c r="H10869" s="1219">
        <v>5.0000000000000001E-4</v>
      </c>
      <c r="K10869" s="1192" t="s">
        <v>2428</v>
      </c>
      <c r="L10869" s="1192" t="s">
        <v>2374</v>
      </c>
      <c r="P10869" s="1192" t="s">
        <v>2440</v>
      </c>
      <c r="V10869" s="1192">
        <v>57</v>
      </c>
    </row>
    <row r="10870" spans="1:22" s="1192" customFormat="1" ht="14.4" x14ac:dyDescent="0.3">
      <c r="A10870" s="1192" t="s">
        <v>418</v>
      </c>
      <c r="E10870" s="1741" t="s">
        <v>28</v>
      </c>
      <c r="F10870" s="1741"/>
      <c r="G10870" s="1277" t="s">
        <v>19</v>
      </c>
      <c r="H10870" s="1218">
        <v>0.25</v>
      </c>
      <c r="K10870" s="1192" t="s">
        <v>2428</v>
      </c>
      <c r="L10870" s="1192" t="s">
        <v>2374</v>
      </c>
      <c r="P10870" s="1192" t="s">
        <v>2441</v>
      </c>
      <c r="V10870" s="1192">
        <v>63</v>
      </c>
    </row>
    <row r="10871" spans="1:22" s="1192" customFormat="1" ht="17.399999999999999" x14ac:dyDescent="0.3">
      <c r="A10871" s="1192" t="s">
        <v>418</v>
      </c>
      <c r="E10871" s="1746" t="s">
        <v>593</v>
      </c>
      <c r="F10871" s="1747"/>
      <c r="G10871" s="1747"/>
      <c r="H10871" s="1747"/>
      <c r="K10871" s="1192" t="s">
        <v>2442</v>
      </c>
      <c r="V10871" s="1192">
        <v>31</v>
      </c>
    </row>
    <row r="10872" spans="1:22" s="1192" customFormat="1" ht="14.4" x14ac:dyDescent="0.3">
      <c r="A10872" s="1192" t="s">
        <v>418</v>
      </c>
      <c r="E10872" s="1743" t="s">
        <v>3283</v>
      </c>
      <c r="F10872" s="1743"/>
      <c r="G10872" s="1743"/>
      <c r="H10872" s="1743"/>
      <c r="K10872" s="1192" t="s">
        <v>2442</v>
      </c>
      <c r="V10872" s="1192">
        <v>285</v>
      </c>
    </row>
    <row r="10873" spans="1:22" s="1192" customFormat="1" ht="14.4" x14ac:dyDescent="0.3">
      <c r="A10873" s="1192" t="s">
        <v>418</v>
      </c>
      <c r="E10873" s="1750" t="s">
        <v>2389</v>
      </c>
      <c r="F10873" s="1743"/>
      <c r="G10873" s="1743"/>
      <c r="H10873" s="1743"/>
      <c r="K10873" s="1192" t="s">
        <v>2444</v>
      </c>
      <c r="V10873" s="1192">
        <v>11</v>
      </c>
    </row>
    <row r="10874" spans="1:22" s="1192" customFormat="1" ht="14.4" x14ac:dyDescent="0.3">
      <c r="A10874" s="1192" t="s">
        <v>418</v>
      </c>
      <c r="E10874" s="1743" t="s">
        <v>2391</v>
      </c>
      <c r="F10874" s="1743"/>
      <c r="G10874" s="1743"/>
      <c r="H10874" s="1743"/>
      <c r="K10874" s="1192" t="s">
        <v>2442</v>
      </c>
      <c r="V10874" s="1192">
        <v>280</v>
      </c>
    </row>
    <row r="10875" spans="1:22" s="1192" customFormat="1" ht="14.4" x14ac:dyDescent="0.3">
      <c r="A10875" s="1192" t="s">
        <v>418</v>
      </c>
      <c r="E10875" s="1743" t="s">
        <v>2392</v>
      </c>
      <c r="F10875" s="1743"/>
      <c r="G10875" s="1743"/>
      <c r="H10875" s="1743"/>
      <c r="K10875" s="1192" t="s">
        <v>2442</v>
      </c>
      <c r="V10875" s="1192">
        <v>411</v>
      </c>
    </row>
    <row r="10876" spans="1:22" s="1192" customFormat="1" ht="14.4" x14ac:dyDescent="0.3">
      <c r="A10876" s="1192" t="s">
        <v>418</v>
      </c>
      <c r="E10876" s="1743" t="s">
        <v>2445</v>
      </c>
      <c r="F10876" s="1743"/>
      <c r="G10876" s="1743"/>
      <c r="H10876" s="1743"/>
      <c r="K10876" s="1192" t="s">
        <v>2442</v>
      </c>
      <c r="V10876" s="1192">
        <v>211</v>
      </c>
    </row>
    <row r="10877" spans="1:22" s="1192" customFormat="1" ht="14.4" x14ac:dyDescent="0.3">
      <c r="A10877" s="1192" t="s">
        <v>418</v>
      </c>
      <c r="E10877" s="1743" t="s">
        <v>2986</v>
      </c>
      <c r="F10877" s="1743"/>
      <c r="G10877" s="1743"/>
      <c r="H10877" s="1743"/>
      <c r="K10877" s="1192" t="s">
        <v>2442</v>
      </c>
      <c r="V10877" s="1192">
        <v>246</v>
      </c>
    </row>
    <row r="10878" spans="1:22" s="1192" customFormat="1" ht="14.4" x14ac:dyDescent="0.3">
      <c r="A10878" s="1192" t="s">
        <v>418</v>
      </c>
      <c r="E10878" s="1750" t="s">
        <v>2394</v>
      </c>
      <c r="F10878" s="1743"/>
      <c r="G10878" s="1743"/>
      <c r="H10878" s="1743"/>
      <c r="K10878" s="1192" t="s">
        <v>2446</v>
      </c>
      <c r="V10878" s="1192">
        <v>46</v>
      </c>
    </row>
    <row r="10879" spans="1:22" s="1192" customFormat="1" ht="14.4" x14ac:dyDescent="0.3">
      <c r="A10879" s="1192" t="s">
        <v>418</v>
      </c>
      <c r="E10879" s="1741" t="s">
        <v>7</v>
      </c>
      <c r="F10879" s="1741"/>
      <c r="G10879" s="1277" t="s">
        <v>19</v>
      </c>
      <c r="H10879" s="1218">
        <v>5.4</v>
      </c>
      <c r="K10879" s="1192" t="s">
        <v>2442</v>
      </c>
      <c r="L10879" s="1192" t="s">
        <v>430</v>
      </c>
      <c r="P10879" s="1192" t="s">
        <v>2447</v>
      </c>
      <c r="V10879" s="1192">
        <v>14</v>
      </c>
    </row>
    <row r="10880" spans="1:22" s="1192" customFormat="1" x14ac:dyDescent="0.3">
      <c r="A10880" s="1192" t="s">
        <v>418</v>
      </c>
      <c r="E10880" s="1746" t="s">
        <v>81</v>
      </c>
      <c r="F10880" s="1999"/>
      <c r="G10880" s="1999"/>
      <c r="H10880" s="1999"/>
      <c r="K10880" s="1192" t="s">
        <v>3284</v>
      </c>
      <c r="V10880" s="1192">
        <v>10</v>
      </c>
    </row>
    <row r="10881" spans="1:22" s="1192" customFormat="1" ht="14.4" x14ac:dyDescent="0.3">
      <c r="A10881" s="1192" t="s">
        <v>418</v>
      </c>
      <c r="E10881" s="1741" t="s">
        <v>2449</v>
      </c>
      <c r="F10881" s="1741"/>
      <c r="G10881" s="1277" t="s">
        <v>29</v>
      </c>
      <c r="H10881" s="1219">
        <v>-0.6</v>
      </c>
      <c r="V10881" s="1192">
        <v>68</v>
      </c>
    </row>
    <row r="10882" spans="1:22" s="1192" customFormat="1" ht="14.4" x14ac:dyDescent="0.3">
      <c r="A10882" s="1192" t="s">
        <v>418</v>
      </c>
      <c r="E10882" s="1741" t="s">
        <v>2450</v>
      </c>
      <c r="F10882" s="1741"/>
      <c r="G10882" s="1277" t="s">
        <v>82</v>
      </c>
      <c r="H10882" s="1218">
        <v>-1</v>
      </c>
      <c r="V10882" s="1192">
        <v>87</v>
      </c>
    </row>
    <row r="10883" spans="1:22" s="1192" customFormat="1" x14ac:dyDescent="0.3">
      <c r="A10883" s="1192" t="s">
        <v>418</v>
      </c>
      <c r="E10883" s="1746" t="s">
        <v>83</v>
      </c>
      <c r="F10883" s="1999"/>
      <c r="G10883" s="1999"/>
      <c r="H10883" s="1999"/>
      <c r="K10883" s="1192" t="s">
        <v>3285</v>
      </c>
      <c r="V10883" s="1192">
        <v>24</v>
      </c>
    </row>
    <row r="10884" spans="1:22" s="1192" customFormat="1" ht="14.4" x14ac:dyDescent="0.3">
      <c r="A10884" s="1192" t="s">
        <v>418</v>
      </c>
      <c r="E10884" s="2037" t="s">
        <v>2389</v>
      </c>
      <c r="F10884" s="1743"/>
      <c r="G10884" s="1743"/>
      <c r="H10884" s="1743"/>
      <c r="V10884" s="1192">
        <v>11</v>
      </c>
    </row>
    <row r="10885" spans="1:22" s="1192" customFormat="1" ht="14.4" x14ac:dyDescent="0.3">
      <c r="A10885" s="1192" t="s">
        <v>418</v>
      </c>
      <c r="E10885" s="1743" t="s">
        <v>2391</v>
      </c>
      <c r="F10885" s="1743"/>
      <c r="G10885" s="1743"/>
      <c r="H10885" s="1743"/>
      <c r="V10885" s="1192">
        <v>280</v>
      </c>
    </row>
    <row r="10886" spans="1:22" s="1192" customFormat="1" ht="14.4" x14ac:dyDescent="0.3">
      <c r="A10886" s="1192" t="s">
        <v>418</v>
      </c>
      <c r="E10886" s="1743" t="s">
        <v>2452</v>
      </c>
      <c r="F10886" s="1743"/>
      <c r="G10886" s="1743"/>
      <c r="H10886" s="1743"/>
      <c r="V10886" s="1192">
        <v>353</v>
      </c>
    </row>
    <row r="10887" spans="1:22" s="1192" customFormat="1" ht="14.4" x14ac:dyDescent="0.3">
      <c r="A10887" s="1192" t="s">
        <v>418</v>
      </c>
      <c r="E10887" s="1743" t="s">
        <v>2986</v>
      </c>
      <c r="F10887" s="1743"/>
      <c r="G10887" s="1743"/>
      <c r="H10887" s="1743"/>
      <c r="V10887" s="1192">
        <v>246</v>
      </c>
    </row>
    <row r="10888" spans="1:22" s="1192" customFormat="1" ht="14.4" x14ac:dyDescent="0.3">
      <c r="A10888" s="1192" t="s">
        <v>418</v>
      </c>
      <c r="E10888" s="1750" t="s">
        <v>2453</v>
      </c>
      <c r="F10888" s="1998"/>
      <c r="G10888" s="1998"/>
      <c r="H10888" s="1998"/>
      <c r="K10888" s="1192" t="s">
        <v>3286</v>
      </c>
      <c r="V10888" s="1192">
        <v>23</v>
      </c>
    </row>
    <row r="10889" spans="1:22" s="1192" customFormat="1" ht="14.4" x14ac:dyDescent="0.3">
      <c r="A10889" s="1192" t="s">
        <v>418</v>
      </c>
      <c r="E10889" s="1942" t="s">
        <v>4633</v>
      </c>
      <c r="F10889" s="1942"/>
      <c r="G10889" s="1277" t="s">
        <v>19</v>
      </c>
      <c r="H10889" s="1218">
        <v>20</v>
      </c>
      <c r="V10889" s="1192">
        <v>42</v>
      </c>
    </row>
    <row r="10890" spans="1:22" s="1192" customFormat="1" ht="14.4" x14ac:dyDescent="0.3">
      <c r="A10890" s="1192" t="s">
        <v>418</v>
      </c>
      <c r="E10890" s="1942" t="s">
        <v>4713</v>
      </c>
      <c r="F10890" s="1942"/>
      <c r="G10890" s="1277" t="s">
        <v>19</v>
      </c>
      <c r="H10890" s="1218">
        <v>15</v>
      </c>
      <c r="V10890" s="1192">
        <v>26</v>
      </c>
    </row>
    <row r="10891" spans="1:22" s="1192" customFormat="1" ht="14.4" x14ac:dyDescent="0.3">
      <c r="A10891" s="1192" t="s">
        <v>418</v>
      </c>
      <c r="E10891" s="1942" t="s">
        <v>4634</v>
      </c>
      <c r="F10891" s="1942"/>
      <c r="G10891" s="1277" t="s">
        <v>19</v>
      </c>
      <c r="H10891" s="1218">
        <v>30</v>
      </c>
      <c r="V10891" s="1192">
        <v>96</v>
      </c>
    </row>
    <row r="10892" spans="1:22" s="1192" customFormat="1" ht="14.4" x14ac:dyDescent="0.3">
      <c r="A10892" s="1192" t="s">
        <v>418</v>
      </c>
      <c r="E10892" s="1942" t="s">
        <v>4567</v>
      </c>
      <c r="F10892" s="1942"/>
      <c r="G10892" s="1277" t="s">
        <v>19</v>
      </c>
      <c r="H10892" s="1218">
        <v>30</v>
      </c>
      <c r="V10892" s="1192">
        <v>81</v>
      </c>
    </row>
    <row r="10893" spans="1:22" s="1192" customFormat="1" ht="14.4" x14ac:dyDescent="0.3">
      <c r="A10893" s="1192" t="s">
        <v>418</v>
      </c>
      <c r="E10893" s="1750" t="s">
        <v>4607</v>
      </c>
      <c r="F10893" s="1998"/>
      <c r="G10893" s="1998"/>
      <c r="H10893" s="1998"/>
      <c r="V10893" s="1192">
        <v>39</v>
      </c>
    </row>
    <row r="10894" spans="1:22" s="1192" customFormat="1" ht="14.4" x14ac:dyDescent="0.3">
      <c r="A10894" s="1192" t="s">
        <v>418</v>
      </c>
      <c r="E10894" s="1942" t="s">
        <v>6425</v>
      </c>
      <c r="F10894" s="1942"/>
      <c r="G10894" s="1277" t="s">
        <v>82</v>
      </c>
      <c r="H10894" s="1218">
        <v>1.5</v>
      </c>
      <c r="V10894" s="1192">
        <v>115</v>
      </c>
    </row>
    <row r="10895" spans="1:22" s="1192" customFormat="1" ht="14.4" x14ac:dyDescent="0.3">
      <c r="A10895" s="1192" t="s">
        <v>418</v>
      </c>
      <c r="E10895" s="1942" t="s">
        <v>6426</v>
      </c>
      <c r="F10895" s="1942"/>
      <c r="G10895" s="1277" t="s">
        <v>19</v>
      </c>
      <c r="H10895" s="1218">
        <v>65</v>
      </c>
      <c r="V10895" s="1192">
        <v>52</v>
      </c>
    </row>
    <row r="10896" spans="1:22" s="1192" customFormat="1" ht="14.4" x14ac:dyDescent="0.3">
      <c r="A10896" s="1192" t="s">
        <v>418</v>
      </c>
      <c r="E10896" s="1942" t="s">
        <v>6427</v>
      </c>
      <c r="F10896" s="1942"/>
      <c r="G10896" s="1277" t="s">
        <v>19</v>
      </c>
      <c r="H10896" s="1218">
        <v>185</v>
      </c>
      <c r="V10896" s="1192">
        <v>51</v>
      </c>
    </row>
    <row r="10897" spans="1:22" s="1192" customFormat="1" ht="14.4" x14ac:dyDescent="0.3">
      <c r="A10897" s="1192" t="s">
        <v>418</v>
      </c>
      <c r="E10897" s="1942" t="s">
        <v>6428</v>
      </c>
      <c r="F10897" s="1942"/>
      <c r="G10897" s="1277" t="s">
        <v>19</v>
      </c>
      <c r="H10897" s="1218">
        <v>185</v>
      </c>
      <c r="V10897" s="1192">
        <v>51</v>
      </c>
    </row>
    <row r="10898" spans="1:22" s="1192" customFormat="1" ht="14.4" x14ac:dyDescent="0.3">
      <c r="A10898" s="1192" t="s">
        <v>418</v>
      </c>
      <c r="E10898" s="1942" t="s">
        <v>6429</v>
      </c>
      <c r="F10898" s="1942"/>
      <c r="G10898" s="1277" t="s">
        <v>19</v>
      </c>
      <c r="H10898" s="1218">
        <v>415</v>
      </c>
      <c r="V10898" s="1192">
        <v>50</v>
      </c>
    </row>
    <row r="10899" spans="1:22" s="1192" customFormat="1" ht="14.4" x14ac:dyDescent="0.3">
      <c r="A10899" s="1192" t="s">
        <v>418</v>
      </c>
      <c r="E10899" s="1750" t="s">
        <v>2474</v>
      </c>
      <c r="F10899" s="1998"/>
      <c r="G10899" s="1998"/>
      <c r="H10899" s="1998"/>
      <c r="V10899" s="1192">
        <v>5</v>
      </c>
    </row>
    <row r="10900" spans="1:22" s="1192" customFormat="1" ht="14.4" x14ac:dyDescent="0.3">
      <c r="A10900" s="1192" t="s">
        <v>418</v>
      </c>
      <c r="E10900" s="1942" t="s">
        <v>4668</v>
      </c>
      <c r="F10900" s="1942"/>
      <c r="G10900" s="1277" t="s">
        <v>19</v>
      </c>
      <c r="H10900" s="1218">
        <v>30</v>
      </c>
      <c r="V10900" s="1192">
        <v>47</v>
      </c>
    </row>
    <row r="10901" spans="1:22" s="1192" customFormat="1" ht="14.4" x14ac:dyDescent="0.3">
      <c r="A10901" s="1192" t="s">
        <v>418</v>
      </c>
      <c r="E10901" s="1942" t="s">
        <v>4669</v>
      </c>
      <c r="F10901" s="1942"/>
      <c r="G10901" s="1277" t="s">
        <v>19</v>
      </c>
      <c r="H10901" s="1218">
        <v>165</v>
      </c>
      <c r="V10901" s="1192">
        <v>42</v>
      </c>
    </row>
    <row r="10902" spans="1:22" s="1192" customFormat="1" ht="14.4" x14ac:dyDescent="0.3">
      <c r="A10902" s="1192" t="s">
        <v>418</v>
      </c>
      <c r="E10902" s="1942" t="s">
        <v>2667</v>
      </c>
      <c r="F10902" s="1942"/>
      <c r="G10902" s="1277" t="s">
        <v>19</v>
      </c>
      <c r="H10902" s="1218">
        <v>500</v>
      </c>
      <c r="V10902" s="1192">
        <v>70</v>
      </c>
    </row>
    <row r="10903" spans="1:22" s="1192" customFormat="1" ht="14.4" x14ac:dyDescent="0.3">
      <c r="A10903" s="1192" t="s">
        <v>418</v>
      </c>
      <c r="E10903" s="1942" t="s">
        <v>4670</v>
      </c>
      <c r="F10903" s="1942"/>
      <c r="G10903" s="1277" t="s">
        <v>19</v>
      </c>
      <c r="H10903" s="1218">
        <v>300</v>
      </c>
      <c r="V10903" s="1192">
        <v>73</v>
      </c>
    </row>
    <row r="10904" spans="1:22" s="1192" customFormat="1" ht="14.4" x14ac:dyDescent="0.3">
      <c r="A10904" s="1192" t="s">
        <v>418</v>
      </c>
      <c r="E10904" s="1942" t="s">
        <v>4671</v>
      </c>
      <c r="F10904" s="1942"/>
      <c r="G10904" s="1277" t="s">
        <v>19</v>
      </c>
      <c r="H10904" s="1218">
        <v>1000</v>
      </c>
      <c r="V10904" s="1192">
        <v>72</v>
      </c>
    </row>
    <row r="10905" spans="1:22" s="1192" customFormat="1" ht="14.4" x14ac:dyDescent="0.3">
      <c r="A10905" s="1192" t="s">
        <v>418</v>
      </c>
      <c r="E10905" s="1942" t="s">
        <v>4714</v>
      </c>
      <c r="F10905" s="1942"/>
      <c r="G10905" s="1277" t="s">
        <v>19</v>
      </c>
      <c r="H10905" s="1218">
        <v>44.5</v>
      </c>
      <c r="V10905" s="1192">
        <v>53</v>
      </c>
    </row>
    <row r="10906" spans="1:22" s="1192" customFormat="1" ht="14.4" x14ac:dyDescent="0.3">
      <c r="A10906" s="1192" t="s">
        <v>418</v>
      </c>
      <c r="E10906" s="1942" t="s">
        <v>4715</v>
      </c>
      <c r="F10906" s="1942"/>
      <c r="G10906" s="1277"/>
      <c r="H10906" s="837"/>
      <c r="V10906" s="1192">
        <v>52</v>
      </c>
    </row>
    <row r="10907" spans="1:22" s="1192" customFormat="1" x14ac:dyDescent="0.3">
      <c r="A10907" s="1192" t="s">
        <v>418</v>
      </c>
      <c r="E10907" s="1746" t="s">
        <v>73</v>
      </c>
      <c r="F10907" s="1999"/>
      <c r="G10907" s="1999"/>
      <c r="H10907" s="1999"/>
      <c r="K10907" s="1192" t="s">
        <v>3287</v>
      </c>
      <c r="V10907" s="1192">
        <v>38</v>
      </c>
    </row>
    <row r="10908" spans="1:22" s="1192" customFormat="1" ht="14.4" x14ac:dyDescent="0.3">
      <c r="A10908" s="1192" t="s">
        <v>418</v>
      </c>
      <c r="E10908" s="2037" t="s">
        <v>2389</v>
      </c>
      <c r="F10908" s="1743"/>
      <c r="G10908" s="1743"/>
      <c r="H10908" s="1743"/>
      <c r="K10908" s="1192" t="s">
        <v>2444</v>
      </c>
      <c r="V10908" s="1192">
        <v>11</v>
      </c>
    </row>
    <row r="10909" spans="1:22" s="1192" customFormat="1" ht="14.4" x14ac:dyDescent="0.3">
      <c r="A10909" s="1192" t="s">
        <v>418</v>
      </c>
      <c r="E10909" s="1743" t="s">
        <v>2391</v>
      </c>
      <c r="F10909" s="1743"/>
      <c r="G10909" s="1743"/>
      <c r="H10909" s="1743"/>
      <c r="V10909" s="1192">
        <v>280</v>
      </c>
    </row>
    <row r="10910" spans="1:22" s="1192" customFormat="1" ht="14.4" x14ac:dyDescent="0.3">
      <c r="A10910" s="1192" t="s">
        <v>418</v>
      </c>
      <c r="E10910" s="1743" t="s">
        <v>2392</v>
      </c>
      <c r="F10910" s="1743"/>
      <c r="G10910" s="1743"/>
      <c r="H10910" s="1743"/>
      <c r="V10910" s="1192">
        <v>411</v>
      </c>
    </row>
    <row r="10911" spans="1:22" s="1192" customFormat="1" ht="14.4" x14ac:dyDescent="0.3">
      <c r="A10911" s="1192" t="s">
        <v>418</v>
      </c>
      <c r="E10911" s="1743" t="s">
        <v>2445</v>
      </c>
      <c r="F10911" s="1743"/>
      <c r="G10911" s="1743"/>
      <c r="H10911" s="1743"/>
      <c r="V10911" s="1192">
        <v>211</v>
      </c>
    </row>
    <row r="10912" spans="1:22" s="1192" customFormat="1" ht="14.4" x14ac:dyDescent="0.3">
      <c r="A10912" s="1192" t="s">
        <v>418</v>
      </c>
      <c r="E10912" s="1743" t="s">
        <v>2986</v>
      </c>
      <c r="F10912" s="1743"/>
      <c r="G10912" s="1743"/>
      <c r="H10912" s="1743"/>
      <c r="V10912" s="1192">
        <v>246</v>
      </c>
    </row>
    <row r="10913" spans="1:22" s="1192" customFormat="1" ht="14.4" x14ac:dyDescent="0.3">
      <c r="A10913" s="1192" t="s">
        <v>418</v>
      </c>
      <c r="E10913" s="1741" t="s">
        <v>2818</v>
      </c>
      <c r="F10913" s="1741"/>
      <c r="G10913" s="2080"/>
      <c r="H10913" s="2080"/>
      <c r="V10913" s="1192">
        <v>141</v>
      </c>
    </row>
    <row r="10914" spans="1:22" s="1192" customFormat="1" ht="14.4" x14ac:dyDescent="0.3">
      <c r="A10914" s="1192" t="s">
        <v>418</v>
      </c>
      <c r="E10914" s="1741" t="s">
        <v>2485</v>
      </c>
      <c r="F10914" s="1741"/>
      <c r="G10914" s="1280" t="s">
        <v>19</v>
      </c>
      <c r="H10914" s="509">
        <v>102</v>
      </c>
      <c r="V10914" s="1192">
        <v>106</v>
      </c>
    </row>
    <row r="10915" spans="1:22" s="1192" customFormat="1" ht="14.4" x14ac:dyDescent="0.3">
      <c r="A10915" s="1192" t="s">
        <v>418</v>
      </c>
      <c r="E10915" s="1741" t="s">
        <v>3919</v>
      </c>
      <c r="F10915" s="1741"/>
      <c r="G10915" s="1280" t="s">
        <v>19</v>
      </c>
      <c r="H10915" s="509">
        <v>40.799999999999997</v>
      </c>
      <c r="V10915" s="1192">
        <v>34</v>
      </c>
    </row>
    <row r="10916" spans="1:22" s="1192" customFormat="1" ht="14.4" x14ac:dyDescent="0.3">
      <c r="A10916" s="1192" t="s">
        <v>418</v>
      </c>
      <c r="E10916" s="1741" t="s">
        <v>3920</v>
      </c>
      <c r="F10916" s="1741"/>
      <c r="G10916" s="1280" t="s">
        <v>19</v>
      </c>
      <c r="H10916" s="509">
        <v>1.02</v>
      </c>
      <c r="V10916" s="1192">
        <v>51</v>
      </c>
    </row>
    <row r="10917" spans="1:22" s="1192" customFormat="1" ht="14.4" x14ac:dyDescent="0.3">
      <c r="A10917" s="1192" t="s">
        <v>418</v>
      </c>
      <c r="E10917" s="1741" t="s">
        <v>2489</v>
      </c>
      <c r="F10917" s="1741"/>
      <c r="G10917" s="1280" t="s">
        <v>19</v>
      </c>
      <c r="H10917" s="509">
        <v>0.61</v>
      </c>
      <c r="V10917" s="1192">
        <v>75</v>
      </c>
    </row>
    <row r="10918" spans="1:22" s="1192" customFormat="1" ht="14.4" x14ac:dyDescent="0.3">
      <c r="A10918" s="1192" t="s">
        <v>418</v>
      </c>
      <c r="E10918" s="1741" t="s">
        <v>4709</v>
      </c>
      <c r="F10918" s="1741"/>
      <c r="G10918" s="1280" t="s">
        <v>19</v>
      </c>
      <c r="H10918" s="509">
        <v>-0.61</v>
      </c>
      <c r="V10918" s="1192">
        <v>95</v>
      </c>
    </row>
    <row r="10919" spans="1:22" s="1192" customFormat="1" ht="14.4" x14ac:dyDescent="0.3">
      <c r="A10919" s="1192" t="s">
        <v>418</v>
      </c>
      <c r="E10919" s="1941" t="s">
        <v>4710</v>
      </c>
      <c r="F10919" s="1941"/>
      <c r="G10919" s="1280"/>
      <c r="H10919" s="840"/>
      <c r="V10919" s="1192">
        <v>57</v>
      </c>
    </row>
    <row r="10920" spans="1:22" s="1192" customFormat="1" ht="14.4" x14ac:dyDescent="0.3">
      <c r="A10920" s="1192" t="s">
        <v>418</v>
      </c>
      <c r="E10920" s="1941" t="s">
        <v>2492</v>
      </c>
      <c r="F10920" s="1941"/>
      <c r="G10920" s="1280" t="s">
        <v>19</v>
      </c>
      <c r="H10920" s="509">
        <v>0.51</v>
      </c>
      <c r="V10920" s="1192">
        <v>57</v>
      </c>
    </row>
    <row r="10921" spans="1:22" s="1192" customFormat="1" ht="14.4" x14ac:dyDescent="0.3">
      <c r="A10921" s="1192" t="s">
        <v>418</v>
      </c>
      <c r="E10921" s="1741" t="s">
        <v>2493</v>
      </c>
      <c r="F10921" s="1741"/>
      <c r="G10921" s="1280" t="s">
        <v>19</v>
      </c>
      <c r="H10921" s="509">
        <v>1.02</v>
      </c>
      <c r="V10921" s="1192">
        <v>60</v>
      </c>
    </row>
    <row r="10922" spans="1:22" s="1192" customFormat="1" ht="14.4" x14ac:dyDescent="0.3">
      <c r="A10922" s="1192" t="s">
        <v>418</v>
      </c>
      <c r="E10922" s="1741" t="s">
        <v>2494</v>
      </c>
      <c r="F10922" s="1741"/>
      <c r="G10922" s="1280"/>
      <c r="H10922" s="840"/>
      <c r="V10922" s="1192">
        <v>91</v>
      </c>
    </row>
    <row r="10923" spans="1:22" s="1192" customFormat="1" ht="14.4" x14ac:dyDescent="0.3">
      <c r="A10923" s="1192" t="s">
        <v>418</v>
      </c>
      <c r="E10923" s="1741" t="s">
        <v>4711</v>
      </c>
      <c r="F10923" s="1741"/>
      <c r="G10923" s="1280"/>
      <c r="H10923" s="840"/>
      <c r="V10923" s="1192">
        <v>118</v>
      </c>
    </row>
    <row r="10924" spans="1:22" s="1192" customFormat="1" ht="14.4" x14ac:dyDescent="0.3">
      <c r="A10924" s="1192" t="s">
        <v>418</v>
      </c>
      <c r="E10924" s="1941" t="s">
        <v>4712</v>
      </c>
      <c r="F10924" s="1941"/>
      <c r="G10924" s="1280"/>
      <c r="H10924" s="840"/>
      <c r="V10924" s="1192">
        <v>99</v>
      </c>
    </row>
    <row r="10925" spans="1:22" s="1192" customFormat="1" ht="14.4" x14ac:dyDescent="0.3">
      <c r="A10925" s="1192" t="s">
        <v>418</v>
      </c>
      <c r="E10925" s="1941" t="s">
        <v>2497</v>
      </c>
      <c r="F10925" s="1941"/>
      <c r="G10925" s="1280" t="s">
        <v>19</v>
      </c>
      <c r="H10925" s="840" t="s">
        <v>2498</v>
      </c>
      <c r="V10925" s="1192">
        <v>18</v>
      </c>
    </row>
    <row r="10926" spans="1:22" s="1192" customFormat="1" ht="14.4" x14ac:dyDescent="0.3">
      <c r="A10926" s="1192" t="s">
        <v>418</v>
      </c>
      <c r="E10926" s="1741" t="s">
        <v>2499</v>
      </c>
      <c r="F10926" s="1741"/>
      <c r="G10926" s="1280" t="s">
        <v>19</v>
      </c>
      <c r="H10926" s="509">
        <v>4.08</v>
      </c>
      <c r="V10926" s="1192">
        <v>69</v>
      </c>
    </row>
    <row r="10927" spans="1:22" s="1192" customFormat="1" ht="14.4" x14ac:dyDescent="0.3">
      <c r="A10927" s="1192" t="s">
        <v>418</v>
      </c>
      <c r="E10927" s="1741" t="s">
        <v>4608</v>
      </c>
      <c r="F10927" s="1741"/>
      <c r="G10927" s="452" t="s">
        <v>19</v>
      </c>
      <c r="H10927" s="1218">
        <v>2.04</v>
      </c>
      <c r="V10927" s="1192">
        <v>199</v>
      </c>
    </row>
    <row r="10928" spans="1:22" s="1192" customFormat="1" x14ac:dyDescent="0.3">
      <c r="A10928" s="1192" t="s">
        <v>418</v>
      </c>
      <c r="E10928" s="1746" t="s">
        <v>143</v>
      </c>
      <c r="F10928" s="1999"/>
      <c r="G10928" s="1999"/>
      <c r="H10928" s="1999"/>
      <c r="K10928" s="1192" t="s">
        <v>3288</v>
      </c>
      <c r="V10928" s="1192">
        <v>12</v>
      </c>
    </row>
    <row r="10929" spans="1:22" s="1192" customFormat="1" ht="14.4" x14ac:dyDescent="0.3">
      <c r="A10929" s="1192" t="s">
        <v>418</v>
      </c>
      <c r="E10929" s="1741" t="s">
        <v>2501</v>
      </c>
      <c r="F10929" s="1741"/>
      <c r="G10929" s="1741"/>
      <c r="H10929" s="1741"/>
      <c r="V10929" s="1192">
        <v>203</v>
      </c>
    </row>
    <row r="10930" spans="1:22" s="1192" customFormat="1" ht="14.4" x14ac:dyDescent="0.3">
      <c r="A10930" s="1192" t="s">
        <v>418</v>
      </c>
      <c r="E10930" s="1741" t="s">
        <v>2599</v>
      </c>
      <c r="F10930" s="1741"/>
      <c r="G10930" s="1277"/>
      <c r="H10930" s="837">
        <v>1.0479000000000001</v>
      </c>
      <c r="V10930" s="1192">
        <v>57</v>
      </c>
    </row>
    <row r="10931" spans="1:22" s="1192" customFormat="1" ht="14.4" x14ac:dyDescent="0.3">
      <c r="A10931" s="1192" t="s">
        <v>418</v>
      </c>
      <c r="E10931" s="1741" t="s">
        <v>2601</v>
      </c>
      <c r="F10931" s="1741"/>
      <c r="G10931" s="1277"/>
      <c r="H10931" s="837">
        <v>1.0374000000000001</v>
      </c>
      <c r="J10931" s="1192" t="s">
        <v>3289</v>
      </c>
      <c r="V10931" s="1192">
        <v>55</v>
      </c>
    </row>
    <row r="10932" spans="1:22" s="1192" customFormat="1" ht="22.8" x14ac:dyDescent="0.3">
      <c r="A10932" s="1192" t="s">
        <v>142</v>
      </c>
      <c r="C10932" s="1192" t="s">
        <v>2378</v>
      </c>
      <c r="E10932" s="1752" t="s">
        <v>142</v>
      </c>
      <c r="F10932" s="1752"/>
      <c r="G10932" s="1752"/>
      <c r="H10932" s="1752"/>
      <c r="I10932" s="1192" t="s">
        <v>603</v>
      </c>
      <c r="J10932" s="1192" t="s">
        <v>3290</v>
      </c>
      <c r="K10932" s="1192" t="s">
        <v>142</v>
      </c>
      <c r="M10932" s="1192">
        <v>7</v>
      </c>
      <c r="V10932" s="1192">
        <v>25</v>
      </c>
    </row>
    <row r="10933" spans="1:22" s="1192" customFormat="1" ht="17.399999999999999" x14ac:dyDescent="0.3">
      <c r="A10933" s="1192" t="s">
        <v>142</v>
      </c>
      <c r="C10933" s="1192" t="s">
        <v>2380</v>
      </c>
      <c r="E10933" s="1753" t="s">
        <v>2381</v>
      </c>
      <c r="F10933" s="1753"/>
      <c r="G10933" s="1753"/>
      <c r="H10933" s="1753"/>
      <c r="V10933" s="1192">
        <v>27</v>
      </c>
    </row>
    <row r="10934" spans="1:22" s="1192" customFormat="1" ht="15.6" x14ac:dyDescent="0.3">
      <c r="A10934" s="1192" t="s">
        <v>142</v>
      </c>
      <c r="C10934" s="1192" t="s">
        <v>2382</v>
      </c>
      <c r="E10934" s="1754" t="s">
        <v>6482</v>
      </c>
      <c r="F10934" s="1754"/>
      <c r="G10934" s="1754"/>
      <c r="H10934" s="1754"/>
      <c r="S10934" s="1192">
        <v>43952</v>
      </c>
      <c r="V10934" s="1192">
        <v>45</v>
      </c>
    </row>
    <row r="10935" spans="1:22" s="1192" customFormat="1" ht="14.4" x14ac:dyDescent="0.3">
      <c r="A10935" s="1192" t="s">
        <v>142</v>
      </c>
      <c r="C10935" s="1192" t="s">
        <v>2383</v>
      </c>
      <c r="E10935" s="1755" t="s">
        <v>2384</v>
      </c>
      <c r="F10935" s="1755"/>
      <c r="G10935" s="1755"/>
      <c r="H10935" s="1755"/>
      <c r="V10935" s="1192">
        <v>52</v>
      </c>
    </row>
    <row r="10936" spans="1:22" s="1192" customFormat="1" ht="14.4" x14ac:dyDescent="0.3">
      <c r="A10936" s="1192" t="s">
        <v>142</v>
      </c>
      <c r="E10936" s="1755" t="s">
        <v>2385</v>
      </c>
      <c r="F10936" s="1755"/>
      <c r="G10936" s="1755"/>
      <c r="H10936" s="1755"/>
      <c r="V10936" s="1192">
        <v>53</v>
      </c>
    </row>
    <row r="10937" spans="1:22" s="1192" customFormat="1" ht="14.4" x14ac:dyDescent="0.3">
      <c r="A10937" s="1192" t="s">
        <v>142</v>
      </c>
      <c r="E10937" s="1772" t="s">
        <v>6597</v>
      </c>
      <c r="F10937" s="1772"/>
      <c r="G10937" s="1772"/>
      <c r="H10937" s="1772"/>
      <c r="K10937" s="1192" t="s">
        <v>6597</v>
      </c>
      <c r="V10937" s="1192">
        <v>12</v>
      </c>
    </row>
    <row r="10938" spans="1:22" s="1192" customFormat="1" ht="14.4" x14ac:dyDescent="0.3">
      <c r="A10938" s="1192" t="s">
        <v>142</v>
      </c>
      <c r="E10938" s="1746" t="s">
        <v>427</v>
      </c>
      <c r="F10938" s="1743"/>
      <c r="G10938" s="1743"/>
      <c r="H10938" s="1743"/>
      <c r="K10938" s="1192" t="s">
        <v>2506</v>
      </c>
      <c r="V10938" s="1192">
        <v>34</v>
      </c>
    </row>
    <row r="10939" spans="1:22" s="1192" customFormat="1" ht="14.4" x14ac:dyDescent="0.3">
      <c r="A10939" s="1192" t="s">
        <v>142</v>
      </c>
      <c r="E10939" s="1743" t="s">
        <v>3291</v>
      </c>
      <c r="F10939" s="1743"/>
      <c r="G10939" s="1743"/>
      <c r="H10939" s="1743"/>
      <c r="K10939" s="1192" t="s">
        <v>2506</v>
      </c>
      <c r="V10939" s="1192">
        <v>417</v>
      </c>
    </row>
    <row r="10940" spans="1:22" s="1192" customFormat="1" ht="14.4" x14ac:dyDescent="0.3">
      <c r="A10940" s="1192" t="s">
        <v>142</v>
      </c>
      <c r="E10940" s="1750" t="s">
        <v>2389</v>
      </c>
      <c r="F10940" s="1743"/>
      <c r="G10940" s="1743"/>
      <c r="H10940" s="1743"/>
      <c r="K10940" s="1192" t="s">
        <v>2390</v>
      </c>
      <c r="V10940" s="1192">
        <v>11</v>
      </c>
    </row>
    <row r="10941" spans="1:22" s="1192" customFormat="1" ht="14.4" x14ac:dyDescent="0.3">
      <c r="A10941" s="1192" t="s">
        <v>142</v>
      </c>
      <c r="E10941" s="1743" t="s">
        <v>2391</v>
      </c>
      <c r="F10941" s="1743"/>
      <c r="G10941" s="1743"/>
      <c r="H10941" s="1743"/>
      <c r="K10941" s="1192" t="s">
        <v>2506</v>
      </c>
      <c r="V10941" s="1192">
        <v>280</v>
      </c>
    </row>
    <row r="10942" spans="1:22" s="1192" customFormat="1" ht="14.4" x14ac:dyDescent="0.3">
      <c r="A10942" s="1192" t="s">
        <v>142</v>
      </c>
      <c r="E10942" s="1743" t="s">
        <v>2392</v>
      </c>
      <c r="F10942" s="1743"/>
      <c r="G10942" s="1743"/>
      <c r="H10942" s="1743"/>
      <c r="K10942" s="1192" t="s">
        <v>2506</v>
      </c>
      <c r="V10942" s="1192">
        <v>411</v>
      </c>
    </row>
    <row r="10943" spans="1:22" s="1192" customFormat="1" ht="14.4" x14ac:dyDescent="0.3">
      <c r="A10943" s="1192" t="s">
        <v>142</v>
      </c>
      <c r="E10943" s="1743" t="s">
        <v>2393</v>
      </c>
      <c r="F10943" s="1743"/>
      <c r="G10943" s="1743"/>
      <c r="H10943" s="1743"/>
      <c r="K10943" s="1192" t="s">
        <v>2506</v>
      </c>
      <c r="V10943" s="1192">
        <v>387</v>
      </c>
    </row>
    <row r="10944" spans="1:22" s="1192" customFormat="1" ht="14.4" x14ac:dyDescent="0.3">
      <c r="A10944" s="1192" t="s">
        <v>142</v>
      </c>
      <c r="E10944" s="1743" t="s">
        <v>4500</v>
      </c>
      <c r="F10944" s="1743"/>
      <c r="G10944" s="1743"/>
      <c r="H10944" s="1743"/>
      <c r="K10944" s="1192" t="s">
        <v>2506</v>
      </c>
      <c r="V10944" s="1192">
        <v>247</v>
      </c>
    </row>
    <row r="10945" spans="1:22" s="1192" customFormat="1" ht="14.4" x14ac:dyDescent="0.3">
      <c r="A10945" s="1192" t="s">
        <v>142</v>
      </c>
      <c r="E10945" s="1750" t="s">
        <v>2394</v>
      </c>
      <c r="F10945" s="1743"/>
      <c r="G10945" s="1743"/>
      <c r="H10945" s="1743"/>
      <c r="K10945" s="1192" t="s">
        <v>2395</v>
      </c>
      <c r="V10945" s="1192">
        <v>46</v>
      </c>
    </row>
    <row r="10946" spans="1:22" s="1192" customFormat="1" ht="14.4" x14ac:dyDescent="0.3">
      <c r="A10946" s="1192" t="s">
        <v>142</v>
      </c>
      <c r="E10946" s="1741" t="s">
        <v>7</v>
      </c>
      <c r="F10946" s="1741"/>
      <c r="G10946" s="1277" t="s">
        <v>19</v>
      </c>
      <c r="H10946" s="1218">
        <v>27.11</v>
      </c>
      <c r="K10946" s="1192" t="s">
        <v>2506</v>
      </c>
      <c r="L10946" s="1192" t="s">
        <v>430</v>
      </c>
      <c r="P10946" s="1192" t="s">
        <v>2510</v>
      </c>
      <c r="V10946" s="1192">
        <v>14</v>
      </c>
    </row>
    <row r="10947" spans="1:22" s="1192" customFormat="1" ht="14.4" x14ac:dyDescent="0.3">
      <c r="A10947" s="1192" t="s">
        <v>142</v>
      </c>
      <c r="E10947" s="1741" t="s">
        <v>3900</v>
      </c>
      <c r="F10947" s="1741"/>
      <c r="G10947" s="1277" t="s">
        <v>19</v>
      </c>
      <c r="H10947" s="1218">
        <v>0.56999999999999995</v>
      </c>
      <c r="K10947" s="1192" t="s">
        <v>2506</v>
      </c>
      <c r="L10947" s="1192" t="s">
        <v>431</v>
      </c>
      <c r="P10947" s="1192" t="s">
        <v>2511</v>
      </c>
      <c r="T10947" s="1192">
        <v>44926</v>
      </c>
      <c r="V10947" s="1192">
        <v>64</v>
      </c>
    </row>
    <row r="10948" spans="1:22" s="1192" customFormat="1" ht="14.4" x14ac:dyDescent="0.3">
      <c r="A10948" s="1192" t="s">
        <v>142</v>
      </c>
      <c r="E10948" s="1741" t="s">
        <v>6505</v>
      </c>
      <c r="F10948" s="1998"/>
      <c r="G10948" s="1277" t="s">
        <v>19</v>
      </c>
      <c r="H10948" s="1218">
        <v>0.16</v>
      </c>
      <c r="K10948" s="1192" t="s">
        <v>2506</v>
      </c>
      <c r="L10948" s="1192" t="s">
        <v>430</v>
      </c>
      <c r="P10948" s="1192" t="s">
        <v>3085</v>
      </c>
      <c r="T10948" s="1192">
        <v>44316</v>
      </c>
      <c r="V10948" s="1192">
        <v>80</v>
      </c>
    </row>
    <row r="10949" spans="1:22" s="1192" customFormat="1" ht="14.4" x14ac:dyDescent="0.3">
      <c r="A10949" s="1192" t="s">
        <v>142</v>
      </c>
      <c r="E10949" s="1741" t="s">
        <v>14</v>
      </c>
      <c r="F10949" s="1741"/>
      <c r="G10949" s="1277" t="s">
        <v>20</v>
      </c>
      <c r="H10949" s="1219">
        <v>1.6999999999999999E-3</v>
      </c>
      <c r="K10949" s="1192" t="s">
        <v>2506</v>
      </c>
      <c r="L10949" s="1192" t="s">
        <v>431</v>
      </c>
      <c r="P10949" s="1192" t="s">
        <v>2513</v>
      </c>
      <c r="V10949" s="1192">
        <v>24</v>
      </c>
    </row>
    <row r="10950" spans="1:22" s="1192" customFormat="1" ht="14.4" x14ac:dyDescent="0.3">
      <c r="A10950" s="1192" t="s">
        <v>142</v>
      </c>
      <c r="E10950" s="1741" t="s">
        <v>6508</v>
      </c>
      <c r="F10950" s="1998"/>
      <c r="G10950" s="1277" t="s">
        <v>20</v>
      </c>
      <c r="H10950" s="1219">
        <v>1E-3</v>
      </c>
      <c r="K10950" s="1192" t="s">
        <v>2506</v>
      </c>
      <c r="L10950" s="1192" t="s">
        <v>431</v>
      </c>
      <c r="P10950" s="1192" t="s">
        <v>2516</v>
      </c>
      <c r="T10950" s="1192">
        <v>44316</v>
      </c>
      <c r="V10950" s="1192">
        <v>96</v>
      </c>
    </row>
    <row r="10951" spans="1:22" s="1192" customFormat="1" ht="14.4" x14ac:dyDescent="0.3">
      <c r="A10951" s="1192" t="s">
        <v>142</v>
      </c>
      <c r="E10951" s="1741" t="s">
        <v>6506</v>
      </c>
      <c r="F10951" s="1998"/>
      <c r="G10951" s="1277" t="s">
        <v>20</v>
      </c>
      <c r="H10951" s="1219">
        <v>-2.0000000000000001E-4</v>
      </c>
      <c r="K10951" s="1192" t="s">
        <v>2506</v>
      </c>
      <c r="L10951" s="1192" t="s">
        <v>431</v>
      </c>
      <c r="P10951" s="1192" t="s">
        <v>2514</v>
      </c>
      <c r="T10951" s="1192">
        <v>44316</v>
      </c>
      <c r="V10951" s="1192">
        <v>139</v>
      </c>
    </row>
    <row r="10952" spans="1:22" s="1192" customFormat="1" ht="14.4" x14ac:dyDescent="0.3">
      <c r="A10952" s="1192" t="s">
        <v>142</v>
      </c>
      <c r="E10952" s="1741" t="s">
        <v>6548</v>
      </c>
      <c r="F10952" s="1998"/>
      <c r="G10952" s="1277" t="s">
        <v>20</v>
      </c>
      <c r="H10952" s="1219">
        <v>2.9999999999999997E-4</v>
      </c>
      <c r="K10952" s="1192" t="s">
        <v>2506</v>
      </c>
      <c r="L10952" s="1192" t="s">
        <v>430</v>
      </c>
      <c r="P10952" s="1192" t="s">
        <v>2515</v>
      </c>
      <c r="T10952" s="1192">
        <v>44316</v>
      </c>
      <c r="V10952" s="1192">
        <v>134</v>
      </c>
    </row>
    <row r="10953" spans="1:22" s="1192" customFormat="1" ht="14.4" x14ac:dyDescent="0.3">
      <c r="A10953" s="1192" t="s">
        <v>142</v>
      </c>
      <c r="E10953" s="1741" t="s">
        <v>213</v>
      </c>
      <c r="F10953" s="1741"/>
      <c r="G10953" s="1277" t="s">
        <v>20</v>
      </c>
      <c r="H10953" s="1219">
        <v>7.0000000000000001E-3</v>
      </c>
      <c r="K10953" s="1192" t="s">
        <v>2506</v>
      </c>
      <c r="L10953" s="1192" t="s">
        <v>432</v>
      </c>
      <c r="P10953" s="1192" t="s">
        <v>2517</v>
      </c>
      <c r="V10953" s="1192">
        <v>47</v>
      </c>
    </row>
    <row r="10954" spans="1:22" s="1192" customFormat="1" ht="14.4" x14ac:dyDescent="0.3">
      <c r="A10954" s="1192" t="s">
        <v>142</v>
      </c>
      <c r="E10954" s="1741" t="s">
        <v>209</v>
      </c>
      <c r="F10954" s="1741"/>
      <c r="G10954" s="1277" t="s">
        <v>20</v>
      </c>
      <c r="H10954" s="1219">
        <v>4.1999999999999997E-3</v>
      </c>
      <c r="K10954" s="1192" t="s">
        <v>2506</v>
      </c>
      <c r="L10954" s="1192" t="s">
        <v>432</v>
      </c>
      <c r="P10954" s="1192" t="s">
        <v>2518</v>
      </c>
      <c r="V10954" s="1192">
        <v>74</v>
      </c>
    </row>
    <row r="10955" spans="1:22" s="1192" customFormat="1" ht="14.4" x14ac:dyDescent="0.3">
      <c r="A10955" s="1192" t="s">
        <v>142</v>
      </c>
      <c r="E10955" s="1750" t="s">
        <v>2405</v>
      </c>
      <c r="F10955" s="1741"/>
      <c r="G10955" s="1277"/>
      <c r="H10955" s="896"/>
      <c r="K10955" s="1192" t="s">
        <v>2406</v>
      </c>
      <c r="V10955" s="1192">
        <v>48</v>
      </c>
    </row>
    <row r="10956" spans="1:22" s="1192" customFormat="1" ht="14.4" x14ac:dyDescent="0.3">
      <c r="A10956" s="1192" t="s">
        <v>142</v>
      </c>
      <c r="E10956" s="1741" t="s">
        <v>2033</v>
      </c>
      <c r="F10956" s="1741"/>
      <c r="G10956" s="1277" t="s">
        <v>20</v>
      </c>
      <c r="H10956" s="1219">
        <v>3.0000000000000001E-3</v>
      </c>
      <c r="K10956" s="1192" t="s">
        <v>2506</v>
      </c>
      <c r="L10956" s="1192" t="s">
        <v>2374</v>
      </c>
      <c r="P10956" s="1192" t="s">
        <v>2519</v>
      </c>
      <c r="V10956" s="1192">
        <v>55</v>
      </c>
    </row>
    <row r="10957" spans="1:22" s="1192" customFormat="1" ht="14.4" x14ac:dyDescent="0.3">
      <c r="A10957" s="1192" t="s">
        <v>142</v>
      </c>
      <c r="E10957" s="1741" t="s">
        <v>2034</v>
      </c>
      <c r="F10957" s="1741"/>
      <c r="G10957" s="1277" t="s">
        <v>20</v>
      </c>
      <c r="H10957" s="1219">
        <v>4.0000000000000002E-4</v>
      </c>
      <c r="K10957" s="1192" t="s">
        <v>2506</v>
      </c>
      <c r="L10957" s="1192" t="s">
        <v>2374</v>
      </c>
      <c r="P10957" s="1192" t="s">
        <v>2519</v>
      </c>
      <c r="V10957" s="1192">
        <v>65</v>
      </c>
    </row>
    <row r="10958" spans="1:22" s="1192" customFormat="1" ht="14.4" x14ac:dyDescent="0.3">
      <c r="A10958" s="1192" t="s">
        <v>142</v>
      </c>
      <c r="E10958" s="1741" t="s">
        <v>428</v>
      </c>
      <c r="F10958" s="1741"/>
      <c r="G10958" s="1277" t="s">
        <v>20</v>
      </c>
      <c r="H10958" s="1219">
        <v>5.0000000000000001E-4</v>
      </c>
      <c r="K10958" s="1192" t="s">
        <v>2506</v>
      </c>
      <c r="L10958" s="1192" t="s">
        <v>2374</v>
      </c>
      <c r="P10958" s="1192" t="s">
        <v>2520</v>
      </c>
      <c r="V10958" s="1192">
        <v>57</v>
      </c>
    </row>
    <row r="10959" spans="1:22" s="1192" customFormat="1" ht="14.4" x14ac:dyDescent="0.3">
      <c r="A10959" s="1192" t="s">
        <v>142</v>
      </c>
      <c r="E10959" s="1741" t="s">
        <v>28</v>
      </c>
      <c r="F10959" s="1741"/>
      <c r="G10959" s="1277" t="s">
        <v>19</v>
      </c>
      <c r="H10959" s="1218">
        <v>0.25</v>
      </c>
      <c r="K10959" s="1192" t="s">
        <v>2506</v>
      </c>
      <c r="L10959" s="1192" t="s">
        <v>2374</v>
      </c>
      <c r="P10959" s="1192" t="s">
        <v>2521</v>
      </c>
      <c r="V10959" s="1192">
        <v>63</v>
      </c>
    </row>
    <row r="10960" spans="1:22" s="1192" customFormat="1" ht="17.399999999999999" x14ac:dyDescent="0.3">
      <c r="A10960" s="1192" t="s">
        <v>142</v>
      </c>
      <c r="E10960" s="1746" t="s">
        <v>2522</v>
      </c>
      <c r="F10960" s="1747"/>
      <c r="G10960" s="1747"/>
      <c r="H10960" s="1747"/>
      <c r="K10960" s="1192" t="s">
        <v>3901</v>
      </c>
      <c r="V10960" s="1192">
        <v>54</v>
      </c>
    </row>
    <row r="10961" spans="1:22" s="1192" customFormat="1" ht="14.4" x14ac:dyDescent="0.3">
      <c r="A10961" s="1192" t="s">
        <v>142</v>
      </c>
      <c r="E10961" s="1743" t="s">
        <v>3292</v>
      </c>
      <c r="F10961" s="1743"/>
      <c r="G10961" s="1743"/>
      <c r="H10961" s="1743"/>
      <c r="K10961" s="1192" t="s">
        <v>3901</v>
      </c>
      <c r="V10961" s="1192">
        <v>318</v>
      </c>
    </row>
    <row r="10962" spans="1:22" s="1192" customFormat="1" ht="14.4" x14ac:dyDescent="0.3">
      <c r="A10962" s="1192" t="s">
        <v>142</v>
      </c>
      <c r="E10962" s="1750" t="s">
        <v>2389</v>
      </c>
      <c r="F10962" s="1743"/>
      <c r="G10962" s="1743"/>
      <c r="H10962" s="1743"/>
      <c r="K10962" s="1192" t="s">
        <v>2412</v>
      </c>
      <c r="V10962" s="1192">
        <v>11</v>
      </c>
    </row>
    <row r="10963" spans="1:22" s="1192" customFormat="1" ht="14.4" x14ac:dyDescent="0.3">
      <c r="A10963" s="1192" t="s">
        <v>142</v>
      </c>
      <c r="E10963" s="1743" t="s">
        <v>2391</v>
      </c>
      <c r="F10963" s="1743"/>
      <c r="G10963" s="1743"/>
      <c r="H10963" s="1743"/>
      <c r="K10963" s="1192" t="s">
        <v>3901</v>
      </c>
      <c r="V10963" s="1192">
        <v>280</v>
      </c>
    </row>
    <row r="10964" spans="1:22" s="1192" customFormat="1" ht="14.4" x14ac:dyDescent="0.3">
      <c r="A10964" s="1192" t="s">
        <v>142</v>
      </c>
      <c r="E10964" s="1743" t="s">
        <v>2392</v>
      </c>
      <c r="F10964" s="1743"/>
      <c r="G10964" s="1743"/>
      <c r="H10964" s="1743"/>
      <c r="K10964" s="1192" t="s">
        <v>3901</v>
      </c>
      <c r="V10964" s="1192">
        <v>411</v>
      </c>
    </row>
    <row r="10965" spans="1:22" s="1192" customFormat="1" ht="14.4" x14ac:dyDescent="0.3">
      <c r="A10965" s="1192" t="s">
        <v>142</v>
      </c>
      <c r="E10965" s="1743" t="s">
        <v>2393</v>
      </c>
      <c r="F10965" s="1743"/>
      <c r="G10965" s="1743"/>
      <c r="H10965" s="1743"/>
      <c r="K10965" s="1192" t="s">
        <v>3901</v>
      </c>
      <c r="V10965" s="1192">
        <v>387</v>
      </c>
    </row>
    <row r="10966" spans="1:22" s="1192" customFormat="1" ht="14.4" x14ac:dyDescent="0.3">
      <c r="A10966" s="1192" t="s">
        <v>142</v>
      </c>
      <c r="E10966" s="1743" t="s">
        <v>4500</v>
      </c>
      <c r="F10966" s="1743"/>
      <c r="G10966" s="1743"/>
      <c r="H10966" s="1743"/>
      <c r="K10966" s="1192" t="s">
        <v>3901</v>
      </c>
      <c r="V10966" s="1192">
        <v>247</v>
      </c>
    </row>
    <row r="10967" spans="1:22" s="1192" customFormat="1" ht="14.4" x14ac:dyDescent="0.3">
      <c r="A10967" s="1192" t="s">
        <v>142</v>
      </c>
      <c r="E10967" s="1750" t="s">
        <v>2394</v>
      </c>
      <c r="F10967" s="1743"/>
      <c r="G10967" s="1743"/>
      <c r="H10967" s="1743"/>
      <c r="K10967" s="1192" t="s">
        <v>2413</v>
      </c>
      <c r="V10967" s="1192">
        <v>46</v>
      </c>
    </row>
    <row r="10968" spans="1:22" s="1192" customFormat="1" ht="14.4" x14ac:dyDescent="0.3">
      <c r="A10968" s="1192" t="s">
        <v>142</v>
      </c>
      <c r="E10968" s="1741" t="s">
        <v>7</v>
      </c>
      <c r="F10968" s="1741"/>
      <c r="G10968" s="1277" t="s">
        <v>19</v>
      </c>
      <c r="H10968" s="1218">
        <v>34.07</v>
      </c>
      <c r="K10968" s="1192" t="s">
        <v>3901</v>
      </c>
      <c r="L10968" s="1192" t="s">
        <v>430</v>
      </c>
      <c r="P10968" s="1192" t="s">
        <v>3902</v>
      </c>
      <c r="V10968" s="1192">
        <v>14</v>
      </c>
    </row>
    <row r="10969" spans="1:22" s="1192" customFormat="1" ht="14.4" x14ac:dyDescent="0.3">
      <c r="A10969" s="1192" t="s">
        <v>142</v>
      </c>
      <c r="E10969" s="1741" t="s">
        <v>3900</v>
      </c>
      <c r="F10969" s="1741"/>
      <c r="G10969" s="1277" t="s">
        <v>19</v>
      </c>
      <c r="H10969" s="1218">
        <v>0.56999999999999995</v>
      </c>
      <c r="K10969" s="1192" t="s">
        <v>3901</v>
      </c>
      <c r="L10969" s="1192" t="s">
        <v>431</v>
      </c>
      <c r="P10969" s="1192" t="s">
        <v>3903</v>
      </c>
      <c r="T10969" s="1192">
        <v>44926</v>
      </c>
      <c r="V10969" s="1192">
        <v>64</v>
      </c>
    </row>
    <row r="10970" spans="1:22" s="1192" customFormat="1" ht="14.4" x14ac:dyDescent="0.3">
      <c r="A10970" s="1192" t="s">
        <v>142</v>
      </c>
      <c r="E10970" s="1741" t="s">
        <v>80</v>
      </c>
      <c r="F10970" s="1741"/>
      <c r="G10970" s="1277" t="s">
        <v>20</v>
      </c>
      <c r="H10970" s="1219">
        <v>1.04E-2</v>
      </c>
      <c r="K10970" s="1192" t="s">
        <v>3901</v>
      </c>
      <c r="L10970" s="1192" t="s">
        <v>430</v>
      </c>
      <c r="P10970" s="1192" t="s">
        <v>3904</v>
      </c>
      <c r="V10970" s="1192">
        <v>28</v>
      </c>
    </row>
    <row r="10971" spans="1:22" s="1192" customFormat="1" ht="14.4" x14ac:dyDescent="0.3">
      <c r="A10971" s="1192" t="s">
        <v>142</v>
      </c>
      <c r="E10971" s="1741" t="s">
        <v>14</v>
      </c>
      <c r="F10971" s="1741"/>
      <c r="G10971" s="1277" t="s">
        <v>20</v>
      </c>
      <c r="H10971" s="1219">
        <v>1.5E-3</v>
      </c>
      <c r="K10971" s="1192" t="s">
        <v>3901</v>
      </c>
      <c r="L10971" s="1192" t="s">
        <v>431</v>
      </c>
      <c r="P10971" s="1192" t="s">
        <v>3905</v>
      </c>
      <c r="V10971" s="1192">
        <v>24</v>
      </c>
    </row>
    <row r="10972" spans="1:22" s="1192" customFormat="1" ht="14.4" x14ac:dyDescent="0.3">
      <c r="A10972" s="1192" t="s">
        <v>142</v>
      </c>
      <c r="E10972" s="1741" t="s">
        <v>6508</v>
      </c>
      <c r="F10972" s="1998"/>
      <c r="G10972" s="1277" t="s">
        <v>20</v>
      </c>
      <c r="H10972" s="1219">
        <v>1.1999999999999999E-3</v>
      </c>
      <c r="K10972" s="1192" t="s">
        <v>3901</v>
      </c>
      <c r="L10972" s="1192" t="s">
        <v>431</v>
      </c>
      <c r="P10972" s="1192" t="s">
        <v>3911</v>
      </c>
      <c r="T10972" s="1192">
        <v>44316</v>
      </c>
      <c r="V10972" s="1192">
        <v>96</v>
      </c>
    </row>
    <row r="10973" spans="1:22" s="1192" customFormat="1" ht="14.4" x14ac:dyDescent="0.3">
      <c r="A10973" s="1192" t="s">
        <v>142</v>
      </c>
      <c r="E10973" s="1741" t="s">
        <v>6506</v>
      </c>
      <c r="F10973" s="1998"/>
      <c r="G10973" s="1277" t="s">
        <v>20</v>
      </c>
      <c r="H10973" s="1219">
        <v>-2.0000000000000001E-4</v>
      </c>
      <c r="K10973" s="1192" t="s">
        <v>3901</v>
      </c>
      <c r="L10973" s="1192" t="s">
        <v>431</v>
      </c>
      <c r="P10973" s="1192" t="s">
        <v>3700</v>
      </c>
      <c r="T10973" s="1192">
        <v>44316</v>
      </c>
      <c r="V10973" s="1192">
        <v>139</v>
      </c>
    </row>
    <row r="10974" spans="1:22" s="1192" customFormat="1" ht="14.4" x14ac:dyDescent="0.3">
      <c r="A10974" s="1192" t="s">
        <v>142</v>
      </c>
      <c r="E10974" s="1741" t="s">
        <v>6548</v>
      </c>
      <c r="F10974" s="1998"/>
      <c r="G10974" s="1277" t="s">
        <v>20</v>
      </c>
      <c r="H10974" s="1219">
        <v>5.9999999999999995E-4</v>
      </c>
      <c r="K10974" s="1192" t="s">
        <v>3901</v>
      </c>
      <c r="L10974" s="1192" t="s">
        <v>430</v>
      </c>
      <c r="P10974" s="1192" t="s">
        <v>4000</v>
      </c>
      <c r="T10974" s="1192">
        <v>44316</v>
      </c>
      <c r="V10974" s="1192">
        <v>134</v>
      </c>
    </row>
    <row r="10975" spans="1:22" s="1192" customFormat="1" ht="14.4" x14ac:dyDescent="0.3">
      <c r="A10975" s="1192" t="s">
        <v>142</v>
      </c>
      <c r="E10975" s="1741" t="s">
        <v>6505</v>
      </c>
      <c r="F10975" s="1998"/>
      <c r="G10975" s="1277" t="s">
        <v>20</v>
      </c>
      <c r="H10975" s="1219">
        <v>2.0000000000000001E-4</v>
      </c>
      <c r="K10975" s="1192" t="s">
        <v>3901</v>
      </c>
      <c r="L10975" s="1192" t="s">
        <v>430</v>
      </c>
      <c r="P10975" s="1192" t="s">
        <v>4062</v>
      </c>
      <c r="T10975" s="1192">
        <v>44316</v>
      </c>
      <c r="V10975" s="1192">
        <v>80</v>
      </c>
    </row>
    <row r="10976" spans="1:22" s="1192" customFormat="1" ht="14.4" x14ac:dyDescent="0.3">
      <c r="A10976" s="1192" t="s">
        <v>142</v>
      </c>
      <c r="E10976" s="1741" t="s">
        <v>213</v>
      </c>
      <c r="F10976" s="1741"/>
      <c r="G10976" s="1277" t="s">
        <v>20</v>
      </c>
      <c r="H10976" s="1219">
        <v>6.4999999999999997E-3</v>
      </c>
      <c r="K10976" s="1192" t="s">
        <v>3901</v>
      </c>
      <c r="L10976" s="1192" t="s">
        <v>432</v>
      </c>
      <c r="P10976" s="1192" t="s">
        <v>3906</v>
      </c>
      <c r="V10976" s="1192">
        <v>47</v>
      </c>
    </row>
    <row r="10977" spans="1:22" s="1192" customFormat="1" ht="14.4" x14ac:dyDescent="0.3">
      <c r="A10977" s="1192" t="s">
        <v>142</v>
      </c>
      <c r="E10977" s="1741" t="s">
        <v>209</v>
      </c>
      <c r="F10977" s="1741"/>
      <c r="G10977" s="1277" t="s">
        <v>20</v>
      </c>
      <c r="H10977" s="1219">
        <v>3.8999999999999998E-3</v>
      </c>
      <c r="K10977" s="1192" t="s">
        <v>3901</v>
      </c>
      <c r="L10977" s="1192" t="s">
        <v>432</v>
      </c>
      <c r="P10977" s="1192" t="s">
        <v>3907</v>
      </c>
      <c r="V10977" s="1192">
        <v>74</v>
      </c>
    </row>
    <row r="10978" spans="1:22" s="1192" customFormat="1" ht="14.4" x14ac:dyDescent="0.3">
      <c r="A10978" s="1192" t="s">
        <v>142</v>
      </c>
      <c r="E10978" s="1750" t="s">
        <v>2405</v>
      </c>
      <c r="F10978" s="1741"/>
      <c r="G10978" s="1277"/>
      <c r="H10978" s="896"/>
      <c r="K10978" s="1192" t="s">
        <v>2418</v>
      </c>
      <c r="V10978" s="1192">
        <v>48</v>
      </c>
    </row>
    <row r="10979" spans="1:22" s="1192" customFormat="1" ht="14.4" x14ac:dyDescent="0.3">
      <c r="A10979" s="1192" t="s">
        <v>142</v>
      </c>
      <c r="E10979" s="1741" t="s">
        <v>2033</v>
      </c>
      <c r="F10979" s="1741"/>
      <c r="G10979" s="1277" t="s">
        <v>20</v>
      </c>
      <c r="H10979" s="1219">
        <v>3.0000000000000001E-3</v>
      </c>
      <c r="K10979" s="1192" t="s">
        <v>3901</v>
      </c>
      <c r="L10979" s="1192" t="s">
        <v>2374</v>
      </c>
      <c r="P10979" s="1192" t="s">
        <v>3908</v>
      </c>
      <c r="V10979" s="1192">
        <v>55</v>
      </c>
    </row>
    <row r="10980" spans="1:22" s="1192" customFormat="1" ht="14.4" x14ac:dyDescent="0.3">
      <c r="A10980" s="1192" t="s">
        <v>142</v>
      </c>
      <c r="E10980" s="1741" t="s">
        <v>2034</v>
      </c>
      <c r="F10980" s="1741"/>
      <c r="G10980" s="1277" t="s">
        <v>20</v>
      </c>
      <c r="H10980" s="1219">
        <v>4.0000000000000002E-4</v>
      </c>
      <c r="K10980" s="1192" t="s">
        <v>3901</v>
      </c>
      <c r="L10980" s="1192" t="s">
        <v>2374</v>
      </c>
      <c r="P10980" s="1192" t="s">
        <v>3908</v>
      </c>
      <c r="V10980" s="1192">
        <v>65</v>
      </c>
    </row>
    <row r="10981" spans="1:22" s="1192" customFormat="1" ht="14.4" x14ac:dyDescent="0.3">
      <c r="A10981" s="1192" t="s">
        <v>142</v>
      </c>
      <c r="E10981" s="1741" t="s">
        <v>428</v>
      </c>
      <c r="F10981" s="1741"/>
      <c r="G10981" s="1277" t="s">
        <v>20</v>
      </c>
      <c r="H10981" s="1219">
        <v>5.0000000000000001E-4</v>
      </c>
      <c r="K10981" s="1192" t="s">
        <v>3901</v>
      </c>
      <c r="L10981" s="1192" t="s">
        <v>2374</v>
      </c>
      <c r="P10981" s="1192" t="s">
        <v>3909</v>
      </c>
      <c r="V10981" s="1192">
        <v>57</v>
      </c>
    </row>
    <row r="10982" spans="1:22" s="1192" customFormat="1" ht="14.4" x14ac:dyDescent="0.3">
      <c r="A10982" s="1192" t="s">
        <v>142</v>
      </c>
      <c r="E10982" s="1741" t="s">
        <v>28</v>
      </c>
      <c r="F10982" s="1741"/>
      <c r="G10982" s="1277" t="s">
        <v>19</v>
      </c>
      <c r="H10982" s="1218">
        <v>0.25</v>
      </c>
      <c r="K10982" s="1192" t="s">
        <v>3901</v>
      </c>
      <c r="L10982" s="1192" t="s">
        <v>2374</v>
      </c>
      <c r="P10982" s="1192" t="s">
        <v>3910</v>
      </c>
      <c r="V10982" s="1192">
        <v>63</v>
      </c>
    </row>
    <row r="10983" spans="1:22" s="1192" customFormat="1" ht="17.399999999999999" x14ac:dyDescent="0.3">
      <c r="A10983" s="1192" t="s">
        <v>142</v>
      </c>
      <c r="E10983" s="1746" t="s">
        <v>591</v>
      </c>
      <c r="F10983" s="1747"/>
      <c r="G10983" s="1747"/>
      <c r="H10983" s="1747"/>
      <c r="K10983" s="1192" t="s">
        <v>4388</v>
      </c>
      <c r="V10983" s="1192">
        <v>53</v>
      </c>
    </row>
    <row r="10984" spans="1:22" s="1192" customFormat="1" ht="14.4" x14ac:dyDescent="0.3">
      <c r="A10984" s="1192" t="s">
        <v>142</v>
      </c>
      <c r="E10984" s="1743" t="s">
        <v>3293</v>
      </c>
      <c r="F10984" s="1743"/>
      <c r="G10984" s="1743"/>
      <c r="H10984" s="1743"/>
      <c r="K10984" s="1192" t="s">
        <v>4388</v>
      </c>
      <c r="V10984" s="1192">
        <v>355</v>
      </c>
    </row>
    <row r="10985" spans="1:22" s="1192" customFormat="1" ht="14.4" x14ac:dyDescent="0.3">
      <c r="A10985" s="1192" t="s">
        <v>142</v>
      </c>
      <c r="E10985" s="1750" t="s">
        <v>2389</v>
      </c>
      <c r="F10985" s="1743"/>
      <c r="G10985" s="1743"/>
      <c r="H10985" s="1743"/>
      <c r="K10985" s="1192" t="s">
        <v>2422</v>
      </c>
      <c r="V10985" s="1192">
        <v>11</v>
      </c>
    </row>
    <row r="10986" spans="1:22" s="1192" customFormat="1" ht="14.4" x14ac:dyDescent="0.3">
      <c r="A10986" s="1192" t="s">
        <v>142</v>
      </c>
      <c r="E10986" s="1743" t="s">
        <v>2391</v>
      </c>
      <c r="F10986" s="1743"/>
      <c r="G10986" s="1743"/>
      <c r="H10986" s="1743"/>
      <c r="K10986" s="1192" t="s">
        <v>4388</v>
      </c>
      <c r="V10986" s="1192">
        <v>280</v>
      </c>
    </row>
    <row r="10987" spans="1:22" s="1192" customFormat="1" ht="14.4" x14ac:dyDescent="0.3">
      <c r="A10987" s="1192" t="s">
        <v>142</v>
      </c>
      <c r="E10987" s="1743" t="s">
        <v>2392</v>
      </c>
      <c r="F10987" s="1743"/>
      <c r="G10987" s="1743"/>
      <c r="H10987" s="1743"/>
      <c r="K10987" s="1192" t="s">
        <v>4388</v>
      </c>
      <c r="V10987" s="1192">
        <v>411</v>
      </c>
    </row>
    <row r="10988" spans="1:22" s="1192" customFormat="1" ht="14.4" x14ac:dyDescent="0.3">
      <c r="A10988" s="1192" t="s">
        <v>142</v>
      </c>
      <c r="E10988" s="1743" t="s">
        <v>2393</v>
      </c>
      <c r="F10988" s="1743"/>
      <c r="G10988" s="1743"/>
      <c r="H10988" s="1743"/>
      <c r="K10988" s="1192" t="s">
        <v>4388</v>
      </c>
      <c r="V10988" s="1192">
        <v>387</v>
      </c>
    </row>
    <row r="10989" spans="1:22" s="1192" customFormat="1" ht="14.4" x14ac:dyDescent="0.3">
      <c r="A10989" s="1192" t="s">
        <v>142</v>
      </c>
      <c r="E10989" s="1743" t="s">
        <v>4716</v>
      </c>
      <c r="F10989" s="1743"/>
      <c r="G10989" s="1743"/>
      <c r="H10989" s="1743"/>
      <c r="K10989" s="1192" t="s">
        <v>4388</v>
      </c>
      <c r="V10989" s="1192">
        <v>678</v>
      </c>
    </row>
    <row r="10990" spans="1:22" s="1192" customFormat="1" ht="14.4" x14ac:dyDescent="0.3">
      <c r="A10990" s="1192" t="s">
        <v>142</v>
      </c>
      <c r="E10990" s="1743" t="s">
        <v>4717</v>
      </c>
      <c r="F10990" s="1743"/>
      <c r="G10990" s="1743"/>
      <c r="H10990" s="1743"/>
      <c r="K10990" s="1192" t="s">
        <v>4388</v>
      </c>
      <c r="V10990" s="1192">
        <v>725</v>
      </c>
    </row>
    <row r="10991" spans="1:22" s="1192" customFormat="1" ht="14.4" x14ac:dyDescent="0.3">
      <c r="A10991" s="1192" t="s">
        <v>142</v>
      </c>
      <c r="E10991" s="1743" t="s">
        <v>4500</v>
      </c>
      <c r="F10991" s="1743"/>
      <c r="G10991" s="1743"/>
      <c r="H10991" s="1743"/>
      <c r="K10991" s="1192" t="s">
        <v>4388</v>
      </c>
      <c r="V10991" s="1192">
        <v>247</v>
      </c>
    </row>
    <row r="10992" spans="1:22" s="1192" customFormat="1" ht="14.4" x14ac:dyDescent="0.3">
      <c r="A10992" s="1192" t="s">
        <v>142</v>
      </c>
      <c r="E10992" s="1750" t="s">
        <v>2394</v>
      </c>
      <c r="F10992" s="1743"/>
      <c r="G10992" s="1743"/>
      <c r="H10992" s="1743"/>
      <c r="K10992" s="1192" t="s">
        <v>2423</v>
      </c>
      <c r="V10992" s="1192">
        <v>46</v>
      </c>
    </row>
    <row r="10993" spans="1:22" s="1192" customFormat="1" ht="14.4" x14ac:dyDescent="0.3">
      <c r="A10993" s="1192" t="s">
        <v>142</v>
      </c>
      <c r="E10993" s="1741" t="s">
        <v>7</v>
      </c>
      <c r="F10993" s="1741"/>
      <c r="G10993" s="1277" t="s">
        <v>19</v>
      </c>
      <c r="H10993" s="1218">
        <v>174.6</v>
      </c>
      <c r="K10993" s="1192" t="s">
        <v>4388</v>
      </c>
      <c r="L10993" s="1192" t="s">
        <v>430</v>
      </c>
      <c r="P10993" s="1192" t="s">
        <v>4389</v>
      </c>
      <c r="V10993" s="1192">
        <v>14</v>
      </c>
    </row>
    <row r="10994" spans="1:22" s="1192" customFormat="1" ht="14.4" x14ac:dyDescent="0.3">
      <c r="A10994" s="1192" t="s">
        <v>142</v>
      </c>
      <c r="E10994" s="1741" t="s">
        <v>80</v>
      </c>
      <c r="F10994" s="1741"/>
      <c r="G10994" s="1277" t="s">
        <v>29</v>
      </c>
      <c r="H10994" s="1219">
        <v>2.3443000000000001</v>
      </c>
      <c r="K10994" s="1192" t="s">
        <v>4388</v>
      </c>
      <c r="L10994" s="1192" t="s">
        <v>430</v>
      </c>
      <c r="P10994" s="1192" t="s">
        <v>4390</v>
      </c>
      <c r="V10994" s="1192">
        <v>28</v>
      </c>
    </row>
    <row r="10995" spans="1:22" s="1192" customFormat="1" ht="14.4" x14ac:dyDescent="0.3">
      <c r="A10995" s="1192" t="s">
        <v>142</v>
      </c>
      <c r="E10995" s="1741" t="s">
        <v>14</v>
      </c>
      <c r="F10995" s="1741"/>
      <c r="G10995" s="1277" t="s">
        <v>29</v>
      </c>
      <c r="H10995" s="1219">
        <v>0.60489999999999999</v>
      </c>
      <c r="K10995" s="1192" t="s">
        <v>4388</v>
      </c>
      <c r="L10995" s="1192" t="s">
        <v>431</v>
      </c>
      <c r="P10995" s="1192" t="s">
        <v>4391</v>
      </c>
      <c r="V10995" s="1192">
        <v>24</v>
      </c>
    </row>
    <row r="10996" spans="1:22" s="1192" customFormat="1" ht="14.4" x14ac:dyDescent="0.3">
      <c r="A10996" s="1192" t="s">
        <v>142</v>
      </c>
      <c r="E10996" s="1741" t="s">
        <v>6508</v>
      </c>
      <c r="F10996" s="1998"/>
      <c r="G10996" s="1277" t="s">
        <v>29</v>
      </c>
      <c r="H10996" s="1219">
        <v>0.86080000000000001</v>
      </c>
      <c r="K10996" s="1192" t="s">
        <v>4388</v>
      </c>
      <c r="L10996" s="1192" t="s">
        <v>431</v>
      </c>
      <c r="P10996" s="1192" t="s">
        <v>4398</v>
      </c>
      <c r="T10996" s="1192">
        <v>44316</v>
      </c>
      <c r="V10996" s="1192">
        <v>96</v>
      </c>
    </row>
    <row r="10997" spans="1:22" s="1192" customFormat="1" ht="14.4" x14ac:dyDescent="0.3">
      <c r="A10997" s="1192" t="s">
        <v>142</v>
      </c>
      <c r="E10997" s="1741" t="s">
        <v>6506</v>
      </c>
      <c r="F10997" s="1998"/>
      <c r="G10997" s="1277" t="s">
        <v>20</v>
      </c>
      <c r="H10997" s="1219">
        <v>-2.0000000000000001E-4</v>
      </c>
      <c r="K10997" s="1192" t="s">
        <v>4388</v>
      </c>
      <c r="L10997" s="1192" t="s">
        <v>431</v>
      </c>
      <c r="P10997" s="1192" t="s">
        <v>4397</v>
      </c>
      <c r="T10997" s="1192">
        <v>44316</v>
      </c>
      <c r="V10997" s="1192">
        <v>139</v>
      </c>
    </row>
    <row r="10998" spans="1:22" s="1192" customFormat="1" ht="14.4" x14ac:dyDescent="0.3">
      <c r="A10998" s="1192" t="s">
        <v>142</v>
      </c>
      <c r="E10998" s="1741" t="s">
        <v>6509</v>
      </c>
      <c r="F10998" s="1998"/>
      <c r="G10998" s="1277" t="s">
        <v>29</v>
      </c>
      <c r="H10998" s="1219">
        <v>-0.37980000000000003</v>
      </c>
      <c r="K10998" s="1192" t="s">
        <v>4388</v>
      </c>
      <c r="L10998" s="1192" t="s">
        <v>431</v>
      </c>
      <c r="P10998" s="1192" t="s">
        <v>4398</v>
      </c>
      <c r="T10998" s="1192">
        <v>44316</v>
      </c>
      <c r="V10998" s="1192">
        <v>156</v>
      </c>
    </row>
    <row r="10999" spans="1:22" s="1192" customFormat="1" ht="14.4" x14ac:dyDescent="0.3">
      <c r="A10999" s="1192" t="s">
        <v>142</v>
      </c>
      <c r="E10999" s="1741" t="s">
        <v>6548</v>
      </c>
      <c r="F10999" s="1998"/>
      <c r="G10999" s="1277" t="s">
        <v>29</v>
      </c>
      <c r="H10999" s="1219">
        <v>1.7100000000000001E-2</v>
      </c>
      <c r="K10999" s="1192" t="s">
        <v>4388</v>
      </c>
      <c r="L10999" s="1192" t="s">
        <v>430</v>
      </c>
      <c r="P10999" s="1192" t="s">
        <v>4400</v>
      </c>
      <c r="T10999" s="1192">
        <v>44316</v>
      </c>
      <c r="V10999" s="1192">
        <v>134</v>
      </c>
    </row>
    <row r="11000" spans="1:22" s="1192" customFormat="1" ht="14.4" x14ac:dyDescent="0.3">
      <c r="A11000" s="1192" t="s">
        <v>142</v>
      </c>
      <c r="E11000" s="1741" t="s">
        <v>6505</v>
      </c>
      <c r="F11000" s="1998"/>
      <c r="G11000" s="1277" t="s">
        <v>29</v>
      </c>
      <c r="H11000" s="1219">
        <v>1.9800000000000002E-2</v>
      </c>
      <c r="K11000" s="1192" t="s">
        <v>4388</v>
      </c>
      <c r="L11000" s="1192" t="s">
        <v>430</v>
      </c>
      <c r="P11000" s="1192" t="s">
        <v>4424</v>
      </c>
      <c r="T11000" s="1192">
        <v>44316</v>
      </c>
      <c r="V11000" s="1192">
        <v>80</v>
      </c>
    </row>
    <row r="11001" spans="1:22" s="1192" customFormat="1" ht="14.4" x14ac:dyDescent="0.3">
      <c r="A11001" s="1192" t="s">
        <v>142</v>
      </c>
      <c r="E11001" s="1741" t="s">
        <v>213</v>
      </c>
      <c r="F11001" s="1741"/>
      <c r="G11001" s="1277" t="s">
        <v>29</v>
      </c>
      <c r="H11001" s="1219">
        <v>2.6533000000000002</v>
      </c>
      <c r="K11001" s="1192" t="s">
        <v>4388</v>
      </c>
      <c r="L11001" s="1192" t="s">
        <v>432</v>
      </c>
      <c r="P11001" s="1192" t="s">
        <v>4392</v>
      </c>
      <c r="V11001" s="1192">
        <v>47</v>
      </c>
    </row>
    <row r="11002" spans="1:22" s="1192" customFormat="1" ht="14.4" x14ac:dyDescent="0.3">
      <c r="A11002" s="1192" t="s">
        <v>142</v>
      </c>
      <c r="E11002" s="1741" t="s">
        <v>209</v>
      </c>
      <c r="F11002" s="1741"/>
      <c r="G11002" s="1277" t="s">
        <v>29</v>
      </c>
      <c r="H11002" s="1219">
        <v>1.5648</v>
      </c>
      <c r="K11002" s="1192" t="s">
        <v>4388</v>
      </c>
      <c r="L11002" s="1192" t="s">
        <v>432</v>
      </c>
      <c r="P11002" s="1192" t="s">
        <v>4393</v>
      </c>
      <c r="V11002" s="1192">
        <v>74</v>
      </c>
    </row>
    <row r="11003" spans="1:22" s="1192" customFormat="1" ht="14.4" x14ac:dyDescent="0.3">
      <c r="A11003" s="1192" t="s">
        <v>142</v>
      </c>
      <c r="E11003" s="1750" t="s">
        <v>2405</v>
      </c>
      <c r="F11003" s="1741"/>
      <c r="G11003" s="1277"/>
      <c r="H11003" s="896"/>
      <c r="K11003" s="1192" t="s">
        <v>2526</v>
      </c>
      <c r="V11003" s="1192">
        <v>48</v>
      </c>
    </row>
    <row r="11004" spans="1:22" s="1192" customFormat="1" ht="14.4" x14ac:dyDescent="0.3">
      <c r="A11004" s="1192" t="s">
        <v>142</v>
      </c>
      <c r="E11004" s="1741" t="s">
        <v>2033</v>
      </c>
      <c r="F11004" s="1741"/>
      <c r="G11004" s="1277" t="s">
        <v>20</v>
      </c>
      <c r="H11004" s="1219">
        <v>3.0000000000000001E-3</v>
      </c>
      <c r="K11004" s="1192" t="s">
        <v>4388</v>
      </c>
      <c r="L11004" s="1192" t="s">
        <v>2374</v>
      </c>
      <c r="P11004" s="1192" t="s">
        <v>4394</v>
      </c>
      <c r="V11004" s="1192">
        <v>55</v>
      </c>
    </row>
    <row r="11005" spans="1:22" s="1192" customFormat="1" ht="14.4" x14ac:dyDescent="0.3">
      <c r="A11005" s="1192" t="s">
        <v>142</v>
      </c>
      <c r="E11005" s="1741" t="s">
        <v>2034</v>
      </c>
      <c r="F11005" s="1741"/>
      <c r="G11005" s="1277" t="s">
        <v>20</v>
      </c>
      <c r="H11005" s="1219">
        <v>4.0000000000000002E-4</v>
      </c>
      <c r="K11005" s="1192" t="s">
        <v>4388</v>
      </c>
      <c r="L11005" s="1192" t="s">
        <v>2374</v>
      </c>
      <c r="P11005" s="1192" t="s">
        <v>4394</v>
      </c>
      <c r="V11005" s="1192">
        <v>65</v>
      </c>
    </row>
    <row r="11006" spans="1:22" s="1192" customFormat="1" ht="14.4" x14ac:dyDescent="0.3">
      <c r="A11006" s="1192" t="s">
        <v>142</v>
      </c>
      <c r="E11006" s="1741" t="s">
        <v>428</v>
      </c>
      <c r="F11006" s="1741"/>
      <c r="G11006" s="1277" t="s">
        <v>20</v>
      </c>
      <c r="H11006" s="1219">
        <v>5.0000000000000001E-4</v>
      </c>
      <c r="K11006" s="1192" t="s">
        <v>4388</v>
      </c>
      <c r="L11006" s="1192" t="s">
        <v>2374</v>
      </c>
      <c r="P11006" s="1192" t="s">
        <v>4395</v>
      </c>
      <c r="V11006" s="1192">
        <v>57</v>
      </c>
    </row>
    <row r="11007" spans="1:22" s="1192" customFormat="1" ht="14.4" x14ac:dyDescent="0.3">
      <c r="A11007" s="1192" t="s">
        <v>142</v>
      </c>
      <c r="E11007" s="1741" t="s">
        <v>28</v>
      </c>
      <c r="F11007" s="1741"/>
      <c r="G11007" s="1277" t="s">
        <v>19</v>
      </c>
      <c r="H11007" s="1218">
        <v>0.25</v>
      </c>
      <c r="K11007" s="1192" t="s">
        <v>4388</v>
      </c>
      <c r="L11007" s="1192" t="s">
        <v>2374</v>
      </c>
      <c r="P11007" s="1192" t="s">
        <v>4396</v>
      </c>
      <c r="V11007" s="1192">
        <v>63</v>
      </c>
    </row>
    <row r="11008" spans="1:22" s="1192" customFormat="1" ht="17.399999999999999" x14ac:dyDescent="0.3">
      <c r="A11008" s="1192" t="s">
        <v>142</v>
      </c>
      <c r="E11008" s="1746" t="s">
        <v>604</v>
      </c>
      <c r="F11008" s="1747"/>
      <c r="G11008" s="1747"/>
      <c r="H11008" s="1747"/>
      <c r="K11008" s="1192" t="s">
        <v>3294</v>
      </c>
      <c r="V11008" s="1192">
        <v>40</v>
      </c>
    </row>
    <row r="11009" spans="1:22" s="1192" customFormat="1" ht="14.4" x14ac:dyDescent="0.3">
      <c r="A11009" s="1192" t="s">
        <v>142</v>
      </c>
      <c r="E11009" s="1743" t="s">
        <v>2556</v>
      </c>
      <c r="F11009" s="1743"/>
      <c r="G11009" s="1743"/>
      <c r="H11009" s="1743"/>
      <c r="K11009" s="1192" t="s">
        <v>3294</v>
      </c>
      <c r="V11009" s="1192">
        <v>253</v>
      </c>
    </row>
    <row r="11010" spans="1:22" s="1192" customFormat="1" ht="14.4" x14ac:dyDescent="0.3">
      <c r="A11010" s="1192" t="s">
        <v>142</v>
      </c>
      <c r="E11010" s="1750" t="s">
        <v>2389</v>
      </c>
      <c r="F11010" s="1743"/>
      <c r="G11010" s="1743"/>
      <c r="H11010" s="1743"/>
      <c r="K11010" s="1192" t="s">
        <v>2529</v>
      </c>
      <c r="V11010" s="1192">
        <v>11</v>
      </c>
    </row>
    <row r="11011" spans="1:22" s="1192" customFormat="1" ht="14.4" x14ac:dyDescent="0.3">
      <c r="A11011" s="1192" t="s">
        <v>142</v>
      </c>
      <c r="E11011" s="1743" t="s">
        <v>2391</v>
      </c>
      <c r="F11011" s="1743"/>
      <c r="G11011" s="1743"/>
      <c r="H11011" s="1743"/>
      <c r="K11011" s="1192" t="s">
        <v>3294</v>
      </c>
      <c r="V11011" s="1192">
        <v>280</v>
      </c>
    </row>
    <row r="11012" spans="1:22" s="1192" customFormat="1" ht="14.4" x14ac:dyDescent="0.3">
      <c r="A11012" s="1192" t="s">
        <v>142</v>
      </c>
      <c r="E11012" s="1743" t="s">
        <v>2392</v>
      </c>
      <c r="F11012" s="1743"/>
      <c r="G11012" s="1743"/>
      <c r="H11012" s="1743"/>
      <c r="K11012" s="1192" t="s">
        <v>3294</v>
      </c>
      <c r="V11012" s="1192">
        <v>411</v>
      </c>
    </row>
    <row r="11013" spans="1:22" s="1192" customFormat="1" ht="14.4" x14ac:dyDescent="0.3">
      <c r="A11013" s="1192" t="s">
        <v>142</v>
      </c>
      <c r="E11013" s="1743" t="s">
        <v>2393</v>
      </c>
      <c r="F11013" s="1743"/>
      <c r="G11013" s="1743"/>
      <c r="H11013" s="1743"/>
      <c r="K11013" s="1192" t="s">
        <v>3294</v>
      </c>
      <c r="V11013" s="1192">
        <v>387</v>
      </c>
    </row>
    <row r="11014" spans="1:22" s="1192" customFormat="1" ht="14.4" x14ac:dyDescent="0.3">
      <c r="A11014" s="1192" t="s">
        <v>142</v>
      </c>
      <c r="E11014" s="1743" t="s">
        <v>4500</v>
      </c>
      <c r="F11014" s="1743"/>
      <c r="G11014" s="1743"/>
      <c r="H11014" s="1743"/>
      <c r="K11014" s="1192" t="s">
        <v>3294</v>
      </c>
      <c r="V11014" s="1192">
        <v>247</v>
      </c>
    </row>
    <row r="11015" spans="1:22" s="1192" customFormat="1" ht="14.4" x14ac:dyDescent="0.3">
      <c r="A11015" s="1192" t="s">
        <v>142</v>
      </c>
      <c r="E11015" s="1750" t="s">
        <v>2394</v>
      </c>
      <c r="F11015" s="1743"/>
      <c r="G11015" s="1743"/>
      <c r="H11015" s="1743"/>
      <c r="K11015" s="1192" t="s">
        <v>2531</v>
      </c>
      <c r="V11015" s="1192">
        <v>46</v>
      </c>
    </row>
    <row r="11016" spans="1:22" s="1192" customFormat="1" ht="14.4" x14ac:dyDescent="0.3">
      <c r="A11016" s="1192" t="s">
        <v>142</v>
      </c>
      <c r="E11016" s="1741" t="s">
        <v>8</v>
      </c>
      <c r="F11016" s="1741"/>
      <c r="G11016" s="1277" t="s">
        <v>19</v>
      </c>
      <c r="H11016" s="1218">
        <v>3.4</v>
      </c>
      <c r="K11016" s="1192" t="s">
        <v>3294</v>
      </c>
      <c r="L11016" s="1192" t="s">
        <v>430</v>
      </c>
      <c r="P11016" s="1192" t="s">
        <v>3295</v>
      </c>
      <c r="V11016" s="1192">
        <v>31</v>
      </c>
    </row>
    <row r="11017" spans="1:22" s="1192" customFormat="1" ht="14.4" x14ac:dyDescent="0.3">
      <c r="A11017" s="1192" t="s">
        <v>142</v>
      </c>
      <c r="E11017" s="1741" t="s">
        <v>80</v>
      </c>
      <c r="F11017" s="1741"/>
      <c r="G11017" s="1277" t="s">
        <v>29</v>
      </c>
      <c r="H11017" s="1219">
        <v>13.282400000000001</v>
      </c>
      <c r="K11017" s="1192" t="s">
        <v>3294</v>
      </c>
      <c r="L11017" s="1192" t="s">
        <v>430</v>
      </c>
      <c r="P11017" s="1192" t="s">
        <v>3296</v>
      </c>
      <c r="V11017" s="1192">
        <v>28</v>
      </c>
    </row>
    <row r="11018" spans="1:22" s="1192" customFormat="1" ht="14.4" x14ac:dyDescent="0.3">
      <c r="A11018" s="1192" t="s">
        <v>142</v>
      </c>
      <c r="E11018" s="1741" t="s">
        <v>14</v>
      </c>
      <c r="F11018" s="1741"/>
      <c r="G11018" s="1277" t="s">
        <v>29</v>
      </c>
      <c r="H11018" s="1219">
        <v>0.47739999999999999</v>
      </c>
      <c r="K11018" s="1192" t="s">
        <v>3294</v>
      </c>
      <c r="L11018" s="1192" t="s">
        <v>431</v>
      </c>
      <c r="P11018" s="1192" t="s">
        <v>3297</v>
      </c>
      <c r="V11018" s="1192">
        <v>24</v>
      </c>
    </row>
    <row r="11019" spans="1:22" s="1192" customFormat="1" ht="14.4" x14ac:dyDescent="0.3">
      <c r="A11019" s="1192" t="s">
        <v>142</v>
      </c>
      <c r="E11019" s="1741" t="s">
        <v>6508</v>
      </c>
      <c r="F11019" s="1998"/>
      <c r="G11019" s="1277" t="s">
        <v>29</v>
      </c>
      <c r="H11019" s="1219">
        <v>0.46079999999999999</v>
      </c>
      <c r="K11019" s="1192" t="s">
        <v>3294</v>
      </c>
      <c r="L11019" s="1192" t="s">
        <v>431</v>
      </c>
      <c r="P11019" s="1192" t="s">
        <v>3298</v>
      </c>
      <c r="T11019" s="1192">
        <v>44316</v>
      </c>
      <c r="V11019" s="1192">
        <v>96</v>
      </c>
    </row>
    <row r="11020" spans="1:22" s="1192" customFormat="1" ht="14.4" x14ac:dyDescent="0.3">
      <c r="A11020" s="1192" t="s">
        <v>142</v>
      </c>
      <c r="E11020" s="1741" t="s">
        <v>6548</v>
      </c>
      <c r="F11020" s="1998"/>
      <c r="G11020" s="1277" t="s">
        <v>29</v>
      </c>
      <c r="H11020" s="1219">
        <v>1.0565</v>
      </c>
      <c r="K11020" s="1192" t="s">
        <v>3294</v>
      </c>
      <c r="L11020" s="1192" t="s">
        <v>430</v>
      </c>
      <c r="P11020" s="1192" t="s">
        <v>6598</v>
      </c>
      <c r="T11020" s="1192">
        <v>44316</v>
      </c>
      <c r="V11020" s="1192">
        <v>134</v>
      </c>
    </row>
    <row r="11021" spans="1:22" s="1192" customFormat="1" ht="14.4" x14ac:dyDescent="0.3">
      <c r="A11021" s="1192" t="s">
        <v>142</v>
      </c>
      <c r="E11021" s="1741" t="s">
        <v>6505</v>
      </c>
      <c r="F11021" s="1998"/>
      <c r="G11021" s="1277" t="s">
        <v>29</v>
      </c>
      <c r="H11021" s="1219">
        <v>0.2429</v>
      </c>
      <c r="K11021" s="1192" t="s">
        <v>3294</v>
      </c>
      <c r="L11021" s="1192" t="s">
        <v>430</v>
      </c>
      <c r="P11021" s="1192" t="s">
        <v>3299</v>
      </c>
      <c r="T11021" s="1192">
        <v>44316</v>
      </c>
      <c r="V11021" s="1192">
        <v>80</v>
      </c>
    </row>
    <row r="11022" spans="1:22" s="1192" customFormat="1" ht="14.4" x14ac:dyDescent="0.3">
      <c r="A11022" s="1192" t="s">
        <v>142</v>
      </c>
      <c r="E11022" s="1741" t="s">
        <v>213</v>
      </c>
      <c r="F11022" s="1741"/>
      <c r="G11022" s="1277" t="s">
        <v>29</v>
      </c>
      <c r="H11022" s="1219">
        <v>2.0108999999999999</v>
      </c>
      <c r="K11022" s="1192" t="s">
        <v>3294</v>
      </c>
      <c r="L11022" s="1192" t="s">
        <v>432</v>
      </c>
      <c r="P11022" s="1192" t="s">
        <v>3300</v>
      </c>
      <c r="V11022" s="1192">
        <v>47</v>
      </c>
    </row>
    <row r="11023" spans="1:22" s="1192" customFormat="1" ht="14.4" x14ac:dyDescent="0.3">
      <c r="A11023" s="1192" t="s">
        <v>142</v>
      </c>
      <c r="E11023" s="1741" t="s">
        <v>209</v>
      </c>
      <c r="F11023" s="1741"/>
      <c r="G11023" s="1277" t="s">
        <v>29</v>
      </c>
      <c r="H11023" s="1219">
        <v>1.2354000000000001</v>
      </c>
      <c r="K11023" s="1192" t="s">
        <v>3294</v>
      </c>
      <c r="L11023" s="1192" t="s">
        <v>432</v>
      </c>
      <c r="P11023" s="1192" t="s">
        <v>3301</v>
      </c>
      <c r="V11023" s="1192">
        <v>74</v>
      </c>
    </row>
    <row r="11024" spans="1:22" s="1192" customFormat="1" ht="14.4" x14ac:dyDescent="0.3">
      <c r="A11024" s="1192" t="s">
        <v>142</v>
      </c>
      <c r="E11024" s="1750" t="s">
        <v>2405</v>
      </c>
      <c r="F11024" s="1741"/>
      <c r="G11024" s="1277"/>
      <c r="H11024" s="896"/>
      <c r="K11024" s="1192" t="s">
        <v>2532</v>
      </c>
      <c r="V11024" s="1192">
        <v>48</v>
      </c>
    </row>
    <row r="11025" spans="1:22" s="1192" customFormat="1" ht="14.4" x14ac:dyDescent="0.3">
      <c r="A11025" s="1192" t="s">
        <v>142</v>
      </c>
      <c r="E11025" s="1741" t="s">
        <v>2033</v>
      </c>
      <c r="F11025" s="1741"/>
      <c r="G11025" s="1277" t="s">
        <v>20</v>
      </c>
      <c r="H11025" s="1219">
        <v>3.0000000000000001E-3</v>
      </c>
      <c r="K11025" s="1192" t="s">
        <v>3294</v>
      </c>
      <c r="L11025" s="1192" t="s">
        <v>2374</v>
      </c>
      <c r="P11025" s="1192" t="s">
        <v>3302</v>
      </c>
      <c r="V11025" s="1192">
        <v>55</v>
      </c>
    </row>
    <row r="11026" spans="1:22" s="1192" customFormat="1" ht="14.4" x14ac:dyDescent="0.3">
      <c r="A11026" s="1192" t="s">
        <v>142</v>
      </c>
      <c r="E11026" s="1741" t="s">
        <v>2034</v>
      </c>
      <c r="F11026" s="1741"/>
      <c r="G11026" s="1277" t="s">
        <v>20</v>
      </c>
      <c r="H11026" s="1219">
        <v>4.0000000000000002E-4</v>
      </c>
      <c r="K11026" s="1192" t="s">
        <v>3294</v>
      </c>
      <c r="L11026" s="1192" t="s">
        <v>2374</v>
      </c>
      <c r="P11026" s="1192" t="s">
        <v>3302</v>
      </c>
      <c r="V11026" s="1192">
        <v>65</v>
      </c>
    </row>
    <row r="11027" spans="1:22" s="1192" customFormat="1" ht="14.4" x14ac:dyDescent="0.3">
      <c r="A11027" s="1192" t="s">
        <v>142</v>
      </c>
      <c r="E11027" s="1741" t="s">
        <v>428</v>
      </c>
      <c r="F11027" s="1741"/>
      <c r="G11027" s="1277" t="s">
        <v>20</v>
      </c>
      <c r="H11027" s="1219">
        <v>5.0000000000000001E-4</v>
      </c>
      <c r="K11027" s="1192" t="s">
        <v>3294</v>
      </c>
      <c r="L11027" s="1192" t="s">
        <v>2374</v>
      </c>
      <c r="P11027" s="1192" t="s">
        <v>3303</v>
      </c>
      <c r="V11027" s="1192">
        <v>57</v>
      </c>
    </row>
    <row r="11028" spans="1:22" s="1192" customFormat="1" ht="14.4" x14ac:dyDescent="0.3">
      <c r="A11028" s="1192" t="s">
        <v>142</v>
      </c>
      <c r="E11028" s="1741" t="s">
        <v>28</v>
      </c>
      <c r="F11028" s="1741"/>
      <c r="G11028" s="1277" t="s">
        <v>19</v>
      </c>
      <c r="H11028" s="1218">
        <v>0.25</v>
      </c>
      <c r="K11028" s="1192" t="s">
        <v>3294</v>
      </c>
      <c r="L11028" s="1192" t="s">
        <v>2374</v>
      </c>
      <c r="P11028" s="1192" t="s">
        <v>3304</v>
      </c>
      <c r="V11028" s="1192">
        <v>63</v>
      </c>
    </row>
    <row r="11029" spans="1:22" s="1192" customFormat="1" ht="17.399999999999999" x14ac:dyDescent="0.3">
      <c r="A11029" s="1192" t="s">
        <v>142</v>
      </c>
      <c r="E11029" s="1746" t="s">
        <v>590</v>
      </c>
      <c r="F11029" s="1747"/>
      <c r="G11029" s="1747"/>
      <c r="H11029" s="1747"/>
      <c r="K11029" s="1192" t="s">
        <v>2687</v>
      </c>
      <c r="V11029" s="1192">
        <v>38</v>
      </c>
    </row>
    <row r="11030" spans="1:22" s="1192" customFormat="1" ht="14.4" x14ac:dyDescent="0.3">
      <c r="A11030" s="1192" t="s">
        <v>142</v>
      </c>
      <c r="E11030" s="1743" t="s">
        <v>3305</v>
      </c>
      <c r="F11030" s="1743"/>
      <c r="G11030" s="1743"/>
      <c r="H11030" s="1743"/>
      <c r="K11030" s="1192" t="s">
        <v>2687</v>
      </c>
      <c r="V11030" s="1192">
        <v>525</v>
      </c>
    </row>
    <row r="11031" spans="1:22" s="1192" customFormat="1" ht="14.4" x14ac:dyDescent="0.3">
      <c r="A11031" s="1192" t="s">
        <v>142</v>
      </c>
      <c r="E11031" s="1750" t="s">
        <v>2389</v>
      </c>
      <c r="F11031" s="1743"/>
      <c r="G11031" s="1743"/>
      <c r="H11031" s="1743"/>
      <c r="K11031" s="1192" t="s">
        <v>2424</v>
      </c>
      <c r="V11031" s="1192">
        <v>11</v>
      </c>
    </row>
    <row r="11032" spans="1:22" s="1192" customFormat="1" ht="14.4" x14ac:dyDescent="0.3">
      <c r="A11032" s="1192" t="s">
        <v>142</v>
      </c>
      <c r="E11032" s="1743" t="s">
        <v>2391</v>
      </c>
      <c r="F11032" s="1743"/>
      <c r="G11032" s="1743"/>
      <c r="H11032" s="1743"/>
      <c r="K11032" s="1192" t="s">
        <v>2687</v>
      </c>
      <c r="V11032" s="1192">
        <v>280</v>
      </c>
    </row>
    <row r="11033" spans="1:22" s="1192" customFormat="1" ht="14.4" x14ac:dyDescent="0.3">
      <c r="A11033" s="1192" t="s">
        <v>142</v>
      </c>
      <c r="E11033" s="1743" t="s">
        <v>2392</v>
      </c>
      <c r="F11033" s="1743"/>
      <c r="G11033" s="1743"/>
      <c r="H11033" s="1743"/>
      <c r="K11033" s="1192" t="s">
        <v>2687</v>
      </c>
      <c r="V11033" s="1192">
        <v>411</v>
      </c>
    </row>
    <row r="11034" spans="1:22" s="1192" customFormat="1" ht="14.4" x14ac:dyDescent="0.3">
      <c r="A11034" s="1192" t="s">
        <v>142</v>
      </c>
      <c r="E11034" s="1743" t="s">
        <v>2393</v>
      </c>
      <c r="F11034" s="1743"/>
      <c r="G11034" s="1743"/>
      <c r="H11034" s="1743"/>
      <c r="K11034" s="1192" t="s">
        <v>2687</v>
      </c>
      <c r="V11034" s="1192">
        <v>387</v>
      </c>
    </row>
    <row r="11035" spans="1:22" s="1192" customFormat="1" ht="14.4" x14ac:dyDescent="0.3">
      <c r="A11035" s="1192" t="s">
        <v>142</v>
      </c>
      <c r="E11035" s="1743" t="s">
        <v>4500</v>
      </c>
      <c r="F11035" s="1743"/>
      <c r="G11035" s="1743"/>
      <c r="H11035" s="1743"/>
      <c r="K11035" s="1192" t="s">
        <v>2687</v>
      </c>
      <c r="V11035" s="1192">
        <v>247</v>
      </c>
    </row>
    <row r="11036" spans="1:22" s="1192" customFormat="1" ht="14.4" x14ac:dyDescent="0.3">
      <c r="A11036" s="1192" t="s">
        <v>142</v>
      </c>
      <c r="E11036" s="1750" t="s">
        <v>2394</v>
      </c>
      <c r="F11036" s="1743"/>
      <c r="G11036" s="1743"/>
      <c r="H11036" s="1743"/>
      <c r="K11036" s="1192" t="s">
        <v>2425</v>
      </c>
      <c r="V11036" s="1192">
        <v>46</v>
      </c>
    </row>
    <row r="11037" spans="1:22" s="1192" customFormat="1" ht="14.4" x14ac:dyDescent="0.3">
      <c r="A11037" s="1192" t="s">
        <v>142</v>
      </c>
      <c r="E11037" s="1741" t="s">
        <v>8</v>
      </c>
      <c r="F11037" s="1741"/>
      <c r="G11037" s="1277" t="s">
        <v>19</v>
      </c>
      <c r="H11037" s="1218">
        <v>1.55</v>
      </c>
      <c r="K11037" s="1192" t="s">
        <v>2687</v>
      </c>
      <c r="L11037" s="1192" t="s">
        <v>430</v>
      </c>
      <c r="P11037" s="1192" t="s">
        <v>2689</v>
      </c>
      <c r="V11037" s="1192">
        <v>31</v>
      </c>
    </row>
    <row r="11038" spans="1:22" s="1192" customFormat="1" ht="14.4" x14ac:dyDescent="0.3">
      <c r="A11038" s="1192" t="s">
        <v>142</v>
      </c>
      <c r="E11038" s="1741" t="s">
        <v>80</v>
      </c>
      <c r="F11038" s="1741"/>
      <c r="G11038" s="1277" t="s">
        <v>29</v>
      </c>
      <c r="H11038" s="1219">
        <v>8.5543999999999993</v>
      </c>
      <c r="K11038" s="1192" t="s">
        <v>2687</v>
      </c>
      <c r="L11038" s="1192" t="s">
        <v>430</v>
      </c>
      <c r="P11038" s="1192" t="s">
        <v>2690</v>
      </c>
      <c r="V11038" s="1192">
        <v>28</v>
      </c>
    </row>
    <row r="11039" spans="1:22" s="1192" customFormat="1" ht="14.4" x14ac:dyDescent="0.3">
      <c r="A11039" s="1192" t="s">
        <v>142</v>
      </c>
      <c r="E11039" s="1741" t="s">
        <v>14</v>
      </c>
      <c r="F11039" s="1741"/>
      <c r="G11039" s="1277" t="s">
        <v>29</v>
      </c>
      <c r="H11039" s="1219">
        <v>0.46750000000000003</v>
      </c>
      <c r="K11039" s="1192" t="s">
        <v>2687</v>
      </c>
      <c r="L11039" s="1192" t="s">
        <v>431</v>
      </c>
      <c r="P11039" s="1192" t="s">
        <v>2812</v>
      </c>
      <c r="V11039" s="1192">
        <v>24</v>
      </c>
    </row>
    <row r="11040" spans="1:22" s="1192" customFormat="1" ht="14.4" x14ac:dyDescent="0.3">
      <c r="A11040" s="1192" t="s">
        <v>142</v>
      </c>
      <c r="E11040" s="1741" t="s">
        <v>6508</v>
      </c>
      <c r="F11040" s="1998"/>
      <c r="G11040" s="1277" t="s">
        <v>29</v>
      </c>
      <c r="H11040" s="1219">
        <v>0.38159999999999999</v>
      </c>
      <c r="K11040" s="1192" t="s">
        <v>2687</v>
      </c>
      <c r="L11040" s="1192" t="s">
        <v>431</v>
      </c>
      <c r="P11040" s="1192" t="s">
        <v>2693</v>
      </c>
      <c r="T11040" s="1192">
        <v>44316</v>
      </c>
      <c r="V11040" s="1192">
        <v>96</v>
      </c>
    </row>
    <row r="11041" spans="1:22" s="1192" customFormat="1" ht="14.4" x14ac:dyDescent="0.3">
      <c r="A11041" s="1192" t="s">
        <v>142</v>
      </c>
      <c r="E11041" s="1741" t="s">
        <v>6506</v>
      </c>
      <c r="F11041" s="1998"/>
      <c r="G11041" s="1277" t="s">
        <v>20</v>
      </c>
      <c r="H11041" s="1219">
        <v>-2.0000000000000001E-4</v>
      </c>
      <c r="K11041" s="1192" t="s">
        <v>2687</v>
      </c>
      <c r="L11041" s="1192" t="s">
        <v>431</v>
      </c>
      <c r="P11041" s="1192" t="s">
        <v>2691</v>
      </c>
      <c r="T11041" s="1192">
        <v>44316</v>
      </c>
      <c r="V11041" s="1192">
        <v>139</v>
      </c>
    </row>
    <row r="11042" spans="1:22" s="1192" customFormat="1" ht="14.4" x14ac:dyDescent="0.3">
      <c r="A11042" s="1192" t="s">
        <v>142</v>
      </c>
      <c r="E11042" s="1741" t="s">
        <v>6548</v>
      </c>
      <c r="F11042" s="1998"/>
      <c r="G11042" s="1277" t="s">
        <v>29</v>
      </c>
      <c r="H11042" s="1219">
        <v>4.7206000000000001</v>
      </c>
      <c r="K11042" s="1192" t="s">
        <v>2687</v>
      </c>
      <c r="L11042" s="1192" t="s">
        <v>430</v>
      </c>
      <c r="P11042" s="1192" t="s">
        <v>2692</v>
      </c>
      <c r="T11042" s="1192">
        <v>44316</v>
      </c>
      <c r="V11042" s="1192">
        <v>134</v>
      </c>
    </row>
    <row r="11043" spans="1:22" s="1192" customFormat="1" ht="14.4" x14ac:dyDescent="0.3">
      <c r="A11043" s="1192" t="s">
        <v>142</v>
      </c>
      <c r="E11043" s="1741" t="s">
        <v>6505</v>
      </c>
      <c r="F11043" s="1998"/>
      <c r="G11043" s="1277" t="s">
        <v>29</v>
      </c>
      <c r="H11043" s="1219">
        <v>0.25640000000000002</v>
      </c>
      <c r="K11043" s="1192" t="s">
        <v>2687</v>
      </c>
      <c r="L11043" s="1192" t="s">
        <v>430</v>
      </c>
      <c r="P11043" s="1192" t="s">
        <v>3262</v>
      </c>
      <c r="T11043" s="1192">
        <v>44316</v>
      </c>
      <c r="V11043" s="1192">
        <v>80</v>
      </c>
    </row>
    <row r="11044" spans="1:22" s="1192" customFormat="1" ht="14.4" x14ac:dyDescent="0.3">
      <c r="A11044" s="1192" t="s">
        <v>142</v>
      </c>
      <c r="E11044" s="1741" t="s">
        <v>213</v>
      </c>
      <c r="F11044" s="1741"/>
      <c r="G11044" s="1277" t="s">
        <v>29</v>
      </c>
      <c r="H11044" s="1219">
        <v>2.0009999999999999</v>
      </c>
      <c r="K11044" s="1192" t="s">
        <v>2687</v>
      </c>
      <c r="L11044" s="1192" t="s">
        <v>432</v>
      </c>
      <c r="P11044" s="1192" t="s">
        <v>2694</v>
      </c>
      <c r="V11044" s="1192">
        <v>47</v>
      </c>
    </row>
    <row r="11045" spans="1:22" s="1192" customFormat="1" ht="14.4" x14ac:dyDescent="0.3">
      <c r="A11045" s="1192" t="s">
        <v>142</v>
      </c>
      <c r="E11045" s="1741" t="s">
        <v>209</v>
      </c>
      <c r="F11045" s="1741"/>
      <c r="G11045" s="1277" t="s">
        <v>29</v>
      </c>
      <c r="H11045" s="1219">
        <v>1.2096</v>
      </c>
      <c r="K11045" s="1192" t="s">
        <v>2687</v>
      </c>
      <c r="L11045" s="1192" t="s">
        <v>432</v>
      </c>
      <c r="P11045" s="1192" t="s">
        <v>2813</v>
      </c>
      <c r="V11045" s="1192">
        <v>74</v>
      </c>
    </row>
    <row r="11046" spans="1:22" s="1192" customFormat="1" ht="14.4" x14ac:dyDescent="0.3">
      <c r="A11046" s="1192" t="s">
        <v>142</v>
      </c>
      <c r="E11046" s="1750" t="s">
        <v>2405</v>
      </c>
      <c r="F11046" s="1741"/>
      <c r="G11046" s="1277"/>
      <c r="H11046" s="896"/>
      <c r="K11046" s="1192" t="s">
        <v>2427</v>
      </c>
      <c r="V11046" s="1192">
        <v>48</v>
      </c>
    </row>
    <row r="11047" spans="1:22" s="1192" customFormat="1" ht="14.4" x14ac:dyDescent="0.3">
      <c r="A11047" s="1192" t="s">
        <v>142</v>
      </c>
      <c r="E11047" s="1741" t="s">
        <v>2033</v>
      </c>
      <c r="F11047" s="1741"/>
      <c r="G11047" s="1277" t="s">
        <v>20</v>
      </c>
      <c r="H11047" s="1219">
        <v>3.0000000000000001E-3</v>
      </c>
      <c r="K11047" s="1192" t="s">
        <v>2687</v>
      </c>
      <c r="L11047" s="1192" t="s">
        <v>2374</v>
      </c>
      <c r="P11047" s="1192" t="s">
        <v>2696</v>
      </c>
      <c r="V11047" s="1192">
        <v>55</v>
      </c>
    </row>
    <row r="11048" spans="1:22" s="1192" customFormat="1" ht="14.4" x14ac:dyDescent="0.3">
      <c r="A11048" s="1192" t="s">
        <v>142</v>
      </c>
      <c r="E11048" s="1741" t="s">
        <v>2034</v>
      </c>
      <c r="F11048" s="1741"/>
      <c r="G11048" s="1277" t="s">
        <v>20</v>
      </c>
      <c r="H11048" s="1219">
        <v>4.0000000000000002E-4</v>
      </c>
      <c r="K11048" s="1192" t="s">
        <v>2687</v>
      </c>
      <c r="L11048" s="1192" t="s">
        <v>2374</v>
      </c>
      <c r="P11048" s="1192" t="s">
        <v>2696</v>
      </c>
      <c r="V11048" s="1192">
        <v>65</v>
      </c>
    </row>
    <row r="11049" spans="1:22" s="1192" customFormat="1" ht="14.4" x14ac:dyDescent="0.3">
      <c r="A11049" s="1192" t="s">
        <v>142</v>
      </c>
      <c r="E11049" s="1741" t="s">
        <v>428</v>
      </c>
      <c r="F11049" s="1741"/>
      <c r="G11049" s="1277" t="s">
        <v>20</v>
      </c>
      <c r="H11049" s="1219">
        <v>5.0000000000000001E-4</v>
      </c>
      <c r="K11049" s="1192" t="s">
        <v>2687</v>
      </c>
      <c r="L11049" s="1192" t="s">
        <v>2374</v>
      </c>
      <c r="P11049" s="1192" t="s">
        <v>2697</v>
      </c>
      <c r="V11049" s="1192">
        <v>57</v>
      </c>
    </row>
    <row r="11050" spans="1:22" s="1192" customFormat="1" ht="14.4" x14ac:dyDescent="0.3">
      <c r="A11050" s="1192" t="s">
        <v>142</v>
      </c>
      <c r="E11050" s="1741" t="s">
        <v>28</v>
      </c>
      <c r="F11050" s="1741"/>
      <c r="G11050" s="1277" t="s">
        <v>19</v>
      </c>
      <c r="H11050" s="1218">
        <v>0.25</v>
      </c>
      <c r="K11050" s="1192" t="s">
        <v>2687</v>
      </c>
      <c r="L11050" s="1192" t="s">
        <v>2374</v>
      </c>
      <c r="P11050" s="1192" t="s">
        <v>2698</v>
      </c>
      <c r="V11050" s="1192">
        <v>63</v>
      </c>
    </row>
    <row r="11051" spans="1:22" s="1192" customFormat="1" ht="17.399999999999999" x14ac:dyDescent="0.3">
      <c r="A11051" s="1192" t="s">
        <v>142</v>
      </c>
      <c r="E11051" s="1746" t="s">
        <v>592</v>
      </c>
      <c r="F11051" s="1747"/>
      <c r="G11051" s="1747"/>
      <c r="H11051" s="1747"/>
      <c r="K11051" s="1192" t="s">
        <v>2543</v>
      </c>
      <c r="V11051" s="1192">
        <v>47</v>
      </c>
    </row>
    <row r="11052" spans="1:22" s="1192" customFormat="1" ht="14.4" x14ac:dyDescent="0.3">
      <c r="A11052" s="1192" t="s">
        <v>142</v>
      </c>
      <c r="E11052" s="1743" t="s">
        <v>3306</v>
      </c>
      <c r="F11052" s="1743"/>
      <c r="G11052" s="1743"/>
      <c r="H11052" s="1743"/>
      <c r="K11052" s="1192" t="s">
        <v>2543</v>
      </c>
      <c r="V11052" s="1192">
        <v>720</v>
      </c>
    </row>
    <row r="11053" spans="1:22" s="1192" customFormat="1" ht="14.4" x14ac:dyDescent="0.3">
      <c r="A11053" s="1192" t="s">
        <v>142</v>
      </c>
      <c r="E11053" s="1750" t="s">
        <v>2389</v>
      </c>
      <c r="F11053" s="1743"/>
      <c r="G11053" s="1743"/>
      <c r="H11053" s="1743"/>
      <c r="K11053" s="1192" t="s">
        <v>2430</v>
      </c>
      <c r="V11053" s="1192">
        <v>11</v>
      </c>
    </row>
    <row r="11054" spans="1:22" s="1192" customFormat="1" ht="14.4" x14ac:dyDescent="0.3">
      <c r="A11054" s="1192" t="s">
        <v>142</v>
      </c>
      <c r="E11054" s="1743" t="s">
        <v>2391</v>
      </c>
      <c r="F11054" s="1743"/>
      <c r="G11054" s="1743"/>
      <c r="H11054" s="1743"/>
      <c r="K11054" s="1192" t="s">
        <v>2543</v>
      </c>
      <c r="V11054" s="1192">
        <v>280</v>
      </c>
    </row>
    <row r="11055" spans="1:22" s="1192" customFormat="1" ht="14.4" x14ac:dyDescent="0.3">
      <c r="A11055" s="1192" t="s">
        <v>142</v>
      </c>
      <c r="E11055" s="1743" t="s">
        <v>2392</v>
      </c>
      <c r="F11055" s="1743"/>
      <c r="G11055" s="1743"/>
      <c r="H11055" s="1743"/>
      <c r="K11055" s="1192" t="s">
        <v>2543</v>
      </c>
      <c r="V11055" s="1192">
        <v>411</v>
      </c>
    </row>
    <row r="11056" spans="1:22" s="1192" customFormat="1" ht="14.4" x14ac:dyDescent="0.3">
      <c r="A11056" s="1192" t="s">
        <v>142</v>
      </c>
      <c r="E11056" s="1743" t="s">
        <v>2393</v>
      </c>
      <c r="F11056" s="1743"/>
      <c r="G11056" s="1743"/>
      <c r="H11056" s="1743"/>
      <c r="K11056" s="1192" t="s">
        <v>2543</v>
      </c>
      <c r="V11056" s="1192">
        <v>387</v>
      </c>
    </row>
    <row r="11057" spans="1:22" s="1192" customFormat="1" ht="14.4" x14ac:dyDescent="0.3">
      <c r="A11057" s="1192" t="s">
        <v>142</v>
      </c>
      <c r="E11057" s="1743" t="s">
        <v>4500</v>
      </c>
      <c r="F11057" s="1743"/>
      <c r="G11057" s="1743"/>
      <c r="H11057" s="1743"/>
      <c r="K11057" s="1192" t="s">
        <v>2543</v>
      </c>
      <c r="V11057" s="1192">
        <v>247</v>
      </c>
    </row>
    <row r="11058" spans="1:22" s="1192" customFormat="1" ht="14.4" x14ac:dyDescent="0.3">
      <c r="A11058" s="1192" t="s">
        <v>142</v>
      </c>
      <c r="E11058" s="1750" t="s">
        <v>2394</v>
      </c>
      <c r="F11058" s="1743"/>
      <c r="G11058" s="1743"/>
      <c r="H11058" s="1743"/>
      <c r="K11058" s="1192" t="s">
        <v>2431</v>
      </c>
      <c r="V11058" s="1192">
        <v>46</v>
      </c>
    </row>
    <row r="11059" spans="1:22" s="1192" customFormat="1" ht="14.4" x14ac:dyDescent="0.3">
      <c r="A11059" s="1192" t="s">
        <v>142</v>
      </c>
      <c r="E11059" s="1741" t="s">
        <v>8</v>
      </c>
      <c r="F11059" s="1741"/>
      <c r="G11059" s="1277" t="s">
        <v>19</v>
      </c>
      <c r="H11059" s="1218">
        <v>6.51</v>
      </c>
      <c r="K11059" s="1192" t="s">
        <v>2543</v>
      </c>
      <c r="L11059" s="1192" t="s">
        <v>430</v>
      </c>
      <c r="P11059" s="1192" t="s">
        <v>2545</v>
      </c>
      <c r="V11059" s="1192">
        <v>31</v>
      </c>
    </row>
    <row r="11060" spans="1:22" s="1192" customFormat="1" ht="14.4" x14ac:dyDescent="0.3">
      <c r="A11060" s="1192" t="s">
        <v>142</v>
      </c>
      <c r="E11060" s="1741" t="s">
        <v>80</v>
      </c>
      <c r="F11060" s="1741"/>
      <c r="G11060" s="1277" t="s">
        <v>20</v>
      </c>
      <c r="H11060" s="1219">
        <v>9.1000000000000004E-3</v>
      </c>
      <c r="K11060" s="1192" t="s">
        <v>2543</v>
      </c>
      <c r="L11060" s="1192" t="s">
        <v>430</v>
      </c>
      <c r="P11060" s="1192" t="s">
        <v>2546</v>
      </c>
      <c r="V11060" s="1192">
        <v>28</v>
      </c>
    </row>
    <row r="11061" spans="1:22" s="1192" customFormat="1" ht="14.4" x14ac:dyDescent="0.3">
      <c r="A11061" s="1192" t="s">
        <v>142</v>
      </c>
      <c r="E11061" s="1741" t="s">
        <v>14</v>
      </c>
      <c r="F11061" s="1741"/>
      <c r="G11061" s="1277" t="s">
        <v>20</v>
      </c>
      <c r="H11061" s="1219">
        <v>1.5E-3</v>
      </c>
      <c r="K11061" s="1192" t="s">
        <v>2543</v>
      </c>
      <c r="L11061" s="1192" t="s">
        <v>431</v>
      </c>
      <c r="P11061" s="1192" t="s">
        <v>2547</v>
      </c>
      <c r="V11061" s="1192">
        <v>24</v>
      </c>
    </row>
    <row r="11062" spans="1:22" s="1192" customFormat="1" ht="14.4" x14ac:dyDescent="0.3">
      <c r="A11062" s="1192" t="s">
        <v>142</v>
      </c>
      <c r="E11062" s="1741" t="s">
        <v>6508</v>
      </c>
      <c r="F11062" s="1998"/>
      <c r="G11062" s="1277" t="s">
        <v>20</v>
      </c>
      <c r="H11062" s="1219">
        <v>1.2999999999999999E-3</v>
      </c>
      <c r="K11062" s="1192" t="s">
        <v>2543</v>
      </c>
      <c r="L11062" s="1192" t="s">
        <v>431</v>
      </c>
      <c r="P11062" s="1192" t="s">
        <v>2549</v>
      </c>
      <c r="T11062" s="1192">
        <v>44316</v>
      </c>
      <c r="V11062" s="1192">
        <v>96</v>
      </c>
    </row>
    <row r="11063" spans="1:22" s="1192" customFormat="1" ht="14.4" x14ac:dyDescent="0.3">
      <c r="A11063" s="1192" t="s">
        <v>142</v>
      </c>
      <c r="E11063" s="1741" t="s">
        <v>6505</v>
      </c>
      <c r="F11063" s="1998"/>
      <c r="G11063" s="1277" t="s">
        <v>20</v>
      </c>
      <c r="H11063" s="1219">
        <v>2.0000000000000001E-4</v>
      </c>
      <c r="K11063" s="1192" t="s">
        <v>2543</v>
      </c>
      <c r="L11063" s="1192" t="s">
        <v>430</v>
      </c>
      <c r="P11063" s="1192" t="s">
        <v>3088</v>
      </c>
      <c r="T11063" s="1192">
        <v>44316</v>
      </c>
      <c r="V11063" s="1192">
        <v>80</v>
      </c>
    </row>
    <row r="11064" spans="1:22" s="1192" customFormat="1" ht="14.4" x14ac:dyDescent="0.3">
      <c r="A11064" s="1192" t="s">
        <v>142</v>
      </c>
      <c r="E11064" s="1741" t="s">
        <v>213</v>
      </c>
      <c r="F11064" s="1741"/>
      <c r="G11064" s="1277" t="s">
        <v>20</v>
      </c>
      <c r="H11064" s="1219">
        <v>6.4999999999999997E-3</v>
      </c>
      <c r="K11064" s="1192" t="s">
        <v>2543</v>
      </c>
      <c r="L11064" s="1192" t="s">
        <v>432</v>
      </c>
      <c r="P11064" s="1192" t="s">
        <v>2550</v>
      </c>
      <c r="V11064" s="1192">
        <v>47</v>
      </c>
    </row>
    <row r="11065" spans="1:22" s="1192" customFormat="1" ht="14.4" x14ac:dyDescent="0.3">
      <c r="A11065" s="1192" t="s">
        <v>142</v>
      </c>
      <c r="E11065" s="1741" t="s">
        <v>209</v>
      </c>
      <c r="F11065" s="1741"/>
      <c r="G11065" s="1277" t="s">
        <v>20</v>
      </c>
      <c r="H11065" s="1219">
        <v>3.8999999999999998E-3</v>
      </c>
      <c r="K11065" s="1192" t="s">
        <v>2543</v>
      </c>
      <c r="L11065" s="1192" t="s">
        <v>432</v>
      </c>
      <c r="P11065" s="1192" t="s">
        <v>2551</v>
      </c>
      <c r="V11065" s="1192">
        <v>74</v>
      </c>
    </row>
    <row r="11066" spans="1:22" s="1192" customFormat="1" ht="14.4" x14ac:dyDescent="0.3">
      <c r="A11066" s="1192" t="s">
        <v>142</v>
      </c>
      <c r="E11066" s="1750" t="s">
        <v>2405</v>
      </c>
      <c r="F11066" s="1741"/>
      <c r="G11066" s="1277"/>
      <c r="H11066" s="896"/>
      <c r="K11066" s="1192" t="s">
        <v>2438</v>
      </c>
      <c r="V11066" s="1192">
        <v>48</v>
      </c>
    </row>
    <row r="11067" spans="1:22" s="1192" customFormat="1" ht="14.4" x14ac:dyDescent="0.3">
      <c r="A11067" s="1192" t="s">
        <v>142</v>
      </c>
      <c r="E11067" s="1741" t="s">
        <v>2033</v>
      </c>
      <c r="F11067" s="1741"/>
      <c r="G11067" s="1277" t="s">
        <v>20</v>
      </c>
      <c r="H11067" s="1219">
        <v>3.0000000000000001E-3</v>
      </c>
      <c r="K11067" s="1192" t="s">
        <v>2543</v>
      </c>
      <c r="L11067" s="1192" t="s">
        <v>2374</v>
      </c>
      <c r="P11067" s="1192" t="s">
        <v>2552</v>
      </c>
      <c r="V11067" s="1192">
        <v>55</v>
      </c>
    </row>
    <row r="11068" spans="1:22" s="1192" customFormat="1" ht="14.4" x14ac:dyDescent="0.3">
      <c r="A11068" s="1192" t="s">
        <v>142</v>
      </c>
      <c r="E11068" s="1741" t="s">
        <v>2034</v>
      </c>
      <c r="F11068" s="1741"/>
      <c r="G11068" s="1277" t="s">
        <v>20</v>
      </c>
      <c r="H11068" s="1219">
        <v>4.0000000000000002E-4</v>
      </c>
      <c r="K11068" s="1192" t="s">
        <v>2543</v>
      </c>
      <c r="L11068" s="1192" t="s">
        <v>2374</v>
      </c>
      <c r="P11068" s="1192" t="s">
        <v>2552</v>
      </c>
      <c r="V11068" s="1192">
        <v>65</v>
      </c>
    </row>
    <row r="11069" spans="1:22" s="1192" customFormat="1" ht="14.4" x14ac:dyDescent="0.3">
      <c r="A11069" s="1192" t="s">
        <v>142</v>
      </c>
      <c r="E11069" s="1741" t="s">
        <v>428</v>
      </c>
      <c r="F11069" s="1741"/>
      <c r="G11069" s="1277" t="s">
        <v>20</v>
      </c>
      <c r="H11069" s="1219">
        <v>5.0000000000000001E-4</v>
      </c>
      <c r="K11069" s="1192" t="s">
        <v>2543</v>
      </c>
      <c r="L11069" s="1192" t="s">
        <v>2374</v>
      </c>
      <c r="P11069" s="1192" t="s">
        <v>2553</v>
      </c>
      <c r="V11069" s="1192">
        <v>57</v>
      </c>
    </row>
    <row r="11070" spans="1:22" s="1192" customFormat="1" ht="14.4" x14ac:dyDescent="0.3">
      <c r="A11070" s="1192" t="s">
        <v>142</v>
      </c>
      <c r="E11070" s="1741" t="s">
        <v>28</v>
      </c>
      <c r="F11070" s="1741"/>
      <c r="G11070" s="1277" t="s">
        <v>19</v>
      </c>
      <c r="H11070" s="1218">
        <v>0.25</v>
      </c>
      <c r="K11070" s="1192" t="s">
        <v>2543</v>
      </c>
      <c r="L11070" s="1192" t="s">
        <v>2374</v>
      </c>
      <c r="P11070" s="1192" t="s">
        <v>2554</v>
      </c>
      <c r="V11070" s="1192">
        <v>63</v>
      </c>
    </row>
    <row r="11071" spans="1:22" s="1192" customFormat="1" ht="17.399999999999999" x14ac:dyDescent="0.3">
      <c r="A11071" s="1192" t="s">
        <v>142</v>
      </c>
      <c r="E11071" s="1746" t="s">
        <v>593</v>
      </c>
      <c r="F11071" s="1747"/>
      <c r="G11071" s="1747"/>
      <c r="H11071" s="1747"/>
      <c r="K11071" s="1192" t="s">
        <v>2442</v>
      </c>
      <c r="V11071" s="1192">
        <v>31</v>
      </c>
    </row>
    <row r="11072" spans="1:22" s="1192" customFormat="1" ht="14.4" x14ac:dyDescent="0.3">
      <c r="A11072" s="1192" t="s">
        <v>142</v>
      </c>
      <c r="E11072" s="1743" t="s">
        <v>3307</v>
      </c>
      <c r="F11072" s="1743"/>
      <c r="G11072" s="1743"/>
      <c r="H11072" s="1743"/>
      <c r="K11072" s="1192" t="s">
        <v>2442</v>
      </c>
      <c r="V11072" s="1192">
        <v>287</v>
      </c>
    </row>
    <row r="11073" spans="1:22" s="1192" customFormat="1" ht="14.4" x14ac:dyDescent="0.3">
      <c r="A11073" s="1192" t="s">
        <v>142</v>
      </c>
      <c r="E11073" s="1750" t="s">
        <v>2389</v>
      </c>
      <c r="F11073" s="1743"/>
      <c r="G11073" s="1743"/>
      <c r="H11073" s="1743"/>
      <c r="K11073" s="1192" t="s">
        <v>2444</v>
      </c>
      <c r="V11073" s="1192">
        <v>11</v>
      </c>
    </row>
    <row r="11074" spans="1:22" s="1192" customFormat="1" ht="14.4" x14ac:dyDescent="0.3">
      <c r="A11074" s="1192" t="s">
        <v>142</v>
      </c>
      <c r="E11074" s="1743" t="s">
        <v>2391</v>
      </c>
      <c r="F11074" s="1743"/>
      <c r="G11074" s="1743"/>
      <c r="H11074" s="1743"/>
      <c r="K11074" s="1192" t="s">
        <v>2442</v>
      </c>
      <c r="V11074" s="1192">
        <v>280</v>
      </c>
    </row>
    <row r="11075" spans="1:22" s="1192" customFormat="1" ht="14.4" x14ac:dyDescent="0.3">
      <c r="A11075" s="1192" t="s">
        <v>142</v>
      </c>
      <c r="E11075" s="1743" t="s">
        <v>2392</v>
      </c>
      <c r="F11075" s="1743"/>
      <c r="G11075" s="1743"/>
      <c r="H11075" s="1743"/>
      <c r="K11075" s="1192" t="s">
        <v>2442</v>
      </c>
      <c r="V11075" s="1192">
        <v>411</v>
      </c>
    </row>
    <row r="11076" spans="1:22" s="1192" customFormat="1" ht="14.4" x14ac:dyDescent="0.3">
      <c r="A11076" s="1192" t="s">
        <v>142</v>
      </c>
      <c r="E11076" s="1743" t="s">
        <v>2445</v>
      </c>
      <c r="F11076" s="1743"/>
      <c r="G11076" s="1743"/>
      <c r="H11076" s="1743"/>
      <c r="K11076" s="1192" t="s">
        <v>2442</v>
      </c>
      <c r="V11076" s="1192">
        <v>211</v>
      </c>
    </row>
    <row r="11077" spans="1:22" s="1192" customFormat="1" ht="14.4" x14ac:dyDescent="0.3">
      <c r="A11077" s="1192" t="s">
        <v>142</v>
      </c>
      <c r="E11077" s="1743" t="s">
        <v>4500</v>
      </c>
      <c r="F11077" s="1743"/>
      <c r="G11077" s="1743"/>
      <c r="H11077" s="1743"/>
      <c r="K11077" s="1192" t="s">
        <v>2442</v>
      </c>
      <c r="V11077" s="1192">
        <v>247</v>
      </c>
    </row>
    <row r="11078" spans="1:22" s="1192" customFormat="1" ht="14.4" x14ac:dyDescent="0.3">
      <c r="A11078" s="1192" t="s">
        <v>142</v>
      </c>
      <c r="E11078" s="1750" t="s">
        <v>2394</v>
      </c>
      <c r="F11078" s="1743"/>
      <c r="G11078" s="1743"/>
      <c r="H11078" s="1743"/>
      <c r="K11078" s="1192" t="s">
        <v>2446</v>
      </c>
      <c r="V11078" s="1192">
        <v>46</v>
      </c>
    </row>
    <row r="11079" spans="1:22" s="1192" customFormat="1" ht="14.4" x14ac:dyDescent="0.3">
      <c r="A11079" s="1192" t="s">
        <v>142</v>
      </c>
      <c r="E11079" s="1741" t="s">
        <v>7</v>
      </c>
      <c r="F11079" s="1741"/>
      <c r="G11079" s="1277" t="s">
        <v>19</v>
      </c>
      <c r="H11079" s="1218">
        <v>4.55</v>
      </c>
      <c r="K11079" s="1192" t="s">
        <v>2442</v>
      </c>
      <c r="L11079" s="1192" t="s">
        <v>430</v>
      </c>
      <c r="P11079" s="1192" t="s">
        <v>2447</v>
      </c>
      <c r="V11079" s="1192">
        <v>14</v>
      </c>
    </row>
    <row r="11080" spans="1:22" s="1192" customFormat="1" x14ac:dyDescent="0.35">
      <c r="A11080" s="1192" t="s">
        <v>142</v>
      </c>
      <c r="E11080" s="1260" t="s">
        <v>81</v>
      </c>
      <c r="F11080" s="550"/>
      <c r="G11080" s="550"/>
      <c r="H11080" s="881"/>
      <c r="K11080" s="1192" t="s">
        <v>3308</v>
      </c>
      <c r="V11080" s="1192">
        <v>10</v>
      </c>
    </row>
    <row r="11081" spans="1:22" s="1192" customFormat="1" ht="14.4" x14ac:dyDescent="0.3">
      <c r="A11081" s="1192" t="s">
        <v>142</v>
      </c>
      <c r="E11081" s="1741" t="s">
        <v>2449</v>
      </c>
      <c r="F11081" s="1741"/>
      <c r="G11081" s="1277" t="s">
        <v>29</v>
      </c>
      <c r="H11081" s="1219">
        <v>-0.6</v>
      </c>
      <c r="V11081" s="1192">
        <v>68</v>
      </c>
    </row>
    <row r="11082" spans="1:22" s="1192" customFormat="1" ht="14.4" x14ac:dyDescent="0.3">
      <c r="A11082" s="1192" t="s">
        <v>142</v>
      </c>
      <c r="E11082" s="1741" t="s">
        <v>2450</v>
      </c>
      <c r="F11082" s="1741"/>
      <c r="G11082" s="1277" t="s">
        <v>82</v>
      </c>
      <c r="H11082" s="1218">
        <v>-1</v>
      </c>
      <c r="V11082" s="1192">
        <v>87</v>
      </c>
    </row>
    <row r="11083" spans="1:22" s="1192" customFormat="1" x14ac:dyDescent="0.35">
      <c r="A11083" s="1192" t="s">
        <v>142</v>
      </c>
      <c r="E11083" s="1264" t="s">
        <v>83</v>
      </c>
      <c r="F11083" s="550"/>
      <c r="G11083" s="550"/>
      <c r="H11083" s="881"/>
      <c r="K11083" s="1192" t="s">
        <v>3309</v>
      </c>
      <c r="V11083" s="1192">
        <v>24</v>
      </c>
    </row>
    <row r="11084" spans="1:22" s="1192" customFormat="1" ht="14.4" x14ac:dyDescent="0.3">
      <c r="A11084" s="1192" t="s">
        <v>142</v>
      </c>
      <c r="E11084" s="1743" t="s">
        <v>2391</v>
      </c>
      <c r="F11084" s="1743"/>
      <c r="G11084" s="1743"/>
      <c r="H11084" s="1743"/>
      <c r="V11084" s="1192">
        <v>280</v>
      </c>
    </row>
    <row r="11085" spans="1:22" s="1192" customFormat="1" ht="14.4" x14ac:dyDescent="0.3">
      <c r="A11085" s="1192" t="s">
        <v>142</v>
      </c>
      <c r="E11085" s="1743" t="s">
        <v>2452</v>
      </c>
      <c r="F11085" s="1743"/>
      <c r="G11085" s="1743"/>
      <c r="H11085" s="1743"/>
      <c r="V11085" s="1192">
        <v>353</v>
      </c>
    </row>
    <row r="11086" spans="1:22" s="1192" customFormat="1" ht="14.4" x14ac:dyDescent="0.3">
      <c r="A11086" s="1192" t="s">
        <v>142</v>
      </c>
      <c r="E11086" s="1743" t="s">
        <v>4500</v>
      </c>
      <c r="F11086" s="1743"/>
      <c r="G11086" s="1743"/>
      <c r="H11086" s="1743"/>
      <c r="V11086" s="1192">
        <v>247</v>
      </c>
    </row>
    <row r="11087" spans="1:22" s="1192" customFormat="1" ht="14.4" x14ac:dyDescent="0.3">
      <c r="A11087" s="1192" t="s">
        <v>142</v>
      </c>
      <c r="E11087" s="1258" t="s">
        <v>2453</v>
      </c>
      <c r="F11087" s="3"/>
      <c r="G11087" s="3"/>
      <c r="H11087" s="897"/>
      <c r="K11087" s="1192" t="s">
        <v>3310</v>
      </c>
      <c r="V11087" s="1192">
        <v>23</v>
      </c>
    </row>
    <row r="11088" spans="1:22" s="1192" customFormat="1" ht="14.4" x14ac:dyDescent="0.3">
      <c r="A11088" s="1192" t="s">
        <v>142</v>
      </c>
      <c r="E11088" s="1942" t="s">
        <v>2639</v>
      </c>
      <c r="F11088" s="1942"/>
      <c r="G11088" s="1277" t="s">
        <v>19</v>
      </c>
      <c r="H11088" s="1218">
        <v>15</v>
      </c>
      <c r="V11088" s="1192">
        <v>19</v>
      </c>
    </row>
    <row r="11089" spans="1:22" s="1192" customFormat="1" ht="14.4" x14ac:dyDescent="0.3">
      <c r="A11089" s="1192" t="s">
        <v>142</v>
      </c>
      <c r="E11089" s="1942" t="s">
        <v>2457</v>
      </c>
      <c r="F11089" s="1942"/>
      <c r="G11089" s="1277" t="s">
        <v>19</v>
      </c>
      <c r="H11089" s="1218">
        <v>15</v>
      </c>
      <c r="V11089" s="1192">
        <v>26</v>
      </c>
    </row>
    <row r="11090" spans="1:22" s="1192" customFormat="1" ht="14.4" x14ac:dyDescent="0.3">
      <c r="A11090" s="1192" t="s">
        <v>142</v>
      </c>
      <c r="E11090" s="1942" t="s">
        <v>2462</v>
      </c>
      <c r="F11090" s="1942"/>
      <c r="G11090" s="1277" t="s">
        <v>19</v>
      </c>
      <c r="H11090" s="1218">
        <v>15</v>
      </c>
      <c r="V11090" s="1192">
        <v>19</v>
      </c>
    </row>
    <row r="11091" spans="1:22" s="1192" customFormat="1" ht="14.4" x14ac:dyDescent="0.3">
      <c r="A11091" s="1192" t="s">
        <v>142</v>
      </c>
      <c r="E11091" s="1942" t="s">
        <v>2463</v>
      </c>
      <c r="F11091" s="1942"/>
      <c r="G11091" s="1277" t="s">
        <v>19</v>
      </c>
      <c r="H11091" s="1218">
        <v>15</v>
      </c>
      <c r="V11091" s="1192">
        <v>15</v>
      </c>
    </row>
    <row r="11092" spans="1:22" s="1192" customFormat="1" ht="14.4" x14ac:dyDescent="0.3">
      <c r="A11092" s="1192" t="s">
        <v>142</v>
      </c>
      <c r="E11092" s="1942" t="s">
        <v>2464</v>
      </c>
      <c r="F11092" s="1942"/>
      <c r="G11092" s="1277" t="s">
        <v>19</v>
      </c>
      <c r="H11092" s="1218">
        <v>15</v>
      </c>
      <c r="V11092" s="1192">
        <v>56</v>
      </c>
    </row>
    <row r="11093" spans="1:22" s="1192" customFormat="1" ht="14.4" x14ac:dyDescent="0.3">
      <c r="A11093" s="1192" t="s">
        <v>142</v>
      </c>
      <c r="E11093" s="1942" t="s">
        <v>119</v>
      </c>
      <c r="F11093" s="1942"/>
      <c r="G11093" s="1277" t="s">
        <v>19</v>
      </c>
      <c r="H11093" s="1218">
        <v>15</v>
      </c>
      <c r="V11093" s="1192">
        <v>35</v>
      </c>
    </row>
    <row r="11094" spans="1:22" s="1192" customFormat="1" ht="14.4" x14ac:dyDescent="0.3">
      <c r="A11094" s="1192" t="s">
        <v>142</v>
      </c>
      <c r="E11094" s="1942" t="s">
        <v>2466</v>
      </c>
      <c r="F11094" s="1942"/>
      <c r="G11094" s="1277" t="s">
        <v>19</v>
      </c>
      <c r="H11094" s="1218">
        <v>15</v>
      </c>
      <c r="V11094" s="1192">
        <v>24</v>
      </c>
    </row>
    <row r="11095" spans="1:22" s="1192" customFormat="1" ht="14.4" x14ac:dyDescent="0.3">
      <c r="A11095" s="1192" t="s">
        <v>142</v>
      </c>
      <c r="E11095" s="1942" t="s">
        <v>84</v>
      </c>
      <c r="F11095" s="1942"/>
      <c r="G11095" s="1277" t="s">
        <v>19</v>
      </c>
      <c r="H11095" s="1218">
        <v>30</v>
      </c>
      <c r="V11095" s="1192">
        <v>89</v>
      </c>
    </row>
    <row r="11096" spans="1:22" s="1192" customFormat="1" ht="14.4" x14ac:dyDescent="0.3">
      <c r="A11096" s="1192" t="s">
        <v>142</v>
      </c>
      <c r="E11096" s="1942" t="s">
        <v>88</v>
      </c>
      <c r="F11096" s="1942"/>
      <c r="G11096" s="1277" t="s">
        <v>19</v>
      </c>
      <c r="H11096" s="1218">
        <v>30</v>
      </c>
      <c r="V11096" s="1192">
        <v>74</v>
      </c>
    </row>
    <row r="11097" spans="1:22" s="1192" customFormat="1" ht="14.4" x14ac:dyDescent="0.3">
      <c r="A11097" s="1192" t="s">
        <v>142</v>
      </c>
      <c r="E11097" s="1942" t="s">
        <v>90</v>
      </c>
      <c r="F11097" s="1942"/>
      <c r="G11097" s="1277" t="s">
        <v>19</v>
      </c>
      <c r="H11097" s="1218">
        <v>30</v>
      </c>
      <c r="V11097" s="1192">
        <v>19</v>
      </c>
    </row>
    <row r="11098" spans="1:22" s="1192" customFormat="1" ht="14.4" x14ac:dyDescent="0.3">
      <c r="A11098" s="1192" t="s">
        <v>142</v>
      </c>
      <c r="E11098" s="1258" t="s">
        <v>2468</v>
      </c>
      <c r="F11098" s="3"/>
      <c r="G11098" s="3"/>
      <c r="H11098" s="897"/>
      <c r="K11098" s="1192" t="s">
        <v>6599</v>
      </c>
      <c r="V11098" s="1192">
        <v>22</v>
      </c>
    </row>
    <row r="11099" spans="1:22" s="1192" customFormat="1" ht="14.4" x14ac:dyDescent="0.3">
      <c r="A11099" s="1192" t="s">
        <v>142</v>
      </c>
      <c r="E11099" s="1942" t="s">
        <v>3918</v>
      </c>
      <c r="F11099" s="1942"/>
      <c r="G11099" s="1277"/>
      <c r="H11099" s="837"/>
      <c r="V11099" s="1192">
        <v>24</v>
      </c>
    </row>
    <row r="11100" spans="1:22" s="1192" customFormat="1" ht="14.4" x14ac:dyDescent="0.3">
      <c r="A11100" s="1192" t="s">
        <v>142</v>
      </c>
      <c r="E11100" s="1942" t="s">
        <v>6195</v>
      </c>
      <c r="F11100" s="1942"/>
      <c r="G11100" s="1277" t="s">
        <v>82</v>
      </c>
      <c r="H11100" s="1218">
        <v>1.5</v>
      </c>
      <c r="V11100" s="1192">
        <v>74</v>
      </c>
    </row>
    <row r="11101" spans="1:22" s="1192" customFormat="1" ht="14.4" x14ac:dyDescent="0.3">
      <c r="A11101" s="1192" t="s">
        <v>142</v>
      </c>
      <c r="E11101" s="1942" t="s">
        <v>6106</v>
      </c>
      <c r="F11101" s="1942"/>
      <c r="G11101" s="1277" t="s">
        <v>19</v>
      </c>
      <c r="H11101" s="1218">
        <v>65</v>
      </c>
      <c r="V11101" s="1192">
        <v>44</v>
      </c>
    </row>
    <row r="11102" spans="1:22" s="1192" customFormat="1" ht="14.4" x14ac:dyDescent="0.3">
      <c r="A11102" s="1192" t="s">
        <v>142</v>
      </c>
      <c r="E11102" s="1942" t="s">
        <v>6107</v>
      </c>
      <c r="F11102" s="1942"/>
      <c r="G11102" s="1277" t="s">
        <v>19</v>
      </c>
      <c r="H11102" s="1218">
        <v>185</v>
      </c>
      <c r="V11102" s="1192">
        <v>43</v>
      </c>
    </row>
    <row r="11103" spans="1:22" s="1192" customFormat="1" ht="14.4" x14ac:dyDescent="0.3">
      <c r="A11103" s="1192" t="s">
        <v>142</v>
      </c>
      <c r="E11103" s="1942" t="s">
        <v>6108</v>
      </c>
      <c r="F11103" s="1942"/>
      <c r="G11103" s="1277" t="s">
        <v>19</v>
      </c>
      <c r="H11103" s="1218">
        <v>185</v>
      </c>
      <c r="V11103" s="1192">
        <v>43</v>
      </c>
    </row>
    <row r="11104" spans="1:22" s="1192" customFormat="1" ht="14.4" x14ac:dyDescent="0.3">
      <c r="A11104" s="1192" t="s">
        <v>142</v>
      </c>
      <c r="E11104" s="1942" t="s">
        <v>6115</v>
      </c>
      <c r="F11104" s="1942"/>
      <c r="G11104" s="1277" t="s">
        <v>19</v>
      </c>
      <c r="H11104" s="1218">
        <v>415</v>
      </c>
      <c r="V11104" s="1192">
        <v>42</v>
      </c>
    </row>
    <row r="11105" spans="1:22" s="1192" customFormat="1" ht="14.4" x14ac:dyDescent="0.3">
      <c r="A11105" s="1192" t="s">
        <v>142</v>
      </c>
      <c r="E11105" s="1258" t="s">
        <v>2474</v>
      </c>
      <c r="F11105" s="453"/>
      <c r="G11105" s="360"/>
      <c r="H11105" s="837"/>
      <c r="V11105" s="1192">
        <v>5</v>
      </c>
    </row>
    <row r="11106" spans="1:22" s="1192" customFormat="1" ht="14.4" x14ac:dyDescent="0.3">
      <c r="A11106" s="1192" t="s">
        <v>142</v>
      </c>
      <c r="E11106" s="1942" t="s">
        <v>2703</v>
      </c>
      <c r="F11106" s="1942"/>
      <c r="G11106" s="1277" t="s">
        <v>19</v>
      </c>
      <c r="H11106" s="1218">
        <v>500</v>
      </c>
      <c r="V11106" s="1192">
        <v>64</v>
      </c>
    </row>
    <row r="11107" spans="1:22" s="1192" customFormat="1" ht="14.4" x14ac:dyDescent="0.3">
      <c r="A11107" s="1192" t="s">
        <v>142</v>
      </c>
      <c r="E11107" s="1942" t="s">
        <v>2758</v>
      </c>
      <c r="F11107" s="1942"/>
      <c r="G11107" s="1277" t="s">
        <v>19</v>
      </c>
      <c r="H11107" s="1218">
        <v>300</v>
      </c>
      <c r="V11107" s="1192">
        <v>67</v>
      </c>
    </row>
    <row r="11108" spans="1:22" s="1192" customFormat="1" ht="14.4" x14ac:dyDescent="0.3">
      <c r="A11108" s="1192" t="s">
        <v>142</v>
      </c>
      <c r="E11108" s="1942" t="s">
        <v>2759</v>
      </c>
      <c r="F11108" s="1942"/>
      <c r="G11108" s="1277" t="s">
        <v>19</v>
      </c>
      <c r="H11108" s="1218">
        <v>1000</v>
      </c>
      <c r="V11108" s="1192">
        <v>66</v>
      </c>
    </row>
    <row r="11109" spans="1:22" s="1192" customFormat="1" ht="14.4" x14ac:dyDescent="0.3">
      <c r="A11109" s="1192" t="s">
        <v>142</v>
      </c>
      <c r="E11109" s="1942" t="s">
        <v>2768</v>
      </c>
      <c r="F11109" s="1942"/>
      <c r="G11109" s="1277" t="s">
        <v>19</v>
      </c>
      <c r="H11109" s="1218">
        <v>44.5</v>
      </c>
      <c r="V11109" s="1192">
        <v>104</v>
      </c>
    </row>
    <row r="11110" spans="1:22" s="1192" customFormat="1" x14ac:dyDescent="0.35">
      <c r="A11110" s="1192" t="s">
        <v>142</v>
      </c>
      <c r="E11110" s="1746" t="s">
        <v>73</v>
      </c>
      <c r="F11110" s="1746"/>
      <c r="G11110" s="550"/>
      <c r="H11110" s="881"/>
      <c r="K11110" s="1192" t="s">
        <v>3311</v>
      </c>
      <c r="V11110" s="1192">
        <v>38</v>
      </c>
    </row>
    <row r="11111" spans="1:22" s="1192" customFormat="1" ht="14.4" x14ac:dyDescent="0.3">
      <c r="A11111" s="1192" t="s">
        <v>142</v>
      </c>
      <c r="E11111" s="1743" t="s">
        <v>2391</v>
      </c>
      <c r="F11111" s="1743"/>
      <c r="G11111" s="1743"/>
      <c r="H11111" s="1743"/>
      <c r="V11111" s="1192">
        <v>280</v>
      </c>
    </row>
    <row r="11112" spans="1:22" s="1192" customFormat="1" ht="14.4" x14ac:dyDescent="0.3">
      <c r="A11112" s="1192" t="s">
        <v>142</v>
      </c>
      <c r="E11112" s="1743" t="s">
        <v>2392</v>
      </c>
      <c r="F11112" s="1743"/>
      <c r="G11112" s="1743"/>
      <c r="H11112" s="1743"/>
      <c r="V11112" s="1192">
        <v>411</v>
      </c>
    </row>
    <row r="11113" spans="1:22" s="1192" customFormat="1" ht="14.4" x14ac:dyDescent="0.3">
      <c r="A11113" s="1192" t="s">
        <v>142</v>
      </c>
      <c r="E11113" s="1743" t="s">
        <v>2445</v>
      </c>
      <c r="F11113" s="1743"/>
      <c r="G11113" s="1743"/>
      <c r="H11113" s="1743"/>
      <c r="V11113" s="1192">
        <v>211</v>
      </c>
    </row>
    <row r="11114" spans="1:22" s="1192" customFormat="1" ht="14.4" x14ac:dyDescent="0.3">
      <c r="A11114" s="1192" t="s">
        <v>142</v>
      </c>
      <c r="E11114" s="1743" t="s">
        <v>4500</v>
      </c>
      <c r="F11114" s="1743"/>
      <c r="G11114" s="1743"/>
      <c r="H11114" s="1743"/>
      <c r="V11114" s="1192">
        <v>247</v>
      </c>
    </row>
    <row r="11115" spans="1:22" s="1192" customFormat="1" ht="14.4" x14ac:dyDescent="0.3">
      <c r="A11115" s="1192" t="s">
        <v>142</v>
      </c>
      <c r="E11115" s="1743" t="s">
        <v>2595</v>
      </c>
      <c r="F11115" s="1743"/>
      <c r="G11115" s="1743"/>
      <c r="H11115" s="1743"/>
      <c r="V11115" s="1192">
        <v>142</v>
      </c>
    </row>
    <row r="11116" spans="1:22" s="1192" customFormat="1" ht="14.4" x14ac:dyDescent="0.3">
      <c r="A11116" s="1192" t="s">
        <v>142</v>
      </c>
      <c r="E11116" s="1741" t="s">
        <v>2485</v>
      </c>
      <c r="F11116" s="1741"/>
      <c r="G11116" s="360" t="s">
        <v>19</v>
      </c>
      <c r="H11116" s="1218">
        <v>102</v>
      </c>
      <c r="V11116" s="1192">
        <v>106</v>
      </c>
    </row>
    <row r="11117" spans="1:22" s="1192" customFormat="1" ht="14.4" x14ac:dyDescent="0.3">
      <c r="A11117" s="1192" t="s">
        <v>142</v>
      </c>
      <c r="E11117" s="1741" t="s">
        <v>3919</v>
      </c>
      <c r="F11117" s="1741"/>
      <c r="G11117" s="360" t="s">
        <v>19</v>
      </c>
      <c r="H11117" s="1218">
        <v>40.799999999999997</v>
      </c>
      <c r="V11117" s="1192">
        <v>34</v>
      </c>
    </row>
    <row r="11118" spans="1:22" s="1192" customFormat="1" ht="14.4" x14ac:dyDescent="0.3">
      <c r="A11118" s="1192" t="s">
        <v>142</v>
      </c>
      <c r="E11118" s="1741" t="s">
        <v>3920</v>
      </c>
      <c r="F11118" s="1741"/>
      <c r="G11118" s="360" t="s">
        <v>2488</v>
      </c>
      <c r="H11118" s="1218">
        <v>1.02</v>
      </c>
      <c r="V11118" s="1192">
        <v>51</v>
      </c>
    </row>
    <row r="11119" spans="1:22" s="1192" customFormat="1" ht="14.4" x14ac:dyDescent="0.3">
      <c r="A11119" s="1192" t="s">
        <v>142</v>
      </c>
      <c r="E11119" s="1741" t="s">
        <v>2489</v>
      </c>
      <c r="F11119" s="1741"/>
      <c r="G11119" s="360" t="s">
        <v>2488</v>
      </c>
      <c r="H11119" s="1218">
        <v>0.61</v>
      </c>
      <c r="V11119" s="1192">
        <v>75</v>
      </c>
    </row>
    <row r="11120" spans="1:22" s="1192" customFormat="1" ht="14.4" x14ac:dyDescent="0.3">
      <c r="A11120" s="1192" t="s">
        <v>142</v>
      </c>
      <c r="E11120" s="1741" t="s">
        <v>2490</v>
      </c>
      <c r="F11120" s="1741"/>
      <c r="G11120" s="360" t="s">
        <v>2488</v>
      </c>
      <c r="H11120" s="1218">
        <v>-0.61</v>
      </c>
      <c r="V11120" s="1192">
        <v>72</v>
      </c>
    </row>
    <row r="11121" spans="1:22" s="1192" customFormat="1" ht="14.4" x14ac:dyDescent="0.3">
      <c r="A11121" s="1192" t="s">
        <v>142</v>
      </c>
      <c r="E11121" s="1741" t="s">
        <v>2596</v>
      </c>
      <c r="F11121" s="1741"/>
      <c r="G11121" s="360"/>
      <c r="H11121" s="837"/>
      <c r="V11121" s="1192">
        <v>34</v>
      </c>
    </row>
    <row r="11122" spans="1:22" s="1192" customFormat="1" ht="14.4" x14ac:dyDescent="0.3">
      <c r="A11122" s="1192" t="s">
        <v>142</v>
      </c>
      <c r="E11122" s="1941" t="s">
        <v>2492</v>
      </c>
      <c r="F11122" s="1941"/>
      <c r="G11122" s="360" t="s">
        <v>19</v>
      </c>
      <c r="H11122" s="1218">
        <v>0.51</v>
      </c>
      <c r="V11122" s="1192">
        <v>57</v>
      </c>
    </row>
    <row r="11123" spans="1:22" s="1192" customFormat="1" ht="14.4" x14ac:dyDescent="0.3">
      <c r="A11123" s="1192" t="s">
        <v>142</v>
      </c>
      <c r="E11123" s="1941" t="s">
        <v>2493</v>
      </c>
      <c r="F11123" s="1941"/>
      <c r="G11123" s="360" t="s">
        <v>19</v>
      </c>
      <c r="H11123" s="1218">
        <v>1.02</v>
      </c>
      <c r="V11123" s="1192">
        <v>60</v>
      </c>
    </row>
    <row r="11124" spans="1:22" s="1192" customFormat="1" ht="14.4" x14ac:dyDescent="0.3">
      <c r="A11124" s="1192" t="s">
        <v>142</v>
      </c>
      <c r="E11124" s="1741" t="s">
        <v>2494</v>
      </c>
      <c r="F11124" s="1741"/>
      <c r="G11124" s="360"/>
      <c r="H11124" s="837"/>
      <c r="V11124" s="1192">
        <v>91</v>
      </c>
    </row>
    <row r="11125" spans="1:22" s="1192" customFormat="1" ht="14.4" x14ac:dyDescent="0.3">
      <c r="A11125" s="1192" t="s">
        <v>142</v>
      </c>
      <c r="E11125" s="1741" t="s">
        <v>2495</v>
      </c>
      <c r="F11125" s="1741"/>
      <c r="G11125" s="360"/>
      <c r="H11125" s="837"/>
      <c r="V11125" s="1192">
        <v>96</v>
      </c>
    </row>
    <row r="11126" spans="1:22" s="1192" customFormat="1" ht="14.4" x14ac:dyDescent="0.3">
      <c r="A11126" s="1192" t="s">
        <v>142</v>
      </c>
      <c r="E11126" s="1741" t="s">
        <v>2597</v>
      </c>
      <c r="F11126" s="1741"/>
      <c r="G11126" s="360"/>
      <c r="H11126" s="837"/>
      <c r="V11126" s="1192">
        <v>77</v>
      </c>
    </row>
    <row r="11127" spans="1:22" s="1192" customFormat="1" ht="14.4" x14ac:dyDescent="0.3">
      <c r="A11127" s="1192" t="s">
        <v>142</v>
      </c>
      <c r="E11127" s="1941" t="s">
        <v>2497</v>
      </c>
      <c r="F11127" s="1941"/>
      <c r="G11127" s="360" t="s">
        <v>19</v>
      </c>
      <c r="H11127" s="837" t="s">
        <v>2498</v>
      </c>
      <c r="V11127" s="1192">
        <v>18</v>
      </c>
    </row>
    <row r="11128" spans="1:22" s="1192" customFormat="1" ht="14.4" x14ac:dyDescent="0.3">
      <c r="A11128" s="1192" t="s">
        <v>142</v>
      </c>
      <c r="E11128" s="1941" t="s">
        <v>2499</v>
      </c>
      <c r="F11128" s="1941"/>
      <c r="G11128" s="360" t="s">
        <v>19</v>
      </c>
      <c r="H11128" s="1218">
        <v>4.08</v>
      </c>
      <c r="V11128" s="1192">
        <v>69</v>
      </c>
    </row>
    <row r="11129" spans="1:22" s="1192" customFormat="1" ht="14.4" x14ac:dyDescent="0.3">
      <c r="A11129" s="1192" t="s">
        <v>142</v>
      </c>
      <c r="E11129" s="1741" t="s">
        <v>4608</v>
      </c>
      <c r="F11129" s="1741"/>
      <c r="G11129" s="360" t="s">
        <v>19</v>
      </c>
      <c r="H11129" s="1218">
        <v>2.04</v>
      </c>
      <c r="V11129" s="1192">
        <v>199</v>
      </c>
    </row>
    <row r="11130" spans="1:22" s="1192" customFormat="1" x14ac:dyDescent="0.35">
      <c r="A11130" s="1192" t="s">
        <v>142</v>
      </c>
      <c r="E11130" s="1260" t="s">
        <v>143</v>
      </c>
      <c r="F11130" s="550"/>
      <c r="G11130" s="550"/>
      <c r="H11130" s="881"/>
      <c r="K11130" s="1192" t="s">
        <v>3312</v>
      </c>
      <c r="V11130" s="1192">
        <v>12</v>
      </c>
    </row>
    <row r="11131" spans="1:22" s="1192" customFormat="1" ht="14.4" x14ac:dyDescent="0.3">
      <c r="A11131" s="1192" t="s">
        <v>142</v>
      </c>
      <c r="E11131" s="1741" t="s">
        <v>2501</v>
      </c>
      <c r="F11131" s="1741"/>
      <c r="G11131" s="1741"/>
      <c r="H11131" s="1741"/>
      <c r="V11131" s="1192">
        <v>203</v>
      </c>
    </row>
    <row r="11132" spans="1:22" s="1192" customFormat="1" ht="14.4" x14ac:dyDescent="0.3">
      <c r="A11132" s="1192" t="s">
        <v>142</v>
      </c>
      <c r="E11132" s="1741" t="s">
        <v>2599</v>
      </c>
      <c r="F11132" s="1741"/>
      <c r="G11132" s="1277"/>
      <c r="H11132" s="837">
        <v>1.0481</v>
      </c>
      <c r="V11132" s="1192">
        <v>57</v>
      </c>
    </row>
    <row r="11133" spans="1:22" s="1192" customFormat="1" ht="14.4" x14ac:dyDescent="0.3">
      <c r="A11133" s="1192" t="s">
        <v>142</v>
      </c>
      <c r="E11133" s="1741" t="s">
        <v>2601</v>
      </c>
      <c r="F11133" s="1741"/>
      <c r="G11133" s="1277"/>
      <c r="H11133" s="837">
        <v>1.0376000000000001</v>
      </c>
      <c r="J11133" s="1192" t="s">
        <v>3313</v>
      </c>
      <c r="V11133" s="1192">
        <v>55</v>
      </c>
    </row>
    <row r="11134" spans="1:22" s="1192" customFormat="1" ht="22.8" x14ac:dyDescent="0.3">
      <c r="A11134" s="1192" t="s">
        <v>235</v>
      </c>
      <c r="C11134" s="1192" t="s">
        <v>2378</v>
      </c>
      <c r="E11134" s="1752" t="s">
        <v>235</v>
      </c>
      <c r="F11134" s="1752"/>
      <c r="G11134" s="1752"/>
      <c r="H11134" s="1752"/>
      <c r="I11134" s="1192" t="s">
        <v>603</v>
      </c>
      <c r="J11134" s="1192" t="s">
        <v>3314</v>
      </c>
      <c r="K11134" s="1192" t="s">
        <v>235</v>
      </c>
      <c r="M11134" s="1192">
        <v>8</v>
      </c>
      <c r="V11134" s="1192">
        <v>38</v>
      </c>
    </row>
    <row r="11135" spans="1:22" s="1192" customFormat="1" ht="17.399999999999999" x14ac:dyDescent="0.3">
      <c r="A11135" s="1192" t="s">
        <v>235</v>
      </c>
      <c r="C11135" s="1192" t="s">
        <v>2380</v>
      </c>
      <c r="E11135" s="1753" t="s">
        <v>2381</v>
      </c>
      <c r="F11135" s="1753"/>
      <c r="G11135" s="1753"/>
      <c r="H11135" s="1753"/>
      <c r="V11135" s="1192">
        <v>27</v>
      </c>
    </row>
    <row r="11136" spans="1:22" s="1192" customFormat="1" ht="15.6" x14ac:dyDescent="0.3">
      <c r="A11136" s="1192" t="s">
        <v>235</v>
      </c>
      <c r="C11136" s="1192" t="s">
        <v>2382</v>
      </c>
      <c r="E11136" s="1754" t="s">
        <v>6482</v>
      </c>
      <c r="F11136" s="1754"/>
      <c r="G11136" s="1754"/>
      <c r="H11136" s="1754"/>
      <c r="S11136" s="1192">
        <v>43952</v>
      </c>
      <c r="V11136" s="1192">
        <v>45</v>
      </c>
    </row>
    <row r="11137" spans="1:22" s="1192" customFormat="1" ht="14.4" x14ac:dyDescent="0.3">
      <c r="A11137" s="1192" t="s">
        <v>235</v>
      </c>
      <c r="C11137" s="1192" t="s">
        <v>2383</v>
      </c>
      <c r="E11137" s="2251" t="s">
        <v>2384</v>
      </c>
      <c r="F11137" s="2251"/>
      <c r="G11137" s="2251"/>
      <c r="H11137" s="2251"/>
      <c r="V11137" s="1192">
        <v>52</v>
      </c>
    </row>
    <row r="11138" spans="1:22" s="1192" customFormat="1" ht="14.4" x14ac:dyDescent="0.3">
      <c r="A11138" s="1192" t="s">
        <v>235</v>
      </c>
      <c r="E11138" s="2251" t="s">
        <v>2385</v>
      </c>
      <c r="F11138" s="2251"/>
      <c r="G11138" s="2251"/>
      <c r="H11138" s="2251"/>
      <c r="V11138" s="1192">
        <v>53</v>
      </c>
    </row>
    <row r="11139" spans="1:22" s="1192" customFormat="1" ht="14.4" x14ac:dyDescent="0.3">
      <c r="A11139" s="1192" t="s">
        <v>235</v>
      </c>
      <c r="E11139" s="1772" t="s">
        <v>6600</v>
      </c>
      <c r="F11139" s="1772"/>
      <c r="G11139" s="1772"/>
      <c r="H11139" s="1772"/>
      <c r="K11139" s="1192" t="s">
        <v>6600</v>
      </c>
      <c r="V11139" s="1192">
        <v>12</v>
      </c>
    </row>
    <row r="11140" spans="1:22" s="1192" customFormat="1" ht="14.4" x14ac:dyDescent="0.3">
      <c r="A11140" s="1192" t="s">
        <v>235</v>
      </c>
      <c r="E11140" s="1746" t="s">
        <v>427</v>
      </c>
      <c r="F11140" s="1743"/>
      <c r="G11140" s="1743"/>
      <c r="H11140" s="1743"/>
      <c r="K11140" s="1192" t="s">
        <v>2506</v>
      </c>
      <c r="V11140" s="1192">
        <v>34</v>
      </c>
    </row>
    <row r="11141" spans="1:22" s="1192" customFormat="1" ht="14.4" x14ac:dyDescent="0.3">
      <c r="A11141" s="1192" t="s">
        <v>235</v>
      </c>
      <c r="E11141" s="1743" t="s">
        <v>3315</v>
      </c>
      <c r="F11141" s="1743"/>
      <c r="G11141" s="1743"/>
      <c r="H11141" s="1743"/>
      <c r="K11141" s="1192" t="s">
        <v>2506</v>
      </c>
      <c r="V11141" s="1192">
        <v>616</v>
      </c>
    </row>
    <row r="11142" spans="1:22" s="1192" customFormat="1" ht="14.4" x14ac:dyDescent="0.3">
      <c r="A11142" s="1192" t="s">
        <v>235</v>
      </c>
      <c r="E11142" s="1750" t="s">
        <v>2389</v>
      </c>
      <c r="F11142" s="1743"/>
      <c r="G11142" s="1743"/>
      <c r="H11142" s="1743"/>
      <c r="K11142" s="1192" t="s">
        <v>2390</v>
      </c>
      <c r="V11142" s="1192">
        <v>11</v>
      </c>
    </row>
    <row r="11143" spans="1:22" s="1192" customFormat="1" ht="14.4" x14ac:dyDescent="0.3">
      <c r="A11143" s="1192" t="s">
        <v>235</v>
      </c>
      <c r="E11143" s="1743" t="s">
        <v>2391</v>
      </c>
      <c r="F11143" s="1743"/>
      <c r="G11143" s="1743"/>
      <c r="H11143" s="1743"/>
      <c r="K11143" s="1192" t="s">
        <v>2506</v>
      </c>
      <c r="V11143" s="1192">
        <v>280</v>
      </c>
    </row>
    <row r="11144" spans="1:22" s="1192" customFormat="1" ht="14.4" x14ac:dyDescent="0.3">
      <c r="A11144" s="1192" t="s">
        <v>235</v>
      </c>
      <c r="E11144" s="1743" t="s">
        <v>2392</v>
      </c>
      <c r="F11144" s="1743"/>
      <c r="G11144" s="1743"/>
      <c r="H11144" s="1743"/>
      <c r="K11144" s="1192" t="s">
        <v>2506</v>
      </c>
      <c r="V11144" s="1192">
        <v>411</v>
      </c>
    </row>
    <row r="11145" spans="1:22" s="1192" customFormat="1" ht="14.4" x14ac:dyDescent="0.3">
      <c r="A11145" s="1192" t="s">
        <v>235</v>
      </c>
      <c r="E11145" s="1743" t="s">
        <v>2508</v>
      </c>
      <c r="F11145" s="1743"/>
      <c r="G11145" s="1743"/>
      <c r="H11145" s="1743"/>
      <c r="K11145" s="1192" t="s">
        <v>2506</v>
      </c>
      <c r="V11145" s="1192">
        <v>386</v>
      </c>
    </row>
    <row r="11146" spans="1:22" s="1192" customFormat="1" ht="14.4" x14ac:dyDescent="0.3">
      <c r="A11146" s="1192" t="s">
        <v>235</v>
      </c>
      <c r="E11146" s="1743" t="s">
        <v>4500</v>
      </c>
      <c r="F11146" s="1743"/>
      <c r="G11146" s="1743"/>
      <c r="H11146" s="1743"/>
      <c r="K11146" s="1192" t="s">
        <v>2506</v>
      </c>
      <c r="V11146" s="1192">
        <v>247</v>
      </c>
    </row>
    <row r="11147" spans="1:22" s="1192" customFormat="1" ht="14.4" x14ac:dyDescent="0.3">
      <c r="A11147" s="1192" t="s">
        <v>235</v>
      </c>
      <c r="E11147" s="1750" t="s">
        <v>2394</v>
      </c>
      <c r="F11147" s="1743"/>
      <c r="G11147" s="1743"/>
      <c r="H11147" s="1743"/>
      <c r="K11147" s="1192" t="s">
        <v>2395</v>
      </c>
      <c r="V11147" s="1192">
        <v>46</v>
      </c>
    </row>
    <row r="11148" spans="1:22" s="1192" customFormat="1" ht="14.4" x14ac:dyDescent="0.3">
      <c r="A11148" s="1192" t="s">
        <v>235</v>
      </c>
      <c r="E11148" s="1741" t="s">
        <v>7</v>
      </c>
      <c r="F11148" s="1741"/>
      <c r="G11148" s="1277" t="s">
        <v>19</v>
      </c>
      <c r="H11148" s="1218">
        <v>27.93</v>
      </c>
      <c r="K11148" s="1192" t="s">
        <v>2506</v>
      </c>
      <c r="L11148" s="1192" t="s">
        <v>430</v>
      </c>
      <c r="P11148" s="1192" t="s">
        <v>2510</v>
      </c>
      <c r="V11148" s="1192">
        <v>14</v>
      </c>
    </row>
    <row r="11149" spans="1:22" s="1192" customFormat="1" ht="14.4" x14ac:dyDescent="0.3">
      <c r="A11149" s="1192" t="s">
        <v>235</v>
      </c>
      <c r="E11149" s="1741" t="s">
        <v>6601</v>
      </c>
      <c r="F11149" s="1741"/>
      <c r="G11149" s="1277" t="s">
        <v>19</v>
      </c>
      <c r="H11149" s="1218">
        <v>2.56</v>
      </c>
      <c r="K11149" s="1192" t="s">
        <v>2506</v>
      </c>
      <c r="L11149" s="1192" t="s">
        <v>430</v>
      </c>
      <c r="P11149" s="1192" t="s">
        <v>6150</v>
      </c>
      <c r="V11149" s="1192">
        <v>148</v>
      </c>
    </row>
    <row r="11150" spans="1:22" s="1192" customFormat="1" ht="14.4" x14ac:dyDescent="0.3">
      <c r="A11150" s="1192" t="s">
        <v>235</v>
      </c>
      <c r="E11150" s="1741" t="s">
        <v>3900</v>
      </c>
      <c r="F11150" s="1741"/>
      <c r="G11150" s="1277" t="s">
        <v>19</v>
      </c>
      <c r="H11150" s="1218">
        <v>0.56999999999999995</v>
      </c>
      <c r="K11150" s="1192" t="s">
        <v>2506</v>
      </c>
      <c r="L11150" s="1192" t="s">
        <v>431</v>
      </c>
      <c r="P11150" s="1192" t="s">
        <v>2511</v>
      </c>
      <c r="T11150" s="1192">
        <v>44926</v>
      </c>
      <c r="V11150" s="1192">
        <v>64</v>
      </c>
    </row>
    <row r="11151" spans="1:22" s="1192" customFormat="1" ht="14.4" x14ac:dyDescent="0.3">
      <c r="A11151" s="1192" t="s">
        <v>235</v>
      </c>
      <c r="E11151" s="1741" t="s">
        <v>6505</v>
      </c>
      <c r="F11151" s="1998"/>
      <c r="G11151" s="1277" t="s">
        <v>19</v>
      </c>
      <c r="H11151" s="1218">
        <v>-0.06</v>
      </c>
      <c r="K11151" s="1192" t="s">
        <v>2506</v>
      </c>
      <c r="L11151" s="1192" t="s">
        <v>430</v>
      </c>
      <c r="P11151" s="1192" t="s">
        <v>3085</v>
      </c>
      <c r="T11151" s="1192">
        <v>44316</v>
      </c>
      <c r="V11151" s="1192">
        <v>80</v>
      </c>
    </row>
    <row r="11152" spans="1:22" s="1192" customFormat="1" ht="14.4" x14ac:dyDescent="0.3">
      <c r="A11152" s="1192" t="s">
        <v>235</v>
      </c>
      <c r="E11152" s="1741" t="s">
        <v>14</v>
      </c>
      <c r="F11152" s="1741"/>
      <c r="G11152" s="1277" t="s">
        <v>20</v>
      </c>
      <c r="H11152" s="1219">
        <v>5.9999999999999995E-4</v>
      </c>
      <c r="K11152" s="1192" t="s">
        <v>2506</v>
      </c>
      <c r="L11152" s="1192" t="s">
        <v>431</v>
      </c>
      <c r="P11152" s="1192" t="s">
        <v>2513</v>
      </c>
      <c r="V11152" s="1192">
        <v>24</v>
      </c>
    </row>
    <row r="11153" spans="1:22" s="1192" customFormat="1" ht="14.4" x14ac:dyDescent="0.3">
      <c r="A11153" s="1192" t="s">
        <v>235</v>
      </c>
      <c r="E11153" s="1741" t="s">
        <v>213</v>
      </c>
      <c r="F11153" s="1741"/>
      <c r="G11153" s="1277" t="s">
        <v>20</v>
      </c>
      <c r="H11153" s="1219">
        <v>5.7999999999999996E-3</v>
      </c>
      <c r="K11153" s="1192" t="s">
        <v>2506</v>
      </c>
      <c r="L11153" s="1192" t="s">
        <v>432</v>
      </c>
      <c r="P11153" s="1192" t="s">
        <v>2517</v>
      </c>
      <c r="V11153" s="1192">
        <v>47</v>
      </c>
    </row>
    <row r="11154" spans="1:22" s="1192" customFormat="1" ht="14.4" x14ac:dyDescent="0.3">
      <c r="A11154" s="1192" t="s">
        <v>235</v>
      </c>
      <c r="E11154" s="1741" t="s">
        <v>209</v>
      </c>
      <c r="F11154" s="1741"/>
      <c r="G11154" s="1277" t="s">
        <v>20</v>
      </c>
      <c r="H11154" s="1219">
        <v>4.7999999999999996E-3</v>
      </c>
      <c r="K11154" s="1192" t="s">
        <v>2506</v>
      </c>
      <c r="L11154" s="1192" t="s">
        <v>432</v>
      </c>
      <c r="P11154" s="1192" t="s">
        <v>2518</v>
      </c>
      <c r="V11154" s="1192">
        <v>74</v>
      </c>
    </row>
    <row r="11155" spans="1:22" s="1192" customFormat="1" ht="14.4" x14ac:dyDescent="0.3">
      <c r="A11155" s="1192" t="s">
        <v>235</v>
      </c>
      <c r="E11155" s="1750" t="s">
        <v>2405</v>
      </c>
      <c r="F11155" s="1741"/>
      <c r="G11155" s="1277"/>
      <c r="H11155" s="896"/>
      <c r="K11155" s="1192" t="s">
        <v>2406</v>
      </c>
      <c r="V11155" s="1192">
        <v>48</v>
      </c>
    </row>
    <row r="11156" spans="1:22" s="1192" customFormat="1" ht="14.4" x14ac:dyDescent="0.3">
      <c r="A11156" s="1192" t="s">
        <v>235</v>
      </c>
      <c r="E11156" s="1741" t="s">
        <v>2033</v>
      </c>
      <c r="F11156" s="1741"/>
      <c r="G11156" s="1277" t="s">
        <v>20</v>
      </c>
      <c r="H11156" s="1219">
        <v>3.0000000000000001E-3</v>
      </c>
      <c r="K11156" s="1192" t="s">
        <v>2506</v>
      </c>
      <c r="L11156" s="1192" t="s">
        <v>2374</v>
      </c>
      <c r="P11156" s="1192" t="s">
        <v>2519</v>
      </c>
      <c r="V11156" s="1192">
        <v>55</v>
      </c>
    </row>
    <row r="11157" spans="1:22" s="1192" customFormat="1" ht="14.4" x14ac:dyDescent="0.3">
      <c r="A11157" s="1192" t="s">
        <v>235</v>
      </c>
      <c r="E11157" s="1741" t="s">
        <v>2034</v>
      </c>
      <c r="F11157" s="1741"/>
      <c r="G11157" s="1277" t="s">
        <v>20</v>
      </c>
      <c r="H11157" s="1219">
        <v>4.0000000000000002E-4</v>
      </c>
      <c r="K11157" s="1192" t="s">
        <v>2506</v>
      </c>
      <c r="L11157" s="1192" t="s">
        <v>2374</v>
      </c>
      <c r="P11157" s="1192" t="s">
        <v>2519</v>
      </c>
      <c r="V11157" s="1192">
        <v>65</v>
      </c>
    </row>
    <row r="11158" spans="1:22" s="1192" customFormat="1" ht="14.4" x14ac:dyDescent="0.3">
      <c r="A11158" s="1192" t="s">
        <v>235</v>
      </c>
      <c r="E11158" s="1741" t="s">
        <v>428</v>
      </c>
      <c r="F11158" s="1741"/>
      <c r="G11158" s="1277" t="s">
        <v>20</v>
      </c>
      <c r="H11158" s="1219">
        <v>5.0000000000000001E-4</v>
      </c>
      <c r="K11158" s="1192" t="s">
        <v>2506</v>
      </c>
      <c r="L11158" s="1192" t="s">
        <v>2374</v>
      </c>
      <c r="P11158" s="1192" t="s">
        <v>2520</v>
      </c>
      <c r="V11158" s="1192">
        <v>57</v>
      </c>
    </row>
    <row r="11159" spans="1:22" s="1192" customFormat="1" ht="14.4" x14ac:dyDescent="0.3">
      <c r="A11159" s="1192" t="s">
        <v>235</v>
      </c>
      <c r="E11159" s="1741" t="s">
        <v>28</v>
      </c>
      <c r="F11159" s="1741"/>
      <c r="G11159" s="1277" t="s">
        <v>19</v>
      </c>
      <c r="H11159" s="1218">
        <v>0.25</v>
      </c>
      <c r="K11159" s="1192" t="s">
        <v>2506</v>
      </c>
      <c r="L11159" s="1192" t="s">
        <v>2374</v>
      </c>
      <c r="P11159" s="1192" t="s">
        <v>2521</v>
      </c>
      <c r="V11159" s="1192">
        <v>63</v>
      </c>
    </row>
    <row r="11160" spans="1:22" s="1192" customFormat="1" ht="17.399999999999999" x14ac:dyDescent="0.3">
      <c r="A11160" s="1192" t="s">
        <v>235</v>
      </c>
      <c r="E11160" s="1746" t="s">
        <v>2522</v>
      </c>
      <c r="F11160" s="1747"/>
      <c r="G11160" s="1747"/>
      <c r="H11160" s="1747"/>
      <c r="K11160" s="1192" t="s">
        <v>3901</v>
      </c>
      <c r="V11160" s="1192">
        <v>54</v>
      </c>
    </row>
    <row r="11161" spans="1:22" s="1192" customFormat="1" ht="14.4" x14ac:dyDescent="0.3">
      <c r="A11161" s="1192" t="s">
        <v>235</v>
      </c>
      <c r="E11161" s="1743" t="s">
        <v>3316</v>
      </c>
      <c r="F11161" s="1743"/>
      <c r="G11161" s="1743"/>
      <c r="H11161" s="1743"/>
      <c r="K11161" s="1192" t="s">
        <v>3901</v>
      </c>
      <c r="V11161" s="1192">
        <v>334</v>
      </c>
    </row>
    <row r="11162" spans="1:22" s="1192" customFormat="1" ht="14.4" x14ac:dyDescent="0.3">
      <c r="A11162" s="1192" t="s">
        <v>235</v>
      </c>
      <c r="E11162" s="1750" t="s">
        <v>2389</v>
      </c>
      <c r="F11162" s="1743"/>
      <c r="G11162" s="1743"/>
      <c r="H11162" s="1743"/>
      <c r="K11162" s="1192" t="s">
        <v>2412</v>
      </c>
      <c r="V11162" s="1192">
        <v>11</v>
      </c>
    </row>
    <row r="11163" spans="1:22" s="1192" customFormat="1" ht="14.4" x14ac:dyDescent="0.3">
      <c r="A11163" s="1192" t="s">
        <v>235</v>
      </c>
      <c r="E11163" s="1743" t="s">
        <v>2391</v>
      </c>
      <c r="F11163" s="1743"/>
      <c r="G11163" s="1743"/>
      <c r="H11163" s="1743"/>
      <c r="K11163" s="1192" t="s">
        <v>3901</v>
      </c>
      <c r="V11163" s="1192">
        <v>280</v>
      </c>
    </row>
    <row r="11164" spans="1:22" s="1192" customFormat="1" ht="14.4" x14ac:dyDescent="0.3">
      <c r="A11164" s="1192" t="s">
        <v>235</v>
      </c>
      <c r="E11164" s="1743" t="s">
        <v>2392</v>
      </c>
      <c r="F11164" s="1743"/>
      <c r="G11164" s="1743"/>
      <c r="H11164" s="1743"/>
      <c r="K11164" s="1192" t="s">
        <v>3901</v>
      </c>
      <c r="V11164" s="1192">
        <v>411</v>
      </c>
    </row>
    <row r="11165" spans="1:22" s="1192" customFormat="1" ht="14.4" x14ac:dyDescent="0.3">
      <c r="A11165" s="1192" t="s">
        <v>235</v>
      </c>
      <c r="E11165" s="1743" t="s">
        <v>2508</v>
      </c>
      <c r="F11165" s="1743"/>
      <c r="G11165" s="1743"/>
      <c r="H11165" s="1743"/>
      <c r="K11165" s="1192" t="s">
        <v>3901</v>
      </c>
      <c r="V11165" s="1192">
        <v>386</v>
      </c>
    </row>
    <row r="11166" spans="1:22" s="1192" customFormat="1" ht="14.4" x14ac:dyDescent="0.3">
      <c r="A11166" s="1192" t="s">
        <v>235</v>
      </c>
      <c r="E11166" s="1743" t="s">
        <v>4500</v>
      </c>
      <c r="F11166" s="1743"/>
      <c r="G11166" s="1743"/>
      <c r="H11166" s="1743"/>
      <c r="K11166" s="1192" t="s">
        <v>3901</v>
      </c>
      <c r="V11166" s="1192">
        <v>247</v>
      </c>
    </row>
    <row r="11167" spans="1:22" s="1192" customFormat="1" ht="14.4" x14ac:dyDescent="0.3">
      <c r="A11167" s="1192" t="s">
        <v>235</v>
      </c>
      <c r="E11167" s="1750" t="s">
        <v>2394</v>
      </c>
      <c r="F11167" s="1743"/>
      <c r="G11167" s="1743"/>
      <c r="H11167" s="1743"/>
      <c r="K11167" s="1192" t="s">
        <v>2413</v>
      </c>
      <c r="V11167" s="1192">
        <v>46</v>
      </c>
    </row>
    <row r="11168" spans="1:22" s="1192" customFormat="1" ht="14.4" x14ac:dyDescent="0.3">
      <c r="A11168" s="1192" t="s">
        <v>235</v>
      </c>
      <c r="E11168" s="1741" t="s">
        <v>7</v>
      </c>
      <c r="F11168" s="1741"/>
      <c r="G11168" s="1277" t="s">
        <v>19</v>
      </c>
      <c r="H11168" s="1218">
        <v>37.42</v>
      </c>
      <c r="K11168" s="1192" t="s">
        <v>3901</v>
      </c>
      <c r="L11168" s="1192" t="s">
        <v>430</v>
      </c>
      <c r="P11168" s="1192" t="s">
        <v>3902</v>
      </c>
      <c r="V11168" s="1192">
        <v>14</v>
      </c>
    </row>
    <row r="11169" spans="1:22" s="1192" customFormat="1" ht="14.4" x14ac:dyDescent="0.3">
      <c r="A11169" s="1192" t="s">
        <v>235</v>
      </c>
      <c r="E11169" s="1741" t="s">
        <v>6601</v>
      </c>
      <c r="F11169" s="1741"/>
      <c r="G11169" s="1277" t="s">
        <v>19</v>
      </c>
      <c r="H11169" s="1218">
        <v>7.48</v>
      </c>
      <c r="K11169" s="1192" t="s">
        <v>3901</v>
      </c>
      <c r="L11169" s="1192" t="s">
        <v>430</v>
      </c>
      <c r="P11169" s="1192" t="s">
        <v>4684</v>
      </c>
      <c r="V11169" s="1192">
        <v>148</v>
      </c>
    </row>
    <row r="11170" spans="1:22" s="1192" customFormat="1" ht="14.4" x14ac:dyDescent="0.3">
      <c r="A11170" s="1192" t="s">
        <v>235</v>
      </c>
      <c r="E11170" s="1741" t="s">
        <v>3900</v>
      </c>
      <c r="F11170" s="1741"/>
      <c r="G11170" s="1277" t="s">
        <v>19</v>
      </c>
      <c r="H11170" s="1218">
        <v>0.56999999999999995</v>
      </c>
      <c r="K11170" s="1192" t="s">
        <v>3901</v>
      </c>
      <c r="L11170" s="1192" t="s">
        <v>431</v>
      </c>
      <c r="P11170" s="1192" t="s">
        <v>3903</v>
      </c>
      <c r="T11170" s="1192">
        <v>44926</v>
      </c>
      <c r="V11170" s="1192">
        <v>64</v>
      </c>
    </row>
    <row r="11171" spans="1:22" s="1192" customFormat="1" ht="14.4" x14ac:dyDescent="0.3">
      <c r="A11171" s="1192" t="s">
        <v>235</v>
      </c>
      <c r="E11171" s="1741" t="s">
        <v>80</v>
      </c>
      <c r="F11171" s="1741"/>
      <c r="G11171" s="1277" t="s">
        <v>20</v>
      </c>
      <c r="H11171" s="1219">
        <v>1.6500000000000001E-2</v>
      </c>
      <c r="K11171" s="1192" t="s">
        <v>3901</v>
      </c>
      <c r="L11171" s="1192" t="s">
        <v>430</v>
      </c>
      <c r="P11171" s="1192" t="s">
        <v>3904</v>
      </c>
      <c r="V11171" s="1192">
        <v>28</v>
      </c>
    </row>
    <row r="11172" spans="1:22" s="1192" customFormat="1" ht="14.4" x14ac:dyDescent="0.3">
      <c r="A11172" s="1192" t="s">
        <v>235</v>
      </c>
      <c r="E11172" s="1741" t="s">
        <v>14</v>
      </c>
      <c r="F11172" s="1741"/>
      <c r="G11172" s="1277" t="s">
        <v>20</v>
      </c>
      <c r="H11172" s="1219">
        <v>5.9999999999999995E-4</v>
      </c>
      <c r="K11172" s="1192" t="s">
        <v>3901</v>
      </c>
      <c r="L11172" s="1192" t="s">
        <v>431</v>
      </c>
      <c r="P11172" s="1192" t="s">
        <v>3905</v>
      </c>
      <c r="V11172" s="1192">
        <v>24</v>
      </c>
    </row>
    <row r="11173" spans="1:22" s="1192" customFormat="1" ht="14.4" x14ac:dyDescent="0.3">
      <c r="A11173" s="1192" t="s">
        <v>235</v>
      </c>
      <c r="E11173" s="1741" t="s">
        <v>6505</v>
      </c>
      <c r="F11173" s="1998"/>
      <c r="G11173" s="1277" t="s">
        <v>20</v>
      </c>
      <c r="H11173" s="1219">
        <v>-1E-4</v>
      </c>
      <c r="K11173" s="1192" t="s">
        <v>3901</v>
      </c>
      <c r="L11173" s="1192" t="s">
        <v>430</v>
      </c>
      <c r="P11173" s="1192" t="s">
        <v>4062</v>
      </c>
      <c r="T11173" s="1192">
        <v>44316</v>
      </c>
      <c r="V11173" s="1192">
        <v>80</v>
      </c>
    </row>
    <row r="11174" spans="1:22" s="1192" customFormat="1" ht="14.4" x14ac:dyDescent="0.3">
      <c r="A11174" s="1192" t="s">
        <v>235</v>
      </c>
      <c r="E11174" s="1741" t="s">
        <v>213</v>
      </c>
      <c r="F11174" s="1741"/>
      <c r="G11174" s="1277" t="s">
        <v>20</v>
      </c>
      <c r="H11174" s="1219">
        <v>4.7999999999999996E-3</v>
      </c>
      <c r="K11174" s="1192" t="s">
        <v>3901</v>
      </c>
      <c r="L11174" s="1192" t="s">
        <v>432</v>
      </c>
      <c r="P11174" s="1192" t="s">
        <v>3906</v>
      </c>
      <c r="V11174" s="1192">
        <v>47</v>
      </c>
    </row>
    <row r="11175" spans="1:22" s="1192" customFormat="1" ht="14.4" x14ac:dyDescent="0.3">
      <c r="A11175" s="1192" t="s">
        <v>235</v>
      </c>
      <c r="E11175" s="1741" t="s">
        <v>209</v>
      </c>
      <c r="F11175" s="1741"/>
      <c r="G11175" s="1277" t="s">
        <v>20</v>
      </c>
      <c r="H11175" s="1219">
        <v>4.5999999999999999E-3</v>
      </c>
      <c r="K11175" s="1192" t="s">
        <v>3901</v>
      </c>
      <c r="L11175" s="1192" t="s">
        <v>432</v>
      </c>
      <c r="P11175" s="1192" t="s">
        <v>3907</v>
      </c>
      <c r="V11175" s="1192">
        <v>74</v>
      </c>
    </row>
    <row r="11176" spans="1:22" s="1192" customFormat="1" ht="14.4" x14ac:dyDescent="0.3">
      <c r="A11176" s="1192" t="s">
        <v>235</v>
      </c>
      <c r="E11176" s="1750" t="s">
        <v>2405</v>
      </c>
      <c r="F11176" s="1741"/>
      <c r="G11176" s="1277"/>
      <c r="H11176" s="896"/>
      <c r="K11176" s="1192" t="s">
        <v>2418</v>
      </c>
      <c r="V11176" s="1192">
        <v>48</v>
      </c>
    </row>
    <row r="11177" spans="1:22" s="1192" customFormat="1" ht="14.4" x14ac:dyDescent="0.3">
      <c r="A11177" s="1192" t="s">
        <v>235</v>
      </c>
      <c r="E11177" s="1741" t="s">
        <v>2033</v>
      </c>
      <c r="F11177" s="1741"/>
      <c r="G11177" s="1277" t="s">
        <v>20</v>
      </c>
      <c r="H11177" s="1219">
        <v>3.0000000000000001E-3</v>
      </c>
      <c r="K11177" s="1192" t="s">
        <v>3901</v>
      </c>
      <c r="L11177" s="1192" t="s">
        <v>2374</v>
      </c>
      <c r="P11177" s="1192" t="s">
        <v>3908</v>
      </c>
      <c r="V11177" s="1192">
        <v>55</v>
      </c>
    </row>
    <row r="11178" spans="1:22" s="1192" customFormat="1" ht="14.4" x14ac:dyDescent="0.3">
      <c r="A11178" s="1192" t="s">
        <v>235</v>
      </c>
      <c r="E11178" s="1741" t="s">
        <v>2034</v>
      </c>
      <c r="F11178" s="1741"/>
      <c r="G11178" s="1277" t="s">
        <v>20</v>
      </c>
      <c r="H11178" s="1219">
        <v>4.0000000000000002E-4</v>
      </c>
      <c r="K11178" s="1192" t="s">
        <v>3901</v>
      </c>
      <c r="L11178" s="1192" t="s">
        <v>2374</v>
      </c>
      <c r="P11178" s="1192" t="s">
        <v>3908</v>
      </c>
      <c r="V11178" s="1192">
        <v>65</v>
      </c>
    </row>
    <row r="11179" spans="1:22" s="1192" customFormat="1" ht="14.4" x14ac:dyDescent="0.3">
      <c r="A11179" s="1192" t="s">
        <v>235</v>
      </c>
      <c r="E11179" s="1741" t="s">
        <v>428</v>
      </c>
      <c r="F11179" s="1741"/>
      <c r="G11179" s="1277" t="s">
        <v>20</v>
      </c>
      <c r="H11179" s="1219">
        <v>5.0000000000000001E-4</v>
      </c>
      <c r="K11179" s="1192" t="s">
        <v>3901</v>
      </c>
      <c r="L11179" s="1192" t="s">
        <v>2374</v>
      </c>
      <c r="P11179" s="1192" t="s">
        <v>3909</v>
      </c>
      <c r="V11179" s="1192">
        <v>57</v>
      </c>
    </row>
    <row r="11180" spans="1:22" s="1192" customFormat="1" ht="14.4" x14ac:dyDescent="0.3">
      <c r="A11180" s="1192" t="s">
        <v>235</v>
      </c>
      <c r="E11180" s="1741" t="s">
        <v>28</v>
      </c>
      <c r="F11180" s="1741"/>
      <c r="G11180" s="1277" t="s">
        <v>19</v>
      </c>
      <c r="H11180" s="1218">
        <v>0.25</v>
      </c>
      <c r="K11180" s="1192" t="s">
        <v>3901</v>
      </c>
      <c r="L11180" s="1192" t="s">
        <v>2374</v>
      </c>
      <c r="P11180" s="1192" t="s">
        <v>3910</v>
      </c>
      <c r="V11180" s="1192">
        <v>63</v>
      </c>
    </row>
    <row r="11181" spans="1:22" s="1192" customFormat="1" ht="17.399999999999999" x14ac:dyDescent="0.3">
      <c r="A11181" s="1192" t="s">
        <v>235</v>
      </c>
      <c r="E11181" s="1746" t="s">
        <v>591</v>
      </c>
      <c r="F11181" s="1747"/>
      <c r="G11181" s="1747"/>
      <c r="H11181" s="1747"/>
      <c r="K11181" s="1192" t="s">
        <v>4388</v>
      </c>
      <c r="V11181" s="1192">
        <v>53</v>
      </c>
    </row>
    <row r="11182" spans="1:22" s="1192" customFormat="1" ht="14.4" x14ac:dyDescent="0.3">
      <c r="A11182" s="1192" t="s">
        <v>235</v>
      </c>
      <c r="E11182" s="1743" t="s">
        <v>3317</v>
      </c>
      <c r="F11182" s="1743"/>
      <c r="G11182" s="1743"/>
      <c r="H11182" s="1743"/>
      <c r="K11182" s="1192" t="s">
        <v>4388</v>
      </c>
      <c r="V11182" s="1192">
        <v>385</v>
      </c>
    </row>
    <row r="11183" spans="1:22" s="1192" customFormat="1" ht="14.4" x14ac:dyDescent="0.3">
      <c r="A11183" s="1192" t="s">
        <v>235</v>
      </c>
      <c r="E11183" s="1750" t="s">
        <v>2389</v>
      </c>
      <c r="F11183" s="1743"/>
      <c r="G11183" s="1743"/>
      <c r="H11183" s="1743"/>
      <c r="K11183" s="1192" t="s">
        <v>2422</v>
      </c>
      <c r="V11183" s="1192">
        <v>11</v>
      </c>
    </row>
    <row r="11184" spans="1:22" s="1192" customFormat="1" ht="14.4" x14ac:dyDescent="0.3">
      <c r="A11184" s="1192" t="s">
        <v>235</v>
      </c>
      <c r="E11184" s="1743" t="s">
        <v>2391</v>
      </c>
      <c r="F11184" s="1743"/>
      <c r="G11184" s="1743"/>
      <c r="H11184" s="1743"/>
      <c r="K11184" s="1192" t="s">
        <v>4388</v>
      </c>
      <c r="V11184" s="1192">
        <v>280</v>
      </c>
    </row>
    <row r="11185" spans="1:22" s="1192" customFormat="1" ht="14.4" x14ac:dyDescent="0.3">
      <c r="A11185" s="1192" t="s">
        <v>235</v>
      </c>
      <c r="E11185" s="1743" t="s">
        <v>2392</v>
      </c>
      <c r="F11185" s="1743"/>
      <c r="G11185" s="1743"/>
      <c r="H11185" s="1743"/>
      <c r="K11185" s="1192" t="s">
        <v>4388</v>
      </c>
      <c r="V11185" s="1192">
        <v>411</v>
      </c>
    </row>
    <row r="11186" spans="1:22" s="1192" customFormat="1" ht="14.4" x14ac:dyDescent="0.3">
      <c r="A11186" s="1192" t="s">
        <v>235</v>
      </c>
      <c r="E11186" s="1743" t="s">
        <v>2508</v>
      </c>
      <c r="F11186" s="1743"/>
      <c r="G11186" s="1743"/>
      <c r="H11186" s="1743"/>
      <c r="K11186" s="1192" t="s">
        <v>4388</v>
      </c>
      <c r="V11186" s="1192">
        <v>386</v>
      </c>
    </row>
    <row r="11187" spans="1:22" s="1192" customFormat="1" ht="14.4" x14ac:dyDescent="0.3">
      <c r="A11187" s="1192" t="s">
        <v>235</v>
      </c>
      <c r="E11187" s="1743" t="s">
        <v>4632</v>
      </c>
      <c r="F11187" s="1743"/>
      <c r="G11187" s="1743"/>
      <c r="H11187" s="1743"/>
      <c r="K11187" s="1192" t="s">
        <v>4388</v>
      </c>
      <c r="V11187" s="1192">
        <v>680</v>
      </c>
    </row>
    <row r="11188" spans="1:22" s="1192" customFormat="1" ht="14.4" x14ac:dyDescent="0.3">
      <c r="A11188" s="1192" t="s">
        <v>235</v>
      </c>
      <c r="E11188" s="1743" t="s">
        <v>4644</v>
      </c>
      <c r="F11188" s="1743"/>
      <c r="G11188" s="1743"/>
      <c r="H11188" s="1743"/>
      <c r="K11188" s="1192" t="s">
        <v>4388</v>
      </c>
      <c r="V11188" s="1192">
        <v>693</v>
      </c>
    </row>
    <row r="11189" spans="1:22" s="1192" customFormat="1" ht="14.4" x14ac:dyDescent="0.3">
      <c r="A11189" s="1192" t="s">
        <v>235</v>
      </c>
      <c r="E11189" s="1743" t="s">
        <v>4500</v>
      </c>
      <c r="F11189" s="1743"/>
      <c r="G11189" s="1743"/>
      <c r="H11189" s="1743"/>
      <c r="K11189" s="1192" t="s">
        <v>4388</v>
      </c>
      <c r="V11189" s="1192">
        <v>247</v>
      </c>
    </row>
    <row r="11190" spans="1:22" s="1192" customFormat="1" ht="14.4" x14ac:dyDescent="0.3">
      <c r="A11190" s="1192" t="s">
        <v>235</v>
      </c>
      <c r="E11190" s="1750" t="s">
        <v>2394</v>
      </c>
      <c r="F11190" s="1743"/>
      <c r="G11190" s="1743"/>
      <c r="H11190" s="1743"/>
      <c r="K11190" s="1192" t="s">
        <v>2423</v>
      </c>
      <c r="V11190" s="1192">
        <v>46</v>
      </c>
    </row>
    <row r="11191" spans="1:22" s="1192" customFormat="1" ht="14.4" x14ac:dyDescent="0.3">
      <c r="A11191" s="1192" t="s">
        <v>235</v>
      </c>
      <c r="E11191" s="1741" t="s">
        <v>7</v>
      </c>
      <c r="F11191" s="1741"/>
      <c r="G11191" s="1277" t="s">
        <v>19</v>
      </c>
      <c r="H11191" s="1218">
        <v>340.6</v>
      </c>
      <c r="K11191" s="1192" t="s">
        <v>4388</v>
      </c>
      <c r="L11191" s="1192" t="s">
        <v>430</v>
      </c>
      <c r="P11191" s="1192" t="s">
        <v>4389</v>
      </c>
      <c r="V11191" s="1192">
        <v>14</v>
      </c>
    </row>
    <row r="11192" spans="1:22" s="1192" customFormat="1" ht="14.4" x14ac:dyDescent="0.3">
      <c r="A11192" s="1192" t="s">
        <v>235</v>
      </c>
      <c r="E11192" s="1741" t="s">
        <v>80</v>
      </c>
      <c r="F11192" s="1741"/>
      <c r="G11192" s="1277" t="s">
        <v>29</v>
      </c>
      <c r="H11192" s="1219">
        <v>3.5825</v>
      </c>
      <c r="K11192" s="1192" t="s">
        <v>4388</v>
      </c>
      <c r="L11192" s="1192" t="s">
        <v>430</v>
      </c>
      <c r="P11192" s="1192" t="s">
        <v>4390</v>
      </c>
      <c r="V11192" s="1192">
        <v>28</v>
      </c>
    </row>
    <row r="11193" spans="1:22" s="1192" customFormat="1" ht="14.4" x14ac:dyDescent="0.3">
      <c r="A11193" s="1192" t="s">
        <v>235</v>
      </c>
      <c r="E11193" s="1741" t="s">
        <v>14</v>
      </c>
      <c r="F11193" s="1741"/>
      <c r="G11193" s="1277" t="s">
        <v>29</v>
      </c>
      <c r="H11193" s="1219">
        <v>0.223</v>
      </c>
      <c r="K11193" s="1192" t="s">
        <v>4388</v>
      </c>
      <c r="L11193" s="1192" t="s">
        <v>431</v>
      </c>
      <c r="P11193" s="1192" t="s">
        <v>4391</v>
      </c>
      <c r="V11193" s="1192">
        <v>24</v>
      </c>
    </row>
    <row r="11194" spans="1:22" s="1192" customFormat="1" ht="14.4" x14ac:dyDescent="0.3">
      <c r="A11194" s="1192" t="s">
        <v>235</v>
      </c>
      <c r="E11194" s="1741" t="s">
        <v>6505</v>
      </c>
      <c r="F11194" s="1998"/>
      <c r="G11194" s="1277" t="s">
        <v>29</v>
      </c>
      <c r="H11194" s="1219">
        <v>-1.2999999999999999E-2</v>
      </c>
      <c r="K11194" s="1192" t="s">
        <v>4388</v>
      </c>
      <c r="L11194" s="1192" t="s">
        <v>430</v>
      </c>
      <c r="P11194" s="1192" t="s">
        <v>4424</v>
      </c>
      <c r="T11194" s="1192">
        <v>44316</v>
      </c>
      <c r="V11194" s="1192">
        <v>80</v>
      </c>
    </row>
    <row r="11195" spans="1:22" s="1192" customFormat="1" ht="14.4" x14ac:dyDescent="0.3">
      <c r="A11195" s="1192" t="s">
        <v>235</v>
      </c>
      <c r="E11195" s="1741" t="s">
        <v>213</v>
      </c>
      <c r="F11195" s="1741"/>
      <c r="G11195" s="1277" t="s">
        <v>29</v>
      </c>
      <c r="H11195" s="1219">
        <v>2.1472000000000002</v>
      </c>
      <c r="K11195" s="1192" t="s">
        <v>4388</v>
      </c>
      <c r="L11195" s="1192" t="s">
        <v>432</v>
      </c>
      <c r="P11195" s="1192" t="s">
        <v>4392</v>
      </c>
      <c r="V11195" s="1192">
        <v>47</v>
      </c>
    </row>
    <row r="11196" spans="1:22" s="1192" customFormat="1" ht="14.4" x14ac:dyDescent="0.3">
      <c r="A11196" s="1192" t="s">
        <v>235</v>
      </c>
      <c r="E11196" s="1741" t="s">
        <v>209</v>
      </c>
      <c r="F11196" s="1741"/>
      <c r="G11196" s="1277" t="s">
        <v>29</v>
      </c>
      <c r="H11196" s="1219">
        <v>1.8103</v>
      </c>
      <c r="K11196" s="1192" t="s">
        <v>4388</v>
      </c>
      <c r="L11196" s="1192" t="s">
        <v>432</v>
      </c>
      <c r="P11196" s="1192" t="s">
        <v>4393</v>
      </c>
      <c r="V11196" s="1192">
        <v>74</v>
      </c>
    </row>
    <row r="11197" spans="1:22" s="1192" customFormat="1" ht="14.4" x14ac:dyDescent="0.3">
      <c r="A11197" s="1192" t="s">
        <v>235</v>
      </c>
      <c r="E11197" s="1750" t="s">
        <v>2405</v>
      </c>
      <c r="F11197" s="1741"/>
      <c r="G11197" s="1277"/>
      <c r="H11197" s="896"/>
      <c r="K11197" s="1192" t="s">
        <v>2526</v>
      </c>
      <c r="V11197" s="1192">
        <v>48</v>
      </c>
    </row>
    <row r="11198" spans="1:22" s="1192" customFormat="1" ht="14.4" x14ac:dyDescent="0.3">
      <c r="A11198" s="1192" t="s">
        <v>235</v>
      </c>
      <c r="E11198" s="1741" t="s">
        <v>2033</v>
      </c>
      <c r="F11198" s="1741"/>
      <c r="G11198" s="1277" t="s">
        <v>20</v>
      </c>
      <c r="H11198" s="1219">
        <v>3.0000000000000001E-3</v>
      </c>
      <c r="K11198" s="1192" t="s">
        <v>4388</v>
      </c>
      <c r="L11198" s="1192" t="s">
        <v>2374</v>
      </c>
      <c r="P11198" s="1192" t="s">
        <v>4394</v>
      </c>
      <c r="V11198" s="1192">
        <v>55</v>
      </c>
    </row>
    <row r="11199" spans="1:22" s="1192" customFormat="1" ht="14.4" x14ac:dyDescent="0.3">
      <c r="A11199" s="1192" t="s">
        <v>235</v>
      </c>
      <c r="E11199" s="1741" t="s">
        <v>2034</v>
      </c>
      <c r="F11199" s="1741"/>
      <c r="G11199" s="1277" t="s">
        <v>20</v>
      </c>
      <c r="H11199" s="1219">
        <v>4.0000000000000002E-4</v>
      </c>
      <c r="K11199" s="1192" t="s">
        <v>4388</v>
      </c>
      <c r="L11199" s="1192" t="s">
        <v>2374</v>
      </c>
      <c r="P11199" s="1192" t="s">
        <v>4394</v>
      </c>
      <c r="V11199" s="1192">
        <v>65</v>
      </c>
    </row>
    <row r="11200" spans="1:22" s="1192" customFormat="1" ht="14.4" x14ac:dyDescent="0.3">
      <c r="A11200" s="1192" t="s">
        <v>235</v>
      </c>
      <c r="E11200" s="1741" t="s">
        <v>428</v>
      </c>
      <c r="F11200" s="1741"/>
      <c r="G11200" s="1277" t="s">
        <v>20</v>
      </c>
      <c r="H11200" s="1219">
        <v>5.0000000000000001E-4</v>
      </c>
      <c r="K11200" s="1192" t="s">
        <v>4388</v>
      </c>
      <c r="L11200" s="1192" t="s">
        <v>2374</v>
      </c>
      <c r="P11200" s="1192" t="s">
        <v>4395</v>
      </c>
      <c r="V11200" s="1192">
        <v>57</v>
      </c>
    </row>
    <row r="11201" spans="1:22" s="1192" customFormat="1" ht="14.4" x14ac:dyDescent="0.3">
      <c r="A11201" s="1192" t="s">
        <v>235</v>
      </c>
      <c r="E11201" s="1741" t="s">
        <v>28</v>
      </c>
      <c r="F11201" s="1741"/>
      <c r="G11201" s="1277" t="s">
        <v>19</v>
      </c>
      <c r="H11201" s="1218">
        <v>0.25</v>
      </c>
      <c r="K11201" s="1192" t="s">
        <v>4388</v>
      </c>
      <c r="L11201" s="1192" t="s">
        <v>2374</v>
      </c>
      <c r="P11201" s="1192" t="s">
        <v>4396</v>
      </c>
      <c r="V11201" s="1192">
        <v>63</v>
      </c>
    </row>
    <row r="11202" spans="1:22" s="1192" customFormat="1" ht="17.399999999999999" x14ac:dyDescent="0.3">
      <c r="A11202" s="1192" t="s">
        <v>235</v>
      </c>
      <c r="E11202" s="1746" t="s">
        <v>592</v>
      </c>
      <c r="F11202" s="1747"/>
      <c r="G11202" s="1747"/>
      <c r="H11202" s="1747"/>
      <c r="K11202" s="1192" t="s">
        <v>2676</v>
      </c>
      <c r="V11202" s="1192">
        <v>47</v>
      </c>
    </row>
    <row r="11203" spans="1:22" s="1192" customFormat="1" ht="14.4" x14ac:dyDescent="0.3">
      <c r="A11203" s="1192" t="s">
        <v>235</v>
      </c>
      <c r="E11203" s="1743" t="s">
        <v>3318</v>
      </c>
      <c r="F11203" s="1743"/>
      <c r="G11203" s="1743"/>
      <c r="H11203" s="1743"/>
      <c r="K11203" s="1192" t="s">
        <v>2676</v>
      </c>
      <c r="V11203" s="1192">
        <v>719</v>
      </c>
    </row>
    <row r="11204" spans="1:22" s="1192" customFormat="1" ht="14.4" x14ac:dyDescent="0.3">
      <c r="A11204" s="1192" t="s">
        <v>235</v>
      </c>
      <c r="E11204" s="1750" t="s">
        <v>2389</v>
      </c>
      <c r="F11204" s="1743"/>
      <c r="G11204" s="1743"/>
      <c r="H11204" s="1743"/>
      <c r="K11204" s="1192" t="s">
        <v>2529</v>
      </c>
      <c r="V11204" s="1192">
        <v>11</v>
      </c>
    </row>
    <row r="11205" spans="1:22" s="1192" customFormat="1" ht="14.4" x14ac:dyDescent="0.3">
      <c r="A11205" s="1192" t="s">
        <v>235</v>
      </c>
      <c r="E11205" s="1743" t="s">
        <v>2391</v>
      </c>
      <c r="F11205" s="1743"/>
      <c r="G11205" s="1743"/>
      <c r="H11205" s="1743"/>
      <c r="K11205" s="1192" t="s">
        <v>2676</v>
      </c>
      <c r="V11205" s="1192">
        <v>280</v>
      </c>
    </row>
    <row r="11206" spans="1:22" s="1192" customFormat="1" ht="14.4" x14ac:dyDescent="0.3">
      <c r="A11206" s="1192" t="s">
        <v>235</v>
      </c>
      <c r="E11206" s="1743" t="s">
        <v>2392</v>
      </c>
      <c r="F11206" s="1743"/>
      <c r="G11206" s="1743"/>
      <c r="H11206" s="1743"/>
      <c r="K11206" s="1192" t="s">
        <v>2676</v>
      </c>
      <c r="V11206" s="1192">
        <v>411</v>
      </c>
    </row>
    <row r="11207" spans="1:22" s="1192" customFormat="1" ht="14.4" x14ac:dyDescent="0.3">
      <c r="A11207" s="1192" t="s">
        <v>235</v>
      </c>
      <c r="E11207" s="1743" t="s">
        <v>2508</v>
      </c>
      <c r="F11207" s="1743"/>
      <c r="G11207" s="1743"/>
      <c r="H11207" s="1743"/>
      <c r="K11207" s="1192" t="s">
        <v>2676</v>
      </c>
      <c r="V11207" s="1192">
        <v>386</v>
      </c>
    </row>
    <row r="11208" spans="1:22" s="1192" customFormat="1" ht="14.4" x14ac:dyDescent="0.3">
      <c r="A11208" s="1192" t="s">
        <v>235</v>
      </c>
      <c r="E11208" s="1743" t="s">
        <v>4500</v>
      </c>
      <c r="F11208" s="1743"/>
      <c r="G11208" s="1743"/>
      <c r="H11208" s="1743"/>
      <c r="K11208" s="1192" t="s">
        <v>2676</v>
      </c>
      <c r="V11208" s="1192">
        <v>247</v>
      </c>
    </row>
    <row r="11209" spans="1:22" s="1192" customFormat="1" ht="14.4" x14ac:dyDescent="0.3">
      <c r="A11209" s="1192" t="s">
        <v>235</v>
      </c>
      <c r="E11209" s="1750" t="s">
        <v>2394</v>
      </c>
      <c r="F11209" s="1743"/>
      <c r="G11209" s="1743"/>
      <c r="H11209" s="1743"/>
      <c r="K11209" s="1192" t="s">
        <v>2531</v>
      </c>
      <c r="V11209" s="1192">
        <v>46</v>
      </c>
    </row>
    <row r="11210" spans="1:22" s="1192" customFormat="1" ht="14.4" x14ac:dyDescent="0.3">
      <c r="A11210" s="1192" t="s">
        <v>235</v>
      </c>
      <c r="E11210" s="1741" t="s">
        <v>8</v>
      </c>
      <c r="F11210" s="1741"/>
      <c r="G11210" s="1277" t="s">
        <v>19</v>
      </c>
      <c r="H11210" s="1218">
        <v>10.59</v>
      </c>
      <c r="K11210" s="1192" t="s">
        <v>2676</v>
      </c>
      <c r="L11210" s="1192" t="s">
        <v>430</v>
      </c>
      <c r="P11210" s="1192" t="s">
        <v>2678</v>
      </c>
      <c r="V11210" s="1192">
        <v>31</v>
      </c>
    </row>
    <row r="11211" spans="1:22" s="1192" customFormat="1" ht="14.4" x14ac:dyDescent="0.3">
      <c r="A11211" s="1192" t="s">
        <v>235</v>
      </c>
      <c r="E11211" s="1741" t="s">
        <v>80</v>
      </c>
      <c r="F11211" s="1741"/>
      <c r="G11211" s="1277" t="s">
        <v>20</v>
      </c>
      <c r="H11211" s="1219">
        <v>9.4999999999999998E-3</v>
      </c>
      <c r="K11211" s="1192" t="s">
        <v>2676</v>
      </c>
      <c r="L11211" s="1192" t="s">
        <v>430</v>
      </c>
      <c r="P11211" s="1192" t="s">
        <v>2679</v>
      </c>
      <c r="V11211" s="1192">
        <v>28</v>
      </c>
    </row>
    <row r="11212" spans="1:22" s="1192" customFormat="1" ht="14.4" x14ac:dyDescent="0.3">
      <c r="A11212" s="1192" t="s">
        <v>235</v>
      </c>
      <c r="E11212" s="1741" t="s">
        <v>14</v>
      </c>
      <c r="F11212" s="1741"/>
      <c r="G11212" s="1277" t="s">
        <v>20</v>
      </c>
      <c r="H11212" s="1219">
        <v>5.9999999999999995E-4</v>
      </c>
      <c r="K11212" s="1192" t="s">
        <v>2676</v>
      </c>
      <c r="L11212" s="1192" t="s">
        <v>431</v>
      </c>
      <c r="P11212" s="1192" t="s">
        <v>2809</v>
      </c>
      <c r="V11212" s="1192">
        <v>24</v>
      </c>
    </row>
    <row r="11213" spans="1:22" s="1192" customFormat="1" ht="14.4" x14ac:dyDescent="0.3">
      <c r="A11213" s="1192" t="s">
        <v>235</v>
      </c>
      <c r="E11213" s="1741" t="s">
        <v>6505</v>
      </c>
      <c r="F11213" s="1998"/>
      <c r="G11213" s="1277" t="s">
        <v>20</v>
      </c>
      <c r="H11213" s="1219">
        <v>-1E-4</v>
      </c>
      <c r="K11213" s="1192" t="s">
        <v>2676</v>
      </c>
      <c r="L11213" s="1192" t="s">
        <v>430</v>
      </c>
      <c r="P11213" s="1192" t="s">
        <v>3254</v>
      </c>
      <c r="T11213" s="1192">
        <v>44316</v>
      </c>
      <c r="V11213" s="1192">
        <v>80</v>
      </c>
    </row>
    <row r="11214" spans="1:22" s="1192" customFormat="1" ht="14.4" x14ac:dyDescent="0.3">
      <c r="A11214" s="1192" t="s">
        <v>235</v>
      </c>
      <c r="E11214" s="1741" t="s">
        <v>213</v>
      </c>
      <c r="F11214" s="1741"/>
      <c r="G11214" s="1277" t="s">
        <v>20</v>
      </c>
      <c r="H11214" s="1219">
        <v>4.7999999999999996E-3</v>
      </c>
      <c r="K11214" s="1192" t="s">
        <v>2676</v>
      </c>
      <c r="L11214" s="1192" t="s">
        <v>432</v>
      </c>
      <c r="P11214" s="1192" t="s">
        <v>2682</v>
      </c>
      <c r="V11214" s="1192">
        <v>47</v>
      </c>
    </row>
    <row r="11215" spans="1:22" s="1192" customFormat="1" ht="14.4" x14ac:dyDescent="0.3">
      <c r="A11215" s="1192" t="s">
        <v>235</v>
      </c>
      <c r="E11215" s="1741" t="s">
        <v>209</v>
      </c>
      <c r="F11215" s="1741"/>
      <c r="G11215" s="1277" t="s">
        <v>20</v>
      </c>
      <c r="H11215" s="1219">
        <v>4.5999999999999999E-3</v>
      </c>
      <c r="K11215" s="1192" t="s">
        <v>2676</v>
      </c>
      <c r="L11215" s="1192" t="s">
        <v>432</v>
      </c>
      <c r="P11215" s="1192" t="s">
        <v>2683</v>
      </c>
      <c r="V11215" s="1192">
        <v>74</v>
      </c>
    </row>
    <row r="11216" spans="1:22" s="1192" customFormat="1" ht="14.4" x14ac:dyDescent="0.3">
      <c r="A11216" s="1192" t="s">
        <v>235</v>
      </c>
      <c r="E11216" s="1750" t="s">
        <v>2405</v>
      </c>
      <c r="F11216" s="1741"/>
      <c r="G11216" s="1277"/>
      <c r="H11216" s="896"/>
      <c r="K11216" s="1192" t="s">
        <v>2532</v>
      </c>
      <c r="V11216" s="1192">
        <v>48</v>
      </c>
    </row>
    <row r="11217" spans="1:22" s="1192" customFormat="1" ht="14.4" x14ac:dyDescent="0.3">
      <c r="A11217" s="1192" t="s">
        <v>235</v>
      </c>
      <c r="E11217" s="1741" t="s">
        <v>2033</v>
      </c>
      <c r="F11217" s="1741"/>
      <c r="G11217" s="1277" t="s">
        <v>20</v>
      </c>
      <c r="H11217" s="1219">
        <v>3.0000000000000001E-3</v>
      </c>
      <c r="K11217" s="1192" t="s">
        <v>2676</v>
      </c>
      <c r="L11217" s="1192" t="s">
        <v>2374</v>
      </c>
      <c r="P11217" s="1192" t="s">
        <v>2684</v>
      </c>
      <c r="V11217" s="1192">
        <v>55</v>
      </c>
    </row>
    <row r="11218" spans="1:22" s="1192" customFormat="1" ht="14.4" x14ac:dyDescent="0.3">
      <c r="A11218" s="1192" t="s">
        <v>235</v>
      </c>
      <c r="E11218" s="1741" t="s">
        <v>2034</v>
      </c>
      <c r="F11218" s="1741"/>
      <c r="G11218" s="1277" t="s">
        <v>20</v>
      </c>
      <c r="H11218" s="1219">
        <v>4.0000000000000002E-4</v>
      </c>
      <c r="K11218" s="1192" t="s">
        <v>2676</v>
      </c>
      <c r="L11218" s="1192" t="s">
        <v>2374</v>
      </c>
      <c r="P11218" s="1192" t="s">
        <v>2684</v>
      </c>
      <c r="V11218" s="1192">
        <v>65</v>
      </c>
    </row>
    <row r="11219" spans="1:22" s="1192" customFormat="1" ht="14.4" x14ac:dyDescent="0.3">
      <c r="A11219" s="1192" t="s">
        <v>235</v>
      </c>
      <c r="E11219" s="1741" t="s">
        <v>428</v>
      </c>
      <c r="F11219" s="1741"/>
      <c r="G11219" s="1277" t="s">
        <v>20</v>
      </c>
      <c r="H11219" s="1219">
        <v>5.0000000000000001E-4</v>
      </c>
      <c r="K11219" s="1192" t="s">
        <v>2676</v>
      </c>
      <c r="L11219" s="1192" t="s">
        <v>2374</v>
      </c>
      <c r="P11219" s="1192" t="s">
        <v>2685</v>
      </c>
      <c r="V11219" s="1192">
        <v>57</v>
      </c>
    </row>
    <row r="11220" spans="1:22" s="1192" customFormat="1" ht="14.4" x14ac:dyDescent="0.3">
      <c r="A11220" s="1192" t="s">
        <v>235</v>
      </c>
      <c r="E11220" s="1741" t="s">
        <v>28</v>
      </c>
      <c r="F11220" s="1741"/>
      <c r="G11220" s="1277" t="s">
        <v>19</v>
      </c>
      <c r="H11220" s="1218">
        <v>0.25</v>
      </c>
      <c r="K11220" s="1192" t="s">
        <v>2676</v>
      </c>
      <c r="L11220" s="1192" t="s">
        <v>2374</v>
      </c>
      <c r="P11220" s="1192" t="s">
        <v>2686</v>
      </c>
      <c r="V11220" s="1192">
        <v>63</v>
      </c>
    </row>
    <row r="11221" spans="1:22" s="1192" customFormat="1" ht="17.399999999999999" x14ac:dyDescent="0.3">
      <c r="A11221" s="1192" t="s">
        <v>235</v>
      </c>
      <c r="E11221" s="1746" t="s">
        <v>604</v>
      </c>
      <c r="F11221" s="1747"/>
      <c r="G11221" s="1747"/>
      <c r="H11221" s="1747"/>
      <c r="K11221" s="1192" t="s">
        <v>2823</v>
      </c>
      <c r="V11221" s="1192">
        <v>40</v>
      </c>
    </row>
    <row r="11222" spans="1:22" s="1192" customFormat="1" ht="14.4" x14ac:dyDescent="0.3">
      <c r="A11222" s="1192" t="s">
        <v>235</v>
      </c>
      <c r="E11222" s="1743" t="s">
        <v>3089</v>
      </c>
      <c r="F11222" s="1743"/>
      <c r="G11222" s="1743"/>
      <c r="H11222" s="1743"/>
      <c r="K11222" s="1192" t="s">
        <v>2823</v>
      </c>
      <c r="V11222" s="1192">
        <v>250</v>
      </c>
    </row>
    <row r="11223" spans="1:22" s="1192" customFormat="1" ht="14.4" x14ac:dyDescent="0.3">
      <c r="A11223" s="1192" t="s">
        <v>235</v>
      </c>
      <c r="E11223" s="1750" t="s">
        <v>2389</v>
      </c>
      <c r="F11223" s="1743"/>
      <c r="G11223" s="1743"/>
      <c r="H11223" s="1743"/>
      <c r="K11223" s="1192" t="s">
        <v>2424</v>
      </c>
      <c r="V11223" s="1192">
        <v>11</v>
      </c>
    </row>
    <row r="11224" spans="1:22" s="1192" customFormat="1" ht="14.4" x14ac:dyDescent="0.3">
      <c r="A11224" s="1192" t="s">
        <v>235</v>
      </c>
      <c r="E11224" s="1743" t="s">
        <v>2391</v>
      </c>
      <c r="F11224" s="1743"/>
      <c r="G11224" s="1743"/>
      <c r="H11224" s="1743"/>
      <c r="K11224" s="1192" t="s">
        <v>2823</v>
      </c>
      <c r="V11224" s="1192">
        <v>280</v>
      </c>
    </row>
    <row r="11225" spans="1:22" s="1192" customFormat="1" ht="14.4" x14ac:dyDescent="0.3">
      <c r="A11225" s="1192" t="s">
        <v>235</v>
      </c>
      <c r="E11225" s="1743" t="s">
        <v>2392</v>
      </c>
      <c r="F11225" s="1743"/>
      <c r="G11225" s="1743"/>
      <c r="H11225" s="1743"/>
      <c r="K11225" s="1192" t="s">
        <v>2823</v>
      </c>
      <c r="V11225" s="1192">
        <v>411</v>
      </c>
    </row>
    <row r="11226" spans="1:22" s="1192" customFormat="1" ht="14.4" x14ac:dyDescent="0.3">
      <c r="A11226" s="1192" t="s">
        <v>235</v>
      </c>
      <c r="E11226" s="1743" t="s">
        <v>2508</v>
      </c>
      <c r="F11226" s="1743"/>
      <c r="G11226" s="1743"/>
      <c r="H11226" s="1743"/>
      <c r="K11226" s="1192" t="s">
        <v>2823</v>
      </c>
      <c r="V11226" s="1192">
        <v>386</v>
      </c>
    </row>
    <row r="11227" spans="1:22" s="1192" customFormat="1" ht="14.4" x14ac:dyDescent="0.3">
      <c r="A11227" s="1192" t="s">
        <v>235</v>
      </c>
      <c r="E11227" s="1743" t="s">
        <v>4500</v>
      </c>
      <c r="F11227" s="1743"/>
      <c r="G11227" s="1743"/>
      <c r="H11227" s="1743"/>
      <c r="K11227" s="1192" t="s">
        <v>2823</v>
      </c>
      <c r="V11227" s="1192">
        <v>247</v>
      </c>
    </row>
    <row r="11228" spans="1:22" s="1192" customFormat="1" ht="14.4" x14ac:dyDescent="0.3">
      <c r="A11228" s="1192" t="s">
        <v>235</v>
      </c>
      <c r="E11228" s="1750" t="s">
        <v>2394</v>
      </c>
      <c r="F11228" s="1743"/>
      <c r="G11228" s="1743"/>
      <c r="H11228" s="1743"/>
      <c r="K11228" s="1192" t="s">
        <v>2425</v>
      </c>
      <c r="V11228" s="1192">
        <v>46</v>
      </c>
    </row>
    <row r="11229" spans="1:22" s="1192" customFormat="1" ht="14.4" x14ac:dyDescent="0.3">
      <c r="A11229" s="1192" t="s">
        <v>235</v>
      </c>
      <c r="E11229" s="1741" t="s">
        <v>8</v>
      </c>
      <c r="F11229" s="1741"/>
      <c r="G11229" s="1277" t="s">
        <v>19</v>
      </c>
      <c r="H11229" s="1218">
        <v>3.88</v>
      </c>
      <c r="K11229" s="1192" t="s">
        <v>2823</v>
      </c>
      <c r="L11229" s="1192" t="s">
        <v>430</v>
      </c>
      <c r="P11229" s="1192" t="s">
        <v>2824</v>
      </c>
      <c r="V11229" s="1192">
        <v>31</v>
      </c>
    </row>
    <row r="11230" spans="1:22" s="1192" customFormat="1" ht="14.4" x14ac:dyDescent="0.3">
      <c r="A11230" s="1192" t="s">
        <v>235</v>
      </c>
      <c r="E11230" s="1741" t="s">
        <v>80</v>
      </c>
      <c r="F11230" s="1741"/>
      <c r="G11230" s="1277" t="s">
        <v>29</v>
      </c>
      <c r="H11230" s="1219">
        <v>10.1477</v>
      </c>
      <c r="K11230" s="1192" t="s">
        <v>2823</v>
      </c>
      <c r="L11230" s="1192" t="s">
        <v>430</v>
      </c>
      <c r="P11230" s="1192" t="s">
        <v>2825</v>
      </c>
      <c r="V11230" s="1192">
        <v>28</v>
      </c>
    </row>
    <row r="11231" spans="1:22" s="1192" customFormat="1" ht="14.4" x14ac:dyDescent="0.3">
      <c r="A11231" s="1192" t="s">
        <v>235</v>
      </c>
      <c r="E11231" s="1741" t="s">
        <v>14</v>
      </c>
      <c r="F11231" s="1741"/>
      <c r="G11231" s="1277" t="s">
        <v>29</v>
      </c>
      <c r="H11231" s="1219">
        <v>0.16980000000000001</v>
      </c>
      <c r="K11231" s="1192" t="s">
        <v>2823</v>
      </c>
      <c r="L11231" s="1192" t="s">
        <v>431</v>
      </c>
      <c r="P11231" s="1192" t="s">
        <v>2826</v>
      </c>
      <c r="V11231" s="1192">
        <v>24</v>
      </c>
    </row>
    <row r="11232" spans="1:22" s="1192" customFormat="1" ht="14.4" x14ac:dyDescent="0.3">
      <c r="A11232" s="1192" t="s">
        <v>235</v>
      </c>
      <c r="E11232" s="1741" t="s">
        <v>6505</v>
      </c>
      <c r="F11232" s="1998"/>
      <c r="G11232" s="1277" t="s">
        <v>29</v>
      </c>
      <c r="H11232" s="1219">
        <v>-7.0900000000000005E-2</v>
      </c>
      <c r="K11232" s="1192" t="s">
        <v>2823</v>
      </c>
      <c r="L11232" s="1192" t="s">
        <v>430</v>
      </c>
      <c r="P11232" s="1192" t="s">
        <v>3256</v>
      </c>
      <c r="T11232" s="1192">
        <v>44316</v>
      </c>
      <c r="V11232" s="1192">
        <v>80</v>
      </c>
    </row>
    <row r="11233" spans="1:22" s="1192" customFormat="1" ht="14.4" x14ac:dyDescent="0.3">
      <c r="A11233" s="1192" t="s">
        <v>235</v>
      </c>
      <c r="E11233" s="1741" t="s">
        <v>213</v>
      </c>
      <c r="F11233" s="1741"/>
      <c r="G11233" s="1277" t="s">
        <v>29</v>
      </c>
      <c r="H11233" s="1219">
        <v>1.5898000000000001</v>
      </c>
      <c r="K11233" s="1192" t="s">
        <v>2823</v>
      </c>
      <c r="L11233" s="1192" t="s">
        <v>432</v>
      </c>
      <c r="P11233" s="1192" t="s">
        <v>2827</v>
      </c>
      <c r="V11233" s="1192">
        <v>47</v>
      </c>
    </row>
    <row r="11234" spans="1:22" s="1192" customFormat="1" ht="14.4" x14ac:dyDescent="0.3">
      <c r="A11234" s="1192" t="s">
        <v>235</v>
      </c>
      <c r="E11234" s="1741" t="s">
        <v>209</v>
      </c>
      <c r="F11234" s="1741"/>
      <c r="G11234" s="1277" t="s">
        <v>29</v>
      </c>
      <c r="H11234" s="1219">
        <v>1.3781000000000001</v>
      </c>
      <c r="K11234" s="1192" t="s">
        <v>2823</v>
      </c>
      <c r="L11234" s="1192" t="s">
        <v>432</v>
      </c>
      <c r="P11234" s="1192" t="s">
        <v>2828</v>
      </c>
      <c r="V11234" s="1192">
        <v>74</v>
      </c>
    </row>
    <row r="11235" spans="1:22" s="1192" customFormat="1" ht="14.4" x14ac:dyDescent="0.3">
      <c r="A11235" s="1192" t="s">
        <v>235</v>
      </c>
      <c r="E11235" s="1750" t="s">
        <v>2405</v>
      </c>
      <c r="F11235" s="1741"/>
      <c r="G11235" s="1277"/>
      <c r="H11235" s="896"/>
      <c r="K11235" s="1192" t="s">
        <v>2427</v>
      </c>
      <c r="V11235" s="1192">
        <v>48</v>
      </c>
    </row>
    <row r="11236" spans="1:22" s="1192" customFormat="1" ht="14.4" x14ac:dyDescent="0.3">
      <c r="A11236" s="1192" t="s">
        <v>235</v>
      </c>
      <c r="E11236" s="1741" t="s">
        <v>2033</v>
      </c>
      <c r="F11236" s="1741"/>
      <c r="G11236" s="1277" t="s">
        <v>20</v>
      </c>
      <c r="H11236" s="1219">
        <v>3.0000000000000001E-3</v>
      </c>
      <c r="K11236" s="1192" t="s">
        <v>2823</v>
      </c>
      <c r="L11236" s="1192" t="s">
        <v>2374</v>
      </c>
      <c r="P11236" s="1192" t="s">
        <v>2829</v>
      </c>
      <c r="V11236" s="1192">
        <v>55</v>
      </c>
    </row>
    <row r="11237" spans="1:22" s="1192" customFormat="1" ht="14.4" x14ac:dyDescent="0.3">
      <c r="A11237" s="1192" t="s">
        <v>235</v>
      </c>
      <c r="E11237" s="1741" t="s">
        <v>2034</v>
      </c>
      <c r="F11237" s="1741"/>
      <c r="G11237" s="1277" t="s">
        <v>20</v>
      </c>
      <c r="H11237" s="1219">
        <v>4.0000000000000002E-4</v>
      </c>
      <c r="K11237" s="1192" t="s">
        <v>2823</v>
      </c>
      <c r="L11237" s="1192" t="s">
        <v>2374</v>
      </c>
      <c r="P11237" s="1192" t="s">
        <v>2829</v>
      </c>
      <c r="V11237" s="1192">
        <v>65</v>
      </c>
    </row>
    <row r="11238" spans="1:22" s="1192" customFormat="1" ht="14.4" x14ac:dyDescent="0.3">
      <c r="A11238" s="1192" t="s">
        <v>235</v>
      </c>
      <c r="E11238" s="1741" t="s">
        <v>428</v>
      </c>
      <c r="F11238" s="1741"/>
      <c r="G11238" s="1277" t="s">
        <v>20</v>
      </c>
      <c r="H11238" s="1219">
        <v>5.0000000000000001E-4</v>
      </c>
      <c r="K11238" s="1192" t="s">
        <v>2823</v>
      </c>
      <c r="L11238" s="1192" t="s">
        <v>2374</v>
      </c>
      <c r="P11238" s="1192" t="s">
        <v>2830</v>
      </c>
      <c r="V11238" s="1192">
        <v>57</v>
      </c>
    </row>
    <row r="11239" spans="1:22" s="1192" customFormat="1" ht="14.4" x14ac:dyDescent="0.3">
      <c r="A11239" s="1192" t="s">
        <v>235</v>
      </c>
      <c r="E11239" s="1741" t="s">
        <v>28</v>
      </c>
      <c r="F11239" s="1741"/>
      <c r="G11239" s="1277" t="s">
        <v>19</v>
      </c>
      <c r="H11239" s="1218">
        <v>0.25</v>
      </c>
      <c r="K11239" s="1192" t="s">
        <v>2823</v>
      </c>
      <c r="L11239" s="1192" t="s">
        <v>2374</v>
      </c>
      <c r="P11239" s="1192" t="s">
        <v>2831</v>
      </c>
      <c r="V11239" s="1192">
        <v>63</v>
      </c>
    </row>
    <row r="11240" spans="1:22" s="1192" customFormat="1" ht="17.399999999999999" x14ac:dyDescent="0.3">
      <c r="A11240" s="1192" t="s">
        <v>235</v>
      </c>
      <c r="E11240" s="1746" t="s">
        <v>590</v>
      </c>
      <c r="F11240" s="1747"/>
      <c r="G11240" s="1747"/>
      <c r="H11240" s="1747"/>
      <c r="K11240" s="1192" t="s">
        <v>2428</v>
      </c>
      <c r="V11240" s="1192">
        <v>38</v>
      </c>
    </row>
    <row r="11241" spans="1:22" s="1192" customFormat="1" ht="14.4" x14ac:dyDescent="0.3">
      <c r="A11241" s="1192" t="s">
        <v>235</v>
      </c>
      <c r="E11241" s="1743" t="s">
        <v>3319</v>
      </c>
      <c r="F11241" s="1743"/>
      <c r="G11241" s="1743"/>
      <c r="H11241" s="1743"/>
      <c r="K11241" s="1192" t="s">
        <v>2428</v>
      </c>
      <c r="V11241" s="1192">
        <v>542</v>
      </c>
    </row>
    <row r="11242" spans="1:22" s="1192" customFormat="1" ht="14.4" x14ac:dyDescent="0.3">
      <c r="A11242" s="1192" t="s">
        <v>235</v>
      </c>
      <c r="E11242" s="1750" t="s">
        <v>2389</v>
      </c>
      <c r="F11242" s="1743"/>
      <c r="G11242" s="1743"/>
      <c r="H11242" s="1743"/>
      <c r="K11242" s="1192" t="s">
        <v>2430</v>
      </c>
      <c r="V11242" s="1192">
        <v>11</v>
      </c>
    </row>
    <row r="11243" spans="1:22" s="1192" customFormat="1" ht="14.4" x14ac:dyDescent="0.3">
      <c r="A11243" s="1192" t="s">
        <v>235</v>
      </c>
      <c r="E11243" s="1743" t="s">
        <v>2391</v>
      </c>
      <c r="F11243" s="1743"/>
      <c r="G11243" s="1743"/>
      <c r="H11243" s="1743"/>
      <c r="K11243" s="1192" t="s">
        <v>2428</v>
      </c>
      <c r="V11243" s="1192">
        <v>280</v>
      </c>
    </row>
    <row r="11244" spans="1:22" s="1192" customFormat="1" ht="14.4" x14ac:dyDescent="0.3">
      <c r="A11244" s="1192" t="s">
        <v>235</v>
      </c>
      <c r="E11244" s="1743" t="s">
        <v>2392</v>
      </c>
      <c r="F11244" s="1743"/>
      <c r="G11244" s="1743"/>
      <c r="H11244" s="1743"/>
      <c r="K11244" s="1192" t="s">
        <v>2428</v>
      </c>
      <c r="V11244" s="1192">
        <v>411</v>
      </c>
    </row>
    <row r="11245" spans="1:22" s="1192" customFormat="1" ht="14.4" x14ac:dyDescent="0.3">
      <c r="A11245" s="1192" t="s">
        <v>235</v>
      </c>
      <c r="E11245" s="1743" t="s">
        <v>2508</v>
      </c>
      <c r="F11245" s="1743"/>
      <c r="G11245" s="1743"/>
      <c r="H11245" s="1743"/>
      <c r="K11245" s="1192" t="s">
        <v>2428</v>
      </c>
      <c r="V11245" s="1192">
        <v>386</v>
      </c>
    </row>
    <row r="11246" spans="1:22" s="1192" customFormat="1" ht="14.4" x14ac:dyDescent="0.3">
      <c r="A11246" s="1192" t="s">
        <v>235</v>
      </c>
      <c r="E11246" s="1743" t="s">
        <v>4500</v>
      </c>
      <c r="F11246" s="1743"/>
      <c r="G11246" s="1743"/>
      <c r="H11246" s="1743"/>
      <c r="K11246" s="1192" t="s">
        <v>2428</v>
      </c>
      <c r="V11246" s="1192">
        <v>247</v>
      </c>
    </row>
    <row r="11247" spans="1:22" s="1192" customFormat="1" ht="14.4" x14ac:dyDescent="0.3">
      <c r="A11247" s="1192" t="s">
        <v>235</v>
      </c>
      <c r="E11247" s="1750" t="s">
        <v>2394</v>
      </c>
      <c r="F11247" s="1743"/>
      <c r="G11247" s="1743"/>
      <c r="H11247" s="1743"/>
      <c r="K11247" s="1192" t="s">
        <v>2431</v>
      </c>
      <c r="V11247" s="1192">
        <v>46</v>
      </c>
    </row>
    <row r="11248" spans="1:22" s="1192" customFormat="1" ht="14.4" x14ac:dyDescent="0.3">
      <c r="A11248" s="1192" t="s">
        <v>235</v>
      </c>
      <c r="E11248" s="1741" t="s">
        <v>8</v>
      </c>
      <c r="F11248" s="1741"/>
      <c r="G11248" s="1277" t="s">
        <v>19</v>
      </c>
      <c r="H11248" s="1218">
        <v>4.5599999999999996</v>
      </c>
      <c r="K11248" s="1192" t="s">
        <v>2428</v>
      </c>
      <c r="L11248" s="1192" t="s">
        <v>430</v>
      </c>
      <c r="P11248" s="1192" t="s">
        <v>2432</v>
      </c>
      <c r="V11248" s="1192">
        <v>31</v>
      </c>
    </row>
    <row r="11249" spans="1:22" s="1192" customFormat="1" ht="14.4" x14ac:dyDescent="0.3">
      <c r="A11249" s="1192" t="s">
        <v>235</v>
      </c>
      <c r="E11249" s="1741" t="s">
        <v>80</v>
      </c>
      <c r="F11249" s="1741"/>
      <c r="G11249" s="1277" t="s">
        <v>29</v>
      </c>
      <c r="H11249" s="1219">
        <v>15.1656</v>
      </c>
      <c r="K11249" s="1192" t="s">
        <v>2428</v>
      </c>
      <c r="L11249" s="1192" t="s">
        <v>430</v>
      </c>
      <c r="P11249" s="1192" t="s">
        <v>2433</v>
      </c>
      <c r="V11249" s="1192">
        <v>28</v>
      </c>
    </row>
    <row r="11250" spans="1:22" s="1192" customFormat="1" ht="14.4" x14ac:dyDescent="0.3">
      <c r="A11250" s="1192" t="s">
        <v>235</v>
      </c>
      <c r="E11250" s="1741" t="s">
        <v>14</v>
      </c>
      <c r="F11250" s="1741"/>
      <c r="G11250" s="1277" t="s">
        <v>29</v>
      </c>
      <c r="H11250" s="1219">
        <v>0.1663</v>
      </c>
      <c r="K11250" s="1192" t="s">
        <v>2428</v>
      </c>
      <c r="L11250" s="1192" t="s">
        <v>431</v>
      </c>
      <c r="P11250" s="1192" t="s">
        <v>2764</v>
      </c>
      <c r="V11250" s="1192">
        <v>24</v>
      </c>
    </row>
    <row r="11251" spans="1:22" s="1192" customFormat="1" ht="14.4" x14ac:dyDescent="0.3">
      <c r="A11251" s="1192" t="s">
        <v>235</v>
      </c>
      <c r="E11251" s="1741" t="s">
        <v>6505</v>
      </c>
      <c r="F11251" s="1998"/>
      <c r="G11251" s="1277" t="s">
        <v>29</v>
      </c>
      <c r="H11251" s="1219">
        <v>-6.4600000000000005E-2</v>
      </c>
      <c r="K11251" s="1192" t="s">
        <v>2428</v>
      </c>
      <c r="L11251" s="1192" t="s">
        <v>430</v>
      </c>
      <c r="P11251" s="1192" t="s">
        <v>3259</v>
      </c>
      <c r="T11251" s="1192">
        <v>44316</v>
      </c>
      <c r="V11251" s="1192">
        <v>80</v>
      </c>
    </row>
    <row r="11252" spans="1:22" s="1192" customFormat="1" ht="14.4" x14ac:dyDescent="0.3">
      <c r="A11252" s="1192" t="s">
        <v>235</v>
      </c>
      <c r="E11252" s="1741" t="s">
        <v>213</v>
      </c>
      <c r="F11252" s="1741"/>
      <c r="G11252" s="1277" t="s">
        <v>29</v>
      </c>
      <c r="H11252" s="1219">
        <v>1.5815999999999999</v>
      </c>
      <c r="K11252" s="1192" t="s">
        <v>2428</v>
      </c>
      <c r="L11252" s="1192" t="s">
        <v>432</v>
      </c>
      <c r="P11252" s="1192" t="s">
        <v>2436</v>
      </c>
      <c r="V11252" s="1192">
        <v>47</v>
      </c>
    </row>
    <row r="11253" spans="1:22" s="1192" customFormat="1" ht="14.4" x14ac:dyDescent="0.3">
      <c r="A11253" s="1192" t="s">
        <v>235</v>
      </c>
      <c r="E11253" s="1741" t="s">
        <v>209</v>
      </c>
      <c r="F11253" s="1741"/>
      <c r="G11253" s="1277" t="s">
        <v>29</v>
      </c>
      <c r="H11253" s="1219">
        <v>1.3498000000000001</v>
      </c>
      <c r="K11253" s="1192" t="s">
        <v>2428</v>
      </c>
      <c r="L11253" s="1192" t="s">
        <v>432</v>
      </c>
      <c r="P11253" s="1192" t="s">
        <v>2437</v>
      </c>
      <c r="V11253" s="1192">
        <v>74</v>
      </c>
    </row>
    <row r="11254" spans="1:22" s="1192" customFormat="1" ht="14.4" x14ac:dyDescent="0.3">
      <c r="A11254" s="1192" t="s">
        <v>235</v>
      </c>
      <c r="E11254" s="1750" t="s">
        <v>2405</v>
      </c>
      <c r="F11254" s="1741"/>
      <c r="G11254" s="1277"/>
      <c r="H11254" s="896"/>
      <c r="K11254" s="1192" t="s">
        <v>2438</v>
      </c>
      <c r="V11254" s="1192">
        <v>48</v>
      </c>
    </row>
    <row r="11255" spans="1:22" s="1192" customFormat="1" ht="14.4" x14ac:dyDescent="0.3">
      <c r="A11255" s="1192" t="s">
        <v>235</v>
      </c>
      <c r="E11255" s="1741" t="s">
        <v>2033</v>
      </c>
      <c r="F11255" s="1741"/>
      <c r="G11255" s="1277" t="s">
        <v>20</v>
      </c>
      <c r="H11255" s="1219">
        <v>3.0000000000000001E-3</v>
      </c>
      <c r="K11255" s="1192" t="s">
        <v>2428</v>
      </c>
      <c r="L11255" s="1192" t="s">
        <v>2374</v>
      </c>
      <c r="P11255" s="1192" t="s">
        <v>2439</v>
      </c>
      <c r="V11255" s="1192">
        <v>55</v>
      </c>
    </row>
    <row r="11256" spans="1:22" s="1192" customFormat="1" ht="14.4" x14ac:dyDescent="0.3">
      <c r="A11256" s="1192" t="s">
        <v>235</v>
      </c>
      <c r="E11256" s="1741" t="s">
        <v>2034</v>
      </c>
      <c r="F11256" s="1741"/>
      <c r="G11256" s="1277" t="s">
        <v>20</v>
      </c>
      <c r="H11256" s="1219">
        <v>4.0000000000000002E-4</v>
      </c>
      <c r="K11256" s="1192" t="s">
        <v>2428</v>
      </c>
      <c r="L11256" s="1192" t="s">
        <v>2374</v>
      </c>
      <c r="P11256" s="1192" t="s">
        <v>2439</v>
      </c>
      <c r="V11256" s="1192">
        <v>65</v>
      </c>
    </row>
    <row r="11257" spans="1:22" s="1192" customFormat="1" ht="14.4" x14ac:dyDescent="0.3">
      <c r="A11257" s="1192" t="s">
        <v>235</v>
      </c>
      <c r="E11257" s="1741" t="s">
        <v>428</v>
      </c>
      <c r="F11257" s="1741"/>
      <c r="G11257" s="1277" t="s">
        <v>20</v>
      </c>
      <c r="H11257" s="1219">
        <v>5.0000000000000001E-4</v>
      </c>
      <c r="K11257" s="1192" t="s">
        <v>2428</v>
      </c>
      <c r="L11257" s="1192" t="s">
        <v>2374</v>
      </c>
      <c r="P11257" s="1192" t="s">
        <v>2440</v>
      </c>
      <c r="V11257" s="1192">
        <v>57</v>
      </c>
    </row>
    <row r="11258" spans="1:22" s="1192" customFormat="1" ht="14.4" x14ac:dyDescent="0.3">
      <c r="A11258" s="1192" t="s">
        <v>235</v>
      </c>
      <c r="E11258" s="1741" t="s">
        <v>28</v>
      </c>
      <c r="F11258" s="1741"/>
      <c r="G11258" s="1277" t="s">
        <v>19</v>
      </c>
      <c r="H11258" s="1218">
        <v>0.25</v>
      </c>
      <c r="K11258" s="1192" t="s">
        <v>2428</v>
      </c>
      <c r="L11258" s="1192" t="s">
        <v>2374</v>
      </c>
      <c r="P11258" s="1192" t="s">
        <v>2441</v>
      </c>
      <c r="V11258" s="1192">
        <v>63</v>
      </c>
    </row>
    <row r="11259" spans="1:22" s="1192" customFormat="1" ht="17.399999999999999" x14ac:dyDescent="0.3">
      <c r="A11259" s="1192" t="s">
        <v>235</v>
      </c>
      <c r="E11259" s="1746" t="s">
        <v>606</v>
      </c>
      <c r="F11259" s="1747"/>
      <c r="G11259" s="1747"/>
      <c r="H11259" s="1747"/>
      <c r="K11259" s="1192" t="s">
        <v>3203</v>
      </c>
      <c r="V11259" s="1192">
        <v>36</v>
      </c>
    </row>
    <row r="11260" spans="1:22" s="1192" customFormat="1" ht="14.4" x14ac:dyDescent="0.3">
      <c r="A11260" s="1192" t="s">
        <v>235</v>
      </c>
      <c r="E11260" s="1743" t="s">
        <v>3320</v>
      </c>
      <c r="F11260" s="1743"/>
      <c r="G11260" s="1743"/>
      <c r="H11260" s="1743"/>
      <c r="K11260" s="1192" t="s">
        <v>3203</v>
      </c>
      <c r="V11260" s="1192">
        <v>490</v>
      </c>
    </row>
    <row r="11261" spans="1:22" s="1192" customFormat="1" ht="14.4" x14ac:dyDescent="0.3">
      <c r="A11261" s="1192" t="s">
        <v>235</v>
      </c>
      <c r="E11261" s="1750" t="s">
        <v>2389</v>
      </c>
      <c r="F11261" s="1743"/>
      <c r="G11261" s="1743"/>
      <c r="H11261" s="1743"/>
      <c r="K11261" s="1192" t="s">
        <v>2444</v>
      </c>
      <c r="V11261" s="1192">
        <v>11</v>
      </c>
    </row>
    <row r="11262" spans="1:22" s="1192" customFormat="1" ht="14.4" x14ac:dyDescent="0.3">
      <c r="A11262" s="1192" t="s">
        <v>235</v>
      </c>
      <c r="E11262" s="1743" t="s">
        <v>2391</v>
      </c>
      <c r="F11262" s="1743"/>
      <c r="G11262" s="1743"/>
      <c r="H11262" s="1743"/>
      <c r="K11262" s="1192" t="s">
        <v>3203</v>
      </c>
      <c r="V11262" s="1192">
        <v>280</v>
      </c>
    </row>
    <row r="11263" spans="1:22" s="1192" customFormat="1" ht="14.4" x14ac:dyDescent="0.3">
      <c r="A11263" s="1192" t="s">
        <v>235</v>
      </c>
      <c r="E11263" s="1743" t="s">
        <v>2392</v>
      </c>
      <c r="F11263" s="1743"/>
      <c r="G11263" s="1743"/>
      <c r="H11263" s="1743"/>
      <c r="K11263" s="1192" t="s">
        <v>3203</v>
      </c>
      <c r="V11263" s="1192">
        <v>411</v>
      </c>
    </row>
    <row r="11264" spans="1:22" s="1192" customFormat="1" ht="14.4" x14ac:dyDescent="0.3">
      <c r="A11264" s="1192" t="s">
        <v>235</v>
      </c>
      <c r="E11264" s="1743" t="s">
        <v>2445</v>
      </c>
      <c r="F11264" s="1743"/>
      <c r="G11264" s="1743"/>
      <c r="H11264" s="1743"/>
      <c r="K11264" s="1192" t="s">
        <v>3203</v>
      </c>
      <c r="V11264" s="1192">
        <v>211</v>
      </c>
    </row>
    <row r="11265" spans="1:22" s="1192" customFormat="1" ht="14.4" x14ac:dyDescent="0.3">
      <c r="A11265" s="1192" t="s">
        <v>235</v>
      </c>
      <c r="E11265" s="1743" t="s">
        <v>4500</v>
      </c>
      <c r="F11265" s="1743"/>
      <c r="G11265" s="1743"/>
      <c r="H11265" s="1743"/>
      <c r="K11265" s="1192" t="s">
        <v>3203</v>
      </c>
      <c r="V11265" s="1192">
        <v>247</v>
      </c>
    </row>
    <row r="11266" spans="1:22" s="1192" customFormat="1" ht="14.4" x14ac:dyDescent="0.3">
      <c r="A11266" s="1192" t="s">
        <v>235</v>
      </c>
      <c r="E11266" s="1750" t="s">
        <v>3071</v>
      </c>
      <c r="F11266" s="1743"/>
      <c r="G11266" s="1743"/>
      <c r="H11266" s="1743"/>
      <c r="K11266" s="1192" t="s">
        <v>2446</v>
      </c>
      <c r="V11266" s="1192">
        <v>77</v>
      </c>
    </row>
    <row r="11267" spans="1:22" s="1192" customFormat="1" ht="14.4" x14ac:dyDescent="0.3">
      <c r="A11267" s="1192" t="s">
        <v>235</v>
      </c>
      <c r="E11267" s="1741" t="s">
        <v>362</v>
      </c>
      <c r="F11267" s="1741"/>
      <c r="G11267" s="1277" t="s">
        <v>29</v>
      </c>
      <c r="H11267" s="1219">
        <v>1.0712999999999999</v>
      </c>
      <c r="K11267" s="1192" t="s">
        <v>3203</v>
      </c>
      <c r="L11267" s="1192" t="s">
        <v>430</v>
      </c>
      <c r="P11267" s="1192" t="s">
        <v>3206</v>
      </c>
      <c r="V11267" s="1192">
        <v>56</v>
      </c>
    </row>
    <row r="11268" spans="1:22" s="1192" customFormat="1" ht="17.399999999999999" x14ac:dyDescent="0.3">
      <c r="A11268" s="1192" t="s">
        <v>235</v>
      </c>
      <c r="E11268" s="1746" t="s">
        <v>593</v>
      </c>
      <c r="F11268" s="1747"/>
      <c r="G11268" s="1747"/>
      <c r="H11268" s="1747"/>
      <c r="K11268" s="1192" t="s">
        <v>2756</v>
      </c>
      <c r="V11268" s="1192">
        <v>31</v>
      </c>
    </row>
    <row r="11269" spans="1:22" s="1192" customFormat="1" ht="14.4" x14ac:dyDescent="0.3">
      <c r="A11269" s="1192" t="s">
        <v>235</v>
      </c>
      <c r="E11269" s="1743" t="s">
        <v>2652</v>
      </c>
      <c r="F11269" s="1743"/>
      <c r="G11269" s="1743"/>
      <c r="H11269" s="1743"/>
      <c r="K11269" s="1192" t="s">
        <v>2756</v>
      </c>
      <c r="V11269" s="1192">
        <v>285</v>
      </c>
    </row>
    <row r="11270" spans="1:22" s="1192" customFormat="1" ht="14.4" x14ac:dyDescent="0.3">
      <c r="A11270" s="1192" t="s">
        <v>235</v>
      </c>
      <c r="E11270" s="1750" t="s">
        <v>2389</v>
      </c>
      <c r="F11270" s="1743"/>
      <c r="G11270" s="1743"/>
      <c r="H11270" s="1743"/>
      <c r="K11270" s="1192" t="s">
        <v>2571</v>
      </c>
      <c r="V11270" s="1192">
        <v>11</v>
      </c>
    </row>
    <row r="11271" spans="1:22" s="1192" customFormat="1" ht="14.4" x14ac:dyDescent="0.3">
      <c r="A11271" s="1192" t="s">
        <v>235</v>
      </c>
      <c r="E11271" s="1743" t="s">
        <v>2391</v>
      </c>
      <c r="F11271" s="1743"/>
      <c r="G11271" s="1743"/>
      <c r="H11271" s="1743"/>
      <c r="K11271" s="1192" t="s">
        <v>2756</v>
      </c>
      <c r="V11271" s="1192">
        <v>280</v>
      </c>
    </row>
    <row r="11272" spans="1:22" s="1192" customFormat="1" ht="14.4" x14ac:dyDescent="0.3">
      <c r="A11272" s="1192" t="s">
        <v>235</v>
      </c>
      <c r="E11272" s="1743" t="s">
        <v>2392</v>
      </c>
      <c r="F11272" s="1743"/>
      <c r="G11272" s="1743"/>
      <c r="H11272" s="1743"/>
      <c r="K11272" s="1192" t="s">
        <v>2756</v>
      </c>
      <c r="V11272" s="1192">
        <v>411</v>
      </c>
    </row>
    <row r="11273" spans="1:22" s="1192" customFormat="1" ht="14.4" x14ac:dyDescent="0.3">
      <c r="A11273" s="1192" t="s">
        <v>235</v>
      </c>
      <c r="E11273" s="1743" t="s">
        <v>2445</v>
      </c>
      <c r="F11273" s="1743"/>
      <c r="G11273" s="1743"/>
      <c r="H11273" s="1743"/>
      <c r="K11273" s="1192" t="s">
        <v>2756</v>
      </c>
      <c r="V11273" s="1192">
        <v>211</v>
      </c>
    </row>
    <row r="11274" spans="1:22" s="1192" customFormat="1" ht="14.4" x14ac:dyDescent="0.3">
      <c r="A11274" s="1192" t="s">
        <v>235</v>
      </c>
      <c r="E11274" s="1743" t="s">
        <v>4500</v>
      </c>
      <c r="F11274" s="1743"/>
      <c r="G11274" s="1743"/>
      <c r="H11274" s="1743"/>
      <c r="K11274" s="1192" t="s">
        <v>2756</v>
      </c>
      <c r="V11274" s="1192">
        <v>247</v>
      </c>
    </row>
    <row r="11275" spans="1:22" s="1192" customFormat="1" ht="14.4" x14ac:dyDescent="0.3">
      <c r="A11275" s="1192" t="s">
        <v>235</v>
      </c>
      <c r="E11275" s="1750" t="s">
        <v>2394</v>
      </c>
      <c r="F11275" s="1743"/>
      <c r="G11275" s="1743"/>
      <c r="H11275" s="1743"/>
      <c r="K11275" s="1192" t="s">
        <v>2572</v>
      </c>
      <c r="V11275" s="1192">
        <v>46</v>
      </c>
    </row>
    <row r="11276" spans="1:22" s="1192" customFormat="1" ht="14.4" x14ac:dyDescent="0.3">
      <c r="A11276" s="1192" t="s">
        <v>235</v>
      </c>
      <c r="E11276" s="1741" t="s">
        <v>7</v>
      </c>
      <c r="F11276" s="1741"/>
      <c r="G11276" s="1277" t="s">
        <v>19</v>
      </c>
      <c r="H11276" s="1218">
        <v>4.55</v>
      </c>
      <c r="K11276" s="1192" t="s">
        <v>2756</v>
      </c>
      <c r="L11276" s="1192" t="s">
        <v>430</v>
      </c>
      <c r="P11276" s="1192" t="s">
        <v>2757</v>
      </c>
      <c r="V11276" s="1192">
        <v>14</v>
      </c>
    </row>
    <row r="11277" spans="1:22" s="1192" customFormat="1" x14ac:dyDescent="0.3">
      <c r="A11277" s="1192" t="s">
        <v>235</v>
      </c>
      <c r="E11277" s="1260" t="s">
        <v>81</v>
      </c>
      <c r="F11277" s="554"/>
      <c r="G11277" s="554"/>
      <c r="H11277" s="917"/>
      <c r="K11277" s="1192" t="s">
        <v>3321</v>
      </c>
      <c r="V11277" s="1192">
        <v>10</v>
      </c>
    </row>
    <row r="11278" spans="1:22" s="1192" customFormat="1" ht="14.4" x14ac:dyDescent="0.3">
      <c r="A11278" s="1192" t="s">
        <v>235</v>
      </c>
      <c r="E11278" s="1741" t="s">
        <v>2449</v>
      </c>
      <c r="F11278" s="1741"/>
      <c r="G11278" s="1277" t="s">
        <v>29</v>
      </c>
      <c r="H11278" s="1219">
        <v>-0.6</v>
      </c>
      <c r="V11278" s="1192">
        <v>68</v>
      </c>
    </row>
    <row r="11279" spans="1:22" s="1192" customFormat="1" ht="14.4" x14ac:dyDescent="0.3">
      <c r="A11279" s="1192" t="s">
        <v>235</v>
      </c>
      <c r="E11279" s="1741" t="s">
        <v>2450</v>
      </c>
      <c r="F11279" s="1741"/>
      <c r="G11279" s="1277" t="s">
        <v>82</v>
      </c>
      <c r="H11279" s="1218">
        <v>-1</v>
      </c>
      <c r="V11279" s="1192">
        <v>87</v>
      </c>
    </row>
    <row r="11280" spans="1:22" s="1192" customFormat="1" x14ac:dyDescent="0.3">
      <c r="A11280" s="1192" t="s">
        <v>235</v>
      </c>
      <c r="E11280" s="1260" t="s">
        <v>83</v>
      </c>
      <c r="F11280" s="554"/>
      <c r="G11280" s="554"/>
      <c r="H11280" s="917"/>
      <c r="K11280" s="1192" t="s">
        <v>3322</v>
      </c>
      <c r="V11280" s="1192">
        <v>24</v>
      </c>
    </row>
    <row r="11281" spans="1:22" s="1192" customFormat="1" ht="14.4" x14ac:dyDescent="0.3">
      <c r="A11281" s="1192" t="s">
        <v>235</v>
      </c>
      <c r="E11281" s="1743" t="s">
        <v>2391</v>
      </c>
      <c r="F11281" s="1743"/>
      <c r="G11281" s="1743"/>
      <c r="H11281" s="1743"/>
      <c r="V11281" s="1192">
        <v>280</v>
      </c>
    </row>
    <row r="11282" spans="1:22" s="1192" customFormat="1" ht="14.4" x14ac:dyDescent="0.3">
      <c r="A11282" s="1192" t="s">
        <v>235</v>
      </c>
      <c r="E11282" s="1743" t="s">
        <v>2452</v>
      </c>
      <c r="F11282" s="1743"/>
      <c r="G11282" s="1743"/>
      <c r="H11282" s="1743"/>
      <c r="V11282" s="1192">
        <v>353</v>
      </c>
    </row>
    <row r="11283" spans="1:22" s="1192" customFormat="1" ht="14.4" x14ac:dyDescent="0.3">
      <c r="A11283" s="1192" t="s">
        <v>235</v>
      </c>
      <c r="E11283" s="1743" t="s">
        <v>4500</v>
      </c>
      <c r="F11283" s="1743"/>
      <c r="G11283" s="1743"/>
      <c r="H11283" s="1743"/>
      <c r="V11283" s="1192">
        <v>247</v>
      </c>
    </row>
    <row r="11284" spans="1:22" s="1192" customFormat="1" ht="14.4" x14ac:dyDescent="0.3">
      <c r="A11284" s="1192" t="s">
        <v>235</v>
      </c>
      <c r="E11284" s="1258" t="s">
        <v>2453</v>
      </c>
      <c r="F11284" s="450"/>
      <c r="G11284" s="450"/>
      <c r="H11284" s="926"/>
      <c r="K11284" s="1192" t="s">
        <v>3323</v>
      </c>
      <c r="V11284" s="1192">
        <v>23</v>
      </c>
    </row>
    <row r="11285" spans="1:22" s="1192" customFormat="1" ht="14.4" x14ac:dyDescent="0.3">
      <c r="A11285" s="1192" t="s">
        <v>235</v>
      </c>
      <c r="E11285" s="1942" t="s">
        <v>2639</v>
      </c>
      <c r="F11285" s="1942"/>
      <c r="G11285" s="1277" t="s">
        <v>19</v>
      </c>
      <c r="H11285" s="1218">
        <v>15</v>
      </c>
      <c r="V11285" s="1192">
        <v>19</v>
      </c>
    </row>
    <row r="11286" spans="1:22" s="1192" customFormat="1" ht="14.4" x14ac:dyDescent="0.3">
      <c r="A11286" s="1192" t="s">
        <v>235</v>
      </c>
      <c r="E11286" s="1942" t="s">
        <v>2456</v>
      </c>
      <c r="F11286" s="1942"/>
      <c r="G11286" s="1277" t="s">
        <v>19</v>
      </c>
      <c r="H11286" s="1218">
        <v>15</v>
      </c>
      <c r="V11286" s="1192">
        <v>20</v>
      </c>
    </row>
    <row r="11287" spans="1:22" s="1192" customFormat="1" ht="14.4" x14ac:dyDescent="0.3">
      <c r="A11287" s="1192" t="s">
        <v>235</v>
      </c>
      <c r="E11287" s="1942" t="s">
        <v>3663</v>
      </c>
      <c r="F11287" s="1942"/>
      <c r="G11287" s="1277" t="s">
        <v>19</v>
      </c>
      <c r="H11287" s="1218">
        <v>15</v>
      </c>
      <c r="V11287" s="1192">
        <v>15</v>
      </c>
    </row>
    <row r="11288" spans="1:22" s="1192" customFormat="1" ht="14.4" x14ac:dyDescent="0.3">
      <c r="A11288" s="1192" t="s">
        <v>235</v>
      </c>
      <c r="E11288" s="1942" t="s">
        <v>2461</v>
      </c>
      <c r="F11288" s="1942"/>
      <c r="G11288" s="1277" t="s">
        <v>19</v>
      </c>
      <c r="H11288" s="1218">
        <v>15</v>
      </c>
      <c r="V11288" s="1192">
        <v>17</v>
      </c>
    </row>
    <row r="11289" spans="1:22" s="1192" customFormat="1" ht="14.4" x14ac:dyDescent="0.3">
      <c r="A11289" s="1192" t="s">
        <v>235</v>
      </c>
      <c r="E11289" s="1942" t="s">
        <v>2463</v>
      </c>
      <c r="F11289" s="1942"/>
      <c r="G11289" s="1277" t="s">
        <v>19</v>
      </c>
      <c r="H11289" s="1218">
        <v>15</v>
      </c>
      <c r="V11289" s="1192">
        <v>15</v>
      </c>
    </row>
    <row r="11290" spans="1:22" s="1192" customFormat="1" ht="14.4" x14ac:dyDescent="0.3">
      <c r="A11290" s="1192" t="s">
        <v>235</v>
      </c>
      <c r="E11290" s="1942" t="s">
        <v>2464</v>
      </c>
      <c r="F11290" s="1942"/>
      <c r="G11290" s="1277" t="s">
        <v>19</v>
      </c>
      <c r="H11290" s="1218">
        <v>15</v>
      </c>
      <c r="V11290" s="1192">
        <v>56</v>
      </c>
    </row>
    <row r="11291" spans="1:22" s="1192" customFormat="1" ht="14.4" x14ac:dyDescent="0.3">
      <c r="A11291" s="1192" t="s">
        <v>235</v>
      </c>
      <c r="E11291" s="1942" t="s">
        <v>84</v>
      </c>
      <c r="F11291" s="1942"/>
      <c r="G11291" s="1277" t="s">
        <v>19</v>
      </c>
      <c r="H11291" s="1218">
        <v>30</v>
      </c>
      <c r="V11291" s="1192">
        <v>89</v>
      </c>
    </row>
    <row r="11292" spans="1:22" s="1192" customFormat="1" ht="14.4" x14ac:dyDescent="0.3">
      <c r="A11292" s="1192" t="s">
        <v>235</v>
      </c>
      <c r="E11292" s="1942" t="s">
        <v>119</v>
      </c>
      <c r="F11292" s="1942"/>
      <c r="G11292" s="1277" t="s">
        <v>19</v>
      </c>
      <c r="H11292" s="1218">
        <v>15</v>
      </c>
      <c r="V11292" s="1192">
        <v>35</v>
      </c>
    </row>
    <row r="11293" spans="1:22" s="1192" customFormat="1" ht="14.4" x14ac:dyDescent="0.3">
      <c r="A11293" s="1192" t="s">
        <v>235</v>
      </c>
      <c r="E11293" s="1942" t="s">
        <v>2467</v>
      </c>
      <c r="F11293" s="1942"/>
      <c r="G11293" s="1277" t="s">
        <v>19</v>
      </c>
      <c r="H11293" s="1218">
        <v>15</v>
      </c>
      <c r="V11293" s="1192">
        <v>19</v>
      </c>
    </row>
    <row r="11294" spans="1:22" s="1192" customFormat="1" ht="14.4" x14ac:dyDescent="0.3">
      <c r="A11294" s="1192" t="s">
        <v>235</v>
      </c>
      <c r="E11294" s="1942" t="s">
        <v>90</v>
      </c>
      <c r="F11294" s="1942"/>
      <c r="G11294" s="1277" t="s">
        <v>19</v>
      </c>
      <c r="H11294" s="1218">
        <v>30</v>
      </c>
      <c r="V11294" s="1192">
        <v>19</v>
      </c>
    </row>
    <row r="11295" spans="1:22" s="1192" customFormat="1" ht="14.4" x14ac:dyDescent="0.3">
      <c r="A11295" s="1192" t="s">
        <v>235</v>
      </c>
      <c r="E11295" s="1942" t="s">
        <v>88</v>
      </c>
      <c r="F11295" s="1942"/>
      <c r="G11295" s="1277" t="s">
        <v>19</v>
      </c>
      <c r="H11295" s="1218">
        <v>30</v>
      </c>
      <c r="V11295" s="1192">
        <v>74</v>
      </c>
    </row>
    <row r="11296" spans="1:22" s="1192" customFormat="1" ht="14.4" x14ac:dyDescent="0.3">
      <c r="A11296" s="1192" t="s">
        <v>235</v>
      </c>
      <c r="E11296" s="1253" t="s">
        <v>2468</v>
      </c>
      <c r="F11296" s="1287"/>
      <c r="G11296" s="1287"/>
      <c r="H11296" s="879"/>
      <c r="K11296" s="1192" t="s">
        <v>6602</v>
      </c>
      <c r="V11296" s="1192">
        <v>22</v>
      </c>
    </row>
    <row r="11297" spans="1:22" s="1192" customFormat="1" ht="14.4" x14ac:dyDescent="0.3">
      <c r="A11297" s="1192" t="s">
        <v>235</v>
      </c>
      <c r="E11297" s="1942" t="s">
        <v>3918</v>
      </c>
      <c r="F11297" s="1942"/>
      <c r="G11297" s="1277"/>
      <c r="H11297" s="837"/>
      <c r="V11297" s="1192">
        <v>24</v>
      </c>
    </row>
    <row r="11298" spans="1:22" s="1192" customFormat="1" ht="14.4" x14ac:dyDescent="0.3">
      <c r="A11298" s="1192" t="s">
        <v>235</v>
      </c>
      <c r="E11298" s="1942" t="s">
        <v>6195</v>
      </c>
      <c r="F11298" s="1942"/>
      <c r="G11298" s="1277" t="s">
        <v>82</v>
      </c>
      <c r="H11298" s="1218">
        <v>1.5</v>
      </c>
      <c r="V11298" s="1192">
        <v>74</v>
      </c>
    </row>
    <row r="11299" spans="1:22" s="1192" customFormat="1" ht="14.4" x14ac:dyDescent="0.3">
      <c r="A11299" s="1192" t="s">
        <v>235</v>
      </c>
      <c r="E11299" s="1942" t="s">
        <v>6591</v>
      </c>
      <c r="F11299" s="1942"/>
      <c r="G11299" s="1277" t="s">
        <v>19</v>
      </c>
      <c r="H11299" s="1218">
        <v>65</v>
      </c>
      <c r="V11299" s="1192">
        <v>71</v>
      </c>
    </row>
    <row r="11300" spans="1:22" s="1192" customFormat="1" ht="14.4" x14ac:dyDescent="0.3">
      <c r="A11300" s="1192" t="s">
        <v>235</v>
      </c>
      <c r="E11300" s="1942" t="s">
        <v>6603</v>
      </c>
      <c r="F11300" s="1942"/>
      <c r="G11300" s="1277" t="s">
        <v>19</v>
      </c>
      <c r="H11300" s="1218">
        <v>185</v>
      </c>
      <c r="V11300" s="1192">
        <v>78</v>
      </c>
    </row>
    <row r="11301" spans="1:22" s="1192" customFormat="1" ht="14.4" x14ac:dyDescent="0.3">
      <c r="A11301" s="1192" t="s">
        <v>235</v>
      </c>
      <c r="E11301" s="1942" t="s">
        <v>6604</v>
      </c>
      <c r="F11301" s="1942"/>
      <c r="G11301" s="1277" t="s">
        <v>19</v>
      </c>
      <c r="H11301" s="1218">
        <v>185</v>
      </c>
      <c r="V11301" s="1192">
        <v>78</v>
      </c>
    </row>
    <row r="11302" spans="1:22" s="1192" customFormat="1" ht="14.4" x14ac:dyDescent="0.3">
      <c r="A11302" s="1192" t="s">
        <v>235</v>
      </c>
      <c r="E11302" s="1942" t="s">
        <v>6605</v>
      </c>
      <c r="F11302" s="1942"/>
      <c r="G11302" s="1277" t="s">
        <v>19</v>
      </c>
      <c r="H11302" s="1218">
        <v>415</v>
      </c>
      <c r="V11302" s="1192">
        <v>77</v>
      </c>
    </row>
    <row r="11303" spans="1:22" s="1192" customFormat="1" ht="14.4" x14ac:dyDescent="0.3">
      <c r="A11303" s="1192" t="s">
        <v>235</v>
      </c>
      <c r="E11303" s="1258" t="s">
        <v>2474</v>
      </c>
      <c r="F11303" s="1266"/>
      <c r="G11303" s="451"/>
      <c r="H11303" s="899"/>
      <c r="V11303" s="1192">
        <v>5</v>
      </c>
    </row>
    <row r="11304" spans="1:22" s="1192" customFormat="1" ht="14.4" x14ac:dyDescent="0.3">
      <c r="A11304" s="1192" t="s">
        <v>235</v>
      </c>
      <c r="E11304" s="1942" t="s">
        <v>2703</v>
      </c>
      <c r="F11304" s="1942"/>
      <c r="G11304" s="1277" t="s">
        <v>19</v>
      </c>
      <c r="H11304" s="1218">
        <v>500</v>
      </c>
      <c r="V11304" s="1192">
        <v>64</v>
      </c>
    </row>
    <row r="11305" spans="1:22" s="1192" customFormat="1" ht="14.4" x14ac:dyDescent="0.3">
      <c r="A11305" s="1192" t="s">
        <v>235</v>
      </c>
      <c r="E11305" s="1942" t="s">
        <v>2758</v>
      </c>
      <c r="F11305" s="1942"/>
      <c r="G11305" s="1277" t="s">
        <v>19</v>
      </c>
      <c r="H11305" s="1218">
        <v>300</v>
      </c>
      <c r="V11305" s="1192">
        <v>67</v>
      </c>
    </row>
    <row r="11306" spans="1:22" s="1192" customFormat="1" ht="14.4" x14ac:dyDescent="0.3">
      <c r="A11306" s="1192" t="s">
        <v>235</v>
      </c>
      <c r="E11306" s="1942" t="s">
        <v>2759</v>
      </c>
      <c r="F11306" s="1942"/>
      <c r="G11306" s="1277" t="s">
        <v>19</v>
      </c>
      <c r="H11306" s="1218">
        <v>1000</v>
      </c>
      <c r="V11306" s="1192">
        <v>66</v>
      </c>
    </row>
    <row r="11307" spans="1:22" s="1192" customFormat="1" ht="14.4" x14ac:dyDescent="0.3">
      <c r="A11307" s="1192" t="s">
        <v>235</v>
      </c>
      <c r="E11307" s="1942" t="s">
        <v>2768</v>
      </c>
      <c r="F11307" s="1942"/>
      <c r="G11307" s="1277" t="s">
        <v>19</v>
      </c>
      <c r="H11307" s="1218">
        <v>44.5</v>
      </c>
      <c r="V11307" s="1192">
        <v>104</v>
      </c>
    </row>
    <row r="11308" spans="1:22" s="1192" customFormat="1" ht="17.399999999999999" x14ac:dyDescent="0.3">
      <c r="A11308" s="1192" t="s">
        <v>235</v>
      </c>
      <c r="E11308" s="1746" t="s">
        <v>73</v>
      </c>
      <c r="F11308" s="1746"/>
      <c r="G11308" s="1746"/>
      <c r="H11308" s="1746"/>
      <c r="K11308" s="1192" t="s">
        <v>3324</v>
      </c>
      <c r="V11308" s="1192">
        <v>38</v>
      </c>
    </row>
    <row r="11309" spans="1:22" s="1192" customFormat="1" ht="14.4" x14ac:dyDescent="0.3">
      <c r="A11309" s="1192" t="s">
        <v>235</v>
      </c>
      <c r="E11309" s="1743" t="s">
        <v>2391</v>
      </c>
      <c r="F11309" s="1743"/>
      <c r="G11309" s="1743"/>
      <c r="H11309" s="1743"/>
      <c r="V11309" s="1192">
        <v>280</v>
      </c>
    </row>
    <row r="11310" spans="1:22" s="1192" customFormat="1" ht="14.4" x14ac:dyDescent="0.3">
      <c r="A11310" s="1192" t="s">
        <v>235</v>
      </c>
      <c r="E11310" s="1743" t="s">
        <v>2392</v>
      </c>
      <c r="F11310" s="1743"/>
      <c r="G11310" s="1743"/>
      <c r="H11310" s="1743"/>
      <c r="V11310" s="1192">
        <v>411</v>
      </c>
    </row>
    <row r="11311" spans="1:22" s="1192" customFormat="1" ht="14.4" x14ac:dyDescent="0.3">
      <c r="A11311" s="1192" t="s">
        <v>235</v>
      </c>
      <c r="E11311" s="1743" t="s">
        <v>2445</v>
      </c>
      <c r="F11311" s="1743"/>
      <c r="G11311" s="1743"/>
      <c r="H11311" s="1743"/>
      <c r="V11311" s="1192">
        <v>211</v>
      </c>
    </row>
    <row r="11312" spans="1:22" s="1192" customFormat="1" ht="14.4" x14ac:dyDescent="0.3">
      <c r="A11312" s="1192" t="s">
        <v>235</v>
      </c>
      <c r="E11312" s="1743" t="s">
        <v>4500</v>
      </c>
      <c r="F11312" s="1743"/>
      <c r="G11312" s="1743"/>
      <c r="H11312" s="1743"/>
      <c r="V11312" s="1192">
        <v>247</v>
      </c>
    </row>
    <row r="11313" spans="1:22" s="1192" customFormat="1" ht="14.4" x14ac:dyDescent="0.3">
      <c r="A11313" s="1192" t="s">
        <v>235</v>
      </c>
      <c r="E11313" s="1743" t="s">
        <v>2595</v>
      </c>
      <c r="F11313" s="1743"/>
      <c r="G11313" s="1743"/>
      <c r="H11313" s="1743"/>
      <c r="V11313" s="1192">
        <v>142</v>
      </c>
    </row>
    <row r="11314" spans="1:22" s="1192" customFormat="1" ht="14.4" x14ac:dyDescent="0.3">
      <c r="A11314" s="1192" t="s">
        <v>235</v>
      </c>
      <c r="E11314" s="1741" t="s">
        <v>2485</v>
      </c>
      <c r="F11314" s="1741"/>
      <c r="G11314" s="451" t="s">
        <v>19</v>
      </c>
      <c r="H11314" s="358">
        <v>102</v>
      </c>
      <c r="V11314" s="1192">
        <v>106</v>
      </c>
    </row>
    <row r="11315" spans="1:22" s="1192" customFormat="1" ht="14.4" x14ac:dyDescent="0.3">
      <c r="A11315" s="1192" t="s">
        <v>235</v>
      </c>
      <c r="E11315" s="1741" t="s">
        <v>3919</v>
      </c>
      <c r="F11315" s="1741"/>
      <c r="G11315" s="451" t="s">
        <v>19</v>
      </c>
      <c r="H11315" s="358">
        <v>40.799999999999997</v>
      </c>
      <c r="V11315" s="1192">
        <v>34</v>
      </c>
    </row>
    <row r="11316" spans="1:22" s="1192" customFormat="1" ht="14.4" x14ac:dyDescent="0.3">
      <c r="A11316" s="1192" t="s">
        <v>235</v>
      </c>
      <c r="E11316" s="1741" t="s">
        <v>3920</v>
      </c>
      <c r="F11316" s="1741"/>
      <c r="G11316" s="451" t="s">
        <v>2488</v>
      </c>
      <c r="H11316" s="358">
        <v>1.02</v>
      </c>
      <c r="V11316" s="1192">
        <v>51</v>
      </c>
    </row>
    <row r="11317" spans="1:22" s="1192" customFormat="1" ht="14.4" x14ac:dyDescent="0.3">
      <c r="A11317" s="1192" t="s">
        <v>235</v>
      </c>
      <c r="E11317" s="1741" t="s">
        <v>2489</v>
      </c>
      <c r="F11317" s="1741"/>
      <c r="G11317" s="451" t="s">
        <v>2488</v>
      </c>
      <c r="H11317" s="358">
        <v>0.61</v>
      </c>
      <c r="V11317" s="1192">
        <v>75</v>
      </c>
    </row>
    <row r="11318" spans="1:22" s="1192" customFormat="1" ht="14.4" x14ac:dyDescent="0.3">
      <c r="A11318" s="1192" t="s">
        <v>235</v>
      </c>
      <c r="E11318" s="1741" t="s">
        <v>2490</v>
      </c>
      <c r="F11318" s="1741"/>
      <c r="G11318" s="451" t="s">
        <v>2488</v>
      </c>
      <c r="H11318" s="358">
        <v>-0.61</v>
      </c>
      <c r="V11318" s="1192">
        <v>72</v>
      </c>
    </row>
    <row r="11319" spans="1:22" s="1192" customFormat="1" ht="14.4" x14ac:dyDescent="0.3">
      <c r="A11319" s="1192" t="s">
        <v>235</v>
      </c>
      <c r="E11319" s="1741" t="s">
        <v>2596</v>
      </c>
      <c r="F11319" s="1741"/>
      <c r="G11319" s="451"/>
      <c r="H11319" s="899"/>
      <c r="V11319" s="1192">
        <v>34</v>
      </c>
    </row>
    <row r="11320" spans="1:22" s="1192" customFormat="1" ht="14.4" x14ac:dyDescent="0.3">
      <c r="A11320" s="1192" t="s">
        <v>235</v>
      </c>
      <c r="E11320" s="1941" t="s">
        <v>2492</v>
      </c>
      <c r="F11320" s="1941"/>
      <c r="G11320" s="451" t="s">
        <v>19</v>
      </c>
      <c r="H11320" s="358">
        <v>0.51</v>
      </c>
      <c r="V11320" s="1192">
        <v>57</v>
      </c>
    </row>
    <row r="11321" spans="1:22" s="1192" customFormat="1" ht="14.4" x14ac:dyDescent="0.3">
      <c r="A11321" s="1192" t="s">
        <v>235</v>
      </c>
      <c r="E11321" s="1941" t="s">
        <v>2493</v>
      </c>
      <c r="F11321" s="1941"/>
      <c r="G11321" s="451" t="s">
        <v>19</v>
      </c>
      <c r="H11321" s="358">
        <v>1.02</v>
      </c>
      <c r="V11321" s="1192">
        <v>60</v>
      </c>
    </row>
    <row r="11322" spans="1:22" s="1192" customFormat="1" ht="14.4" x14ac:dyDescent="0.3">
      <c r="A11322" s="1192" t="s">
        <v>235</v>
      </c>
      <c r="E11322" s="1741" t="s">
        <v>2494</v>
      </c>
      <c r="F11322" s="1741"/>
      <c r="G11322" s="451"/>
      <c r="H11322" s="899"/>
      <c r="V11322" s="1192">
        <v>91</v>
      </c>
    </row>
    <row r="11323" spans="1:22" s="1192" customFormat="1" ht="14.4" x14ac:dyDescent="0.3">
      <c r="A11323" s="1192" t="s">
        <v>235</v>
      </c>
      <c r="E11323" s="1741" t="s">
        <v>2495</v>
      </c>
      <c r="F11323" s="1741"/>
      <c r="G11323" s="451"/>
      <c r="H11323" s="899"/>
      <c r="V11323" s="1192">
        <v>96</v>
      </c>
    </row>
    <row r="11324" spans="1:22" s="1192" customFormat="1" ht="14.4" x14ac:dyDescent="0.3">
      <c r="A11324" s="1192" t="s">
        <v>235</v>
      </c>
      <c r="E11324" s="1741" t="s">
        <v>2597</v>
      </c>
      <c r="F11324" s="1741"/>
      <c r="G11324" s="451"/>
      <c r="H11324" s="899"/>
      <c r="V11324" s="1192">
        <v>77</v>
      </c>
    </row>
    <row r="11325" spans="1:22" s="1192" customFormat="1" ht="14.4" x14ac:dyDescent="0.3">
      <c r="A11325" s="1192" t="s">
        <v>235</v>
      </c>
      <c r="E11325" s="1941" t="s">
        <v>2497</v>
      </c>
      <c r="F11325" s="1941"/>
      <c r="G11325" s="451" t="s">
        <v>19</v>
      </c>
      <c r="H11325" s="899" t="s">
        <v>2498</v>
      </c>
      <c r="V11325" s="1192">
        <v>18</v>
      </c>
    </row>
    <row r="11326" spans="1:22" s="1192" customFormat="1" ht="14.4" x14ac:dyDescent="0.3">
      <c r="A11326" s="1192" t="s">
        <v>235</v>
      </c>
      <c r="E11326" s="1941" t="s">
        <v>2499</v>
      </c>
      <c r="F11326" s="1941"/>
      <c r="G11326" s="451" t="s">
        <v>19</v>
      </c>
      <c r="H11326" s="358">
        <v>4.08</v>
      </c>
      <c r="V11326" s="1192">
        <v>69</v>
      </c>
    </row>
    <row r="11327" spans="1:22" s="1192" customFormat="1" ht="14.4" x14ac:dyDescent="0.3">
      <c r="A11327" s="1192" t="s">
        <v>235</v>
      </c>
      <c r="E11327" s="1741" t="s">
        <v>4608</v>
      </c>
      <c r="F11327" s="1741"/>
      <c r="G11327" s="452" t="s">
        <v>19</v>
      </c>
      <c r="H11327" s="1218">
        <v>2.04</v>
      </c>
      <c r="V11327" s="1192">
        <v>199</v>
      </c>
    </row>
    <row r="11328" spans="1:22" s="1192" customFormat="1" x14ac:dyDescent="0.3">
      <c r="A11328" s="1192" t="s">
        <v>235</v>
      </c>
      <c r="E11328" s="1260" t="s">
        <v>143</v>
      </c>
      <c r="F11328" s="554"/>
      <c r="G11328" s="554"/>
      <c r="H11328" s="917"/>
      <c r="K11328" s="1192" t="s">
        <v>3325</v>
      </c>
      <c r="V11328" s="1192">
        <v>12</v>
      </c>
    </row>
    <row r="11329" spans="1:22" s="1192" customFormat="1" ht="14.4" x14ac:dyDescent="0.3">
      <c r="A11329" s="1192" t="s">
        <v>235</v>
      </c>
      <c r="E11329" s="1741" t="s">
        <v>2501</v>
      </c>
      <c r="F11329" s="1741"/>
      <c r="G11329" s="1741"/>
      <c r="H11329" s="1741"/>
      <c r="V11329" s="1192">
        <v>203</v>
      </c>
    </row>
    <row r="11330" spans="1:22" s="1192" customFormat="1" ht="14.4" x14ac:dyDescent="0.3">
      <c r="A11330" s="1192" t="s">
        <v>235</v>
      </c>
      <c r="E11330" s="1741" t="s">
        <v>2599</v>
      </c>
      <c r="F11330" s="1741"/>
      <c r="G11330" s="1277"/>
      <c r="H11330" s="837">
        <v>1.0561</v>
      </c>
      <c r="V11330" s="1192">
        <v>57</v>
      </c>
    </row>
    <row r="11331" spans="1:22" s="1192" customFormat="1" ht="14.4" x14ac:dyDescent="0.3">
      <c r="A11331" s="1192" t="s">
        <v>235</v>
      </c>
      <c r="E11331" s="1741" t="s">
        <v>2601</v>
      </c>
      <c r="F11331" s="1741"/>
      <c r="G11331" s="1277"/>
      <c r="H11331" s="837">
        <v>1.0455000000000001</v>
      </c>
      <c r="J11331" s="1192" t="s">
        <v>3326</v>
      </c>
      <c r="V11331" s="1192">
        <v>55</v>
      </c>
    </row>
    <row r="11332" spans="1:22" s="1192" customFormat="1" ht="22.8" x14ac:dyDescent="0.3">
      <c r="A11332" s="1192" t="s">
        <v>187</v>
      </c>
      <c r="C11332" s="1192" t="s">
        <v>2378</v>
      </c>
      <c r="E11332" s="2252" t="s">
        <v>187</v>
      </c>
      <c r="F11332" s="2252"/>
      <c r="G11332" s="2252"/>
      <c r="H11332" s="2252"/>
      <c r="I11332" s="1192" t="s">
        <v>603</v>
      </c>
      <c r="J11332" s="1192" t="s">
        <v>3327</v>
      </c>
      <c r="K11332" s="1192" t="s">
        <v>187</v>
      </c>
      <c r="M11332" s="1192">
        <v>7</v>
      </c>
      <c r="V11332" s="1192">
        <v>30</v>
      </c>
    </row>
    <row r="11333" spans="1:22" s="1192" customFormat="1" ht="17.399999999999999" x14ac:dyDescent="0.3">
      <c r="A11333" s="1192" t="s">
        <v>187</v>
      </c>
      <c r="C11333" s="1192" t="s">
        <v>2380</v>
      </c>
      <c r="E11333" s="2253" t="s">
        <v>2381</v>
      </c>
      <c r="F11333" s="2253"/>
      <c r="G11333" s="2253"/>
      <c r="H11333" s="2253"/>
      <c r="V11333" s="1192">
        <v>27</v>
      </c>
    </row>
    <row r="11334" spans="1:22" s="1192" customFormat="1" ht="15.6" x14ac:dyDescent="0.3">
      <c r="A11334" s="1192" t="s">
        <v>187</v>
      </c>
      <c r="C11334" s="1192" t="s">
        <v>2382</v>
      </c>
      <c r="E11334" s="2254" t="s">
        <v>6482</v>
      </c>
      <c r="F11334" s="2254"/>
      <c r="G11334" s="2254"/>
      <c r="H11334" s="2254"/>
      <c r="S11334" s="1192">
        <v>43952</v>
      </c>
      <c r="V11334" s="1192">
        <v>45</v>
      </c>
    </row>
    <row r="11335" spans="1:22" s="1192" customFormat="1" ht="14.4" x14ac:dyDescent="0.3">
      <c r="A11335" s="1192" t="s">
        <v>187</v>
      </c>
      <c r="C11335" s="1192" t="s">
        <v>2383</v>
      </c>
      <c r="E11335" s="2255" t="s">
        <v>2384</v>
      </c>
      <c r="F11335" s="2255"/>
      <c r="G11335" s="2255"/>
      <c r="H11335" s="2255"/>
      <c r="V11335" s="1192">
        <v>52</v>
      </c>
    </row>
    <row r="11336" spans="1:22" s="1192" customFormat="1" ht="14.4" x14ac:dyDescent="0.3">
      <c r="A11336" s="1192" t="s">
        <v>187</v>
      </c>
      <c r="E11336" s="2255" t="s">
        <v>2385</v>
      </c>
      <c r="F11336" s="2255"/>
      <c r="G11336" s="2255"/>
      <c r="H11336" s="2255"/>
      <c r="V11336" s="1192">
        <v>53</v>
      </c>
    </row>
    <row r="11337" spans="1:22" s="1192" customFormat="1" ht="14.4" x14ac:dyDescent="0.3">
      <c r="A11337" s="1192" t="s">
        <v>187</v>
      </c>
      <c r="E11337" s="2256" t="s">
        <v>6606</v>
      </c>
      <c r="F11337" s="2256"/>
      <c r="G11337" s="2256"/>
      <c r="H11337" s="2256"/>
      <c r="K11337" s="1192" t="s">
        <v>6606</v>
      </c>
      <c r="V11337" s="1192">
        <v>12</v>
      </c>
    </row>
    <row r="11338" spans="1:22" s="1192" customFormat="1" ht="14.4" x14ac:dyDescent="0.3">
      <c r="A11338" s="1192" t="s">
        <v>187</v>
      </c>
      <c r="E11338" s="2032" t="s">
        <v>427</v>
      </c>
      <c r="F11338" s="2234"/>
      <c r="G11338" s="2234"/>
      <c r="H11338" s="2234"/>
      <c r="K11338" s="1192" t="s">
        <v>2506</v>
      </c>
      <c r="V11338" s="1192">
        <v>34</v>
      </c>
    </row>
    <row r="11339" spans="1:22" s="1192" customFormat="1" ht="14.4" x14ac:dyDescent="0.3">
      <c r="A11339" s="1192" t="s">
        <v>187</v>
      </c>
      <c r="E11339" s="2023" t="s">
        <v>3328</v>
      </c>
      <c r="F11339" s="2023"/>
      <c r="G11339" s="2023"/>
      <c r="H11339" s="2023"/>
      <c r="K11339" s="1192" t="s">
        <v>2506</v>
      </c>
      <c r="V11339" s="1192">
        <v>833</v>
      </c>
    </row>
    <row r="11340" spans="1:22" s="1192" customFormat="1" ht="14.4" x14ac:dyDescent="0.3">
      <c r="A11340" s="1192" t="s">
        <v>187</v>
      </c>
      <c r="E11340" s="2024" t="s">
        <v>2389</v>
      </c>
      <c r="F11340" s="2025"/>
      <c r="G11340" s="2025"/>
      <c r="H11340" s="2025"/>
      <c r="K11340" s="1192" t="s">
        <v>2390</v>
      </c>
      <c r="V11340" s="1192">
        <v>11</v>
      </c>
    </row>
    <row r="11341" spans="1:22" s="1192" customFormat="1" ht="14.4" x14ac:dyDescent="0.3">
      <c r="A11341" s="1192" t="s">
        <v>187</v>
      </c>
      <c r="E11341" s="2023" t="s">
        <v>3329</v>
      </c>
      <c r="F11341" s="2023"/>
      <c r="G11341" s="2023"/>
      <c r="H11341" s="2023"/>
      <c r="K11341" s="1192" t="s">
        <v>2506</v>
      </c>
      <c r="V11341" s="1192">
        <v>281</v>
      </c>
    </row>
    <row r="11342" spans="1:22" s="1192" customFormat="1" ht="14.4" x14ac:dyDescent="0.3">
      <c r="A11342" s="1192" t="s">
        <v>187</v>
      </c>
      <c r="E11342" s="2023" t="s">
        <v>2392</v>
      </c>
      <c r="F11342" s="2023"/>
      <c r="G11342" s="2023"/>
      <c r="H11342" s="2023"/>
      <c r="K11342" s="1192" t="s">
        <v>2506</v>
      </c>
      <c r="V11342" s="1192">
        <v>411</v>
      </c>
    </row>
    <row r="11343" spans="1:22" s="1192" customFormat="1" ht="14.4" x14ac:dyDescent="0.3">
      <c r="A11343" s="1192" t="s">
        <v>187</v>
      </c>
      <c r="E11343" s="2023" t="s">
        <v>2985</v>
      </c>
      <c r="F11343" s="2023"/>
      <c r="G11343" s="2023"/>
      <c r="H11343" s="2023"/>
      <c r="K11343" s="1192" t="s">
        <v>2506</v>
      </c>
      <c r="V11343" s="1192">
        <v>385</v>
      </c>
    </row>
    <row r="11344" spans="1:22" s="1192" customFormat="1" ht="14.4" x14ac:dyDescent="0.3">
      <c r="A11344" s="1192" t="s">
        <v>187</v>
      </c>
      <c r="E11344" s="2023" t="s">
        <v>2986</v>
      </c>
      <c r="F11344" s="2023"/>
      <c r="G11344" s="2023"/>
      <c r="H11344" s="2023"/>
      <c r="K11344" s="1192" t="s">
        <v>2506</v>
      </c>
      <c r="V11344" s="1192">
        <v>246</v>
      </c>
    </row>
    <row r="11345" spans="1:22" s="1192" customFormat="1" ht="14.4" x14ac:dyDescent="0.3">
      <c r="A11345" s="1192" t="s">
        <v>187</v>
      </c>
      <c r="E11345" s="2024" t="s">
        <v>2394</v>
      </c>
      <c r="F11345" s="2025"/>
      <c r="G11345" s="2025"/>
      <c r="H11345" s="2025"/>
      <c r="K11345" s="1192" t="s">
        <v>2395</v>
      </c>
      <c r="V11345" s="1192">
        <v>46</v>
      </c>
    </row>
    <row r="11346" spans="1:22" s="1192" customFormat="1" ht="14.4" x14ac:dyDescent="0.3">
      <c r="A11346" s="1192" t="s">
        <v>187</v>
      </c>
      <c r="E11346" s="2026" t="s">
        <v>7</v>
      </c>
      <c r="F11346" s="2026"/>
      <c r="G11346" s="941" t="s">
        <v>19</v>
      </c>
      <c r="H11346" s="1218">
        <v>24.14</v>
      </c>
      <c r="K11346" s="1192" t="s">
        <v>2506</v>
      </c>
      <c r="L11346" s="1192" t="s">
        <v>430</v>
      </c>
      <c r="P11346" s="1192" t="s">
        <v>2510</v>
      </c>
      <c r="V11346" s="1192">
        <v>14</v>
      </c>
    </row>
    <row r="11347" spans="1:22" s="1192" customFormat="1" ht="14.4" x14ac:dyDescent="0.3">
      <c r="A11347" s="1192" t="s">
        <v>187</v>
      </c>
      <c r="E11347" s="2026" t="s">
        <v>4718</v>
      </c>
      <c r="F11347" s="2028"/>
      <c r="G11347" s="941" t="s">
        <v>19</v>
      </c>
      <c r="H11347" s="942">
        <v>0.67</v>
      </c>
      <c r="K11347" s="1192" t="s">
        <v>2506</v>
      </c>
      <c r="L11347" s="1192" t="s">
        <v>430</v>
      </c>
      <c r="P11347" s="1192" t="s">
        <v>4719</v>
      </c>
      <c r="V11347" s="1192">
        <v>135</v>
      </c>
    </row>
    <row r="11348" spans="1:22" s="1192" customFormat="1" ht="14.4" x14ac:dyDescent="0.3">
      <c r="A11348" s="1192" t="s">
        <v>187</v>
      </c>
      <c r="E11348" s="2026" t="s">
        <v>3330</v>
      </c>
      <c r="F11348" s="2026"/>
      <c r="G11348" s="941" t="s">
        <v>19</v>
      </c>
      <c r="H11348" s="1349">
        <v>1.68</v>
      </c>
      <c r="K11348" s="1192" t="s">
        <v>2506</v>
      </c>
      <c r="L11348" s="1192" t="s">
        <v>430</v>
      </c>
      <c r="P11348" s="1192" t="s">
        <v>6607</v>
      </c>
      <c r="T11348" s="1192">
        <v>44012</v>
      </c>
      <c r="V11348" s="1192">
        <v>99</v>
      </c>
    </row>
    <row r="11349" spans="1:22" s="1192" customFormat="1" ht="14.4" x14ac:dyDescent="0.3">
      <c r="A11349" s="1192" t="s">
        <v>187</v>
      </c>
      <c r="E11349" s="2026" t="s">
        <v>3900</v>
      </c>
      <c r="F11349" s="2028"/>
      <c r="G11349" s="941" t="s">
        <v>19</v>
      </c>
      <c r="H11349" s="1349">
        <v>0.56999999999999995</v>
      </c>
      <c r="K11349" s="1192" t="s">
        <v>2506</v>
      </c>
      <c r="L11349" s="1192" t="s">
        <v>431</v>
      </c>
      <c r="P11349" s="1192" t="s">
        <v>2511</v>
      </c>
      <c r="T11349" s="1192">
        <v>44926</v>
      </c>
      <c r="V11349" s="1192">
        <v>64</v>
      </c>
    </row>
    <row r="11350" spans="1:22" s="1192" customFormat="1" ht="14.4" x14ac:dyDescent="0.3">
      <c r="A11350" s="1192" t="s">
        <v>187</v>
      </c>
      <c r="E11350" s="2026" t="s">
        <v>14</v>
      </c>
      <c r="F11350" s="2026"/>
      <c r="G11350" s="941" t="s">
        <v>20</v>
      </c>
      <c r="H11350" s="943">
        <v>8.0000000000000004E-4</v>
      </c>
      <c r="K11350" s="1192" t="s">
        <v>2506</v>
      </c>
      <c r="L11350" s="1192" t="s">
        <v>431</v>
      </c>
      <c r="P11350" s="1192" t="s">
        <v>2513</v>
      </c>
      <c r="V11350" s="1192">
        <v>24</v>
      </c>
    </row>
    <row r="11351" spans="1:22" s="1192" customFormat="1" ht="14.4" x14ac:dyDescent="0.3">
      <c r="A11351" s="1192" t="s">
        <v>187</v>
      </c>
      <c r="E11351" s="2026" t="s">
        <v>213</v>
      </c>
      <c r="F11351" s="2026"/>
      <c r="G11351" s="941" t="s">
        <v>20</v>
      </c>
      <c r="H11351" s="1219">
        <v>6.0000000000000001E-3</v>
      </c>
      <c r="K11351" s="1192" t="s">
        <v>2506</v>
      </c>
      <c r="L11351" s="1192" t="s">
        <v>432</v>
      </c>
      <c r="P11351" s="1192" t="s">
        <v>2517</v>
      </c>
      <c r="V11351" s="1192">
        <v>47</v>
      </c>
    </row>
    <row r="11352" spans="1:22" s="1192" customFormat="1" ht="14.4" x14ac:dyDescent="0.3">
      <c r="A11352" s="1192" t="s">
        <v>187</v>
      </c>
      <c r="E11352" s="2026" t="s">
        <v>209</v>
      </c>
      <c r="F11352" s="2026"/>
      <c r="G11352" s="941" t="s">
        <v>20</v>
      </c>
      <c r="H11352" s="1219">
        <v>5.0000000000000001E-3</v>
      </c>
      <c r="K11352" s="1192" t="s">
        <v>2506</v>
      </c>
      <c r="L11352" s="1192" t="s">
        <v>432</v>
      </c>
      <c r="P11352" s="1192" t="s">
        <v>2518</v>
      </c>
      <c r="V11352" s="1192">
        <v>74</v>
      </c>
    </row>
    <row r="11353" spans="1:22" s="1192" customFormat="1" ht="14.4" x14ac:dyDescent="0.3">
      <c r="A11353" s="1192" t="s">
        <v>187</v>
      </c>
      <c r="E11353" s="2027" t="s">
        <v>2405</v>
      </c>
      <c r="F11353" s="2028"/>
      <c r="G11353" s="941"/>
      <c r="H11353" s="944"/>
      <c r="K11353" s="1192" t="s">
        <v>2406</v>
      </c>
      <c r="V11353" s="1192">
        <v>48</v>
      </c>
    </row>
    <row r="11354" spans="1:22" s="1192" customFormat="1" ht="14.4" x14ac:dyDescent="0.3">
      <c r="A11354" s="1192" t="s">
        <v>187</v>
      </c>
      <c r="E11354" s="2026" t="s">
        <v>2033</v>
      </c>
      <c r="F11354" s="2026"/>
      <c r="G11354" s="941" t="s">
        <v>20</v>
      </c>
      <c r="H11354" s="945">
        <v>3.0000000000000001E-3</v>
      </c>
      <c r="K11354" s="1192" t="s">
        <v>2506</v>
      </c>
      <c r="L11354" s="1192" t="s">
        <v>2374</v>
      </c>
      <c r="P11354" s="1192" t="s">
        <v>2519</v>
      </c>
      <c r="V11354" s="1192">
        <v>55</v>
      </c>
    </row>
    <row r="11355" spans="1:22" s="1192" customFormat="1" ht="14.4" x14ac:dyDescent="0.3">
      <c r="A11355" s="1192" t="s">
        <v>187</v>
      </c>
      <c r="E11355" s="2026" t="s">
        <v>2034</v>
      </c>
      <c r="F11355" s="2026"/>
      <c r="G11355" s="941" t="s">
        <v>20</v>
      </c>
      <c r="H11355" s="945">
        <v>4.0000000000000002E-4</v>
      </c>
      <c r="K11355" s="1192" t="s">
        <v>2506</v>
      </c>
      <c r="L11355" s="1192" t="s">
        <v>2374</v>
      </c>
      <c r="P11355" s="1192" t="s">
        <v>2519</v>
      </c>
      <c r="V11355" s="1192">
        <v>65</v>
      </c>
    </row>
    <row r="11356" spans="1:22" s="1192" customFormat="1" ht="14.4" x14ac:dyDescent="0.3">
      <c r="A11356" s="1192" t="s">
        <v>187</v>
      </c>
      <c r="E11356" s="2026" t="s">
        <v>428</v>
      </c>
      <c r="F11356" s="2026"/>
      <c r="G11356" s="941" t="s">
        <v>20</v>
      </c>
      <c r="H11356" s="945">
        <v>5.0000000000000001E-4</v>
      </c>
      <c r="K11356" s="1192" t="s">
        <v>2506</v>
      </c>
      <c r="L11356" s="1192" t="s">
        <v>2374</v>
      </c>
      <c r="P11356" s="1192" t="s">
        <v>2520</v>
      </c>
      <c r="V11356" s="1192">
        <v>57</v>
      </c>
    </row>
    <row r="11357" spans="1:22" s="1192" customFormat="1" ht="14.4" x14ac:dyDescent="0.3">
      <c r="A11357" s="1192" t="s">
        <v>187</v>
      </c>
      <c r="E11357" s="2026" t="s">
        <v>28</v>
      </c>
      <c r="F11357" s="2026"/>
      <c r="G11357" s="941" t="s">
        <v>19</v>
      </c>
      <c r="H11357" s="942">
        <v>0.25</v>
      </c>
      <c r="K11357" s="1192" t="s">
        <v>2506</v>
      </c>
      <c r="L11357" s="1192" t="s">
        <v>2374</v>
      </c>
      <c r="P11357" s="1192" t="s">
        <v>2521</v>
      </c>
      <c r="V11357" s="1192">
        <v>63</v>
      </c>
    </row>
    <row r="11358" spans="1:22" s="1192" customFormat="1" ht="17.399999999999999" x14ac:dyDescent="0.3">
      <c r="A11358" s="1192" t="s">
        <v>187</v>
      </c>
      <c r="E11358" s="2032" t="s">
        <v>2522</v>
      </c>
      <c r="F11358" s="2036"/>
      <c r="G11358" s="2036"/>
      <c r="H11358" s="2036"/>
      <c r="K11358" s="1192" t="s">
        <v>3901</v>
      </c>
      <c r="V11358" s="1192">
        <v>54</v>
      </c>
    </row>
    <row r="11359" spans="1:22" s="1192" customFormat="1" ht="14.4" x14ac:dyDescent="0.3">
      <c r="A11359" s="1192" t="s">
        <v>187</v>
      </c>
      <c r="E11359" s="2023" t="s">
        <v>3328</v>
      </c>
      <c r="F11359" s="2023"/>
      <c r="G11359" s="2023"/>
      <c r="H11359" s="2023"/>
      <c r="K11359" s="1192" t="s">
        <v>3901</v>
      </c>
      <c r="V11359" s="1192">
        <v>833</v>
      </c>
    </row>
    <row r="11360" spans="1:22" s="1192" customFormat="1" ht="14.4" x14ac:dyDescent="0.3">
      <c r="A11360" s="1192" t="s">
        <v>187</v>
      </c>
      <c r="E11360" s="2024" t="s">
        <v>2389</v>
      </c>
      <c r="F11360" s="2025"/>
      <c r="G11360" s="2025"/>
      <c r="H11360" s="2025"/>
      <c r="K11360" s="1192" t="s">
        <v>2412</v>
      </c>
      <c r="V11360" s="1192">
        <v>11</v>
      </c>
    </row>
    <row r="11361" spans="1:22" s="1192" customFormat="1" ht="14.4" x14ac:dyDescent="0.3">
      <c r="A11361" s="1192" t="s">
        <v>187</v>
      </c>
      <c r="E11361" s="2023" t="s">
        <v>3329</v>
      </c>
      <c r="F11361" s="2023"/>
      <c r="G11361" s="2023"/>
      <c r="H11361" s="2023"/>
      <c r="K11361" s="1192" t="s">
        <v>3901</v>
      </c>
      <c r="V11361" s="1192">
        <v>281</v>
      </c>
    </row>
    <row r="11362" spans="1:22" s="1192" customFormat="1" ht="14.4" x14ac:dyDescent="0.3">
      <c r="A11362" s="1192" t="s">
        <v>187</v>
      </c>
      <c r="E11362" s="2023" t="s">
        <v>2392</v>
      </c>
      <c r="F11362" s="2023"/>
      <c r="G11362" s="2023"/>
      <c r="H11362" s="2023"/>
      <c r="K11362" s="1192" t="s">
        <v>3901</v>
      </c>
      <c r="V11362" s="1192">
        <v>411</v>
      </c>
    </row>
    <row r="11363" spans="1:22" s="1192" customFormat="1" ht="14.4" x14ac:dyDescent="0.3">
      <c r="A11363" s="1192" t="s">
        <v>187</v>
      </c>
      <c r="E11363" s="2023" t="s">
        <v>2985</v>
      </c>
      <c r="F11363" s="2023"/>
      <c r="G11363" s="2023"/>
      <c r="H11363" s="2023"/>
      <c r="K11363" s="1192" t="s">
        <v>3901</v>
      </c>
      <c r="V11363" s="1192">
        <v>385</v>
      </c>
    </row>
    <row r="11364" spans="1:22" s="1192" customFormat="1" ht="14.4" x14ac:dyDescent="0.3">
      <c r="A11364" s="1192" t="s">
        <v>187</v>
      </c>
      <c r="E11364" s="2023" t="s">
        <v>2986</v>
      </c>
      <c r="F11364" s="2023"/>
      <c r="G11364" s="2023"/>
      <c r="H11364" s="2023"/>
      <c r="K11364" s="1192" t="s">
        <v>3901</v>
      </c>
      <c r="V11364" s="1192">
        <v>246</v>
      </c>
    </row>
    <row r="11365" spans="1:22" s="1192" customFormat="1" ht="14.4" x14ac:dyDescent="0.3">
      <c r="A11365" s="1192" t="s">
        <v>187</v>
      </c>
      <c r="E11365" s="2024" t="s">
        <v>2394</v>
      </c>
      <c r="F11365" s="2025"/>
      <c r="G11365" s="2025"/>
      <c r="H11365" s="2025"/>
      <c r="K11365" s="1192" t="s">
        <v>2413</v>
      </c>
      <c r="V11365" s="1192">
        <v>46</v>
      </c>
    </row>
    <row r="11366" spans="1:22" s="1192" customFormat="1" ht="14.4" x14ac:dyDescent="0.3">
      <c r="A11366" s="1192" t="s">
        <v>187</v>
      </c>
      <c r="E11366" s="2026" t="s">
        <v>7</v>
      </c>
      <c r="F11366" s="2026"/>
      <c r="G11366" s="941" t="s">
        <v>19</v>
      </c>
      <c r="H11366" s="1218">
        <v>23.26</v>
      </c>
      <c r="K11366" s="1192" t="s">
        <v>3901</v>
      </c>
      <c r="L11366" s="1192" t="s">
        <v>430</v>
      </c>
      <c r="P11366" s="1192" t="s">
        <v>3902</v>
      </c>
      <c r="V11366" s="1192">
        <v>14</v>
      </c>
    </row>
    <row r="11367" spans="1:22" s="1192" customFormat="1" ht="14.4" x14ac:dyDescent="0.3">
      <c r="A11367" s="1192" t="s">
        <v>187</v>
      </c>
      <c r="E11367" s="2026" t="s">
        <v>4718</v>
      </c>
      <c r="F11367" s="2028"/>
      <c r="G11367" s="941" t="s">
        <v>19</v>
      </c>
      <c r="H11367" s="942">
        <v>1.34</v>
      </c>
      <c r="K11367" s="1192" t="s">
        <v>3901</v>
      </c>
      <c r="L11367" s="1192" t="s">
        <v>430</v>
      </c>
      <c r="P11367" s="1192" t="s">
        <v>4720</v>
      </c>
      <c r="V11367" s="1192">
        <v>135</v>
      </c>
    </row>
    <row r="11368" spans="1:22" s="1192" customFormat="1" ht="14.4" x14ac:dyDescent="0.3">
      <c r="A11368" s="1192" t="s">
        <v>187</v>
      </c>
      <c r="E11368" s="2026" t="s">
        <v>3330</v>
      </c>
      <c r="F11368" s="2026"/>
      <c r="G11368" s="941" t="s">
        <v>19</v>
      </c>
      <c r="H11368" s="1349">
        <v>4.47</v>
      </c>
      <c r="K11368" s="1192" t="s">
        <v>3901</v>
      </c>
      <c r="L11368" s="1192" t="s">
        <v>430</v>
      </c>
      <c r="P11368" s="1192" t="s">
        <v>6608</v>
      </c>
      <c r="T11368" s="1192">
        <v>44012</v>
      </c>
      <c r="V11368" s="1192">
        <v>99</v>
      </c>
    </row>
    <row r="11369" spans="1:22" s="1192" customFormat="1" ht="14.4" x14ac:dyDescent="0.3">
      <c r="A11369" s="1192" t="s">
        <v>187</v>
      </c>
      <c r="E11369" s="2026" t="s">
        <v>3900</v>
      </c>
      <c r="F11369" s="2028"/>
      <c r="G11369" s="941" t="s">
        <v>19</v>
      </c>
      <c r="H11369" s="1349">
        <v>0.56999999999999995</v>
      </c>
      <c r="K11369" s="1192" t="s">
        <v>3901</v>
      </c>
      <c r="L11369" s="1192" t="s">
        <v>431</v>
      </c>
      <c r="P11369" s="1192" t="s">
        <v>3903</v>
      </c>
      <c r="T11369" s="1192">
        <v>44926</v>
      </c>
      <c r="V11369" s="1192">
        <v>64</v>
      </c>
    </row>
    <row r="11370" spans="1:22" s="1192" customFormat="1" ht="14.4" x14ac:dyDescent="0.3">
      <c r="A11370" s="1192" t="s">
        <v>187</v>
      </c>
      <c r="E11370" s="2026" t="s">
        <v>80</v>
      </c>
      <c r="F11370" s="2026"/>
      <c r="G11370" s="941" t="s">
        <v>20</v>
      </c>
      <c r="H11370" s="1219">
        <v>1.32E-2</v>
      </c>
      <c r="K11370" s="1192" t="s">
        <v>3901</v>
      </c>
      <c r="L11370" s="1192" t="s">
        <v>430</v>
      </c>
      <c r="P11370" s="1192" t="s">
        <v>3904</v>
      </c>
      <c r="V11370" s="1192">
        <v>28</v>
      </c>
    </row>
    <row r="11371" spans="1:22" s="1192" customFormat="1" ht="14.4" x14ac:dyDescent="0.3">
      <c r="A11371" s="1192" t="s">
        <v>187</v>
      </c>
      <c r="E11371" s="2026" t="s">
        <v>14</v>
      </c>
      <c r="F11371" s="2026"/>
      <c r="G11371" s="941" t="s">
        <v>20</v>
      </c>
      <c r="H11371" s="943">
        <v>6.9999999999999999E-4</v>
      </c>
      <c r="K11371" s="1192" t="s">
        <v>3901</v>
      </c>
      <c r="L11371" s="1192" t="s">
        <v>431</v>
      </c>
      <c r="P11371" s="1192" t="s">
        <v>3905</v>
      </c>
      <c r="V11371" s="1192">
        <v>24</v>
      </c>
    </row>
    <row r="11372" spans="1:22" s="1192" customFormat="1" ht="14.4" x14ac:dyDescent="0.3">
      <c r="A11372" s="1192" t="s">
        <v>187</v>
      </c>
      <c r="E11372" s="2026" t="s">
        <v>213</v>
      </c>
      <c r="F11372" s="2026"/>
      <c r="G11372" s="941" t="s">
        <v>20</v>
      </c>
      <c r="H11372" s="1219">
        <v>5.3E-3</v>
      </c>
      <c r="K11372" s="1192" t="s">
        <v>3901</v>
      </c>
      <c r="L11372" s="1192" t="s">
        <v>432</v>
      </c>
      <c r="P11372" s="1192" t="s">
        <v>3906</v>
      </c>
      <c r="V11372" s="1192">
        <v>47</v>
      </c>
    </row>
    <row r="11373" spans="1:22" s="1192" customFormat="1" ht="14.4" x14ac:dyDescent="0.3">
      <c r="A11373" s="1192" t="s">
        <v>187</v>
      </c>
      <c r="E11373" s="2026" t="s">
        <v>209</v>
      </c>
      <c r="F11373" s="2026"/>
      <c r="G11373" s="941" t="s">
        <v>20</v>
      </c>
      <c r="H11373" s="1219">
        <v>4.4000000000000003E-3</v>
      </c>
      <c r="K11373" s="1192" t="s">
        <v>3901</v>
      </c>
      <c r="L11373" s="1192" t="s">
        <v>432</v>
      </c>
      <c r="P11373" s="1192" t="s">
        <v>3907</v>
      </c>
      <c r="V11373" s="1192">
        <v>74</v>
      </c>
    </row>
    <row r="11374" spans="1:22" s="1192" customFormat="1" ht="14.4" x14ac:dyDescent="0.3">
      <c r="A11374" s="1192" t="s">
        <v>187</v>
      </c>
      <c r="E11374" s="2027" t="s">
        <v>2405</v>
      </c>
      <c r="F11374" s="2028"/>
      <c r="G11374" s="941"/>
      <c r="H11374" s="944"/>
      <c r="K11374" s="1192" t="s">
        <v>2418</v>
      </c>
      <c r="V11374" s="1192">
        <v>48</v>
      </c>
    </row>
    <row r="11375" spans="1:22" s="1192" customFormat="1" ht="14.4" x14ac:dyDescent="0.3">
      <c r="A11375" s="1192" t="s">
        <v>187</v>
      </c>
      <c r="E11375" s="2026" t="s">
        <v>2033</v>
      </c>
      <c r="F11375" s="2026"/>
      <c r="G11375" s="941" t="s">
        <v>20</v>
      </c>
      <c r="H11375" s="945">
        <v>3.0000000000000001E-3</v>
      </c>
      <c r="K11375" s="1192" t="s">
        <v>3901</v>
      </c>
      <c r="L11375" s="1192" t="s">
        <v>2374</v>
      </c>
      <c r="P11375" s="1192" t="s">
        <v>3908</v>
      </c>
      <c r="V11375" s="1192">
        <v>55</v>
      </c>
    </row>
    <row r="11376" spans="1:22" s="1192" customFormat="1" ht="14.4" x14ac:dyDescent="0.3">
      <c r="A11376" s="1192" t="s">
        <v>187</v>
      </c>
      <c r="E11376" s="2026" t="s">
        <v>2034</v>
      </c>
      <c r="F11376" s="2026"/>
      <c r="G11376" s="941" t="s">
        <v>20</v>
      </c>
      <c r="H11376" s="945">
        <v>4.0000000000000002E-4</v>
      </c>
      <c r="K11376" s="1192" t="s">
        <v>3901</v>
      </c>
      <c r="L11376" s="1192" t="s">
        <v>2374</v>
      </c>
      <c r="P11376" s="1192" t="s">
        <v>3908</v>
      </c>
      <c r="V11376" s="1192">
        <v>65</v>
      </c>
    </row>
    <row r="11377" spans="1:22" s="1192" customFormat="1" ht="14.4" x14ac:dyDescent="0.3">
      <c r="A11377" s="1192" t="s">
        <v>187</v>
      </c>
      <c r="E11377" s="2026" t="s">
        <v>428</v>
      </c>
      <c r="F11377" s="2026"/>
      <c r="G11377" s="941" t="s">
        <v>20</v>
      </c>
      <c r="H11377" s="945">
        <v>5.0000000000000001E-4</v>
      </c>
      <c r="K11377" s="1192" t="s">
        <v>3901</v>
      </c>
      <c r="L11377" s="1192" t="s">
        <v>2374</v>
      </c>
      <c r="P11377" s="1192" t="s">
        <v>3909</v>
      </c>
      <c r="V11377" s="1192">
        <v>57</v>
      </c>
    </row>
    <row r="11378" spans="1:22" s="1192" customFormat="1" ht="14.4" x14ac:dyDescent="0.3">
      <c r="A11378" s="1192" t="s">
        <v>187</v>
      </c>
      <c r="E11378" s="2026" t="s">
        <v>28</v>
      </c>
      <c r="F11378" s="2026"/>
      <c r="G11378" s="941" t="s">
        <v>19</v>
      </c>
      <c r="H11378" s="942">
        <v>0.25</v>
      </c>
      <c r="K11378" s="1192" t="s">
        <v>3901</v>
      </c>
      <c r="L11378" s="1192" t="s">
        <v>2374</v>
      </c>
      <c r="P11378" s="1192" t="s">
        <v>3910</v>
      </c>
      <c r="V11378" s="1192">
        <v>63</v>
      </c>
    </row>
    <row r="11379" spans="1:22" s="1192" customFormat="1" ht="17.399999999999999" x14ac:dyDescent="0.3">
      <c r="A11379" s="1192" t="s">
        <v>187</v>
      </c>
      <c r="E11379" s="2032" t="s">
        <v>591</v>
      </c>
      <c r="F11379" s="2032"/>
      <c r="G11379" s="2032"/>
      <c r="H11379" s="2032"/>
      <c r="K11379" s="1192" t="s">
        <v>4388</v>
      </c>
      <c r="V11379" s="1192">
        <v>53</v>
      </c>
    </row>
    <row r="11380" spans="1:22" s="1192" customFormat="1" ht="14.4" x14ac:dyDescent="0.3">
      <c r="A11380" s="1192" t="s">
        <v>187</v>
      </c>
      <c r="E11380" s="2023" t="s">
        <v>3331</v>
      </c>
      <c r="F11380" s="2023"/>
      <c r="G11380" s="2023"/>
      <c r="H11380" s="2023"/>
      <c r="K11380" s="1192" t="s">
        <v>4388</v>
      </c>
      <c r="V11380" s="1192">
        <v>854</v>
      </c>
    </row>
    <row r="11381" spans="1:22" s="1192" customFormat="1" ht="14.4" x14ac:dyDescent="0.3">
      <c r="A11381" s="1192" t="s">
        <v>187</v>
      </c>
      <c r="E11381" s="2024" t="s">
        <v>2389</v>
      </c>
      <c r="F11381" s="2025"/>
      <c r="G11381" s="2025"/>
      <c r="H11381" s="2025"/>
      <c r="K11381" s="1192" t="s">
        <v>2422</v>
      </c>
      <c r="V11381" s="1192">
        <v>11</v>
      </c>
    </row>
    <row r="11382" spans="1:22" s="1192" customFormat="1" ht="14.4" x14ac:dyDescent="0.3">
      <c r="A11382" s="1192" t="s">
        <v>187</v>
      </c>
      <c r="E11382" s="2023" t="s">
        <v>3329</v>
      </c>
      <c r="F11382" s="2023"/>
      <c r="G11382" s="2023"/>
      <c r="H11382" s="2023"/>
      <c r="K11382" s="1192" t="s">
        <v>4388</v>
      </c>
      <c r="V11382" s="1192">
        <v>281</v>
      </c>
    </row>
    <row r="11383" spans="1:22" s="1192" customFormat="1" ht="14.4" x14ac:dyDescent="0.3">
      <c r="A11383" s="1192" t="s">
        <v>187</v>
      </c>
      <c r="E11383" s="2023" t="s">
        <v>2392</v>
      </c>
      <c r="F11383" s="2023"/>
      <c r="G11383" s="2023"/>
      <c r="H11383" s="2023"/>
      <c r="K11383" s="1192" t="s">
        <v>4388</v>
      </c>
      <c r="V11383" s="1192">
        <v>411</v>
      </c>
    </row>
    <row r="11384" spans="1:22" s="1192" customFormat="1" ht="14.4" x14ac:dyDescent="0.3">
      <c r="A11384" s="1192" t="s">
        <v>187</v>
      </c>
      <c r="E11384" s="2023" t="s">
        <v>2985</v>
      </c>
      <c r="F11384" s="2023"/>
      <c r="G11384" s="2023"/>
      <c r="H11384" s="2023"/>
      <c r="K11384" s="1192" t="s">
        <v>4388</v>
      </c>
      <c r="V11384" s="1192">
        <v>385</v>
      </c>
    </row>
    <row r="11385" spans="1:22" s="1192" customFormat="1" ht="14.4" x14ac:dyDescent="0.3">
      <c r="A11385" s="1192" t="s">
        <v>187</v>
      </c>
      <c r="E11385" s="1743" t="s">
        <v>4605</v>
      </c>
      <c r="F11385" s="1743"/>
      <c r="G11385" s="1743"/>
      <c r="H11385" s="1743"/>
      <c r="K11385" s="1192" t="s">
        <v>4388</v>
      </c>
      <c r="V11385" s="1192">
        <v>684</v>
      </c>
    </row>
    <row r="11386" spans="1:22" s="1192" customFormat="1" ht="14.4" x14ac:dyDescent="0.3">
      <c r="A11386" s="1192" t="s">
        <v>187</v>
      </c>
      <c r="E11386" s="1743" t="s">
        <v>4503</v>
      </c>
      <c r="F11386" s="1743"/>
      <c r="G11386" s="1743"/>
      <c r="H11386" s="1743"/>
      <c r="K11386" s="1192" t="s">
        <v>4388</v>
      </c>
      <c r="V11386" s="1192">
        <v>677</v>
      </c>
    </row>
    <row r="11387" spans="1:22" s="1192" customFormat="1" ht="14.4" x14ac:dyDescent="0.3">
      <c r="A11387" s="1192" t="s">
        <v>187</v>
      </c>
      <c r="E11387" s="2023" t="s">
        <v>2986</v>
      </c>
      <c r="F11387" s="2023"/>
      <c r="G11387" s="2023"/>
      <c r="H11387" s="2023"/>
      <c r="K11387" s="1192" t="s">
        <v>4388</v>
      </c>
      <c r="V11387" s="1192">
        <v>246</v>
      </c>
    </row>
    <row r="11388" spans="1:22" s="1192" customFormat="1" ht="14.4" x14ac:dyDescent="0.3">
      <c r="A11388" s="1192" t="s">
        <v>187</v>
      </c>
      <c r="E11388" s="2024" t="s">
        <v>2394</v>
      </c>
      <c r="F11388" s="2025"/>
      <c r="G11388" s="2025"/>
      <c r="H11388" s="2025"/>
      <c r="K11388" s="1192" t="s">
        <v>2423</v>
      </c>
      <c r="V11388" s="1192">
        <v>46</v>
      </c>
    </row>
    <row r="11389" spans="1:22" s="1192" customFormat="1" ht="14.4" x14ac:dyDescent="0.3">
      <c r="A11389" s="1192" t="s">
        <v>187</v>
      </c>
      <c r="E11389" s="2026" t="s">
        <v>7</v>
      </c>
      <c r="F11389" s="2026"/>
      <c r="G11389" s="941" t="s">
        <v>19</v>
      </c>
      <c r="H11389" s="1218">
        <v>87.55</v>
      </c>
      <c r="K11389" s="1192" t="s">
        <v>4388</v>
      </c>
      <c r="L11389" s="1192" t="s">
        <v>430</v>
      </c>
      <c r="P11389" s="1192" t="s">
        <v>4389</v>
      </c>
      <c r="V11389" s="1192">
        <v>14</v>
      </c>
    </row>
    <row r="11390" spans="1:22" s="1192" customFormat="1" ht="14.4" x14ac:dyDescent="0.3">
      <c r="A11390" s="1192" t="s">
        <v>187</v>
      </c>
      <c r="E11390" s="2026" t="s">
        <v>4718</v>
      </c>
      <c r="F11390" s="2028"/>
      <c r="G11390" s="941" t="s">
        <v>19</v>
      </c>
      <c r="H11390" s="942">
        <v>14.76</v>
      </c>
      <c r="K11390" s="1192" t="s">
        <v>4388</v>
      </c>
      <c r="L11390" s="1192" t="s">
        <v>430</v>
      </c>
      <c r="P11390" s="1192" t="s">
        <v>4721</v>
      </c>
      <c r="V11390" s="1192">
        <v>135</v>
      </c>
    </row>
    <row r="11391" spans="1:22" s="1192" customFormat="1" ht="14.4" x14ac:dyDescent="0.3">
      <c r="A11391" s="1192" t="s">
        <v>187</v>
      </c>
      <c r="E11391" s="2026" t="s">
        <v>80</v>
      </c>
      <c r="F11391" s="2026"/>
      <c r="G11391" s="941" t="s">
        <v>29</v>
      </c>
      <c r="H11391" s="1219">
        <v>3.6259999999999999</v>
      </c>
      <c r="K11391" s="1192" t="s">
        <v>4388</v>
      </c>
      <c r="L11391" s="1192" t="s">
        <v>430</v>
      </c>
      <c r="P11391" s="1192" t="s">
        <v>4390</v>
      </c>
      <c r="V11391" s="1192">
        <v>28</v>
      </c>
    </row>
    <row r="11392" spans="1:22" s="1192" customFormat="1" ht="14.4" x14ac:dyDescent="0.3">
      <c r="A11392" s="1192" t="s">
        <v>187</v>
      </c>
      <c r="E11392" s="2026" t="s">
        <v>14</v>
      </c>
      <c r="F11392" s="2026"/>
      <c r="G11392" s="941" t="s">
        <v>29</v>
      </c>
      <c r="H11392" s="943">
        <v>0.2787</v>
      </c>
      <c r="K11392" s="1192" t="s">
        <v>4388</v>
      </c>
      <c r="L11392" s="1192" t="s">
        <v>431</v>
      </c>
      <c r="P11392" s="1192" t="s">
        <v>4391</v>
      </c>
      <c r="V11392" s="1192">
        <v>24</v>
      </c>
    </row>
    <row r="11393" spans="1:22" s="1192" customFormat="1" ht="14.4" x14ac:dyDescent="0.3">
      <c r="A11393" s="1192" t="s">
        <v>187</v>
      </c>
      <c r="E11393" s="2026" t="s">
        <v>213</v>
      </c>
      <c r="F11393" s="2026"/>
      <c r="G11393" s="941" t="s">
        <v>29</v>
      </c>
      <c r="H11393" s="1219">
        <v>2.2134999999999998</v>
      </c>
      <c r="K11393" s="1192" t="s">
        <v>4388</v>
      </c>
      <c r="L11393" s="1192" t="s">
        <v>432</v>
      </c>
      <c r="P11393" s="1192" t="s">
        <v>4392</v>
      </c>
      <c r="V11393" s="1192">
        <v>47</v>
      </c>
    </row>
    <row r="11394" spans="1:22" s="1192" customFormat="1" ht="14.4" x14ac:dyDescent="0.3">
      <c r="A11394" s="1192" t="s">
        <v>187</v>
      </c>
      <c r="E11394" s="2026" t="s">
        <v>209</v>
      </c>
      <c r="F11394" s="2026"/>
      <c r="G11394" s="941" t="s">
        <v>29</v>
      </c>
      <c r="H11394" s="1219">
        <v>1.7725</v>
      </c>
      <c r="K11394" s="1192" t="s">
        <v>4388</v>
      </c>
      <c r="L11394" s="1192" t="s">
        <v>432</v>
      </c>
      <c r="P11394" s="1192" t="s">
        <v>4393</v>
      </c>
      <c r="V11394" s="1192">
        <v>74</v>
      </c>
    </row>
    <row r="11395" spans="1:22" s="1192" customFormat="1" ht="14.4" x14ac:dyDescent="0.3">
      <c r="A11395" s="1192" t="s">
        <v>187</v>
      </c>
      <c r="E11395" s="2027" t="s">
        <v>2405</v>
      </c>
      <c r="F11395" s="2028"/>
      <c r="G11395" s="941"/>
      <c r="H11395" s="944"/>
      <c r="K11395" s="1192" t="s">
        <v>2526</v>
      </c>
      <c r="V11395" s="1192">
        <v>48</v>
      </c>
    </row>
    <row r="11396" spans="1:22" s="1192" customFormat="1" ht="14.4" x14ac:dyDescent="0.3">
      <c r="A11396" s="1192" t="s">
        <v>187</v>
      </c>
      <c r="E11396" s="2026" t="s">
        <v>2033</v>
      </c>
      <c r="F11396" s="2026"/>
      <c r="G11396" s="941" t="s">
        <v>20</v>
      </c>
      <c r="H11396" s="945">
        <v>3.0000000000000001E-3</v>
      </c>
      <c r="K11396" s="1192" t="s">
        <v>4388</v>
      </c>
      <c r="L11396" s="1192" t="s">
        <v>2374</v>
      </c>
      <c r="P11396" s="1192" t="s">
        <v>4394</v>
      </c>
      <c r="V11396" s="1192">
        <v>55</v>
      </c>
    </row>
    <row r="11397" spans="1:22" s="1192" customFormat="1" ht="14.4" x14ac:dyDescent="0.3">
      <c r="A11397" s="1192" t="s">
        <v>187</v>
      </c>
      <c r="E11397" s="2026" t="s">
        <v>2034</v>
      </c>
      <c r="F11397" s="2026"/>
      <c r="G11397" s="941" t="s">
        <v>20</v>
      </c>
      <c r="H11397" s="945">
        <v>4.0000000000000002E-4</v>
      </c>
      <c r="K11397" s="1192" t="s">
        <v>4388</v>
      </c>
      <c r="L11397" s="1192" t="s">
        <v>2374</v>
      </c>
      <c r="P11397" s="1192" t="s">
        <v>4394</v>
      </c>
      <c r="V11397" s="1192">
        <v>65</v>
      </c>
    </row>
    <row r="11398" spans="1:22" s="1192" customFormat="1" ht="14.4" x14ac:dyDescent="0.3">
      <c r="A11398" s="1192" t="s">
        <v>187</v>
      </c>
      <c r="E11398" s="2026" t="s">
        <v>428</v>
      </c>
      <c r="F11398" s="2026"/>
      <c r="G11398" s="941" t="s">
        <v>20</v>
      </c>
      <c r="H11398" s="945">
        <v>5.0000000000000001E-4</v>
      </c>
      <c r="K11398" s="1192" t="s">
        <v>4388</v>
      </c>
      <c r="L11398" s="1192" t="s">
        <v>2374</v>
      </c>
      <c r="P11398" s="1192" t="s">
        <v>4395</v>
      </c>
      <c r="V11398" s="1192">
        <v>57</v>
      </c>
    </row>
    <row r="11399" spans="1:22" s="1192" customFormat="1" ht="14.4" x14ac:dyDescent="0.3">
      <c r="A11399" s="1192" t="s">
        <v>187</v>
      </c>
      <c r="E11399" s="2026" t="s">
        <v>28</v>
      </c>
      <c r="F11399" s="2026"/>
      <c r="G11399" s="941" t="s">
        <v>19</v>
      </c>
      <c r="H11399" s="942">
        <v>0.25</v>
      </c>
      <c r="K11399" s="1192" t="s">
        <v>4388</v>
      </c>
      <c r="L11399" s="1192" t="s">
        <v>2374</v>
      </c>
      <c r="P11399" s="1192" t="s">
        <v>4396</v>
      </c>
      <c r="V11399" s="1192">
        <v>63</v>
      </c>
    </row>
    <row r="11400" spans="1:22" s="1192" customFormat="1" ht="17.399999999999999" x14ac:dyDescent="0.3">
      <c r="A11400" s="1192" t="s">
        <v>187</v>
      </c>
      <c r="E11400" s="2032" t="s">
        <v>604</v>
      </c>
      <c r="F11400" s="2032"/>
      <c r="G11400" s="2032"/>
      <c r="H11400" s="2033"/>
      <c r="K11400" s="1192" t="s">
        <v>3294</v>
      </c>
      <c r="V11400" s="1192">
        <v>40</v>
      </c>
    </row>
    <row r="11401" spans="1:22" s="1192" customFormat="1" ht="14.4" x14ac:dyDescent="0.3">
      <c r="A11401" s="1192" t="s">
        <v>187</v>
      </c>
      <c r="E11401" s="2023" t="s">
        <v>3332</v>
      </c>
      <c r="F11401" s="2023"/>
      <c r="G11401" s="2023"/>
      <c r="H11401" s="2029"/>
      <c r="K11401" s="1192" t="s">
        <v>3294</v>
      </c>
      <c r="V11401" s="1192">
        <v>323</v>
      </c>
    </row>
    <row r="11402" spans="1:22" s="1192" customFormat="1" ht="14.4" x14ac:dyDescent="0.3">
      <c r="A11402" s="1192" t="s">
        <v>187</v>
      </c>
      <c r="E11402" s="2024" t="s">
        <v>2389</v>
      </c>
      <c r="F11402" s="2025"/>
      <c r="G11402" s="2025"/>
      <c r="H11402" s="2025"/>
      <c r="K11402" s="1192" t="s">
        <v>2529</v>
      </c>
      <c r="V11402" s="1192">
        <v>11</v>
      </c>
    </row>
    <row r="11403" spans="1:22" s="1192" customFormat="1" ht="14.4" x14ac:dyDescent="0.3">
      <c r="A11403" s="1192" t="s">
        <v>187</v>
      </c>
      <c r="E11403" s="2023" t="s">
        <v>3329</v>
      </c>
      <c r="F11403" s="2023"/>
      <c r="G11403" s="2023"/>
      <c r="H11403" s="2029"/>
      <c r="K11403" s="1192" t="s">
        <v>3294</v>
      </c>
      <c r="V11403" s="1192">
        <v>281</v>
      </c>
    </row>
    <row r="11404" spans="1:22" s="1192" customFormat="1" ht="14.4" x14ac:dyDescent="0.3">
      <c r="A11404" s="1192" t="s">
        <v>187</v>
      </c>
      <c r="E11404" s="2023" t="s">
        <v>2392</v>
      </c>
      <c r="F11404" s="2023"/>
      <c r="G11404" s="2023"/>
      <c r="H11404" s="2029"/>
      <c r="K11404" s="1192" t="s">
        <v>3294</v>
      </c>
      <c r="V11404" s="1192">
        <v>411</v>
      </c>
    </row>
    <row r="11405" spans="1:22" s="1192" customFormat="1" ht="14.4" x14ac:dyDescent="0.3">
      <c r="A11405" s="1192" t="s">
        <v>187</v>
      </c>
      <c r="E11405" s="2023" t="s">
        <v>2985</v>
      </c>
      <c r="F11405" s="2023"/>
      <c r="G11405" s="2023"/>
      <c r="H11405" s="2029"/>
      <c r="K11405" s="1192" t="s">
        <v>3294</v>
      </c>
      <c r="V11405" s="1192">
        <v>385</v>
      </c>
    </row>
    <row r="11406" spans="1:22" s="1192" customFormat="1" ht="14.4" x14ac:dyDescent="0.3">
      <c r="A11406" s="1192" t="s">
        <v>187</v>
      </c>
      <c r="E11406" s="2023" t="s">
        <v>2986</v>
      </c>
      <c r="F11406" s="2023"/>
      <c r="G11406" s="2023"/>
      <c r="H11406" s="2029"/>
      <c r="K11406" s="1192" t="s">
        <v>3294</v>
      </c>
      <c r="V11406" s="1192">
        <v>246</v>
      </c>
    </row>
    <row r="11407" spans="1:22" s="1192" customFormat="1" ht="14.4" x14ac:dyDescent="0.3">
      <c r="A11407" s="1192" t="s">
        <v>187</v>
      </c>
      <c r="E11407" s="2024" t="s">
        <v>2394</v>
      </c>
      <c r="F11407" s="2025"/>
      <c r="G11407" s="2025"/>
      <c r="H11407" s="2025"/>
      <c r="K11407" s="1192" t="s">
        <v>2531</v>
      </c>
      <c r="V11407" s="1192">
        <v>46</v>
      </c>
    </row>
    <row r="11408" spans="1:22" s="1192" customFormat="1" ht="14.4" x14ac:dyDescent="0.3">
      <c r="A11408" s="1192" t="s">
        <v>187</v>
      </c>
      <c r="E11408" s="2026" t="s">
        <v>8</v>
      </c>
      <c r="F11408" s="2026"/>
      <c r="G11408" s="941" t="s">
        <v>19</v>
      </c>
      <c r="H11408" s="1218">
        <v>3.05</v>
      </c>
      <c r="K11408" s="1192" t="s">
        <v>3294</v>
      </c>
      <c r="L11408" s="1192" t="s">
        <v>430</v>
      </c>
      <c r="P11408" s="1192" t="s">
        <v>3295</v>
      </c>
      <c r="V11408" s="1192">
        <v>31</v>
      </c>
    </row>
    <row r="11409" spans="1:22" s="1192" customFormat="1" ht="14.4" x14ac:dyDescent="0.3">
      <c r="A11409" s="1192" t="s">
        <v>187</v>
      </c>
      <c r="E11409" s="2026" t="s">
        <v>4718</v>
      </c>
      <c r="F11409" s="2028"/>
      <c r="G11409" s="941" t="s">
        <v>19</v>
      </c>
      <c r="H11409" s="942">
        <v>0.14000000000000001</v>
      </c>
      <c r="K11409" s="1192" t="s">
        <v>3294</v>
      </c>
      <c r="L11409" s="1192" t="s">
        <v>430</v>
      </c>
      <c r="P11409" s="1192" t="s">
        <v>4722</v>
      </c>
      <c r="V11409" s="1192">
        <v>135</v>
      </c>
    </row>
    <row r="11410" spans="1:22" s="1192" customFormat="1" ht="14.4" x14ac:dyDescent="0.3">
      <c r="A11410" s="1192" t="s">
        <v>187</v>
      </c>
      <c r="E11410" s="2026" t="s">
        <v>80</v>
      </c>
      <c r="F11410" s="2026"/>
      <c r="G11410" s="941" t="s">
        <v>29</v>
      </c>
      <c r="H11410" s="1219">
        <v>9.4097000000000008</v>
      </c>
      <c r="K11410" s="1192" t="s">
        <v>3294</v>
      </c>
      <c r="L11410" s="1192" t="s">
        <v>430</v>
      </c>
      <c r="P11410" s="1192" t="s">
        <v>3296</v>
      </c>
      <c r="V11410" s="1192">
        <v>28</v>
      </c>
    </row>
    <row r="11411" spans="1:22" s="1192" customFormat="1" ht="14.4" x14ac:dyDescent="0.3">
      <c r="A11411" s="1192" t="s">
        <v>187</v>
      </c>
      <c r="E11411" s="2026" t="s">
        <v>14</v>
      </c>
      <c r="F11411" s="2026"/>
      <c r="G11411" s="941" t="s">
        <v>29</v>
      </c>
      <c r="H11411" s="945">
        <v>0.22</v>
      </c>
      <c r="K11411" s="1192" t="s">
        <v>3294</v>
      </c>
      <c r="L11411" s="1192" t="s">
        <v>431</v>
      </c>
      <c r="P11411" s="1192" t="s">
        <v>3297</v>
      </c>
      <c r="V11411" s="1192">
        <v>24</v>
      </c>
    </row>
    <row r="11412" spans="1:22" s="1192" customFormat="1" ht="14.4" x14ac:dyDescent="0.3">
      <c r="A11412" s="1192" t="s">
        <v>187</v>
      </c>
      <c r="E11412" s="2026" t="s">
        <v>213</v>
      </c>
      <c r="F11412" s="2026"/>
      <c r="G11412" s="941" t="s">
        <v>29</v>
      </c>
      <c r="H11412" s="1219">
        <v>1.6776</v>
      </c>
      <c r="K11412" s="1192" t="s">
        <v>3294</v>
      </c>
      <c r="L11412" s="1192" t="s">
        <v>432</v>
      </c>
      <c r="P11412" s="1192" t="s">
        <v>3300</v>
      </c>
      <c r="V11412" s="1192">
        <v>47</v>
      </c>
    </row>
    <row r="11413" spans="1:22" s="1192" customFormat="1" ht="14.4" x14ac:dyDescent="0.3">
      <c r="A11413" s="1192" t="s">
        <v>187</v>
      </c>
      <c r="E11413" s="2026" t="s">
        <v>209</v>
      </c>
      <c r="F11413" s="2026"/>
      <c r="G11413" s="941" t="s">
        <v>29</v>
      </c>
      <c r="H11413" s="1219">
        <v>1.3993</v>
      </c>
      <c r="K11413" s="1192" t="s">
        <v>3294</v>
      </c>
      <c r="L11413" s="1192" t="s">
        <v>432</v>
      </c>
      <c r="P11413" s="1192" t="s">
        <v>3301</v>
      </c>
      <c r="V11413" s="1192">
        <v>74</v>
      </c>
    </row>
    <row r="11414" spans="1:22" s="1192" customFormat="1" ht="14.4" x14ac:dyDescent="0.3">
      <c r="A11414" s="1192" t="s">
        <v>187</v>
      </c>
      <c r="E11414" s="2027" t="s">
        <v>2405</v>
      </c>
      <c r="F11414" s="2028"/>
      <c r="G11414" s="941"/>
      <c r="H11414" s="944"/>
      <c r="K11414" s="1192" t="s">
        <v>2532</v>
      </c>
      <c r="V11414" s="1192">
        <v>48</v>
      </c>
    </row>
    <row r="11415" spans="1:22" s="1192" customFormat="1" ht="14.4" x14ac:dyDescent="0.3">
      <c r="A11415" s="1192" t="s">
        <v>187</v>
      </c>
      <c r="E11415" s="2026" t="s">
        <v>2033</v>
      </c>
      <c r="F11415" s="2026"/>
      <c r="G11415" s="941" t="s">
        <v>20</v>
      </c>
      <c r="H11415" s="945">
        <v>3.0000000000000001E-3</v>
      </c>
      <c r="K11415" s="1192" t="s">
        <v>3294</v>
      </c>
      <c r="L11415" s="1192" t="s">
        <v>2374</v>
      </c>
      <c r="P11415" s="1192" t="s">
        <v>3302</v>
      </c>
      <c r="V11415" s="1192">
        <v>55</v>
      </c>
    </row>
    <row r="11416" spans="1:22" s="1192" customFormat="1" ht="14.4" x14ac:dyDescent="0.3">
      <c r="A11416" s="1192" t="s">
        <v>187</v>
      </c>
      <c r="E11416" s="2026" t="s">
        <v>2034</v>
      </c>
      <c r="F11416" s="2026"/>
      <c r="G11416" s="941" t="s">
        <v>20</v>
      </c>
      <c r="H11416" s="945">
        <v>4.0000000000000002E-4</v>
      </c>
      <c r="K11416" s="1192" t="s">
        <v>3294</v>
      </c>
      <c r="L11416" s="1192" t="s">
        <v>2374</v>
      </c>
      <c r="P11416" s="1192" t="s">
        <v>3302</v>
      </c>
      <c r="V11416" s="1192">
        <v>65</v>
      </c>
    </row>
    <row r="11417" spans="1:22" s="1192" customFormat="1" ht="14.4" x14ac:dyDescent="0.3">
      <c r="A11417" s="1192" t="s">
        <v>187</v>
      </c>
      <c r="E11417" s="2026" t="s">
        <v>428</v>
      </c>
      <c r="F11417" s="2026"/>
      <c r="G11417" s="941" t="s">
        <v>20</v>
      </c>
      <c r="H11417" s="945">
        <v>5.0000000000000001E-4</v>
      </c>
      <c r="K11417" s="1192" t="s">
        <v>3294</v>
      </c>
      <c r="L11417" s="1192" t="s">
        <v>2374</v>
      </c>
      <c r="P11417" s="1192" t="s">
        <v>3303</v>
      </c>
      <c r="V11417" s="1192">
        <v>57</v>
      </c>
    </row>
    <row r="11418" spans="1:22" s="1192" customFormat="1" ht="14.4" x14ac:dyDescent="0.3">
      <c r="A11418" s="1192" t="s">
        <v>187</v>
      </c>
      <c r="E11418" s="2026" t="s">
        <v>28</v>
      </c>
      <c r="F11418" s="2026"/>
      <c r="G11418" s="941" t="s">
        <v>19</v>
      </c>
      <c r="H11418" s="942">
        <v>0.25</v>
      </c>
      <c r="K11418" s="1192" t="s">
        <v>3294</v>
      </c>
      <c r="L11418" s="1192" t="s">
        <v>2374</v>
      </c>
      <c r="P11418" s="1192" t="s">
        <v>3304</v>
      </c>
      <c r="V11418" s="1192">
        <v>63</v>
      </c>
    </row>
    <row r="11419" spans="1:22" s="1192" customFormat="1" ht="17.399999999999999" x14ac:dyDescent="0.3">
      <c r="A11419" s="1192" t="s">
        <v>187</v>
      </c>
      <c r="E11419" s="2032" t="s">
        <v>590</v>
      </c>
      <c r="F11419" s="2032"/>
      <c r="G11419" s="2032"/>
      <c r="H11419" s="2033"/>
      <c r="K11419" s="1192" t="s">
        <v>2687</v>
      </c>
      <c r="V11419" s="1192">
        <v>38</v>
      </c>
    </row>
    <row r="11420" spans="1:22" s="1192" customFormat="1" ht="14.4" x14ac:dyDescent="0.3">
      <c r="A11420" s="1192" t="s">
        <v>187</v>
      </c>
      <c r="E11420" s="2023" t="s">
        <v>3333</v>
      </c>
      <c r="F11420" s="2023"/>
      <c r="G11420" s="2023"/>
      <c r="H11420" s="2029"/>
      <c r="K11420" s="1192" t="s">
        <v>2687</v>
      </c>
      <c r="V11420" s="1192">
        <v>474</v>
      </c>
    </row>
    <row r="11421" spans="1:22" s="1192" customFormat="1" ht="14.4" x14ac:dyDescent="0.3">
      <c r="A11421" s="1192" t="s">
        <v>187</v>
      </c>
      <c r="E11421" s="2024" t="s">
        <v>2389</v>
      </c>
      <c r="F11421" s="2025"/>
      <c r="G11421" s="2025"/>
      <c r="H11421" s="2025"/>
      <c r="K11421" s="1192" t="s">
        <v>2424</v>
      </c>
      <c r="V11421" s="1192">
        <v>11</v>
      </c>
    </row>
    <row r="11422" spans="1:22" s="1192" customFormat="1" ht="14.4" x14ac:dyDescent="0.3">
      <c r="A11422" s="1192" t="s">
        <v>187</v>
      </c>
      <c r="E11422" s="2023" t="s">
        <v>3141</v>
      </c>
      <c r="F11422" s="2023"/>
      <c r="G11422" s="2023"/>
      <c r="H11422" s="2029"/>
      <c r="K11422" s="1192" t="s">
        <v>2687</v>
      </c>
      <c r="V11422" s="1192">
        <v>265</v>
      </c>
    </row>
    <row r="11423" spans="1:22" s="1192" customFormat="1" ht="14.4" x14ac:dyDescent="0.3">
      <c r="A11423" s="1192" t="s">
        <v>187</v>
      </c>
      <c r="E11423" s="2023" t="s">
        <v>2392</v>
      </c>
      <c r="F11423" s="2023"/>
      <c r="G11423" s="2023"/>
      <c r="H11423" s="2029"/>
      <c r="K11423" s="1192" t="s">
        <v>2687</v>
      </c>
      <c r="V11423" s="1192">
        <v>411</v>
      </c>
    </row>
    <row r="11424" spans="1:22" s="1192" customFormat="1" ht="14.4" x14ac:dyDescent="0.3">
      <c r="A11424" s="1192" t="s">
        <v>187</v>
      </c>
      <c r="E11424" s="2023" t="s">
        <v>2985</v>
      </c>
      <c r="F11424" s="2023"/>
      <c r="G11424" s="2023"/>
      <c r="H11424" s="2029"/>
      <c r="K11424" s="1192" t="s">
        <v>2687</v>
      </c>
      <c r="V11424" s="1192">
        <v>385</v>
      </c>
    </row>
    <row r="11425" spans="1:22" s="1192" customFormat="1" ht="14.4" x14ac:dyDescent="0.3">
      <c r="A11425" s="1192" t="s">
        <v>187</v>
      </c>
      <c r="E11425" s="2023" t="s">
        <v>3109</v>
      </c>
      <c r="F11425" s="2023"/>
      <c r="G11425" s="2023"/>
      <c r="H11425" s="2029"/>
      <c r="K11425" s="1192" t="s">
        <v>2687</v>
      </c>
      <c r="V11425" s="1192">
        <v>231</v>
      </c>
    </row>
    <row r="11426" spans="1:22" s="1192" customFormat="1" ht="14.4" x14ac:dyDescent="0.3">
      <c r="A11426" s="1192" t="s">
        <v>187</v>
      </c>
      <c r="E11426" s="2024" t="s">
        <v>2394</v>
      </c>
      <c r="F11426" s="2025"/>
      <c r="G11426" s="2025"/>
      <c r="H11426" s="2025"/>
      <c r="K11426" s="1192" t="s">
        <v>2425</v>
      </c>
      <c r="V11426" s="1192">
        <v>46</v>
      </c>
    </row>
    <row r="11427" spans="1:22" s="1192" customFormat="1" ht="14.4" x14ac:dyDescent="0.3">
      <c r="A11427" s="1192" t="s">
        <v>187</v>
      </c>
      <c r="E11427" s="2026" t="s">
        <v>8</v>
      </c>
      <c r="F11427" s="2026"/>
      <c r="G11427" s="941" t="s">
        <v>19</v>
      </c>
      <c r="H11427" s="1218">
        <v>2.46</v>
      </c>
      <c r="K11427" s="1192" t="s">
        <v>2687</v>
      </c>
      <c r="L11427" s="1192" t="s">
        <v>430</v>
      </c>
      <c r="P11427" s="1192" t="s">
        <v>2689</v>
      </c>
      <c r="V11427" s="1192">
        <v>31</v>
      </c>
    </row>
    <row r="11428" spans="1:22" s="1192" customFormat="1" ht="14.4" x14ac:dyDescent="0.3">
      <c r="A11428" s="1192" t="s">
        <v>187</v>
      </c>
      <c r="E11428" s="2026" t="s">
        <v>4718</v>
      </c>
      <c r="F11428" s="2028"/>
      <c r="G11428" s="941" t="s">
        <v>19</v>
      </c>
      <c r="H11428" s="942">
        <v>0.11</v>
      </c>
      <c r="K11428" s="1192" t="s">
        <v>2687</v>
      </c>
      <c r="L11428" s="1192" t="s">
        <v>430</v>
      </c>
      <c r="P11428" s="1192" t="s">
        <v>4724</v>
      </c>
      <c r="V11428" s="1192">
        <v>135</v>
      </c>
    </row>
    <row r="11429" spans="1:22" s="1192" customFormat="1" ht="14.4" x14ac:dyDescent="0.3">
      <c r="A11429" s="1192" t="s">
        <v>187</v>
      </c>
      <c r="E11429" s="2026" t="s">
        <v>80</v>
      </c>
      <c r="F11429" s="2026"/>
      <c r="G11429" s="941" t="s">
        <v>29</v>
      </c>
      <c r="H11429" s="1219">
        <v>13.497199999999999</v>
      </c>
      <c r="K11429" s="1192" t="s">
        <v>2687</v>
      </c>
      <c r="L11429" s="1192" t="s">
        <v>430</v>
      </c>
      <c r="P11429" s="1192" t="s">
        <v>2690</v>
      </c>
      <c r="V11429" s="1192">
        <v>28</v>
      </c>
    </row>
    <row r="11430" spans="1:22" s="1192" customFormat="1" ht="14.4" x14ac:dyDescent="0.3">
      <c r="A11430" s="1192" t="s">
        <v>187</v>
      </c>
      <c r="E11430" s="2026" t="s">
        <v>14</v>
      </c>
      <c r="F11430" s="2026"/>
      <c r="G11430" s="941" t="s">
        <v>29</v>
      </c>
      <c r="H11430" s="945">
        <v>0.2155</v>
      </c>
      <c r="K11430" s="1192" t="s">
        <v>2687</v>
      </c>
      <c r="L11430" s="1192" t="s">
        <v>431</v>
      </c>
      <c r="P11430" s="1192" t="s">
        <v>2812</v>
      </c>
      <c r="V11430" s="1192">
        <v>24</v>
      </c>
    </row>
    <row r="11431" spans="1:22" s="1192" customFormat="1" ht="14.4" x14ac:dyDescent="0.3">
      <c r="A11431" s="1192" t="s">
        <v>187</v>
      </c>
      <c r="E11431" s="2026" t="s">
        <v>213</v>
      </c>
      <c r="F11431" s="2026"/>
      <c r="G11431" s="941" t="s">
        <v>29</v>
      </c>
      <c r="H11431" s="1219">
        <v>1.6693</v>
      </c>
      <c r="K11431" s="1192" t="s">
        <v>2687</v>
      </c>
      <c r="L11431" s="1192" t="s">
        <v>432</v>
      </c>
      <c r="P11431" s="1192" t="s">
        <v>2694</v>
      </c>
      <c r="V11431" s="1192">
        <v>47</v>
      </c>
    </row>
    <row r="11432" spans="1:22" s="1192" customFormat="1" ht="14.4" x14ac:dyDescent="0.3">
      <c r="A11432" s="1192" t="s">
        <v>187</v>
      </c>
      <c r="E11432" s="2026" t="s">
        <v>209</v>
      </c>
      <c r="F11432" s="2026"/>
      <c r="G11432" s="941" t="s">
        <v>29</v>
      </c>
      <c r="H11432" s="1219">
        <v>1.3704000000000001</v>
      </c>
      <c r="K11432" s="1192" t="s">
        <v>2687</v>
      </c>
      <c r="L11432" s="1192" t="s">
        <v>432</v>
      </c>
      <c r="P11432" s="1192" t="s">
        <v>2813</v>
      </c>
      <c r="V11432" s="1192">
        <v>74</v>
      </c>
    </row>
    <row r="11433" spans="1:22" s="1192" customFormat="1" ht="14.4" x14ac:dyDescent="0.3">
      <c r="A11433" s="1192" t="s">
        <v>187</v>
      </c>
      <c r="E11433" s="2027" t="s">
        <v>2405</v>
      </c>
      <c r="F11433" s="2028"/>
      <c r="G11433" s="941"/>
      <c r="H11433" s="944"/>
      <c r="K11433" s="1192" t="s">
        <v>2427</v>
      </c>
      <c r="V11433" s="1192">
        <v>48</v>
      </c>
    </row>
    <row r="11434" spans="1:22" s="1192" customFormat="1" ht="14.4" x14ac:dyDescent="0.3">
      <c r="A11434" s="1192" t="s">
        <v>187</v>
      </c>
      <c r="E11434" s="2026" t="s">
        <v>2033</v>
      </c>
      <c r="F11434" s="2026"/>
      <c r="G11434" s="941" t="s">
        <v>20</v>
      </c>
      <c r="H11434" s="945">
        <v>3.0000000000000001E-3</v>
      </c>
      <c r="K11434" s="1192" t="s">
        <v>2687</v>
      </c>
      <c r="L11434" s="1192" t="s">
        <v>2374</v>
      </c>
      <c r="P11434" s="1192" t="s">
        <v>2696</v>
      </c>
      <c r="V11434" s="1192">
        <v>55</v>
      </c>
    </row>
    <row r="11435" spans="1:22" s="1192" customFormat="1" ht="14.4" x14ac:dyDescent="0.3">
      <c r="A11435" s="1192" t="s">
        <v>187</v>
      </c>
      <c r="E11435" s="2026" t="s">
        <v>2034</v>
      </c>
      <c r="F11435" s="2026"/>
      <c r="G11435" s="941" t="s">
        <v>20</v>
      </c>
      <c r="H11435" s="945">
        <v>4.0000000000000002E-4</v>
      </c>
      <c r="K11435" s="1192" t="s">
        <v>2687</v>
      </c>
      <c r="L11435" s="1192" t="s">
        <v>2374</v>
      </c>
      <c r="P11435" s="1192" t="s">
        <v>2696</v>
      </c>
      <c r="V11435" s="1192">
        <v>65</v>
      </c>
    </row>
    <row r="11436" spans="1:22" s="1192" customFormat="1" ht="14.4" x14ac:dyDescent="0.3">
      <c r="A11436" s="1192" t="s">
        <v>187</v>
      </c>
      <c r="E11436" s="2026" t="s">
        <v>428</v>
      </c>
      <c r="F11436" s="2026"/>
      <c r="G11436" s="941" t="s">
        <v>20</v>
      </c>
      <c r="H11436" s="945">
        <v>5.0000000000000001E-4</v>
      </c>
      <c r="K11436" s="1192" t="s">
        <v>2687</v>
      </c>
      <c r="L11436" s="1192" t="s">
        <v>2374</v>
      </c>
      <c r="P11436" s="1192" t="s">
        <v>2697</v>
      </c>
      <c r="V11436" s="1192">
        <v>57</v>
      </c>
    </row>
    <row r="11437" spans="1:22" s="1192" customFormat="1" ht="14.4" x14ac:dyDescent="0.3">
      <c r="A11437" s="1192" t="s">
        <v>187</v>
      </c>
      <c r="E11437" s="2026" t="s">
        <v>28</v>
      </c>
      <c r="F11437" s="2026"/>
      <c r="G11437" s="941" t="s">
        <v>19</v>
      </c>
      <c r="H11437" s="942">
        <v>0.25</v>
      </c>
      <c r="K11437" s="1192" t="s">
        <v>2687</v>
      </c>
      <c r="L11437" s="1192" t="s">
        <v>2374</v>
      </c>
      <c r="P11437" s="1192" t="s">
        <v>2698</v>
      </c>
      <c r="V11437" s="1192">
        <v>63</v>
      </c>
    </row>
    <row r="11438" spans="1:22" s="1192" customFormat="1" ht="17.399999999999999" x14ac:dyDescent="0.3">
      <c r="A11438" s="1192" t="s">
        <v>187</v>
      </c>
      <c r="E11438" s="2032" t="s">
        <v>592</v>
      </c>
      <c r="F11438" s="2032"/>
      <c r="G11438" s="2032"/>
      <c r="H11438" s="2033"/>
      <c r="K11438" s="1192" t="s">
        <v>2543</v>
      </c>
      <c r="V11438" s="1192">
        <v>47</v>
      </c>
    </row>
    <row r="11439" spans="1:22" s="1192" customFormat="1" ht="14.4" x14ac:dyDescent="0.3">
      <c r="A11439" s="1192" t="s">
        <v>187</v>
      </c>
      <c r="E11439" s="2023" t="s">
        <v>3179</v>
      </c>
      <c r="F11439" s="2023"/>
      <c r="G11439" s="2023"/>
      <c r="H11439" s="2029"/>
      <c r="K11439" s="1192" t="s">
        <v>2543</v>
      </c>
      <c r="V11439" s="1192">
        <v>720</v>
      </c>
    </row>
    <row r="11440" spans="1:22" s="1192" customFormat="1" ht="14.4" x14ac:dyDescent="0.3">
      <c r="A11440" s="1192" t="s">
        <v>187</v>
      </c>
      <c r="E11440" s="2024" t="s">
        <v>2389</v>
      </c>
      <c r="F11440" s="2025"/>
      <c r="G11440" s="2025"/>
      <c r="H11440" s="2025"/>
      <c r="K11440" s="1192" t="s">
        <v>2430</v>
      </c>
      <c r="V11440" s="1192">
        <v>11</v>
      </c>
    </row>
    <row r="11441" spans="1:22" s="1192" customFormat="1" ht="14.4" x14ac:dyDescent="0.3">
      <c r="A11441" s="1192" t="s">
        <v>187</v>
      </c>
      <c r="E11441" s="2023" t="s">
        <v>2391</v>
      </c>
      <c r="F11441" s="2023"/>
      <c r="G11441" s="2023"/>
      <c r="H11441" s="2029"/>
      <c r="K11441" s="1192" t="s">
        <v>2543</v>
      </c>
      <c r="V11441" s="1192">
        <v>280</v>
      </c>
    </row>
    <row r="11442" spans="1:22" s="1192" customFormat="1" ht="14.4" x14ac:dyDescent="0.3">
      <c r="A11442" s="1192" t="s">
        <v>187</v>
      </c>
      <c r="E11442" s="2023" t="s">
        <v>2392</v>
      </c>
      <c r="F11442" s="2023"/>
      <c r="G11442" s="2023"/>
      <c r="H11442" s="2029"/>
      <c r="K11442" s="1192" t="s">
        <v>2543</v>
      </c>
      <c r="V11442" s="1192">
        <v>411</v>
      </c>
    </row>
    <row r="11443" spans="1:22" s="1192" customFormat="1" ht="14.4" x14ac:dyDescent="0.3">
      <c r="A11443" s="1192" t="s">
        <v>187</v>
      </c>
      <c r="E11443" s="2023" t="s">
        <v>2985</v>
      </c>
      <c r="F11443" s="2023"/>
      <c r="G11443" s="2023"/>
      <c r="H11443" s="2029"/>
      <c r="K11443" s="1192" t="s">
        <v>2543</v>
      </c>
      <c r="V11443" s="1192">
        <v>385</v>
      </c>
    </row>
    <row r="11444" spans="1:22" s="1192" customFormat="1" ht="14.4" x14ac:dyDescent="0.3">
      <c r="A11444" s="1192" t="s">
        <v>187</v>
      </c>
      <c r="E11444" s="2023" t="s">
        <v>2986</v>
      </c>
      <c r="F11444" s="2023"/>
      <c r="G11444" s="2023"/>
      <c r="H11444" s="2029"/>
      <c r="K11444" s="1192" t="s">
        <v>2543</v>
      </c>
      <c r="V11444" s="1192">
        <v>246</v>
      </c>
    </row>
    <row r="11445" spans="1:22" s="1192" customFormat="1" ht="14.4" x14ac:dyDescent="0.3">
      <c r="A11445" s="1192" t="s">
        <v>187</v>
      </c>
      <c r="E11445" s="2024" t="s">
        <v>2394</v>
      </c>
      <c r="F11445" s="2025"/>
      <c r="G11445" s="2025"/>
      <c r="H11445" s="2025"/>
      <c r="K11445" s="1192" t="s">
        <v>2431</v>
      </c>
      <c r="V11445" s="1192">
        <v>46</v>
      </c>
    </row>
    <row r="11446" spans="1:22" s="1192" customFormat="1" ht="14.4" x14ac:dyDescent="0.3">
      <c r="A11446" s="1192" t="s">
        <v>187</v>
      </c>
      <c r="E11446" s="2026" t="s">
        <v>9</v>
      </c>
      <c r="F11446" s="2026"/>
      <c r="G11446" s="941" t="s">
        <v>19</v>
      </c>
      <c r="H11446" s="1218">
        <v>10.69</v>
      </c>
      <c r="K11446" s="1192" t="s">
        <v>2543</v>
      </c>
      <c r="L11446" s="1192" t="s">
        <v>430</v>
      </c>
      <c r="P11446" s="1192" t="s">
        <v>2545</v>
      </c>
      <c r="V11446" s="1192">
        <v>29</v>
      </c>
    </row>
    <row r="11447" spans="1:22" s="1192" customFormat="1" ht="14.4" x14ac:dyDescent="0.3">
      <c r="A11447" s="1192" t="s">
        <v>187</v>
      </c>
      <c r="E11447" s="2026" t="s">
        <v>4725</v>
      </c>
      <c r="F11447" s="2028"/>
      <c r="G11447" s="941" t="s">
        <v>19</v>
      </c>
      <c r="H11447" s="942">
        <v>0.36</v>
      </c>
      <c r="K11447" s="1192" t="s">
        <v>2543</v>
      </c>
      <c r="L11447" s="1192" t="s">
        <v>430</v>
      </c>
      <c r="P11447" s="1192" t="s">
        <v>4726</v>
      </c>
      <c r="V11447" s="1192">
        <v>135</v>
      </c>
    </row>
    <row r="11448" spans="1:22" s="1192" customFormat="1" ht="14.4" x14ac:dyDescent="0.3">
      <c r="A11448" s="1192" t="s">
        <v>187</v>
      </c>
      <c r="E11448" s="2026" t="s">
        <v>80</v>
      </c>
      <c r="F11448" s="2026"/>
      <c r="G11448" s="941" t="s">
        <v>20</v>
      </c>
      <c r="H11448" s="1219">
        <v>3.5999999999999999E-3</v>
      </c>
      <c r="K11448" s="1192" t="s">
        <v>2543</v>
      </c>
      <c r="L11448" s="1192" t="s">
        <v>430</v>
      </c>
      <c r="P11448" s="1192" t="s">
        <v>2546</v>
      </c>
      <c r="V11448" s="1192">
        <v>28</v>
      </c>
    </row>
    <row r="11449" spans="1:22" s="1192" customFormat="1" ht="14.4" x14ac:dyDescent="0.3">
      <c r="A11449" s="1192" t="s">
        <v>187</v>
      </c>
      <c r="E11449" s="2026" t="s">
        <v>14</v>
      </c>
      <c r="F11449" s="2026"/>
      <c r="G11449" s="941" t="s">
        <v>20</v>
      </c>
      <c r="H11449" s="945">
        <v>6.9999999999999999E-4</v>
      </c>
      <c r="K11449" s="1192" t="s">
        <v>2543</v>
      </c>
      <c r="L11449" s="1192" t="s">
        <v>431</v>
      </c>
      <c r="P11449" s="1192" t="s">
        <v>2547</v>
      </c>
      <c r="V11449" s="1192">
        <v>24</v>
      </c>
    </row>
    <row r="11450" spans="1:22" s="1192" customFormat="1" ht="14.4" x14ac:dyDescent="0.3">
      <c r="A11450" s="1192" t="s">
        <v>187</v>
      </c>
      <c r="E11450" s="2026" t="s">
        <v>213</v>
      </c>
      <c r="F11450" s="2026"/>
      <c r="G11450" s="941" t="s">
        <v>20</v>
      </c>
      <c r="H11450" s="1219">
        <v>5.3E-3</v>
      </c>
      <c r="K11450" s="1192" t="s">
        <v>2543</v>
      </c>
      <c r="L11450" s="1192" t="s">
        <v>432</v>
      </c>
      <c r="P11450" s="1192" t="s">
        <v>2550</v>
      </c>
      <c r="V11450" s="1192">
        <v>47</v>
      </c>
    </row>
    <row r="11451" spans="1:22" s="1192" customFormat="1" ht="14.4" x14ac:dyDescent="0.3">
      <c r="A11451" s="1192" t="s">
        <v>187</v>
      </c>
      <c r="E11451" s="2026" t="s">
        <v>209</v>
      </c>
      <c r="F11451" s="2026"/>
      <c r="G11451" s="941" t="s">
        <v>20</v>
      </c>
      <c r="H11451" s="1219">
        <v>4.4000000000000003E-3</v>
      </c>
      <c r="K11451" s="1192" t="s">
        <v>2543</v>
      </c>
      <c r="L11451" s="1192" t="s">
        <v>432</v>
      </c>
      <c r="P11451" s="1192" t="s">
        <v>2551</v>
      </c>
      <c r="V11451" s="1192">
        <v>74</v>
      </c>
    </row>
    <row r="11452" spans="1:22" s="1192" customFormat="1" ht="14.4" x14ac:dyDescent="0.3">
      <c r="A11452" s="1192" t="s">
        <v>187</v>
      </c>
      <c r="E11452" s="2027" t="s">
        <v>2405</v>
      </c>
      <c r="F11452" s="2028"/>
      <c r="G11452" s="941"/>
      <c r="H11452" s="944"/>
      <c r="K11452" s="1192" t="s">
        <v>2438</v>
      </c>
      <c r="V11452" s="1192">
        <v>48</v>
      </c>
    </row>
    <row r="11453" spans="1:22" s="1192" customFormat="1" ht="14.4" x14ac:dyDescent="0.3">
      <c r="A11453" s="1192" t="s">
        <v>187</v>
      </c>
      <c r="E11453" s="2026" t="s">
        <v>2033</v>
      </c>
      <c r="F11453" s="2026"/>
      <c r="G11453" s="941" t="s">
        <v>20</v>
      </c>
      <c r="H11453" s="945">
        <v>3.0000000000000001E-3</v>
      </c>
      <c r="K11453" s="1192" t="s">
        <v>2543</v>
      </c>
      <c r="L11453" s="1192" t="s">
        <v>2374</v>
      </c>
      <c r="P11453" s="1192" t="s">
        <v>2552</v>
      </c>
      <c r="V11453" s="1192">
        <v>55</v>
      </c>
    </row>
    <row r="11454" spans="1:22" s="1192" customFormat="1" ht="14.4" x14ac:dyDescent="0.3">
      <c r="A11454" s="1192" t="s">
        <v>187</v>
      </c>
      <c r="E11454" s="2026" t="s">
        <v>2034</v>
      </c>
      <c r="F11454" s="2026"/>
      <c r="G11454" s="941" t="s">
        <v>20</v>
      </c>
      <c r="H11454" s="945">
        <v>4.0000000000000002E-4</v>
      </c>
      <c r="K11454" s="1192" t="s">
        <v>2543</v>
      </c>
      <c r="L11454" s="1192" t="s">
        <v>2374</v>
      </c>
      <c r="P11454" s="1192" t="s">
        <v>2552</v>
      </c>
      <c r="V11454" s="1192">
        <v>65</v>
      </c>
    </row>
    <row r="11455" spans="1:22" s="1192" customFormat="1" ht="14.4" x14ac:dyDescent="0.3">
      <c r="A11455" s="1192" t="s">
        <v>187</v>
      </c>
      <c r="E11455" s="2026" t="s">
        <v>428</v>
      </c>
      <c r="F11455" s="2026"/>
      <c r="G11455" s="941" t="s">
        <v>20</v>
      </c>
      <c r="H11455" s="945">
        <v>5.0000000000000001E-4</v>
      </c>
      <c r="K11455" s="1192" t="s">
        <v>2543</v>
      </c>
      <c r="L11455" s="1192" t="s">
        <v>2374</v>
      </c>
      <c r="P11455" s="1192" t="s">
        <v>2553</v>
      </c>
      <c r="V11455" s="1192">
        <v>57</v>
      </c>
    </row>
    <row r="11456" spans="1:22" s="1192" customFormat="1" ht="14.4" x14ac:dyDescent="0.3">
      <c r="A11456" s="1192" t="s">
        <v>187</v>
      </c>
      <c r="E11456" s="2026" t="s">
        <v>28</v>
      </c>
      <c r="F11456" s="2026"/>
      <c r="G11456" s="941" t="s">
        <v>19</v>
      </c>
      <c r="H11456" s="942">
        <v>0.25</v>
      </c>
      <c r="K11456" s="1192" t="s">
        <v>2543</v>
      </c>
      <c r="L11456" s="1192" t="s">
        <v>2374</v>
      </c>
      <c r="P11456" s="1192" t="s">
        <v>2554</v>
      </c>
      <c r="V11456" s="1192">
        <v>63</v>
      </c>
    </row>
    <row r="11457" spans="1:22" s="1192" customFormat="1" ht="17.399999999999999" x14ac:dyDescent="0.3">
      <c r="A11457" s="1192" t="s">
        <v>187</v>
      </c>
      <c r="E11457" s="2032" t="s">
        <v>593</v>
      </c>
      <c r="F11457" s="2032"/>
      <c r="G11457" s="2032"/>
      <c r="H11457" s="2033"/>
      <c r="K11457" s="1192" t="s">
        <v>2442</v>
      </c>
      <c r="V11457" s="1192">
        <v>31</v>
      </c>
    </row>
    <row r="11458" spans="1:22" s="1192" customFormat="1" ht="14.4" x14ac:dyDescent="0.3">
      <c r="A11458" s="1192" t="s">
        <v>187</v>
      </c>
      <c r="E11458" s="2023" t="s">
        <v>2996</v>
      </c>
      <c r="F11458" s="2023"/>
      <c r="G11458" s="2023"/>
      <c r="H11458" s="2029"/>
      <c r="K11458" s="1192" t="s">
        <v>2442</v>
      </c>
      <c r="V11458" s="1192">
        <v>287</v>
      </c>
    </row>
    <row r="11459" spans="1:22" s="1192" customFormat="1" ht="14.4" x14ac:dyDescent="0.3">
      <c r="A11459" s="1192" t="s">
        <v>187</v>
      </c>
      <c r="E11459" s="2024" t="s">
        <v>2389</v>
      </c>
      <c r="F11459" s="2025"/>
      <c r="G11459" s="2025"/>
      <c r="H11459" s="2025"/>
      <c r="K11459" s="1192" t="s">
        <v>2444</v>
      </c>
      <c r="V11459" s="1192">
        <v>11</v>
      </c>
    </row>
    <row r="11460" spans="1:22" s="1192" customFormat="1" ht="14.4" x14ac:dyDescent="0.3">
      <c r="A11460" s="1192" t="s">
        <v>187</v>
      </c>
      <c r="E11460" s="2023" t="s">
        <v>2391</v>
      </c>
      <c r="F11460" s="2023"/>
      <c r="G11460" s="2023"/>
      <c r="H11460" s="2029"/>
      <c r="K11460" s="1192" t="s">
        <v>2442</v>
      </c>
      <c r="V11460" s="1192">
        <v>280</v>
      </c>
    </row>
    <row r="11461" spans="1:22" s="1192" customFormat="1" ht="14.4" x14ac:dyDescent="0.3">
      <c r="A11461" s="1192" t="s">
        <v>187</v>
      </c>
      <c r="E11461" s="2023" t="s">
        <v>2392</v>
      </c>
      <c r="F11461" s="2023"/>
      <c r="G11461" s="2023"/>
      <c r="H11461" s="2029"/>
      <c r="K11461" s="1192" t="s">
        <v>2442</v>
      </c>
      <c r="V11461" s="1192">
        <v>411</v>
      </c>
    </row>
    <row r="11462" spans="1:22" s="1192" customFormat="1" ht="14.4" x14ac:dyDescent="0.3">
      <c r="A11462" s="1192" t="s">
        <v>187</v>
      </c>
      <c r="E11462" s="2023" t="s">
        <v>2985</v>
      </c>
      <c r="F11462" s="2023"/>
      <c r="G11462" s="2023"/>
      <c r="H11462" s="2029"/>
      <c r="K11462" s="1192" t="s">
        <v>2442</v>
      </c>
      <c r="V11462" s="1192">
        <v>385</v>
      </c>
    </row>
    <row r="11463" spans="1:22" s="1192" customFormat="1" ht="14.4" x14ac:dyDescent="0.3">
      <c r="A11463" s="1192" t="s">
        <v>187</v>
      </c>
      <c r="E11463" s="2023" t="s">
        <v>3109</v>
      </c>
      <c r="F11463" s="2023"/>
      <c r="G11463" s="2023"/>
      <c r="H11463" s="2029"/>
      <c r="K11463" s="1192" t="s">
        <v>2442</v>
      </c>
      <c r="V11463" s="1192">
        <v>231</v>
      </c>
    </row>
    <row r="11464" spans="1:22" s="1192" customFormat="1" ht="14.4" x14ac:dyDescent="0.3">
      <c r="A11464" s="1192" t="s">
        <v>187</v>
      </c>
      <c r="E11464" s="2024" t="s">
        <v>2394</v>
      </c>
      <c r="F11464" s="2025"/>
      <c r="G11464" s="2025"/>
      <c r="H11464" s="2025"/>
      <c r="K11464" s="1192" t="s">
        <v>2446</v>
      </c>
      <c r="V11464" s="1192">
        <v>46</v>
      </c>
    </row>
    <row r="11465" spans="1:22" s="1192" customFormat="1" ht="14.4" x14ac:dyDescent="0.3">
      <c r="A11465" s="1192" t="s">
        <v>187</v>
      </c>
      <c r="E11465" s="2026" t="s">
        <v>7</v>
      </c>
      <c r="F11465" s="2026"/>
      <c r="G11465" s="941" t="s">
        <v>19</v>
      </c>
      <c r="H11465" s="1218">
        <v>4.55</v>
      </c>
      <c r="K11465" s="1192" t="s">
        <v>2442</v>
      </c>
      <c r="L11465" s="1192" t="s">
        <v>430</v>
      </c>
      <c r="P11465" s="1192" t="s">
        <v>2447</v>
      </c>
      <c r="V11465" s="1192">
        <v>14</v>
      </c>
    </row>
    <row r="11466" spans="1:22" s="1192" customFormat="1" ht="17.399999999999999" x14ac:dyDescent="0.3">
      <c r="A11466" s="1192" t="s">
        <v>187</v>
      </c>
      <c r="E11466" s="1285" t="s">
        <v>81</v>
      </c>
      <c r="F11466" s="584"/>
      <c r="G11466" s="584"/>
      <c r="H11466" s="946"/>
      <c r="K11466" s="1192" t="s">
        <v>3334</v>
      </c>
      <c r="V11466" s="1192">
        <v>10</v>
      </c>
    </row>
    <row r="11467" spans="1:22" s="1192" customFormat="1" ht="14.4" x14ac:dyDescent="0.3">
      <c r="A11467" s="1192" t="s">
        <v>187</v>
      </c>
      <c r="E11467" s="2028" t="s">
        <v>2449</v>
      </c>
      <c r="F11467" s="2028"/>
      <c r="G11467" s="947" t="s">
        <v>29</v>
      </c>
      <c r="H11467" s="948">
        <v>-0.6</v>
      </c>
      <c r="V11467" s="1192">
        <v>68</v>
      </c>
    </row>
    <row r="11468" spans="1:22" s="1192" customFormat="1" ht="14.4" x14ac:dyDescent="0.3">
      <c r="A11468" s="1192" t="s">
        <v>187</v>
      </c>
      <c r="E11468" s="2026" t="s">
        <v>2450</v>
      </c>
      <c r="F11468" s="2026"/>
      <c r="G11468" s="947" t="s">
        <v>82</v>
      </c>
      <c r="H11468" s="949">
        <v>-1</v>
      </c>
      <c r="V11468" s="1192">
        <v>87</v>
      </c>
    </row>
    <row r="11469" spans="1:22" s="1192" customFormat="1" ht="17.399999999999999" x14ac:dyDescent="0.3">
      <c r="A11469" s="1192" t="s">
        <v>187</v>
      </c>
      <c r="E11469" s="1285" t="s">
        <v>83</v>
      </c>
      <c r="F11469" s="584"/>
      <c r="G11469" s="584"/>
      <c r="H11469" s="901"/>
      <c r="K11469" s="1192" t="s">
        <v>3335</v>
      </c>
      <c r="V11469" s="1192">
        <v>24</v>
      </c>
    </row>
    <row r="11470" spans="1:22" s="1192" customFormat="1" ht="14.4" x14ac:dyDescent="0.3">
      <c r="A11470" s="1192" t="s">
        <v>187</v>
      </c>
      <c r="E11470" s="2105" t="s">
        <v>2389</v>
      </c>
      <c r="F11470" s="2259"/>
      <c r="G11470" s="2259"/>
      <c r="H11470" s="2259"/>
      <c r="V11470" s="1192">
        <v>11</v>
      </c>
    </row>
    <row r="11471" spans="1:22" s="1192" customFormat="1" ht="14.4" x14ac:dyDescent="0.3">
      <c r="A11471" s="1192" t="s">
        <v>187</v>
      </c>
      <c r="E11471" s="2034" t="s">
        <v>2391</v>
      </c>
      <c r="F11471" s="2034"/>
      <c r="G11471" s="2034"/>
      <c r="H11471" s="2035"/>
      <c r="V11471" s="1192">
        <v>280</v>
      </c>
    </row>
    <row r="11472" spans="1:22" s="1192" customFormat="1" ht="14.4" x14ac:dyDescent="0.3">
      <c r="A11472" s="1192" t="s">
        <v>187</v>
      </c>
      <c r="E11472" s="2034" t="s">
        <v>2452</v>
      </c>
      <c r="F11472" s="2034"/>
      <c r="G11472" s="2034"/>
      <c r="H11472" s="2035"/>
      <c r="V11472" s="1192">
        <v>353</v>
      </c>
    </row>
    <row r="11473" spans="1:22" s="1192" customFormat="1" ht="14.4" x14ac:dyDescent="0.3">
      <c r="A11473" s="1192" t="s">
        <v>187</v>
      </c>
      <c r="E11473" s="2034" t="s">
        <v>2986</v>
      </c>
      <c r="F11473" s="2034"/>
      <c r="G11473" s="2034"/>
      <c r="H11473" s="2035"/>
      <c r="V11473" s="1192">
        <v>246</v>
      </c>
    </row>
    <row r="11474" spans="1:22" s="1192" customFormat="1" ht="14.4" x14ac:dyDescent="0.3">
      <c r="A11474" s="1192" t="s">
        <v>187</v>
      </c>
      <c r="E11474" s="1299" t="s">
        <v>2453</v>
      </c>
      <c r="F11474" s="586"/>
      <c r="G11474" s="586"/>
      <c r="H11474" s="902"/>
      <c r="K11474" s="1192" t="s">
        <v>3336</v>
      </c>
      <c r="V11474" s="1192">
        <v>23</v>
      </c>
    </row>
    <row r="11475" spans="1:22" s="1192" customFormat="1" ht="14.4" x14ac:dyDescent="0.3">
      <c r="A11475" s="1192" t="s">
        <v>187</v>
      </c>
      <c r="E11475" s="2031" t="s">
        <v>2639</v>
      </c>
      <c r="F11475" s="2031"/>
      <c r="G11475" s="941" t="s">
        <v>19</v>
      </c>
      <c r="H11475" s="583">
        <v>15</v>
      </c>
      <c r="V11475" s="1192">
        <v>19</v>
      </c>
    </row>
    <row r="11476" spans="1:22" s="1192" customFormat="1" ht="14.4" x14ac:dyDescent="0.3">
      <c r="A11476" s="1192" t="s">
        <v>187</v>
      </c>
      <c r="E11476" s="2031" t="s">
        <v>2463</v>
      </c>
      <c r="F11476" s="2031"/>
      <c r="G11476" s="941" t="s">
        <v>19</v>
      </c>
      <c r="H11476" s="583">
        <v>15</v>
      </c>
      <c r="V11476" s="1192">
        <v>15</v>
      </c>
    </row>
    <row r="11477" spans="1:22" s="1192" customFormat="1" ht="14.4" x14ac:dyDescent="0.3">
      <c r="A11477" s="1192" t="s">
        <v>187</v>
      </c>
      <c r="E11477" s="2031" t="s">
        <v>2465</v>
      </c>
      <c r="F11477" s="2031"/>
      <c r="G11477" s="941" t="s">
        <v>19</v>
      </c>
      <c r="H11477" s="583">
        <v>20</v>
      </c>
      <c r="V11477" s="1192">
        <v>35</v>
      </c>
    </row>
    <row r="11478" spans="1:22" s="1192" customFormat="1" ht="14.4" x14ac:dyDescent="0.3">
      <c r="A11478" s="1192" t="s">
        <v>187</v>
      </c>
      <c r="E11478" s="2031" t="s">
        <v>84</v>
      </c>
      <c r="F11478" s="2031"/>
      <c r="G11478" s="941" t="s">
        <v>19</v>
      </c>
      <c r="H11478" s="583">
        <v>30</v>
      </c>
      <c r="V11478" s="1192">
        <v>89</v>
      </c>
    </row>
    <row r="11479" spans="1:22" s="1192" customFormat="1" ht="14.4" x14ac:dyDescent="0.3">
      <c r="A11479" s="1192" t="s">
        <v>187</v>
      </c>
      <c r="E11479" s="2031" t="s">
        <v>88</v>
      </c>
      <c r="F11479" s="2031"/>
      <c r="G11479" s="941" t="s">
        <v>19</v>
      </c>
      <c r="H11479" s="583">
        <v>45</v>
      </c>
      <c r="V11479" s="1192">
        <v>74</v>
      </c>
    </row>
    <row r="11480" spans="1:22" s="1192" customFormat="1" ht="14.4" x14ac:dyDescent="0.3">
      <c r="A11480" s="1192" t="s">
        <v>187</v>
      </c>
      <c r="E11480" s="1270" t="s">
        <v>4607</v>
      </c>
      <c r="F11480" s="587"/>
      <c r="G11480" s="927"/>
      <c r="H11480" s="903"/>
      <c r="V11480" s="1192">
        <v>39</v>
      </c>
    </row>
    <row r="11481" spans="1:22" s="1192" customFormat="1" ht="14.4" x14ac:dyDescent="0.3">
      <c r="A11481" s="1192" t="s">
        <v>187</v>
      </c>
      <c r="E11481" s="2250" t="s">
        <v>5893</v>
      </c>
      <c r="F11481" s="2250"/>
      <c r="G11481" s="927" t="s">
        <v>82</v>
      </c>
      <c r="H11481" s="769">
        <v>1.5</v>
      </c>
      <c r="V11481" s="1192">
        <v>99</v>
      </c>
    </row>
    <row r="11482" spans="1:22" s="1192" customFormat="1" ht="14.4" x14ac:dyDescent="0.3">
      <c r="A11482" s="1192" t="s">
        <v>187</v>
      </c>
      <c r="E11482" s="2030" t="s">
        <v>3337</v>
      </c>
      <c r="F11482" s="2030"/>
      <c r="G11482" s="927" t="s">
        <v>82</v>
      </c>
      <c r="H11482" s="769">
        <v>19.559999999999999</v>
      </c>
      <c r="V11482" s="1192">
        <v>30</v>
      </c>
    </row>
    <row r="11483" spans="1:22" s="1192" customFormat="1" ht="14.4" x14ac:dyDescent="0.3">
      <c r="A11483" s="1192" t="s">
        <v>187</v>
      </c>
      <c r="E11483" s="2030" t="s">
        <v>3338</v>
      </c>
      <c r="F11483" s="2030"/>
      <c r="G11483" s="927" t="s">
        <v>19</v>
      </c>
      <c r="H11483" s="769">
        <v>30</v>
      </c>
      <c r="V11483" s="1192">
        <v>53</v>
      </c>
    </row>
    <row r="11484" spans="1:22" s="1192" customFormat="1" ht="14.4" x14ac:dyDescent="0.3">
      <c r="A11484" s="1192" t="s">
        <v>187</v>
      </c>
      <c r="E11484" s="2030" t="s">
        <v>6562</v>
      </c>
      <c r="F11484" s="2030"/>
      <c r="G11484" s="927" t="s">
        <v>19</v>
      </c>
      <c r="H11484" s="769">
        <v>65</v>
      </c>
      <c r="V11484" s="1192">
        <v>50</v>
      </c>
    </row>
    <row r="11485" spans="1:22" s="1192" customFormat="1" ht="14.4" x14ac:dyDescent="0.3">
      <c r="A11485" s="1192" t="s">
        <v>187</v>
      </c>
      <c r="E11485" s="2030" t="s">
        <v>6609</v>
      </c>
      <c r="F11485" s="2030"/>
      <c r="G11485" s="927" t="s">
        <v>19</v>
      </c>
      <c r="H11485" s="769">
        <v>185</v>
      </c>
      <c r="V11485" s="1192">
        <v>48</v>
      </c>
    </row>
    <row r="11486" spans="1:22" s="1192" customFormat="1" ht="17.399999999999999" x14ac:dyDescent="0.3">
      <c r="A11486" s="1192" t="s">
        <v>187</v>
      </c>
      <c r="E11486" s="1285" t="s">
        <v>73</v>
      </c>
      <c r="F11486" s="584"/>
      <c r="G11486" s="584"/>
      <c r="H11486" s="901"/>
      <c r="K11486" s="1192" t="s">
        <v>3339</v>
      </c>
      <c r="V11486" s="1192">
        <v>38</v>
      </c>
    </row>
    <row r="11487" spans="1:22" s="1192" customFormat="1" ht="14.4" x14ac:dyDescent="0.3">
      <c r="A11487" s="1192" t="s">
        <v>187</v>
      </c>
      <c r="E11487" s="2034" t="s">
        <v>2391</v>
      </c>
      <c r="F11487" s="2034"/>
      <c r="G11487" s="2034"/>
      <c r="H11487" s="2035"/>
      <c r="V11487" s="1192">
        <v>280</v>
      </c>
    </row>
    <row r="11488" spans="1:22" s="1192" customFormat="1" ht="14.4" x14ac:dyDescent="0.3">
      <c r="A11488" s="1192" t="s">
        <v>187</v>
      </c>
      <c r="E11488" s="2034" t="s">
        <v>2392</v>
      </c>
      <c r="F11488" s="2034"/>
      <c r="G11488" s="2034"/>
      <c r="H11488" s="2035"/>
      <c r="V11488" s="1192">
        <v>411</v>
      </c>
    </row>
    <row r="11489" spans="1:22" s="1192" customFormat="1" ht="14.4" x14ac:dyDescent="0.3">
      <c r="A11489" s="1192" t="s">
        <v>187</v>
      </c>
      <c r="E11489" s="2034" t="s">
        <v>2445</v>
      </c>
      <c r="F11489" s="2034"/>
      <c r="G11489" s="2034"/>
      <c r="H11489" s="2035"/>
      <c r="V11489" s="1192">
        <v>211</v>
      </c>
    </row>
    <row r="11490" spans="1:22" s="1192" customFormat="1" ht="14.4" x14ac:dyDescent="0.3">
      <c r="A11490" s="1192" t="s">
        <v>187</v>
      </c>
      <c r="E11490" s="2034" t="s">
        <v>2986</v>
      </c>
      <c r="F11490" s="2034"/>
      <c r="G11490" s="2034"/>
      <c r="H11490" s="2035"/>
      <c r="V11490" s="1192">
        <v>246</v>
      </c>
    </row>
    <row r="11491" spans="1:22" s="1192" customFormat="1" ht="14.4" x14ac:dyDescent="0.3">
      <c r="A11491" s="1192" t="s">
        <v>187</v>
      </c>
      <c r="E11491" s="2034" t="s">
        <v>2595</v>
      </c>
      <c r="F11491" s="2034"/>
      <c r="G11491" s="2034"/>
      <c r="H11491" s="2035"/>
      <c r="V11491" s="1192">
        <v>142</v>
      </c>
    </row>
    <row r="11492" spans="1:22" s="1192" customFormat="1" ht="14.4" x14ac:dyDescent="0.3">
      <c r="A11492" s="1192" t="s">
        <v>187</v>
      </c>
      <c r="E11492" s="2026" t="s">
        <v>2485</v>
      </c>
      <c r="F11492" s="2026"/>
      <c r="G11492" s="569" t="s">
        <v>19</v>
      </c>
      <c r="H11492" s="570">
        <v>102</v>
      </c>
      <c r="V11492" s="1192">
        <v>106</v>
      </c>
    </row>
    <row r="11493" spans="1:22" s="1192" customFormat="1" ht="14.4" x14ac:dyDescent="0.3">
      <c r="A11493" s="1192" t="s">
        <v>187</v>
      </c>
      <c r="E11493" s="2026" t="s">
        <v>2486</v>
      </c>
      <c r="F11493" s="2026"/>
      <c r="G11493" s="569" t="s">
        <v>19</v>
      </c>
      <c r="H11493" s="570">
        <v>40.799999999999997</v>
      </c>
      <c r="V11493" s="1192">
        <v>34</v>
      </c>
    </row>
    <row r="11494" spans="1:22" s="1192" customFormat="1" ht="14.4" x14ac:dyDescent="0.3">
      <c r="A11494" s="1192" t="s">
        <v>187</v>
      </c>
      <c r="E11494" s="2026" t="s">
        <v>2487</v>
      </c>
      <c r="F11494" s="2026"/>
      <c r="G11494" s="569" t="s">
        <v>2488</v>
      </c>
      <c r="H11494" s="570">
        <v>1.02</v>
      </c>
      <c r="V11494" s="1192">
        <v>51</v>
      </c>
    </row>
    <row r="11495" spans="1:22" s="1192" customFormat="1" ht="14.4" x14ac:dyDescent="0.3">
      <c r="A11495" s="1192" t="s">
        <v>187</v>
      </c>
      <c r="E11495" s="2026" t="s">
        <v>2489</v>
      </c>
      <c r="F11495" s="2026"/>
      <c r="G11495" s="569" t="s">
        <v>2488</v>
      </c>
      <c r="H11495" s="570">
        <v>0.61</v>
      </c>
      <c r="V11495" s="1192">
        <v>75</v>
      </c>
    </row>
    <row r="11496" spans="1:22" s="1192" customFormat="1" ht="14.4" x14ac:dyDescent="0.3">
      <c r="A11496" s="1192" t="s">
        <v>187</v>
      </c>
      <c r="E11496" s="2026" t="s">
        <v>2490</v>
      </c>
      <c r="F11496" s="2026"/>
      <c r="G11496" s="569" t="s">
        <v>2488</v>
      </c>
      <c r="H11496" s="570">
        <v>-0.61</v>
      </c>
      <c r="V11496" s="1192">
        <v>72</v>
      </c>
    </row>
    <row r="11497" spans="1:22" s="1192" customFormat="1" ht="14.4" x14ac:dyDescent="0.3">
      <c r="A11497" s="1192" t="s">
        <v>187</v>
      </c>
      <c r="E11497" s="2026" t="s">
        <v>2491</v>
      </c>
      <c r="F11497" s="2026"/>
      <c r="G11497" s="950"/>
      <c r="H11497" s="951"/>
      <c r="V11497" s="1192">
        <v>35</v>
      </c>
    </row>
    <row r="11498" spans="1:22" s="1192" customFormat="1" ht="14.4" x14ac:dyDescent="0.3">
      <c r="A11498" s="1192" t="s">
        <v>187</v>
      </c>
      <c r="E11498" s="2063" t="s">
        <v>2492</v>
      </c>
      <c r="F11498" s="2063"/>
      <c r="G11498" s="569" t="s">
        <v>19</v>
      </c>
      <c r="H11498" s="570">
        <v>0.51</v>
      </c>
      <c r="V11498" s="1192">
        <v>57</v>
      </c>
    </row>
    <row r="11499" spans="1:22" s="1192" customFormat="1" ht="14.4" x14ac:dyDescent="0.3">
      <c r="A11499" s="1192" t="s">
        <v>187</v>
      </c>
      <c r="E11499" s="2063" t="s">
        <v>2493</v>
      </c>
      <c r="F11499" s="2063"/>
      <c r="G11499" s="569" t="s">
        <v>19</v>
      </c>
      <c r="H11499" s="570">
        <v>1.02</v>
      </c>
      <c r="V11499" s="1192">
        <v>60</v>
      </c>
    </row>
    <row r="11500" spans="1:22" s="1192" customFormat="1" ht="14.4" x14ac:dyDescent="0.3">
      <c r="A11500" s="1192" t="s">
        <v>187</v>
      </c>
      <c r="E11500" s="2026" t="s">
        <v>2494</v>
      </c>
      <c r="F11500" s="2026"/>
      <c r="G11500" s="950"/>
      <c r="H11500" s="951"/>
      <c r="V11500" s="1192">
        <v>91</v>
      </c>
    </row>
    <row r="11501" spans="1:22" s="1192" customFormat="1" ht="14.4" x14ac:dyDescent="0.3">
      <c r="A11501" s="1192" t="s">
        <v>187</v>
      </c>
      <c r="E11501" s="2026" t="s">
        <v>2495</v>
      </c>
      <c r="F11501" s="2026"/>
      <c r="G11501" s="950"/>
      <c r="H11501" s="951"/>
      <c r="V11501" s="1192">
        <v>96</v>
      </c>
    </row>
    <row r="11502" spans="1:22" s="1192" customFormat="1" ht="14.4" x14ac:dyDescent="0.3">
      <c r="A11502" s="1192" t="s">
        <v>187</v>
      </c>
      <c r="E11502" s="2026" t="s">
        <v>2496</v>
      </c>
      <c r="F11502" s="2026"/>
      <c r="G11502" s="950"/>
      <c r="H11502" s="951"/>
      <c r="V11502" s="1192">
        <v>78</v>
      </c>
    </row>
    <row r="11503" spans="1:22" s="1192" customFormat="1" ht="14.4" x14ac:dyDescent="0.3">
      <c r="A11503" s="1192" t="s">
        <v>187</v>
      </c>
      <c r="E11503" s="2063" t="s">
        <v>2497</v>
      </c>
      <c r="F11503" s="2063"/>
      <c r="G11503" s="569" t="s">
        <v>19</v>
      </c>
      <c r="H11503" s="876" t="s">
        <v>2498</v>
      </c>
      <c r="V11503" s="1192">
        <v>18</v>
      </c>
    </row>
    <row r="11504" spans="1:22" s="1192" customFormat="1" ht="14.4" x14ac:dyDescent="0.3">
      <c r="A11504" s="1192" t="s">
        <v>187</v>
      </c>
      <c r="E11504" s="2063" t="s">
        <v>2499</v>
      </c>
      <c r="F11504" s="2063"/>
      <c r="G11504" s="569" t="s">
        <v>19</v>
      </c>
      <c r="H11504" s="570">
        <v>4.08</v>
      </c>
      <c r="V11504" s="1192">
        <v>69</v>
      </c>
    </row>
    <row r="11505" spans="1:22" s="1192" customFormat="1" ht="14.4" x14ac:dyDescent="0.3">
      <c r="A11505" s="1192" t="s">
        <v>187</v>
      </c>
      <c r="E11505" s="1741" t="s">
        <v>4608</v>
      </c>
      <c r="F11505" s="1741"/>
      <c r="G11505" s="360" t="s">
        <v>19</v>
      </c>
      <c r="H11505" s="1218">
        <v>2.04</v>
      </c>
      <c r="V11505" s="1192">
        <v>199</v>
      </c>
    </row>
    <row r="11506" spans="1:22" s="1192" customFormat="1" ht="17.399999999999999" x14ac:dyDescent="0.3">
      <c r="A11506" s="1192" t="s">
        <v>187</v>
      </c>
      <c r="E11506" s="1285" t="s">
        <v>143</v>
      </c>
      <c r="F11506" s="581"/>
      <c r="G11506" s="581"/>
      <c r="H11506" s="952"/>
      <c r="K11506" s="1192" t="s">
        <v>3340</v>
      </c>
      <c r="V11506" s="1192">
        <v>12</v>
      </c>
    </row>
    <row r="11507" spans="1:22" s="1192" customFormat="1" ht="14.4" x14ac:dyDescent="0.3">
      <c r="A11507" s="1192" t="s">
        <v>187</v>
      </c>
      <c r="E11507" s="2026" t="s">
        <v>2501</v>
      </c>
      <c r="F11507" s="2026"/>
      <c r="G11507" s="2026"/>
      <c r="H11507" s="2257"/>
      <c r="V11507" s="1192">
        <v>203</v>
      </c>
    </row>
    <row r="11508" spans="1:22" s="1192" customFormat="1" ht="14.4" x14ac:dyDescent="0.3">
      <c r="A11508" s="1192" t="s">
        <v>187</v>
      </c>
      <c r="E11508" s="2026" t="s">
        <v>2599</v>
      </c>
      <c r="F11508" s="2026"/>
      <c r="G11508" s="953"/>
      <c r="H11508" s="954">
        <v>1.0457000000000001</v>
      </c>
      <c r="V11508" s="1192">
        <v>57</v>
      </c>
    </row>
    <row r="11509" spans="1:22" s="1192" customFormat="1" ht="14.4" x14ac:dyDescent="0.3">
      <c r="A11509" s="1192" t="s">
        <v>187</v>
      </c>
      <c r="E11509" s="2026" t="s">
        <v>2601</v>
      </c>
      <c r="F11509" s="2026"/>
      <c r="G11509" s="953"/>
      <c r="H11509" s="954">
        <v>1.0396000000000001</v>
      </c>
      <c r="J11509" s="1192" t="s">
        <v>3341</v>
      </c>
      <c r="V11509" s="1192">
        <v>55</v>
      </c>
    </row>
    <row r="11510" spans="1:22" s="1192" customFormat="1" ht="22.8" x14ac:dyDescent="0.3">
      <c r="A11510" s="1192" t="s">
        <v>188</v>
      </c>
      <c r="C11510" s="1192" t="s">
        <v>2378</v>
      </c>
      <c r="E11510" s="1752" t="s">
        <v>188</v>
      </c>
      <c r="F11510" s="1752"/>
      <c r="G11510" s="1752"/>
      <c r="H11510" s="1752"/>
      <c r="I11510" s="1192" t="s">
        <v>603</v>
      </c>
      <c r="J11510" s="1192" t="s">
        <v>5001</v>
      </c>
      <c r="K11510" s="1192" t="s">
        <v>188</v>
      </c>
      <c r="M11510" s="1192">
        <v>7</v>
      </c>
      <c r="V11510" s="1192">
        <v>21</v>
      </c>
    </row>
    <row r="11511" spans="1:22" s="1192" customFormat="1" ht="17.399999999999999" x14ac:dyDescent="0.3">
      <c r="A11511" s="1192" t="s">
        <v>188</v>
      </c>
      <c r="C11511" s="1192" t="s">
        <v>2380</v>
      </c>
      <c r="E11511" s="1753" t="s">
        <v>2381</v>
      </c>
      <c r="F11511" s="1753"/>
      <c r="G11511" s="1753"/>
      <c r="H11511" s="1753"/>
      <c r="V11511" s="1192">
        <v>27</v>
      </c>
    </row>
    <row r="11512" spans="1:22" s="1192" customFormat="1" ht="15.6" x14ac:dyDescent="0.3">
      <c r="A11512" s="1192" t="s">
        <v>188</v>
      </c>
      <c r="C11512" s="1192" t="s">
        <v>2382</v>
      </c>
      <c r="E11512" s="2258" t="s">
        <v>6482</v>
      </c>
      <c r="F11512" s="1754"/>
      <c r="G11512" s="1754"/>
      <c r="H11512" s="1754"/>
      <c r="S11512" s="1192">
        <v>43952</v>
      </c>
      <c r="V11512" s="1192">
        <v>45</v>
      </c>
    </row>
    <row r="11513" spans="1:22" s="1192" customFormat="1" ht="14.4" x14ac:dyDescent="0.3">
      <c r="A11513" s="1192" t="s">
        <v>188</v>
      </c>
      <c r="C11513" s="1192" t="s">
        <v>2383</v>
      </c>
      <c r="E11513" s="1755" t="s">
        <v>2384</v>
      </c>
      <c r="F11513" s="1755"/>
      <c r="G11513" s="1755"/>
      <c r="H11513" s="1755"/>
      <c r="V11513" s="1192">
        <v>52</v>
      </c>
    </row>
    <row r="11514" spans="1:22" s="1192" customFormat="1" ht="14.4" x14ac:dyDescent="0.3">
      <c r="A11514" s="1192" t="s">
        <v>188</v>
      </c>
      <c r="E11514" s="1755" t="s">
        <v>2385</v>
      </c>
      <c r="F11514" s="1755"/>
      <c r="G11514" s="1755"/>
      <c r="H11514" s="1755"/>
      <c r="V11514" s="1192">
        <v>53</v>
      </c>
    </row>
    <row r="11515" spans="1:22" s="1192" customFormat="1" ht="14.4" x14ac:dyDescent="0.3">
      <c r="A11515" s="1192" t="s">
        <v>188</v>
      </c>
      <c r="E11515" s="1772" t="s">
        <v>6610</v>
      </c>
      <c r="F11515" s="1772"/>
      <c r="G11515" s="1772"/>
      <c r="H11515" s="1772"/>
      <c r="K11515" s="1192" t="s">
        <v>6610</v>
      </c>
      <c r="V11515" s="1192">
        <v>12</v>
      </c>
    </row>
    <row r="11516" spans="1:22" s="1192" customFormat="1" ht="14.4" x14ac:dyDescent="0.3">
      <c r="A11516" s="1192" t="s">
        <v>188</v>
      </c>
      <c r="E11516" s="1746" t="s">
        <v>427</v>
      </c>
      <c r="F11516" s="1743"/>
      <c r="G11516" s="1743"/>
      <c r="H11516" s="1743"/>
      <c r="K11516" s="1192" t="s">
        <v>2506</v>
      </c>
      <c r="V11516" s="1192">
        <v>34</v>
      </c>
    </row>
    <row r="11517" spans="1:22" s="1192" customFormat="1" ht="14.4" x14ac:dyDescent="0.3">
      <c r="A11517" s="1192" t="s">
        <v>188</v>
      </c>
      <c r="E11517" s="1743" t="s">
        <v>5002</v>
      </c>
      <c r="F11517" s="1743"/>
      <c r="G11517" s="1743"/>
      <c r="H11517" s="1743"/>
      <c r="K11517" s="1192" t="s">
        <v>2506</v>
      </c>
      <c r="V11517" s="1192">
        <v>463</v>
      </c>
    </row>
    <row r="11518" spans="1:22" s="1192" customFormat="1" ht="14.4" x14ac:dyDescent="0.3">
      <c r="A11518" s="1192" t="s">
        <v>188</v>
      </c>
      <c r="E11518" s="1750" t="s">
        <v>2389</v>
      </c>
      <c r="F11518" s="1743"/>
      <c r="G11518" s="1743"/>
      <c r="H11518" s="1743"/>
      <c r="K11518" s="1192" t="s">
        <v>2390</v>
      </c>
      <c r="V11518" s="1192">
        <v>11</v>
      </c>
    </row>
    <row r="11519" spans="1:22" s="1192" customFormat="1" ht="14.4" x14ac:dyDescent="0.3">
      <c r="A11519" s="1192" t="s">
        <v>188</v>
      </c>
      <c r="E11519" s="1743" t="s">
        <v>2391</v>
      </c>
      <c r="F11519" s="1743"/>
      <c r="G11519" s="1743"/>
      <c r="H11519" s="1743"/>
      <c r="K11519" s="1192" t="s">
        <v>2506</v>
      </c>
      <c r="V11519" s="1192">
        <v>280</v>
      </c>
    </row>
    <row r="11520" spans="1:22" s="1192" customFormat="1" ht="14.4" x14ac:dyDescent="0.3">
      <c r="A11520" s="1192" t="s">
        <v>188</v>
      </c>
      <c r="E11520" s="1743" t="s">
        <v>2392</v>
      </c>
      <c r="F11520" s="1743"/>
      <c r="G11520" s="1743"/>
      <c r="H11520" s="1743"/>
      <c r="K11520" s="1192" t="s">
        <v>2506</v>
      </c>
      <c r="V11520" s="1192">
        <v>411</v>
      </c>
    </row>
    <row r="11521" spans="1:22" s="1192" customFormat="1" ht="14.4" x14ac:dyDescent="0.3">
      <c r="A11521" s="1192" t="s">
        <v>188</v>
      </c>
      <c r="E11521" s="1743" t="s">
        <v>2393</v>
      </c>
      <c r="F11521" s="1743"/>
      <c r="G11521" s="1743"/>
      <c r="H11521" s="1743"/>
      <c r="K11521" s="1192" t="s">
        <v>2506</v>
      </c>
      <c r="V11521" s="1192">
        <v>387</v>
      </c>
    </row>
    <row r="11522" spans="1:22" s="1192" customFormat="1" ht="14.4" x14ac:dyDescent="0.3">
      <c r="A11522" s="1192" t="s">
        <v>188</v>
      </c>
      <c r="E11522" s="1743" t="s">
        <v>4500</v>
      </c>
      <c r="F11522" s="1743"/>
      <c r="G11522" s="1743"/>
      <c r="H11522" s="1743"/>
      <c r="K11522" s="1192" t="s">
        <v>2506</v>
      </c>
      <c r="V11522" s="1192">
        <v>247</v>
      </c>
    </row>
    <row r="11523" spans="1:22" s="1192" customFormat="1" ht="14.4" x14ac:dyDescent="0.3">
      <c r="A11523" s="1192" t="s">
        <v>188</v>
      </c>
      <c r="E11523" s="1750" t="s">
        <v>2394</v>
      </c>
      <c r="F11523" s="1743"/>
      <c r="G11523" s="1743"/>
      <c r="H11523" s="1743"/>
      <c r="K11523" s="1192" t="s">
        <v>2395</v>
      </c>
      <c r="V11523" s="1192">
        <v>46</v>
      </c>
    </row>
    <row r="11524" spans="1:22" s="1192" customFormat="1" ht="14.4" x14ac:dyDescent="0.3">
      <c r="A11524" s="1192" t="s">
        <v>188</v>
      </c>
      <c r="E11524" s="1741" t="s">
        <v>7</v>
      </c>
      <c r="F11524" s="1741"/>
      <c r="G11524" s="1277" t="s">
        <v>19</v>
      </c>
      <c r="H11524" s="1218">
        <v>32.130000000000003</v>
      </c>
      <c r="K11524" s="1192" t="s">
        <v>2506</v>
      </c>
      <c r="L11524" s="1192" t="s">
        <v>430</v>
      </c>
      <c r="P11524" s="1192" t="s">
        <v>2510</v>
      </c>
      <c r="V11524" s="1192">
        <v>14</v>
      </c>
    </row>
    <row r="11525" spans="1:22" s="1192" customFormat="1" ht="14.4" x14ac:dyDescent="0.3">
      <c r="A11525" s="1192" t="s">
        <v>188</v>
      </c>
      <c r="E11525" s="1741" t="s">
        <v>6611</v>
      </c>
      <c r="F11525" s="1741"/>
      <c r="G11525" s="1277" t="s">
        <v>19</v>
      </c>
      <c r="H11525" s="1218">
        <v>0.39</v>
      </c>
      <c r="K11525" s="1192" t="s">
        <v>2506</v>
      </c>
      <c r="L11525" s="1192" t="s">
        <v>430</v>
      </c>
      <c r="P11525" s="1192" t="s">
        <v>4423</v>
      </c>
      <c r="V11525" s="1192">
        <v>141</v>
      </c>
    </row>
    <row r="11526" spans="1:22" s="1192" customFormat="1" ht="14.4" x14ac:dyDescent="0.3">
      <c r="A11526" s="1192" t="s">
        <v>188</v>
      </c>
      <c r="E11526" s="2183" t="s">
        <v>3900</v>
      </c>
      <c r="F11526" s="1741"/>
      <c r="G11526" s="1277" t="s">
        <v>19</v>
      </c>
      <c r="H11526" s="1218">
        <v>0.56999999999999995</v>
      </c>
      <c r="K11526" s="1192" t="s">
        <v>2506</v>
      </c>
      <c r="L11526" s="1192" t="s">
        <v>431</v>
      </c>
      <c r="P11526" s="1192" t="s">
        <v>2511</v>
      </c>
      <c r="T11526" s="1192">
        <v>44926</v>
      </c>
      <c r="V11526" s="1192">
        <v>64</v>
      </c>
    </row>
    <row r="11527" spans="1:22" s="1192" customFormat="1" ht="14.4" x14ac:dyDescent="0.3">
      <c r="A11527" s="1192" t="s">
        <v>188</v>
      </c>
      <c r="E11527" s="1741" t="s">
        <v>213</v>
      </c>
      <c r="F11527" s="1741"/>
      <c r="G11527" s="1277" t="s">
        <v>20</v>
      </c>
      <c r="H11527" s="1219">
        <v>6.4000000000000003E-3</v>
      </c>
      <c r="K11527" s="1192" t="s">
        <v>2506</v>
      </c>
      <c r="L11527" s="1192" t="s">
        <v>432</v>
      </c>
      <c r="P11527" s="1192" t="s">
        <v>2517</v>
      </c>
      <c r="V11527" s="1192">
        <v>47</v>
      </c>
    </row>
    <row r="11528" spans="1:22" s="1192" customFormat="1" ht="14.4" x14ac:dyDescent="0.3">
      <c r="A11528" s="1192" t="s">
        <v>188</v>
      </c>
      <c r="E11528" s="1750" t="s">
        <v>2405</v>
      </c>
      <c r="F11528" s="1741"/>
      <c r="G11528" s="1277"/>
      <c r="H11528" s="896"/>
      <c r="K11528" s="1192" t="s">
        <v>2406</v>
      </c>
      <c r="V11528" s="1192">
        <v>48</v>
      </c>
    </row>
    <row r="11529" spans="1:22" s="1192" customFormat="1" ht="14.4" x14ac:dyDescent="0.3">
      <c r="A11529" s="1192" t="s">
        <v>188</v>
      </c>
      <c r="E11529" s="1741" t="s">
        <v>5003</v>
      </c>
      <c r="F11529" s="1741"/>
      <c r="G11529" s="1277" t="s">
        <v>20</v>
      </c>
      <c r="H11529" s="1219">
        <v>-4.0000000000000002E-4</v>
      </c>
      <c r="K11529" s="1192" t="s">
        <v>2506</v>
      </c>
      <c r="L11529" s="1192" t="s">
        <v>431</v>
      </c>
      <c r="P11529" s="1192" t="s">
        <v>6612</v>
      </c>
      <c r="V11529" s="1192">
        <v>45</v>
      </c>
    </row>
    <row r="11530" spans="1:22" s="1192" customFormat="1" ht="14.4" x14ac:dyDescent="0.3">
      <c r="A11530" s="1192" t="s">
        <v>188</v>
      </c>
      <c r="E11530" s="1741" t="s">
        <v>2033</v>
      </c>
      <c r="F11530" s="1741"/>
      <c r="G11530" s="1277" t="s">
        <v>20</v>
      </c>
      <c r="H11530" s="1219">
        <v>3.0000000000000001E-3</v>
      </c>
      <c r="K11530" s="1192" t="s">
        <v>2506</v>
      </c>
      <c r="L11530" s="1192" t="s">
        <v>2374</v>
      </c>
      <c r="P11530" s="1192" t="s">
        <v>2519</v>
      </c>
      <c r="V11530" s="1192">
        <v>55</v>
      </c>
    </row>
    <row r="11531" spans="1:22" s="1192" customFormat="1" ht="14.4" x14ac:dyDescent="0.3">
      <c r="A11531" s="1192" t="s">
        <v>188</v>
      </c>
      <c r="E11531" s="1741" t="s">
        <v>2034</v>
      </c>
      <c r="F11531" s="1741"/>
      <c r="G11531" s="1277" t="s">
        <v>20</v>
      </c>
      <c r="H11531" s="1219">
        <v>4.0000000000000002E-4</v>
      </c>
      <c r="K11531" s="1192" t="s">
        <v>2506</v>
      </c>
      <c r="L11531" s="1192" t="s">
        <v>2374</v>
      </c>
      <c r="P11531" s="1192" t="s">
        <v>2519</v>
      </c>
      <c r="V11531" s="1192">
        <v>65</v>
      </c>
    </row>
    <row r="11532" spans="1:22" s="1192" customFormat="1" ht="14.4" x14ac:dyDescent="0.3">
      <c r="A11532" s="1192" t="s">
        <v>188</v>
      </c>
      <c r="E11532" s="1741" t="s">
        <v>428</v>
      </c>
      <c r="F11532" s="1741"/>
      <c r="G11532" s="1277" t="s">
        <v>20</v>
      </c>
      <c r="H11532" s="1219">
        <v>5.0000000000000001E-4</v>
      </c>
      <c r="K11532" s="1192" t="s">
        <v>2506</v>
      </c>
      <c r="L11532" s="1192" t="s">
        <v>2374</v>
      </c>
      <c r="P11532" s="1192" t="s">
        <v>2520</v>
      </c>
      <c r="V11532" s="1192">
        <v>57</v>
      </c>
    </row>
    <row r="11533" spans="1:22" s="1192" customFormat="1" ht="14.4" x14ac:dyDescent="0.3">
      <c r="A11533" s="1192" t="s">
        <v>188</v>
      </c>
      <c r="E11533" s="1741" t="s">
        <v>28</v>
      </c>
      <c r="F11533" s="1741"/>
      <c r="G11533" s="1277" t="s">
        <v>19</v>
      </c>
      <c r="H11533" s="1218">
        <v>0.25</v>
      </c>
      <c r="K11533" s="1192" t="s">
        <v>2506</v>
      </c>
      <c r="L11533" s="1192" t="s">
        <v>2374</v>
      </c>
      <c r="P11533" s="1192" t="s">
        <v>2521</v>
      </c>
      <c r="V11533" s="1192">
        <v>63</v>
      </c>
    </row>
    <row r="11534" spans="1:22" s="1192" customFormat="1" ht="17.399999999999999" x14ac:dyDescent="0.3">
      <c r="A11534" s="1192" t="s">
        <v>188</v>
      </c>
      <c r="E11534" s="1746" t="s">
        <v>2522</v>
      </c>
      <c r="F11534" s="1747"/>
      <c r="G11534" s="1747"/>
      <c r="H11534" s="1747"/>
      <c r="K11534" s="1192" t="s">
        <v>3901</v>
      </c>
      <c r="V11534" s="1192">
        <v>54</v>
      </c>
    </row>
    <row r="11535" spans="1:22" s="1192" customFormat="1" ht="14.4" x14ac:dyDescent="0.3">
      <c r="A11535" s="1192" t="s">
        <v>188</v>
      </c>
      <c r="E11535" s="1743" t="s">
        <v>5004</v>
      </c>
      <c r="F11535" s="1743"/>
      <c r="G11535" s="1743"/>
      <c r="H11535" s="1743"/>
      <c r="K11535" s="1192" t="s">
        <v>3901</v>
      </c>
      <c r="V11535" s="1192">
        <v>334</v>
      </c>
    </row>
    <row r="11536" spans="1:22" s="1192" customFormat="1" ht="14.4" x14ac:dyDescent="0.3">
      <c r="A11536" s="1192" t="s">
        <v>188</v>
      </c>
      <c r="E11536" s="1750" t="s">
        <v>2389</v>
      </c>
      <c r="F11536" s="1743"/>
      <c r="G11536" s="1743"/>
      <c r="H11536" s="1743"/>
      <c r="K11536" s="1192" t="s">
        <v>2412</v>
      </c>
      <c r="V11536" s="1192">
        <v>11</v>
      </c>
    </row>
    <row r="11537" spans="1:22" s="1192" customFormat="1" ht="14.4" x14ac:dyDescent="0.3">
      <c r="A11537" s="1192" t="s">
        <v>188</v>
      </c>
      <c r="E11537" s="1743" t="s">
        <v>2391</v>
      </c>
      <c r="F11537" s="1743"/>
      <c r="G11537" s="1743"/>
      <c r="H11537" s="1743"/>
      <c r="K11537" s="1192" t="s">
        <v>3901</v>
      </c>
      <c r="V11537" s="1192">
        <v>280</v>
      </c>
    </row>
    <row r="11538" spans="1:22" s="1192" customFormat="1" ht="14.4" x14ac:dyDescent="0.3">
      <c r="A11538" s="1192" t="s">
        <v>188</v>
      </c>
      <c r="E11538" s="1743" t="s">
        <v>2392</v>
      </c>
      <c r="F11538" s="1743"/>
      <c r="G11538" s="1743"/>
      <c r="H11538" s="1743"/>
      <c r="K11538" s="1192" t="s">
        <v>3901</v>
      </c>
      <c r="V11538" s="1192">
        <v>411</v>
      </c>
    </row>
    <row r="11539" spans="1:22" s="1192" customFormat="1" ht="14.4" x14ac:dyDescent="0.3">
      <c r="A11539" s="1192" t="s">
        <v>188</v>
      </c>
      <c r="E11539" s="1743" t="s">
        <v>2393</v>
      </c>
      <c r="F11539" s="1743"/>
      <c r="G11539" s="1743"/>
      <c r="H11539" s="1743"/>
      <c r="K11539" s="1192" t="s">
        <v>3901</v>
      </c>
      <c r="V11539" s="1192">
        <v>387</v>
      </c>
    </row>
    <row r="11540" spans="1:22" s="1192" customFormat="1" ht="14.4" x14ac:dyDescent="0.3">
      <c r="A11540" s="1192" t="s">
        <v>188</v>
      </c>
      <c r="E11540" s="1743" t="s">
        <v>4500</v>
      </c>
      <c r="F11540" s="1743"/>
      <c r="G11540" s="1743"/>
      <c r="H11540" s="1743"/>
      <c r="K11540" s="1192" t="s">
        <v>3901</v>
      </c>
      <c r="V11540" s="1192">
        <v>247</v>
      </c>
    </row>
    <row r="11541" spans="1:22" s="1192" customFormat="1" ht="14.4" x14ac:dyDescent="0.3">
      <c r="A11541" s="1192" t="s">
        <v>188</v>
      </c>
      <c r="E11541" s="1750" t="s">
        <v>2394</v>
      </c>
      <c r="F11541" s="1743"/>
      <c r="G11541" s="1743"/>
      <c r="H11541" s="1743"/>
      <c r="K11541" s="1192" t="s">
        <v>2413</v>
      </c>
      <c r="V11541" s="1192">
        <v>46</v>
      </c>
    </row>
    <row r="11542" spans="1:22" s="1192" customFormat="1" ht="14.4" x14ac:dyDescent="0.3">
      <c r="A11542" s="1192" t="s">
        <v>188</v>
      </c>
      <c r="E11542" s="1741" t="s">
        <v>7</v>
      </c>
      <c r="F11542" s="1741"/>
      <c r="G11542" s="1277" t="s">
        <v>19</v>
      </c>
      <c r="H11542" s="1218">
        <v>21.27</v>
      </c>
      <c r="K11542" s="1192" t="s">
        <v>3901</v>
      </c>
      <c r="L11542" s="1192" t="s">
        <v>430</v>
      </c>
      <c r="P11542" s="1192" t="s">
        <v>3902</v>
      </c>
      <c r="V11542" s="1192">
        <v>14</v>
      </c>
    </row>
    <row r="11543" spans="1:22" s="1192" customFormat="1" ht="14.4" x14ac:dyDescent="0.3">
      <c r="A11543" s="1192" t="s">
        <v>188</v>
      </c>
      <c r="E11543" s="1741" t="s">
        <v>6611</v>
      </c>
      <c r="F11543" s="1741"/>
      <c r="G11543" s="1277" t="s">
        <v>19</v>
      </c>
      <c r="H11543" s="1218">
        <v>0.26</v>
      </c>
      <c r="K11543" s="1192" t="s">
        <v>3901</v>
      </c>
      <c r="L11543" s="1192" t="s">
        <v>430</v>
      </c>
      <c r="P11543" s="1192" t="s">
        <v>6208</v>
      </c>
      <c r="V11543" s="1192">
        <v>141</v>
      </c>
    </row>
    <row r="11544" spans="1:22" s="1192" customFormat="1" ht="14.4" x14ac:dyDescent="0.3">
      <c r="A11544" s="1192" t="s">
        <v>188</v>
      </c>
      <c r="E11544" s="2183" t="s">
        <v>3900</v>
      </c>
      <c r="F11544" s="1741"/>
      <c r="G11544" s="1277" t="s">
        <v>19</v>
      </c>
      <c r="H11544" s="1218">
        <v>0.56999999999999995</v>
      </c>
      <c r="K11544" s="1192" t="s">
        <v>3901</v>
      </c>
      <c r="L11544" s="1192" t="s">
        <v>431</v>
      </c>
      <c r="P11544" s="1192" t="s">
        <v>3903</v>
      </c>
      <c r="T11544" s="1192">
        <v>44926</v>
      </c>
      <c r="V11544" s="1192">
        <v>64</v>
      </c>
    </row>
    <row r="11545" spans="1:22" s="1192" customFormat="1" ht="14.4" x14ac:dyDescent="0.3">
      <c r="A11545" s="1192" t="s">
        <v>188</v>
      </c>
      <c r="E11545" s="1741" t="s">
        <v>80</v>
      </c>
      <c r="F11545" s="1741"/>
      <c r="G11545" s="1277" t="s">
        <v>20</v>
      </c>
      <c r="H11545" s="1219">
        <v>2.5499999999999998E-2</v>
      </c>
      <c r="K11545" s="1192" t="s">
        <v>3901</v>
      </c>
      <c r="L11545" s="1192" t="s">
        <v>430</v>
      </c>
      <c r="P11545" s="1192" t="s">
        <v>3904</v>
      </c>
      <c r="V11545" s="1192">
        <v>28</v>
      </c>
    </row>
    <row r="11546" spans="1:22" s="1192" customFormat="1" ht="14.4" x14ac:dyDescent="0.3">
      <c r="A11546" s="1192" t="s">
        <v>188</v>
      </c>
      <c r="E11546" s="1741" t="s">
        <v>6611</v>
      </c>
      <c r="F11546" s="1741"/>
      <c r="G11546" s="1277" t="s">
        <v>20</v>
      </c>
      <c r="H11546" s="1219">
        <v>2.9999999999999997E-4</v>
      </c>
      <c r="K11546" s="1192" t="s">
        <v>3901</v>
      </c>
      <c r="L11546" s="1192" t="s">
        <v>430</v>
      </c>
      <c r="P11546" s="1192" t="s">
        <v>6613</v>
      </c>
      <c r="V11546" s="1192">
        <v>141</v>
      </c>
    </row>
    <row r="11547" spans="1:22" s="1192" customFormat="1" ht="14.4" x14ac:dyDescent="0.3">
      <c r="A11547" s="1192" t="s">
        <v>188</v>
      </c>
      <c r="E11547" s="1741" t="s">
        <v>213</v>
      </c>
      <c r="F11547" s="1741"/>
      <c r="G11547" s="1277" t="s">
        <v>20</v>
      </c>
      <c r="H11547" s="1219">
        <v>6.0000000000000001E-3</v>
      </c>
      <c r="K11547" s="1192" t="s">
        <v>3901</v>
      </c>
      <c r="L11547" s="1192" t="s">
        <v>432</v>
      </c>
      <c r="P11547" s="1192" t="s">
        <v>3906</v>
      </c>
      <c r="V11547" s="1192">
        <v>47</v>
      </c>
    </row>
    <row r="11548" spans="1:22" s="1192" customFormat="1" ht="14.4" x14ac:dyDescent="0.3">
      <c r="A11548" s="1192" t="s">
        <v>188</v>
      </c>
      <c r="E11548" s="1750" t="s">
        <v>2405</v>
      </c>
      <c r="F11548" s="1741"/>
      <c r="G11548" s="1277"/>
      <c r="H11548" s="896"/>
      <c r="K11548" s="1192" t="s">
        <v>2418</v>
      </c>
      <c r="V11548" s="1192">
        <v>48</v>
      </c>
    </row>
    <row r="11549" spans="1:22" s="1192" customFormat="1" ht="14.4" x14ac:dyDescent="0.3">
      <c r="A11549" s="1192" t="s">
        <v>188</v>
      </c>
      <c r="E11549" s="1741" t="s">
        <v>5003</v>
      </c>
      <c r="F11549" s="1741"/>
      <c r="G11549" s="1277" t="s">
        <v>20</v>
      </c>
      <c r="H11549" s="1219">
        <v>-4.0000000000000002E-4</v>
      </c>
      <c r="K11549" s="1192" t="s">
        <v>3901</v>
      </c>
      <c r="L11549" s="1192" t="s">
        <v>431</v>
      </c>
      <c r="P11549" s="1192" t="s">
        <v>6614</v>
      </c>
      <c r="V11549" s="1192">
        <v>45</v>
      </c>
    </row>
    <row r="11550" spans="1:22" s="1192" customFormat="1" ht="14.4" x14ac:dyDescent="0.3">
      <c r="A11550" s="1192" t="s">
        <v>188</v>
      </c>
      <c r="E11550" s="1741" t="s">
        <v>2033</v>
      </c>
      <c r="F11550" s="1741"/>
      <c r="G11550" s="1277" t="s">
        <v>20</v>
      </c>
      <c r="H11550" s="1219">
        <v>3.0000000000000001E-3</v>
      </c>
      <c r="K11550" s="1192" t="s">
        <v>3901</v>
      </c>
      <c r="L11550" s="1192" t="s">
        <v>2374</v>
      </c>
      <c r="P11550" s="1192" t="s">
        <v>3908</v>
      </c>
      <c r="V11550" s="1192">
        <v>55</v>
      </c>
    </row>
    <row r="11551" spans="1:22" s="1192" customFormat="1" ht="14.4" x14ac:dyDescent="0.3">
      <c r="A11551" s="1192" t="s">
        <v>188</v>
      </c>
      <c r="E11551" s="1741" t="s">
        <v>2034</v>
      </c>
      <c r="F11551" s="1741"/>
      <c r="G11551" s="1277" t="s">
        <v>20</v>
      </c>
      <c r="H11551" s="1219">
        <v>4.0000000000000002E-4</v>
      </c>
      <c r="K11551" s="1192" t="s">
        <v>3901</v>
      </c>
      <c r="L11551" s="1192" t="s">
        <v>2374</v>
      </c>
      <c r="P11551" s="1192" t="s">
        <v>3908</v>
      </c>
      <c r="V11551" s="1192">
        <v>65</v>
      </c>
    </row>
    <row r="11552" spans="1:22" s="1192" customFormat="1" ht="14.4" x14ac:dyDescent="0.3">
      <c r="A11552" s="1192" t="s">
        <v>188</v>
      </c>
      <c r="E11552" s="1741" t="s">
        <v>428</v>
      </c>
      <c r="F11552" s="1741"/>
      <c r="G11552" s="1277" t="s">
        <v>20</v>
      </c>
      <c r="H11552" s="1219">
        <v>5.0000000000000001E-4</v>
      </c>
      <c r="K11552" s="1192" t="s">
        <v>3901</v>
      </c>
      <c r="L11552" s="1192" t="s">
        <v>2374</v>
      </c>
      <c r="P11552" s="1192" t="s">
        <v>3909</v>
      </c>
      <c r="V11552" s="1192">
        <v>57</v>
      </c>
    </row>
    <row r="11553" spans="1:22" s="1192" customFormat="1" ht="14.4" x14ac:dyDescent="0.3">
      <c r="A11553" s="1192" t="s">
        <v>188</v>
      </c>
      <c r="E11553" s="1741" t="s">
        <v>28</v>
      </c>
      <c r="F11553" s="1741"/>
      <c r="G11553" s="1277" t="s">
        <v>19</v>
      </c>
      <c r="H11553" s="1218">
        <v>0.25</v>
      </c>
      <c r="K11553" s="1192" t="s">
        <v>3901</v>
      </c>
      <c r="L11553" s="1192" t="s">
        <v>2374</v>
      </c>
      <c r="P11553" s="1192" t="s">
        <v>3910</v>
      </c>
      <c r="V11553" s="1192">
        <v>63</v>
      </c>
    </row>
    <row r="11554" spans="1:22" s="1192" customFormat="1" ht="17.399999999999999" x14ac:dyDescent="0.3">
      <c r="A11554" s="1192" t="s">
        <v>188</v>
      </c>
      <c r="E11554" s="1746" t="s">
        <v>591</v>
      </c>
      <c r="F11554" s="1747"/>
      <c r="G11554" s="1747"/>
      <c r="H11554" s="1747"/>
      <c r="K11554" s="1192" t="s">
        <v>4388</v>
      </c>
      <c r="V11554" s="1192">
        <v>53</v>
      </c>
    </row>
    <row r="11555" spans="1:22" s="1192" customFormat="1" ht="14.4" x14ac:dyDescent="0.3">
      <c r="A11555" s="1192" t="s">
        <v>188</v>
      </c>
      <c r="E11555" s="1743" t="s">
        <v>5005</v>
      </c>
      <c r="F11555" s="1743"/>
      <c r="G11555" s="1743"/>
      <c r="H11555" s="1743"/>
      <c r="K11555" s="1192" t="s">
        <v>4388</v>
      </c>
      <c r="V11555" s="1192">
        <v>409</v>
      </c>
    </row>
    <row r="11556" spans="1:22" s="1192" customFormat="1" ht="14.4" x14ac:dyDescent="0.3">
      <c r="A11556" s="1192" t="s">
        <v>188</v>
      </c>
      <c r="E11556" s="1750" t="s">
        <v>2389</v>
      </c>
      <c r="F11556" s="1743"/>
      <c r="G11556" s="1743"/>
      <c r="H11556" s="1743"/>
      <c r="K11556" s="1192" t="s">
        <v>2422</v>
      </c>
      <c r="V11556" s="1192">
        <v>11</v>
      </c>
    </row>
    <row r="11557" spans="1:22" s="1192" customFormat="1" ht="14.4" x14ac:dyDescent="0.3">
      <c r="A11557" s="1192" t="s">
        <v>188</v>
      </c>
      <c r="E11557" s="1743" t="s">
        <v>2391</v>
      </c>
      <c r="F11557" s="1743"/>
      <c r="G11557" s="1743"/>
      <c r="H11557" s="1743"/>
      <c r="K11557" s="1192" t="s">
        <v>4388</v>
      </c>
      <c r="V11557" s="1192">
        <v>280</v>
      </c>
    </row>
    <row r="11558" spans="1:22" s="1192" customFormat="1" ht="14.4" x14ac:dyDescent="0.3">
      <c r="A11558" s="1192" t="s">
        <v>188</v>
      </c>
      <c r="E11558" s="1743" t="s">
        <v>2392</v>
      </c>
      <c r="F11558" s="1743"/>
      <c r="G11558" s="1743"/>
      <c r="H11558" s="1743"/>
      <c r="K11558" s="1192" t="s">
        <v>4388</v>
      </c>
      <c r="V11558" s="1192">
        <v>411</v>
      </c>
    </row>
    <row r="11559" spans="1:22" s="1192" customFormat="1" ht="14.4" x14ac:dyDescent="0.3">
      <c r="A11559" s="1192" t="s">
        <v>188</v>
      </c>
      <c r="E11559" s="1743" t="s">
        <v>2393</v>
      </c>
      <c r="F11559" s="1743"/>
      <c r="G11559" s="1743"/>
      <c r="H11559" s="1743"/>
      <c r="K11559" s="1192" t="s">
        <v>4388</v>
      </c>
      <c r="V11559" s="1192">
        <v>387</v>
      </c>
    </row>
    <row r="11560" spans="1:22" s="1192" customFormat="1" ht="14.4" x14ac:dyDescent="0.3">
      <c r="A11560" s="1192" t="s">
        <v>188</v>
      </c>
      <c r="E11560" s="1743" t="s">
        <v>4503</v>
      </c>
      <c r="F11560" s="1743"/>
      <c r="G11560" s="1743"/>
      <c r="H11560" s="1743"/>
      <c r="K11560" s="1192" t="s">
        <v>4388</v>
      </c>
      <c r="V11560" s="1192">
        <v>677</v>
      </c>
    </row>
    <row r="11561" spans="1:22" s="1192" customFormat="1" ht="14.4" x14ac:dyDescent="0.3">
      <c r="A11561" s="1192" t="s">
        <v>188</v>
      </c>
      <c r="E11561" s="1743" t="s">
        <v>4644</v>
      </c>
      <c r="F11561" s="1743"/>
      <c r="G11561" s="1743"/>
      <c r="H11561" s="1743"/>
      <c r="K11561" s="1192" t="s">
        <v>4388</v>
      </c>
      <c r="V11561" s="1192">
        <v>693</v>
      </c>
    </row>
    <row r="11562" spans="1:22" s="1192" customFormat="1" ht="14.4" x14ac:dyDescent="0.3">
      <c r="A11562" s="1192" t="s">
        <v>188</v>
      </c>
      <c r="E11562" s="1743" t="s">
        <v>4500</v>
      </c>
      <c r="F11562" s="1743"/>
      <c r="G11562" s="1743"/>
      <c r="H11562" s="1743"/>
      <c r="K11562" s="1192" t="s">
        <v>4388</v>
      </c>
      <c r="V11562" s="1192">
        <v>247</v>
      </c>
    </row>
    <row r="11563" spans="1:22" s="1192" customFormat="1" ht="14.4" x14ac:dyDescent="0.3">
      <c r="A11563" s="1192" t="s">
        <v>188</v>
      </c>
      <c r="E11563" s="1750" t="s">
        <v>2394</v>
      </c>
      <c r="F11563" s="1743"/>
      <c r="G11563" s="1743"/>
      <c r="H11563" s="1743"/>
      <c r="K11563" s="1192" t="s">
        <v>2423</v>
      </c>
      <c r="V11563" s="1192">
        <v>46</v>
      </c>
    </row>
    <row r="11564" spans="1:22" s="1192" customFormat="1" ht="14.4" x14ac:dyDescent="0.3">
      <c r="A11564" s="1192" t="s">
        <v>188</v>
      </c>
      <c r="E11564" s="1741" t="s">
        <v>7</v>
      </c>
      <c r="F11564" s="1741"/>
      <c r="G11564" s="1277" t="s">
        <v>19</v>
      </c>
      <c r="H11564" s="1218">
        <v>117.45</v>
      </c>
      <c r="K11564" s="1192" t="s">
        <v>4388</v>
      </c>
      <c r="L11564" s="1192" t="s">
        <v>430</v>
      </c>
      <c r="P11564" s="1192" t="s">
        <v>4389</v>
      </c>
      <c r="V11564" s="1192">
        <v>14</v>
      </c>
    </row>
    <row r="11565" spans="1:22" s="1192" customFormat="1" ht="14.4" x14ac:dyDescent="0.3">
      <c r="A11565" s="1192" t="s">
        <v>188</v>
      </c>
      <c r="E11565" s="1741" t="s">
        <v>6611</v>
      </c>
      <c r="F11565" s="1741"/>
      <c r="G11565" s="1277" t="s">
        <v>19</v>
      </c>
      <c r="H11565" s="1218">
        <v>1.41</v>
      </c>
      <c r="K11565" s="1192" t="s">
        <v>4388</v>
      </c>
      <c r="L11565" s="1192" t="s">
        <v>430</v>
      </c>
      <c r="P11565" s="1192" t="s">
        <v>6210</v>
      </c>
      <c r="V11565" s="1192">
        <v>141</v>
      </c>
    </row>
    <row r="11566" spans="1:22" s="1192" customFormat="1" ht="14.4" x14ac:dyDescent="0.3">
      <c r="A11566" s="1192" t="s">
        <v>188</v>
      </c>
      <c r="E11566" s="1741" t="s">
        <v>80</v>
      </c>
      <c r="F11566" s="1741"/>
      <c r="G11566" s="1277" t="s">
        <v>29</v>
      </c>
      <c r="H11566" s="1219">
        <v>6.9055999999999997</v>
      </c>
      <c r="K11566" s="1192" t="s">
        <v>4388</v>
      </c>
      <c r="L11566" s="1192" t="s">
        <v>430</v>
      </c>
      <c r="P11566" s="1192" t="s">
        <v>4390</v>
      </c>
      <c r="V11566" s="1192">
        <v>28</v>
      </c>
    </row>
    <row r="11567" spans="1:22" s="1192" customFormat="1" ht="14.4" x14ac:dyDescent="0.3">
      <c r="A11567" s="1192" t="s">
        <v>188</v>
      </c>
      <c r="E11567" s="1741" t="s">
        <v>6611</v>
      </c>
      <c r="F11567" s="1741"/>
      <c r="G11567" s="1277" t="s">
        <v>29</v>
      </c>
      <c r="H11567" s="1219">
        <v>8.3199999999999996E-2</v>
      </c>
      <c r="K11567" s="1192" t="s">
        <v>4388</v>
      </c>
      <c r="L11567" s="1192" t="s">
        <v>430</v>
      </c>
      <c r="P11567" s="1192" t="s">
        <v>6615</v>
      </c>
      <c r="V11567" s="1192">
        <v>141</v>
      </c>
    </row>
    <row r="11568" spans="1:22" s="1192" customFormat="1" ht="14.4" x14ac:dyDescent="0.3">
      <c r="A11568" s="1192" t="s">
        <v>188</v>
      </c>
      <c r="E11568" s="1741" t="s">
        <v>213</v>
      </c>
      <c r="F11568" s="1741"/>
      <c r="G11568" s="1277" t="s">
        <v>29</v>
      </c>
      <c r="H11568" s="1219">
        <v>2.4136000000000002</v>
      </c>
      <c r="K11568" s="1192" t="s">
        <v>4388</v>
      </c>
      <c r="L11568" s="1192" t="s">
        <v>432</v>
      </c>
      <c r="P11568" s="1192" t="s">
        <v>4392</v>
      </c>
      <c r="V11568" s="1192">
        <v>47</v>
      </c>
    </row>
    <row r="11569" spans="1:22" s="1192" customFormat="1" ht="14.4" x14ac:dyDescent="0.3">
      <c r="A11569" s="1192" t="s">
        <v>188</v>
      </c>
      <c r="E11569" s="1741" t="s">
        <v>215</v>
      </c>
      <c r="F11569" s="1741"/>
      <c r="G11569" s="1277" t="s">
        <v>29</v>
      </c>
      <c r="H11569" s="1219">
        <v>3.0354999999999999</v>
      </c>
      <c r="K11569" s="1192" t="s">
        <v>4388</v>
      </c>
      <c r="L11569" s="1192" t="s">
        <v>432</v>
      </c>
      <c r="P11569" s="1192" t="s">
        <v>4392</v>
      </c>
      <c r="V11569" s="1192">
        <v>66</v>
      </c>
    </row>
    <row r="11570" spans="1:22" s="1192" customFormat="1" ht="14.4" x14ac:dyDescent="0.3">
      <c r="A11570" s="1192" t="s">
        <v>188</v>
      </c>
      <c r="E11570" s="1750" t="s">
        <v>2405</v>
      </c>
      <c r="F11570" s="1741"/>
      <c r="G11570" s="1277"/>
      <c r="H11570" s="896"/>
      <c r="K11570" s="1192" t="s">
        <v>2526</v>
      </c>
      <c r="V11570" s="1192">
        <v>48</v>
      </c>
    </row>
    <row r="11571" spans="1:22" s="1192" customFormat="1" ht="14.4" x14ac:dyDescent="0.3">
      <c r="A11571" s="1192" t="s">
        <v>188</v>
      </c>
      <c r="E11571" s="1741" t="s">
        <v>5006</v>
      </c>
      <c r="F11571" s="1741"/>
      <c r="G11571" s="1277" t="s">
        <v>20</v>
      </c>
      <c r="H11571" s="1219">
        <v>-4.0000000000000002E-4</v>
      </c>
      <c r="K11571" s="1192" t="s">
        <v>4388</v>
      </c>
      <c r="L11571" s="1192" t="s">
        <v>431</v>
      </c>
      <c r="P11571" s="1192" t="s">
        <v>6616</v>
      </c>
      <c r="V11571" s="1192">
        <v>46</v>
      </c>
    </row>
    <row r="11572" spans="1:22" s="1192" customFormat="1" ht="14.4" x14ac:dyDescent="0.3">
      <c r="A11572" s="1192" t="s">
        <v>188</v>
      </c>
      <c r="E11572" s="1741" t="s">
        <v>2033</v>
      </c>
      <c r="F11572" s="1741"/>
      <c r="G11572" s="1277" t="s">
        <v>20</v>
      </c>
      <c r="H11572" s="1219">
        <v>3.0000000000000001E-3</v>
      </c>
      <c r="K11572" s="1192" t="s">
        <v>4388</v>
      </c>
      <c r="L11572" s="1192" t="s">
        <v>2374</v>
      </c>
      <c r="P11572" s="1192" t="s">
        <v>4394</v>
      </c>
      <c r="V11572" s="1192">
        <v>55</v>
      </c>
    </row>
    <row r="11573" spans="1:22" s="1192" customFormat="1" ht="14.4" x14ac:dyDescent="0.3">
      <c r="A11573" s="1192" t="s">
        <v>188</v>
      </c>
      <c r="E11573" s="1741" t="s">
        <v>2034</v>
      </c>
      <c r="F11573" s="1741"/>
      <c r="G11573" s="1277" t="s">
        <v>20</v>
      </c>
      <c r="H11573" s="1219">
        <v>4.0000000000000002E-4</v>
      </c>
      <c r="K11573" s="1192" t="s">
        <v>4388</v>
      </c>
      <c r="L11573" s="1192" t="s">
        <v>2374</v>
      </c>
      <c r="P11573" s="1192" t="s">
        <v>4394</v>
      </c>
      <c r="V11573" s="1192">
        <v>65</v>
      </c>
    </row>
    <row r="11574" spans="1:22" s="1192" customFormat="1" ht="14.4" x14ac:dyDescent="0.3">
      <c r="A11574" s="1192" t="s">
        <v>188</v>
      </c>
      <c r="E11574" s="1741" t="s">
        <v>428</v>
      </c>
      <c r="F11574" s="1741"/>
      <c r="G11574" s="1277" t="s">
        <v>20</v>
      </c>
      <c r="H11574" s="1219">
        <v>5.0000000000000001E-4</v>
      </c>
      <c r="K11574" s="1192" t="s">
        <v>4388</v>
      </c>
      <c r="L11574" s="1192" t="s">
        <v>2374</v>
      </c>
      <c r="P11574" s="1192" t="s">
        <v>4395</v>
      </c>
      <c r="V11574" s="1192">
        <v>57</v>
      </c>
    </row>
    <row r="11575" spans="1:22" s="1192" customFormat="1" ht="14.4" x14ac:dyDescent="0.3">
      <c r="A11575" s="1192" t="s">
        <v>188</v>
      </c>
      <c r="E11575" s="1741" t="s">
        <v>28</v>
      </c>
      <c r="F11575" s="1741"/>
      <c r="G11575" s="1277" t="s">
        <v>19</v>
      </c>
      <c r="H11575" s="1218">
        <v>0.25</v>
      </c>
      <c r="K11575" s="1192" t="s">
        <v>4388</v>
      </c>
      <c r="L11575" s="1192" t="s">
        <v>2374</v>
      </c>
      <c r="P11575" s="1192" t="s">
        <v>4396</v>
      </c>
      <c r="V11575" s="1192">
        <v>63</v>
      </c>
    </row>
    <row r="11576" spans="1:22" s="1192" customFormat="1" ht="17.399999999999999" x14ac:dyDescent="0.3">
      <c r="A11576" s="1192" t="s">
        <v>188</v>
      </c>
      <c r="E11576" s="1746" t="s">
        <v>592</v>
      </c>
      <c r="F11576" s="1747"/>
      <c r="G11576" s="1747"/>
      <c r="H11576" s="1747"/>
      <c r="K11576" s="1192" t="s">
        <v>2676</v>
      </c>
      <c r="V11576" s="1192">
        <v>47</v>
      </c>
    </row>
    <row r="11577" spans="1:22" s="1192" customFormat="1" ht="14.4" x14ac:dyDescent="0.3">
      <c r="A11577" s="1192" t="s">
        <v>188</v>
      </c>
      <c r="E11577" s="1743" t="s">
        <v>5007</v>
      </c>
      <c r="F11577" s="1743"/>
      <c r="G11577" s="1743"/>
      <c r="H11577" s="1743"/>
      <c r="K11577" s="1192" t="s">
        <v>2676</v>
      </c>
      <c r="V11577" s="1192">
        <v>624</v>
      </c>
    </row>
    <row r="11578" spans="1:22" s="1192" customFormat="1" ht="14.4" x14ac:dyDescent="0.3">
      <c r="A11578" s="1192" t="s">
        <v>188</v>
      </c>
      <c r="E11578" s="1750" t="s">
        <v>2389</v>
      </c>
      <c r="F11578" s="1743"/>
      <c r="G11578" s="1743"/>
      <c r="H11578" s="1743"/>
      <c r="K11578" s="1192" t="s">
        <v>2529</v>
      </c>
      <c r="V11578" s="1192">
        <v>11</v>
      </c>
    </row>
    <row r="11579" spans="1:22" s="1192" customFormat="1" ht="14.4" x14ac:dyDescent="0.3">
      <c r="A11579" s="1192" t="s">
        <v>188</v>
      </c>
      <c r="E11579" s="1743" t="s">
        <v>2391</v>
      </c>
      <c r="F11579" s="1743"/>
      <c r="G11579" s="1743"/>
      <c r="H11579" s="1743"/>
      <c r="K11579" s="1192" t="s">
        <v>2676</v>
      </c>
      <c r="V11579" s="1192">
        <v>280</v>
      </c>
    </row>
    <row r="11580" spans="1:22" s="1192" customFormat="1" ht="14.4" x14ac:dyDescent="0.3">
      <c r="A11580" s="1192" t="s">
        <v>188</v>
      </c>
      <c r="E11580" s="1743" t="s">
        <v>2392</v>
      </c>
      <c r="F11580" s="1743"/>
      <c r="G11580" s="1743"/>
      <c r="H11580" s="1743"/>
      <c r="K11580" s="1192" t="s">
        <v>2676</v>
      </c>
      <c r="V11580" s="1192">
        <v>411</v>
      </c>
    </row>
    <row r="11581" spans="1:22" s="1192" customFormat="1" ht="14.4" x14ac:dyDescent="0.3">
      <c r="A11581" s="1192" t="s">
        <v>188</v>
      </c>
      <c r="E11581" s="1743" t="s">
        <v>2393</v>
      </c>
      <c r="F11581" s="1743"/>
      <c r="G11581" s="1743"/>
      <c r="H11581" s="1743"/>
      <c r="K11581" s="1192" t="s">
        <v>2676</v>
      </c>
      <c r="V11581" s="1192">
        <v>387</v>
      </c>
    </row>
    <row r="11582" spans="1:22" s="1192" customFormat="1" ht="14.4" x14ac:dyDescent="0.3">
      <c r="A11582" s="1192" t="s">
        <v>188</v>
      </c>
      <c r="E11582" s="1743" t="s">
        <v>4500</v>
      </c>
      <c r="F11582" s="1743"/>
      <c r="G11582" s="1743"/>
      <c r="H11582" s="1743"/>
      <c r="K11582" s="1192" t="s">
        <v>2676</v>
      </c>
      <c r="V11582" s="1192">
        <v>247</v>
      </c>
    </row>
    <row r="11583" spans="1:22" s="1192" customFormat="1" ht="14.4" x14ac:dyDescent="0.3">
      <c r="A11583" s="1192" t="s">
        <v>188</v>
      </c>
      <c r="E11583" s="1750" t="s">
        <v>2394</v>
      </c>
      <c r="F11583" s="1743"/>
      <c r="G11583" s="1743"/>
      <c r="H11583" s="1743"/>
      <c r="K11583" s="1192" t="s">
        <v>2531</v>
      </c>
      <c r="V11583" s="1192">
        <v>46</v>
      </c>
    </row>
    <row r="11584" spans="1:22" s="1192" customFormat="1" ht="14.4" x14ac:dyDescent="0.3">
      <c r="A11584" s="1192" t="s">
        <v>188</v>
      </c>
      <c r="E11584" s="1741" t="s">
        <v>7</v>
      </c>
      <c r="F11584" s="1741"/>
      <c r="G11584" s="1277" t="s">
        <v>19</v>
      </c>
      <c r="H11584" s="1218">
        <v>13.02</v>
      </c>
      <c r="K11584" s="1192" t="s">
        <v>2676</v>
      </c>
      <c r="L11584" s="1192" t="s">
        <v>430</v>
      </c>
      <c r="P11584" s="1192" t="s">
        <v>2678</v>
      </c>
      <c r="V11584" s="1192">
        <v>14</v>
      </c>
    </row>
    <row r="11585" spans="1:22" s="1192" customFormat="1" ht="14.4" x14ac:dyDescent="0.3">
      <c r="A11585" s="1192" t="s">
        <v>188</v>
      </c>
      <c r="E11585" s="1741" t="s">
        <v>6611</v>
      </c>
      <c r="F11585" s="1741"/>
      <c r="G11585" s="1277" t="s">
        <v>19</v>
      </c>
      <c r="H11585" s="1218">
        <v>0.16</v>
      </c>
      <c r="K11585" s="1192" t="s">
        <v>2676</v>
      </c>
      <c r="L11585" s="1192" t="s">
        <v>430</v>
      </c>
      <c r="P11585" s="1192" t="s">
        <v>6212</v>
      </c>
      <c r="V11585" s="1192">
        <v>141</v>
      </c>
    </row>
    <row r="11586" spans="1:22" s="1192" customFormat="1" ht="14.4" x14ac:dyDescent="0.3">
      <c r="A11586" s="1192" t="s">
        <v>188</v>
      </c>
      <c r="E11586" s="1741" t="s">
        <v>80</v>
      </c>
      <c r="F11586" s="1741"/>
      <c r="G11586" s="1277" t="s">
        <v>20</v>
      </c>
      <c r="H11586" s="1219">
        <v>3.9300000000000002E-2</v>
      </c>
      <c r="K11586" s="1192" t="s">
        <v>2676</v>
      </c>
      <c r="L11586" s="1192" t="s">
        <v>430</v>
      </c>
      <c r="P11586" s="1192" t="s">
        <v>2679</v>
      </c>
      <c r="V11586" s="1192">
        <v>28</v>
      </c>
    </row>
    <row r="11587" spans="1:22" s="1192" customFormat="1" ht="14.4" x14ac:dyDescent="0.3">
      <c r="A11587" s="1192" t="s">
        <v>188</v>
      </c>
      <c r="E11587" s="1741" t="s">
        <v>6611</v>
      </c>
      <c r="F11587" s="1741"/>
      <c r="G11587" s="1277" t="s">
        <v>20</v>
      </c>
      <c r="H11587" s="1219">
        <v>5.0000000000000001E-4</v>
      </c>
      <c r="K11587" s="1192" t="s">
        <v>2676</v>
      </c>
      <c r="L11587" s="1192" t="s">
        <v>430</v>
      </c>
      <c r="P11587" s="1192" t="s">
        <v>6617</v>
      </c>
      <c r="V11587" s="1192">
        <v>141</v>
      </c>
    </row>
    <row r="11588" spans="1:22" s="1192" customFormat="1" ht="14.4" x14ac:dyDescent="0.3">
      <c r="A11588" s="1192" t="s">
        <v>188</v>
      </c>
      <c r="E11588" s="1741" t="s">
        <v>213</v>
      </c>
      <c r="F11588" s="1741"/>
      <c r="G11588" s="1277" t="s">
        <v>20</v>
      </c>
      <c r="H11588" s="1219">
        <v>6.0000000000000001E-3</v>
      </c>
      <c r="K11588" s="1192" t="s">
        <v>2676</v>
      </c>
      <c r="L11588" s="1192" t="s">
        <v>432</v>
      </c>
      <c r="P11588" s="1192" t="s">
        <v>2682</v>
      </c>
      <c r="V11588" s="1192">
        <v>47</v>
      </c>
    </row>
    <row r="11589" spans="1:22" s="1192" customFormat="1" ht="14.4" x14ac:dyDescent="0.3">
      <c r="A11589" s="1192" t="s">
        <v>188</v>
      </c>
      <c r="E11589" s="1750" t="s">
        <v>2405</v>
      </c>
      <c r="F11589" s="1741"/>
      <c r="G11589" s="1277"/>
      <c r="H11589" s="896"/>
      <c r="K11589" s="1192" t="s">
        <v>2532</v>
      </c>
      <c r="V11589" s="1192">
        <v>48</v>
      </c>
    </row>
    <row r="11590" spans="1:22" s="1192" customFormat="1" ht="14.4" x14ac:dyDescent="0.3">
      <c r="A11590" s="1192" t="s">
        <v>188</v>
      </c>
      <c r="E11590" s="1741" t="s">
        <v>5006</v>
      </c>
      <c r="F11590" s="1741"/>
      <c r="G11590" s="1277" t="s">
        <v>20</v>
      </c>
      <c r="H11590" s="1219">
        <v>-4.0000000000000002E-4</v>
      </c>
      <c r="K11590" s="1192" t="s">
        <v>2676</v>
      </c>
      <c r="L11590" s="1192" t="s">
        <v>431</v>
      </c>
      <c r="P11590" s="1192" t="s">
        <v>6618</v>
      </c>
      <c r="V11590" s="1192">
        <v>46</v>
      </c>
    </row>
    <row r="11591" spans="1:22" s="1192" customFormat="1" ht="14.4" x14ac:dyDescent="0.3">
      <c r="A11591" s="1192" t="s">
        <v>188</v>
      </c>
      <c r="E11591" s="1741" t="s">
        <v>2033</v>
      </c>
      <c r="F11591" s="1741"/>
      <c r="G11591" s="1277" t="s">
        <v>20</v>
      </c>
      <c r="H11591" s="1219">
        <v>3.0000000000000001E-3</v>
      </c>
      <c r="K11591" s="1192" t="s">
        <v>2676</v>
      </c>
      <c r="L11591" s="1192" t="s">
        <v>2374</v>
      </c>
      <c r="P11591" s="1192" t="s">
        <v>2684</v>
      </c>
      <c r="V11591" s="1192">
        <v>55</v>
      </c>
    </row>
    <row r="11592" spans="1:22" s="1192" customFormat="1" ht="14.4" x14ac:dyDescent="0.3">
      <c r="A11592" s="1192" t="s">
        <v>188</v>
      </c>
      <c r="E11592" s="1741" t="s">
        <v>2034</v>
      </c>
      <c r="F11592" s="1741"/>
      <c r="G11592" s="1277" t="s">
        <v>20</v>
      </c>
      <c r="H11592" s="1219">
        <v>4.0000000000000002E-4</v>
      </c>
      <c r="K11592" s="1192" t="s">
        <v>2676</v>
      </c>
      <c r="L11592" s="1192" t="s">
        <v>2374</v>
      </c>
      <c r="P11592" s="1192" t="s">
        <v>2684</v>
      </c>
      <c r="V11592" s="1192">
        <v>65</v>
      </c>
    </row>
    <row r="11593" spans="1:22" s="1192" customFormat="1" ht="14.4" x14ac:dyDescent="0.3">
      <c r="A11593" s="1192" t="s">
        <v>188</v>
      </c>
      <c r="E11593" s="1741" t="s">
        <v>428</v>
      </c>
      <c r="F11593" s="1741"/>
      <c r="G11593" s="1277" t="s">
        <v>20</v>
      </c>
      <c r="H11593" s="1219">
        <v>5.0000000000000001E-4</v>
      </c>
      <c r="K11593" s="1192" t="s">
        <v>2676</v>
      </c>
      <c r="L11593" s="1192" t="s">
        <v>2374</v>
      </c>
      <c r="P11593" s="1192" t="s">
        <v>2685</v>
      </c>
      <c r="V11593" s="1192">
        <v>57</v>
      </c>
    </row>
    <row r="11594" spans="1:22" s="1192" customFormat="1" ht="14.4" x14ac:dyDescent="0.3">
      <c r="A11594" s="1192" t="s">
        <v>188</v>
      </c>
      <c r="E11594" s="1741" t="s">
        <v>28</v>
      </c>
      <c r="F11594" s="1741"/>
      <c r="G11594" s="1277" t="s">
        <v>19</v>
      </c>
      <c r="H11594" s="1218">
        <v>0.25</v>
      </c>
      <c r="K11594" s="1192" t="s">
        <v>2676</v>
      </c>
      <c r="L11594" s="1192" t="s">
        <v>2374</v>
      </c>
      <c r="P11594" s="1192" t="s">
        <v>2686</v>
      </c>
      <c r="V11594" s="1192">
        <v>63</v>
      </c>
    </row>
    <row r="11595" spans="1:22" s="1192" customFormat="1" ht="17.399999999999999" x14ac:dyDescent="0.3">
      <c r="A11595" s="1192" t="s">
        <v>188</v>
      </c>
      <c r="E11595" s="1746" t="s">
        <v>604</v>
      </c>
      <c r="F11595" s="1747"/>
      <c r="G11595" s="1747"/>
      <c r="H11595" s="1747"/>
      <c r="K11595" s="1192" t="s">
        <v>2823</v>
      </c>
      <c r="V11595" s="1192">
        <v>40</v>
      </c>
    </row>
    <row r="11596" spans="1:22" s="1192" customFormat="1" ht="14.4" x14ac:dyDescent="0.3">
      <c r="A11596" s="1192" t="s">
        <v>188</v>
      </c>
      <c r="E11596" s="1743" t="s">
        <v>5008</v>
      </c>
      <c r="F11596" s="1743"/>
      <c r="G11596" s="1743"/>
      <c r="H11596" s="1743"/>
      <c r="K11596" s="1192" t="s">
        <v>2823</v>
      </c>
      <c r="V11596" s="1192">
        <v>391</v>
      </c>
    </row>
    <row r="11597" spans="1:22" s="1192" customFormat="1" ht="14.4" x14ac:dyDescent="0.3">
      <c r="A11597" s="1192" t="s">
        <v>188</v>
      </c>
      <c r="E11597" s="1750" t="s">
        <v>2389</v>
      </c>
      <c r="F11597" s="1743"/>
      <c r="G11597" s="1743"/>
      <c r="H11597" s="1743"/>
      <c r="K11597" s="1192" t="s">
        <v>2424</v>
      </c>
      <c r="V11597" s="1192">
        <v>11</v>
      </c>
    </row>
    <row r="11598" spans="1:22" s="1192" customFormat="1" ht="14.4" x14ac:dyDescent="0.3">
      <c r="A11598" s="1192" t="s">
        <v>188</v>
      </c>
      <c r="E11598" s="1743" t="s">
        <v>2391</v>
      </c>
      <c r="F11598" s="1743"/>
      <c r="G11598" s="1743"/>
      <c r="H11598" s="1743"/>
      <c r="K11598" s="1192" t="s">
        <v>2823</v>
      </c>
      <c r="V11598" s="1192">
        <v>280</v>
      </c>
    </row>
    <row r="11599" spans="1:22" s="1192" customFormat="1" ht="14.4" x14ac:dyDescent="0.3">
      <c r="A11599" s="1192" t="s">
        <v>188</v>
      </c>
      <c r="E11599" s="1743" t="s">
        <v>2392</v>
      </c>
      <c r="F11599" s="1743"/>
      <c r="G11599" s="1743"/>
      <c r="H11599" s="1743"/>
      <c r="K11599" s="1192" t="s">
        <v>2823</v>
      </c>
      <c r="V11599" s="1192">
        <v>411</v>
      </c>
    </row>
    <row r="11600" spans="1:22" s="1192" customFormat="1" ht="14.4" x14ac:dyDescent="0.3">
      <c r="A11600" s="1192" t="s">
        <v>188</v>
      </c>
      <c r="E11600" s="1743" t="s">
        <v>2393</v>
      </c>
      <c r="F11600" s="1743"/>
      <c r="G11600" s="1743"/>
      <c r="H11600" s="1743"/>
      <c r="K11600" s="1192" t="s">
        <v>2823</v>
      </c>
      <c r="V11600" s="1192">
        <v>387</v>
      </c>
    </row>
    <row r="11601" spans="1:22" s="1192" customFormat="1" ht="14.4" x14ac:dyDescent="0.3">
      <c r="A11601" s="1192" t="s">
        <v>188</v>
      </c>
      <c r="E11601" s="1743" t="s">
        <v>4500</v>
      </c>
      <c r="F11601" s="1743"/>
      <c r="G11601" s="1743"/>
      <c r="H11601" s="1743"/>
      <c r="K11601" s="1192" t="s">
        <v>2823</v>
      </c>
      <c r="V11601" s="1192">
        <v>247</v>
      </c>
    </row>
    <row r="11602" spans="1:22" s="1192" customFormat="1" ht="14.4" x14ac:dyDescent="0.3">
      <c r="A11602" s="1192" t="s">
        <v>188</v>
      </c>
      <c r="E11602" s="1750" t="s">
        <v>2394</v>
      </c>
      <c r="F11602" s="1743"/>
      <c r="G11602" s="1743"/>
      <c r="H11602" s="1743"/>
      <c r="K11602" s="1192" t="s">
        <v>2425</v>
      </c>
      <c r="V11602" s="1192">
        <v>46</v>
      </c>
    </row>
    <row r="11603" spans="1:22" s="1192" customFormat="1" ht="14.4" x14ac:dyDescent="0.3">
      <c r="A11603" s="1192" t="s">
        <v>188</v>
      </c>
      <c r="E11603" s="1741" t="s">
        <v>8</v>
      </c>
      <c r="F11603" s="1741"/>
      <c r="G11603" s="1277" t="s">
        <v>19</v>
      </c>
      <c r="H11603" s="1218">
        <v>3.65</v>
      </c>
      <c r="K11603" s="1192" t="s">
        <v>2823</v>
      </c>
      <c r="L11603" s="1192" t="s">
        <v>430</v>
      </c>
      <c r="P11603" s="1192" t="s">
        <v>2824</v>
      </c>
      <c r="V11603" s="1192">
        <v>31</v>
      </c>
    </row>
    <row r="11604" spans="1:22" s="1192" customFormat="1" ht="14.4" x14ac:dyDescent="0.3">
      <c r="A11604" s="1192" t="s">
        <v>188</v>
      </c>
      <c r="E11604" s="1741" t="s">
        <v>6611</v>
      </c>
      <c r="F11604" s="1741"/>
      <c r="G11604" s="1277" t="s">
        <v>19</v>
      </c>
      <c r="H11604" s="1218">
        <v>0.04</v>
      </c>
      <c r="K11604" s="1192" t="s">
        <v>2823</v>
      </c>
      <c r="L11604" s="1192" t="s">
        <v>430</v>
      </c>
      <c r="P11604" s="1192" t="s">
        <v>6214</v>
      </c>
      <c r="V11604" s="1192">
        <v>141</v>
      </c>
    </row>
    <row r="11605" spans="1:22" s="1192" customFormat="1" ht="14.4" x14ac:dyDescent="0.3">
      <c r="A11605" s="1192" t="s">
        <v>188</v>
      </c>
      <c r="E11605" s="1741" t="s">
        <v>80</v>
      </c>
      <c r="F11605" s="1741"/>
      <c r="G11605" s="1277" t="s">
        <v>29</v>
      </c>
      <c r="H11605" s="1219">
        <v>34.017499999999998</v>
      </c>
      <c r="K11605" s="1192" t="s">
        <v>2823</v>
      </c>
      <c r="L11605" s="1192" t="s">
        <v>430</v>
      </c>
      <c r="P11605" s="1192" t="s">
        <v>2825</v>
      </c>
      <c r="V11605" s="1192">
        <v>28</v>
      </c>
    </row>
    <row r="11606" spans="1:22" s="1192" customFormat="1" ht="14.4" x14ac:dyDescent="0.3">
      <c r="A11606" s="1192" t="s">
        <v>188</v>
      </c>
      <c r="E11606" s="1741" t="s">
        <v>6611</v>
      </c>
      <c r="F11606" s="1741"/>
      <c r="G11606" s="1277" t="s">
        <v>29</v>
      </c>
      <c r="H11606" s="1219">
        <v>0.40960000000000002</v>
      </c>
      <c r="K11606" s="1192" t="s">
        <v>2823</v>
      </c>
      <c r="L11606" s="1192" t="s">
        <v>430</v>
      </c>
      <c r="P11606" s="1192" t="s">
        <v>6619</v>
      </c>
      <c r="V11606" s="1192">
        <v>141</v>
      </c>
    </row>
    <row r="11607" spans="1:22" s="1192" customFormat="1" ht="14.4" x14ac:dyDescent="0.3">
      <c r="A11607" s="1192" t="s">
        <v>188</v>
      </c>
      <c r="E11607" s="1741" t="s">
        <v>213</v>
      </c>
      <c r="F11607" s="1741"/>
      <c r="G11607" s="1277" t="s">
        <v>29</v>
      </c>
      <c r="H11607" s="1219">
        <v>1.8294999999999999</v>
      </c>
      <c r="K11607" s="1192" t="s">
        <v>2823</v>
      </c>
      <c r="L11607" s="1192" t="s">
        <v>432</v>
      </c>
      <c r="P11607" s="1192" t="s">
        <v>2827</v>
      </c>
      <c r="V11607" s="1192">
        <v>47</v>
      </c>
    </row>
    <row r="11608" spans="1:22" s="1192" customFormat="1" ht="14.4" x14ac:dyDescent="0.3">
      <c r="A11608" s="1192" t="s">
        <v>188</v>
      </c>
      <c r="E11608" s="1750" t="s">
        <v>2405</v>
      </c>
      <c r="F11608" s="1741"/>
      <c r="G11608" s="1277"/>
      <c r="H11608" s="896"/>
      <c r="K11608" s="1192" t="s">
        <v>2427</v>
      </c>
      <c r="V11608" s="1192">
        <v>48</v>
      </c>
    </row>
    <row r="11609" spans="1:22" s="1192" customFormat="1" ht="14.4" x14ac:dyDescent="0.3">
      <c r="A11609" s="1192" t="s">
        <v>188</v>
      </c>
      <c r="E11609" s="1741" t="s">
        <v>5006</v>
      </c>
      <c r="F11609" s="1741"/>
      <c r="G11609" s="1277" t="s">
        <v>20</v>
      </c>
      <c r="H11609" s="1219">
        <v>-4.0000000000000002E-4</v>
      </c>
      <c r="K11609" s="1192" t="s">
        <v>2823</v>
      </c>
      <c r="L11609" s="1192" t="s">
        <v>431</v>
      </c>
      <c r="P11609" s="1192" t="s">
        <v>6620</v>
      </c>
      <c r="V11609" s="1192">
        <v>46</v>
      </c>
    </row>
    <row r="11610" spans="1:22" s="1192" customFormat="1" ht="14.4" x14ac:dyDescent="0.3">
      <c r="A11610" s="1192" t="s">
        <v>188</v>
      </c>
      <c r="E11610" s="1741" t="s">
        <v>2033</v>
      </c>
      <c r="F11610" s="1741"/>
      <c r="G11610" s="1277" t="s">
        <v>20</v>
      </c>
      <c r="H11610" s="1219">
        <v>3.0000000000000001E-3</v>
      </c>
      <c r="K11610" s="1192" t="s">
        <v>2823</v>
      </c>
      <c r="L11610" s="1192" t="s">
        <v>2374</v>
      </c>
      <c r="P11610" s="1192" t="s">
        <v>2829</v>
      </c>
      <c r="V11610" s="1192">
        <v>55</v>
      </c>
    </row>
    <row r="11611" spans="1:22" s="1192" customFormat="1" ht="14.4" x14ac:dyDescent="0.3">
      <c r="A11611" s="1192" t="s">
        <v>188</v>
      </c>
      <c r="E11611" s="1741" t="s">
        <v>2034</v>
      </c>
      <c r="F11611" s="1741"/>
      <c r="G11611" s="1277" t="s">
        <v>20</v>
      </c>
      <c r="H11611" s="1219">
        <v>4.0000000000000002E-4</v>
      </c>
      <c r="K11611" s="1192" t="s">
        <v>2823</v>
      </c>
      <c r="L11611" s="1192" t="s">
        <v>2374</v>
      </c>
      <c r="P11611" s="1192" t="s">
        <v>2829</v>
      </c>
      <c r="V11611" s="1192">
        <v>65</v>
      </c>
    </row>
    <row r="11612" spans="1:22" s="1192" customFormat="1" ht="14.4" x14ac:dyDescent="0.3">
      <c r="A11612" s="1192" t="s">
        <v>188</v>
      </c>
      <c r="E11612" s="1741" t="s">
        <v>428</v>
      </c>
      <c r="F11612" s="1741"/>
      <c r="G11612" s="1277" t="s">
        <v>20</v>
      </c>
      <c r="H11612" s="1219">
        <v>5.0000000000000001E-4</v>
      </c>
      <c r="K11612" s="1192" t="s">
        <v>2823</v>
      </c>
      <c r="L11612" s="1192" t="s">
        <v>2374</v>
      </c>
      <c r="P11612" s="1192" t="s">
        <v>2830</v>
      </c>
      <c r="V11612" s="1192">
        <v>57</v>
      </c>
    </row>
    <row r="11613" spans="1:22" s="1192" customFormat="1" ht="14.4" x14ac:dyDescent="0.3">
      <c r="A11613" s="1192" t="s">
        <v>188</v>
      </c>
      <c r="E11613" s="1741" t="s">
        <v>28</v>
      </c>
      <c r="F11613" s="1741"/>
      <c r="G11613" s="1277" t="s">
        <v>19</v>
      </c>
      <c r="H11613" s="1218">
        <v>0.25</v>
      </c>
      <c r="K11613" s="1192" t="s">
        <v>2823</v>
      </c>
      <c r="L11613" s="1192" t="s">
        <v>2374</v>
      </c>
      <c r="P11613" s="1192" t="s">
        <v>2831</v>
      </c>
      <c r="V11613" s="1192">
        <v>63</v>
      </c>
    </row>
    <row r="11614" spans="1:22" s="1192" customFormat="1" ht="17.399999999999999" x14ac:dyDescent="0.3">
      <c r="A11614" s="1192" t="s">
        <v>188</v>
      </c>
      <c r="E11614" s="1746" t="s">
        <v>590</v>
      </c>
      <c r="F11614" s="1747"/>
      <c r="G11614" s="1747"/>
      <c r="H11614" s="1747"/>
      <c r="K11614" s="1192" t="s">
        <v>2428</v>
      </c>
      <c r="V11614" s="1192">
        <v>38</v>
      </c>
    </row>
    <row r="11615" spans="1:22" s="1192" customFormat="1" ht="14.4" x14ac:dyDescent="0.3">
      <c r="A11615" s="1192" t="s">
        <v>188</v>
      </c>
      <c r="E11615" s="1743" t="s">
        <v>5009</v>
      </c>
      <c r="F11615" s="1743"/>
      <c r="G11615" s="1743"/>
      <c r="H11615" s="1743"/>
      <c r="K11615" s="1192" t="s">
        <v>2428</v>
      </c>
      <c r="V11615" s="1192">
        <v>555</v>
      </c>
    </row>
    <row r="11616" spans="1:22" s="1192" customFormat="1" ht="14.4" x14ac:dyDescent="0.3">
      <c r="A11616" s="1192" t="s">
        <v>188</v>
      </c>
      <c r="E11616" s="1750" t="s">
        <v>2389</v>
      </c>
      <c r="F11616" s="1743"/>
      <c r="G11616" s="1743"/>
      <c r="H11616" s="1743"/>
      <c r="K11616" s="1192" t="s">
        <v>2430</v>
      </c>
      <c r="V11616" s="1192">
        <v>11</v>
      </c>
    </row>
    <row r="11617" spans="1:22" s="1192" customFormat="1" ht="14.4" x14ac:dyDescent="0.3">
      <c r="A11617" s="1192" t="s">
        <v>188</v>
      </c>
      <c r="E11617" s="1743" t="s">
        <v>2391</v>
      </c>
      <c r="F11617" s="1743"/>
      <c r="G11617" s="1743"/>
      <c r="H11617" s="1743"/>
      <c r="K11617" s="1192" t="s">
        <v>2428</v>
      </c>
      <c r="V11617" s="1192">
        <v>280</v>
      </c>
    </row>
    <row r="11618" spans="1:22" s="1192" customFormat="1" ht="14.4" x14ac:dyDescent="0.3">
      <c r="A11618" s="1192" t="s">
        <v>188</v>
      </c>
      <c r="E11618" s="1743" t="s">
        <v>2392</v>
      </c>
      <c r="F11618" s="1743"/>
      <c r="G11618" s="1743"/>
      <c r="H11618" s="1743"/>
      <c r="K11618" s="1192" t="s">
        <v>2428</v>
      </c>
      <c r="V11618" s="1192">
        <v>411</v>
      </c>
    </row>
    <row r="11619" spans="1:22" s="1192" customFormat="1" ht="14.4" x14ac:dyDescent="0.3">
      <c r="A11619" s="1192" t="s">
        <v>188</v>
      </c>
      <c r="E11619" s="1743" t="s">
        <v>2393</v>
      </c>
      <c r="F11619" s="1743"/>
      <c r="G11619" s="1743"/>
      <c r="H11619" s="1743"/>
      <c r="K11619" s="1192" t="s">
        <v>2428</v>
      </c>
      <c r="V11619" s="1192">
        <v>387</v>
      </c>
    </row>
    <row r="11620" spans="1:22" s="1192" customFormat="1" ht="14.4" x14ac:dyDescent="0.3">
      <c r="A11620" s="1192" t="s">
        <v>188</v>
      </c>
      <c r="E11620" s="1743" t="s">
        <v>4500</v>
      </c>
      <c r="F11620" s="1743"/>
      <c r="G11620" s="1743"/>
      <c r="H11620" s="1743"/>
      <c r="K11620" s="1192" t="s">
        <v>2428</v>
      </c>
      <c r="V11620" s="1192">
        <v>247</v>
      </c>
    </row>
    <row r="11621" spans="1:22" s="1192" customFormat="1" ht="14.4" x14ac:dyDescent="0.3">
      <c r="A11621" s="1192" t="s">
        <v>188</v>
      </c>
      <c r="E11621" s="1750" t="s">
        <v>2394</v>
      </c>
      <c r="F11621" s="1743"/>
      <c r="G11621" s="1743"/>
      <c r="H11621" s="1743"/>
      <c r="K11621" s="1192" t="s">
        <v>2431</v>
      </c>
      <c r="V11621" s="1192">
        <v>46</v>
      </c>
    </row>
    <row r="11622" spans="1:22" s="1192" customFormat="1" ht="14.4" x14ac:dyDescent="0.3">
      <c r="A11622" s="1192" t="s">
        <v>188</v>
      </c>
      <c r="E11622" s="1741" t="s">
        <v>8</v>
      </c>
      <c r="F11622" s="1741"/>
      <c r="G11622" s="1277" t="s">
        <v>19</v>
      </c>
      <c r="H11622" s="1218">
        <v>1.4</v>
      </c>
      <c r="K11622" s="1192" t="s">
        <v>2428</v>
      </c>
      <c r="L11622" s="1192" t="s">
        <v>430</v>
      </c>
      <c r="P11622" s="1192" t="s">
        <v>2432</v>
      </c>
      <c r="V11622" s="1192">
        <v>31</v>
      </c>
    </row>
    <row r="11623" spans="1:22" s="1192" customFormat="1" ht="14.4" x14ac:dyDescent="0.3">
      <c r="A11623" s="1192" t="s">
        <v>188</v>
      </c>
      <c r="E11623" s="1741" t="s">
        <v>6611</v>
      </c>
      <c r="F11623" s="1741"/>
      <c r="G11623" s="1277" t="s">
        <v>19</v>
      </c>
      <c r="H11623" s="1218">
        <v>0.02</v>
      </c>
      <c r="K11623" s="1192" t="s">
        <v>2428</v>
      </c>
      <c r="L11623" s="1192" t="s">
        <v>430</v>
      </c>
      <c r="P11623" s="1192" t="s">
        <v>6216</v>
      </c>
      <c r="V11623" s="1192">
        <v>141</v>
      </c>
    </row>
    <row r="11624" spans="1:22" s="1192" customFormat="1" ht="14.4" x14ac:dyDescent="0.3">
      <c r="A11624" s="1192" t="s">
        <v>188</v>
      </c>
      <c r="E11624" s="1741" t="s">
        <v>80</v>
      </c>
      <c r="F11624" s="1741"/>
      <c r="G11624" s="1277" t="s">
        <v>29</v>
      </c>
      <c r="H11624" s="1219">
        <v>9.1618999999999993</v>
      </c>
      <c r="K11624" s="1192" t="s">
        <v>2428</v>
      </c>
      <c r="L11624" s="1192" t="s">
        <v>430</v>
      </c>
      <c r="P11624" s="1192" t="s">
        <v>2433</v>
      </c>
      <c r="V11624" s="1192">
        <v>28</v>
      </c>
    </row>
    <row r="11625" spans="1:22" s="1192" customFormat="1" ht="14.4" x14ac:dyDescent="0.3">
      <c r="A11625" s="1192" t="s">
        <v>188</v>
      </c>
      <c r="E11625" s="1741" t="s">
        <v>6621</v>
      </c>
      <c r="F11625" s="1741"/>
      <c r="G11625" s="1277" t="s">
        <v>29</v>
      </c>
      <c r="H11625" s="1219">
        <v>5.7106000000000003</v>
      </c>
      <c r="K11625" s="1192" t="s">
        <v>2428</v>
      </c>
      <c r="L11625" s="1192" t="s">
        <v>430</v>
      </c>
      <c r="P11625" s="1192" t="s">
        <v>3343</v>
      </c>
      <c r="T11625" s="1192">
        <v>44681</v>
      </c>
      <c r="V11625" s="1192">
        <v>135</v>
      </c>
    </row>
    <row r="11626" spans="1:22" s="1192" customFormat="1" ht="14.4" x14ac:dyDescent="0.3">
      <c r="A11626" s="1192" t="s">
        <v>188</v>
      </c>
      <c r="E11626" s="1741" t="s">
        <v>6611</v>
      </c>
      <c r="F11626" s="1741"/>
      <c r="G11626" s="1277" t="s">
        <v>29</v>
      </c>
      <c r="H11626" s="1219">
        <v>0.1103</v>
      </c>
      <c r="K11626" s="1192" t="s">
        <v>2428</v>
      </c>
      <c r="L11626" s="1192" t="s">
        <v>430</v>
      </c>
      <c r="P11626" s="1192" t="s">
        <v>6217</v>
      </c>
      <c r="V11626" s="1192">
        <v>141</v>
      </c>
    </row>
    <row r="11627" spans="1:22" s="1192" customFormat="1" ht="14.4" x14ac:dyDescent="0.3">
      <c r="A11627" s="1192" t="s">
        <v>188</v>
      </c>
      <c r="E11627" s="1741" t="s">
        <v>213</v>
      </c>
      <c r="F11627" s="1741"/>
      <c r="G11627" s="1277" t="s">
        <v>29</v>
      </c>
      <c r="H11627" s="1219">
        <v>1.8205</v>
      </c>
      <c r="K11627" s="1192" t="s">
        <v>2428</v>
      </c>
      <c r="L11627" s="1192" t="s">
        <v>432</v>
      </c>
      <c r="P11627" s="1192" t="s">
        <v>2436</v>
      </c>
      <c r="V11627" s="1192">
        <v>47</v>
      </c>
    </row>
    <row r="11628" spans="1:22" s="1192" customFormat="1" ht="14.4" x14ac:dyDescent="0.3">
      <c r="A11628" s="1192" t="s">
        <v>188</v>
      </c>
      <c r="E11628" s="1750" t="s">
        <v>2405</v>
      </c>
      <c r="F11628" s="1741"/>
      <c r="G11628" s="1277"/>
      <c r="H11628" s="896"/>
      <c r="K11628" s="1192" t="s">
        <v>2438</v>
      </c>
      <c r="V11628" s="1192">
        <v>48</v>
      </c>
    </row>
    <row r="11629" spans="1:22" s="1192" customFormat="1" ht="14.4" x14ac:dyDescent="0.3">
      <c r="A11629" s="1192" t="s">
        <v>188</v>
      </c>
      <c r="E11629" s="1741" t="s">
        <v>5010</v>
      </c>
      <c r="F11629" s="1741"/>
      <c r="G11629" s="1277" t="s">
        <v>20</v>
      </c>
      <c r="H11629" s="1219">
        <v>-4.0000000000000002E-4</v>
      </c>
      <c r="K11629" s="1192" t="s">
        <v>2428</v>
      </c>
      <c r="L11629" s="1192" t="s">
        <v>431</v>
      </c>
      <c r="P11629" s="1192" t="s">
        <v>6622</v>
      </c>
      <c r="V11629" s="1192">
        <v>64</v>
      </c>
    </row>
    <row r="11630" spans="1:22" s="1192" customFormat="1" ht="14.4" x14ac:dyDescent="0.3">
      <c r="A11630" s="1192" t="s">
        <v>188</v>
      </c>
      <c r="E11630" s="1741" t="s">
        <v>2033</v>
      </c>
      <c r="F11630" s="1741"/>
      <c r="G11630" s="1277" t="s">
        <v>20</v>
      </c>
      <c r="H11630" s="1219">
        <v>3.0000000000000001E-3</v>
      </c>
      <c r="K11630" s="1192" t="s">
        <v>2428</v>
      </c>
      <c r="L11630" s="1192" t="s">
        <v>2374</v>
      </c>
      <c r="P11630" s="1192" t="s">
        <v>2439</v>
      </c>
      <c r="V11630" s="1192">
        <v>55</v>
      </c>
    </row>
    <row r="11631" spans="1:22" s="1192" customFormat="1" ht="14.4" x14ac:dyDescent="0.3">
      <c r="A11631" s="1192" t="s">
        <v>188</v>
      </c>
      <c r="E11631" s="1741" t="s">
        <v>2034</v>
      </c>
      <c r="F11631" s="1741"/>
      <c r="G11631" s="1277" t="s">
        <v>20</v>
      </c>
      <c r="H11631" s="1219">
        <v>4.0000000000000002E-4</v>
      </c>
      <c r="K11631" s="1192" t="s">
        <v>2428</v>
      </c>
      <c r="L11631" s="1192" t="s">
        <v>2374</v>
      </c>
      <c r="P11631" s="1192" t="s">
        <v>2439</v>
      </c>
      <c r="V11631" s="1192">
        <v>65</v>
      </c>
    </row>
    <row r="11632" spans="1:22" s="1192" customFormat="1" ht="14.4" x14ac:dyDescent="0.3">
      <c r="A11632" s="1192" t="s">
        <v>188</v>
      </c>
      <c r="E11632" s="1741" t="s">
        <v>428</v>
      </c>
      <c r="F11632" s="1741"/>
      <c r="G11632" s="1277" t="s">
        <v>20</v>
      </c>
      <c r="H11632" s="1219">
        <v>5.0000000000000001E-4</v>
      </c>
      <c r="K11632" s="1192" t="s">
        <v>2428</v>
      </c>
      <c r="L11632" s="1192" t="s">
        <v>2374</v>
      </c>
      <c r="P11632" s="1192" t="s">
        <v>2440</v>
      </c>
      <c r="V11632" s="1192">
        <v>57</v>
      </c>
    </row>
    <row r="11633" spans="1:22" s="1192" customFormat="1" ht="14.4" x14ac:dyDescent="0.3">
      <c r="A11633" s="1192" t="s">
        <v>188</v>
      </c>
      <c r="E11633" s="1741" t="s">
        <v>28</v>
      </c>
      <c r="F11633" s="1741"/>
      <c r="G11633" s="1277" t="s">
        <v>19</v>
      </c>
      <c r="H11633" s="1218">
        <v>0.25</v>
      </c>
      <c r="K11633" s="1192" t="s">
        <v>2428</v>
      </c>
      <c r="L11633" s="1192" t="s">
        <v>2374</v>
      </c>
      <c r="P11633" s="1192" t="s">
        <v>2441</v>
      </c>
      <c r="V11633" s="1192">
        <v>63</v>
      </c>
    </row>
    <row r="11634" spans="1:22" s="1192" customFormat="1" ht="17.399999999999999" x14ac:dyDescent="0.3">
      <c r="A11634" s="1192" t="s">
        <v>188</v>
      </c>
      <c r="E11634" s="1746" t="s">
        <v>593</v>
      </c>
      <c r="F11634" s="1747"/>
      <c r="G11634" s="1747"/>
      <c r="H11634" s="1747"/>
      <c r="K11634" s="1192" t="s">
        <v>2442</v>
      </c>
      <c r="V11634" s="1192">
        <v>31</v>
      </c>
    </row>
    <row r="11635" spans="1:22" s="1192" customFormat="1" ht="14.4" x14ac:dyDescent="0.3">
      <c r="A11635" s="1192" t="s">
        <v>188</v>
      </c>
      <c r="E11635" s="1743" t="s">
        <v>4986</v>
      </c>
      <c r="F11635" s="1743"/>
      <c r="G11635" s="1743"/>
      <c r="H11635" s="1743"/>
      <c r="K11635" s="1192" t="s">
        <v>2442</v>
      </c>
      <c r="V11635" s="1192">
        <v>286</v>
      </c>
    </row>
    <row r="11636" spans="1:22" s="1192" customFormat="1" ht="14.4" x14ac:dyDescent="0.3">
      <c r="A11636" s="1192" t="s">
        <v>188</v>
      </c>
      <c r="E11636" s="1750" t="s">
        <v>2389</v>
      </c>
      <c r="F11636" s="1743"/>
      <c r="G11636" s="1743"/>
      <c r="H11636" s="1743"/>
      <c r="K11636" s="1192" t="s">
        <v>2444</v>
      </c>
      <c r="V11636" s="1192">
        <v>11</v>
      </c>
    </row>
    <row r="11637" spans="1:22" s="1192" customFormat="1" ht="14.4" x14ac:dyDescent="0.3">
      <c r="A11637" s="1192" t="s">
        <v>188</v>
      </c>
      <c r="E11637" s="1743" t="s">
        <v>2391</v>
      </c>
      <c r="F11637" s="1743"/>
      <c r="G11637" s="1743"/>
      <c r="H11637" s="1743"/>
      <c r="K11637" s="1192" t="s">
        <v>2442</v>
      </c>
      <c r="V11637" s="1192">
        <v>280</v>
      </c>
    </row>
    <row r="11638" spans="1:22" s="1192" customFormat="1" ht="14.4" x14ac:dyDescent="0.3">
      <c r="A11638" s="1192" t="s">
        <v>188</v>
      </c>
      <c r="E11638" s="1743" t="s">
        <v>2392</v>
      </c>
      <c r="F11638" s="1743"/>
      <c r="G11638" s="1743"/>
      <c r="H11638" s="1743"/>
      <c r="K11638" s="1192" t="s">
        <v>2442</v>
      </c>
      <c r="V11638" s="1192">
        <v>411</v>
      </c>
    </row>
    <row r="11639" spans="1:22" s="1192" customFormat="1" ht="14.4" x14ac:dyDescent="0.3">
      <c r="A11639" s="1192" t="s">
        <v>188</v>
      </c>
      <c r="E11639" s="1743" t="s">
        <v>2445</v>
      </c>
      <c r="F11639" s="1743"/>
      <c r="G11639" s="1743"/>
      <c r="H11639" s="1743"/>
      <c r="K11639" s="1192" t="s">
        <v>2442</v>
      </c>
      <c r="V11639" s="1192">
        <v>211</v>
      </c>
    </row>
    <row r="11640" spans="1:22" s="1192" customFormat="1" ht="14.4" x14ac:dyDescent="0.3">
      <c r="A11640" s="1192" t="s">
        <v>188</v>
      </c>
      <c r="E11640" s="1743" t="s">
        <v>4500</v>
      </c>
      <c r="F11640" s="1743"/>
      <c r="G11640" s="1743"/>
      <c r="H11640" s="1743"/>
      <c r="K11640" s="1192" t="s">
        <v>2442</v>
      </c>
      <c r="V11640" s="1192">
        <v>247</v>
      </c>
    </row>
    <row r="11641" spans="1:22" s="1192" customFormat="1" ht="14.4" x14ac:dyDescent="0.3">
      <c r="A11641" s="1192" t="s">
        <v>188</v>
      </c>
      <c r="E11641" s="1750" t="s">
        <v>2394</v>
      </c>
      <c r="F11641" s="1743"/>
      <c r="G11641" s="1743"/>
      <c r="H11641" s="1743"/>
      <c r="K11641" s="1192" t="s">
        <v>2446</v>
      </c>
      <c r="V11641" s="1192">
        <v>46</v>
      </c>
    </row>
    <row r="11642" spans="1:22" s="1192" customFormat="1" ht="14.4" x14ac:dyDescent="0.3">
      <c r="A11642" s="1192" t="s">
        <v>188</v>
      </c>
      <c r="E11642" s="1741" t="s">
        <v>7</v>
      </c>
      <c r="F11642" s="1741"/>
      <c r="G11642" s="1277" t="s">
        <v>19</v>
      </c>
      <c r="H11642" s="1218">
        <v>4.55</v>
      </c>
      <c r="K11642" s="1192" t="s">
        <v>2442</v>
      </c>
      <c r="L11642" s="1192" t="s">
        <v>430</v>
      </c>
      <c r="P11642" s="1192" t="s">
        <v>2447</v>
      </c>
      <c r="V11642" s="1192">
        <v>14</v>
      </c>
    </row>
    <row r="11643" spans="1:22" s="1192" customFormat="1" x14ac:dyDescent="0.35">
      <c r="A11643" s="1192" t="s">
        <v>188</v>
      </c>
      <c r="E11643" s="1260" t="s">
        <v>81</v>
      </c>
      <c r="F11643" s="550"/>
      <c r="G11643" s="971"/>
      <c r="H11643" s="881"/>
      <c r="K11643" s="1192" t="s">
        <v>5011</v>
      </c>
      <c r="V11643" s="1192">
        <v>10</v>
      </c>
    </row>
    <row r="11644" spans="1:22" s="1192" customFormat="1" ht="14.4" x14ac:dyDescent="0.3">
      <c r="A11644" s="1192" t="s">
        <v>188</v>
      </c>
      <c r="E11644" s="1741" t="s">
        <v>2449</v>
      </c>
      <c r="F11644" s="1741"/>
      <c r="G11644" s="1277" t="s">
        <v>29</v>
      </c>
      <c r="H11644" s="1219">
        <v>-0.6</v>
      </c>
      <c r="V11644" s="1192">
        <v>68</v>
      </c>
    </row>
    <row r="11645" spans="1:22" s="1192" customFormat="1" ht="14.4" x14ac:dyDescent="0.3">
      <c r="A11645" s="1192" t="s">
        <v>188</v>
      </c>
      <c r="E11645" s="1741" t="s">
        <v>3993</v>
      </c>
      <c r="F11645" s="1741"/>
      <c r="G11645" s="1277" t="s">
        <v>82</v>
      </c>
      <c r="H11645" s="1218">
        <v>-1</v>
      </c>
      <c r="V11645" s="1192">
        <v>89</v>
      </c>
    </row>
    <row r="11646" spans="1:22" s="1192" customFormat="1" x14ac:dyDescent="0.35">
      <c r="A11646" s="1192" t="s">
        <v>188</v>
      </c>
      <c r="E11646" s="1260" t="s">
        <v>83</v>
      </c>
      <c r="F11646" s="550"/>
      <c r="G11646" s="971"/>
      <c r="H11646" s="881"/>
      <c r="K11646" s="1192" t="s">
        <v>5012</v>
      </c>
      <c r="V11646" s="1192">
        <v>24</v>
      </c>
    </row>
    <row r="11647" spans="1:22" s="1192" customFormat="1" ht="14.4" x14ac:dyDescent="0.3">
      <c r="A11647" s="1192" t="s">
        <v>188</v>
      </c>
      <c r="E11647" s="1743" t="s">
        <v>2391</v>
      </c>
      <c r="F11647" s="1743"/>
      <c r="G11647" s="1743"/>
      <c r="H11647" s="1743"/>
      <c r="V11647" s="1192">
        <v>280</v>
      </c>
    </row>
    <row r="11648" spans="1:22" s="1192" customFormat="1" ht="14.4" x14ac:dyDescent="0.3">
      <c r="A11648" s="1192" t="s">
        <v>188</v>
      </c>
      <c r="E11648" s="1743" t="s">
        <v>2452</v>
      </c>
      <c r="F11648" s="1743"/>
      <c r="G11648" s="1743"/>
      <c r="H11648" s="1743"/>
      <c r="V11648" s="1192">
        <v>353</v>
      </c>
    </row>
    <row r="11649" spans="1:22" s="1192" customFormat="1" ht="14.4" x14ac:dyDescent="0.3">
      <c r="A11649" s="1192" t="s">
        <v>188</v>
      </c>
      <c r="E11649" s="1743" t="s">
        <v>4500</v>
      </c>
      <c r="F11649" s="1743"/>
      <c r="G11649" s="1743"/>
      <c r="H11649" s="1743"/>
      <c r="V11649" s="1192">
        <v>247</v>
      </c>
    </row>
    <row r="11650" spans="1:22" s="1192" customFormat="1" ht="14.4" x14ac:dyDescent="0.3">
      <c r="A11650" s="1192" t="s">
        <v>188</v>
      </c>
      <c r="E11650" s="1258" t="s">
        <v>2453</v>
      </c>
      <c r="F11650" s="3"/>
      <c r="G11650" s="972"/>
      <c r="H11650" s="897"/>
      <c r="K11650" s="1192" t="s">
        <v>5013</v>
      </c>
      <c r="V11650" s="1192">
        <v>23</v>
      </c>
    </row>
    <row r="11651" spans="1:22" s="1192" customFormat="1" ht="14.4" x14ac:dyDescent="0.3">
      <c r="A11651" s="1192" t="s">
        <v>188</v>
      </c>
      <c r="E11651" s="1942" t="s">
        <v>84</v>
      </c>
      <c r="F11651" s="1942"/>
      <c r="G11651" s="1277" t="s">
        <v>19</v>
      </c>
      <c r="H11651" s="1218">
        <v>30</v>
      </c>
      <c r="V11651" s="1192">
        <v>89</v>
      </c>
    </row>
    <row r="11652" spans="1:22" s="1192" customFormat="1" ht="14.4" x14ac:dyDescent="0.3">
      <c r="A11652" s="1192" t="s">
        <v>188</v>
      </c>
      <c r="E11652" s="1942" t="s">
        <v>119</v>
      </c>
      <c r="F11652" s="1942"/>
      <c r="G11652" s="1277" t="s">
        <v>19</v>
      </c>
      <c r="H11652" s="1218">
        <v>15</v>
      </c>
      <c r="V11652" s="1192">
        <v>35</v>
      </c>
    </row>
    <row r="11653" spans="1:22" s="1192" customFormat="1" ht="14.4" x14ac:dyDescent="0.3">
      <c r="A11653" s="1192" t="s">
        <v>188</v>
      </c>
      <c r="E11653" s="1942" t="s">
        <v>2467</v>
      </c>
      <c r="F11653" s="1942"/>
      <c r="G11653" s="1277" t="s">
        <v>19</v>
      </c>
      <c r="H11653" s="1218">
        <v>15</v>
      </c>
      <c r="V11653" s="1192">
        <v>19</v>
      </c>
    </row>
    <row r="11654" spans="1:22" s="1192" customFormat="1" ht="14.4" x14ac:dyDescent="0.3">
      <c r="A11654" s="1192" t="s">
        <v>188</v>
      </c>
      <c r="E11654" s="1942" t="s">
        <v>88</v>
      </c>
      <c r="F11654" s="1942"/>
      <c r="G11654" s="1277" t="s">
        <v>19</v>
      </c>
      <c r="H11654" s="1218">
        <v>30</v>
      </c>
      <c r="V11654" s="1192">
        <v>74</v>
      </c>
    </row>
    <row r="11655" spans="1:22" s="1192" customFormat="1" ht="14.4" x14ac:dyDescent="0.3">
      <c r="A11655" s="1192" t="s">
        <v>188</v>
      </c>
      <c r="E11655" s="1258" t="s">
        <v>2468</v>
      </c>
      <c r="F11655" s="3"/>
      <c r="G11655" s="972"/>
      <c r="H11655" s="897"/>
      <c r="K11655" s="1192" t="s">
        <v>5014</v>
      </c>
      <c r="V11655" s="1192">
        <v>22</v>
      </c>
    </row>
    <row r="11656" spans="1:22" s="1192" customFormat="1" ht="14.4" x14ac:dyDescent="0.3">
      <c r="A11656" s="1192" t="s">
        <v>188</v>
      </c>
      <c r="E11656" s="1942" t="s">
        <v>6205</v>
      </c>
      <c r="F11656" s="1942"/>
      <c r="G11656" s="1277" t="s">
        <v>82</v>
      </c>
      <c r="H11656" s="1218">
        <v>1.5</v>
      </c>
      <c r="V11656" s="1192">
        <v>100</v>
      </c>
    </row>
    <row r="11657" spans="1:22" s="1192" customFormat="1" ht="14.4" x14ac:dyDescent="0.3">
      <c r="A11657" s="1192" t="s">
        <v>188</v>
      </c>
      <c r="E11657" s="1942" t="s">
        <v>5941</v>
      </c>
      <c r="F11657" s="1942"/>
      <c r="G11657" s="1277" t="s">
        <v>19</v>
      </c>
      <c r="H11657" s="1218">
        <v>65</v>
      </c>
      <c r="V11657" s="1192">
        <v>53</v>
      </c>
    </row>
    <row r="11658" spans="1:22" s="1192" customFormat="1" ht="14.4" x14ac:dyDescent="0.3">
      <c r="A11658" s="1192" t="s">
        <v>188</v>
      </c>
      <c r="E11658" s="1942" t="s">
        <v>6623</v>
      </c>
      <c r="F11658" s="1942"/>
      <c r="G11658" s="1277" t="s">
        <v>19</v>
      </c>
      <c r="H11658" s="1218">
        <v>185</v>
      </c>
      <c r="V11658" s="1192">
        <v>44</v>
      </c>
    </row>
    <row r="11659" spans="1:22" s="1192" customFormat="1" ht="14.4" x14ac:dyDescent="0.3">
      <c r="A11659" s="1192" t="s">
        <v>188</v>
      </c>
      <c r="E11659" s="1942" t="s">
        <v>5943</v>
      </c>
      <c r="F11659" s="1942"/>
      <c r="G11659" s="1277" t="s">
        <v>19</v>
      </c>
      <c r="H11659" s="1218">
        <v>185</v>
      </c>
      <c r="V11659" s="1192">
        <v>52</v>
      </c>
    </row>
    <row r="11660" spans="1:22" s="1192" customFormat="1" ht="14.4" x14ac:dyDescent="0.3">
      <c r="A11660" s="1192" t="s">
        <v>188</v>
      </c>
      <c r="E11660" s="1942" t="s">
        <v>6624</v>
      </c>
      <c r="F11660" s="1942"/>
      <c r="G11660" s="1277" t="s">
        <v>19</v>
      </c>
      <c r="H11660" s="1218">
        <v>415</v>
      </c>
      <c r="V11660" s="1192">
        <v>43</v>
      </c>
    </row>
    <row r="11661" spans="1:22" s="1192" customFormat="1" ht="14.4" x14ac:dyDescent="0.3">
      <c r="A11661" s="1192" t="s">
        <v>188</v>
      </c>
      <c r="E11661" s="1258" t="s">
        <v>2474</v>
      </c>
      <c r="F11661" s="3"/>
      <c r="G11661" s="972"/>
      <c r="H11661" s="897"/>
      <c r="V11661" s="1192">
        <v>5</v>
      </c>
    </row>
    <row r="11662" spans="1:22" s="1192" customFormat="1" ht="14.4" x14ac:dyDescent="0.3">
      <c r="A11662" s="1192" t="s">
        <v>188</v>
      </c>
      <c r="E11662" s="1942" t="s">
        <v>90</v>
      </c>
      <c r="F11662" s="1942"/>
      <c r="G11662" s="1277" t="s">
        <v>19</v>
      </c>
      <c r="H11662" s="1218">
        <v>30</v>
      </c>
      <c r="V11662" s="1192">
        <v>19</v>
      </c>
    </row>
    <row r="11663" spans="1:22" s="1192" customFormat="1" ht="14.4" x14ac:dyDescent="0.3">
      <c r="A11663" s="1192" t="s">
        <v>188</v>
      </c>
      <c r="E11663" s="1942" t="s">
        <v>3671</v>
      </c>
      <c r="F11663" s="1942"/>
      <c r="G11663" s="1277"/>
      <c r="H11663" s="837" t="s">
        <v>5015</v>
      </c>
      <c r="V11663" s="1192">
        <v>39</v>
      </c>
    </row>
    <row r="11664" spans="1:22" s="1192" customFormat="1" ht="14.4" x14ac:dyDescent="0.3">
      <c r="A11664" s="1192" t="s">
        <v>188</v>
      </c>
      <c r="E11664" s="1942" t="s">
        <v>2478</v>
      </c>
      <c r="F11664" s="1942"/>
      <c r="G11664" s="1277"/>
      <c r="H11664" s="837" t="s">
        <v>5015</v>
      </c>
      <c r="V11664" s="1192">
        <v>34</v>
      </c>
    </row>
    <row r="11665" spans="1:22" s="1192" customFormat="1" ht="14.4" x14ac:dyDescent="0.3">
      <c r="A11665" s="1192" t="s">
        <v>188</v>
      </c>
      <c r="E11665" s="1942" t="s">
        <v>2703</v>
      </c>
      <c r="F11665" s="1942"/>
      <c r="G11665" s="1277"/>
      <c r="H11665" s="837" t="s">
        <v>5015</v>
      </c>
      <c r="V11665" s="1192">
        <v>64</v>
      </c>
    </row>
    <row r="11666" spans="1:22" s="1192" customFormat="1" ht="14.4" x14ac:dyDescent="0.3">
      <c r="A11666" s="1192" t="s">
        <v>188</v>
      </c>
      <c r="E11666" s="1942" t="s">
        <v>2758</v>
      </c>
      <c r="F11666" s="1942"/>
      <c r="G11666" s="1277"/>
      <c r="H11666" s="837" t="s">
        <v>5015</v>
      </c>
      <c r="V11666" s="1192">
        <v>67</v>
      </c>
    </row>
    <row r="11667" spans="1:22" s="1192" customFormat="1" ht="14.4" x14ac:dyDescent="0.3">
      <c r="A11667" s="1192" t="s">
        <v>188</v>
      </c>
      <c r="E11667" s="1942" t="s">
        <v>2759</v>
      </c>
      <c r="F11667" s="1942"/>
      <c r="G11667" s="1277"/>
      <c r="H11667" s="837" t="s">
        <v>5015</v>
      </c>
      <c r="V11667" s="1192">
        <v>66</v>
      </c>
    </row>
    <row r="11668" spans="1:22" s="1192" customFormat="1" ht="14.4" x14ac:dyDescent="0.3">
      <c r="A11668" s="1192" t="s">
        <v>188</v>
      </c>
      <c r="E11668" s="1942" t="s">
        <v>2760</v>
      </c>
      <c r="F11668" s="1942"/>
      <c r="G11668" s="1277"/>
      <c r="H11668" s="837"/>
      <c r="V11668" s="1192">
        <v>59</v>
      </c>
    </row>
    <row r="11669" spans="1:22" s="1192" customFormat="1" ht="14.4" x14ac:dyDescent="0.3">
      <c r="A11669" s="1192" t="s">
        <v>188</v>
      </c>
      <c r="E11669" s="1942" t="s">
        <v>2760</v>
      </c>
      <c r="F11669" s="1942"/>
      <c r="G11669" s="1277"/>
      <c r="H11669" s="837"/>
      <c r="V11669" s="1192">
        <v>59</v>
      </c>
    </row>
    <row r="11670" spans="1:22" s="1192" customFormat="1" ht="14.4" x14ac:dyDescent="0.3">
      <c r="A11670" s="1192" t="s">
        <v>188</v>
      </c>
      <c r="E11670" s="2260" t="s">
        <v>6625</v>
      </c>
      <c r="F11670" s="1942"/>
      <c r="G11670" s="1277" t="s">
        <v>19</v>
      </c>
      <c r="H11670" s="1218">
        <v>44.5</v>
      </c>
      <c r="V11670" s="1192">
        <v>45</v>
      </c>
    </row>
    <row r="11671" spans="1:22" s="1192" customFormat="1" ht="14.4" x14ac:dyDescent="0.3">
      <c r="A11671" s="1192" t="s">
        <v>188</v>
      </c>
      <c r="E11671" s="1942" t="s">
        <v>5016</v>
      </c>
      <c r="F11671" s="1942"/>
      <c r="G11671" s="1277"/>
      <c r="H11671" s="837" t="s">
        <v>5015</v>
      </c>
      <c r="V11671" s="1192">
        <v>48</v>
      </c>
    </row>
    <row r="11672" spans="1:22" s="1192" customFormat="1" ht="14.4" x14ac:dyDescent="0.3">
      <c r="A11672" s="1192" t="s">
        <v>188</v>
      </c>
      <c r="E11672" s="1942" t="s">
        <v>5017</v>
      </c>
      <c r="F11672" s="1942"/>
      <c r="G11672" s="1277"/>
      <c r="H11672" s="837" t="s">
        <v>5015</v>
      </c>
      <c r="V11672" s="1192">
        <v>39</v>
      </c>
    </row>
    <row r="11673" spans="1:22" s="1192" customFormat="1" ht="14.4" x14ac:dyDescent="0.3">
      <c r="A11673" s="1192" t="s">
        <v>188</v>
      </c>
      <c r="E11673" s="1942" t="s">
        <v>5018</v>
      </c>
      <c r="F11673" s="1942"/>
      <c r="G11673" s="1277"/>
      <c r="H11673" s="837" t="s">
        <v>5015</v>
      </c>
      <c r="V11673" s="1192">
        <v>36</v>
      </c>
    </row>
    <row r="11674" spans="1:22" s="1192" customFormat="1" ht="34.799999999999997" x14ac:dyDescent="0.35">
      <c r="A11674" s="1192" t="s">
        <v>188</v>
      </c>
      <c r="E11674" s="1260" t="s">
        <v>73</v>
      </c>
      <c r="F11674" s="550"/>
      <c r="G11674" s="971"/>
      <c r="H11674" s="881"/>
      <c r="K11674" s="1192" t="s">
        <v>5019</v>
      </c>
      <c r="V11674" s="1192">
        <v>38</v>
      </c>
    </row>
    <row r="11675" spans="1:22" s="1192" customFormat="1" ht="14.4" x14ac:dyDescent="0.3">
      <c r="A11675" s="1192" t="s">
        <v>188</v>
      </c>
      <c r="E11675" s="1743" t="s">
        <v>2391</v>
      </c>
      <c r="F11675" s="1743"/>
      <c r="G11675" s="1743"/>
      <c r="H11675" s="1743"/>
      <c r="V11675" s="1192">
        <v>280</v>
      </c>
    </row>
    <row r="11676" spans="1:22" s="1192" customFormat="1" ht="14.4" x14ac:dyDescent="0.3">
      <c r="A11676" s="1192" t="s">
        <v>188</v>
      </c>
      <c r="E11676" s="1743" t="s">
        <v>2392</v>
      </c>
      <c r="F11676" s="1743"/>
      <c r="G11676" s="1743"/>
      <c r="H11676" s="1743"/>
      <c r="V11676" s="1192">
        <v>411</v>
      </c>
    </row>
    <row r="11677" spans="1:22" s="1192" customFormat="1" ht="14.4" x14ac:dyDescent="0.3">
      <c r="A11677" s="1192" t="s">
        <v>188</v>
      </c>
      <c r="E11677" s="1743" t="s">
        <v>2445</v>
      </c>
      <c r="F11677" s="1743"/>
      <c r="G11677" s="1743"/>
      <c r="H11677" s="1743"/>
      <c r="V11677" s="1192">
        <v>211</v>
      </c>
    </row>
    <row r="11678" spans="1:22" s="1192" customFormat="1" ht="14.4" x14ac:dyDescent="0.3">
      <c r="A11678" s="1192" t="s">
        <v>188</v>
      </c>
      <c r="E11678" s="1743" t="s">
        <v>4500</v>
      </c>
      <c r="F11678" s="1743"/>
      <c r="G11678" s="1743"/>
      <c r="H11678" s="1743"/>
      <c r="V11678" s="1192">
        <v>247</v>
      </c>
    </row>
    <row r="11679" spans="1:22" s="1192" customFormat="1" ht="14.4" x14ac:dyDescent="0.3">
      <c r="A11679" s="1192" t="s">
        <v>188</v>
      </c>
      <c r="E11679" s="1743" t="s">
        <v>2595</v>
      </c>
      <c r="F11679" s="1743"/>
      <c r="G11679" s="1743"/>
      <c r="H11679" s="1743"/>
      <c r="V11679" s="1192">
        <v>142</v>
      </c>
    </row>
    <row r="11680" spans="1:22" s="1192" customFormat="1" ht="14.4" x14ac:dyDescent="0.3">
      <c r="A11680" s="1192" t="s">
        <v>188</v>
      </c>
      <c r="E11680" s="1741" t="s">
        <v>2485</v>
      </c>
      <c r="F11680" s="1741"/>
      <c r="G11680" s="834" t="s">
        <v>19</v>
      </c>
      <c r="H11680" s="1218">
        <v>102</v>
      </c>
      <c r="V11680" s="1192">
        <v>106</v>
      </c>
    </row>
    <row r="11681" spans="1:22" s="1192" customFormat="1" ht="14.4" x14ac:dyDescent="0.3">
      <c r="A11681" s="1192" t="s">
        <v>188</v>
      </c>
      <c r="E11681" s="1741" t="s">
        <v>2486</v>
      </c>
      <c r="F11681" s="1741"/>
      <c r="G11681" s="834" t="s">
        <v>19</v>
      </c>
      <c r="H11681" s="1218">
        <v>40.799999999999997</v>
      </c>
      <c r="V11681" s="1192">
        <v>34</v>
      </c>
    </row>
    <row r="11682" spans="1:22" s="1192" customFormat="1" ht="14.4" x14ac:dyDescent="0.3">
      <c r="A11682" s="1192" t="s">
        <v>188</v>
      </c>
      <c r="E11682" s="1741" t="s">
        <v>2487</v>
      </c>
      <c r="F11682" s="1741"/>
      <c r="G11682" s="834" t="s">
        <v>2488</v>
      </c>
      <c r="H11682" s="1218">
        <v>1.02</v>
      </c>
      <c r="V11682" s="1192">
        <v>51</v>
      </c>
    </row>
    <row r="11683" spans="1:22" s="1192" customFormat="1" ht="14.4" x14ac:dyDescent="0.3">
      <c r="A11683" s="1192" t="s">
        <v>188</v>
      </c>
      <c r="E11683" s="1741" t="s">
        <v>2489</v>
      </c>
      <c r="F11683" s="1741"/>
      <c r="G11683" s="834" t="s">
        <v>2488</v>
      </c>
      <c r="H11683" s="1218">
        <v>0.61</v>
      </c>
      <c r="V11683" s="1192">
        <v>75</v>
      </c>
    </row>
    <row r="11684" spans="1:22" s="1192" customFormat="1" ht="14.4" x14ac:dyDescent="0.3">
      <c r="A11684" s="1192" t="s">
        <v>188</v>
      </c>
      <c r="E11684" s="1741" t="s">
        <v>2490</v>
      </c>
      <c r="F11684" s="1741"/>
      <c r="G11684" s="834" t="s">
        <v>2488</v>
      </c>
      <c r="H11684" s="1218">
        <v>-0.61</v>
      </c>
      <c r="V11684" s="1192">
        <v>72</v>
      </c>
    </row>
    <row r="11685" spans="1:22" s="1192" customFormat="1" ht="14.4" x14ac:dyDescent="0.3">
      <c r="A11685" s="1192" t="s">
        <v>188</v>
      </c>
      <c r="E11685" s="1741" t="s">
        <v>2596</v>
      </c>
      <c r="F11685" s="1741"/>
      <c r="G11685" s="834"/>
      <c r="H11685" s="837"/>
      <c r="V11685" s="1192">
        <v>34</v>
      </c>
    </row>
    <row r="11686" spans="1:22" s="1192" customFormat="1" ht="14.4" x14ac:dyDescent="0.3">
      <c r="A11686" s="1192" t="s">
        <v>188</v>
      </c>
      <c r="E11686" s="1941" t="s">
        <v>2492</v>
      </c>
      <c r="F11686" s="1941"/>
      <c r="G11686" s="834" t="s">
        <v>19</v>
      </c>
      <c r="H11686" s="1218">
        <v>0.51</v>
      </c>
      <c r="V11686" s="1192">
        <v>57</v>
      </c>
    </row>
    <row r="11687" spans="1:22" s="1192" customFormat="1" ht="14.4" x14ac:dyDescent="0.3">
      <c r="A11687" s="1192" t="s">
        <v>188</v>
      </c>
      <c r="E11687" s="1941" t="s">
        <v>2493</v>
      </c>
      <c r="F11687" s="1941"/>
      <c r="G11687" s="834" t="s">
        <v>19</v>
      </c>
      <c r="H11687" s="1218">
        <v>1.02</v>
      </c>
      <c r="V11687" s="1192">
        <v>60</v>
      </c>
    </row>
    <row r="11688" spans="1:22" s="1192" customFormat="1" ht="14.4" x14ac:dyDescent="0.3">
      <c r="A11688" s="1192" t="s">
        <v>188</v>
      </c>
      <c r="E11688" s="1741" t="s">
        <v>2494</v>
      </c>
      <c r="F11688" s="1741"/>
      <c r="G11688" s="834"/>
      <c r="H11688" s="837"/>
      <c r="V11688" s="1192">
        <v>91</v>
      </c>
    </row>
    <row r="11689" spans="1:22" s="1192" customFormat="1" ht="14.4" x14ac:dyDescent="0.3">
      <c r="A11689" s="1192" t="s">
        <v>188</v>
      </c>
      <c r="E11689" s="1741" t="s">
        <v>2495</v>
      </c>
      <c r="F11689" s="1741"/>
      <c r="G11689" s="834"/>
      <c r="H11689" s="837"/>
      <c r="V11689" s="1192">
        <v>96</v>
      </c>
    </row>
    <row r="11690" spans="1:22" s="1192" customFormat="1" ht="14.4" x14ac:dyDescent="0.3">
      <c r="A11690" s="1192" t="s">
        <v>188</v>
      </c>
      <c r="E11690" s="1741" t="s">
        <v>2597</v>
      </c>
      <c r="F11690" s="1741"/>
      <c r="G11690" s="834"/>
      <c r="H11690" s="837"/>
      <c r="V11690" s="1192">
        <v>77</v>
      </c>
    </row>
    <row r="11691" spans="1:22" s="1192" customFormat="1" ht="14.4" x14ac:dyDescent="0.3">
      <c r="A11691" s="1192" t="s">
        <v>188</v>
      </c>
      <c r="E11691" s="1941" t="s">
        <v>2497</v>
      </c>
      <c r="F11691" s="1941"/>
      <c r="G11691" s="834" t="s">
        <v>19</v>
      </c>
      <c r="H11691" s="837" t="s">
        <v>2498</v>
      </c>
      <c r="V11691" s="1192">
        <v>18</v>
      </c>
    </row>
    <row r="11692" spans="1:22" s="1192" customFormat="1" ht="14.4" x14ac:dyDescent="0.3">
      <c r="A11692" s="1192" t="s">
        <v>188</v>
      </c>
      <c r="E11692" s="1941" t="s">
        <v>2499</v>
      </c>
      <c r="F11692" s="1941"/>
      <c r="G11692" s="834" t="s">
        <v>19</v>
      </c>
      <c r="H11692" s="1218">
        <v>4.08</v>
      </c>
      <c r="V11692" s="1192">
        <v>69</v>
      </c>
    </row>
    <row r="11693" spans="1:22" s="1192" customFormat="1" ht="14.4" x14ac:dyDescent="0.3">
      <c r="A11693" s="1192" t="s">
        <v>188</v>
      </c>
      <c r="E11693" s="1741" t="s">
        <v>4608</v>
      </c>
      <c r="F11693" s="1741"/>
      <c r="G11693" s="834" t="s">
        <v>19</v>
      </c>
      <c r="H11693" s="1218">
        <v>2.04</v>
      </c>
      <c r="V11693" s="1192">
        <v>199</v>
      </c>
    </row>
    <row r="11694" spans="1:22" s="1192" customFormat="1" x14ac:dyDescent="0.3">
      <c r="A11694" s="1192" t="s">
        <v>188</v>
      </c>
      <c r="E11694" s="1260" t="s">
        <v>143</v>
      </c>
      <c r="F11694" s="823"/>
      <c r="G11694" s="971"/>
      <c r="H11694" s="878"/>
      <c r="K11694" s="1192" t="s">
        <v>5020</v>
      </c>
      <c r="V11694" s="1192">
        <v>12</v>
      </c>
    </row>
    <row r="11695" spans="1:22" s="1192" customFormat="1" ht="14.4" x14ac:dyDescent="0.3">
      <c r="A11695" s="1192" t="s">
        <v>188</v>
      </c>
      <c r="E11695" s="1741" t="s">
        <v>2501</v>
      </c>
      <c r="F11695" s="1741"/>
      <c r="G11695" s="1741"/>
      <c r="H11695" s="1741"/>
      <c r="V11695" s="1192">
        <v>203</v>
      </c>
    </row>
    <row r="11696" spans="1:22" s="1192" customFormat="1" ht="14.4" x14ac:dyDescent="0.3">
      <c r="A11696" s="1192" t="s">
        <v>188</v>
      </c>
      <c r="E11696" s="1741" t="s">
        <v>2599</v>
      </c>
      <c r="F11696" s="1741"/>
      <c r="G11696" s="1277"/>
      <c r="H11696" s="837">
        <v>1.0481</v>
      </c>
      <c r="V11696" s="1192">
        <v>57</v>
      </c>
    </row>
    <row r="11697" spans="1:22" s="1192" customFormat="1" ht="14.4" x14ac:dyDescent="0.3">
      <c r="A11697" s="1192" t="s">
        <v>188</v>
      </c>
      <c r="E11697" s="1741" t="s">
        <v>2601</v>
      </c>
      <c r="F11697" s="1741"/>
      <c r="G11697" s="1277"/>
      <c r="H11697" s="837">
        <v>1.0385</v>
      </c>
      <c r="J11697" s="1192" t="s">
        <v>5021</v>
      </c>
      <c r="V11697" s="1192">
        <v>55</v>
      </c>
    </row>
    <row r="11698" spans="1:22" s="1192" customFormat="1" ht="22.8" x14ac:dyDescent="0.3">
      <c r="A11698" s="1192" t="s">
        <v>204</v>
      </c>
      <c r="C11698" s="1192" t="s">
        <v>2378</v>
      </c>
      <c r="E11698" s="2039" t="s">
        <v>204</v>
      </c>
      <c r="F11698" s="2039"/>
      <c r="G11698" s="2039"/>
      <c r="H11698" s="2039"/>
      <c r="I11698" s="1192" t="s">
        <v>603</v>
      </c>
      <c r="J11698" s="1192" t="s">
        <v>3694</v>
      </c>
      <c r="K11698" s="1192" t="s">
        <v>204</v>
      </c>
      <c r="M11698" s="1192">
        <v>7</v>
      </c>
      <c r="V11698" s="1192">
        <v>37</v>
      </c>
    </row>
    <row r="11699" spans="1:22" s="1192" customFormat="1" ht="17.399999999999999" x14ac:dyDescent="0.3">
      <c r="A11699" s="1192" t="s">
        <v>204</v>
      </c>
      <c r="C11699" s="1192" t="s">
        <v>2380</v>
      </c>
      <c r="E11699" s="2040" t="s">
        <v>2381</v>
      </c>
      <c r="F11699" s="2040"/>
      <c r="G11699" s="2040"/>
      <c r="H11699" s="2040"/>
      <c r="V11699" s="1192">
        <v>27</v>
      </c>
    </row>
    <row r="11700" spans="1:22" s="1192" customFormat="1" ht="15.6" x14ac:dyDescent="0.3">
      <c r="A11700" s="1192" t="s">
        <v>204</v>
      </c>
      <c r="C11700" s="1192" t="s">
        <v>2382</v>
      </c>
      <c r="E11700" s="2020" t="s">
        <v>6482</v>
      </c>
      <c r="F11700" s="2020"/>
      <c r="G11700" s="2020"/>
      <c r="H11700" s="2020"/>
      <c r="S11700" s="1192">
        <v>43952</v>
      </c>
      <c r="V11700" s="1192">
        <v>45</v>
      </c>
    </row>
    <row r="11701" spans="1:22" s="1192" customFormat="1" ht="14.4" x14ac:dyDescent="0.3">
      <c r="A11701" s="1192" t="s">
        <v>204</v>
      </c>
      <c r="C11701" s="1192" t="s">
        <v>2383</v>
      </c>
      <c r="E11701" s="2021" t="s">
        <v>2384</v>
      </c>
      <c r="F11701" s="2021"/>
      <c r="G11701" s="2021"/>
      <c r="H11701" s="2021"/>
      <c r="V11701" s="1192">
        <v>52</v>
      </c>
    </row>
    <row r="11702" spans="1:22" s="1192" customFormat="1" ht="14.4" x14ac:dyDescent="0.3">
      <c r="A11702" s="1192" t="s">
        <v>204</v>
      </c>
      <c r="E11702" s="2021" t="s">
        <v>2385</v>
      </c>
      <c r="F11702" s="2021"/>
      <c r="G11702" s="2021"/>
      <c r="H11702" s="2021"/>
      <c r="V11702" s="1192">
        <v>53</v>
      </c>
    </row>
    <row r="11703" spans="1:22" s="1192" customFormat="1" ht="14.4" x14ac:dyDescent="0.3">
      <c r="A11703" s="1192" t="s">
        <v>204</v>
      </c>
      <c r="E11703" s="2022" t="s">
        <v>6626</v>
      </c>
      <c r="F11703" s="2022"/>
      <c r="G11703" s="2022"/>
      <c r="H11703" s="2022"/>
      <c r="K11703" s="1192" t="s">
        <v>6626</v>
      </c>
      <c r="V11703" s="1192">
        <v>12</v>
      </c>
    </row>
    <row r="11704" spans="1:22" s="1192" customFormat="1" ht="17.399999999999999" x14ac:dyDescent="0.3">
      <c r="A11704" s="1192" t="s">
        <v>204</v>
      </c>
      <c r="E11704" s="2017" t="s">
        <v>427</v>
      </c>
      <c r="F11704" s="2019"/>
      <c r="G11704" s="2019"/>
      <c r="H11704" s="2019"/>
      <c r="K11704" s="1192" t="s">
        <v>2506</v>
      </c>
      <c r="V11704" s="1192">
        <v>34</v>
      </c>
    </row>
    <row r="11705" spans="1:22" s="1192" customFormat="1" ht="14.4" x14ac:dyDescent="0.3">
      <c r="A11705" s="1192" t="s">
        <v>204</v>
      </c>
      <c r="E11705" s="1743" t="s">
        <v>3695</v>
      </c>
      <c r="F11705" s="1743"/>
      <c r="G11705" s="1743"/>
      <c r="H11705" s="1743"/>
      <c r="K11705" s="1192" t="s">
        <v>2506</v>
      </c>
      <c r="V11705" s="1192">
        <v>349</v>
      </c>
    </row>
    <row r="11706" spans="1:22" s="1192" customFormat="1" ht="14.4" x14ac:dyDescent="0.3">
      <c r="A11706" s="1192" t="s">
        <v>204</v>
      </c>
      <c r="E11706" s="1743" t="s">
        <v>3696</v>
      </c>
      <c r="F11706" s="1743"/>
      <c r="G11706" s="1743"/>
      <c r="H11706" s="1743"/>
      <c r="K11706" s="1192" t="s">
        <v>2506</v>
      </c>
      <c r="V11706" s="1192">
        <v>266</v>
      </c>
    </row>
    <row r="11707" spans="1:22" s="1192" customFormat="1" ht="14.4" x14ac:dyDescent="0.3">
      <c r="A11707" s="1192" t="s">
        <v>204</v>
      </c>
      <c r="E11707" s="2018" t="s">
        <v>2389</v>
      </c>
      <c r="F11707" s="1988"/>
      <c r="G11707" s="1988"/>
      <c r="H11707" s="1988"/>
      <c r="K11707" s="1192" t="s">
        <v>2390</v>
      </c>
      <c r="V11707" s="1192">
        <v>11</v>
      </c>
    </row>
    <row r="11708" spans="1:22" s="1192" customFormat="1" ht="14.4" x14ac:dyDescent="0.3">
      <c r="A11708" s="1192" t="s">
        <v>204</v>
      </c>
      <c r="E11708" s="1743" t="s">
        <v>2391</v>
      </c>
      <c r="F11708" s="1743"/>
      <c r="G11708" s="1743"/>
      <c r="H11708" s="1743"/>
      <c r="K11708" s="1192" t="s">
        <v>2506</v>
      </c>
      <c r="V11708" s="1192">
        <v>280</v>
      </c>
    </row>
    <row r="11709" spans="1:22" s="1192" customFormat="1" ht="14.4" x14ac:dyDescent="0.3">
      <c r="A11709" s="1192" t="s">
        <v>204</v>
      </c>
      <c r="E11709" s="1743" t="s">
        <v>2392</v>
      </c>
      <c r="F11709" s="1743"/>
      <c r="G11709" s="1743"/>
      <c r="H11709" s="1743"/>
      <c r="K11709" s="1192" t="s">
        <v>2506</v>
      </c>
      <c r="V11709" s="1192">
        <v>411</v>
      </c>
    </row>
    <row r="11710" spans="1:22" s="1192" customFormat="1" ht="14.4" x14ac:dyDescent="0.3">
      <c r="A11710" s="1192" t="s">
        <v>204</v>
      </c>
      <c r="E11710" s="1743" t="s">
        <v>2508</v>
      </c>
      <c r="F11710" s="1743"/>
      <c r="G11710" s="1743"/>
      <c r="H11710" s="1743"/>
      <c r="K11710" s="1192" t="s">
        <v>2506</v>
      </c>
      <c r="V11710" s="1192">
        <v>386</v>
      </c>
    </row>
    <row r="11711" spans="1:22" s="1192" customFormat="1" ht="14.4" x14ac:dyDescent="0.3">
      <c r="A11711" s="1192" t="s">
        <v>204</v>
      </c>
      <c r="E11711" s="1743" t="s">
        <v>2986</v>
      </c>
      <c r="F11711" s="1743"/>
      <c r="G11711" s="1743"/>
      <c r="H11711" s="1743"/>
      <c r="K11711" s="1192" t="s">
        <v>2506</v>
      </c>
      <c r="V11711" s="1192">
        <v>246</v>
      </c>
    </row>
    <row r="11712" spans="1:22" s="1192" customFormat="1" ht="14.4" x14ac:dyDescent="0.3">
      <c r="A11712" s="1192" t="s">
        <v>204</v>
      </c>
      <c r="E11712" s="2018" t="s">
        <v>2394</v>
      </c>
      <c r="F11712" s="1988"/>
      <c r="G11712" s="1988"/>
      <c r="H11712" s="1988"/>
      <c r="K11712" s="1192" t="s">
        <v>2395</v>
      </c>
      <c r="V11712" s="1192">
        <v>46</v>
      </c>
    </row>
    <row r="11713" spans="1:22" s="1192" customFormat="1" ht="14.4" x14ac:dyDescent="0.3">
      <c r="A11713" s="1192" t="s">
        <v>204</v>
      </c>
      <c r="E11713" s="1741" t="s">
        <v>3697</v>
      </c>
      <c r="F11713" s="1741"/>
      <c r="G11713" s="1277" t="s">
        <v>19</v>
      </c>
      <c r="H11713" s="1218">
        <v>26.09</v>
      </c>
      <c r="K11713" s="1192" t="s">
        <v>2506</v>
      </c>
      <c r="L11713" s="1192" t="s">
        <v>430</v>
      </c>
      <c r="P11713" s="1192" t="s">
        <v>2510</v>
      </c>
      <c r="V11713" s="1192">
        <v>15</v>
      </c>
    </row>
    <row r="11714" spans="1:22" s="1192" customFormat="1" ht="14.4" x14ac:dyDescent="0.3">
      <c r="A11714" s="1192" t="s">
        <v>204</v>
      </c>
      <c r="E11714" s="1741" t="s">
        <v>6627</v>
      </c>
      <c r="F11714" s="1741"/>
      <c r="G11714" s="1277" t="s">
        <v>19</v>
      </c>
      <c r="H11714" s="1218">
        <v>0.52</v>
      </c>
      <c r="K11714" s="1192" t="s">
        <v>2506</v>
      </c>
      <c r="L11714" s="1192" t="s">
        <v>430</v>
      </c>
      <c r="P11714" s="1192" t="s">
        <v>6628</v>
      </c>
      <c r="V11714" s="1192">
        <v>128</v>
      </c>
    </row>
    <row r="11715" spans="1:22" s="1192" customFormat="1" ht="14.4" x14ac:dyDescent="0.3">
      <c r="A11715" s="1192" t="s">
        <v>204</v>
      </c>
      <c r="E11715" s="1741" t="s">
        <v>3900</v>
      </c>
      <c r="F11715" s="1741"/>
      <c r="G11715" s="1277" t="s">
        <v>19</v>
      </c>
      <c r="H11715" s="1218">
        <v>0.56999999999999995</v>
      </c>
      <c r="K11715" s="1192" t="s">
        <v>2506</v>
      </c>
      <c r="L11715" s="1192" t="s">
        <v>431</v>
      </c>
      <c r="P11715" s="1192" t="s">
        <v>2511</v>
      </c>
      <c r="T11715" s="1192">
        <v>44926</v>
      </c>
      <c r="V11715" s="1192">
        <v>64</v>
      </c>
    </row>
    <row r="11716" spans="1:22" s="1192" customFormat="1" ht="14.4" x14ac:dyDescent="0.3">
      <c r="A11716" s="1192" t="s">
        <v>204</v>
      </c>
      <c r="E11716" s="1741" t="s">
        <v>3698</v>
      </c>
      <c r="F11716" s="1741"/>
      <c r="G11716" s="1277" t="s">
        <v>20</v>
      </c>
      <c r="H11716" s="1219">
        <v>4.8999999999999998E-3</v>
      </c>
      <c r="K11716" s="1192" t="s">
        <v>2506</v>
      </c>
      <c r="L11716" s="1192" t="s">
        <v>431</v>
      </c>
      <c r="P11716" s="1192" t="s">
        <v>2513</v>
      </c>
      <c r="V11716" s="1192">
        <v>25</v>
      </c>
    </row>
    <row r="11717" spans="1:22" s="1192" customFormat="1" ht="14.4" x14ac:dyDescent="0.3">
      <c r="A11717" s="1192" t="s">
        <v>204</v>
      </c>
      <c r="E11717" s="1741" t="s">
        <v>6506</v>
      </c>
      <c r="F11717" s="1998"/>
      <c r="G11717" s="1277" t="s">
        <v>20</v>
      </c>
      <c r="H11717" s="1219">
        <v>-3.3999999999999998E-3</v>
      </c>
      <c r="K11717" s="1192" t="s">
        <v>2506</v>
      </c>
      <c r="L11717" s="1192" t="s">
        <v>431</v>
      </c>
      <c r="P11717" s="1192" t="s">
        <v>2514</v>
      </c>
      <c r="T11717" s="1192">
        <v>44316</v>
      </c>
      <c r="V11717" s="1192">
        <v>139</v>
      </c>
    </row>
    <row r="11718" spans="1:22" s="1192" customFormat="1" ht="14.4" x14ac:dyDescent="0.3">
      <c r="A11718" s="1192" t="s">
        <v>204</v>
      </c>
      <c r="E11718" s="1741" t="s">
        <v>6495</v>
      </c>
      <c r="F11718" s="1998"/>
      <c r="G11718" s="1277" t="s">
        <v>20</v>
      </c>
      <c r="H11718" s="1219">
        <v>5.9999999999999995E-4</v>
      </c>
      <c r="K11718" s="1192" t="s">
        <v>2506</v>
      </c>
      <c r="L11718" s="1192" t="s">
        <v>430</v>
      </c>
      <c r="P11718" s="1192" t="s">
        <v>2515</v>
      </c>
      <c r="T11718" s="1192">
        <v>44316</v>
      </c>
      <c r="V11718" s="1192">
        <v>136</v>
      </c>
    </row>
    <row r="11719" spans="1:22" s="1192" customFormat="1" ht="14.4" x14ac:dyDescent="0.3">
      <c r="A11719" s="1192" t="s">
        <v>204</v>
      </c>
      <c r="E11719" s="1741" t="s">
        <v>6508</v>
      </c>
      <c r="F11719" s="1998"/>
      <c r="G11719" s="1277" t="s">
        <v>20</v>
      </c>
      <c r="H11719" s="1219">
        <v>-2.8999999999999998E-3</v>
      </c>
      <c r="K11719" s="1192" t="s">
        <v>2506</v>
      </c>
      <c r="L11719" s="1192" t="s">
        <v>431</v>
      </c>
      <c r="P11719" s="1192" t="s">
        <v>2516</v>
      </c>
      <c r="T11719" s="1192">
        <v>44316</v>
      </c>
      <c r="V11719" s="1192">
        <v>96</v>
      </c>
    </row>
    <row r="11720" spans="1:22" s="1192" customFormat="1" ht="14.4" x14ac:dyDescent="0.3">
      <c r="A11720" s="1192" t="s">
        <v>204</v>
      </c>
      <c r="E11720" s="1741" t="s">
        <v>3699</v>
      </c>
      <c r="F11720" s="1741"/>
      <c r="G11720" s="1277" t="s">
        <v>20</v>
      </c>
      <c r="H11720" s="1219">
        <v>6.4999999999999997E-3</v>
      </c>
      <c r="K11720" s="1192" t="s">
        <v>2506</v>
      </c>
      <c r="L11720" s="1192" t="s">
        <v>432</v>
      </c>
      <c r="P11720" s="1192" t="s">
        <v>2517</v>
      </c>
      <c r="V11720" s="1192">
        <v>48</v>
      </c>
    </row>
    <row r="11721" spans="1:22" s="1192" customFormat="1" ht="14.4" x14ac:dyDescent="0.3">
      <c r="A11721" s="1192" t="s">
        <v>204</v>
      </c>
      <c r="E11721" s="1741" t="s">
        <v>2847</v>
      </c>
      <c r="F11721" s="1741"/>
      <c r="G11721" s="1277" t="s">
        <v>20</v>
      </c>
      <c r="H11721" s="1219">
        <v>5.4999999999999997E-3</v>
      </c>
      <c r="K11721" s="1192" t="s">
        <v>2506</v>
      </c>
      <c r="L11721" s="1192" t="s">
        <v>432</v>
      </c>
      <c r="P11721" s="1192" t="s">
        <v>2518</v>
      </c>
      <c r="V11721" s="1192">
        <v>75</v>
      </c>
    </row>
    <row r="11722" spans="1:22" s="1192" customFormat="1" ht="14.4" x14ac:dyDescent="0.3">
      <c r="A11722" s="1192" t="s">
        <v>204</v>
      </c>
      <c r="E11722" s="1750" t="s">
        <v>2405</v>
      </c>
      <c r="F11722" s="1741"/>
      <c r="G11722" s="1277"/>
      <c r="H11722" s="896"/>
      <c r="K11722" s="1192" t="s">
        <v>2406</v>
      </c>
      <c r="V11722" s="1192">
        <v>48</v>
      </c>
    </row>
    <row r="11723" spans="1:22" s="1192" customFormat="1" ht="14.4" x14ac:dyDescent="0.3">
      <c r="A11723" s="1192" t="s">
        <v>204</v>
      </c>
      <c r="E11723" s="1741" t="s">
        <v>2033</v>
      </c>
      <c r="F11723" s="1741"/>
      <c r="G11723" s="1277" t="s">
        <v>20</v>
      </c>
      <c r="H11723" s="1219">
        <v>3.0000000000000001E-3</v>
      </c>
      <c r="K11723" s="1192" t="s">
        <v>2506</v>
      </c>
      <c r="L11723" s="1192" t="s">
        <v>2374</v>
      </c>
      <c r="P11723" s="1192" t="s">
        <v>2519</v>
      </c>
      <c r="V11723" s="1192">
        <v>55</v>
      </c>
    </row>
    <row r="11724" spans="1:22" s="1192" customFormat="1" ht="14.4" x14ac:dyDescent="0.3">
      <c r="A11724" s="1192" t="s">
        <v>204</v>
      </c>
      <c r="E11724" s="1741" t="s">
        <v>2034</v>
      </c>
      <c r="F11724" s="1741"/>
      <c r="G11724" s="1277" t="s">
        <v>20</v>
      </c>
      <c r="H11724" s="1219">
        <v>4.0000000000000002E-4</v>
      </c>
      <c r="K11724" s="1192" t="s">
        <v>2506</v>
      </c>
      <c r="L11724" s="1192" t="s">
        <v>2374</v>
      </c>
      <c r="P11724" s="1192" t="s">
        <v>2519</v>
      </c>
      <c r="V11724" s="1192">
        <v>65</v>
      </c>
    </row>
    <row r="11725" spans="1:22" s="1192" customFormat="1" ht="14.4" x14ac:dyDescent="0.3">
      <c r="A11725" s="1192" t="s">
        <v>204</v>
      </c>
      <c r="E11725" s="1741" t="s">
        <v>428</v>
      </c>
      <c r="F11725" s="1741"/>
      <c r="G11725" s="1277" t="s">
        <v>20</v>
      </c>
      <c r="H11725" s="1219">
        <v>5.0000000000000001E-4</v>
      </c>
      <c r="K11725" s="1192" t="s">
        <v>2506</v>
      </c>
      <c r="L11725" s="1192" t="s">
        <v>2374</v>
      </c>
      <c r="P11725" s="1192" t="s">
        <v>2520</v>
      </c>
      <c r="V11725" s="1192">
        <v>57</v>
      </c>
    </row>
    <row r="11726" spans="1:22" s="1192" customFormat="1" ht="14.4" x14ac:dyDescent="0.3">
      <c r="A11726" s="1192" t="s">
        <v>204</v>
      </c>
      <c r="E11726" s="1741" t="s">
        <v>28</v>
      </c>
      <c r="F11726" s="1741"/>
      <c r="G11726" s="1277" t="s">
        <v>19</v>
      </c>
      <c r="H11726" s="1218">
        <v>0.25</v>
      </c>
      <c r="K11726" s="1192" t="s">
        <v>2506</v>
      </c>
      <c r="L11726" s="1192" t="s">
        <v>2374</v>
      </c>
      <c r="P11726" s="1192" t="s">
        <v>2521</v>
      </c>
      <c r="V11726" s="1192">
        <v>63</v>
      </c>
    </row>
    <row r="11727" spans="1:22" s="1192" customFormat="1" ht="17.399999999999999" x14ac:dyDescent="0.3">
      <c r="A11727" s="1192" t="s">
        <v>204</v>
      </c>
      <c r="E11727" s="2017" t="s">
        <v>2522</v>
      </c>
      <c r="F11727" s="2017"/>
      <c r="G11727" s="2017"/>
      <c r="H11727" s="2017"/>
      <c r="K11727" s="1192" t="s">
        <v>3901</v>
      </c>
      <c r="V11727" s="1192">
        <v>54</v>
      </c>
    </row>
    <row r="11728" spans="1:22" s="1192" customFormat="1" ht="14.4" x14ac:dyDescent="0.3">
      <c r="A11728" s="1192" t="s">
        <v>204</v>
      </c>
      <c r="E11728" s="1743" t="s">
        <v>4222</v>
      </c>
      <c r="F11728" s="1743"/>
      <c r="G11728" s="1743"/>
      <c r="H11728" s="1743"/>
      <c r="K11728" s="1192" t="s">
        <v>3901</v>
      </c>
      <c r="V11728" s="1192">
        <v>335</v>
      </c>
    </row>
    <row r="11729" spans="1:22" s="1192" customFormat="1" ht="14.4" x14ac:dyDescent="0.3">
      <c r="A11729" s="1192" t="s">
        <v>204</v>
      </c>
      <c r="E11729" s="2018" t="s">
        <v>2389</v>
      </c>
      <c r="F11729" s="1988"/>
      <c r="G11729" s="1988"/>
      <c r="H11729" s="1988"/>
      <c r="K11729" s="1192" t="s">
        <v>2412</v>
      </c>
      <c r="V11729" s="1192">
        <v>11</v>
      </c>
    </row>
    <row r="11730" spans="1:22" s="1192" customFormat="1" ht="14.4" x14ac:dyDescent="0.3">
      <c r="A11730" s="1192" t="s">
        <v>204</v>
      </c>
      <c r="E11730" s="1743" t="s">
        <v>2391</v>
      </c>
      <c r="F11730" s="1743"/>
      <c r="G11730" s="1743"/>
      <c r="H11730" s="1743"/>
      <c r="K11730" s="1192" t="s">
        <v>3901</v>
      </c>
      <c r="V11730" s="1192">
        <v>280</v>
      </c>
    </row>
    <row r="11731" spans="1:22" s="1192" customFormat="1" ht="14.4" x14ac:dyDescent="0.3">
      <c r="A11731" s="1192" t="s">
        <v>204</v>
      </c>
      <c r="E11731" s="1743" t="s">
        <v>2392</v>
      </c>
      <c r="F11731" s="1743"/>
      <c r="G11731" s="1743"/>
      <c r="H11731" s="1743"/>
      <c r="K11731" s="1192" t="s">
        <v>3901</v>
      </c>
      <c r="V11731" s="1192">
        <v>411</v>
      </c>
    </row>
    <row r="11732" spans="1:22" s="1192" customFormat="1" ht="14.4" x14ac:dyDescent="0.3">
      <c r="A11732" s="1192" t="s">
        <v>204</v>
      </c>
      <c r="E11732" s="1743" t="s">
        <v>2508</v>
      </c>
      <c r="F11732" s="1743"/>
      <c r="G11732" s="1743"/>
      <c r="H11732" s="1743"/>
      <c r="K11732" s="1192" t="s">
        <v>3901</v>
      </c>
      <c r="V11732" s="1192">
        <v>386</v>
      </c>
    </row>
    <row r="11733" spans="1:22" s="1192" customFormat="1" ht="14.4" x14ac:dyDescent="0.3">
      <c r="A11733" s="1192" t="s">
        <v>204</v>
      </c>
      <c r="E11733" s="1743" t="s">
        <v>4728</v>
      </c>
      <c r="F11733" s="1743"/>
      <c r="G11733" s="1743"/>
      <c r="H11733" s="1743"/>
      <c r="K11733" s="1192" t="s">
        <v>3901</v>
      </c>
      <c r="V11733" s="1192">
        <v>247</v>
      </c>
    </row>
    <row r="11734" spans="1:22" s="1192" customFormat="1" ht="14.4" x14ac:dyDescent="0.3">
      <c r="A11734" s="1192" t="s">
        <v>204</v>
      </c>
      <c r="E11734" s="2018" t="s">
        <v>2394</v>
      </c>
      <c r="F11734" s="1988"/>
      <c r="G11734" s="1988"/>
      <c r="H11734" s="1988"/>
      <c r="K11734" s="1192" t="s">
        <v>2413</v>
      </c>
      <c r="V11734" s="1192">
        <v>46</v>
      </c>
    </row>
    <row r="11735" spans="1:22" s="1192" customFormat="1" ht="14.4" x14ac:dyDescent="0.3">
      <c r="A11735" s="1192" t="s">
        <v>204</v>
      </c>
      <c r="E11735" s="1741" t="s">
        <v>3697</v>
      </c>
      <c r="F11735" s="1741"/>
      <c r="G11735" s="1277" t="s">
        <v>19</v>
      </c>
      <c r="H11735" s="1218">
        <v>31.69</v>
      </c>
      <c r="K11735" s="1192" t="s">
        <v>3901</v>
      </c>
      <c r="L11735" s="1192" t="s">
        <v>430</v>
      </c>
      <c r="P11735" s="1192" t="s">
        <v>3902</v>
      </c>
      <c r="V11735" s="1192">
        <v>15</v>
      </c>
    </row>
    <row r="11736" spans="1:22" s="1192" customFormat="1" ht="14.4" x14ac:dyDescent="0.3">
      <c r="A11736" s="1192" t="s">
        <v>204</v>
      </c>
      <c r="E11736" s="1741" t="s">
        <v>6627</v>
      </c>
      <c r="F11736" s="1741"/>
      <c r="G11736" s="1277" t="s">
        <v>19</v>
      </c>
      <c r="H11736" s="1218">
        <v>1.1399999999999999</v>
      </c>
      <c r="K11736" s="1192" t="s">
        <v>3901</v>
      </c>
      <c r="L11736" s="1192" t="s">
        <v>430</v>
      </c>
      <c r="P11736" s="1192" t="s">
        <v>4690</v>
      </c>
      <c r="V11736" s="1192">
        <v>128</v>
      </c>
    </row>
    <row r="11737" spans="1:22" s="1192" customFormat="1" ht="14.4" x14ac:dyDescent="0.3">
      <c r="A11737" s="1192" t="s">
        <v>204</v>
      </c>
      <c r="E11737" s="1741" t="s">
        <v>3900</v>
      </c>
      <c r="F11737" s="1741"/>
      <c r="G11737" s="1277" t="s">
        <v>19</v>
      </c>
      <c r="H11737" s="1218">
        <v>0.56999999999999995</v>
      </c>
      <c r="K11737" s="1192" t="s">
        <v>3901</v>
      </c>
      <c r="L11737" s="1192" t="s">
        <v>431</v>
      </c>
      <c r="P11737" s="1192" t="s">
        <v>3903</v>
      </c>
      <c r="T11737" s="1192">
        <v>44926</v>
      </c>
      <c r="V11737" s="1192">
        <v>64</v>
      </c>
    </row>
    <row r="11738" spans="1:22" s="1192" customFormat="1" ht="14.4" x14ac:dyDescent="0.3">
      <c r="A11738" s="1192" t="s">
        <v>204</v>
      </c>
      <c r="E11738" s="1741" t="s">
        <v>2426</v>
      </c>
      <c r="F11738" s="1741"/>
      <c r="G11738" s="1277" t="s">
        <v>20</v>
      </c>
      <c r="H11738" s="1219">
        <v>1.14E-2</v>
      </c>
      <c r="K11738" s="1192" t="s">
        <v>3901</v>
      </c>
      <c r="L11738" s="1192" t="s">
        <v>430</v>
      </c>
      <c r="P11738" s="1192" t="s">
        <v>3904</v>
      </c>
      <c r="V11738" s="1192">
        <v>29</v>
      </c>
    </row>
    <row r="11739" spans="1:22" s="1192" customFormat="1" ht="14.4" x14ac:dyDescent="0.3">
      <c r="A11739" s="1192" t="s">
        <v>204</v>
      </c>
      <c r="E11739" s="1741" t="s">
        <v>3698</v>
      </c>
      <c r="F11739" s="1741"/>
      <c r="G11739" s="1277" t="s">
        <v>20</v>
      </c>
      <c r="H11739" s="1219">
        <v>4.4999999999999997E-3</v>
      </c>
      <c r="K11739" s="1192" t="s">
        <v>3901</v>
      </c>
      <c r="L11739" s="1192" t="s">
        <v>431</v>
      </c>
      <c r="P11739" s="1192" t="s">
        <v>3905</v>
      </c>
      <c r="V11739" s="1192">
        <v>25</v>
      </c>
    </row>
    <row r="11740" spans="1:22" s="1192" customFormat="1" ht="14.4" x14ac:dyDescent="0.3">
      <c r="A11740" s="1192" t="s">
        <v>204</v>
      </c>
      <c r="E11740" s="1741" t="s">
        <v>6506</v>
      </c>
      <c r="F11740" s="1998"/>
      <c r="G11740" s="1277" t="s">
        <v>20</v>
      </c>
      <c r="H11740" s="1219">
        <v>-3.3999999999999998E-3</v>
      </c>
      <c r="K11740" s="1192" t="s">
        <v>3901</v>
      </c>
      <c r="L11740" s="1192" t="s">
        <v>431</v>
      </c>
      <c r="P11740" s="1192" t="s">
        <v>3700</v>
      </c>
      <c r="T11740" s="1192">
        <v>44316</v>
      </c>
      <c r="V11740" s="1192">
        <v>139</v>
      </c>
    </row>
    <row r="11741" spans="1:22" s="1192" customFormat="1" ht="14.4" x14ac:dyDescent="0.3">
      <c r="A11741" s="1192" t="s">
        <v>204</v>
      </c>
      <c r="E11741" s="1741" t="s">
        <v>6495</v>
      </c>
      <c r="F11741" s="1998"/>
      <c r="G11741" s="1277" t="s">
        <v>20</v>
      </c>
      <c r="H11741" s="1219">
        <v>1.1000000000000001E-3</v>
      </c>
      <c r="K11741" s="1192" t="s">
        <v>3901</v>
      </c>
      <c r="L11741" s="1192" t="s">
        <v>430</v>
      </c>
      <c r="P11741" s="1192" t="s">
        <v>4000</v>
      </c>
      <c r="T11741" s="1192">
        <v>44316</v>
      </c>
      <c r="V11741" s="1192">
        <v>136</v>
      </c>
    </row>
    <row r="11742" spans="1:22" s="1192" customFormat="1" ht="14.4" x14ac:dyDescent="0.3">
      <c r="A11742" s="1192" t="s">
        <v>204</v>
      </c>
      <c r="E11742" s="1741" t="s">
        <v>6508</v>
      </c>
      <c r="F11742" s="1998"/>
      <c r="G11742" s="1277" t="s">
        <v>20</v>
      </c>
      <c r="H11742" s="1219">
        <v>-2.8E-3</v>
      </c>
      <c r="K11742" s="1192" t="s">
        <v>3901</v>
      </c>
      <c r="L11742" s="1192" t="s">
        <v>431</v>
      </c>
      <c r="P11742" s="1192" t="s">
        <v>3911</v>
      </c>
      <c r="T11742" s="1192">
        <v>44316</v>
      </c>
      <c r="V11742" s="1192">
        <v>96</v>
      </c>
    </row>
    <row r="11743" spans="1:22" s="1192" customFormat="1" ht="14.4" x14ac:dyDescent="0.3">
      <c r="A11743" s="1192" t="s">
        <v>204</v>
      </c>
      <c r="E11743" s="1741" t="s">
        <v>3699</v>
      </c>
      <c r="F11743" s="1741"/>
      <c r="G11743" s="1277" t="s">
        <v>20</v>
      </c>
      <c r="H11743" s="1219">
        <v>6.0000000000000001E-3</v>
      </c>
      <c r="K11743" s="1192" t="s">
        <v>3901</v>
      </c>
      <c r="L11743" s="1192" t="s">
        <v>432</v>
      </c>
      <c r="P11743" s="1192" t="s">
        <v>3906</v>
      </c>
      <c r="V11743" s="1192">
        <v>48</v>
      </c>
    </row>
    <row r="11744" spans="1:22" s="1192" customFormat="1" ht="14.4" x14ac:dyDescent="0.3">
      <c r="A11744" s="1192" t="s">
        <v>204</v>
      </c>
      <c r="E11744" s="1741" t="s">
        <v>2847</v>
      </c>
      <c r="F11744" s="1741"/>
      <c r="G11744" s="1277" t="s">
        <v>20</v>
      </c>
      <c r="H11744" s="1219">
        <v>5.0000000000000001E-3</v>
      </c>
      <c r="K11744" s="1192" t="s">
        <v>3901</v>
      </c>
      <c r="L11744" s="1192" t="s">
        <v>432</v>
      </c>
      <c r="P11744" s="1192" t="s">
        <v>3907</v>
      </c>
      <c r="V11744" s="1192">
        <v>75</v>
      </c>
    </row>
    <row r="11745" spans="1:22" s="1192" customFormat="1" ht="14.4" x14ac:dyDescent="0.3">
      <c r="A11745" s="1192" t="s">
        <v>204</v>
      </c>
      <c r="E11745" s="1750" t="s">
        <v>2405</v>
      </c>
      <c r="F11745" s="1741"/>
      <c r="G11745" s="1277"/>
      <c r="H11745" s="931"/>
      <c r="K11745" s="1192" t="s">
        <v>2418</v>
      </c>
      <c r="V11745" s="1192">
        <v>48</v>
      </c>
    </row>
    <row r="11746" spans="1:22" s="1192" customFormat="1" ht="14.4" x14ac:dyDescent="0.3">
      <c r="A11746" s="1192" t="s">
        <v>204</v>
      </c>
      <c r="E11746" s="1741" t="s">
        <v>2033</v>
      </c>
      <c r="F11746" s="1741"/>
      <c r="G11746" s="1277" t="s">
        <v>20</v>
      </c>
      <c r="H11746" s="1219">
        <v>3.0000000000000001E-3</v>
      </c>
      <c r="K11746" s="1192" t="s">
        <v>3901</v>
      </c>
      <c r="L11746" s="1192" t="s">
        <v>2374</v>
      </c>
      <c r="P11746" s="1192" t="s">
        <v>3908</v>
      </c>
      <c r="V11746" s="1192">
        <v>55</v>
      </c>
    </row>
    <row r="11747" spans="1:22" s="1192" customFormat="1" ht="14.4" x14ac:dyDescent="0.3">
      <c r="A11747" s="1192" t="s">
        <v>204</v>
      </c>
      <c r="E11747" s="1741" t="s">
        <v>2034</v>
      </c>
      <c r="F11747" s="1741"/>
      <c r="G11747" s="1277" t="s">
        <v>20</v>
      </c>
      <c r="H11747" s="1219">
        <v>4.0000000000000002E-4</v>
      </c>
      <c r="K11747" s="1192" t="s">
        <v>3901</v>
      </c>
      <c r="L11747" s="1192" t="s">
        <v>2374</v>
      </c>
      <c r="P11747" s="1192" t="s">
        <v>3908</v>
      </c>
      <c r="V11747" s="1192">
        <v>65</v>
      </c>
    </row>
    <row r="11748" spans="1:22" s="1192" customFormat="1" ht="14.4" x14ac:dyDescent="0.3">
      <c r="A11748" s="1192" t="s">
        <v>204</v>
      </c>
      <c r="E11748" s="1741" t="s">
        <v>428</v>
      </c>
      <c r="F11748" s="1741"/>
      <c r="G11748" s="1277" t="s">
        <v>20</v>
      </c>
      <c r="H11748" s="1219">
        <v>5.0000000000000001E-4</v>
      </c>
      <c r="K11748" s="1192" t="s">
        <v>3901</v>
      </c>
      <c r="L11748" s="1192" t="s">
        <v>2374</v>
      </c>
      <c r="P11748" s="1192" t="s">
        <v>3909</v>
      </c>
      <c r="V11748" s="1192">
        <v>57</v>
      </c>
    </row>
    <row r="11749" spans="1:22" s="1192" customFormat="1" ht="14.4" x14ac:dyDescent="0.3">
      <c r="A11749" s="1192" t="s">
        <v>204</v>
      </c>
      <c r="E11749" s="1741" t="s">
        <v>28</v>
      </c>
      <c r="F11749" s="1741"/>
      <c r="G11749" s="1277" t="s">
        <v>19</v>
      </c>
      <c r="H11749" s="1218">
        <v>0.25</v>
      </c>
      <c r="K11749" s="1192" t="s">
        <v>3901</v>
      </c>
      <c r="L11749" s="1192" t="s">
        <v>2374</v>
      </c>
      <c r="P11749" s="1192" t="s">
        <v>3910</v>
      </c>
      <c r="V11749" s="1192">
        <v>63</v>
      </c>
    </row>
    <row r="11750" spans="1:22" s="1192" customFormat="1" ht="17.399999999999999" x14ac:dyDescent="0.3">
      <c r="A11750" s="1192" t="s">
        <v>204</v>
      </c>
      <c r="E11750" s="2017" t="s">
        <v>591</v>
      </c>
      <c r="F11750" s="2017"/>
      <c r="G11750" s="2017"/>
      <c r="H11750" s="2017"/>
      <c r="K11750" s="1192" t="s">
        <v>4388</v>
      </c>
      <c r="V11750" s="1192">
        <v>53</v>
      </c>
    </row>
    <row r="11751" spans="1:22" s="1192" customFormat="1" ht="14.4" x14ac:dyDescent="0.3">
      <c r="A11751" s="1192" t="s">
        <v>204</v>
      </c>
      <c r="E11751" s="1743" t="s">
        <v>3701</v>
      </c>
      <c r="F11751" s="1743"/>
      <c r="G11751" s="1743"/>
      <c r="H11751" s="1743"/>
      <c r="K11751" s="1192" t="s">
        <v>4388</v>
      </c>
      <c r="V11751" s="1192">
        <v>386</v>
      </c>
    </row>
    <row r="11752" spans="1:22" s="1192" customFormat="1" ht="14.4" x14ac:dyDescent="0.3">
      <c r="A11752" s="1192" t="s">
        <v>204</v>
      </c>
      <c r="E11752" s="2018" t="s">
        <v>2389</v>
      </c>
      <c r="F11752" s="1988"/>
      <c r="G11752" s="1988"/>
      <c r="H11752" s="1988"/>
      <c r="K11752" s="1192" t="s">
        <v>2422</v>
      </c>
      <c r="V11752" s="1192">
        <v>11</v>
      </c>
    </row>
    <row r="11753" spans="1:22" s="1192" customFormat="1" ht="14.4" x14ac:dyDescent="0.3">
      <c r="A11753" s="1192" t="s">
        <v>204</v>
      </c>
      <c r="E11753" s="1743" t="s">
        <v>2391</v>
      </c>
      <c r="F11753" s="1743"/>
      <c r="G11753" s="1743"/>
      <c r="H11753" s="1743"/>
      <c r="K11753" s="1192" t="s">
        <v>4388</v>
      </c>
      <c r="V11753" s="1192">
        <v>280</v>
      </c>
    </row>
    <row r="11754" spans="1:22" s="1192" customFormat="1" ht="14.4" x14ac:dyDescent="0.3">
      <c r="A11754" s="1192" t="s">
        <v>204</v>
      </c>
      <c r="E11754" s="1743" t="s">
        <v>2392</v>
      </c>
      <c r="F11754" s="1743"/>
      <c r="G11754" s="1743"/>
      <c r="H11754" s="1743"/>
      <c r="K11754" s="1192" t="s">
        <v>4388</v>
      </c>
      <c r="V11754" s="1192">
        <v>411</v>
      </c>
    </row>
    <row r="11755" spans="1:22" s="1192" customFormat="1" ht="14.4" x14ac:dyDescent="0.3">
      <c r="A11755" s="1192" t="s">
        <v>204</v>
      </c>
      <c r="E11755" s="1743" t="s">
        <v>2508</v>
      </c>
      <c r="F11755" s="1743"/>
      <c r="G11755" s="1743"/>
      <c r="H11755" s="1743"/>
      <c r="K11755" s="1192" t="s">
        <v>4388</v>
      </c>
      <c r="V11755" s="1192">
        <v>386</v>
      </c>
    </row>
    <row r="11756" spans="1:22" s="1192" customFormat="1" ht="14.4" x14ac:dyDescent="0.3">
      <c r="A11756" s="1192" t="s">
        <v>204</v>
      </c>
      <c r="E11756" s="1743" t="s">
        <v>4605</v>
      </c>
      <c r="F11756" s="1743"/>
      <c r="G11756" s="1743"/>
      <c r="H11756" s="1743"/>
      <c r="K11756" s="1192" t="s">
        <v>4388</v>
      </c>
      <c r="V11756" s="1192">
        <v>684</v>
      </c>
    </row>
    <row r="11757" spans="1:22" s="1192" customFormat="1" ht="14.4" x14ac:dyDescent="0.3">
      <c r="A11757" s="1192" t="s">
        <v>204</v>
      </c>
      <c r="E11757" s="1743" t="s">
        <v>4503</v>
      </c>
      <c r="F11757" s="1743"/>
      <c r="G11757" s="1743"/>
      <c r="H11757" s="1743"/>
      <c r="K11757" s="1192" t="s">
        <v>4388</v>
      </c>
      <c r="V11757" s="1192">
        <v>677</v>
      </c>
    </row>
    <row r="11758" spans="1:22" s="1192" customFormat="1" ht="14.4" x14ac:dyDescent="0.3">
      <c r="A11758" s="1192" t="s">
        <v>204</v>
      </c>
      <c r="E11758" s="1743" t="s">
        <v>4728</v>
      </c>
      <c r="F11758" s="1743"/>
      <c r="G11758" s="1743"/>
      <c r="H11758" s="1743"/>
      <c r="K11758" s="1192" t="s">
        <v>4388</v>
      </c>
      <c r="V11758" s="1192">
        <v>247</v>
      </c>
    </row>
    <row r="11759" spans="1:22" s="1192" customFormat="1" ht="14.4" x14ac:dyDescent="0.3">
      <c r="A11759" s="1192" t="s">
        <v>204</v>
      </c>
      <c r="E11759" s="2018" t="s">
        <v>2394</v>
      </c>
      <c r="F11759" s="1988"/>
      <c r="G11759" s="1988"/>
      <c r="H11759" s="1988"/>
      <c r="K11759" s="1192" t="s">
        <v>2423</v>
      </c>
      <c r="V11759" s="1192">
        <v>46</v>
      </c>
    </row>
    <row r="11760" spans="1:22" s="1192" customFormat="1" ht="14.4" x14ac:dyDescent="0.3">
      <c r="A11760" s="1192" t="s">
        <v>204</v>
      </c>
      <c r="E11760" s="1741" t="s">
        <v>3697</v>
      </c>
      <c r="F11760" s="1741"/>
      <c r="G11760" s="1277" t="s">
        <v>19</v>
      </c>
      <c r="H11760" s="1218">
        <v>302.04000000000002</v>
      </c>
      <c r="K11760" s="1192" t="s">
        <v>4388</v>
      </c>
      <c r="L11760" s="1192" t="s">
        <v>430</v>
      </c>
      <c r="P11760" s="1192" t="s">
        <v>4389</v>
      </c>
      <c r="V11760" s="1192">
        <v>15</v>
      </c>
    </row>
    <row r="11761" spans="1:22" s="1192" customFormat="1" ht="14.4" x14ac:dyDescent="0.3">
      <c r="A11761" s="1192" t="s">
        <v>204</v>
      </c>
      <c r="E11761" s="1741" t="s">
        <v>6627</v>
      </c>
      <c r="F11761" s="1741"/>
      <c r="G11761" s="1277" t="s">
        <v>19</v>
      </c>
      <c r="H11761" s="1218">
        <v>12.86</v>
      </c>
      <c r="K11761" s="1192" t="s">
        <v>4388</v>
      </c>
      <c r="L11761" s="1192" t="s">
        <v>430</v>
      </c>
      <c r="P11761" s="1192" t="s">
        <v>6629</v>
      </c>
      <c r="V11761" s="1192">
        <v>128</v>
      </c>
    </row>
    <row r="11762" spans="1:22" s="1192" customFormat="1" ht="14.4" x14ac:dyDescent="0.3">
      <c r="A11762" s="1192" t="s">
        <v>204</v>
      </c>
      <c r="E11762" s="1741" t="s">
        <v>2426</v>
      </c>
      <c r="F11762" s="1741"/>
      <c r="G11762" s="1277" t="s">
        <v>29</v>
      </c>
      <c r="H11762" s="1219">
        <v>2.3256000000000001</v>
      </c>
      <c r="K11762" s="1192" t="s">
        <v>4388</v>
      </c>
      <c r="L11762" s="1192" t="s">
        <v>430</v>
      </c>
      <c r="P11762" s="1192" t="s">
        <v>4390</v>
      </c>
      <c r="V11762" s="1192">
        <v>29</v>
      </c>
    </row>
    <row r="11763" spans="1:22" s="1192" customFormat="1" ht="14.4" x14ac:dyDescent="0.3">
      <c r="A11763" s="1192" t="s">
        <v>204</v>
      </c>
      <c r="E11763" s="1741" t="s">
        <v>3698</v>
      </c>
      <c r="F11763" s="1741"/>
      <c r="G11763" s="1277" t="s">
        <v>29</v>
      </c>
      <c r="H11763" s="1219">
        <v>1.6712</v>
      </c>
      <c r="K11763" s="1192" t="s">
        <v>4388</v>
      </c>
      <c r="L11763" s="1192" t="s">
        <v>431</v>
      </c>
      <c r="P11763" s="1192" t="s">
        <v>4391</v>
      </c>
      <c r="V11763" s="1192">
        <v>25</v>
      </c>
    </row>
    <row r="11764" spans="1:22" s="1192" customFormat="1" ht="14.4" x14ac:dyDescent="0.3">
      <c r="A11764" s="1192" t="s">
        <v>204</v>
      </c>
      <c r="E11764" s="1741" t="s">
        <v>6506</v>
      </c>
      <c r="F11764" s="1998"/>
      <c r="G11764" s="1277" t="s">
        <v>20</v>
      </c>
      <c r="H11764" s="1219">
        <v>-3.3999999999999998E-3</v>
      </c>
      <c r="K11764" s="1192" t="s">
        <v>4388</v>
      </c>
      <c r="L11764" s="1192" t="s">
        <v>431</v>
      </c>
      <c r="P11764" s="1192" t="s">
        <v>4397</v>
      </c>
      <c r="T11764" s="1192">
        <v>44316</v>
      </c>
      <c r="V11764" s="1192">
        <v>139</v>
      </c>
    </row>
    <row r="11765" spans="1:22" s="1192" customFormat="1" ht="14.4" x14ac:dyDescent="0.3">
      <c r="A11765" s="1192" t="s">
        <v>204</v>
      </c>
      <c r="E11765" s="1741" t="s">
        <v>6495</v>
      </c>
      <c r="F11765" s="1998"/>
      <c r="G11765" s="1277" t="s">
        <v>29</v>
      </c>
      <c r="H11765" s="1219">
        <v>6.3899999999999998E-2</v>
      </c>
      <c r="K11765" s="1192" t="s">
        <v>4388</v>
      </c>
      <c r="L11765" s="1192" t="s">
        <v>430</v>
      </c>
      <c r="P11765" s="1192" t="s">
        <v>4400</v>
      </c>
      <c r="T11765" s="1192">
        <v>44316</v>
      </c>
      <c r="V11765" s="1192">
        <v>136</v>
      </c>
    </row>
    <row r="11766" spans="1:22" s="1192" customFormat="1" ht="14.4" x14ac:dyDescent="0.3">
      <c r="A11766" s="1192" t="s">
        <v>204</v>
      </c>
      <c r="E11766" s="1741" t="s">
        <v>6508</v>
      </c>
      <c r="F11766" s="1998"/>
      <c r="G11766" s="1277" t="s">
        <v>29</v>
      </c>
      <c r="H11766" s="1219">
        <v>-0.93100000000000005</v>
      </c>
      <c r="K11766" s="1192" t="s">
        <v>4388</v>
      </c>
      <c r="L11766" s="1192" t="s">
        <v>431</v>
      </c>
      <c r="P11766" s="1192" t="s">
        <v>4398</v>
      </c>
      <c r="T11766" s="1192">
        <v>44316</v>
      </c>
      <c r="V11766" s="1192">
        <v>96</v>
      </c>
    </row>
    <row r="11767" spans="1:22" s="1192" customFormat="1" ht="14.4" x14ac:dyDescent="0.3">
      <c r="A11767" s="1192" t="s">
        <v>204</v>
      </c>
      <c r="E11767" s="1741" t="s">
        <v>3699</v>
      </c>
      <c r="F11767" s="1741"/>
      <c r="G11767" s="1277" t="s">
        <v>29</v>
      </c>
      <c r="H11767" s="1219">
        <v>2.4777999999999998</v>
      </c>
      <c r="K11767" s="1192" t="s">
        <v>4388</v>
      </c>
      <c r="L11767" s="1192" t="s">
        <v>432</v>
      </c>
      <c r="P11767" s="1192" t="s">
        <v>4392</v>
      </c>
      <c r="V11767" s="1192">
        <v>48</v>
      </c>
    </row>
    <row r="11768" spans="1:22" s="1192" customFormat="1" ht="14.4" x14ac:dyDescent="0.3">
      <c r="A11768" s="1192" t="s">
        <v>204</v>
      </c>
      <c r="E11768" s="1741" t="s">
        <v>209</v>
      </c>
      <c r="F11768" s="1741"/>
      <c r="G11768" s="1277" t="s">
        <v>29</v>
      </c>
      <c r="H11768" s="1219">
        <v>2.0167999999999999</v>
      </c>
      <c r="K11768" s="1192" t="s">
        <v>4388</v>
      </c>
      <c r="L11768" s="1192" t="s">
        <v>432</v>
      </c>
      <c r="P11768" s="1192" t="s">
        <v>4393</v>
      </c>
      <c r="V11768" s="1192">
        <v>74</v>
      </c>
    </row>
    <row r="11769" spans="1:22" s="1192" customFormat="1" ht="14.4" x14ac:dyDescent="0.3">
      <c r="A11769" s="1192" t="s">
        <v>204</v>
      </c>
      <c r="E11769" s="1741" t="s">
        <v>3702</v>
      </c>
      <c r="F11769" s="1741"/>
      <c r="G11769" s="1277" t="s">
        <v>29</v>
      </c>
      <c r="H11769" s="1219">
        <v>2.7683</v>
      </c>
      <c r="K11769" s="1192" t="s">
        <v>4388</v>
      </c>
      <c r="L11769" s="1192" t="s">
        <v>432</v>
      </c>
      <c r="P11769" s="1192" t="s">
        <v>4392</v>
      </c>
      <c r="V11769" s="1192">
        <v>67</v>
      </c>
    </row>
    <row r="11770" spans="1:22" s="1192" customFormat="1" ht="14.4" x14ac:dyDescent="0.3">
      <c r="A11770" s="1192" t="s">
        <v>204</v>
      </c>
      <c r="E11770" s="1741" t="s">
        <v>211</v>
      </c>
      <c r="F11770" s="1741"/>
      <c r="G11770" s="1277" t="s">
        <v>29</v>
      </c>
      <c r="H11770" s="1219">
        <v>2.2479</v>
      </c>
      <c r="K11770" s="1192" t="s">
        <v>4388</v>
      </c>
      <c r="L11770" s="1192" t="s">
        <v>432</v>
      </c>
      <c r="P11770" s="1192" t="s">
        <v>4393</v>
      </c>
      <c r="V11770" s="1192">
        <v>93</v>
      </c>
    </row>
    <row r="11771" spans="1:22" s="1192" customFormat="1" ht="14.4" x14ac:dyDescent="0.3">
      <c r="A11771" s="1192" t="s">
        <v>204</v>
      </c>
      <c r="E11771" s="1750" t="s">
        <v>2405</v>
      </c>
      <c r="F11771" s="1741"/>
      <c r="G11771" s="1277"/>
      <c r="H11771" s="896"/>
      <c r="K11771" s="1192" t="s">
        <v>2526</v>
      </c>
      <c r="V11771" s="1192">
        <v>48</v>
      </c>
    </row>
    <row r="11772" spans="1:22" s="1192" customFormat="1" ht="14.4" x14ac:dyDescent="0.3">
      <c r="A11772" s="1192" t="s">
        <v>204</v>
      </c>
      <c r="E11772" s="1741" t="s">
        <v>2033</v>
      </c>
      <c r="F11772" s="1741"/>
      <c r="G11772" s="1277" t="s">
        <v>20</v>
      </c>
      <c r="H11772" s="1219">
        <v>3.0000000000000001E-3</v>
      </c>
      <c r="K11772" s="1192" t="s">
        <v>4388</v>
      </c>
      <c r="L11772" s="1192" t="s">
        <v>2374</v>
      </c>
      <c r="P11772" s="1192" t="s">
        <v>4394</v>
      </c>
      <c r="V11772" s="1192">
        <v>55</v>
      </c>
    </row>
    <row r="11773" spans="1:22" s="1192" customFormat="1" ht="14.4" x14ac:dyDescent="0.3">
      <c r="A11773" s="1192" t="s">
        <v>204</v>
      </c>
      <c r="E11773" s="1741" t="s">
        <v>2034</v>
      </c>
      <c r="F11773" s="1741"/>
      <c r="G11773" s="1277" t="s">
        <v>20</v>
      </c>
      <c r="H11773" s="1219">
        <v>4.0000000000000002E-4</v>
      </c>
      <c r="K11773" s="1192" t="s">
        <v>4388</v>
      </c>
      <c r="L11773" s="1192" t="s">
        <v>2374</v>
      </c>
      <c r="P11773" s="1192" t="s">
        <v>4394</v>
      </c>
      <c r="V11773" s="1192">
        <v>65</v>
      </c>
    </row>
    <row r="11774" spans="1:22" s="1192" customFormat="1" ht="14.4" x14ac:dyDescent="0.3">
      <c r="A11774" s="1192" t="s">
        <v>204</v>
      </c>
      <c r="E11774" s="1741" t="s">
        <v>428</v>
      </c>
      <c r="F11774" s="1741"/>
      <c r="G11774" s="1277" t="s">
        <v>20</v>
      </c>
      <c r="H11774" s="1219">
        <v>5.0000000000000001E-4</v>
      </c>
      <c r="K11774" s="1192" t="s">
        <v>4388</v>
      </c>
      <c r="L11774" s="1192" t="s">
        <v>2374</v>
      </c>
      <c r="P11774" s="1192" t="s">
        <v>4395</v>
      </c>
      <c r="V11774" s="1192">
        <v>57</v>
      </c>
    </row>
    <row r="11775" spans="1:22" s="1192" customFormat="1" ht="14.4" x14ac:dyDescent="0.3">
      <c r="A11775" s="1192" t="s">
        <v>204</v>
      </c>
      <c r="E11775" s="1741" t="s">
        <v>28</v>
      </c>
      <c r="F11775" s="1741"/>
      <c r="G11775" s="1277" t="s">
        <v>19</v>
      </c>
      <c r="H11775" s="1218">
        <v>0.25</v>
      </c>
      <c r="K11775" s="1192" t="s">
        <v>4388</v>
      </c>
      <c r="L11775" s="1192" t="s">
        <v>2374</v>
      </c>
      <c r="P11775" s="1192" t="s">
        <v>4396</v>
      </c>
      <c r="V11775" s="1192">
        <v>63</v>
      </c>
    </row>
    <row r="11776" spans="1:22" s="1192" customFormat="1" ht="17.399999999999999" x14ac:dyDescent="0.3">
      <c r="A11776" s="1192" t="s">
        <v>204</v>
      </c>
      <c r="E11776" s="2017" t="s">
        <v>592</v>
      </c>
      <c r="F11776" s="2017"/>
      <c r="G11776" s="2017"/>
      <c r="H11776" s="2017"/>
      <c r="K11776" s="1192" t="s">
        <v>2676</v>
      </c>
      <c r="V11776" s="1192">
        <v>47</v>
      </c>
    </row>
    <row r="11777" spans="1:22" s="1192" customFormat="1" ht="14.4" x14ac:dyDescent="0.3">
      <c r="A11777" s="1192" t="s">
        <v>204</v>
      </c>
      <c r="E11777" s="1743" t="s">
        <v>3318</v>
      </c>
      <c r="F11777" s="1743"/>
      <c r="G11777" s="1743"/>
      <c r="H11777" s="1743"/>
      <c r="K11777" s="1192" t="s">
        <v>2676</v>
      </c>
      <c r="V11777" s="1192">
        <v>719</v>
      </c>
    </row>
    <row r="11778" spans="1:22" s="1192" customFormat="1" ht="14.4" x14ac:dyDescent="0.3">
      <c r="A11778" s="1192" t="s">
        <v>204</v>
      </c>
      <c r="E11778" s="2018" t="s">
        <v>2389</v>
      </c>
      <c r="F11778" s="1988"/>
      <c r="G11778" s="1988"/>
      <c r="H11778" s="1988"/>
      <c r="K11778" s="1192" t="s">
        <v>2529</v>
      </c>
      <c r="V11778" s="1192">
        <v>11</v>
      </c>
    </row>
    <row r="11779" spans="1:22" s="1192" customFormat="1" ht="14.4" x14ac:dyDescent="0.3">
      <c r="A11779" s="1192" t="s">
        <v>204</v>
      </c>
      <c r="E11779" s="1743" t="s">
        <v>2391</v>
      </c>
      <c r="F11779" s="1743"/>
      <c r="G11779" s="1743"/>
      <c r="H11779" s="1743"/>
      <c r="K11779" s="1192" t="s">
        <v>2676</v>
      </c>
      <c r="V11779" s="1192">
        <v>280</v>
      </c>
    </row>
    <row r="11780" spans="1:22" s="1192" customFormat="1" ht="14.4" x14ac:dyDescent="0.3">
      <c r="A11780" s="1192" t="s">
        <v>204</v>
      </c>
      <c r="E11780" s="1743" t="s">
        <v>2392</v>
      </c>
      <c r="F11780" s="1743"/>
      <c r="G11780" s="1743"/>
      <c r="H11780" s="1743"/>
      <c r="K11780" s="1192" t="s">
        <v>2676</v>
      </c>
      <c r="V11780" s="1192">
        <v>411</v>
      </c>
    </row>
    <row r="11781" spans="1:22" s="1192" customFormat="1" ht="14.4" x14ac:dyDescent="0.3">
      <c r="A11781" s="1192" t="s">
        <v>204</v>
      </c>
      <c r="E11781" s="1743" t="s">
        <v>2508</v>
      </c>
      <c r="F11781" s="1743"/>
      <c r="G11781" s="1743"/>
      <c r="H11781" s="1743"/>
      <c r="K11781" s="1192" t="s">
        <v>2676</v>
      </c>
      <c r="V11781" s="1192">
        <v>386</v>
      </c>
    </row>
    <row r="11782" spans="1:22" s="1192" customFormat="1" ht="14.4" x14ac:dyDescent="0.3">
      <c r="A11782" s="1192" t="s">
        <v>204</v>
      </c>
      <c r="E11782" s="1743" t="s">
        <v>4728</v>
      </c>
      <c r="F11782" s="1743"/>
      <c r="G11782" s="1743"/>
      <c r="H11782" s="1743"/>
      <c r="K11782" s="1192" t="s">
        <v>2676</v>
      </c>
      <c r="V11782" s="1192">
        <v>247</v>
      </c>
    </row>
    <row r="11783" spans="1:22" s="1192" customFormat="1" ht="14.4" x14ac:dyDescent="0.3">
      <c r="A11783" s="1192" t="s">
        <v>204</v>
      </c>
      <c r="E11783" s="2018" t="s">
        <v>2394</v>
      </c>
      <c r="F11783" s="1988"/>
      <c r="G11783" s="1988"/>
      <c r="H11783" s="1988"/>
      <c r="K11783" s="1192" t="s">
        <v>2531</v>
      </c>
      <c r="V11783" s="1192">
        <v>46</v>
      </c>
    </row>
    <row r="11784" spans="1:22" s="1192" customFormat="1" ht="14.4" x14ac:dyDescent="0.3">
      <c r="A11784" s="1192" t="s">
        <v>204</v>
      </c>
      <c r="E11784" s="1741" t="s">
        <v>3704</v>
      </c>
      <c r="F11784" s="1741"/>
      <c r="G11784" s="1277" t="s">
        <v>19</v>
      </c>
      <c r="H11784" s="1218">
        <v>4.47</v>
      </c>
      <c r="K11784" s="1192" t="s">
        <v>2676</v>
      </c>
      <c r="L11784" s="1192" t="s">
        <v>430</v>
      </c>
      <c r="P11784" s="1192" t="s">
        <v>2678</v>
      </c>
      <c r="V11784" s="1192">
        <v>30</v>
      </c>
    </row>
    <row r="11785" spans="1:22" s="1192" customFormat="1" ht="14.4" x14ac:dyDescent="0.3">
      <c r="A11785" s="1192" t="s">
        <v>204</v>
      </c>
      <c r="E11785" s="1741" t="s">
        <v>6627</v>
      </c>
      <c r="F11785" s="1741"/>
      <c r="G11785" s="1277" t="s">
        <v>19</v>
      </c>
      <c r="H11785" s="1218">
        <v>0.41</v>
      </c>
      <c r="K11785" s="1192" t="s">
        <v>2676</v>
      </c>
      <c r="L11785" s="1192" t="s">
        <v>430</v>
      </c>
      <c r="P11785" s="1192" t="s">
        <v>6630</v>
      </c>
      <c r="V11785" s="1192">
        <v>128</v>
      </c>
    </row>
    <row r="11786" spans="1:22" s="1192" customFormat="1" ht="14.4" x14ac:dyDescent="0.3">
      <c r="A11786" s="1192" t="s">
        <v>204</v>
      </c>
      <c r="E11786" s="1741" t="s">
        <v>80</v>
      </c>
      <c r="F11786" s="1741"/>
      <c r="G11786" s="1277" t="s">
        <v>20</v>
      </c>
      <c r="H11786" s="1219">
        <v>2.0400000000000001E-2</v>
      </c>
      <c r="K11786" s="1192" t="s">
        <v>2676</v>
      </c>
      <c r="L11786" s="1192" t="s">
        <v>430</v>
      </c>
      <c r="P11786" s="1192" t="s">
        <v>2679</v>
      </c>
      <c r="V11786" s="1192">
        <v>28</v>
      </c>
    </row>
    <row r="11787" spans="1:22" s="1192" customFormat="1" ht="14.4" x14ac:dyDescent="0.3">
      <c r="A11787" s="1192" t="s">
        <v>204</v>
      </c>
      <c r="E11787" s="1741" t="s">
        <v>14</v>
      </c>
      <c r="F11787" s="1741"/>
      <c r="G11787" s="1277" t="s">
        <v>20</v>
      </c>
      <c r="H11787" s="1219">
        <v>4.4999999999999997E-3</v>
      </c>
      <c r="K11787" s="1192" t="s">
        <v>2676</v>
      </c>
      <c r="L11787" s="1192" t="s">
        <v>431</v>
      </c>
      <c r="P11787" s="1192" t="s">
        <v>2809</v>
      </c>
      <c r="V11787" s="1192">
        <v>24</v>
      </c>
    </row>
    <row r="11788" spans="1:22" s="1192" customFormat="1" ht="14.4" x14ac:dyDescent="0.3">
      <c r="A11788" s="1192" t="s">
        <v>204</v>
      </c>
      <c r="E11788" s="1741" t="s">
        <v>6506</v>
      </c>
      <c r="F11788" s="1998"/>
      <c r="G11788" s="1277" t="s">
        <v>20</v>
      </c>
      <c r="H11788" s="1219">
        <v>-3.3999999999999998E-3</v>
      </c>
      <c r="K11788" s="1192" t="s">
        <v>2676</v>
      </c>
      <c r="L11788" s="1192" t="s">
        <v>431</v>
      </c>
      <c r="P11788" s="1192" t="s">
        <v>2810</v>
      </c>
      <c r="T11788" s="1192">
        <v>44316</v>
      </c>
      <c r="V11788" s="1192">
        <v>139</v>
      </c>
    </row>
    <row r="11789" spans="1:22" s="1192" customFormat="1" ht="14.4" x14ac:dyDescent="0.3">
      <c r="A11789" s="1192" t="s">
        <v>204</v>
      </c>
      <c r="E11789" s="1741" t="s">
        <v>6508</v>
      </c>
      <c r="F11789" s="1998"/>
      <c r="G11789" s="1277" t="s">
        <v>20</v>
      </c>
      <c r="H11789" s="1219">
        <v>-2.8E-3</v>
      </c>
      <c r="K11789" s="1192" t="s">
        <v>2676</v>
      </c>
      <c r="L11789" s="1192" t="s">
        <v>431</v>
      </c>
      <c r="P11789" s="1192" t="s">
        <v>2681</v>
      </c>
      <c r="T11789" s="1192">
        <v>44316</v>
      </c>
      <c r="V11789" s="1192">
        <v>96</v>
      </c>
    </row>
    <row r="11790" spans="1:22" s="1192" customFormat="1" ht="14.4" x14ac:dyDescent="0.3">
      <c r="A11790" s="1192" t="s">
        <v>204</v>
      </c>
      <c r="E11790" s="1741" t="s">
        <v>3699</v>
      </c>
      <c r="F11790" s="1741"/>
      <c r="G11790" s="1277" t="s">
        <v>20</v>
      </c>
      <c r="H11790" s="1219">
        <v>6.0000000000000001E-3</v>
      </c>
      <c r="K11790" s="1192" t="s">
        <v>2676</v>
      </c>
      <c r="L11790" s="1192" t="s">
        <v>432</v>
      </c>
      <c r="P11790" s="1192" t="s">
        <v>2682</v>
      </c>
      <c r="V11790" s="1192">
        <v>48</v>
      </c>
    </row>
    <row r="11791" spans="1:22" s="1192" customFormat="1" ht="14.4" x14ac:dyDescent="0.3">
      <c r="A11791" s="1192" t="s">
        <v>204</v>
      </c>
      <c r="E11791" s="1741" t="s">
        <v>2847</v>
      </c>
      <c r="F11791" s="1741"/>
      <c r="G11791" s="1277" t="s">
        <v>20</v>
      </c>
      <c r="H11791" s="1219">
        <v>5.0000000000000001E-3</v>
      </c>
      <c r="K11791" s="1192" t="s">
        <v>2676</v>
      </c>
      <c r="L11791" s="1192" t="s">
        <v>432</v>
      </c>
      <c r="P11791" s="1192" t="s">
        <v>2683</v>
      </c>
      <c r="V11791" s="1192">
        <v>75</v>
      </c>
    </row>
    <row r="11792" spans="1:22" s="1192" customFormat="1" ht="14.4" x14ac:dyDescent="0.3">
      <c r="A11792" s="1192" t="s">
        <v>204</v>
      </c>
      <c r="E11792" s="1750" t="s">
        <v>2405</v>
      </c>
      <c r="F11792" s="1741"/>
      <c r="G11792" s="1277"/>
      <c r="H11792" s="896"/>
      <c r="K11792" s="1192" t="s">
        <v>2532</v>
      </c>
      <c r="V11792" s="1192">
        <v>48</v>
      </c>
    </row>
    <row r="11793" spans="1:22" s="1192" customFormat="1" ht="14.4" x14ac:dyDescent="0.3">
      <c r="A11793" s="1192" t="s">
        <v>204</v>
      </c>
      <c r="E11793" s="1741" t="s">
        <v>2033</v>
      </c>
      <c r="F11793" s="1741"/>
      <c r="G11793" s="1277" t="s">
        <v>20</v>
      </c>
      <c r="H11793" s="1219">
        <v>3.0000000000000001E-3</v>
      </c>
      <c r="K11793" s="1192" t="s">
        <v>2676</v>
      </c>
      <c r="L11793" s="1192" t="s">
        <v>2374</v>
      </c>
      <c r="P11793" s="1192" t="s">
        <v>2684</v>
      </c>
      <c r="V11793" s="1192">
        <v>55</v>
      </c>
    </row>
    <row r="11794" spans="1:22" s="1192" customFormat="1" ht="14.4" x14ac:dyDescent="0.3">
      <c r="A11794" s="1192" t="s">
        <v>204</v>
      </c>
      <c r="E11794" s="1741" t="s">
        <v>2034</v>
      </c>
      <c r="F11794" s="1741"/>
      <c r="G11794" s="1277" t="s">
        <v>20</v>
      </c>
      <c r="H11794" s="1219">
        <v>4.0000000000000002E-4</v>
      </c>
      <c r="K11794" s="1192" t="s">
        <v>2676</v>
      </c>
      <c r="L11794" s="1192" t="s">
        <v>2374</v>
      </c>
      <c r="P11794" s="1192" t="s">
        <v>2684</v>
      </c>
      <c r="V11794" s="1192">
        <v>65</v>
      </c>
    </row>
    <row r="11795" spans="1:22" s="1192" customFormat="1" ht="14.4" x14ac:dyDescent="0.3">
      <c r="A11795" s="1192" t="s">
        <v>204</v>
      </c>
      <c r="E11795" s="1741" t="s">
        <v>428</v>
      </c>
      <c r="F11795" s="1741"/>
      <c r="G11795" s="1277" t="s">
        <v>20</v>
      </c>
      <c r="H11795" s="1219">
        <v>5.0000000000000001E-4</v>
      </c>
      <c r="K11795" s="1192" t="s">
        <v>2676</v>
      </c>
      <c r="L11795" s="1192" t="s">
        <v>2374</v>
      </c>
      <c r="P11795" s="1192" t="s">
        <v>2685</v>
      </c>
      <c r="V11795" s="1192">
        <v>57</v>
      </c>
    </row>
    <row r="11796" spans="1:22" s="1192" customFormat="1" ht="14.4" x14ac:dyDescent="0.3">
      <c r="A11796" s="1192" t="s">
        <v>204</v>
      </c>
      <c r="E11796" s="1741" t="s">
        <v>28</v>
      </c>
      <c r="F11796" s="1741"/>
      <c r="G11796" s="1277" t="s">
        <v>19</v>
      </c>
      <c r="H11796" s="1218">
        <v>0.25</v>
      </c>
      <c r="K11796" s="1192" t="s">
        <v>2676</v>
      </c>
      <c r="L11796" s="1192" t="s">
        <v>2374</v>
      </c>
      <c r="P11796" s="1192" t="s">
        <v>2686</v>
      </c>
      <c r="V11796" s="1192">
        <v>63</v>
      </c>
    </row>
    <row r="11797" spans="1:22" s="1192" customFormat="1" ht="17.399999999999999" x14ac:dyDescent="0.3">
      <c r="A11797" s="1192" t="s">
        <v>204</v>
      </c>
      <c r="E11797" s="2017" t="s">
        <v>604</v>
      </c>
      <c r="F11797" s="2017"/>
      <c r="G11797" s="2017"/>
      <c r="H11797" s="2017"/>
      <c r="K11797" s="1192" t="s">
        <v>2823</v>
      </c>
      <c r="V11797" s="1192">
        <v>40</v>
      </c>
    </row>
    <row r="11798" spans="1:22" s="1192" customFormat="1" ht="14.4" x14ac:dyDescent="0.3">
      <c r="A11798" s="1192" t="s">
        <v>204</v>
      </c>
      <c r="E11798" s="1743" t="s">
        <v>2556</v>
      </c>
      <c r="F11798" s="1743"/>
      <c r="G11798" s="1743"/>
      <c r="H11798" s="1743"/>
      <c r="K11798" s="1192" t="s">
        <v>2823</v>
      </c>
      <c r="V11798" s="1192">
        <v>253</v>
      </c>
    </row>
    <row r="11799" spans="1:22" s="1192" customFormat="1" ht="14.4" x14ac:dyDescent="0.3">
      <c r="A11799" s="1192" t="s">
        <v>204</v>
      </c>
      <c r="E11799" s="2018" t="s">
        <v>2389</v>
      </c>
      <c r="F11799" s="1988"/>
      <c r="G11799" s="1988"/>
      <c r="H11799" s="1988"/>
      <c r="K11799" s="1192" t="s">
        <v>2424</v>
      </c>
      <c r="V11799" s="1192">
        <v>11</v>
      </c>
    </row>
    <row r="11800" spans="1:22" s="1192" customFormat="1" ht="14.4" x14ac:dyDescent="0.3">
      <c r="A11800" s="1192" t="s">
        <v>204</v>
      </c>
      <c r="E11800" s="1743" t="s">
        <v>2391</v>
      </c>
      <c r="F11800" s="1743"/>
      <c r="G11800" s="1743"/>
      <c r="H11800" s="1743"/>
      <c r="K11800" s="1192" t="s">
        <v>2823</v>
      </c>
      <c r="V11800" s="1192">
        <v>280</v>
      </c>
    </row>
    <row r="11801" spans="1:22" s="1192" customFormat="1" ht="14.4" x14ac:dyDescent="0.3">
      <c r="A11801" s="1192" t="s">
        <v>204</v>
      </c>
      <c r="E11801" s="1743" t="s">
        <v>2392</v>
      </c>
      <c r="F11801" s="1743"/>
      <c r="G11801" s="1743"/>
      <c r="H11801" s="1743"/>
      <c r="K11801" s="1192" t="s">
        <v>2823</v>
      </c>
      <c r="V11801" s="1192">
        <v>411</v>
      </c>
    </row>
    <row r="11802" spans="1:22" s="1192" customFormat="1" ht="14.4" x14ac:dyDescent="0.3">
      <c r="A11802" s="1192" t="s">
        <v>204</v>
      </c>
      <c r="E11802" s="1743" t="s">
        <v>2508</v>
      </c>
      <c r="F11802" s="1743"/>
      <c r="G11802" s="1743"/>
      <c r="H11802" s="1743"/>
      <c r="K11802" s="1192" t="s">
        <v>2823</v>
      </c>
      <c r="V11802" s="1192">
        <v>386</v>
      </c>
    </row>
    <row r="11803" spans="1:22" s="1192" customFormat="1" ht="14.4" x14ac:dyDescent="0.3">
      <c r="A11803" s="1192" t="s">
        <v>204</v>
      </c>
      <c r="E11803" s="1743" t="s">
        <v>4728</v>
      </c>
      <c r="F11803" s="1743"/>
      <c r="G11803" s="1743"/>
      <c r="H11803" s="1743"/>
      <c r="K11803" s="1192" t="s">
        <v>2823</v>
      </c>
      <c r="V11803" s="1192">
        <v>247</v>
      </c>
    </row>
    <row r="11804" spans="1:22" s="1192" customFormat="1" ht="14.4" x14ac:dyDescent="0.3">
      <c r="A11804" s="1192" t="s">
        <v>204</v>
      </c>
      <c r="E11804" s="2018" t="s">
        <v>2394</v>
      </c>
      <c r="F11804" s="1988"/>
      <c r="G11804" s="1988"/>
      <c r="H11804" s="1988"/>
      <c r="K11804" s="1192" t="s">
        <v>2425</v>
      </c>
      <c r="V11804" s="1192">
        <v>46</v>
      </c>
    </row>
    <row r="11805" spans="1:22" s="1192" customFormat="1" ht="14.4" x14ac:dyDescent="0.3">
      <c r="A11805" s="1192" t="s">
        <v>204</v>
      </c>
      <c r="E11805" s="1741" t="s">
        <v>3705</v>
      </c>
      <c r="F11805" s="1741"/>
      <c r="G11805" s="1277" t="s">
        <v>19</v>
      </c>
      <c r="H11805" s="1218">
        <v>2.77</v>
      </c>
      <c r="K11805" s="1192" t="s">
        <v>2823</v>
      </c>
      <c r="L11805" s="1192" t="s">
        <v>430</v>
      </c>
      <c r="P11805" s="1192" t="s">
        <v>2824</v>
      </c>
      <c r="V11805" s="1192">
        <v>32</v>
      </c>
    </row>
    <row r="11806" spans="1:22" s="1192" customFormat="1" ht="14.4" x14ac:dyDescent="0.3">
      <c r="A11806" s="1192" t="s">
        <v>204</v>
      </c>
      <c r="E11806" s="1741" t="s">
        <v>6627</v>
      </c>
      <c r="F11806" s="1741"/>
      <c r="G11806" s="1277" t="s">
        <v>19</v>
      </c>
      <c r="H11806" s="1218">
        <v>0.19</v>
      </c>
      <c r="K11806" s="1192" t="s">
        <v>2823</v>
      </c>
      <c r="L11806" s="1192" t="s">
        <v>430</v>
      </c>
      <c r="P11806" s="1192" t="s">
        <v>6631</v>
      </c>
      <c r="V11806" s="1192">
        <v>128</v>
      </c>
    </row>
    <row r="11807" spans="1:22" s="1192" customFormat="1" ht="14.4" x14ac:dyDescent="0.3">
      <c r="A11807" s="1192" t="s">
        <v>204</v>
      </c>
      <c r="E11807" s="1741" t="s">
        <v>2426</v>
      </c>
      <c r="F11807" s="1741"/>
      <c r="G11807" s="1277" t="s">
        <v>29</v>
      </c>
      <c r="H11807" s="1219">
        <v>20.230899999999998</v>
      </c>
      <c r="K11807" s="1192" t="s">
        <v>2823</v>
      </c>
      <c r="L11807" s="1192" t="s">
        <v>430</v>
      </c>
      <c r="P11807" s="1192" t="s">
        <v>2825</v>
      </c>
      <c r="V11807" s="1192">
        <v>29</v>
      </c>
    </row>
    <row r="11808" spans="1:22" s="1192" customFormat="1" ht="14.4" x14ac:dyDescent="0.3">
      <c r="A11808" s="1192" t="s">
        <v>204</v>
      </c>
      <c r="E11808" s="1741" t="s">
        <v>3698</v>
      </c>
      <c r="F11808" s="1741"/>
      <c r="G11808" s="1277" t="s">
        <v>29</v>
      </c>
      <c r="H11808" s="1219">
        <v>1.3055000000000001</v>
      </c>
      <c r="K11808" s="1192" t="s">
        <v>2823</v>
      </c>
      <c r="L11808" s="1192" t="s">
        <v>431</v>
      </c>
      <c r="P11808" s="1192" t="s">
        <v>2826</v>
      </c>
      <c r="V11808" s="1192">
        <v>25</v>
      </c>
    </row>
    <row r="11809" spans="1:22" s="1192" customFormat="1" ht="14.4" x14ac:dyDescent="0.3">
      <c r="A11809" s="1192" t="s">
        <v>204</v>
      </c>
      <c r="E11809" s="1741" t="s">
        <v>6506</v>
      </c>
      <c r="F11809" s="1998"/>
      <c r="G11809" s="1277" t="s">
        <v>20</v>
      </c>
      <c r="H11809" s="1219">
        <v>-3.3999999999999998E-3</v>
      </c>
      <c r="K11809" s="1192" t="s">
        <v>2823</v>
      </c>
      <c r="L11809" s="1192" t="s">
        <v>431</v>
      </c>
      <c r="P11809" s="1192" t="s">
        <v>2914</v>
      </c>
      <c r="T11809" s="1192">
        <v>44316</v>
      </c>
      <c r="V11809" s="1192">
        <v>139</v>
      </c>
    </row>
    <row r="11810" spans="1:22" s="1192" customFormat="1" ht="14.4" x14ac:dyDescent="0.3">
      <c r="A11810" s="1192" t="s">
        <v>204</v>
      </c>
      <c r="E11810" s="1741" t="s">
        <v>6508</v>
      </c>
      <c r="F11810" s="1998"/>
      <c r="G11810" s="1277" t="s">
        <v>29</v>
      </c>
      <c r="H11810" s="1219">
        <v>-1.5770999999999999</v>
      </c>
      <c r="K11810" s="1192" t="s">
        <v>2823</v>
      </c>
      <c r="L11810" s="1192" t="s">
        <v>431</v>
      </c>
      <c r="P11810" s="1192" t="s">
        <v>2915</v>
      </c>
      <c r="T11810" s="1192">
        <v>44316</v>
      </c>
      <c r="V11810" s="1192">
        <v>96</v>
      </c>
    </row>
    <row r="11811" spans="1:22" s="1192" customFormat="1" ht="14.4" x14ac:dyDescent="0.3">
      <c r="A11811" s="1192" t="s">
        <v>204</v>
      </c>
      <c r="E11811" s="1741" t="s">
        <v>213</v>
      </c>
      <c r="F11811" s="1741"/>
      <c r="G11811" s="1277" t="s">
        <v>29</v>
      </c>
      <c r="H11811" s="1219">
        <v>1.8781000000000001</v>
      </c>
      <c r="K11811" s="1192" t="s">
        <v>2823</v>
      </c>
      <c r="L11811" s="1192" t="s">
        <v>432</v>
      </c>
      <c r="P11811" s="1192" t="s">
        <v>2827</v>
      </c>
      <c r="V11811" s="1192">
        <v>47</v>
      </c>
    </row>
    <row r="11812" spans="1:22" s="1192" customFormat="1" ht="14.4" x14ac:dyDescent="0.3">
      <c r="A11812" s="1192" t="s">
        <v>204</v>
      </c>
      <c r="E11812" s="1741" t="s">
        <v>2847</v>
      </c>
      <c r="F11812" s="1741"/>
      <c r="G11812" s="1277" t="s">
        <v>29</v>
      </c>
      <c r="H11812" s="1219">
        <v>1.5915999999999999</v>
      </c>
      <c r="K11812" s="1192" t="s">
        <v>2823</v>
      </c>
      <c r="L11812" s="1192" t="s">
        <v>432</v>
      </c>
      <c r="P11812" s="1192" t="s">
        <v>2828</v>
      </c>
      <c r="V11812" s="1192">
        <v>75</v>
      </c>
    </row>
    <row r="11813" spans="1:22" s="1192" customFormat="1" ht="14.4" x14ac:dyDescent="0.3">
      <c r="A11813" s="1192" t="s">
        <v>204</v>
      </c>
      <c r="E11813" s="1750" t="s">
        <v>2405</v>
      </c>
      <c r="F11813" s="1741"/>
      <c r="G11813" s="1277"/>
      <c r="H11813" s="896"/>
      <c r="K11813" s="1192" t="s">
        <v>2427</v>
      </c>
      <c r="V11813" s="1192">
        <v>48</v>
      </c>
    </row>
    <row r="11814" spans="1:22" s="1192" customFormat="1" ht="14.4" x14ac:dyDescent="0.3">
      <c r="A11814" s="1192" t="s">
        <v>204</v>
      </c>
      <c r="E11814" s="1741" t="s">
        <v>2033</v>
      </c>
      <c r="F11814" s="1741"/>
      <c r="G11814" s="1277" t="s">
        <v>20</v>
      </c>
      <c r="H11814" s="1219">
        <v>3.0000000000000001E-3</v>
      </c>
      <c r="K11814" s="1192" t="s">
        <v>2823</v>
      </c>
      <c r="L11814" s="1192" t="s">
        <v>2374</v>
      </c>
      <c r="P11814" s="1192" t="s">
        <v>2829</v>
      </c>
      <c r="V11814" s="1192">
        <v>55</v>
      </c>
    </row>
    <row r="11815" spans="1:22" s="1192" customFormat="1" ht="14.4" x14ac:dyDescent="0.3">
      <c r="A11815" s="1192" t="s">
        <v>204</v>
      </c>
      <c r="E11815" s="1741" t="s">
        <v>2034</v>
      </c>
      <c r="F11815" s="1741"/>
      <c r="G11815" s="1277" t="s">
        <v>20</v>
      </c>
      <c r="H11815" s="1219">
        <v>4.0000000000000002E-4</v>
      </c>
      <c r="K11815" s="1192" t="s">
        <v>2823</v>
      </c>
      <c r="L11815" s="1192" t="s">
        <v>2374</v>
      </c>
      <c r="P11815" s="1192" t="s">
        <v>2829</v>
      </c>
      <c r="V11815" s="1192">
        <v>65</v>
      </c>
    </row>
    <row r="11816" spans="1:22" s="1192" customFormat="1" ht="14.4" x14ac:dyDescent="0.3">
      <c r="A11816" s="1192" t="s">
        <v>204</v>
      </c>
      <c r="E11816" s="1741" t="s">
        <v>428</v>
      </c>
      <c r="F11816" s="1741"/>
      <c r="G11816" s="1277" t="s">
        <v>20</v>
      </c>
      <c r="H11816" s="1219">
        <v>5.0000000000000001E-4</v>
      </c>
      <c r="K11816" s="1192" t="s">
        <v>2823</v>
      </c>
      <c r="L11816" s="1192" t="s">
        <v>2374</v>
      </c>
      <c r="P11816" s="1192" t="s">
        <v>2830</v>
      </c>
      <c r="V11816" s="1192">
        <v>57</v>
      </c>
    </row>
    <row r="11817" spans="1:22" s="1192" customFormat="1" ht="14.4" x14ac:dyDescent="0.3">
      <c r="A11817" s="1192" t="s">
        <v>204</v>
      </c>
      <c r="E11817" s="1741" t="s">
        <v>28</v>
      </c>
      <c r="F11817" s="1741"/>
      <c r="G11817" s="1277" t="s">
        <v>19</v>
      </c>
      <c r="H11817" s="1218">
        <v>0.25</v>
      </c>
      <c r="K11817" s="1192" t="s">
        <v>2823</v>
      </c>
      <c r="L11817" s="1192" t="s">
        <v>2374</v>
      </c>
      <c r="P11817" s="1192" t="s">
        <v>2831</v>
      </c>
      <c r="V11817" s="1192">
        <v>63</v>
      </c>
    </row>
    <row r="11818" spans="1:22" s="1192" customFormat="1" ht="17.399999999999999" x14ac:dyDescent="0.3">
      <c r="A11818" s="1192" t="s">
        <v>204</v>
      </c>
      <c r="E11818" s="2017" t="s">
        <v>590</v>
      </c>
      <c r="F11818" s="2017"/>
      <c r="G11818" s="2017"/>
      <c r="H11818" s="2017"/>
      <c r="K11818" s="1192" t="s">
        <v>2428</v>
      </c>
      <c r="V11818" s="1192">
        <v>38</v>
      </c>
    </row>
    <row r="11819" spans="1:22" s="1192" customFormat="1" ht="14.4" x14ac:dyDescent="0.3">
      <c r="A11819" s="1192" t="s">
        <v>204</v>
      </c>
      <c r="E11819" s="1743" t="s">
        <v>3180</v>
      </c>
      <c r="F11819" s="1743"/>
      <c r="G11819" s="1743"/>
      <c r="H11819" s="1743"/>
      <c r="K11819" s="1192" t="s">
        <v>2428</v>
      </c>
      <c r="V11819" s="1192">
        <v>542</v>
      </c>
    </row>
    <row r="11820" spans="1:22" s="1192" customFormat="1" ht="14.4" x14ac:dyDescent="0.3">
      <c r="A11820" s="1192" t="s">
        <v>204</v>
      </c>
      <c r="E11820" s="2018" t="s">
        <v>2389</v>
      </c>
      <c r="F11820" s="1988"/>
      <c r="G11820" s="1988"/>
      <c r="H11820" s="1988"/>
      <c r="K11820" s="1192" t="s">
        <v>2430</v>
      </c>
      <c r="V11820" s="1192">
        <v>11</v>
      </c>
    </row>
    <row r="11821" spans="1:22" s="1192" customFormat="1" ht="14.4" x14ac:dyDescent="0.3">
      <c r="A11821" s="1192" t="s">
        <v>204</v>
      </c>
      <c r="E11821" s="1743" t="s">
        <v>2391</v>
      </c>
      <c r="F11821" s="1743"/>
      <c r="G11821" s="1743"/>
      <c r="H11821" s="1743"/>
      <c r="K11821" s="1192" t="s">
        <v>2428</v>
      </c>
      <c r="V11821" s="1192">
        <v>280</v>
      </c>
    </row>
    <row r="11822" spans="1:22" s="1192" customFormat="1" ht="14.4" x14ac:dyDescent="0.3">
      <c r="A11822" s="1192" t="s">
        <v>204</v>
      </c>
      <c r="E11822" s="1743" t="s">
        <v>2392</v>
      </c>
      <c r="F11822" s="1743"/>
      <c r="G11822" s="1743"/>
      <c r="H11822" s="1743"/>
      <c r="K11822" s="1192" t="s">
        <v>2428</v>
      </c>
      <c r="V11822" s="1192">
        <v>411</v>
      </c>
    </row>
    <row r="11823" spans="1:22" s="1192" customFormat="1" ht="14.4" x14ac:dyDescent="0.3">
      <c r="A11823" s="1192" t="s">
        <v>204</v>
      </c>
      <c r="E11823" s="1743" t="s">
        <v>2508</v>
      </c>
      <c r="F11823" s="1743"/>
      <c r="G11823" s="1743"/>
      <c r="H11823" s="1743"/>
      <c r="K11823" s="1192" t="s">
        <v>2428</v>
      </c>
      <c r="V11823" s="1192">
        <v>386</v>
      </c>
    </row>
    <row r="11824" spans="1:22" s="1192" customFormat="1" ht="14.4" x14ac:dyDescent="0.3">
      <c r="A11824" s="1192" t="s">
        <v>204</v>
      </c>
      <c r="E11824" s="1743" t="s">
        <v>4728</v>
      </c>
      <c r="F11824" s="1743"/>
      <c r="G11824" s="1743"/>
      <c r="H11824" s="1743"/>
      <c r="K11824" s="1192" t="s">
        <v>2428</v>
      </c>
      <c r="V11824" s="1192">
        <v>247</v>
      </c>
    </row>
    <row r="11825" spans="1:22" s="1192" customFormat="1" ht="14.4" x14ac:dyDescent="0.3">
      <c r="A11825" s="1192" t="s">
        <v>204</v>
      </c>
      <c r="E11825" s="2018" t="s">
        <v>2394</v>
      </c>
      <c r="F11825" s="1988"/>
      <c r="G11825" s="1988"/>
      <c r="H11825" s="1988"/>
      <c r="K11825" s="1192" t="s">
        <v>2431</v>
      </c>
      <c r="V11825" s="1192">
        <v>46</v>
      </c>
    </row>
    <row r="11826" spans="1:22" s="1192" customFormat="1" ht="14.4" x14ac:dyDescent="0.3">
      <c r="A11826" s="1192" t="s">
        <v>204</v>
      </c>
      <c r="E11826" s="1741" t="s">
        <v>3705</v>
      </c>
      <c r="F11826" s="1741"/>
      <c r="G11826" s="1277" t="s">
        <v>19</v>
      </c>
      <c r="H11826" s="1218">
        <v>3.47</v>
      </c>
      <c r="K11826" s="1192" t="s">
        <v>2428</v>
      </c>
      <c r="L11826" s="1192" t="s">
        <v>430</v>
      </c>
      <c r="P11826" s="1192" t="s">
        <v>2432</v>
      </c>
      <c r="V11826" s="1192">
        <v>32</v>
      </c>
    </row>
    <row r="11827" spans="1:22" s="1192" customFormat="1" ht="14.4" x14ac:dyDescent="0.3">
      <c r="A11827" s="1192" t="s">
        <v>204</v>
      </c>
      <c r="E11827" s="1741" t="s">
        <v>6627</v>
      </c>
      <c r="F11827" s="1741"/>
      <c r="G11827" s="1277" t="s">
        <v>19</v>
      </c>
      <c r="H11827" s="1218">
        <v>0.09</v>
      </c>
      <c r="K11827" s="1192" t="s">
        <v>2428</v>
      </c>
      <c r="L11827" s="1192" t="s">
        <v>430</v>
      </c>
      <c r="P11827" s="1192" t="s">
        <v>4691</v>
      </c>
      <c r="V11827" s="1192">
        <v>128</v>
      </c>
    </row>
    <row r="11828" spans="1:22" s="1192" customFormat="1" ht="14.4" x14ac:dyDescent="0.3">
      <c r="A11828" s="1192" t="s">
        <v>204</v>
      </c>
      <c r="E11828" s="1741" t="s">
        <v>80</v>
      </c>
      <c r="F11828" s="1741"/>
      <c r="G11828" s="1277" t="s">
        <v>29</v>
      </c>
      <c r="H11828" s="1219">
        <v>13.2333</v>
      </c>
      <c r="K11828" s="1192" t="s">
        <v>2428</v>
      </c>
      <c r="L11828" s="1192" t="s">
        <v>430</v>
      </c>
      <c r="P11828" s="1192" t="s">
        <v>2433</v>
      </c>
      <c r="V11828" s="1192">
        <v>28</v>
      </c>
    </row>
    <row r="11829" spans="1:22" s="1192" customFormat="1" ht="14.4" x14ac:dyDescent="0.3">
      <c r="A11829" s="1192" t="s">
        <v>204</v>
      </c>
      <c r="E11829" s="1741" t="s">
        <v>3698</v>
      </c>
      <c r="F11829" s="1741"/>
      <c r="G11829" s="1277" t="s">
        <v>29</v>
      </c>
      <c r="H11829" s="1219">
        <v>1.2789999999999999</v>
      </c>
      <c r="K11829" s="1192" t="s">
        <v>2428</v>
      </c>
      <c r="L11829" s="1192" t="s">
        <v>431</v>
      </c>
      <c r="P11829" s="1192" t="s">
        <v>2764</v>
      </c>
      <c r="V11829" s="1192">
        <v>25</v>
      </c>
    </row>
    <row r="11830" spans="1:22" s="1192" customFormat="1" ht="14.4" x14ac:dyDescent="0.3">
      <c r="A11830" s="1192" t="s">
        <v>204</v>
      </c>
      <c r="E11830" s="1741" t="s">
        <v>6506</v>
      </c>
      <c r="F11830" s="1998"/>
      <c r="G11830" s="1277" t="s">
        <v>20</v>
      </c>
      <c r="H11830" s="1219">
        <v>-3.3999999999999998E-3</v>
      </c>
      <c r="K11830" s="1192" t="s">
        <v>2428</v>
      </c>
      <c r="L11830" s="1192" t="s">
        <v>431</v>
      </c>
      <c r="P11830" s="1192" t="s">
        <v>2435</v>
      </c>
      <c r="T11830" s="1192">
        <v>44316</v>
      </c>
      <c r="V11830" s="1192">
        <v>139</v>
      </c>
    </row>
    <row r="11831" spans="1:22" s="1192" customFormat="1" ht="14.4" x14ac:dyDescent="0.3">
      <c r="A11831" s="1192" t="s">
        <v>204</v>
      </c>
      <c r="E11831" s="1741" t="s">
        <v>6495</v>
      </c>
      <c r="F11831" s="1998"/>
      <c r="G11831" s="1277" t="s">
        <v>29</v>
      </c>
      <c r="H11831" s="1219">
        <v>6.6961000000000004</v>
      </c>
      <c r="K11831" s="1192" t="s">
        <v>2428</v>
      </c>
      <c r="L11831" s="1192" t="s">
        <v>430</v>
      </c>
      <c r="P11831" s="1192" t="s">
        <v>3343</v>
      </c>
      <c r="T11831" s="1192">
        <v>44316</v>
      </c>
      <c r="V11831" s="1192">
        <v>136</v>
      </c>
    </row>
    <row r="11832" spans="1:22" s="1192" customFormat="1" ht="14.4" x14ac:dyDescent="0.3">
      <c r="A11832" s="1192" t="s">
        <v>204</v>
      </c>
      <c r="E11832" s="1741" t="s">
        <v>6508</v>
      </c>
      <c r="F11832" s="1998"/>
      <c r="G11832" s="1277" t="s">
        <v>29</v>
      </c>
      <c r="H11832" s="1219">
        <v>-0.92559999999999998</v>
      </c>
      <c r="K11832" s="1192" t="s">
        <v>2428</v>
      </c>
      <c r="L11832" s="1192" t="s">
        <v>431</v>
      </c>
      <c r="P11832" s="1192" t="s">
        <v>2434</v>
      </c>
      <c r="T11832" s="1192">
        <v>44316</v>
      </c>
      <c r="V11832" s="1192">
        <v>96</v>
      </c>
    </row>
    <row r="11833" spans="1:22" s="1192" customFormat="1" ht="14.4" x14ac:dyDescent="0.3">
      <c r="A11833" s="1192" t="s">
        <v>204</v>
      </c>
      <c r="E11833" s="1741" t="s">
        <v>3699</v>
      </c>
      <c r="F11833" s="1741"/>
      <c r="G11833" s="1277" t="s">
        <v>29</v>
      </c>
      <c r="H11833" s="1219">
        <v>1.8686</v>
      </c>
      <c r="K11833" s="1192" t="s">
        <v>2428</v>
      </c>
      <c r="L11833" s="1192" t="s">
        <v>432</v>
      </c>
      <c r="P11833" s="1192" t="s">
        <v>2436</v>
      </c>
      <c r="V11833" s="1192">
        <v>48</v>
      </c>
    </row>
    <row r="11834" spans="1:22" s="1192" customFormat="1" ht="14.4" x14ac:dyDescent="0.3">
      <c r="A11834" s="1192" t="s">
        <v>204</v>
      </c>
      <c r="E11834" s="1741" t="s">
        <v>2847</v>
      </c>
      <c r="F11834" s="1741"/>
      <c r="G11834" s="1277" t="s">
        <v>29</v>
      </c>
      <c r="H11834" s="1219">
        <v>1.5593999999999999</v>
      </c>
      <c r="K11834" s="1192" t="s">
        <v>2428</v>
      </c>
      <c r="L11834" s="1192" t="s">
        <v>432</v>
      </c>
      <c r="P11834" s="1192" t="s">
        <v>2437</v>
      </c>
      <c r="V11834" s="1192">
        <v>75</v>
      </c>
    </row>
    <row r="11835" spans="1:22" s="1192" customFormat="1" ht="14.4" x14ac:dyDescent="0.3">
      <c r="A11835" s="1192" t="s">
        <v>204</v>
      </c>
      <c r="E11835" s="1750" t="s">
        <v>2405</v>
      </c>
      <c r="F11835" s="1741"/>
      <c r="G11835" s="1277"/>
      <c r="H11835" s="896"/>
      <c r="K11835" s="1192" t="s">
        <v>2438</v>
      </c>
      <c r="V11835" s="1192">
        <v>48</v>
      </c>
    </row>
    <row r="11836" spans="1:22" s="1192" customFormat="1" ht="14.4" x14ac:dyDescent="0.3">
      <c r="A11836" s="1192" t="s">
        <v>204</v>
      </c>
      <c r="E11836" s="1741" t="s">
        <v>2033</v>
      </c>
      <c r="F11836" s="1741"/>
      <c r="G11836" s="1277" t="s">
        <v>20</v>
      </c>
      <c r="H11836" s="1219">
        <v>3.0000000000000001E-3</v>
      </c>
      <c r="K11836" s="1192" t="s">
        <v>2428</v>
      </c>
      <c r="L11836" s="1192" t="s">
        <v>2374</v>
      </c>
      <c r="P11836" s="1192" t="s">
        <v>2439</v>
      </c>
      <c r="V11836" s="1192">
        <v>55</v>
      </c>
    </row>
    <row r="11837" spans="1:22" s="1192" customFormat="1" ht="14.4" x14ac:dyDescent="0.3">
      <c r="A11837" s="1192" t="s">
        <v>204</v>
      </c>
      <c r="E11837" s="1741" t="s">
        <v>2034</v>
      </c>
      <c r="F11837" s="1741"/>
      <c r="G11837" s="1277" t="s">
        <v>20</v>
      </c>
      <c r="H11837" s="1219">
        <v>4.0000000000000002E-4</v>
      </c>
      <c r="K11837" s="1192" t="s">
        <v>2428</v>
      </c>
      <c r="L11837" s="1192" t="s">
        <v>2374</v>
      </c>
      <c r="P11837" s="1192" t="s">
        <v>2439</v>
      </c>
      <c r="V11837" s="1192">
        <v>65</v>
      </c>
    </row>
    <row r="11838" spans="1:22" s="1192" customFormat="1" ht="14.4" x14ac:dyDescent="0.3">
      <c r="A11838" s="1192" t="s">
        <v>204</v>
      </c>
      <c r="E11838" s="1741" t="s">
        <v>428</v>
      </c>
      <c r="F11838" s="1741"/>
      <c r="G11838" s="1277" t="s">
        <v>20</v>
      </c>
      <c r="H11838" s="1219">
        <v>5.0000000000000001E-4</v>
      </c>
      <c r="K11838" s="1192" t="s">
        <v>2428</v>
      </c>
      <c r="L11838" s="1192" t="s">
        <v>2374</v>
      </c>
      <c r="P11838" s="1192" t="s">
        <v>2440</v>
      </c>
      <c r="V11838" s="1192">
        <v>57</v>
      </c>
    </row>
    <row r="11839" spans="1:22" s="1192" customFormat="1" ht="14.4" x14ac:dyDescent="0.3">
      <c r="A11839" s="1192" t="s">
        <v>204</v>
      </c>
      <c r="E11839" s="1741" t="s">
        <v>28</v>
      </c>
      <c r="F11839" s="1741"/>
      <c r="G11839" s="1277" t="s">
        <v>19</v>
      </c>
      <c r="H11839" s="1218">
        <v>0.25</v>
      </c>
      <c r="K11839" s="1192" t="s">
        <v>2428</v>
      </c>
      <c r="L11839" s="1192" t="s">
        <v>2374</v>
      </c>
      <c r="P11839" s="1192" t="s">
        <v>2441</v>
      </c>
      <c r="V11839" s="1192">
        <v>63</v>
      </c>
    </row>
    <row r="11840" spans="1:22" s="1192" customFormat="1" ht="17.399999999999999" x14ac:dyDescent="0.3">
      <c r="A11840" s="1192" t="s">
        <v>204</v>
      </c>
      <c r="E11840" s="2017" t="s">
        <v>593</v>
      </c>
      <c r="F11840" s="2017"/>
      <c r="G11840" s="2017"/>
      <c r="H11840" s="2017"/>
      <c r="K11840" s="1192" t="s">
        <v>2442</v>
      </c>
      <c r="V11840" s="1192">
        <v>31</v>
      </c>
    </row>
    <row r="11841" spans="1:22" s="1192" customFormat="1" ht="14.4" x14ac:dyDescent="0.3">
      <c r="A11841" s="1192" t="s">
        <v>204</v>
      </c>
      <c r="E11841" s="1743" t="s">
        <v>2652</v>
      </c>
      <c r="F11841" s="1743"/>
      <c r="G11841" s="1743"/>
      <c r="H11841" s="1743"/>
      <c r="K11841" s="1192" t="s">
        <v>2442</v>
      </c>
      <c r="V11841" s="1192">
        <v>285</v>
      </c>
    </row>
    <row r="11842" spans="1:22" s="1192" customFormat="1" ht="14.4" x14ac:dyDescent="0.3">
      <c r="A11842" s="1192" t="s">
        <v>204</v>
      </c>
      <c r="E11842" s="2018" t="s">
        <v>2389</v>
      </c>
      <c r="F11842" s="1988"/>
      <c r="G11842" s="1988"/>
      <c r="H11842" s="1988"/>
      <c r="K11842" s="1192" t="s">
        <v>2444</v>
      </c>
      <c r="V11842" s="1192">
        <v>11</v>
      </c>
    </row>
    <row r="11843" spans="1:22" s="1192" customFormat="1" ht="14.4" x14ac:dyDescent="0.3">
      <c r="A11843" s="1192" t="s">
        <v>204</v>
      </c>
      <c r="E11843" s="1743" t="s">
        <v>2391</v>
      </c>
      <c r="F11843" s="1743"/>
      <c r="G11843" s="1743"/>
      <c r="H11843" s="1743"/>
      <c r="K11843" s="1192" t="s">
        <v>2442</v>
      </c>
      <c r="V11843" s="1192">
        <v>280</v>
      </c>
    </row>
    <row r="11844" spans="1:22" s="1192" customFormat="1" ht="14.4" x14ac:dyDescent="0.3">
      <c r="A11844" s="1192" t="s">
        <v>204</v>
      </c>
      <c r="E11844" s="1743" t="s">
        <v>2392</v>
      </c>
      <c r="F11844" s="1743"/>
      <c r="G11844" s="1743"/>
      <c r="H11844" s="1743"/>
      <c r="K11844" s="1192" t="s">
        <v>2442</v>
      </c>
      <c r="V11844" s="1192">
        <v>411</v>
      </c>
    </row>
    <row r="11845" spans="1:22" s="1192" customFormat="1" ht="14.4" x14ac:dyDescent="0.3">
      <c r="A11845" s="1192" t="s">
        <v>204</v>
      </c>
      <c r="E11845" s="1743" t="s">
        <v>2445</v>
      </c>
      <c r="F11845" s="1743"/>
      <c r="G11845" s="1743"/>
      <c r="H11845" s="1743"/>
      <c r="K11845" s="1192" t="s">
        <v>2442</v>
      </c>
      <c r="V11845" s="1192">
        <v>211</v>
      </c>
    </row>
    <row r="11846" spans="1:22" s="1192" customFormat="1" ht="14.4" x14ac:dyDescent="0.3">
      <c r="A11846" s="1192" t="s">
        <v>204</v>
      </c>
      <c r="E11846" s="1743" t="s">
        <v>4728</v>
      </c>
      <c r="F11846" s="1743"/>
      <c r="G11846" s="1743"/>
      <c r="H11846" s="1743"/>
      <c r="K11846" s="1192" t="s">
        <v>2442</v>
      </c>
      <c r="V11846" s="1192">
        <v>247</v>
      </c>
    </row>
    <row r="11847" spans="1:22" s="1192" customFormat="1" ht="14.4" x14ac:dyDescent="0.3">
      <c r="A11847" s="1192" t="s">
        <v>204</v>
      </c>
      <c r="E11847" s="2018" t="s">
        <v>2394</v>
      </c>
      <c r="F11847" s="1988"/>
      <c r="G11847" s="1988"/>
      <c r="H11847" s="1988"/>
      <c r="K11847" s="1192" t="s">
        <v>2446</v>
      </c>
      <c r="V11847" s="1192">
        <v>46</v>
      </c>
    </row>
    <row r="11848" spans="1:22" s="1192" customFormat="1" ht="14.4" x14ac:dyDescent="0.3">
      <c r="A11848" s="1192" t="s">
        <v>204</v>
      </c>
      <c r="E11848" s="1741" t="s">
        <v>3697</v>
      </c>
      <c r="F11848" s="1741"/>
      <c r="G11848" s="574" t="s">
        <v>19</v>
      </c>
      <c r="H11848" s="1218">
        <v>17.2</v>
      </c>
      <c r="K11848" s="1192" t="s">
        <v>2442</v>
      </c>
      <c r="L11848" s="1192" t="s">
        <v>430</v>
      </c>
      <c r="P11848" s="1192" t="s">
        <v>2447</v>
      </c>
      <c r="V11848" s="1192">
        <v>15</v>
      </c>
    </row>
    <row r="11849" spans="1:22" s="1192" customFormat="1" ht="17.399999999999999" x14ac:dyDescent="0.3">
      <c r="A11849" s="1192" t="s">
        <v>204</v>
      </c>
      <c r="E11849" s="2017" t="s">
        <v>81</v>
      </c>
      <c r="F11849" s="2017"/>
      <c r="G11849" s="2017"/>
      <c r="H11849" s="2017"/>
      <c r="K11849" s="1192" t="s">
        <v>3706</v>
      </c>
      <c r="V11849" s="1192">
        <v>10</v>
      </c>
    </row>
    <row r="11850" spans="1:22" s="1192" customFormat="1" ht="14.4" x14ac:dyDescent="0.3">
      <c r="A11850" s="1192" t="s">
        <v>204</v>
      </c>
      <c r="E11850" s="1741" t="s">
        <v>3707</v>
      </c>
      <c r="F11850" s="1741"/>
      <c r="G11850" s="1277" t="s">
        <v>29</v>
      </c>
      <c r="H11850" s="1219">
        <v>-0.6</v>
      </c>
      <c r="V11850" s="1192">
        <v>69</v>
      </c>
    </row>
    <row r="11851" spans="1:22" s="1192" customFormat="1" ht="14.4" x14ac:dyDescent="0.3">
      <c r="A11851" s="1192" t="s">
        <v>204</v>
      </c>
      <c r="E11851" s="1741" t="s">
        <v>2450</v>
      </c>
      <c r="F11851" s="1741"/>
      <c r="G11851" s="1277" t="s">
        <v>82</v>
      </c>
      <c r="H11851" s="1218">
        <v>-1</v>
      </c>
      <c r="V11851" s="1192">
        <v>87</v>
      </c>
    </row>
    <row r="11852" spans="1:22" s="1192" customFormat="1" ht="17.399999999999999" x14ac:dyDescent="0.3">
      <c r="A11852" s="1192" t="s">
        <v>204</v>
      </c>
      <c r="E11852" s="2017" t="s">
        <v>83</v>
      </c>
      <c r="F11852" s="2017"/>
      <c r="G11852" s="2017"/>
      <c r="H11852" s="2017"/>
      <c r="K11852" s="1192" t="s">
        <v>3708</v>
      </c>
      <c r="V11852" s="1192">
        <v>24</v>
      </c>
    </row>
    <row r="11853" spans="1:22" s="1192" customFormat="1" ht="14.4" x14ac:dyDescent="0.3">
      <c r="A11853" s="1192" t="s">
        <v>204</v>
      </c>
      <c r="E11853" s="1743" t="s">
        <v>2391</v>
      </c>
      <c r="F11853" s="1743"/>
      <c r="G11853" s="1743"/>
      <c r="H11853" s="1743"/>
      <c r="V11853" s="1192">
        <v>280</v>
      </c>
    </row>
    <row r="11854" spans="1:22" s="1192" customFormat="1" ht="14.4" x14ac:dyDescent="0.3">
      <c r="A11854" s="1192" t="s">
        <v>204</v>
      </c>
      <c r="E11854" s="1743" t="s">
        <v>2452</v>
      </c>
      <c r="F11854" s="1743"/>
      <c r="G11854" s="1743"/>
      <c r="H11854" s="1743"/>
      <c r="V11854" s="1192">
        <v>353</v>
      </c>
    </row>
    <row r="11855" spans="1:22" s="1192" customFormat="1" ht="14.4" x14ac:dyDescent="0.3">
      <c r="A11855" s="1192" t="s">
        <v>204</v>
      </c>
      <c r="E11855" s="1743" t="s">
        <v>4728</v>
      </c>
      <c r="F11855" s="1743"/>
      <c r="G11855" s="1743"/>
      <c r="H11855" s="1743"/>
      <c r="V11855" s="1192">
        <v>247</v>
      </c>
    </row>
    <row r="11856" spans="1:22" s="1192" customFormat="1" ht="14.4" x14ac:dyDescent="0.3">
      <c r="A11856" s="1192" t="s">
        <v>204</v>
      </c>
      <c r="E11856" s="1270" t="s">
        <v>2453</v>
      </c>
      <c r="F11856" s="3"/>
      <c r="G11856" s="3"/>
      <c r="H11856" s="955"/>
      <c r="K11856" s="1192" t="s">
        <v>3709</v>
      </c>
      <c r="V11856" s="1192">
        <v>23</v>
      </c>
    </row>
    <row r="11857" spans="1:22" s="1192" customFormat="1" ht="14.4" x14ac:dyDescent="0.3">
      <c r="A11857" s="1192" t="s">
        <v>204</v>
      </c>
      <c r="E11857" s="1942" t="s">
        <v>4729</v>
      </c>
      <c r="F11857" s="1942"/>
      <c r="G11857" s="1277" t="s">
        <v>19</v>
      </c>
      <c r="H11857" s="1218">
        <v>15</v>
      </c>
      <c r="V11857" s="1192">
        <v>20</v>
      </c>
    </row>
    <row r="11858" spans="1:22" s="1192" customFormat="1" ht="14.4" x14ac:dyDescent="0.3">
      <c r="A11858" s="1192" t="s">
        <v>204</v>
      </c>
      <c r="E11858" s="1942" t="s">
        <v>3710</v>
      </c>
      <c r="F11858" s="1942"/>
      <c r="G11858" s="1277" t="s">
        <v>19</v>
      </c>
      <c r="H11858" s="1218">
        <v>15</v>
      </c>
      <c r="V11858" s="1192">
        <v>21</v>
      </c>
    </row>
    <row r="11859" spans="1:22" s="1192" customFormat="1" ht="14.4" x14ac:dyDescent="0.3">
      <c r="A11859" s="1192" t="s">
        <v>204</v>
      </c>
      <c r="E11859" s="1942" t="s">
        <v>3711</v>
      </c>
      <c r="F11859" s="1942"/>
      <c r="G11859" s="1277" t="s">
        <v>19</v>
      </c>
      <c r="H11859" s="1218">
        <v>15</v>
      </c>
      <c r="V11859" s="1192">
        <v>27</v>
      </c>
    </row>
    <row r="11860" spans="1:22" s="1192" customFormat="1" ht="14.4" x14ac:dyDescent="0.3">
      <c r="A11860" s="1192" t="s">
        <v>204</v>
      </c>
      <c r="E11860" s="1942" t="s">
        <v>3712</v>
      </c>
      <c r="F11860" s="1942"/>
      <c r="G11860" s="1277" t="s">
        <v>19</v>
      </c>
      <c r="H11860" s="1218">
        <v>15</v>
      </c>
      <c r="V11860" s="1192">
        <v>40</v>
      </c>
    </row>
    <row r="11861" spans="1:22" s="1192" customFormat="1" ht="14.4" x14ac:dyDescent="0.3">
      <c r="A11861" s="1192" t="s">
        <v>204</v>
      </c>
      <c r="E11861" s="1942" t="s">
        <v>3713</v>
      </c>
      <c r="F11861" s="1942"/>
      <c r="G11861" s="1277" t="s">
        <v>19</v>
      </c>
      <c r="H11861" s="1218">
        <v>15</v>
      </c>
      <c r="V11861" s="1192">
        <v>38</v>
      </c>
    </row>
    <row r="11862" spans="1:22" s="1192" customFormat="1" ht="14.4" x14ac:dyDescent="0.3">
      <c r="A11862" s="1192" t="s">
        <v>204</v>
      </c>
      <c r="E11862" s="1942" t="s">
        <v>3714</v>
      </c>
      <c r="F11862" s="1942"/>
      <c r="G11862" s="1277" t="s">
        <v>19</v>
      </c>
      <c r="H11862" s="1218">
        <v>15</v>
      </c>
      <c r="V11862" s="1192">
        <v>16</v>
      </c>
    </row>
    <row r="11863" spans="1:22" s="1192" customFormat="1" ht="14.4" x14ac:dyDescent="0.3">
      <c r="A11863" s="1192" t="s">
        <v>204</v>
      </c>
      <c r="E11863" s="1942" t="s">
        <v>3715</v>
      </c>
      <c r="F11863" s="1942"/>
      <c r="G11863" s="1277" t="s">
        <v>19</v>
      </c>
      <c r="H11863" s="1218">
        <v>15</v>
      </c>
      <c r="V11863" s="1192">
        <v>18</v>
      </c>
    </row>
    <row r="11864" spans="1:22" s="1192" customFormat="1" ht="14.4" x14ac:dyDescent="0.3">
      <c r="A11864" s="1192" t="s">
        <v>204</v>
      </c>
      <c r="E11864" s="1942" t="s">
        <v>3716</v>
      </c>
      <c r="F11864" s="1942"/>
      <c r="G11864" s="1277" t="s">
        <v>19</v>
      </c>
      <c r="H11864" s="1218">
        <v>15</v>
      </c>
      <c r="V11864" s="1192">
        <v>20</v>
      </c>
    </row>
    <row r="11865" spans="1:22" s="1192" customFormat="1" ht="14.4" x14ac:dyDescent="0.3">
      <c r="A11865" s="1192" t="s">
        <v>204</v>
      </c>
      <c r="E11865" s="1942" t="s">
        <v>3717</v>
      </c>
      <c r="F11865" s="1942"/>
      <c r="G11865" s="1277" t="s">
        <v>19</v>
      </c>
      <c r="H11865" s="1218">
        <v>15</v>
      </c>
      <c r="V11865" s="1192">
        <v>16</v>
      </c>
    </row>
    <row r="11866" spans="1:22" s="1192" customFormat="1" ht="14.4" x14ac:dyDescent="0.3">
      <c r="A11866" s="1192" t="s">
        <v>204</v>
      </c>
      <c r="E11866" s="1942" t="s">
        <v>3718</v>
      </c>
      <c r="F11866" s="1942"/>
      <c r="G11866" s="1277" t="s">
        <v>19</v>
      </c>
      <c r="H11866" s="1218">
        <v>15</v>
      </c>
      <c r="V11866" s="1192">
        <v>57</v>
      </c>
    </row>
    <row r="11867" spans="1:22" s="1192" customFormat="1" ht="14.4" x14ac:dyDescent="0.3">
      <c r="A11867" s="1192" t="s">
        <v>204</v>
      </c>
      <c r="E11867" s="1942" t="s">
        <v>3719</v>
      </c>
      <c r="F11867" s="1942"/>
      <c r="G11867" s="1277" t="s">
        <v>19</v>
      </c>
      <c r="H11867" s="1218">
        <v>15</v>
      </c>
      <c r="V11867" s="1192">
        <v>43</v>
      </c>
    </row>
    <row r="11868" spans="1:22" s="1192" customFormat="1" ht="14.4" x14ac:dyDescent="0.3">
      <c r="A11868" s="1192" t="s">
        <v>204</v>
      </c>
      <c r="E11868" s="1942" t="s">
        <v>3720</v>
      </c>
      <c r="F11868" s="1942"/>
      <c r="G11868" s="1277" t="s">
        <v>19</v>
      </c>
      <c r="H11868" s="1218">
        <v>15</v>
      </c>
      <c r="V11868" s="1192">
        <v>25</v>
      </c>
    </row>
    <row r="11869" spans="1:22" s="1192" customFormat="1" ht="14.4" x14ac:dyDescent="0.3">
      <c r="A11869" s="1192" t="s">
        <v>204</v>
      </c>
      <c r="E11869" s="1942" t="s">
        <v>4223</v>
      </c>
      <c r="F11869" s="1942"/>
      <c r="G11869" s="1277" t="s">
        <v>19</v>
      </c>
      <c r="H11869" s="1218">
        <v>15</v>
      </c>
      <c r="V11869" s="1192">
        <v>20</v>
      </c>
    </row>
    <row r="11870" spans="1:22" s="1192" customFormat="1" ht="14.4" x14ac:dyDescent="0.3">
      <c r="A11870" s="1192" t="s">
        <v>204</v>
      </c>
      <c r="E11870" s="1942" t="s">
        <v>3721</v>
      </c>
      <c r="F11870" s="1942"/>
      <c r="G11870" s="1277" t="s">
        <v>19</v>
      </c>
      <c r="H11870" s="1218">
        <v>30</v>
      </c>
      <c r="V11870" s="1192">
        <v>90</v>
      </c>
    </row>
    <row r="11871" spans="1:22" s="1192" customFormat="1" ht="14.4" x14ac:dyDescent="0.3">
      <c r="A11871" s="1192" t="s">
        <v>204</v>
      </c>
      <c r="E11871" s="1942" t="s">
        <v>3722</v>
      </c>
      <c r="F11871" s="1942"/>
      <c r="G11871" s="1277" t="s">
        <v>19</v>
      </c>
      <c r="H11871" s="1218">
        <v>30</v>
      </c>
      <c r="V11871" s="1192">
        <v>75</v>
      </c>
    </row>
    <row r="11872" spans="1:22" s="1192" customFormat="1" ht="14.4" x14ac:dyDescent="0.3">
      <c r="A11872" s="1192" t="s">
        <v>204</v>
      </c>
      <c r="E11872" s="1942" t="s">
        <v>3723</v>
      </c>
      <c r="F11872" s="1942"/>
      <c r="G11872" s="1277" t="s">
        <v>19</v>
      </c>
      <c r="H11872" s="1218">
        <v>30</v>
      </c>
      <c r="V11872" s="1192">
        <v>20</v>
      </c>
    </row>
    <row r="11873" spans="1:22" s="1192" customFormat="1" ht="14.4" x14ac:dyDescent="0.3">
      <c r="A11873" s="1192" t="s">
        <v>204</v>
      </c>
      <c r="E11873" s="1286" t="s">
        <v>2468</v>
      </c>
      <c r="F11873" s="1287"/>
      <c r="G11873" s="1280"/>
      <c r="H11873" s="846"/>
      <c r="K11873" s="1192" t="s">
        <v>6632</v>
      </c>
      <c r="V11873" s="1192">
        <v>22</v>
      </c>
    </row>
    <row r="11874" spans="1:22" s="1192" customFormat="1" ht="14.4" x14ac:dyDescent="0.3">
      <c r="A11874" s="1192" t="s">
        <v>204</v>
      </c>
      <c r="E11874" s="1942" t="s">
        <v>3918</v>
      </c>
      <c r="F11874" s="1942"/>
      <c r="G11874" s="1277"/>
      <c r="H11874" s="837"/>
      <c r="V11874" s="1192">
        <v>24</v>
      </c>
    </row>
    <row r="11875" spans="1:22" s="1192" customFormat="1" ht="14.4" x14ac:dyDescent="0.3">
      <c r="A11875" s="1192" t="s">
        <v>204</v>
      </c>
      <c r="E11875" s="1942" t="s">
        <v>6195</v>
      </c>
      <c r="F11875" s="1942"/>
      <c r="G11875" s="1277" t="s">
        <v>82</v>
      </c>
      <c r="H11875" s="1218">
        <v>1.5</v>
      </c>
      <c r="V11875" s="1192">
        <v>74</v>
      </c>
    </row>
    <row r="11876" spans="1:22" s="1192" customFormat="1" ht="14.4" x14ac:dyDescent="0.3">
      <c r="A11876" s="1192" t="s">
        <v>204</v>
      </c>
      <c r="E11876" s="1942" t="s">
        <v>6633</v>
      </c>
      <c r="F11876" s="1942"/>
      <c r="G11876" s="1277" t="s">
        <v>19</v>
      </c>
      <c r="H11876" s="1218">
        <v>65</v>
      </c>
      <c r="V11876" s="1192">
        <v>45</v>
      </c>
    </row>
    <row r="11877" spans="1:22" s="1192" customFormat="1" ht="14.4" x14ac:dyDescent="0.3">
      <c r="A11877" s="1192" t="s">
        <v>204</v>
      </c>
      <c r="E11877" s="1942" t="s">
        <v>6634</v>
      </c>
      <c r="F11877" s="1942"/>
      <c r="G11877" s="1277" t="s">
        <v>19</v>
      </c>
      <c r="H11877" s="1218">
        <v>185</v>
      </c>
      <c r="V11877" s="1192">
        <v>44</v>
      </c>
    </row>
    <row r="11878" spans="1:22" s="1192" customFormat="1" ht="14.4" x14ac:dyDescent="0.3">
      <c r="A11878" s="1192" t="s">
        <v>204</v>
      </c>
      <c r="E11878" s="1942" t="s">
        <v>6581</v>
      </c>
      <c r="F11878" s="1942"/>
      <c r="G11878" s="1277" t="s">
        <v>19</v>
      </c>
      <c r="H11878" s="1218">
        <v>185</v>
      </c>
      <c r="V11878" s="1192">
        <v>44</v>
      </c>
    </row>
    <row r="11879" spans="1:22" s="1192" customFormat="1" ht="14.4" x14ac:dyDescent="0.3">
      <c r="A11879" s="1192" t="s">
        <v>204</v>
      </c>
      <c r="E11879" s="1942" t="s">
        <v>6635</v>
      </c>
      <c r="F11879" s="1942"/>
      <c r="G11879" s="1277" t="s">
        <v>19</v>
      </c>
      <c r="H11879" s="1218">
        <v>415</v>
      </c>
      <c r="V11879" s="1192">
        <v>43</v>
      </c>
    </row>
    <row r="11880" spans="1:22" s="1192" customFormat="1" ht="14.4" x14ac:dyDescent="0.3">
      <c r="A11880" s="1192" t="s">
        <v>204</v>
      </c>
      <c r="E11880" s="1270" t="s">
        <v>2474</v>
      </c>
      <c r="F11880" s="3"/>
      <c r="G11880" s="360"/>
      <c r="H11880" s="844"/>
      <c r="V11880" s="1192">
        <v>5</v>
      </c>
    </row>
    <row r="11881" spans="1:22" s="1192" customFormat="1" ht="14.4" x14ac:dyDescent="0.3">
      <c r="A11881" s="1192" t="s">
        <v>204</v>
      </c>
      <c r="E11881" s="1942" t="s">
        <v>3724</v>
      </c>
      <c r="F11881" s="1942"/>
      <c r="G11881" s="1277" t="s">
        <v>19</v>
      </c>
      <c r="H11881" s="1218">
        <v>30</v>
      </c>
      <c r="V11881" s="1192">
        <v>40</v>
      </c>
    </row>
    <row r="11882" spans="1:22" s="1192" customFormat="1" ht="14.4" x14ac:dyDescent="0.3">
      <c r="A11882" s="1192" t="s">
        <v>204</v>
      </c>
      <c r="E11882" s="1942" t="s">
        <v>3725</v>
      </c>
      <c r="F11882" s="1942"/>
      <c r="G11882" s="1277" t="s">
        <v>19</v>
      </c>
      <c r="H11882" s="1218">
        <v>165</v>
      </c>
      <c r="V11882" s="1192">
        <v>35</v>
      </c>
    </row>
    <row r="11883" spans="1:22" s="1192" customFormat="1" ht="14.4" x14ac:dyDescent="0.3">
      <c r="A11883" s="1192" t="s">
        <v>204</v>
      </c>
      <c r="E11883" s="1942" t="s">
        <v>3063</v>
      </c>
      <c r="F11883" s="1942"/>
      <c r="G11883" s="1277" t="s">
        <v>19</v>
      </c>
      <c r="H11883" s="1218">
        <v>500</v>
      </c>
      <c r="V11883" s="1192">
        <v>65</v>
      </c>
    </row>
    <row r="11884" spans="1:22" s="1192" customFormat="1" ht="14.4" x14ac:dyDescent="0.3">
      <c r="A11884" s="1192" t="s">
        <v>204</v>
      </c>
      <c r="E11884" s="1942" t="s">
        <v>3726</v>
      </c>
      <c r="F11884" s="1942"/>
      <c r="G11884" s="1277" t="s">
        <v>19</v>
      </c>
      <c r="H11884" s="1218">
        <v>300</v>
      </c>
      <c r="V11884" s="1192">
        <v>68</v>
      </c>
    </row>
    <row r="11885" spans="1:22" s="1192" customFormat="1" ht="14.4" x14ac:dyDescent="0.3">
      <c r="A11885" s="1192" t="s">
        <v>204</v>
      </c>
      <c r="E11885" s="1942" t="s">
        <v>3727</v>
      </c>
      <c r="F11885" s="1942"/>
      <c r="G11885" s="1277" t="s">
        <v>19</v>
      </c>
      <c r="H11885" s="1218">
        <v>1000</v>
      </c>
      <c r="V11885" s="1192">
        <v>67</v>
      </c>
    </row>
    <row r="11886" spans="1:22" s="1192" customFormat="1" ht="14.4" x14ac:dyDescent="0.3">
      <c r="A11886" s="1192" t="s">
        <v>204</v>
      </c>
      <c r="E11886" s="1942" t="s">
        <v>4730</v>
      </c>
      <c r="F11886" s="1942"/>
      <c r="G11886" s="1277" t="s">
        <v>19</v>
      </c>
      <c r="H11886" s="1218">
        <v>44.5</v>
      </c>
      <c r="V11886" s="1192">
        <v>106</v>
      </c>
    </row>
    <row r="11887" spans="1:22" s="1192" customFormat="1" ht="17.399999999999999" x14ac:dyDescent="0.3">
      <c r="A11887" s="1192" t="s">
        <v>204</v>
      </c>
      <c r="E11887" s="2017" t="s">
        <v>73</v>
      </c>
      <c r="F11887" s="2017"/>
      <c r="G11887" s="2017"/>
      <c r="H11887" s="2017"/>
      <c r="K11887" s="1192" t="s">
        <v>3728</v>
      </c>
      <c r="V11887" s="1192">
        <v>38</v>
      </c>
    </row>
    <row r="11888" spans="1:22" s="1192" customFormat="1" ht="14.4" x14ac:dyDescent="0.3">
      <c r="A11888" s="1192" t="s">
        <v>204</v>
      </c>
      <c r="E11888" s="1743" t="s">
        <v>2391</v>
      </c>
      <c r="F11888" s="1743"/>
      <c r="G11888" s="1743"/>
      <c r="H11888" s="1743"/>
      <c r="V11888" s="1192">
        <v>280</v>
      </c>
    </row>
    <row r="11889" spans="1:22" s="1192" customFormat="1" ht="14.4" x14ac:dyDescent="0.3">
      <c r="A11889" s="1192" t="s">
        <v>204</v>
      </c>
      <c r="E11889" s="1743" t="s">
        <v>2392</v>
      </c>
      <c r="F11889" s="1743"/>
      <c r="G11889" s="1743"/>
      <c r="H11889" s="1743"/>
      <c r="V11889" s="1192">
        <v>411</v>
      </c>
    </row>
    <row r="11890" spans="1:22" s="1192" customFormat="1" ht="14.4" x14ac:dyDescent="0.3">
      <c r="A11890" s="1192" t="s">
        <v>204</v>
      </c>
      <c r="E11890" s="1743" t="s">
        <v>2445</v>
      </c>
      <c r="F11890" s="1743"/>
      <c r="G11890" s="1743"/>
      <c r="H11890" s="1743"/>
      <c r="V11890" s="1192">
        <v>211</v>
      </c>
    </row>
    <row r="11891" spans="1:22" s="1192" customFormat="1" ht="14.4" x14ac:dyDescent="0.3">
      <c r="A11891" s="1192" t="s">
        <v>204</v>
      </c>
      <c r="E11891" s="1743" t="s">
        <v>4728</v>
      </c>
      <c r="F11891" s="1743"/>
      <c r="G11891" s="1743"/>
      <c r="H11891" s="1743"/>
      <c r="V11891" s="1192">
        <v>247</v>
      </c>
    </row>
    <row r="11892" spans="1:22" s="1192" customFormat="1" ht="14.4" x14ac:dyDescent="0.3">
      <c r="A11892" s="1192" t="s">
        <v>204</v>
      </c>
      <c r="E11892" s="1743" t="s">
        <v>2818</v>
      </c>
      <c r="F11892" s="1743"/>
      <c r="G11892" s="1743"/>
      <c r="H11892" s="1743"/>
      <c r="V11892" s="1192">
        <v>141</v>
      </c>
    </row>
    <row r="11893" spans="1:22" s="1192" customFormat="1" ht="14.4" x14ac:dyDescent="0.3">
      <c r="A11893" s="1192" t="s">
        <v>204</v>
      </c>
      <c r="E11893" s="1741" t="s">
        <v>3729</v>
      </c>
      <c r="F11893" s="1741"/>
      <c r="G11893" s="360" t="s">
        <v>19</v>
      </c>
      <c r="H11893" s="1218">
        <v>102</v>
      </c>
      <c r="V11893" s="1192">
        <v>107</v>
      </c>
    </row>
    <row r="11894" spans="1:22" s="1192" customFormat="1" ht="14.4" x14ac:dyDescent="0.3">
      <c r="A11894" s="1192" t="s">
        <v>204</v>
      </c>
      <c r="E11894" s="1741" t="s">
        <v>4224</v>
      </c>
      <c r="F11894" s="1741"/>
      <c r="G11894" s="360" t="s">
        <v>19</v>
      </c>
      <c r="H11894" s="509">
        <v>40.799999999999997</v>
      </c>
      <c r="V11894" s="1192">
        <v>35</v>
      </c>
    </row>
    <row r="11895" spans="1:22" s="1192" customFormat="1" ht="14.4" x14ac:dyDescent="0.3">
      <c r="A11895" s="1192" t="s">
        <v>204</v>
      </c>
      <c r="E11895" s="1741" t="s">
        <v>4225</v>
      </c>
      <c r="F11895" s="1741"/>
      <c r="G11895" s="360" t="s">
        <v>2488</v>
      </c>
      <c r="H11895" s="509">
        <v>1.02</v>
      </c>
      <c r="V11895" s="1192">
        <v>52</v>
      </c>
    </row>
    <row r="11896" spans="1:22" s="1192" customFormat="1" ht="14.4" x14ac:dyDescent="0.3">
      <c r="A11896" s="1192" t="s">
        <v>204</v>
      </c>
      <c r="E11896" s="1741" t="s">
        <v>3730</v>
      </c>
      <c r="F11896" s="1741"/>
      <c r="G11896" s="360" t="s">
        <v>2488</v>
      </c>
      <c r="H11896" s="509">
        <v>0.61</v>
      </c>
      <c r="V11896" s="1192">
        <v>76</v>
      </c>
    </row>
    <row r="11897" spans="1:22" s="1192" customFormat="1" ht="14.4" x14ac:dyDescent="0.3">
      <c r="A11897" s="1192" t="s">
        <v>204</v>
      </c>
      <c r="E11897" s="1741" t="s">
        <v>3731</v>
      </c>
      <c r="F11897" s="1741"/>
      <c r="G11897" s="360" t="s">
        <v>2488</v>
      </c>
      <c r="H11897" s="509">
        <v>-0.61</v>
      </c>
      <c r="V11897" s="1192">
        <v>73</v>
      </c>
    </row>
    <row r="11898" spans="1:22" s="1192" customFormat="1" ht="14.4" x14ac:dyDescent="0.3">
      <c r="A11898" s="1192" t="s">
        <v>204</v>
      </c>
      <c r="E11898" s="1741" t="s">
        <v>2596</v>
      </c>
      <c r="F11898" s="1741"/>
      <c r="G11898" s="3"/>
      <c r="H11898" s="840"/>
      <c r="V11898" s="1192">
        <v>34</v>
      </c>
    </row>
    <row r="11899" spans="1:22" s="1192" customFormat="1" ht="14.4" x14ac:dyDescent="0.3">
      <c r="A11899" s="1192" t="s">
        <v>204</v>
      </c>
      <c r="E11899" s="1941" t="s">
        <v>3732</v>
      </c>
      <c r="F11899" s="1941"/>
      <c r="G11899" s="1280" t="s">
        <v>19</v>
      </c>
      <c r="H11899" s="1218">
        <v>0.51</v>
      </c>
      <c r="V11899" s="1192">
        <v>58</v>
      </c>
    </row>
    <row r="11900" spans="1:22" s="1192" customFormat="1" ht="14.4" x14ac:dyDescent="0.3">
      <c r="A11900" s="1192" t="s">
        <v>204</v>
      </c>
      <c r="E11900" s="1941" t="s">
        <v>3733</v>
      </c>
      <c r="F11900" s="1941"/>
      <c r="G11900" s="1280" t="s">
        <v>19</v>
      </c>
      <c r="H11900" s="1218">
        <v>1.02</v>
      </c>
      <c r="V11900" s="1192">
        <v>61</v>
      </c>
    </row>
    <row r="11901" spans="1:22" s="1192" customFormat="1" ht="14.4" x14ac:dyDescent="0.3">
      <c r="A11901" s="1192" t="s">
        <v>204</v>
      </c>
      <c r="E11901" s="1741" t="s">
        <v>2494</v>
      </c>
      <c r="F11901" s="1741"/>
      <c r="G11901" s="359"/>
      <c r="H11901" s="837"/>
      <c r="V11901" s="1192">
        <v>91</v>
      </c>
    </row>
    <row r="11902" spans="1:22" s="1192" customFormat="1" ht="14.4" x14ac:dyDescent="0.3">
      <c r="A11902" s="1192" t="s">
        <v>204</v>
      </c>
      <c r="E11902" s="1741" t="s">
        <v>2495</v>
      </c>
      <c r="F11902" s="1741"/>
      <c r="G11902" s="359"/>
      <c r="H11902" s="837"/>
      <c r="V11902" s="1192">
        <v>96</v>
      </c>
    </row>
    <row r="11903" spans="1:22" s="1192" customFormat="1" ht="14.4" x14ac:dyDescent="0.3">
      <c r="A11903" s="1192" t="s">
        <v>204</v>
      </c>
      <c r="E11903" s="1741" t="s">
        <v>2597</v>
      </c>
      <c r="F11903" s="1741"/>
      <c r="G11903" s="359"/>
      <c r="H11903" s="837"/>
      <c r="V11903" s="1192">
        <v>77</v>
      </c>
    </row>
    <row r="11904" spans="1:22" s="1192" customFormat="1" ht="14.4" x14ac:dyDescent="0.3">
      <c r="A11904" s="1192" t="s">
        <v>204</v>
      </c>
      <c r="E11904" s="1941" t="s">
        <v>3734</v>
      </c>
      <c r="F11904" s="1941"/>
      <c r="G11904" s="1280" t="s">
        <v>19</v>
      </c>
      <c r="H11904" s="837" t="s">
        <v>2498</v>
      </c>
      <c r="V11904" s="1192">
        <v>28</v>
      </c>
    </row>
    <row r="11905" spans="1:22" s="1192" customFormat="1" ht="14.4" x14ac:dyDescent="0.3">
      <c r="A11905" s="1192" t="s">
        <v>204</v>
      </c>
      <c r="E11905" s="1941" t="s">
        <v>3735</v>
      </c>
      <c r="F11905" s="1941"/>
      <c r="G11905" s="1280" t="s">
        <v>19</v>
      </c>
      <c r="H11905" s="1218">
        <v>4.08</v>
      </c>
      <c r="V11905" s="1192">
        <v>70</v>
      </c>
    </row>
    <row r="11906" spans="1:22" s="1192" customFormat="1" ht="14.4" x14ac:dyDescent="0.3">
      <c r="A11906" s="1192" t="s">
        <v>204</v>
      </c>
      <c r="E11906" s="1741" t="s">
        <v>4608</v>
      </c>
      <c r="F11906" s="1741"/>
      <c r="G11906" s="360" t="s">
        <v>19</v>
      </c>
      <c r="H11906" s="1218">
        <v>2.04</v>
      </c>
      <c r="V11906" s="1192">
        <v>199</v>
      </c>
    </row>
    <row r="11907" spans="1:22" s="1192" customFormat="1" ht="17.399999999999999" x14ac:dyDescent="0.3">
      <c r="A11907" s="1192" t="s">
        <v>204</v>
      </c>
      <c r="E11907" s="2017" t="s">
        <v>143</v>
      </c>
      <c r="F11907" s="2017"/>
      <c r="G11907" s="2017"/>
      <c r="H11907" s="2017"/>
      <c r="K11907" s="1192" t="s">
        <v>3736</v>
      </c>
      <c r="V11907" s="1192">
        <v>12</v>
      </c>
    </row>
    <row r="11908" spans="1:22" s="1192" customFormat="1" ht="14.4" x14ac:dyDescent="0.3">
      <c r="A11908" s="1192" t="s">
        <v>204</v>
      </c>
      <c r="E11908" s="1741" t="s">
        <v>2501</v>
      </c>
      <c r="F11908" s="1741"/>
      <c r="G11908" s="1741"/>
      <c r="H11908" s="1741"/>
      <c r="V11908" s="1192">
        <v>203</v>
      </c>
    </row>
    <row r="11909" spans="1:22" s="1192" customFormat="1" ht="14.4" x14ac:dyDescent="0.3">
      <c r="A11909" s="1192" t="s">
        <v>204</v>
      </c>
      <c r="E11909" s="1741" t="s">
        <v>2599</v>
      </c>
      <c r="F11909" s="1741"/>
      <c r="G11909" s="1277"/>
      <c r="H11909" s="837">
        <v>1.0819000000000001</v>
      </c>
      <c r="V11909" s="1192">
        <v>57</v>
      </c>
    </row>
    <row r="11910" spans="1:22" s="1192" customFormat="1" ht="14.4" x14ac:dyDescent="0.3">
      <c r="A11910" s="1192" t="s">
        <v>204</v>
      </c>
      <c r="E11910" s="1741" t="s">
        <v>2601</v>
      </c>
      <c r="F11910" s="1741"/>
      <c r="G11910" s="1277"/>
      <c r="H11910" s="837">
        <v>1.0710999999999999</v>
      </c>
      <c r="J11910" s="1192" t="s">
        <v>3737</v>
      </c>
      <c r="V11910" s="1192">
        <v>55</v>
      </c>
    </row>
    <row r="11911" spans="1:22" s="1192" customFormat="1" ht="22.8" x14ac:dyDescent="0.3">
      <c r="A11911" s="1192" t="s">
        <v>228</v>
      </c>
      <c r="C11911" s="1192" t="s">
        <v>2378</v>
      </c>
      <c r="E11911" s="1752" t="s">
        <v>228</v>
      </c>
      <c r="F11911" s="1752"/>
      <c r="G11911" s="1752"/>
      <c r="H11911" s="1752"/>
      <c r="I11911" s="1192" t="s">
        <v>603</v>
      </c>
      <c r="J11911" s="1192" t="s">
        <v>2505</v>
      </c>
      <c r="K11911" s="1192" t="s">
        <v>228</v>
      </c>
      <c r="M11911" s="1192">
        <v>9</v>
      </c>
      <c r="V11911" s="1192">
        <v>40</v>
      </c>
    </row>
    <row r="11912" spans="1:22" s="1192" customFormat="1" ht="17.399999999999999" x14ac:dyDescent="0.3">
      <c r="A11912" s="1192" t="s">
        <v>228</v>
      </c>
      <c r="C11912" s="1192" t="s">
        <v>2380</v>
      </c>
      <c r="E11912" s="1753" t="s">
        <v>2381</v>
      </c>
      <c r="F11912" s="1753"/>
      <c r="G11912" s="1753"/>
      <c r="H11912" s="1753"/>
      <c r="V11912" s="1192">
        <v>27</v>
      </c>
    </row>
    <row r="11913" spans="1:22" s="1192" customFormat="1" ht="15.6" x14ac:dyDescent="0.3">
      <c r="A11913" s="1192" t="s">
        <v>228</v>
      </c>
      <c r="C11913" s="1192" t="s">
        <v>2382</v>
      </c>
      <c r="E11913" s="1754" t="s">
        <v>6482</v>
      </c>
      <c r="F11913" s="1754"/>
      <c r="G11913" s="1754"/>
      <c r="H11913" s="1754"/>
      <c r="S11913" s="1192">
        <v>43952</v>
      </c>
      <c r="V11913" s="1192">
        <v>45</v>
      </c>
    </row>
    <row r="11914" spans="1:22" s="1192" customFormat="1" ht="14.4" x14ac:dyDescent="0.3">
      <c r="A11914" s="1192" t="s">
        <v>228</v>
      </c>
      <c r="C11914" s="1192" t="s">
        <v>2383</v>
      </c>
      <c r="E11914" s="1755" t="s">
        <v>2384</v>
      </c>
      <c r="F11914" s="1755"/>
      <c r="G11914" s="1755"/>
      <c r="H11914" s="1755"/>
      <c r="V11914" s="1192">
        <v>52</v>
      </c>
    </row>
    <row r="11915" spans="1:22" s="1192" customFormat="1" ht="14.4" x14ac:dyDescent="0.3">
      <c r="A11915" s="1192" t="s">
        <v>228</v>
      </c>
      <c r="E11915" s="1755" t="s">
        <v>2385</v>
      </c>
      <c r="F11915" s="1755"/>
      <c r="G11915" s="1755"/>
      <c r="H11915" s="1755"/>
      <c r="V11915" s="1192">
        <v>53</v>
      </c>
    </row>
    <row r="11916" spans="1:22" s="1192" customFormat="1" ht="14.4" x14ac:dyDescent="0.3">
      <c r="A11916" s="1192" t="s">
        <v>228</v>
      </c>
      <c r="E11916" s="1772" t="s">
        <v>6636</v>
      </c>
      <c r="F11916" s="1772"/>
      <c r="G11916" s="1772"/>
      <c r="H11916" s="1772"/>
      <c r="K11916" s="1192" t="s">
        <v>6636</v>
      </c>
      <c r="V11916" s="1192">
        <v>12</v>
      </c>
    </row>
    <row r="11917" spans="1:22" s="1192" customFormat="1" ht="14.4" x14ac:dyDescent="0.3">
      <c r="A11917" s="1192" t="s">
        <v>228</v>
      </c>
      <c r="E11917" s="1746" t="s">
        <v>427</v>
      </c>
      <c r="F11917" s="1743"/>
      <c r="G11917" s="1743"/>
      <c r="H11917" s="1743"/>
      <c r="K11917" s="1192" t="s">
        <v>2506</v>
      </c>
      <c r="V11917" s="1192">
        <v>34</v>
      </c>
    </row>
    <row r="11918" spans="1:22" s="1192" customFormat="1" ht="14.4" x14ac:dyDescent="0.3">
      <c r="A11918" s="1192" t="s">
        <v>228</v>
      </c>
      <c r="E11918" s="1743" t="s">
        <v>2507</v>
      </c>
      <c r="F11918" s="1743"/>
      <c r="G11918" s="1743"/>
      <c r="H11918" s="1743"/>
      <c r="K11918" s="1192" t="s">
        <v>2506</v>
      </c>
      <c r="V11918" s="1192">
        <v>930</v>
      </c>
    </row>
    <row r="11919" spans="1:22" s="1192" customFormat="1" ht="14.4" x14ac:dyDescent="0.3">
      <c r="A11919" s="1192" t="s">
        <v>228</v>
      </c>
      <c r="E11919" s="1750" t="s">
        <v>2389</v>
      </c>
      <c r="F11919" s="1743"/>
      <c r="G11919" s="1743"/>
      <c r="H11919" s="1743"/>
      <c r="K11919" s="1192" t="s">
        <v>2390</v>
      </c>
      <c r="V11919" s="1192">
        <v>11</v>
      </c>
    </row>
    <row r="11920" spans="1:22" s="1192" customFormat="1" ht="14.4" x14ac:dyDescent="0.3">
      <c r="A11920" s="1192" t="s">
        <v>228</v>
      </c>
      <c r="E11920" s="1743" t="s">
        <v>2391</v>
      </c>
      <c r="F11920" s="1743"/>
      <c r="G11920" s="1743"/>
      <c r="H11920" s="1743"/>
      <c r="K11920" s="1192" t="s">
        <v>2506</v>
      </c>
      <c r="V11920" s="1192">
        <v>280</v>
      </c>
    </row>
    <row r="11921" spans="1:22" s="1192" customFormat="1" ht="14.4" x14ac:dyDescent="0.3">
      <c r="A11921" s="1192" t="s">
        <v>228</v>
      </c>
      <c r="E11921" s="1743" t="s">
        <v>2392</v>
      </c>
      <c r="F11921" s="1743"/>
      <c r="G11921" s="1743"/>
      <c r="H11921" s="1743"/>
      <c r="K11921" s="1192" t="s">
        <v>2506</v>
      </c>
      <c r="V11921" s="1192">
        <v>411</v>
      </c>
    </row>
    <row r="11922" spans="1:22" s="1192" customFormat="1" ht="14.4" x14ac:dyDescent="0.3">
      <c r="A11922" s="1192" t="s">
        <v>228</v>
      </c>
      <c r="E11922" s="1743" t="s">
        <v>2508</v>
      </c>
      <c r="F11922" s="1743"/>
      <c r="G11922" s="1743"/>
      <c r="H11922" s="1743"/>
      <c r="K11922" s="1192" t="s">
        <v>2506</v>
      </c>
      <c r="V11922" s="1192">
        <v>386</v>
      </c>
    </row>
    <row r="11923" spans="1:22" s="1192" customFormat="1" ht="14.4" x14ac:dyDescent="0.3">
      <c r="A11923" s="1192" t="s">
        <v>228</v>
      </c>
      <c r="E11923" s="1743" t="s">
        <v>4500</v>
      </c>
      <c r="F11923" s="1743"/>
      <c r="G11923" s="1743"/>
      <c r="H11923" s="1743"/>
      <c r="K11923" s="1192" t="s">
        <v>2506</v>
      </c>
      <c r="V11923" s="1192">
        <v>247</v>
      </c>
    </row>
    <row r="11924" spans="1:22" s="1192" customFormat="1" ht="14.4" x14ac:dyDescent="0.3">
      <c r="A11924" s="1192" t="s">
        <v>228</v>
      </c>
      <c r="E11924" s="1750" t="s">
        <v>2394</v>
      </c>
      <c r="F11924" s="1743"/>
      <c r="G11924" s="1743"/>
      <c r="H11924" s="1743"/>
      <c r="K11924" s="1192" t="s">
        <v>2395</v>
      </c>
      <c r="V11924" s="1192">
        <v>46</v>
      </c>
    </row>
    <row r="11925" spans="1:22" s="1192" customFormat="1" ht="14.4" x14ac:dyDescent="0.3">
      <c r="A11925" s="1192" t="s">
        <v>228</v>
      </c>
      <c r="E11925" s="1740" t="s">
        <v>7</v>
      </c>
      <c r="F11925" s="1740"/>
      <c r="G11925" s="1277" t="s">
        <v>19</v>
      </c>
      <c r="H11925" s="1218">
        <v>32.76</v>
      </c>
      <c r="K11925" s="1192" t="s">
        <v>2506</v>
      </c>
      <c r="L11925" s="1192" t="s">
        <v>430</v>
      </c>
      <c r="P11925" s="1192" t="s">
        <v>2510</v>
      </c>
      <c r="V11925" s="1192">
        <v>14</v>
      </c>
    </row>
    <row r="11926" spans="1:22" s="1192" customFormat="1" ht="14.4" x14ac:dyDescent="0.3">
      <c r="A11926" s="1192" t="s">
        <v>228</v>
      </c>
      <c r="E11926" s="1740" t="s">
        <v>3900</v>
      </c>
      <c r="F11926" s="1740"/>
      <c r="G11926" s="1277" t="s">
        <v>19</v>
      </c>
      <c r="H11926" s="1218">
        <v>0.56999999999999995</v>
      </c>
      <c r="K11926" s="1192" t="s">
        <v>2506</v>
      </c>
      <c r="L11926" s="1192" t="s">
        <v>431</v>
      </c>
      <c r="P11926" s="1192" t="s">
        <v>2511</v>
      </c>
      <c r="T11926" s="1192">
        <v>44926</v>
      </c>
      <c r="V11926" s="1192">
        <v>64</v>
      </c>
    </row>
    <row r="11927" spans="1:22" s="1192" customFormat="1" ht="14.4" x14ac:dyDescent="0.3">
      <c r="A11927" s="1192" t="s">
        <v>228</v>
      </c>
      <c r="E11927" s="1740" t="s">
        <v>14</v>
      </c>
      <c r="F11927" s="1740"/>
      <c r="G11927" s="1277" t="s">
        <v>20</v>
      </c>
      <c r="H11927" s="1219">
        <v>2.0000000000000001E-4</v>
      </c>
      <c r="K11927" s="1192" t="s">
        <v>2506</v>
      </c>
      <c r="L11927" s="1192" t="s">
        <v>431</v>
      </c>
      <c r="P11927" s="1192" t="s">
        <v>2513</v>
      </c>
      <c r="V11927" s="1192">
        <v>24</v>
      </c>
    </row>
    <row r="11928" spans="1:22" s="1192" customFormat="1" ht="14.4" x14ac:dyDescent="0.3">
      <c r="A11928" s="1192" t="s">
        <v>228</v>
      </c>
      <c r="E11928" s="2011" t="s">
        <v>6506</v>
      </c>
      <c r="F11928" s="2016"/>
      <c r="G11928" s="1277" t="s">
        <v>20</v>
      </c>
      <c r="H11928" s="1219">
        <v>-2.8E-3</v>
      </c>
      <c r="K11928" s="1192" t="s">
        <v>2506</v>
      </c>
      <c r="L11928" s="1192" t="s">
        <v>431</v>
      </c>
      <c r="P11928" s="1192" t="s">
        <v>2514</v>
      </c>
      <c r="T11928" s="1192">
        <v>44316</v>
      </c>
      <c r="V11928" s="1192">
        <v>139</v>
      </c>
    </row>
    <row r="11929" spans="1:22" s="1192" customFormat="1" ht="14.4" x14ac:dyDescent="0.3">
      <c r="A11929" s="1192" t="s">
        <v>228</v>
      </c>
      <c r="E11929" s="2011" t="s">
        <v>6548</v>
      </c>
      <c r="F11929" s="2016"/>
      <c r="G11929" s="1277" t="s">
        <v>20</v>
      </c>
      <c r="H11929" s="1219">
        <v>4.0000000000000002E-4</v>
      </c>
      <c r="K11929" s="1192" t="s">
        <v>2506</v>
      </c>
      <c r="L11929" s="1192" t="s">
        <v>430</v>
      </c>
      <c r="P11929" s="1192" t="s">
        <v>2515</v>
      </c>
      <c r="T11929" s="1192">
        <v>44316</v>
      </c>
      <c r="V11929" s="1192">
        <v>134</v>
      </c>
    </row>
    <row r="11930" spans="1:22" s="1192" customFormat="1" ht="14.4" x14ac:dyDescent="0.3">
      <c r="A11930" s="1192" t="s">
        <v>228</v>
      </c>
      <c r="E11930" s="1740" t="s">
        <v>6508</v>
      </c>
      <c r="F11930" s="1989"/>
      <c r="G11930" s="1277" t="s">
        <v>20</v>
      </c>
      <c r="H11930" s="1219">
        <v>-1.2999999999999999E-3</v>
      </c>
      <c r="K11930" s="1192" t="s">
        <v>2506</v>
      </c>
      <c r="L11930" s="1192" t="s">
        <v>431</v>
      </c>
      <c r="P11930" s="1192" t="s">
        <v>2516</v>
      </c>
      <c r="T11930" s="1192">
        <v>44316</v>
      </c>
      <c r="V11930" s="1192">
        <v>96</v>
      </c>
    </row>
    <row r="11931" spans="1:22" s="1192" customFormat="1" ht="14.4" x14ac:dyDescent="0.3">
      <c r="A11931" s="1192" t="s">
        <v>228</v>
      </c>
      <c r="E11931" s="2011" t="s">
        <v>6637</v>
      </c>
      <c r="F11931" s="2016"/>
      <c r="G11931" s="1277" t="s">
        <v>20</v>
      </c>
      <c r="H11931" s="1219">
        <v>-1E-4</v>
      </c>
      <c r="K11931" s="1192" t="s">
        <v>2506</v>
      </c>
      <c r="L11931" s="1192" t="s">
        <v>431</v>
      </c>
      <c r="P11931" s="1192" t="s">
        <v>3897</v>
      </c>
      <c r="T11931" s="1192">
        <v>44316</v>
      </c>
      <c r="V11931" s="1192">
        <v>144</v>
      </c>
    </row>
    <row r="11932" spans="1:22" s="1192" customFormat="1" ht="14.4" x14ac:dyDescent="0.3">
      <c r="A11932" s="1192" t="s">
        <v>228</v>
      </c>
      <c r="E11932" s="1740" t="s">
        <v>213</v>
      </c>
      <c r="F11932" s="1740"/>
      <c r="G11932" s="1277" t="s">
        <v>20</v>
      </c>
      <c r="H11932" s="1219">
        <v>7.3000000000000001E-3</v>
      </c>
      <c r="K11932" s="1192" t="s">
        <v>2506</v>
      </c>
      <c r="L11932" s="1192" t="s">
        <v>432</v>
      </c>
      <c r="P11932" s="1192" t="s">
        <v>2517</v>
      </c>
      <c r="V11932" s="1192">
        <v>47</v>
      </c>
    </row>
    <row r="11933" spans="1:22" s="1192" customFormat="1" ht="14.4" x14ac:dyDescent="0.3">
      <c r="A11933" s="1192" t="s">
        <v>228</v>
      </c>
      <c r="E11933" s="1740" t="s">
        <v>209</v>
      </c>
      <c r="F11933" s="1740"/>
      <c r="G11933" s="1277" t="s">
        <v>20</v>
      </c>
      <c r="H11933" s="1219">
        <v>6.8999999999999999E-3</v>
      </c>
      <c r="K11933" s="1192" t="s">
        <v>2506</v>
      </c>
      <c r="L11933" s="1192" t="s">
        <v>432</v>
      </c>
      <c r="P11933" s="1192" t="s">
        <v>2518</v>
      </c>
      <c r="V11933" s="1192">
        <v>74</v>
      </c>
    </row>
    <row r="11934" spans="1:22" s="1192" customFormat="1" ht="14.4" x14ac:dyDescent="0.3">
      <c r="A11934" s="1192" t="s">
        <v>228</v>
      </c>
      <c r="E11934" s="1750" t="s">
        <v>2405</v>
      </c>
      <c r="F11934" s="1741"/>
      <c r="G11934" s="1277"/>
      <c r="H11934" s="896"/>
      <c r="K11934" s="1192" t="s">
        <v>2406</v>
      </c>
      <c r="V11934" s="1192">
        <v>48</v>
      </c>
    </row>
    <row r="11935" spans="1:22" s="1192" customFormat="1" ht="14.4" x14ac:dyDescent="0.3">
      <c r="A11935" s="1192" t="s">
        <v>228</v>
      </c>
      <c r="E11935" s="1740" t="s">
        <v>2033</v>
      </c>
      <c r="F11935" s="1740"/>
      <c r="G11935" s="1277" t="s">
        <v>20</v>
      </c>
      <c r="H11935" s="1219">
        <v>3.0000000000000001E-3</v>
      </c>
      <c r="K11935" s="1192" t="s">
        <v>2506</v>
      </c>
      <c r="L11935" s="1192" t="s">
        <v>2374</v>
      </c>
      <c r="P11935" s="1192" t="s">
        <v>2519</v>
      </c>
      <c r="V11935" s="1192">
        <v>55</v>
      </c>
    </row>
    <row r="11936" spans="1:22" s="1192" customFormat="1" ht="14.4" x14ac:dyDescent="0.3">
      <c r="A11936" s="1192" t="s">
        <v>228</v>
      </c>
      <c r="E11936" s="1740" t="s">
        <v>2034</v>
      </c>
      <c r="F11936" s="1740"/>
      <c r="G11936" s="1277" t="s">
        <v>20</v>
      </c>
      <c r="H11936" s="1219">
        <v>4.0000000000000002E-4</v>
      </c>
      <c r="K11936" s="1192" t="s">
        <v>2506</v>
      </c>
      <c r="L11936" s="1192" t="s">
        <v>2374</v>
      </c>
      <c r="P11936" s="1192" t="s">
        <v>2519</v>
      </c>
      <c r="V11936" s="1192">
        <v>65</v>
      </c>
    </row>
    <row r="11937" spans="1:22" s="1192" customFormat="1" ht="14.4" x14ac:dyDescent="0.3">
      <c r="A11937" s="1192" t="s">
        <v>228</v>
      </c>
      <c r="E11937" s="1740" t="s">
        <v>428</v>
      </c>
      <c r="F11937" s="1740"/>
      <c r="G11937" s="1277" t="s">
        <v>20</v>
      </c>
      <c r="H11937" s="1219">
        <v>5.0000000000000001E-4</v>
      </c>
      <c r="K11937" s="1192" t="s">
        <v>2506</v>
      </c>
      <c r="L11937" s="1192" t="s">
        <v>2374</v>
      </c>
      <c r="P11937" s="1192" t="s">
        <v>2520</v>
      </c>
      <c r="V11937" s="1192">
        <v>57</v>
      </c>
    </row>
    <row r="11938" spans="1:22" s="1192" customFormat="1" ht="14.4" x14ac:dyDescent="0.3">
      <c r="A11938" s="1192" t="s">
        <v>228</v>
      </c>
      <c r="E11938" s="1740" t="s">
        <v>28</v>
      </c>
      <c r="F11938" s="1740"/>
      <c r="G11938" s="1277" t="s">
        <v>19</v>
      </c>
      <c r="H11938" s="1218">
        <v>0.25</v>
      </c>
      <c r="K11938" s="1192" t="s">
        <v>2506</v>
      </c>
      <c r="L11938" s="1192" t="s">
        <v>2374</v>
      </c>
      <c r="P11938" s="1192" t="s">
        <v>2521</v>
      </c>
      <c r="V11938" s="1192">
        <v>63</v>
      </c>
    </row>
    <row r="11939" spans="1:22" s="1192" customFormat="1" ht="17.399999999999999" x14ac:dyDescent="0.3">
      <c r="A11939" s="1192" t="s">
        <v>228</v>
      </c>
      <c r="E11939" s="1746" t="s">
        <v>2522</v>
      </c>
      <c r="F11939" s="1747"/>
      <c r="G11939" s="1747"/>
      <c r="H11939" s="1747"/>
      <c r="K11939" s="1192" t="s">
        <v>3901</v>
      </c>
      <c r="V11939" s="1192">
        <v>54</v>
      </c>
    </row>
    <row r="11940" spans="1:22" s="1192" customFormat="1" ht="14.4" x14ac:dyDescent="0.3">
      <c r="A11940" s="1192" t="s">
        <v>228</v>
      </c>
      <c r="E11940" s="1743" t="s">
        <v>2523</v>
      </c>
      <c r="F11940" s="1743"/>
      <c r="G11940" s="1743"/>
      <c r="H11940" s="1743"/>
      <c r="K11940" s="1192" t="s">
        <v>3901</v>
      </c>
      <c r="V11940" s="1192">
        <v>544</v>
      </c>
    </row>
    <row r="11941" spans="1:22" s="1192" customFormat="1" ht="14.4" x14ac:dyDescent="0.3">
      <c r="A11941" s="1192" t="s">
        <v>228</v>
      </c>
      <c r="E11941" s="1750" t="s">
        <v>2389</v>
      </c>
      <c r="F11941" s="1743"/>
      <c r="G11941" s="1743"/>
      <c r="H11941" s="1743"/>
      <c r="K11941" s="1192" t="s">
        <v>2412</v>
      </c>
      <c r="V11941" s="1192">
        <v>11</v>
      </c>
    </row>
    <row r="11942" spans="1:22" s="1192" customFormat="1" ht="14.4" x14ac:dyDescent="0.3">
      <c r="A11942" s="1192" t="s">
        <v>228</v>
      </c>
      <c r="E11942" s="1743" t="s">
        <v>2391</v>
      </c>
      <c r="F11942" s="1743"/>
      <c r="G11942" s="1743"/>
      <c r="H11942" s="1743"/>
      <c r="K11942" s="1192" t="s">
        <v>3901</v>
      </c>
      <c r="V11942" s="1192">
        <v>280</v>
      </c>
    </row>
    <row r="11943" spans="1:22" s="1192" customFormat="1" ht="14.4" x14ac:dyDescent="0.3">
      <c r="A11943" s="1192" t="s">
        <v>228</v>
      </c>
      <c r="E11943" s="1743" t="s">
        <v>2392</v>
      </c>
      <c r="F11943" s="1743"/>
      <c r="G11943" s="1743"/>
      <c r="H11943" s="1743"/>
      <c r="K11943" s="1192" t="s">
        <v>3901</v>
      </c>
      <c r="V11943" s="1192">
        <v>411</v>
      </c>
    </row>
    <row r="11944" spans="1:22" s="1192" customFormat="1" ht="14.4" x14ac:dyDescent="0.3">
      <c r="A11944" s="1192" t="s">
        <v>228</v>
      </c>
      <c r="E11944" s="1743" t="s">
        <v>2508</v>
      </c>
      <c r="F11944" s="1743"/>
      <c r="G11944" s="1743"/>
      <c r="H11944" s="1743"/>
      <c r="K11944" s="1192" t="s">
        <v>3901</v>
      </c>
      <c r="V11944" s="1192">
        <v>386</v>
      </c>
    </row>
    <row r="11945" spans="1:22" s="1192" customFormat="1" ht="14.4" x14ac:dyDescent="0.3">
      <c r="A11945" s="1192" t="s">
        <v>228</v>
      </c>
      <c r="E11945" s="1743" t="s">
        <v>4500</v>
      </c>
      <c r="F11945" s="1743"/>
      <c r="G11945" s="1743"/>
      <c r="H11945" s="1743"/>
      <c r="K11945" s="1192" t="s">
        <v>3901</v>
      </c>
      <c r="V11945" s="1192">
        <v>247</v>
      </c>
    </row>
    <row r="11946" spans="1:22" s="1192" customFormat="1" ht="14.4" x14ac:dyDescent="0.3">
      <c r="A11946" s="1192" t="s">
        <v>228</v>
      </c>
      <c r="E11946" s="1750" t="s">
        <v>2394</v>
      </c>
      <c r="F11946" s="1743"/>
      <c r="G11946" s="1743"/>
      <c r="H11946" s="1743"/>
      <c r="K11946" s="1192" t="s">
        <v>2413</v>
      </c>
      <c r="V11946" s="1192">
        <v>46</v>
      </c>
    </row>
    <row r="11947" spans="1:22" s="1192" customFormat="1" ht="14.4" x14ac:dyDescent="0.3">
      <c r="A11947" s="1192" t="s">
        <v>228</v>
      </c>
      <c r="E11947" s="1740" t="s">
        <v>7</v>
      </c>
      <c r="F11947" s="1740"/>
      <c r="G11947" s="1277" t="s">
        <v>19</v>
      </c>
      <c r="H11947" s="1218">
        <v>29.33</v>
      </c>
      <c r="K11947" s="1192" t="s">
        <v>3901</v>
      </c>
      <c r="L11947" s="1192" t="s">
        <v>430</v>
      </c>
      <c r="P11947" s="1192" t="s">
        <v>3902</v>
      </c>
      <c r="V11947" s="1192">
        <v>14</v>
      </c>
    </row>
    <row r="11948" spans="1:22" s="1192" customFormat="1" ht="14.4" x14ac:dyDescent="0.3">
      <c r="A11948" s="1192" t="s">
        <v>228</v>
      </c>
      <c r="E11948" s="1740" t="s">
        <v>3900</v>
      </c>
      <c r="F11948" s="1740"/>
      <c r="G11948" s="1277" t="s">
        <v>19</v>
      </c>
      <c r="H11948" s="1218">
        <v>0.56999999999999995</v>
      </c>
      <c r="K11948" s="1192" t="s">
        <v>3901</v>
      </c>
      <c r="L11948" s="1192" t="s">
        <v>431</v>
      </c>
      <c r="P11948" s="1192" t="s">
        <v>3903</v>
      </c>
      <c r="T11948" s="1192">
        <v>44926</v>
      </c>
      <c r="V11948" s="1192">
        <v>64</v>
      </c>
    </row>
    <row r="11949" spans="1:22" s="1192" customFormat="1" ht="14.4" x14ac:dyDescent="0.3">
      <c r="A11949" s="1192" t="s">
        <v>228</v>
      </c>
      <c r="E11949" s="1740" t="s">
        <v>80</v>
      </c>
      <c r="F11949" s="1740"/>
      <c r="G11949" s="1277" t="s">
        <v>20</v>
      </c>
      <c r="H11949" s="1219">
        <v>2.0400000000000001E-2</v>
      </c>
      <c r="K11949" s="1192" t="s">
        <v>3901</v>
      </c>
      <c r="L11949" s="1192" t="s">
        <v>430</v>
      </c>
      <c r="P11949" s="1192" t="s">
        <v>3904</v>
      </c>
      <c r="V11949" s="1192">
        <v>28</v>
      </c>
    </row>
    <row r="11950" spans="1:22" s="1192" customFormat="1" ht="14.4" x14ac:dyDescent="0.3">
      <c r="A11950" s="1192" t="s">
        <v>228</v>
      </c>
      <c r="E11950" s="1740" t="s">
        <v>14</v>
      </c>
      <c r="F11950" s="1740"/>
      <c r="G11950" s="1277" t="s">
        <v>20</v>
      </c>
      <c r="H11950" s="1219">
        <v>2.0000000000000001E-4</v>
      </c>
      <c r="K11950" s="1192" t="s">
        <v>3901</v>
      </c>
      <c r="L11950" s="1192" t="s">
        <v>431</v>
      </c>
      <c r="P11950" s="1192" t="s">
        <v>3905</v>
      </c>
      <c r="V11950" s="1192">
        <v>24</v>
      </c>
    </row>
    <row r="11951" spans="1:22" s="1192" customFormat="1" ht="14.4" x14ac:dyDescent="0.3">
      <c r="A11951" s="1192" t="s">
        <v>228</v>
      </c>
      <c r="E11951" s="2011" t="s">
        <v>6506</v>
      </c>
      <c r="F11951" s="2016"/>
      <c r="G11951" s="1277" t="s">
        <v>20</v>
      </c>
      <c r="H11951" s="1219">
        <v>-2.8E-3</v>
      </c>
      <c r="K11951" s="1192" t="s">
        <v>3901</v>
      </c>
      <c r="L11951" s="1192" t="s">
        <v>431</v>
      </c>
      <c r="P11951" s="1192" t="s">
        <v>3700</v>
      </c>
      <c r="T11951" s="1192">
        <v>44316</v>
      </c>
      <c r="V11951" s="1192">
        <v>139</v>
      </c>
    </row>
    <row r="11952" spans="1:22" s="1192" customFormat="1" ht="14.4" x14ac:dyDescent="0.3">
      <c r="A11952" s="1192" t="s">
        <v>228</v>
      </c>
      <c r="E11952" s="2011" t="s">
        <v>6548</v>
      </c>
      <c r="F11952" s="2016"/>
      <c r="G11952" s="1277" t="s">
        <v>20</v>
      </c>
      <c r="H11952" s="1219">
        <v>5.0000000000000001E-4</v>
      </c>
      <c r="K11952" s="1192" t="s">
        <v>3901</v>
      </c>
      <c r="L11952" s="1192" t="s">
        <v>430</v>
      </c>
      <c r="P11952" s="1192" t="s">
        <v>4000</v>
      </c>
      <c r="T11952" s="1192">
        <v>44316</v>
      </c>
      <c r="V11952" s="1192">
        <v>134</v>
      </c>
    </row>
    <row r="11953" spans="1:22" s="1192" customFormat="1" ht="14.4" x14ac:dyDescent="0.3">
      <c r="A11953" s="1192" t="s">
        <v>228</v>
      </c>
      <c r="E11953" s="1740" t="s">
        <v>6508</v>
      </c>
      <c r="F11953" s="1989"/>
      <c r="G11953" s="1277" t="s">
        <v>20</v>
      </c>
      <c r="H11953" s="1219">
        <v>-1.1999999999999999E-3</v>
      </c>
      <c r="K11953" s="1192" t="s">
        <v>3901</v>
      </c>
      <c r="L11953" s="1192" t="s">
        <v>431</v>
      </c>
      <c r="P11953" s="1192" t="s">
        <v>3911</v>
      </c>
      <c r="T11953" s="1192">
        <v>44316</v>
      </c>
      <c r="V11953" s="1192">
        <v>96</v>
      </c>
    </row>
    <row r="11954" spans="1:22" s="1192" customFormat="1" ht="14.4" x14ac:dyDescent="0.3">
      <c r="A11954" s="1192" t="s">
        <v>228</v>
      </c>
      <c r="E11954" s="2011" t="s">
        <v>6638</v>
      </c>
      <c r="F11954" s="2016"/>
      <c r="G11954" s="1277" t="s">
        <v>20</v>
      </c>
      <c r="H11954" s="1219">
        <v>-1E-4</v>
      </c>
      <c r="K11954" s="1192" t="s">
        <v>3901</v>
      </c>
      <c r="L11954" s="1192" t="s">
        <v>431</v>
      </c>
      <c r="P11954" s="1192" t="s">
        <v>4001</v>
      </c>
      <c r="T11954" s="1192">
        <v>44316</v>
      </c>
      <c r="V11954" s="1192">
        <v>145</v>
      </c>
    </row>
    <row r="11955" spans="1:22" s="1192" customFormat="1" ht="14.4" x14ac:dyDescent="0.3">
      <c r="A11955" s="1192" t="s">
        <v>228</v>
      </c>
      <c r="E11955" s="1740" t="s">
        <v>213</v>
      </c>
      <c r="F11955" s="1740"/>
      <c r="G11955" s="1277" t="s">
        <v>20</v>
      </c>
      <c r="H11955" s="1219">
        <v>6.7999999999999996E-3</v>
      </c>
      <c r="K11955" s="1192" t="s">
        <v>3901</v>
      </c>
      <c r="L11955" s="1192" t="s">
        <v>432</v>
      </c>
      <c r="P11955" s="1192" t="s">
        <v>3906</v>
      </c>
      <c r="V11955" s="1192">
        <v>47</v>
      </c>
    </row>
    <row r="11956" spans="1:22" s="1192" customFormat="1" ht="14.4" x14ac:dyDescent="0.3">
      <c r="A11956" s="1192" t="s">
        <v>228</v>
      </c>
      <c r="E11956" s="1740" t="s">
        <v>209</v>
      </c>
      <c r="F11956" s="1740"/>
      <c r="G11956" s="1277" t="s">
        <v>20</v>
      </c>
      <c r="H11956" s="1219">
        <v>6.1000000000000004E-3</v>
      </c>
      <c r="K11956" s="1192" t="s">
        <v>3901</v>
      </c>
      <c r="L11956" s="1192" t="s">
        <v>432</v>
      </c>
      <c r="P11956" s="1192" t="s">
        <v>3907</v>
      </c>
      <c r="V11956" s="1192">
        <v>74</v>
      </c>
    </row>
    <row r="11957" spans="1:22" s="1192" customFormat="1" ht="14.4" x14ac:dyDescent="0.3">
      <c r="A11957" s="1192" t="s">
        <v>228</v>
      </c>
      <c r="E11957" s="1750" t="s">
        <v>2405</v>
      </c>
      <c r="F11957" s="1741"/>
      <c r="G11957" s="1277"/>
      <c r="H11957" s="896"/>
      <c r="K11957" s="1192" t="s">
        <v>2418</v>
      </c>
      <c r="V11957" s="1192">
        <v>48</v>
      </c>
    </row>
    <row r="11958" spans="1:22" s="1192" customFormat="1" ht="14.4" x14ac:dyDescent="0.3">
      <c r="A11958" s="1192" t="s">
        <v>228</v>
      </c>
      <c r="E11958" s="1740" t="s">
        <v>2033</v>
      </c>
      <c r="F11958" s="1740"/>
      <c r="G11958" s="1277" t="s">
        <v>20</v>
      </c>
      <c r="H11958" s="1219">
        <v>3.0000000000000001E-3</v>
      </c>
      <c r="K11958" s="1192" t="s">
        <v>3901</v>
      </c>
      <c r="L11958" s="1192" t="s">
        <v>2374</v>
      </c>
      <c r="P11958" s="1192" t="s">
        <v>3908</v>
      </c>
      <c r="V11958" s="1192">
        <v>55</v>
      </c>
    </row>
    <row r="11959" spans="1:22" s="1192" customFormat="1" ht="14.4" x14ac:dyDescent="0.3">
      <c r="A11959" s="1192" t="s">
        <v>228</v>
      </c>
      <c r="E11959" s="1740" t="s">
        <v>2034</v>
      </c>
      <c r="F11959" s="1740"/>
      <c r="G11959" s="1277" t="s">
        <v>20</v>
      </c>
      <c r="H11959" s="1219">
        <v>4.0000000000000002E-4</v>
      </c>
      <c r="K11959" s="1192" t="s">
        <v>3901</v>
      </c>
      <c r="L11959" s="1192" t="s">
        <v>2374</v>
      </c>
      <c r="P11959" s="1192" t="s">
        <v>3908</v>
      </c>
      <c r="V11959" s="1192">
        <v>65</v>
      </c>
    </row>
    <row r="11960" spans="1:22" s="1192" customFormat="1" ht="14.4" x14ac:dyDescent="0.3">
      <c r="A11960" s="1192" t="s">
        <v>228</v>
      </c>
      <c r="E11960" s="1740" t="s">
        <v>428</v>
      </c>
      <c r="F11960" s="1740"/>
      <c r="G11960" s="1277" t="s">
        <v>20</v>
      </c>
      <c r="H11960" s="1219">
        <v>5.0000000000000001E-4</v>
      </c>
      <c r="K11960" s="1192" t="s">
        <v>3901</v>
      </c>
      <c r="L11960" s="1192" t="s">
        <v>2374</v>
      </c>
      <c r="P11960" s="1192" t="s">
        <v>3909</v>
      </c>
      <c r="V11960" s="1192">
        <v>57</v>
      </c>
    </row>
    <row r="11961" spans="1:22" s="1192" customFormat="1" ht="14.4" x14ac:dyDescent="0.3">
      <c r="A11961" s="1192" t="s">
        <v>228</v>
      </c>
      <c r="E11961" s="1740" t="s">
        <v>28</v>
      </c>
      <c r="F11961" s="1740"/>
      <c r="G11961" s="1277" t="s">
        <v>19</v>
      </c>
      <c r="H11961" s="1218">
        <v>0.25</v>
      </c>
      <c r="K11961" s="1192" t="s">
        <v>3901</v>
      </c>
      <c r="L11961" s="1192" t="s">
        <v>2374</v>
      </c>
      <c r="P11961" s="1192" t="s">
        <v>3910</v>
      </c>
      <c r="V11961" s="1192">
        <v>63</v>
      </c>
    </row>
    <row r="11962" spans="1:22" s="1192" customFormat="1" ht="17.399999999999999" x14ac:dyDescent="0.3">
      <c r="A11962" s="1192" t="s">
        <v>228</v>
      </c>
      <c r="E11962" s="1746" t="s">
        <v>2524</v>
      </c>
      <c r="F11962" s="1747"/>
      <c r="G11962" s="1747"/>
      <c r="H11962" s="1747"/>
      <c r="K11962" s="1192" t="s">
        <v>3937</v>
      </c>
      <c r="V11962" s="1192">
        <v>51</v>
      </c>
    </row>
    <row r="11963" spans="1:22" s="1192" customFormat="1" ht="14.4" x14ac:dyDescent="0.3">
      <c r="A11963" s="1192" t="s">
        <v>228</v>
      </c>
      <c r="E11963" s="1743" t="s">
        <v>2525</v>
      </c>
      <c r="F11963" s="1743"/>
      <c r="G11963" s="1743"/>
      <c r="H11963" s="1743"/>
      <c r="K11963" s="1192" t="s">
        <v>3937</v>
      </c>
      <c r="V11963" s="1192">
        <v>509</v>
      </c>
    </row>
    <row r="11964" spans="1:22" s="1192" customFormat="1" ht="14.4" x14ac:dyDescent="0.3">
      <c r="A11964" s="1192" t="s">
        <v>228</v>
      </c>
      <c r="E11964" s="1750" t="s">
        <v>2389</v>
      </c>
      <c r="F11964" s="1743"/>
      <c r="G11964" s="1743"/>
      <c r="H11964" s="1743"/>
      <c r="K11964" s="1192" t="s">
        <v>2422</v>
      </c>
      <c r="V11964" s="1192">
        <v>11</v>
      </c>
    </row>
    <row r="11965" spans="1:22" s="1192" customFormat="1" ht="14.4" x14ac:dyDescent="0.3">
      <c r="A11965" s="1192" t="s">
        <v>228</v>
      </c>
      <c r="E11965" s="1743" t="s">
        <v>2391</v>
      </c>
      <c r="F11965" s="1743"/>
      <c r="G11965" s="1743"/>
      <c r="H11965" s="1743"/>
      <c r="K11965" s="1192" t="s">
        <v>3937</v>
      </c>
      <c r="V11965" s="1192">
        <v>280</v>
      </c>
    </row>
    <row r="11966" spans="1:22" s="1192" customFormat="1" ht="14.4" x14ac:dyDescent="0.3">
      <c r="A11966" s="1192" t="s">
        <v>228</v>
      </c>
      <c r="E11966" s="1743" t="s">
        <v>2392</v>
      </c>
      <c r="F11966" s="1743"/>
      <c r="G11966" s="1743"/>
      <c r="H11966" s="1743"/>
      <c r="K11966" s="1192" t="s">
        <v>3937</v>
      </c>
      <c r="V11966" s="1192">
        <v>411</v>
      </c>
    </row>
    <row r="11967" spans="1:22" s="1192" customFormat="1" ht="14.4" x14ac:dyDescent="0.3">
      <c r="A11967" s="1192" t="s">
        <v>228</v>
      </c>
      <c r="E11967" s="1743" t="s">
        <v>2393</v>
      </c>
      <c r="F11967" s="1743"/>
      <c r="G11967" s="1743"/>
      <c r="H11967" s="1743"/>
      <c r="K11967" s="1192" t="s">
        <v>3937</v>
      </c>
      <c r="V11967" s="1192">
        <v>387</v>
      </c>
    </row>
    <row r="11968" spans="1:22" s="1192" customFormat="1" ht="14.4" x14ac:dyDescent="0.3">
      <c r="A11968" s="1192" t="s">
        <v>228</v>
      </c>
      <c r="E11968" s="1743" t="s">
        <v>4503</v>
      </c>
      <c r="F11968" s="1743"/>
      <c r="G11968" s="1743"/>
      <c r="H11968" s="1743"/>
      <c r="K11968" s="1192" t="s">
        <v>3937</v>
      </c>
      <c r="V11968" s="1192">
        <v>677</v>
      </c>
    </row>
    <row r="11969" spans="1:22" s="1192" customFormat="1" ht="14.4" x14ac:dyDescent="0.3">
      <c r="A11969" s="1192" t="s">
        <v>228</v>
      </c>
      <c r="E11969" s="1743" t="s">
        <v>4504</v>
      </c>
      <c r="F11969" s="1743"/>
      <c r="G11969" s="1743"/>
      <c r="H11969" s="1743"/>
      <c r="K11969" s="1192" t="s">
        <v>3937</v>
      </c>
      <c r="V11969" s="1192">
        <v>725</v>
      </c>
    </row>
    <row r="11970" spans="1:22" s="1192" customFormat="1" ht="14.4" x14ac:dyDescent="0.3">
      <c r="A11970" s="1192" t="s">
        <v>228</v>
      </c>
      <c r="E11970" s="1743" t="s">
        <v>4500</v>
      </c>
      <c r="F11970" s="1743"/>
      <c r="G11970" s="1743"/>
      <c r="H11970" s="1743"/>
      <c r="K11970" s="1192" t="s">
        <v>3937</v>
      </c>
      <c r="V11970" s="1192">
        <v>247</v>
      </c>
    </row>
    <row r="11971" spans="1:22" s="1192" customFormat="1" ht="14.4" x14ac:dyDescent="0.3">
      <c r="A11971" s="1192" t="s">
        <v>228</v>
      </c>
      <c r="E11971" s="1750" t="s">
        <v>2394</v>
      </c>
      <c r="F11971" s="1743"/>
      <c r="G11971" s="1743"/>
      <c r="H11971" s="1743"/>
      <c r="K11971" s="1192" t="s">
        <v>2423</v>
      </c>
      <c r="V11971" s="1192">
        <v>46</v>
      </c>
    </row>
    <row r="11972" spans="1:22" s="1192" customFormat="1" ht="14.4" x14ac:dyDescent="0.3">
      <c r="A11972" s="1192" t="s">
        <v>228</v>
      </c>
      <c r="E11972" s="1740" t="s">
        <v>7</v>
      </c>
      <c r="F11972" s="1740"/>
      <c r="G11972" s="1277" t="s">
        <v>19</v>
      </c>
      <c r="H11972" s="1218">
        <v>156.68</v>
      </c>
      <c r="K11972" s="1192" t="s">
        <v>3937</v>
      </c>
      <c r="L11972" s="1192" t="s">
        <v>430</v>
      </c>
      <c r="P11972" s="1192" t="s">
        <v>3938</v>
      </c>
      <c r="V11972" s="1192">
        <v>14</v>
      </c>
    </row>
    <row r="11973" spans="1:22" s="1192" customFormat="1" ht="14.4" x14ac:dyDescent="0.3">
      <c r="A11973" s="1192" t="s">
        <v>228</v>
      </c>
      <c r="E11973" s="1740" t="s">
        <v>80</v>
      </c>
      <c r="F11973" s="1740"/>
      <c r="G11973" s="1277" t="s">
        <v>29</v>
      </c>
      <c r="H11973" s="1219">
        <v>4.5530999999999997</v>
      </c>
      <c r="K11973" s="1192" t="s">
        <v>3937</v>
      </c>
      <c r="L11973" s="1192" t="s">
        <v>430</v>
      </c>
      <c r="P11973" s="1192" t="s">
        <v>3939</v>
      </c>
      <c r="V11973" s="1192">
        <v>28</v>
      </c>
    </row>
    <row r="11974" spans="1:22" s="1192" customFormat="1" ht="14.4" x14ac:dyDescent="0.3">
      <c r="A11974" s="1192" t="s">
        <v>228</v>
      </c>
      <c r="E11974" s="1740" t="s">
        <v>14</v>
      </c>
      <c r="F11974" s="1740"/>
      <c r="G11974" s="1277" t="s">
        <v>29</v>
      </c>
      <c r="H11974" s="1219">
        <v>7.4800000000000005E-2</v>
      </c>
      <c r="K11974" s="1192" t="s">
        <v>3937</v>
      </c>
      <c r="L11974" s="1192" t="s">
        <v>431</v>
      </c>
      <c r="P11974" s="1192" t="s">
        <v>3940</v>
      </c>
      <c r="V11974" s="1192">
        <v>24</v>
      </c>
    </row>
    <row r="11975" spans="1:22" s="1192" customFormat="1" ht="14.4" x14ac:dyDescent="0.3">
      <c r="A11975" s="1192" t="s">
        <v>228</v>
      </c>
      <c r="E11975" s="2011" t="s">
        <v>6506</v>
      </c>
      <c r="F11975" s="2016"/>
      <c r="G11975" s="1277" t="s">
        <v>20</v>
      </c>
      <c r="H11975" s="1219">
        <v>-2.8E-3</v>
      </c>
      <c r="K11975" s="1192" t="s">
        <v>3937</v>
      </c>
      <c r="L11975" s="1192" t="s">
        <v>431</v>
      </c>
      <c r="P11975" s="1192" t="s">
        <v>4089</v>
      </c>
      <c r="T11975" s="1192">
        <v>44316</v>
      </c>
      <c r="V11975" s="1192">
        <v>139</v>
      </c>
    </row>
    <row r="11976" spans="1:22" s="1192" customFormat="1" ht="14.4" x14ac:dyDescent="0.3">
      <c r="A11976" s="1192" t="s">
        <v>228</v>
      </c>
      <c r="E11976" s="2011" t="s">
        <v>6548</v>
      </c>
      <c r="F11976" s="2016"/>
      <c r="G11976" s="1277" t="s">
        <v>29</v>
      </c>
      <c r="H11976" s="1219">
        <v>0.39350000000000002</v>
      </c>
      <c r="K11976" s="1192" t="s">
        <v>3937</v>
      </c>
      <c r="L11976" s="1192" t="s">
        <v>430</v>
      </c>
      <c r="P11976" s="1192" t="s">
        <v>4090</v>
      </c>
      <c r="T11976" s="1192">
        <v>44316</v>
      </c>
      <c r="V11976" s="1192">
        <v>134</v>
      </c>
    </row>
    <row r="11977" spans="1:22" s="1192" customFormat="1" ht="14.4" x14ac:dyDescent="0.3">
      <c r="A11977" s="1192" t="s">
        <v>228</v>
      </c>
      <c r="E11977" s="2011" t="s">
        <v>6509</v>
      </c>
      <c r="F11977" s="2016"/>
      <c r="G11977" s="1277" t="s">
        <v>29</v>
      </c>
      <c r="H11977" s="1219">
        <v>-0.51219999999999999</v>
      </c>
      <c r="K11977" s="1192" t="s">
        <v>3937</v>
      </c>
      <c r="L11977" s="1192" t="s">
        <v>431</v>
      </c>
      <c r="P11977" s="1192" t="s">
        <v>4091</v>
      </c>
      <c r="T11977" s="1192">
        <v>44316</v>
      </c>
      <c r="V11977" s="1192">
        <v>156</v>
      </c>
    </row>
    <row r="11978" spans="1:22" s="1192" customFormat="1" ht="14.4" x14ac:dyDescent="0.3">
      <c r="A11978" s="1192" t="s">
        <v>228</v>
      </c>
      <c r="E11978" s="1740" t="s">
        <v>6508</v>
      </c>
      <c r="F11978" s="1989"/>
      <c r="G11978" s="1277" t="s">
        <v>29</v>
      </c>
      <c r="H11978" s="1219">
        <v>0.1046</v>
      </c>
      <c r="K11978" s="1192" t="s">
        <v>3937</v>
      </c>
      <c r="L11978" s="1192" t="s">
        <v>431</v>
      </c>
      <c r="P11978" s="1192" t="s">
        <v>4091</v>
      </c>
      <c r="T11978" s="1192">
        <v>44316</v>
      </c>
      <c r="V11978" s="1192">
        <v>96</v>
      </c>
    </row>
    <row r="11979" spans="1:22" s="1192" customFormat="1" ht="14.4" x14ac:dyDescent="0.3">
      <c r="A11979" s="1192" t="s">
        <v>228</v>
      </c>
      <c r="E11979" s="2011" t="s">
        <v>6638</v>
      </c>
      <c r="F11979" s="2016"/>
      <c r="G11979" s="1277" t="s">
        <v>29</v>
      </c>
      <c r="H11979" s="1219">
        <v>-4.1799999999999997E-2</v>
      </c>
      <c r="K11979" s="1192" t="s">
        <v>3937</v>
      </c>
      <c r="L11979" s="1192" t="s">
        <v>431</v>
      </c>
      <c r="P11979" s="1192" t="s">
        <v>4092</v>
      </c>
      <c r="T11979" s="1192">
        <v>44316</v>
      </c>
      <c r="V11979" s="1192">
        <v>145</v>
      </c>
    </row>
    <row r="11980" spans="1:22" s="1192" customFormat="1" ht="14.4" x14ac:dyDescent="0.3">
      <c r="A11980" s="1192" t="s">
        <v>228</v>
      </c>
      <c r="E11980" s="1740" t="s">
        <v>213</v>
      </c>
      <c r="F11980" s="1740"/>
      <c r="G11980" s="1277" t="s">
        <v>29</v>
      </c>
      <c r="H11980" s="1219">
        <v>2.734</v>
      </c>
      <c r="K11980" s="1192" t="s">
        <v>3937</v>
      </c>
      <c r="L11980" s="1192" t="s">
        <v>432</v>
      </c>
      <c r="P11980" s="1192" t="s">
        <v>3941</v>
      </c>
      <c r="V11980" s="1192">
        <v>47</v>
      </c>
    </row>
    <row r="11981" spans="1:22" s="1192" customFormat="1" ht="14.4" x14ac:dyDescent="0.3">
      <c r="A11981" s="1192" t="s">
        <v>228</v>
      </c>
      <c r="E11981" s="1740" t="s">
        <v>209</v>
      </c>
      <c r="F11981" s="1740"/>
      <c r="G11981" s="1277" t="s">
        <v>29</v>
      </c>
      <c r="H11981" s="1219">
        <v>2.4459</v>
      </c>
      <c r="K11981" s="1192" t="s">
        <v>3937</v>
      </c>
      <c r="L11981" s="1192" t="s">
        <v>432</v>
      </c>
      <c r="P11981" s="1192" t="s">
        <v>3942</v>
      </c>
      <c r="V11981" s="1192">
        <v>74</v>
      </c>
    </row>
    <row r="11982" spans="1:22" s="1192" customFormat="1" ht="14.4" x14ac:dyDescent="0.3">
      <c r="A11982" s="1192" t="s">
        <v>228</v>
      </c>
      <c r="E11982" s="1750" t="s">
        <v>2405</v>
      </c>
      <c r="F11982" s="1741"/>
      <c r="G11982" s="1277"/>
      <c r="H11982" s="896"/>
      <c r="K11982" s="1192" t="s">
        <v>2526</v>
      </c>
      <c r="V11982" s="1192">
        <v>48</v>
      </c>
    </row>
    <row r="11983" spans="1:22" s="1192" customFormat="1" ht="14.4" x14ac:dyDescent="0.3">
      <c r="A11983" s="1192" t="s">
        <v>228</v>
      </c>
      <c r="E11983" s="1740" t="s">
        <v>2033</v>
      </c>
      <c r="F11983" s="1740"/>
      <c r="G11983" s="1277" t="s">
        <v>20</v>
      </c>
      <c r="H11983" s="1219">
        <v>3.0000000000000001E-3</v>
      </c>
      <c r="K11983" s="1192" t="s">
        <v>3937</v>
      </c>
      <c r="L11983" s="1192" t="s">
        <v>2374</v>
      </c>
      <c r="P11983" s="1192" t="s">
        <v>3943</v>
      </c>
      <c r="V11983" s="1192">
        <v>55</v>
      </c>
    </row>
    <row r="11984" spans="1:22" s="1192" customFormat="1" ht="14.4" x14ac:dyDescent="0.3">
      <c r="A11984" s="1192" t="s">
        <v>228</v>
      </c>
      <c r="E11984" s="1740" t="s">
        <v>2034</v>
      </c>
      <c r="F11984" s="1740"/>
      <c r="G11984" s="1277" t="s">
        <v>20</v>
      </c>
      <c r="H11984" s="1219">
        <v>4.0000000000000002E-4</v>
      </c>
      <c r="K11984" s="1192" t="s">
        <v>3937</v>
      </c>
      <c r="L11984" s="1192" t="s">
        <v>2374</v>
      </c>
      <c r="P11984" s="1192" t="s">
        <v>3943</v>
      </c>
      <c r="V11984" s="1192">
        <v>65</v>
      </c>
    </row>
    <row r="11985" spans="1:22" s="1192" customFormat="1" ht="14.4" x14ac:dyDescent="0.3">
      <c r="A11985" s="1192" t="s">
        <v>228</v>
      </c>
      <c r="E11985" s="1740" t="s">
        <v>428</v>
      </c>
      <c r="F11985" s="1740"/>
      <c r="G11985" s="1277" t="s">
        <v>20</v>
      </c>
      <c r="H11985" s="1219">
        <v>5.0000000000000001E-4</v>
      </c>
      <c r="K11985" s="1192" t="s">
        <v>3937</v>
      </c>
      <c r="L11985" s="1192" t="s">
        <v>2374</v>
      </c>
      <c r="P11985" s="1192" t="s">
        <v>3944</v>
      </c>
      <c r="V11985" s="1192">
        <v>57</v>
      </c>
    </row>
    <row r="11986" spans="1:22" s="1192" customFormat="1" ht="14.4" x14ac:dyDescent="0.3">
      <c r="A11986" s="1192" t="s">
        <v>228</v>
      </c>
      <c r="E11986" s="1740" t="s">
        <v>28</v>
      </c>
      <c r="F11986" s="1740"/>
      <c r="G11986" s="1277" t="s">
        <v>19</v>
      </c>
      <c r="H11986" s="1218">
        <v>0.25</v>
      </c>
      <c r="K11986" s="1192" t="s">
        <v>3937</v>
      </c>
      <c r="L11986" s="1192" t="s">
        <v>2374</v>
      </c>
      <c r="P11986" s="1192" t="s">
        <v>3945</v>
      </c>
      <c r="V11986" s="1192">
        <v>63</v>
      </c>
    </row>
    <row r="11987" spans="1:22" s="1192" customFormat="1" ht="17.399999999999999" x14ac:dyDescent="0.3">
      <c r="A11987" s="1192" t="s">
        <v>228</v>
      </c>
      <c r="E11987" s="1746" t="s">
        <v>2527</v>
      </c>
      <c r="F11987" s="1747"/>
      <c r="G11987" s="1747"/>
      <c r="H11987" s="1747"/>
      <c r="K11987" s="1192" t="s">
        <v>3946</v>
      </c>
      <c r="V11987" s="1192">
        <v>56</v>
      </c>
    </row>
    <row r="11988" spans="1:22" s="1192" customFormat="1" ht="14.4" x14ac:dyDescent="0.3">
      <c r="A11988" s="1192" t="s">
        <v>228</v>
      </c>
      <c r="E11988" s="1743" t="s">
        <v>2528</v>
      </c>
      <c r="F11988" s="1743"/>
      <c r="G11988" s="1743"/>
      <c r="H11988" s="1743"/>
      <c r="K11988" s="1192" t="s">
        <v>3946</v>
      </c>
      <c r="V11988" s="1192">
        <v>522</v>
      </c>
    </row>
    <row r="11989" spans="1:22" s="1192" customFormat="1" ht="14.4" x14ac:dyDescent="0.3">
      <c r="A11989" s="1192" t="s">
        <v>228</v>
      </c>
      <c r="E11989" s="1750" t="s">
        <v>2389</v>
      </c>
      <c r="F11989" s="1743"/>
      <c r="G11989" s="1743"/>
      <c r="H11989" s="1743"/>
      <c r="K11989" s="1192" t="s">
        <v>2529</v>
      </c>
      <c r="V11989" s="1192">
        <v>11</v>
      </c>
    </row>
    <row r="11990" spans="1:22" s="1192" customFormat="1" ht="14.4" x14ac:dyDescent="0.3">
      <c r="A11990" s="1192" t="s">
        <v>228</v>
      </c>
      <c r="E11990" s="1743" t="s">
        <v>2391</v>
      </c>
      <c r="F11990" s="1743"/>
      <c r="G11990" s="1743"/>
      <c r="H11990" s="1743"/>
      <c r="K11990" s="1192" t="s">
        <v>3946</v>
      </c>
      <c r="V11990" s="1192">
        <v>280</v>
      </c>
    </row>
    <row r="11991" spans="1:22" s="1192" customFormat="1" ht="14.4" x14ac:dyDescent="0.3">
      <c r="A11991" s="1192" t="s">
        <v>228</v>
      </c>
      <c r="E11991" s="1743" t="s">
        <v>2392</v>
      </c>
      <c r="F11991" s="1743"/>
      <c r="G11991" s="1743"/>
      <c r="H11991" s="1743"/>
      <c r="K11991" s="1192" t="s">
        <v>3946</v>
      </c>
      <c r="V11991" s="1192">
        <v>411</v>
      </c>
    </row>
    <row r="11992" spans="1:22" s="1192" customFormat="1" ht="14.4" x14ac:dyDescent="0.3">
      <c r="A11992" s="1192" t="s">
        <v>228</v>
      </c>
      <c r="E11992" s="1743" t="s">
        <v>2393</v>
      </c>
      <c r="F11992" s="1743"/>
      <c r="G11992" s="1743"/>
      <c r="H11992" s="1743"/>
      <c r="K11992" s="1192" t="s">
        <v>3946</v>
      </c>
      <c r="V11992" s="1192">
        <v>387</v>
      </c>
    </row>
    <row r="11993" spans="1:22" s="1192" customFormat="1" ht="14.4" x14ac:dyDescent="0.3">
      <c r="A11993" s="1192" t="s">
        <v>228</v>
      </c>
      <c r="E11993" s="1743" t="s">
        <v>4503</v>
      </c>
      <c r="F11993" s="1743"/>
      <c r="G11993" s="1743"/>
      <c r="H11993" s="1743"/>
      <c r="K11993" s="1192" t="s">
        <v>3946</v>
      </c>
      <c r="V11993" s="1192">
        <v>677</v>
      </c>
    </row>
    <row r="11994" spans="1:22" s="1192" customFormat="1" ht="14.4" x14ac:dyDescent="0.3">
      <c r="A11994" s="1192" t="s">
        <v>228</v>
      </c>
      <c r="E11994" s="1743" t="s">
        <v>4504</v>
      </c>
      <c r="F11994" s="1743"/>
      <c r="G11994" s="1743"/>
      <c r="H11994" s="1743"/>
      <c r="K11994" s="1192" t="s">
        <v>3946</v>
      </c>
      <c r="V11994" s="1192">
        <v>725</v>
      </c>
    </row>
    <row r="11995" spans="1:22" s="1192" customFormat="1" ht="14.4" x14ac:dyDescent="0.3">
      <c r="A11995" s="1192" t="s">
        <v>228</v>
      </c>
      <c r="E11995" s="1743" t="s">
        <v>4500</v>
      </c>
      <c r="F11995" s="1743"/>
      <c r="G11995" s="1743"/>
      <c r="H11995" s="1743"/>
      <c r="K11995" s="1192" t="s">
        <v>3946</v>
      </c>
      <c r="V11995" s="1192">
        <v>247</v>
      </c>
    </row>
    <row r="11996" spans="1:22" s="1192" customFormat="1" ht="14.4" x14ac:dyDescent="0.3">
      <c r="A11996" s="1192" t="s">
        <v>228</v>
      </c>
      <c r="E11996" s="1750" t="s">
        <v>2394</v>
      </c>
      <c r="F11996" s="1743"/>
      <c r="G11996" s="1743"/>
      <c r="H11996" s="1743"/>
      <c r="K11996" s="1192" t="s">
        <v>2531</v>
      </c>
      <c r="V11996" s="1192">
        <v>46</v>
      </c>
    </row>
    <row r="11997" spans="1:22" s="1192" customFormat="1" ht="14.4" x14ac:dyDescent="0.3">
      <c r="A11997" s="1192" t="s">
        <v>228</v>
      </c>
      <c r="E11997" s="1740" t="s">
        <v>7</v>
      </c>
      <c r="F11997" s="1740"/>
      <c r="G11997" s="1277" t="s">
        <v>19</v>
      </c>
      <c r="H11997" s="1218">
        <v>3444.01</v>
      </c>
      <c r="K11997" s="1192" t="s">
        <v>3946</v>
      </c>
      <c r="L11997" s="1192" t="s">
        <v>430</v>
      </c>
      <c r="P11997" s="1192" t="s">
        <v>3947</v>
      </c>
      <c r="V11997" s="1192">
        <v>14</v>
      </c>
    </row>
    <row r="11998" spans="1:22" s="1192" customFormat="1" ht="14.4" x14ac:dyDescent="0.3">
      <c r="A11998" s="1192" t="s">
        <v>228</v>
      </c>
      <c r="E11998" s="1740" t="s">
        <v>80</v>
      </c>
      <c r="F11998" s="1740"/>
      <c r="G11998" s="1277" t="s">
        <v>29</v>
      </c>
      <c r="H11998" s="1219">
        <v>1.8573999999999999</v>
      </c>
      <c r="K11998" s="1192" t="s">
        <v>3946</v>
      </c>
      <c r="L11998" s="1192" t="s">
        <v>430</v>
      </c>
      <c r="P11998" s="1192" t="s">
        <v>3948</v>
      </c>
      <c r="V11998" s="1192">
        <v>28</v>
      </c>
    </row>
    <row r="11999" spans="1:22" s="1192" customFormat="1" ht="14.4" x14ac:dyDescent="0.3">
      <c r="A11999" s="1192" t="s">
        <v>228</v>
      </c>
      <c r="E11999" s="1740" t="s">
        <v>14</v>
      </c>
      <c r="F11999" s="1740"/>
      <c r="G11999" s="1277" t="s">
        <v>29</v>
      </c>
      <c r="H11999" s="1219">
        <v>8.2000000000000003E-2</v>
      </c>
      <c r="K11999" s="1192" t="s">
        <v>3946</v>
      </c>
      <c r="L11999" s="1192" t="s">
        <v>431</v>
      </c>
      <c r="P11999" s="1192" t="s">
        <v>3949</v>
      </c>
      <c r="V11999" s="1192">
        <v>24</v>
      </c>
    </row>
    <row r="12000" spans="1:22" s="1192" customFormat="1" ht="14.4" x14ac:dyDescent="0.3">
      <c r="A12000" s="1192" t="s">
        <v>228</v>
      </c>
      <c r="E12000" s="2011" t="s">
        <v>6638</v>
      </c>
      <c r="F12000" s="2016"/>
      <c r="G12000" s="1277" t="s">
        <v>29</v>
      </c>
      <c r="H12000" s="1219">
        <v>-1.9E-2</v>
      </c>
      <c r="K12000" s="1192" t="s">
        <v>3946</v>
      </c>
      <c r="L12000" s="1192" t="s">
        <v>431</v>
      </c>
      <c r="P12000" s="1192" t="s">
        <v>4096</v>
      </c>
      <c r="T12000" s="1192">
        <v>44316</v>
      </c>
      <c r="V12000" s="1192">
        <v>145</v>
      </c>
    </row>
    <row r="12001" spans="1:22" s="1192" customFormat="1" ht="14.4" x14ac:dyDescent="0.3">
      <c r="A12001" s="1192" t="s">
        <v>228</v>
      </c>
      <c r="E12001" s="2011" t="s">
        <v>6548</v>
      </c>
      <c r="F12001" s="2016"/>
      <c r="G12001" s="1277" t="s">
        <v>29</v>
      </c>
      <c r="H12001" s="1219">
        <v>1.12E-2</v>
      </c>
      <c r="K12001" s="1192" t="s">
        <v>3946</v>
      </c>
      <c r="L12001" s="1192" t="s">
        <v>430</v>
      </c>
      <c r="P12001" s="1192" t="s">
        <v>4094</v>
      </c>
      <c r="T12001" s="1192">
        <v>44316</v>
      </c>
      <c r="V12001" s="1192">
        <v>134</v>
      </c>
    </row>
    <row r="12002" spans="1:22" s="1192" customFormat="1" ht="14.4" x14ac:dyDescent="0.3">
      <c r="A12002" s="1192" t="s">
        <v>228</v>
      </c>
      <c r="E12002" s="1740" t="s">
        <v>6508</v>
      </c>
      <c r="F12002" s="1989"/>
      <c r="G12002" s="1277" t="s">
        <v>29</v>
      </c>
      <c r="H12002" s="1219">
        <v>-0.5454</v>
      </c>
      <c r="K12002" s="1192" t="s">
        <v>3946</v>
      </c>
      <c r="L12002" s="1192" t="s">
        <v>431</v>
      </c>
      <c r="P12002" s="1192" t="s">
        <v>4095</v>
      </c>
      <c r="T12002" s="1192">
        <v>44316</v>
      </c>
      <c r="V12002" s="1192">
        <v>96</v>
      </c>
    </row>
    <row r="12003" spans="1:22" s="1192" customFormat="1" ht="14.4" x14ac:dyDescent="0.3">
      <c r="A12003" s="1192" t="s">
        <v>228</v>
      </c>
      <c r="E12003" s="1740" t="s">
        <v>213</v>
      </c>
      <c r="F12003" s="1740"/>
      <c r="G12003" s="1277" t="s">
        <v>29</v>
      </c>
      <c r="H12003" s="1219">
        <v>2.9037999999999999</v>
      </c>
      <c r="K12003" s="1192" t="s">
        <v>3946</v>
      </c>
      <c r="L12003" s="1192" t="s">
        <v>432</v>
      </c>
      <c r="P12003" s="1192" t="s">
        <v>3950</v>
      </c>
      <c r="V12003" s="1192">
        <v>47</v>
      </c>
    </row>
    <row r="12004" spans="1:22" s="1192" customFormat="1" ht="14.4" x14ac:dyDescent="0.3">
      <c r="A12004" s="1192" t="s">
        <v>228</v>
      </c>
      <c r="E12004" s="1740" t="s">
        <v>209</v>
      </c>
      <c r="F12004" s="1740"/>
      <c r="G12004" s="1277" t="s">
        <v>29</v>
      </c>
      <c r="H12004" s="1219">
        <v>2.6812999999999998</v>
      </c>
      <c r="K12004" s="1192" t="s">
        <v>3946</v>
      </c>
      <c r="L12004" s="1192" t="s">
        <v>432</v>
      </c>
      <c r="P12004" s="1192" t="s">
        <v>3951</v>
      </c>
      <c r="V12004" s="1192">
        <v>74</v>
      </c>
    </row>
    <row r="12005" spans="1:22" s="1192" customFormat="1" ht="14.4" x14ac:dyDescent="0.3">
      <c r="A12005" s="1192" t="s">
        <v>228</v>
      </c>
      <c r="E12005" s="1750" t="s">
        <v>2405</v>
      </c>
      <c r="F12005" s="1741"/>
      <c r="G12005" s="1277"/>
      <c r="H12005" s="896"/>
      <c r="K12005" s="1192" t="s">
        <v>2532</v>
      </c>
      <c r="V12005" s="1192">
        <v>48</v>
      </c>
    </row>
    <row r="12006" spans="1:22" s="1192" customFormat="1" ht="14.4" x14ac:dyDescent="0.3">
      <c r="A12006" s="1192" t="s">
        <v>228</v>
      </c>
      <c r="E12006" s="1740" t="s">
        <v>2033</v>
      </c>
      <c r="F12006" s="1740"/>
      <c r="G12006" s="1277" t="s">
        <v>20</v>
      </c>
      <c r="H12006" s="1219">
        <v>3.0000000000000001E-3</v>
      </c>
      <c r="K12006" s="1192" t="s">
        <v>3946</v>
      </c>
      <c r="L12006" s="1192" t="s">
        <v>2374</v>
      </c>
      <c r="P12006" s="1192" t="s">
        <v>3952</v>
      </c>
      <c r="V12006" s="1192">
        <v>55</v>
      </c>
    </row>
    <row r="12007" spans="1:22" s="1192" customFormat="1" ht="14.4" x14ac:dyDescent="0.3">
      <c r="A12007" s="1192" t="s">
        <v>228</v>
      </c>
      <c r="E12007" s="1740" t="s">
        <v>2034</v>
      </c>
      <c r="F12007" s="1740"/>
      <c r="G12007" s="1277" t="s">
        <v>20</v>
      </c>
      <c r="H12007" s="1219">
        <v>4.0000000000000002E-4</v>
      </c>
      <c r="K12007" s="1192" t="s">
        <v>3946</v>
      </c>
      <c r="L12007" s="1192" t="s">
        <v>2374</v>
      </c>
      <c r="P12007" s="1192" t="s">
        <v>3952</v>
      </c>
      <c r="V12007" s="1192">
        <v>65</v>
      </c>
    </row>
    <row r="12008" spans="1:22" s="1192" customFormat="1" ht="14.4" x14ac:dyDescent="0.3">
      <c r="A12008" s="1192" t="s">
        <v>228</v>
      </c>
      <c r="E12008" s="1740" t="s">
        <v>428</v>
      </c>
      <c r="F12008" s="1740"/>
      <c r="G12008" s="1277" t="s">
        <v>20</v>
      </c>
      <c r="H12008" s="1219">
        <v>5.0000000000000001E-4</v>
      </c>
      <c r="K12008" s="1192" t="s">
        <v>3946</v>
      </c>
      <c r="L12008" s="1192" t="s">
        <v>2374</v>
      </c>
      <c r="P12008" s="1192" t="s">
        <v>3953</v>
      </c>
      <c r="V12008" s="1192">
        <v>57</v>
      </c>
    </row>
    <row r="12009" spans="1:22" s="1192" customFormat="1" ht="14.4" x14ac:dyDescent="0.3">
      <c r="A12009" s="1192" t="s">
        <v>228</v>
      </c>
      <c r="E12009" s="1740" t="s">
        <v>28</v>
      </c>
      <c r="F12009" s="1740"/>
      <c r="G12009" s="1277" t="s">
        <v>19</v>
      </c>
      <c r="H12009" s="1218">
        <v>0.25</v>
      </c>
      <c r="K12009" s="1192" t="s">
        <v>3946</v>
      </c>
      <c r="L12009" s="1192" t="s">
        <v>2374</v>
      </c>
      <c r="P12009" s="1192" t="s">
        <v>3954</v>
      </c>
      <c r="V12009" s="1192">
        <v>63</v>
      </c>
    </row>
    <row r="12010" spans="1:22" s="1192" customFormat="1" ht="17.399999999999999" x14ac:dyDescent="0.3">
      <c r="A12010" s="1192" t="s">
        <v>228</v>
      </c>
      <c r="E12010" s="1746" t="s">
        <v>596</v>
      </c>
      <c r="F12010" s="1747"/>
      <c r="G12010" s="1747"/>
      <c r="H12010" s="1747"/>
      <c r="K12010" s="1192" t="s">
        <v>2533</v>
      </c>
      <c r="V12010" s="1192">
        <v>32</v>
      </c>
    </row>
    <row r="12011" spans="1:22" s="1192" customFormat="1" ht="14.4" x14ac:dyDescent="0.3">
      <c r="A12011" s="1192" t="s">
        <v>228</v>
      </c>
      <c r="E12011" s="1743" t="s">
        <v>2534</v>
      </c>
      <c r="F12011" s="1743"/>
      <c r="G12011" s="1743"/>
      <c r="H12011" s="1743"/>
      <c r="K12011" s="1192" t="s">
        <v>2533</v>
      </c>
      <c r="V12011" s="1192">
        <v>510</v>
      </c>
    </row>
    <row r="12012" spans="1:22" s="1192" customFormat="1" ht="14.4" x14ac:dyDescent="0.3">
      <c r="A12012" s="1192" t="s">
        <v>228</v>
      </c>
      <c r="E12012" s="1750" t="s">
        <v>2389</v>
      </c>
      <c r="F12012" s="1743"/>
      <c r="G12012" s="1743"/>
      <c r="H12012" s="1743"/>
      <c r="K12012" s="1192" t="s">
        <v>2424</v>
      </c>
      <c r="V12012" s="1192">
        <v>11</v>
      </c>
    </row>
    <row r="12013" spans="1:22" s="1192" customFormat="1" ht="14.4" x14ac:dyDescent="0.3">
      <c r="A12013" s="1192" t="s">
        <v>228</v>
      </c>
      <c r="E12013" s="1743" t="s">
        <v>2391</v>
      </c>
      <c r="F12013" s="1743"/>
      <c r="G12013" s="1743"/>
      <c r="H12013" s="1743"/>
      <c r="K12013" s="1192" t="s">
        <v>2533</v>
      </c>
      <c r="V12013" s="1192">
        <v>280</v>
      </c>
    </row>
    <row r="12014" spans="1:22" s="1192" customFormat="1" ht="14.4" x14ac:dyDescent="0.3">
      <c r="A12014" s="1192" t="s">
        <v>228</v>
      </c>
      <c r="E12014" s="1743" t="s">
        <v>2392</v>
      </c>
      <c r="F12014" s="1743"/>
      <c r="G12014" s="1743"/>
      <c r="H12014" s="1743"/>
      <c r="K12014" s="1192" t="s">
        <v>2533</v>
      </c>
      <c r="V12014" s="1192">
        <v>411</v>
      </c>
    </row>
    <row r="12015" spans="1:22" s="1192" customFormat="1" ht="14.4" x14ac:dyDescent="0.3">
      <c r="A12015" s="1192" t="s">
        <v>228</v>
      </c>
      <c r="E12015" s="1743" t="s">
        <v>2393</v>
      </c>
      <c r="F12015" s="1743"/>
      <c r="G12015" s="1743"/>
      <c r="H12015" s="1743"/>
      <c r="K12015" s="1192" t="s">
        <v>2533</v>
      </c>
      <c r="V12015" s="1192">
        <v>387</v>
      </c>
    </row>
    <row r="12016" spans="1:22" s="1192" customFormat="1" ht="14.4" x14ac:dyDescent="0.3">
      <c r="A12016" s="1192" t="s">
        <v>228</v>
      </c>
      <c r="E12016" s="1743" t="s">
        <v>4503</v>
      </c>
      <c r="F12016" s="1743"/>
      <c r="G12016" s="1743"/>
      <c r="H12016" s="1743"/>
      <c r="K12016" s="1192" t="s">
        <v>2533</v>
      </c>
      <c r="V12016" s="1192">
        <v>677</v>
      </c>
    </row>
    <row r="12017" spans="1:22" s="1192" customFormat="1" ht="14.4" x14ac:dyDescent="0.3">
      <c r="A12017" s="1192" t="s">
        <v>228</v>
      </c>
      <c r="E12017" s="1743" t="s">
        <v>4504</v>
      </c>
      <c r="F12017" s="1743"/>
      <c r="G12017" s="1743"/>
      <c r="H12017" s="1743"/>
      <c r="K12017" s="1192" t="s">
        <v>2533</v>
      </c>
      <c r="V12017" s="1192">
        <v>725</v>
      </c>
    </row>
    <row r="12018" spans="1:22" s="1192" customFormat="1" ht="14.4" x14ac:dyDescent="0.3">
      <c r="A12018" s="1192" t="s">
        <v>228</v>
      </c>
      <c r="E12018" s="1743" t="s">
        <v>4500</v>
      </c>
      <c r="F12018" s="1743"/>
      <c r="G12018" s="1743"/>
      <c r="H12018" s="1743"/>
      <c r="K12018" s="1192" t="s">
        <v>2533</v>
      </c>
      <c r="V12018" s="1192">
        <v>247</v>
      </c>
    </row>
    <row r="12019" spans="1:22" s="1192" customFormat="1" ht="14.4" x14ac:dyDescent="0.3">
      <c r="A12019" s="1192" t="s">
        <v>228</v>
      </c>
      <c r="E12019" s="1750" t="s">
        <v>2394</v>
      </c>
      <c r="F12019" s="1743"/>
      <c r="G12019" s="1743"/>
      <c r="H12019" s="1743"/>
      <c r="K12019" s="1192" t="s">
        <v>2425</v>
      </c>
      <c r="V12019" s="1192">
        <v>46</v>
      </c>
    </row>
    <row r="12020" spans="1:22" s="1192" customFormat="1" ht="14.4" x14ac:dyDescent="0.3">
      <c r="A12020" s="1192" t="s">
        <v>228</v>
      </c>
      <c r="E12020" s="1740" t="s">
        <v>7</v>
      </c>
      <c r="F12020" s="1740"/>
      <c r="G12020" s="1277" t="s">
        <v>19</v>
      </c>
      <c r="H12020" s="1218">
        <v>26950.23</v>
      </c>
      <c r="K12020" s="1192" t="s">
        <v>2533</v>
      </c>
      <c r="L12020" s="1192" t="s">
        <v>430</v>
      </c>
      <c r="P12020" s="1192" t="s">
        <v>2535</v>
      </c>
      <c r="V12020" s="1192">
        <v>14</v>
      </c>
    </row>
    <row r="12021" spans="1:22" s="1192" customFormat="1" ht="14.4" x14ac:dyDescent="0.3">
      <c r="A12021" s="1192" t="s">
        <v>228</v>
      </c>
      <c r="E12021" s="1740" t="s">
        <v>80</v>
      </c>
      <c r="F12021" s="1740"/>
      <c r="G12021" s="1277" t="s">
        <v>29</v>
      </c>
      <c r="H12021" s="1219">
        <v>2.0238999999999998</v>
      </c>
      <c r="K12021" s="1192" t="s">
        <v>2533</v>
      </c>
      <c r="L12021" s="1192" t="s">
        <v>430</v>
      </c>
      <c r="P12021" s="1192" t="s">
        <v>2536</v>
      </c>
      <c r="V12021" s="1192">
        <v>28</v>
      </c>
    </row>
    <row r="12022" spans="1:22" s="1192" customFormat="1" ht="14.4" x14ac:dyDescent="0.3">
      <c r="A12022" s="1192" t="s">
        <v>228</v>
      </c>
      <c r="E12022" s="1740" t="s">
        <v>14</v>
      </c>
      <c r="F12022" s="1740"/>
      <c r="G12022" s="1277" t="s">
        <v>29</v>
      </c>
      <c r="H12022" s="1219">
        <v>9.3799999999999994E-2</v>
      </c>
      <c r="K12022" s="1192" t="s">
        <v>2533</v>
      </c>
      <c r="L12022" s="1192" t="s">
        <v>431</v>
      </c>
      <c r="P12022" s="1192" t="s">
        <v>2537</v>
      </c>
      <c r="V12022" s="1192">
        <v>24</v>
      </c>
    </row>
    <row r="12023" spans="1:22" s="1192" customFormat="1" ht="14.4" x14ac:dyDescent="0.3">
      <c r="A12023" s="1192" t="s">
        <v>228</v>
      </c>
      <c r="E12023" s="2011" t="s">
        <v>6548</v>
      </c>
      <c r="F12023" s="2016"/>
      <c r="G12023" s="1277" t="s">
        <v>29</v>
      </c>
      <c r="H12023" s="1219">
        <v>-1.2999999999999999E-3</v>
      </c>
      <c r="K12023" s="1192" t="s">
        <v>2533</v>
      </c>
      <c r="L12023" s="1192" t="s">
        <v>430</v>
      </c>
      <c r="P12023" s="1192" t="s">
        <v>2538</v>
      </c>
      <c r="T12023" s="1192">
        <v>44316</v>
      </c>
      <c r="V12023" s="1192">
        <v>134</v>
      </c>
    </row>
    <row r="12024" spans="1:22" s="1192" customFormat="1" ht="14.4" x14ac:dyDescent="0.3">
      <c r="A12024" s="1192" t="s">
        <v>228</v>
      </c>
      <c r="E12024" s="2011" t="s">
        <v>6509</v>
      </c>
      <c r="F12024" s="2016"/>
      <c r="G12024" s="1277" t="s">
        <v>29</v>
      </c>
      <c r="H12024" s="1219">
        <v>-0.8196</v>
      </c>
      <c r="K12024" s="1192" t="s">
        <v>2533</v>
      </c>
      <c r="L12024" s="1192" t="s">
        <v>431</v>
      </c>
      <c r="P12024" s="1192" t="s">
        <v>2539</v>
      </c>
      <c r="T12024" s="1192">
        <v>44316</v>
      </c>
      <c r="V12024" s="1192">
        <v>156</v>
      </c>
    </row>
    <row r="12025" spans="1:22" s="1192" customFormat="1" ht="14.4" x14ac:dyDescent="0.3">
      <c r="A12025" s="1192" t="s">
        <v>228</v>
      </c>
      <c r="E12025" s="1740" t="s">
        <v>6508</v>
      </c>
      <c r="F12025" s="1989"/>
      <c r="G12025" s="1277" t="s">
        <v>29</v>
      </c>
      <c r="H12025" s="1219">
        <v>0.1681</v>
      </c>
      <c r="K12025" s="1192" t="s">
        <v>2533</v>
      </c>
      <c r="L12025" s="1192" t="s">
        <v>431</v>
      </c>
      <c r="P12025" s="1192" t="s">
        <v>2539</v>
      </c>
      <c r="T12025" s="1192">
        <v>44316</v>
      </c>
      <c r="V12025" s="1192">
        <v>96</v>
      </c>
    </row>
    <row r="12026" spans="1:22" s="1192" customFormat="1" ht="14.4" x14ac:dyDescent="0.3">
      <c r="A12026" s="1192" t="s">
        <v>228</v>
      </c>
      <c r="E12026" s="1740" t="s">
        <v>215</v>
      </c>
      <c r="F12026" s="1740"/>
      <c r="G12026" s="1277" t="s">
        <v>29</v>
      </c>
      <c r="H12026" s="1219">
        <v>3.2151999999999998</v>
      </c>
      <c r="K12026" s="1192" t="s">
        <v>2533</v>
      </c>
      <c r="L12026" s="1192" t="s">
        <v>432</v>
      </c>
      <c r="P12026" s="1192" t="s">
        <v>2833</v>
      </c>
      <c r="V12026" s="1192">
        <v>66</v>
      </c>
    </row>
    <row r="12027" spans="1:22" s="1192" customFormat="1" ht="14.4" x14ac:dyDescent="0.3">
      <c r="A12027" s="1192" t="s">
        <v>228</v>
      </c>
      <c r="E12027" s="1740" t="s">
        <v>211</v>
      </c>
      <c r="F12027" s="1740"/>
      <c r="G12027" s="1277" t="s">
        <v>29</v>
      </c>
      <c r="H12027" s="1219">
        <v>3.0661999999999998</v>
      </c>
      <c r="K12027" s="1192" t="s">
        <v>2533</v>
      </c>
      <c r="L12027" s="1192" t="s">
        <v>432</v>
      </c>
      <c r="P12027" s="1192" t="s">
        <v>2834</v>
      </c>
      <c r="V12027" s="1192">
        <v>93</v>
      </c>
    </row>
    <row r="12028" spans="1:22" s="1192" customFormat="1" ht="14.4" x14ac:dyDescent="0.3">
      <c r="A12028" s="1192" t="s">
        <v>228</v>
      </c>
      <c r="E12028" s="1750" t="s">
        <v>2405</v>
      </c>
      <c r="F12028" s="1741"/>
      <c r="G12028" s="1277"/>
      <c r="H12028" s="896"/>
      <c r="K12028" s="1192" t="s">
        <v>2427</v>
      </c>
      <c r="V12028" s="1192">
        <v>48</v>
      </c>
    </row>
    <row r="12029" spans="1:22" s="1192" customFormat="1" ht="14.4" x14ac:dyDescent="0.3">
      <c r="A12029" s="1192" t="s">
        <v>228</v>
      </c>
      <c r="E12029" s="1740" t="s">
        <v>2033</v>
      </c>
      <c r="F12029" s="1740"/>
      <c r="G12029" s="1277" t="s">
        <v>20</v>
      </c>
      <c r="H12029" s="1219">
        <v>3.0000000000000001E-3</v>
      </c>
      <c r="K12029" s="1192" t="s">
        <v>2533</v>
      </c>
      <c r="L12029" s="1192" t="s">
        <v>2374</v>
      </c>
      <c r="P12029" s="1192" t="s">
        <v>2540</v>
      </c>
      <c r="V12029" s="1192">
        <v>55</v>
      </c>
    </row>
    <row r="12030" spans="1:22" s="1192" customFormat="1" ht="14.4" x14ac:dyDescent="0.3">
      <c r="A12030" s="1192" t="s">
        <v>228</v>
      </c>
      <c r="E12030" s="1740" t="s">
        <v>2034</v>
      </c>
      <c r="F12030" s="1740"/>
      <c r="G12030" s="1277" t="s">
        <v>20</v>
      </c>
      <c r="H12030" s="1219">
        <v>4.0000000000000002E-4</v>
      </c>
      <c r="K12030" s="1192" t="s">
        <v>2533</v>
      </c>
      <c r="L12030" s="1192" t="s">
        <v>2374</v>
      </c>
      <c r="P12030" s="1192" t="s">
        <v>2540</v>
      </c>
      <c r="V12030" s="1192">
        <v>65</v>
      </c>
    </row>
    <row r="12031" spans="1:22" s="1192" customFormat="1" ht="14.4" x14ac:dyDescent="0.3">
      <c r="A12031" s="1192" t="s">
        <v>228</v>
      </c>
      <c r="E12031" s="1740" t="s">
        <v>428</v>
      </c>
      <c r="F12031" s="1740"/>
      <c r="G12031" s="1277" t="s">
        <v>20</v>
      </c>
      <c r="H12031" s="1219">
        <v>5.0000000000000001E-4</v>
      </c>
      <c r="K12031" s="1192" t="s">
        <v>2533</v>
      </c>
      <c r="L12031" s="1192" t="s">
        <v>2374</v>
      </c>
      <c r="P12031" s="1192" t="s">
        <v>2541</v>
      </c>
      <c r="V12031" s="1192">
        <v>57</v>
      </c>
    </row>
    <row r="12032" spans="1:22" s="1192" customFormat="1" ht="14.4" x14ac:dyDescent="0.3">
      <c r="A12032" s="1192" t="s">
        <v>228</v>
      </c>
      <c r="E12032" s="1740" t="s">
        <v>28</v>
      </c>
      <c r="F12032" s="1740"/>
      <c r="G12032" s="1277" t="s">
        <v>19</v>
      </c>
      <c r="H12032" s="1218">
        <v>0.25</v>
      </c>
      <c r="K12032" s="1192" t="s">
        <v>2533</v>
      </c>
      <c r="L12032" s="1192" t="s">
        <v>2374</v>
      </c>
      <c r="P12032" s="1192" t="s">
        <v>2542</v>
      </c>
      <c r="V12032" s="1192">
        <v>63</v>
      </c>
    </row>
    <row r="12033" spans="1:22" s="1192" customFormat="1" ht="17.399999999999999" x14ac:dyDescent="0.3">
      <c r="A12033" s="1192" t="s">
        <v>228</v>
      </c>
      <c r="E12033" s="1746" t="s">
        <v>592</v>
      </c>
      <c r="F12033" s="1747"/>
      <c r="G12033" s="1747"/>
      <c r="H12033" s="1747"/>
      <c r="K12033" s="1192" t="s">
        <v>2543</v>
      </c>
      <c r="V12033" s="1192">
        <v>47</v>
      </c>
    </row>
    <row r="12034" spans="1:22" s="1192" customFormat="1" ht="14.4" x14ac:dyDescent="0.3">
      <c r="A12034" s="1192" t="s">
        <v>228</v>
      </c>
      <c r="E12034" s="1743" t="s">
        <v>2544</v>
      </c>
      <c r="F12034" s="1743"/>
      <c r="G12034" s="1743"/>
      <c r="H12034" s="1743"/>
      <c r="K12034" s="1192" t="s">
        <v>2543</v>
      </c>
      <c r="V12034" s="1192">
        <v>691</v>
      </c>
    </row>
    <row r="12035" spans="1:22" s="1192" customFormat="1" ht="14.4" x14ac:dyDescent="0.3">
      <c r="A12035" s="1192" t="s">
        <v>228</v>
      </c>
      <c r="E12035" s="1750" t="s">
        <v>2389</v>
      </c>
      <c r="F12035" s="1743"/>
      <c r="G12035" s="1743"/>
      <c r="H12035" s="1743"/>
      <c r="K12035" s="1192" t="s">
        <v>2430</v>
      </c>
      <c r="V12035" s="1192">
        <v>11</v>
      </c>
    </row>
    <row r="12036" spans="1:22" s="1192" customFormat="1" ht="14.4" x14ac:dyDescent="0.3">
      <c r="A12036" s="1192" t="s">
        <v>228</v>
      </c>
      <c r="E12036" s="1743" t="s">
        <v>2391</v>
      </c>
      <c r="F12036" s="1743"/>
      <c r="G12036" s="1743"/>
      <c r="H12036" s="1743"/>
      <c r="K12036" s="1192" t="s">
        <v>2543</v>
      </c>
      <c r="V12036" s="1192">
        <v>280</v>
      </c>
    </row>
    <row r="12037" spans="1:22" s="1192" customFormat="1" ht="14.4" x14ac:dyDescent="0.3">
      <c r="A12037" s="1192" t="s">
        <v>228</v>
      </c>
      <c r="E12037" s="1743" t="s">
        <v>2392</v>
      </c>
      <c r="F12037" s="1743"/>
      <c r="G12037" s="1743"/>
      <c r="H12037" s="1743"/>
      <c r="K12037" s="1192" t="s">
        <v>2543</v>
      </c>
      <c r="V12037" s="1192">
        <v>411</v>
      </c>
    </row>
    <row r="12038" spans="1:22" s="1192" customFormat="1" ht="14.4" x14ac:dyDescent="0.3">
      <c r="A12038" s="1192" t="s">
        <v>228</v>
      </c>
      <c r="E12038" s="1743" t="s">
        <v>2393</v>
      </c>
      <c r="F12038" s="1743"/>
      <c r="G12038" s="1743"/>
      <c r="H12038" s="1743"/>
      <c r="K12038" s="1192" t="s">
        <v>2543</v>
      </c>
      <c r="V12038" s="1192">
        <v>387</v>
      </c>
    </row>
    <row r="12039" spans="1:22" s="1192" customFormat="1" ht="14.4" x14ac:dyDescent="0.3">
      <c r="A12039" s="1192" t="s">
        <v>228</v>
      </c>
      <c r="E12039" s="1743" t="s">
        <v>4500</v>
      </c>
      <c r="F12039" s="1743"/>
      <c r="G12039" s="1743"/>
      <c r="H12039" s="1743"/>
      <c r="K12039" s="1192" t="s">
        <v>2543</v>
      </c>
      <c r="V12039" s="1192">
        <v>247</v>
      </c>
    </row>
    <row r="12040" spans="1:22" s="1192" customFormat="1" ht="14.4" x14ac:dyDescent="0.3">
      <c r="A12040" s="1192" t="s">
        <v>228</v>
      </c>
      <c r="E12040" s="1750" t="s">
        <v>2394</v>
      </c>
      <c r="F12040" s="1743"/>
      <c r="G12040" s="1743"/>
      <c r="H12040" s="1743"/>
      <c r="K12040" s="1192" t="s">
        <v>2431</v>
      </c>
      <c r="V12040" s="1192">
        <v>46</v>
      </c>
    </row>
    <row r="12041" spans="1:22" s="1192" customFormat="1" ht="14.4" x14ac:dyDescent="0.3">
      <c r="A12041" s="1192" t="s">
        <v>228</v>
      </c>
      <c r="E12041" s="1740" t="s">
        <v>8</v>
      </c>
      <c r="F12041" s="1740"/>
      <c r="G12041" s="1277" t="s">
        <v>19</v>
      </c>
      <c r="H12041" s="1218">
        <v>13.18</v>
      </c>
      <c r="K12041" s="1192" t="s">
        <v>2543</v>
      </c>
      <c r="L12041" s="1192" t="s">
        <v>430</v>
      </c>
      <c r="P12041" s="1192" t="s">
        <v>2545</v>
      </c>
      <c r="V12041" s="1192">
        <v>31</v>
      </c>
    </row>
    <row r="12042" spans="1:22" s="1192" customFormat="1" ht="14.4" x14ac:dyDescent="0.3">
      <c r="A12042" s="1192" t="s">
        <v>228</v>
      </c>
      <c r="E12042" s="1740" t="s">
        <v>80</v>
      </c>
      <c r="F12042" s="1740"/>
      <c r="G12042" s="1277" t="s">
        <v>20</v>
      </c>
      <c r="H12042" s="1219">
        <v>3.5799999999999998E-2</v>
      </c>
      <c r="K12042" s="1192" t="s">
        <v>2543</v>
      </c>
      <c r="L12042" s="1192" t="s">
        <v>430</v>
      </c>
      <c r="P12042" s="1192" t="s">
        <v>2546</v>
      </c>
      <c r="V12042" s="1192">
        <v>28</v>
      </c>
    </row>
    <row r="12043" spans="1:22" s="1192" customFormat="1" ht="14.4" x14ac:dyDescent="0.3">
      <c r="A12043" s="1192" t="s">
        <v>228</v>
      </c>
      <c r="E12043" s="1740" t="s">
        <v>14</v>
      </c>
      <c r="F12043" s="1740"/>
      <c r="G12043" s="1277" t="s">
        <v>20</v>
      </c>
      <c r="H12043" s="1219">
        <v>2.0000000000000001E-4</v>
      </c>
      <c r="K12043" s="1192" t="s">
        <v>2543</v>
      </c>
      <c r="L12043" s="1192" t="s">
        <v>431</v>
      </c>
      <c r="P12043" s="1192" t="s">
        <v>2547</v>
      </c>
      <c r="V12043" s="1192">
        <v>24</v>
      </c>
    </row>
    <row r="12044" spans="1:22" s="1192" customFormat="1" ht="14.4" x14ac:dyDescent="0.3">
      <c r="A12044" s="1192" t="s">
        <v>228</v>
      </c>
      <c r="E12044" s="2011" t="s">
        <v>6506</v>
      </c>
      <c r="F12044" s="2016"/>
      <c r="G12044" s="1277" t="s">
        <v>20</v>
      </c>
      <c r="H12044" s="1219">
        <v>-2.8E-3</v>
      </c>
      <c r="K12044" s="1192" t="s">
        <v>2543</v>
      </c>
      <c r="L12044" s="1192" t="s">
        <v>431</v>
      </c>
      <c r="P12044" s="1192" t="s">
        <v>2880</v>
      </c>
      <c r="T12044" s="1192">
        <v>44316</v>
      </c>
      <c r="V12044" s="1192">
        <v>139</v>
      </c>
    </row>
    <row r="12045" spans="1:22" s="1192" customFormat="1" ht="14.4" x14ac:dyDescent="0.3">
      <c r="A12045" s="1192" t="s">
        <v>228</v>
      </c>
      <c r="E12045" s="2011" t="s">
        <v>6548</v>
      </c>
      <c r="F12045" s="2016"/>
      <c r="G12045" s="1277" t="s">
        <v>20</v>
      </c>
      <c r="H12045" s="1219">
        <v>-5.9999999999999995E-4</v>
      </c>
      <c r="K12045" s="1192" t="s">
        <v>2543</v>
      </c>
      <c r="L12045" s="1192" t="s">
        <v>430</v>
      </c>
      <c r="P12045" s="1192" t="s">
        <v>2548</v>
      </c>
      <c r="T12045" s="1192">
        <v>44316</v>
      </c>
      <c r="V12045" s="1192">
        <v>134</v>
      </c>
    </row>
    <row r="12046" spans="1:22" s="1192" customFormat="1" ht="14.4" x14ac:dyDescent="0.3">
      <c r="A12046" s="1192" t="s">
        <v>228</v>
      </c>
      <c r="E12046" s="1740" t="s">
        <v>6508</v>
      </c>
      <c r="F12046" s="1989"/>
      <c r="G12046" s="1277" t="s">
        <v>20</v>
      </c>
      <c r="H12046" s="1219">
        <v>-1.1000000000000001E-3</v>
      </c>
      <c r="K12046" s="1192" t="s">
        <v>2543</v>
      </c>
      <c r="L12046" s="1192" t="s">
        <v>431</v>
      </c>
      <c r="P12046" s="1192" t="s">
        <v>2549</v>
      </c>
      <c r="T12046" s="1192">
        <v>44316</v>
      </c>
      <c r="V12046" s="1192">
        <v>96</v>
      </c>
    </row>
    <row r="12047" spans="1:22" s="1192" customFormat="1" ht="14.4" x14ac:dyDescent="0.3">
      <c r="A12047" s="1192" t="s">
        <v>228</v>
      </c>
      <c r="E12047" s="2011" t="s">
        <v>6638</v>
      </c>
      <c r="F12047" s="2016"/>
      <c r="G12047" s="1277" t="s">
        <v>20</v>
      </c>
      <c r="H12047" s="1219">
        <v>-1E-4</v>
      </c>
      <c r="K12047" s="1192" t="s">
        <v>2543</v>
      </c>
      <c r="L12047" s="1192" t="s">
        <v>431</v>
      </c>
      <c r="P12047" s="1192" t="s">
        <v>4048</v>
      </c>
      <c r="T12047" s="1192">
        <v>44316</v>
      </c>
      <c r="V12047" s="1192">
        <v>145</v>
      </c>
    </row>
    <row r="12048" spans="1:22" s="1192" customFormat="1" ht="14.4" x14ac:dyDescent="0.3">
      <c r="A12048" s="1192" t="s">
        <v>228</v>
      </c>
      <c r="E12048" s="1740" t="s">
        <v>213</v>
      </c>
      <c r="F12048" s="1740"/>
      <c r="G12048" s="1277" t="s">
        <v>20</v>
      </c>
      <c r="H12048" s="1219">
        <v>6.7999999999999996E-3</v>
      </c>
      <c r="K12048" s="1192" t="s">
        <v>2543</v>
      </c>
      <c r="L12048" s="1192" t="s">
        <v>432</v>
      </c>
      <c r="P12048" s="1192" t="s">
        <v>2550</v>
      </c>
      <c r="V12048" s="1192">
        <v>47</v>
      </c>
    </row>
    <row r="12049" spans="1:22" s="1192" customFormat="1" ht="14.4" x14ac:dyDescent="0.3">
      <c r="A12049" s="1192" t="s">
        <v>228</v>
      </c>
      <c r="E12049" s="1740" t="s">
        <v>209</v>
      </c>
      <c r="F12049" s="1740"/>
      <c r="G12049" s="1277" t="s">
        <v>20</v>
      </c>
      <c r="H12049" s="1219">
        <v>6.1000000000000004E-3</v>
      </c>
      <c r="K12049" s="1192" t="s">
        <v>2543</v>
      </c>
      <c r="L12049" s="1192" t="s">
        <v>432</v>
      </c>
      <c r="P12049" s="1192" t="s">
        <v>2551</v>
      </c>
      <c r="V12049" s="1192">
        <v>74</v>
      </c>
    </row>
    <row r="12050" spans="1:22" s="1192" customFormat="1" ht="14.4" x14ac:dyDescent="0.3">
      <c r="A12050" s="1192" t="s">
        <v>228</v>
      </c>
      <c r="E12050" s="1750" t="s">
        <v>2405</v>
      </c>
      <c r="F12050" s="1741"/>
      <c r="G12050" s="1277"/>
      <c r="H12050" s="896"/>
      <c r="K12050" s="1192" t="s">
        <v>2438</v>
      </c>
      <c r="V12050" s="1192">
        <v>48</v>
      </c>
    </row>
    <row r="12051" spans="1:22" s="1192" customFormat="1" ht="14.4" x14ac:dyDescent="0.3">
      <c r="A12051" s="1192" t="s">
        <v>228</v>
      </c>
      <c r="E12051" s="1740" t="s">
        <v>2033</v>
      </c>
      <c r="F12051" s="1740"/>
      <c r="G12051" s="1277" t="s">
        <v>20</v>
      </c>
      <c r="H12051" s="1219">
        <v>3.0000000000000001E-3</v>
      </c>
      <c r="K12051" s="1192" t="s">
        <v>2543</v>
      </c>
      <c r="L12051" s="1192" t="s">
        <v>2374</v>
      </c>
      <c r="P12051" s="1192" t="s">
        <v>2552</v>
      </c>
      <c r="V12051" s="1192">
        <v>55</v>
      </c>
    </row>
    <row r="12052" spans="1:22" s="1192" customFormat="1" ht="14.4" x14ac:dyDescent="0.3">
      <c r="A12052" s="1192" t="s">
        <v>228</v>
      </c>
      <c r="E12052" s="1740" t="s">
        <v>2034</v>
      </c>
      <c r="F12052" s="1740"/>
      <c r="G12052" s="1277" t="s">
        <v>20</v>
      </c>
      <c r="H12052" s="1219">
        <v>4.0000000000000002E-4</v>
      </c>
      <c r="K12052" s="1192" t="s">
        <v>2543</v>
      </c>
      <c r="L12052" s="1192" t="s">
        <v>2374</v>
      </c>
      <c r="P12052" s="1192" t="s">
        <v>2552</v>
      </c>
      <c r="V12052" s="1192">
        <v>65</v>
      </c>
    </row>
    <row r="12053" spans="1:22" s="1192" customFormat="1" ht="14.4" x14ac:dyDescent="0.3">
      <c r="A12053" s="1192" t="s">
        <v>228</v>
      </c>
      <c r="E12053" s="1740" t="s">
        <v>428</v>
      </c>
      <c r="F12053" s="1740"/>
      <c r="G12053" s="1277" t="s">
        <v>20</v>
      </c>
      <c r="H12053" s="1219">
        <v>5.0000000000000001E-4</v>
      </c>
      <c r="K12053" s="1192" t="s">
        <v>2543</v>
      </c>
      <c r="L12053" s="1192" t="s">
        <v>2374</v>
      </c>
      <c r="P12053" s="1192" t="s">
        <v>2553</v>
      </c>
      <c r="V12053" s="1192">
        <v>57</v>
      </c>
    </row>
    <row r="12054" spans="1:22" s="1192" customFormat="1" ht="14.4" x14ac:dyDescent="0.3">
      <c r="A12054" s="1192" t="s">
        <v>228</v>
      </c>
      <c r="E12054" s="1740" t="s">
        <v>28</v>
      </c>
      <c r="F12054" s="1740"/>
      <c r="G12054" s="1277" t="s">
        <v>19</v>
      </c>
      <c r="H12054" s="1218">
        <v>0.25</v>
      </c>
      <c r="K12054" s="1192" t="s">
        <v>2543</v>
      </c>
      <c r="L12054" s="1192" t="s">
        <v>2374</v>
      </c>
      <c r="P12054" s="1192" t="s">
        <v>2554</v>
      </c>
      <c r="V12054" s="1192">
        <v>63</v>
      </c>
    </row>
    <row r="12055" spans="1:22" s="1192" customFormat="1" ht="17.399999999999999" x14ac:dyDescent="0.3">
      <c r="A12055" s="1192" t="s">
        <v>228</v>
      </c>
      <c r="E12055" s="1746" t="s">
        <v>604</v>
      </c>
      <c r="F12055" s="1747"/>
      <c r="G12055" s="1747"/>
      <c r="H12055" s="1747"/>
      <c r="K12055" s="1192" t="s">
        <v>2555</v>
      </c>
      <c r="V12055" s="1192">
        <v>40</v>
      </c>
    </row>
    <row r="12056" spans="1:22" s="1192" customFormat="1" ht="14.4" x14ac:dyDescent="0.3">
      <c r="A12056" s="1192" t="s">
        <v>228</v>
      </c>
      <c r="E12056" s="1743" t="s">
        <v>2556</v>
      </c>
      <c r="F12056" s="1743"/>
      <c r="G12056" s="1743"/>
      <c r="H12056" s="1743"/>
      <c r="K12056" s="1192" t="s">
        <v>2555</v>
      </c>
      <c r="V12056" s="1192">
        <v>253</v>
      </c>
    </row>
    <row r="12057" spans="1:22" s="1192" customFormat="1" ht="14.4" x14ac:dyDescent="0.3">
      <c r="A12057" s="1192" t="s">
        <v>228</v>
      </c>
      <c r="E12057" s="1750" t="s">
        <v>2389</v>
      </c>
      <c r="F12057" s="1743"/>
      <c r="G12057" s="1743"/>
      <c r="H12057" s="1743"/>
      <c r="K12057" s="1192" t="s">
        <v>2444</v>
      </c>
      <c r="V12057" s="1192">
        <v>11</v>
      </c>
    </row>
    <row r="12058" spans="1:22" s="1192" customFormat="1" ht="14.4" x14ac:dyDescent="0.3">
      <c r="A12058" s="1192" t="s">
        <v>228</v>
      </c>
      <c r="E12058" s="1743" t="s">
        <v>2391</v>
      </c>
      <c r="F12058" s="1743"/>
      <c r="G12058" s="1743"/>
      <c r="H12058" s="1743"/>
      <c r="K12058" s="1192" t="s">
        <v>2555</v>
      </c>
      <c r="V12058" s="1192">
        <v>280</v>
      </c>
    </row>
    <row r="12059" spans="1:22" s="1192" customFormat="1" ht="14.4" x14ac:dyDescent="0.3">
      <c r="A12059" s="1192" t="s">
        <v>228</v>
      </c>
      <c r="E12059" s="1743" t="s">
        <v>2392</v>
      </c>
      <c r="F12059" s="1743"/>
      <c r="G12059" s="1743"/>
      <c r="H12059" s="1743"/>
      <c r="K12059" s="1192" t="s">
        <v>2555</v>
      </c>
      <c r="V12059" s="1192">
        <v>411</v>
      </c>
    </row>
    <row r="12060" spans="1:22" s="1192" customFormat="1" ht="14.4" x14ac:dyDescent="0.3">
      <c r="A12060" s="1192" t="s">
        <v>228</v>
      </c>
      <c r="E12060" s="1743" t="s">
        <v>2393</v>
      </c>
      <c r="F12060" s="1743"/>
      <c r="G12060" s="1743"/>
      <c r="H12060" s="1743"/>
      <c r="K12060" s="1192" t="s">
        <v>2555</v>
      </c>
      <c r="V12060" s="1192">
        <v>387</v>
      </c>
    </row>
    <row r="12061" spans="1:22" s="1192" customFormat="1" ht="14.4" x14ac:dyDescent="0.3">
      <c r="A12061" s="1192" t="s">
        <v>228</v>
      </c>
      <c r="E12061" s="1743" t="s">
        <v>4500</v>
      </c>
      <c r="F12061" s="1743"/>
      <c r="G12061" s="1743"/>
      <c r="H12061" s="1743"/>
      <c r="K12061" s="1192" t="s">
        <v>2555</v>
      </c>
      <c r="V12061" s="1192">
        <v>247</v>
      </c>
    </row>
    <row r="12062" spans="1:22" s="1192" customFormat="1" ht="14.4" x14ac:dyDescent="0.3">
      <c r="A12062" s="1192" t="s">
        <v>228</v>
      </c>
      <c r="E12062" s="1750" t="s">
        <v>2394</v>
      </c>
      <c r="F12062" s="1743"/>
      <c r="G12062" s="1743"/>
      <c r="H12062" s="1743"/>
      <c r="K12062" s="1192" t="s">
        <v>2446</v>
      </c>
      <c r="V12062" s="1192">
        <v>46</v>
      </c>
    </row>
    <row r="12063" spans="1:22" s="1192" customFormat="1" ht="14.4" x14ac:dyDescent="0.3">
      <c r="A12063" s="1192" t="s">
        <v>228</v>
      </c>
      <c r="E12063" s="1740" t="s">
        <v>8</v>
      </c>
      <c r="F12063" s="1740"/>
      <c r="G12063" s="1277" t="s">
        <v>19</v>
      </c>
      <c r="H12063" s="1218">
        <v>4.24</v>
      </c>
      <c r="K12063" s="1192" t="s">
        <v>2555</v>
      </c>
      <c r="L12063" s="1192" t="s">
        <v>430</v>
      </c>
      <c r="P12063" s="1192" t="s">
        <v>2557</v>
      </c>
      <c r="V12063" s="1192">
        <v>31</v>
      </c>
    </row>
    <row r="12064" spans="1:22" s="1192" customFormat="1" ht="14.4" x14ac:dyDescent="0.3">
      <c r="A12064" s="1192" t="s">
        <v>228</v>
      </c>
      <c r="E12064" s="1740" t="s">
        <v>80</v>
      </c>
      <c r="F12064" s="1740"/>
      <c r="G12064" s="1277" t="s">
        <v>29</v>
      </c>
      <c r="H12064" s="1219">
        <v>28.005800000000001</v>
      </c>
      <c r="K12064" s="1192" t="s">
        <v>2555</v>
      </c>
      <c r="L12064" s="1192" t="s">
        <v>430</v>
      </c>
      <c r="P12064" s="1192" t="s">
        <v>2558</v>
      </c>
      <c r="V12064" s="1192">
        <v>28</v>
      </c>
    </row>
    <row r="12065" spans="1:22" s="1192" customFormat="1" ht="14.4" x14ac:dyDescent="0.3">
      <c r="A12065" s="1192" t="s">
        <v>228</v>
      </c>
      <c r="E12065" s="1740" t="s">
        <v>14</v>
      </c>
      <c r="F12065" s="1740"/>
      <c r="G12065" s="1277" t="s">
        <v>29</v>
      </c>
      <c r="H12065" s="1219">
        <v>5.8999999999999997E-2</v>
      </c>
      <c r="K12065" s="1192" t="s">
        <v>2555</v>
      </c>
      <c r="L12065" s="1192" t="s">
        <v>431</v>
      </c>
      <c r="P12065" s="1192" t="s">
        <v>2559</v>
      </c>
      <c r="V12065" s="1192">
        <v>24</v>
      </c>
    </row>
    <row r="12066" spans="1:22" s="1192" customFormat="1" ht="14.4" x14ac:dyDescent="0.3">
      <c r="A12066" s="1192" t="s">
        <v>228</v>
      </c>
      <c r="E12066" s="2011" t="s">
        <v>6506</v>
      </c>
      <c r="F12066" s="2016"/>
      <c r="G12066" s="1277" t="s">
        <v>20</v>
      </c>
      <c r="H12066" s="1219">
        <v>-2.8E-3</v>
      </c>
      <c r="K12066" s="1192" t="s">
        <v>2555</v>
      </c>
      <c r="L12066" s="1192" t="s">
        <v>431</v>
      </c>
      <c r="P12066" s="1192" t="s">
        <v>2560</v>
      </c>
      <c r="T12066" s="1192">
        <v>44316</v>
      </c>
      <c r="V12066" s="1192">
        <v>139</v>
      </c>
    </row>
    <row r="12067" spans="1:22" s="1192" customFormat="1" ht="14.4" x14ac:dyDescent="0.3">
      <c r="A12067" s="1192" t="s">
        <v>228</v>
      </c>
      <c r="E12067" s="2011" t="s">
        <v>6548</v>
      </c>
      <c r="F12067" s="2016"/>
      <c r="G12067" s="1277" t="s">
        <v>29</v>
      </c>
      <c r="H12067" s="1219">
        <v>-6.5199999999999994E-2</v>
      </c>
      <c r="K12067" s="1192" t="s">
        <v>2555</v>
      </c>
      <c r="L12067" s="1192" t="s">
        <v>430</v>
      </c>
      <c r="P12067" s="1192" t="s">
        <v>2561</v>
      </c>
      <c r="T12067" s="1192">
        <v>44316</v>
      </c>
      <c r="V12067" s="1192">
        <v>134</v>
      </c>
    </row>
    <row r="12068" spans="1:22" s="1192" customFormat="1" ht="14.4" x14ac:dyDescent="0.3">
      <c r="A12068" s="1192" t="s">
        <v>228</v>
      </c>
      <c r="E12068" s="1740" t="s">
        <v>6508</v>
      </c>
      <c r="F12068" s="1989"/>
      <c r="G12068" s="1277" t="s">
        <v>29</v>
      </c>
      <c r="H12068" s="1219">
        <v>-0.38990000000000002</v>
      </c>
      <c r="K12068" s="1192" t="s">
        <v>2555</v>
      </c>
      <c r="L12068" s="1192" t="s">
        <v>431</v>
      </c>
      <c r="P12068" s="1192" t="s">
        <v>2562</v>
      </c>
      <c r="T12068" s="1192">
        <v>44316</v>
      </c>
      <c r="V12068" s="1192">
        <v>96</v>
      </c>
    </row>
    <row r="12069" spans="1:22" s="1192" customFormat="1" ht="14.4" x14ac:dyDescent="0.3">
      <c r="A12069" s="1192" t="s">
        <v>228</v>
      </c>
      <c r="E12069" s="2011" t="s">
        <v>6638</v>
      </c>
      <c r="F12069" s="2016"/>
      <c r="G12069" s="1277" t="s">
        <v>29</v>
      </c>
      <c r="H12069" s="1219">
        <v>-3.9899999999999998E-2</v>
      </c>
      <c r="K12069" s="1192" t="s">
        <v>2555</v>
      </c>
      <c r="L12069" s="1192" t="s">
        <v>431</v>
      </c>
      <c r="P12069" s="1192" t="s">
        <v>4005</v>
      </c>
      <c r="T12069" s="1192">
        <v>44316</v>
      </c>
      <c r="V12069" s="1192">
        <v>145</v>
      </c>
    </row>
    <row r="12070" spans="1:22" s="1192" customFormat="1" ht="14.4" x14ac:dyDescent="0.3">
      <c r="A12070" s="1192" t="s">
        <v>228</v>
      </c>
      <c r="E12070" s="1740" t="s">
        <v>213</v>
      </c>
      <c r="F12070" s="1740"/>
      <c r="G12070" s="1277" t="s">
        <v>29</v>
      </c>
      <c r="H12070" s="1219">
        <v>2.0722999999999998</v>
      </c>
      <c r="K12070" s="1192" t="s">
        <v>2555</v>
      </c>
      <c r="L12070" s="1192" t="s">
        <v>432</v>
      </c>
      <c r="P12070" s="1192" t="s">
        <v>2563</v>
      </c>
      <c r="V12070" s="1192">
        <v>47</v>
      </c>
    </row>
    <row r="12071" spans="1:22" s="1192" customFormat="1" ht="14.4" x14ac:dyDescent="0.3">
      <c r="A12071" s="1192" t="s">
        <v>228</v>
      </c>
      <c r="E12071" s="1740" t="s">
        <v>209</v>
      </c>
      <c r="F12071" s="1740"/>
      <c r="G12071" s="1277" t="s">
        <v>29</v>
      </c>
      <c r="H12071" s="1219">
        <v>1.9305000000000001</v>
      </c>
      <c r="K12071" s="1192" t="s">
        <v>2555</v>
      </c>
      <c r="L12071" s="1192" t="s">
        <v>432</v>
      </c>
      <c r="P12071" s="1192" t="s">
        <v>2564</v>
      </c>
      <c r="V12071" s="1192">
        <v>74</v>
      </c>
    </row>
    <row r="12072" spans="1:22" s="1192" customFormat="1" ht="14.4" x14ac:dyDescent="0.3">
      <c r="A12072" s="1192" t="s">
        <v>228</v>
      </c>
      <c r="E12072" s="1750" t="s">
        <v>2405</v>
      </c>
      <c r="F12072" s="1741"/>
      <c r="G12072" s="1277"/>
      <c r="H12072" s="896"/>
      <c r="K12072" s="1192" t="s">
        <v>2565</v>
      </c>
      <c r="V12072" s="1192">
        <v>48</v>
      </c>
    </row>
    <row r="12073" spans="1:22" s="1192" customFormat="1" ht="14.4" x14ac:dyDescent="0.3">
      <c r="A12073" s="1192" t="s">
        <v>228</v>
      </c>
      <c r="E12073" s="1740" t="s">
        <v>2033</v>
      </c>
      <c r="F12073" s="1740"/>
      <c r="G12073" s="1277" t="s">
        <v>20</v>
      </c>
      <c r="H12073" s="1219">
        <v>3.0000000000000001E-3</v>
      </c>
      <c r="K12073" s="1192" t="s">
        <v>2555</v>
      </c>
      <c r="L12073" s="1192" t="s">
        <v>2374</v>
      </c>
      <c r="P12073" s="1192" t="s">
        <v>2566</v>
      </c>
      <c r="V12073" s="1192">
        <v>55</v>
      </c>
    </row>
    <row r="12074" spans="1:22" s="1192" customFormat="1" ht="14.4" x14ac:dyDescent="0.3">
      <c r="A12074" s="1192" t="s">
        <v>228</v>
      </c>
      <c r="E12074" s="1740" t="s">
        <v>2034</v>
      </c>
      <c r="F12074" s="1740"/>
      <c r="G12074" s="1277" t="s">
        <v>20</v>
      </c>
      <c r="H12074" s="1219">
        <v>4.0000000000000002E-4</v>
      </c>
      <c r="K12074" s="1192" t="s">
        <v>2555</v>
      </c>
      <c r="L12074" s="1192" t="s">
        <v>2374</v>
      </c>
      <c r="P12074" s="1192" t="s">
        <v>2566</v>
      </c>
      <c r="V12074" s="1192">
        <v>65</v>
      </c>
    </row>
    <row r="12075" spans="1:22" s="1192" customFormat="1" ht="14.4" x14ac:dyDescent="0.3">
      <c r="A12075" s="1192" t="s">
        <v>228</v>
      </c>
      <c r="E12075" s="1740" t="s">
        <v>428</v>
      </c>
      <c r="F12075" s="1740"/>
      <c r="G12075" s="1277" t="s">
        <v>20</v>
      </c>
      <c r="H12075" s="1219">
        <v>5.0000000000000001E-4</v>
      </c>
      <c r="K12075" s="1192" t="s">
        <v>2555</v>
      </c>
      <c r="L12075" s="1192" t="s">
        <v>2374</v>
      </c>
      <c r="P12075" s="1192" t="s">
        <v>2567</v>
      </c>
      <c r="V12075" s="1192">
        <v>57</v>
      </c>
    </row>
    <row r="12076" spans="1:22" s="1192" customFormat="1" ht="14.4" x14ac:dyDescent="0.3">
      <c r="A12076" s="1192" t="s">
        <v>228</v>
      </c>
      <c r="E12076" s="1740" t="s">
        <v>28</v>
      </c>
      <c r="F12076" s="1740"/>
      <c r="G12076" s="1277" t="s">
        <v>19</v>
      </c>
      <c r="H12076" s="1218">
        <v>0.25</v>
      </c>
      <c r="K12076" s="1192" t="s">
        <v>2555</v>
      </c>
      <c r="L12076" s="1192" t="s">
        <v>2374</v>
      </c>
      <c r="P12076" s="1192" t="s">
        <v>2568</v>
      </c>
      <c r="V12076" s="1192">
        <v>63</v>
      </c>
    </row>
    <row r="12077" spans="1:22" s="1192" customFormat="1" ht="17.399999999999999" x14ac:dyDescent="0.3">
      <c r="A12077" s="1192" t="s">
        <v>228</v>
      </c>
      <c r="E12077" s="1746" t="s">
        <v>590</v>
      </c>
      <c r="F12077" s="1747"/>
      <c r="G12077" s="1747"/>
      <c r="H12077" s="1747"/>
      <c r="K12077" s="1192" t="s">
        <v>2569</v>
      </c>
      <c r="V12077" s="1192">
        <v>38</v>
      </c>
    </row>
    <row r="12078" spans="1:22" s="1192" customFormat="1" ht="14.4" x14ac:dyDescent="0.3">
      <c r="A12078" s="1192" t="s">
        <v>228</v>
      </c>
      <c r="E12078" s="1743" t="s">
        <v>2570</v>
      </c>
      <c r="F12078" s="1743"/>
      <c r="G12078" s="1743"/>
      <c r="H12078" s="1743"/>
      <c r="K12078" s="1192" t="s">
        <v>2569</v>
      </c>
      <c r="V12078" s="1192">
        <v>543</v>
      </c>
    </row>
    <row r="12079" spans="1:22" s="1192" customFormat="1" ht="14.4" x14ac:dyDescent="0.3">
      <c r="A12079" s="1192" t="s">
        <v>228</v>
      </c>
      <c r="E12079" s="1750" t="s">
        <v>2389</v>
      </c>
      <c r="F12079" s="1743"/>
      <c r="G12079" s="1743"/>
      <c r="H12079" s="1743"/>
      <c r="K12079" s="1192" t="s">
        <v>2571</v>
      </c>
      <c r="V12079" s="1192">
        <v>11</v>
      </c>
    </row>
    <row r="12080" spans="1:22" s="1192" customFormat="1" ht="14.4" x14ac:dyDescent="0.3">
      <c r="A12080" s="1192" t="s">
        <v>228</v>
      </c>
      <c r="E12080" s="1743" t="s">
        <v>2391</v>
      </c>
      <c r="F12080" s="1743"/>
      <c r="G12080" s="1743"/>
      <c r="H12080" s="1743"/>
      <c r="K12080" s="1192" t="s">
        <v>2569</v>
      </c>
      <c r="V12080" s="1192">
        <v>280</v>
      </c>
    </row>
    <row r="12081" spans="1:22" s="1192" customFormat="1" ht="14.4" x14ac:dyDescent="0.3">
      <c r="A12081" s="1192" t="s">
        <v>228</v>
      </c>
      <c r="E12081" s="1743" t="s">
        <v>2392</v>
      </c>
      <c r="F12081" s="1743"/>
      <c r="G12081" s="1743"/>
      <c r="H12081" s="1743"/>
      <c r="K12081" s="1192" t="s">
        <v>2569</v>
      </c>
      <c r="V12081" s="1192">
        <v>411</v>
      </c>
    </row>
    <row r="12082" spans="1:22" s="1192" customFormat="1" ht="14.4" x14ac:dyDescent="0.3">
      <c r="A12082" s="1192" t="s">
        <v>228</v>
      </c>
      <c r="E12082" s="1743" t="s">
        <v>2393</v>
      </c>
      <c r="F12082" s="1743"/>
      <c r="G12082" s="1743"/>
      <c r="H12082" s="1743"/>
      <c r="K12082" s="1192" t="s">
        <v>2569</v>
      </c>
      <c r="V12082" s="1192">
        <v>387</v>
      </c>
    </row>
    <row r="12083" spans="1:22" s="1192" customFormat="1" ht="14.4" x14ac:dyDescent="0.3">
      <c r="A12083" s="1192" t="s">
        <v>228</v>
      </c>
      <c r="E12083" s="1743" t="s">
        <v>4500</v>
      </c>
      <c r="F12083" s="1743"/>
      <c r="G12083" s="1743"/>
      <c r="H12083" s="1743"/>
      <c r="K12083" s="1192" t="s">
        <v>2569</v>
      </c>
      <c r="V12083" s="1192">
        <v>247</v>
      </c>
    </row>
    <row r="12084" spans="1:22" s="1192" customFormat="1" ht="14.4" x14ac:dyDescent="0.3">
      <c r="A12084" s="1192" t="s">
        <v>228</v>
      </c>
      <c r="E12084" s="1750" t="s">
        <v>2394</v>
      </c>
      <c r="F12084" s="1743"/>
      <c r="G12084" s="1743"/>
      <c r="H12084" s="1743"/>
      <c r="K12084" s="1192" t="s">
        <v>2572</v>
      </c>
      <c r="V12084" s="1192">
        <v>46</v>
      </c>
    </row>
    <row r="12085" spans="1:22" s="1192" customFormat="1" ht="14.4" x14ac:dyDescent="0.3">
      <c r="A12085" s="1192" t="s">
        <v>228</v>
      </c>
      <c r="E12085" s="1740" t="s">
        <v>8</v>
      </c>
      <c r="F12085" s="1740"/>
      <c r="G12085" s="1277" t="s">
        <v>19</v>
      </c>
      <c r="H12085" s="1218">
        <v>2.63</v>
      </c>
      <c r="K12085" s="1192" t="s">
        <v>2569</v>
      </c>
      <c r="L12085" s="1192" t="s">
        <v>430</v>
      </c>
      <c r="P12085" s="1192" t="s">
        <v>2573</v>
      </c>
      <c r="V12085" s="1192">
        <v>31</v>
      </c>
    </row>
    <row r="12086" spans="1:22" s="1192" customFormat="1" ht="14.4" x14ac:dyDescent="0.3">
      <c r="A12086" s="1192" t="s">
        <v>228</v>
      </c>
      <c r="E12086" s="1740" t="s">
        <v>80</v>
      </c>
      <c r="F12086" s="1740"/>
      <c r="G12086" s="1277" t="s">
        <v>29</v>
      </c>
      <c r="H12086" s="1219">
        <v>20.4831</v>
      </c>
      <c r="K12086" s="1192" t="s">
        <v>2569</v>
      </c>
      <c r="L12086" s="1192" t="s">
        <v>430</v>
      </c>
      <c r="P12086" s="1192" t="s">
        <v>2574</v>
      </c>
      <c r="V12086" s="1192">
        <v>28</v>
      </c>
    </row>
    <row r="12087" spans="1:22" s="1192" customFormat="1" ht="14.4" x14ac:dyDescent="0.3">
      <c r="A12087" s="1192" t="s">
        <v>228</v>
      </c>
      <c r="E12087" s="1740" t="s">
        <v>14</v>
      </c>
      <c r="F12087" s="1740"/>
      <c r="G12087" s="1277" t="s">
        <v>29</v>
      </c>
      <c r="H12087" s="1219">
        <v>5.7799999999999997E-2</v>
      </c>
      <c r="K12087" s="1192" t="s">
        <v>2569</v>
      </c>
      <c r="L12087" s="1192" t="s">
        <v>431</v>
      </c>
      <c r="P12087" s="1192" t="s">
        <v>2575</v>
      </c>
      <c r="V12087" s="1192">
        <v>24</v>
      </c>
    </row>
    <row r="12088" spans="1:22" s="1192" customFormat="1" ht="14.4" x14ac:dyDescent="0.3">
      <c r="A12088" s="1192" t="s">
        <v>228</v>
      </c>
      <c r="E12088" s="2011" t="s">
        <v>6638</v>
      </c>
      <c r="F12088" s="2016"/>
      <c r="G12088" s="1277" t="s">
        <v>29</v>
      </c>
      <c r="H12088" s="1219">
        <v>-4.1500000000000002E-2</v>
      </c>
      <c r="K12088" s="1192" t="s">
        <v>2569</v>
      </c>
      <c r="L12088" s="1192" t="s">
        <v>431</v>
      </c>
      <c r="P12088" s="1192" t="s">
        <v>4006</v>
      </c>
      <c r="T12088" s="1192">
        <v>44316</v>
      </c>
      <c r="V12088" s="1192">
        <v>145</v>
      </c>
    </row>
    <row r="12089" spans="1:22" s="1192" customFormat="1" ht="14.4" x14ac:dyDescent="0.3">
      <c r="A12089" s="1192" t="s">
        <v>228</v>
      </c>
      <c r="E12089" s="2011" t="s">
        <v>6548</v>
      </c>
      <c r="F12089" s="2016"/>
      <c r="G12089" s="1277" t="s">
        <v>29</v>
      </c>
      <c r="H12089" s="1219">
        <v>-8.9200000000000002E-2</v>
      </c>
      <c r="K12089" s="1192" t="s">
        <v>2569</v>
      </c>
      <c r="L12089" s="1192" t="s">
        <v>430</v>
      </c>
      <c r="P12089" s="1192" t="s">
        <v>2577</v>
      </c>
      <c r="T12089" s="1192">
        <v>44316</v>
      </c>
      <c r="V12089" s="1192">
        <v>134</v>
      </c>
    </row>
    <row r="12090" spans="1:22" s="1192" customFormat="1" ht="14.4" x14ac:dyDescent="0.3">
      <c r="A12090" s="1192" t="s">
        <v>228</v>
      </c>
      <c r="E12090" s="1740" t="s">
        <v>6508</v>
      </c>
      <c r="F12090" s="1989"/>
      <c r="G12090" s="1277" t="s">
        <v>29</v>
      </c>
      <c r="H12090" s="1219">
        <v>-0.40239999999999998</v>
      </c>
      <c r="K12090" s="1192" t="s">
        <v>2569</v>
      </c>
      <c r="L12090" s="1192" t="s">
        <v>431</v>
      </c>
      <c r="P12090" s="1192" t="s">
        <v>2578</v>
      </c>
      <c r="T12090" s="1192">
        <v>44316</v>
      </c>
      <c r="V12090" s="1192">
        <v>96</v>
      </c>
    </row>
    <row r="12091" spans="1:22" s="1192" customFormat="1" ht="14.4" x14ac:dyDescent="0.3">
      <c r="A12091" s="1192" t="s">
        <v>228</v>
      </c>
      <c r="E12091" s="1740" t="s">
        <v>213</v>
      </c>
      <c r="F12091" s="1740"/>
      <c r="G12091" s="1277" t="s">
        <v>29</v>
      </c>
      <c r="H12091" s="1219">
        <v>2.0619000000000001</v>
      </c>
      <c r="K12091" s="1192" t="s">
        <v>2569</v>
      </c>
      <c r="L12091" s="1192" t="s">
        <v>432</v>
      </c>
      <c r="P12091" s="1192" t="s">
        <v>2579</v>
      </c>
      <c r="V12091" s="1192">
        <v>47</v>
      </c>
    </row>
    <row r="12092" spans="1:22" s="1192" customFormat="1" ht="14.4" x14ac:dyDescent="0.3">
      <c r="A12092" s="1192" t="s">
        <v>228</v>
      </c>
      <c r="E12092" s="1740" t="s">
        <v>209</v>
      </c>
      <c r="F12092" s="1740"/>
      <c r="G12092" s="1277" t="s">
        <v>29</v>
      </c>
      <c r="H12092" s="1219">
        <v>1.8911</v>
      </c>
      <c r="K12092" s="1192" t="s">
        <v>2569</v>
      </c>
      <c r="L12092" s="1192" t="s">
        <v>432</v>
      </c>
      <c r="P12092" s="1192" t="s">
        <v>2580</v>
      </c>
      <c r="V12092" s="1192">
        <v>74</v>
      </c>
    </row>
    <row r="12093" spans="1:22" s="1192" customFormat="1" ht="14.4" x14ac:dyDescent="0.3">
      <c r="A12093" s="1192" t="s">
        <v>228</v>
      </c>
      <c r="E12093" s="1750" t="s">
        <v>2405</v>
      </c>
      <c r="F12093" s="1741"/>
      <c r="G12093" s="1277"/>
      <c r="H12093" s="896"/>
      <c r="K12093" s="1192" t="s">
        <v>2581</v>
      </c>
      <c r="V12093" s="1192">
        <v>48</v>
      </c>
    </row>
    <row r="12094" spans="1:22" s="1192" customFormat="1" ht="14.4" x14ac:dyDescent="0.3">
      <c r="A12094" s="1192" t="s">
        <v>228</v>
      </c>
      <c r="E12094" s="1740" t="s">
        <v>2033</v>
      </c>
      <c r="F12094" s="1740"/>
      <c r="G12094" s="1277" t="s">
        <v>20</v>
      </c>
      <c r="H12094" s="1219">
        <v>3.0000000000000001E-3</v>
      </c>
      <c r="K12094" s="1192" t="s">
        <v>2569</v>
      </c>
      <c r="L12094" s="1192" t="s">
        <v>2374</v>
      </c>
      <c r="P12094" s="1192" t="s">
        <v>2582</v>
      </c>
      <c r="V12094" s="1192">
        <v>55</v>
      </c>
    </row>
    <row r="12095" spans="1:22" s="1192" customFormat="1" ht="14.4" x14ac:dyDescent="0.3">
      <c r="A12095" s="1192" t="s">
        <v>228</v>
      </c>
      <c r="E12095" s="1740" t="s">
        <v>2034</v>
      </c>
      <c r="F12095" s="1740"/>
      <c r="G12095" s="1277" t="s">
        <v>20</v>
      </c>
      <c r="H12095" s="1219">
        <v>4.0000000000000002E-4</v>
      </c>
      <c r="K12095" s="1192" t="s">
        <v>2569</v>
      </c>
      <c r="L12095" s="1192" t="s">
        <v>2374</v>
      </c>
      <c r="P12095" s="1192" t="s">
        <v>2582</v>
      </c>
      <c r="V12095" s="1192">
        <v>65</v>
      </c>
    </row>
    <row r="12096" spans="1:22" s="1192" customFormat="1" ht="14.4" x14ac:dyDescent="0.3">
      <c r="A12096" s="1192" t="s">
        <v>228</v>
      </c>
      <c r="E12096" s="1740" t="s">
        <v>428</v>
      </c>
      <c r="F12096" s="1740"/>
      <c r="G12096" s="1277" t="s">
        <v>20</v>
      </c>
      <c r="H12096" s="1219">
        <v>5.0000000000000001E-4</v>
      </c>
      <c r="K12096" s="1192" t="s">
        <v>2569</v>
      </c>
      <c r="L12096" s="1192" t="s">
        <v>2374</v>
      </c>
      <c r="P12096" s="1192" t="s">
        <v>2583</v>
      </c>
      <c r="V12096" s="1192">
        <v>57</v>
      </c>
    </row>
    <row r="12097" spans="1:22" s="1192" customFormat="1" ht="14.4" x14ac:dyDescent="0.3">
      <c r="A12097" s="1192" t="s">
        <v>228</v>
      </c>
      <c r="E12097" s="1740" t="s">
        <v>28</v>
      </c>
      <c r="F12097" s="1740"/>
      <c r="G12097" s="1277" t="s">
        <v>19</v>
      </c>
      <c r="H12097" s="1218">
        <v>0.25</v>
      </c>
      <c r="K12097" s="1192" t="s">
        <v>2569</v>
      </c>
      <c r="L12097" s="1192" t="s">
        <v>2374</v>
      </c>
      <c r="P12097" s="1192" t="s">
        <v>2584</v>
      </c>
      <c r="V12097" s="1192">
        <v>63</v>
      </c>
    </row>
    <row r="12098" spans="1:22" s="1192" customFormat="1" ht="17.399999999999999" x14ac:dyDescent="0.3">
      <c r="A12098" s="1192" t="s">
        <v>228</v>
      </c>
      <c r="E12098" s="1746" t="s">
        <v>593</v>
      </c>
      <c r="F12098" s="1747"/>
      <c r="G12098" s="1747"/>
      <c r="H12098" s="1747"/>
      <c r="K12098" s="1192" t="s">
        <v>2585</v>
      </c>
      <c r="V12098" s="1192">
        <v>31</v>
      </c>
    </row>
    <row r="12099" spans="1:22" s="1192" customFormat="1" ht="14.4" x14ac:dyDescent="0.3">
      <c r="A12099" s="1192" t="s">
        <v>228</v>
      </c>
      <c r="E12099" s="1743" t="s">
        <v>2443</v>
      </c>
      <c r="F12099" s="1743"/>
      <c r="G12099" s="1743"/>
      <c r="H12099" s="1743"/>
      <c r="K12099" s="1192" t="s">
        <v>2585</v>
      </c>
      <c r="V12099" s="1192">
        <v>286</v>
      </c>
    </row>
    <row r="12100" spans="1:22" s="1192" customFormat="1" ht="14.4" x14ac:dyDescent="0.3">
      <c r="A12100" s="1192" t="s">
        <v>228</v>
      </c>
      <c r="E12100" s="1750" t="s">
        <v>2389</v>
      </c>
      <c r="F12100" s="1743"/>
      <c r="G12100" s="1743"/>
      <c r="H12100" s="1743"/>
      <c r="K12100" s="1192" t="s">
        <v>2586</v>
      </c>
      <c r="V12100" s="1192">
        <v>11</v>
      </c>
    </row>
    <row r="12101" spans="1:22" s="1192" customFormat="1" ht="14.4" x14ac:dyDescent="0.3">
      <c r="A12101" s="1192" t="s">
        <v>228</v>
      </c>
      <c r="E12101" s="1743" t="s">
        <v>2391</v>
      </c>
      <c r="F12101" s="1743"/>
      <c r="G12101" s="1743"/>
      <c r="H12101" s="1743"/>
      <c r="K12101" s="1192" t="s">
        <v>2585</v>
      </c>
      <c r="V12101" s="1192">
        <v>280</v>
      </c>
    </row>
    <row r="12102" spans="1:22" s="1192" customFormat="1" ht="14.4" x14ac:dyDescent="0.3">
      <c r="A12102" s="1192" t="s">
        <v>228</v>
      </c>
      <c r="E12102" s="1743" t="s">
        <v>2392</v>
      </c>
      <c r="F12102" s="1743"/>
      <c r="G12102" s="1743"/>
      <c r="H12102" s="1743"/>
      <c r="K12102" s="1192" t="s">
        <v>2585</v>
      </c>
      <c r="V12102" s="1192">
        <v>411</v>
      </c>
    </row>
    <row r="12103" spans="1:22" s="1192" customFormat="1" ht="14.4" x14ac:dyDescent="0.3">
      <c r="A12103" s="1192" t="s">
        <v>228</v>
      </c>
      <c r="E12103" s="1743" t="s">
        <v>2445</v>
      </c>
      <c r="F12103" s="1743"/>
      <c r="G12103" s="1743"/>
      <c r="H12103" s="1743"/>
      <c r="K12103" s="1192" t="s">
        <v>2585</v>
      </c>
      <c r="V12103" s="1192">
        <v>211</v>
      </c>
    </row>
    <row r="12104" spans="1:22" s="1192" customFormat="1" ht="14.4" x14ac:dyDescent="0.3">
      <c r="A12104" s="1192" t="s">
        <v>228</v>
      </c>
      <c r="E12104" s="1743" t="s">
        <v>4500</v>
      </c>
      <c r="F12104" s="1743"/>
      <c r="G12104" s="1743"/>
      <c r="H12104" s="1743"/>
      <c r="K12104" s="1192" t="s">
        <v>2585</v>
      </c>
      <c r="V12104" s="1192">
        <v>247</v>
      </c>
    </row>
    <row r="12105" spans="1:22" s="1192" customFormat="1" ht="14.4" x14ac:dyDescent="0.3">
      <c r="A12105" s="1192" t="s">
        <v>228</v>
      </c>
      <c r="E12105" s="1750" t="s">
        <v>2394</v>
      </c>
      <c r="F12105" s="1743"/>
      <c r="G12105" s="1743"/>
      <c r="H12105" s="1743"/>
      <c r="K12105" s="1192" t="s">
        <v>2587</v>
      </c>
      <c r="V12105" s="1192">
        <v>46</v>
      </c>
    </row>
    <row r="12106" spans="1:22" s="1192" customFormat="1" ht="14.4" x14ac:dyDescent="0.3">
      <c r="A12106" s="1192" t="s">
        <v>228</v>
      </c>
      <c r="E12106" s="1741" t="s">
        <v>7</v>
      </c>
      <c r="F12106" s="1741"/>
      <c r="G12106" s="1277" t="s">
        <v>19</v>
      </c>
      <c r="H12106" s="1218">
        <v>4.55</v>
      </c>
      <c r="K12106" s="1192" t="s">
        <v>2585</v>
      </c>
      <c r="L12106" s="1192" t="s">
        <v>430</v>
      </c>
      <c r="P12106" s="1192" t="s">
        <v>2588</v>
      </c>
      <c r="V12106" s="1192">
        <v>14</v>
      </c>
    </row>
    <row r="12107" spans="1:22" s="1192" customFormat="1" x14ac:dyDescent="0.3">
      <c r="A12107" s="1192" t="s">
        <v>228</v>
      </c>
      <c r="E12107" s="1260" t="s">
        <v>81</v>
      </c>
      <c r="F12107" s="554"/>
      <c r="G12107" s="554"/>
      <c r="H12107" s="917"/>
      <c r="K12107" s="1192" t="s">
        <v>2589</v>
      </c>
      <c r="V12107" s="1192">
        <v>10</v>
      </c>
    </row>
    <row r="12108" spans="1:22" s="1192" customFormat="1" ht="14.4" x14ac:dyDescent="0.3">
      <c r="A12108" s="1192" t="s">
        <v>228</v>
      </c>
      <c r="E12108" s="1741" t="s">
        <v>2449</v>
      </c>
      <c r="F12108" s="1741"/>
      <c r="G12108" s="1277" t="s">
        <v>29</v>
      </c>
      <c r="H12108" s="564">
        <v>-0.6</v>
      </c>
      <c r="V12108" s="1192">
        <v>68</v>
      </c>
    </row>
    <row r="12109" spans="1:22" s="1192" customFormat="1" ht="14.4" x14ac:dyDescent="0.3">
      <c r="A12109" s="1192" t="s">
        <v>228</v>
      </c>
      <c r="E12109" s="1741" t="s">
        <v>2450</v>
      </c>
      <c r="F12109" s="1741"/>
      <c r="G12109" s="1277" t="s">
        <v>82</v>
      </c>
      <c r="H12109" s="1218">
        <v>-1</v>
      </c>
      <c r="V12109" s="1192">
        <v>87</v>
      </c>
    </row>
    <row r="12110" spans="1:22" s="1192" customFormat="1" x14ac:dyDescent="0.3">
      <c r="A12110" s="1192" t="s">
        <v>228</v>
      </c>
      <c r="E12110" s="1260" t="s">
        <v>83</v>
      </c>
      <c r="F12110" s="554"/>
      <c r="G12110" s="554"/>
      <c r="H12110" s="917"/>
      <c r="K12110" s="1192" t="s">
        <v>2590</v>
      </c>
      <c r="V12110" s="1192">
        <v>24</v>
      </c>
    </row>
    <row r="12111" spans="1:22" s="1192" customFormat="1" ht="14.4" x14ac:dyDescent="0.3">
      <c r="A12111" s="1192" t="s">
        <v>228</v>
      </c>
      <c r="E12111" s="1743" t="s">
        <v>2391</v>
      </c>
      <c r="F12111" s="1743"/>
      <c r="G12111" s="1743"/>
      <c r="H12111" s="1743"/>
      <c r="V12111" s="1192">
        <v>280</v>
      </c>
    </row>
    <row r="12112" spans="1:22" s="1192" customFormat="1" ht="14.4" x14ac:dyDescent="0.3">
      <c r="A12112" s="1192" t="s">
        <v>228</v>
      </c>
      <c r="E12112" s="1743" t="s">
        <v>2452</v>
      </c>
      <c r="F12112" s="1743"/>
      <c r="G12112" s="1743"/>
      <c r="H12112" s="1743"/>
      <c r="V12112" s="1192">
        <v>353</v>
      </c>
    </row>
    <row r="12113" spans="1:22" s="1192" customFormat="1" ht="14.4" x14ac:dyDescent="0.3">
      <c r="A12113" s="1192" t="s">
        <v>228</v>
      </c>
      <c r="E12113" s="1743" t="s">
        <v>4500</v>
      </c>
      <c r="F12113" s="1743"/>
      <c r="G12113" s="1743"/>
      <c r="H12113" s="1743"/>
      <c r="V12113" s="1192">
        <v>247</v>
      </c>
    </row>
    <row r="12114" spans="1:22" s="1192" customFormat="1" ht="14.4" x14ac:dyDescent="0.3">
      <c r="A12114" s="1192" t="s">
        <v>228</v>
      </c>
      <c r="E12114" s="1258" t="s">
        <v>2453</v>
      </c>
      <c r="F12114" s="450"/>
      <c r="G12114" s="450"/>
      <c r="H12114" s="926"/>
      <c r="K12114" s="1192" t="s">
        <v>2591</v>
      </c>
      <c r="V12114" s="1192">
        <v>23</v>
      </c>
    </row>
    <row r="12115" spans="1:22" s="1192" customFormat="1" ht="14.4" x14ac:dyDescent="0.3">
      <c r="A12115" s="1192" t="s">
        <v>228</v>
      </c>
      <c r="E12115" s="1745" t="s">
        <v>2458</v>
      </c>
      <c r="F12115" s="1745"/>
      <c r="G12115" s="1277" t="s">
        <v>19</v>
      </c>
      <c r="H12115" s="1218">
        <v>15</v>
      </c>
      <c r="V12115" s="1192">
        <v>39</v>
      </c>
    </row>
    <row r="12116" spans="1:22" s="1192" customFormat="1" ht="14.4" x14ac:dyDescent="0.3">
      <c r="A12116" s="1192" t="s">
        <v>228</v>
      </c>
      <c r="E12116" s="1745" t="s">
        <v>2461</v>
      </c>
      <c r="F12116" s="1745"/>
      <c r="G12116" s="1277" t="s">
        <v>19</v>
      </c>
      <c r="H12116" s="1218">
        <v>15</v>
      </c>
      <c r="V12116" s="1192">
        <v>17</v>
      </c>
    </row>
    <row r="12117" spans="1:22" s="1192" customFormat="1" ht="14.4" x14ac:dyDescent="0.3">
      <c r="A12117" s="1192" t="s">
        <v>228</v>
      </c>
      <c r="E12117" s="1745" t="s">
        <v>2467</v>
      </c>
      <c r="F12117" s="1745"/>
      <c r="G12117" s="1277" t="s">
        <v>19</v>
      </c>
      <c r="H12117" s="1218">
        <v>15</v>
      </c>
      <c r="V12117" s="1192">
        <v>19</v>
      </c>
    </row>
    <row r="12118" spans="1:22" s="1192" customFormat="1" ht="14.4" x14ac:dyDescent="0.3">
      <c r="A12118" s="1192" t="s">
        <v>228</v>
      </c>
      <c r="E12118" s="1745" t="s">
        <v>84</v>
      </c>
      <c r="F12118" s="1745"/>
      <c r="G12118" s="1277" t="s">
        <v>19</v>
      </c>
      <c r="H12118" s="1218">
        <v>10</v>
      </c>
      <c r="V12118" s="1192">
        <v>89</v>
      </c>
    </row>
    <row r="12119" spans="1:22" s="1192" customFormat="1" ht="14.4" x14ac:dyDescent="0.3">
      <c r="A12119" s="1192" t="s">
        <v>228</v>
      </c>
      <c r="E12119" s="1745" t="s">
        <v>119</v>
      </c>
      <c r="F12119" s="1745"/>
      <c r="G12119" s="1277" t="s">
        <v>19</v>
      </c>
      <c r="H12119" s="1218">
        <v>15</v>
      </c>
      <c r="V12119" s="1192">
        <v>35</v>
      </c>
    </row>
    <row r="12120" spans="1:22" s="1192" customFormat="1" ht="14.4" x14ac:dyDescent="0.3">
      <c r="A12120" s="1192" t="s">
        <v>228</v>
      </c>
      <c r="E12120" s="1745" t="s">
        <v>90</v>
      </c>
      <c r="F12120" s="1745"/>
      <c r="G12120" s="1277" t="s">
        <v>19</v>
      </c>
      <c r="H12120" s="1218">
        <v>30</v>
      </c>
      <c r="V12120" s="1192">
        <v>19</v>
      </c>
    </row>
    <row r="12121" spans="1:22" s="1192" customFormat="1" ht="14.4" x14ac:dyDescent="0.3">
      <c r="A12121" s="1192" t="s">
        <v>228</v>
      </c>
      <c r="E12121" s="1745" t="s">
        <v>2463</v>
      </c>
      <c r="F12121" s="1745"/>
      <c r="G12121" s="1277" t="s">
        <v>19</v>
      </c>
      <c r="H12121" s="1218">
        <v>15</v>
      </c>
      <c r="V12121" s="1192">
        <v>15</v>
      </c>
    </row>
    <row r="12122" spans="1:22" s="1192" customFormat="1" ht="14.4" x14ac:dyDescent="0.3">
      <c r="A12122" s="1192" t="s">
        <v>228</v>
      </c>
      <c r="E12122" s="1745" t="s">
        <v>88</v>
      </c>
      <c r="F12122" s="1745"/>
      <c r="G12122" s="1277" t="s">
        <v>19</v>
      </c>
      <c r="H12122" s="1218">
        <v>30</v>
      </c>
      <c r="V12122" s="1192">
        <v>74</v>
      </c>
    </row>
    <row r="12123" spans="1:22" s="1192" customFormat="1" ht="14.4" x14ac:dyDescent="0.3">
      <c r="A12123" s="1192" t="s">
        <v>228</v>
      </c>
      <c r="E12123" s="1258" t="s">
        <v>2468</v>
      </c>
      <c r="F12123" s="450"/>
      <c r="G12123" s="450"/>
      <c r="H12123" s="926"/>
      <c r="K12123" s="1192" t="s">
        <v>6639</v>
      </c>
      <c r="V12123" s="1192">
        <v>22</v>
      </c>
    </row>
    <row r="12124" spans="1:22" s="1192" customFormat="1" ht="14.4" x14ac:dyDescent="0.3">
      <c r="A12124" s="1192" t="s">
        <v>228</v>
      </c>
      <c r="E12124" s="1745" t="s">
        <v>5940</v>
      </c>
      <c r="F12124" s="1745"/>
      <c r="G12124" s="1277" t="s">
        <v>82</v>
      </c>
      <c r="H12124" s="1218">
        <v>1.5</v>
      </c>
      <c r="V12124" s="1192">
        <v>99</v>
      </c>
    </row>
    <row r="12125" spans="1:22" s="1192" customFormat="1" ht="14.4" x14ac:dyDescent="0.3">
      <c r="A12125" s="1192" t="s">
        <v>228</v>
      </c>
      <c r="E12125" s="1745" t="s">
        <v>6106</v>
      </c>
      <c r="F12125" s="1745"/>
      <c r="G12125" s="1277" t="s">
        <v>19</v>
      </c>
      <c r="H12125" s="1218">
        <v>65</v>
      </c>
      <c r="V12125" s="1192">
        <v>44</v>
      </c>
    </row>
    <row r="12126" spans="1:22" s="1192" customFormat="1" ht="14.4" x14ac:dyDescent="0.3">
      <c r="A12126" s="1192" t="s">
        <v>228</v>
      </c>
      <c r="E12126" s="1745" t="s">
        <v>6107</v>
      </c>
      <c r="F12126" s="1745"/>
      <c r="G12126" s="1277" t="s">
        <v>19</v>
      </c>
      <c r="H12126" s="1218">
        <v>185</v>
      </c>
      <c r="V12126" s="1192">
        <v>43</v>
      </c>
    </row>
    <row r="12127" spans="1:22" s="1192" customFormat="1" ht="14.4" x14ac:dyDescent="0.3">
      <c r="A12127" s="1192" t="s">
        <v>228</v>
      </c>
      <c r="E12127" s="1258" t="s">
        <v>2474</v>
      </c>
      <c r="F12127" s="1266"/>
      <c r="G12127" s="451"/>
      <c r="H12127" s="899"/>
      <c r="V12127" s="1192">
        <v>5</v>
      </c>
    </row>
    <row r="12128" spans="1:22" s="1192" customFormat="1" ht="14.4" x14ac:dyDescent="0.3">
      <c r="A12128" s="1192" t="s">
        <v>228</v>
      </c>
      <c r="E12128" s="1942" t="s">
        <v>2593</v>
      </c>
      <c r="F12128" s="1942"/>
      <c r="G12128" s="1277" t="s">
        <v>19</v>
      </c>
      <c r="H12128" s="1218">
        <v>44.5</v>
      </c>
      <c r="V12128" s="1192">
        <v>528</v>
      </c>
    </row>
    <row r="12129" spans="1:22" s="1192" customFormat="1" ht="34.799999999999997" x14ac:dyDescent="0.3">
      <c r="A12129" s="1192" t="s">
        <v>228</v>
      </c>
      <c r="E12129" s="1260" t="s">
        <v>73</v>
      </c>
      <c r="F12129" s="554"/>
      <c r="G12129" s="554"/>
      <c r="H12129" s="917"/>
      <c r="K12129" s="1192" t="s">
        <v>2594</v>
      </c>
      <c r="V12129" s="1192">
        <v>38</v>
      </c>
    </row>
    <row r="12130" spans="1:22" s="1192" customFormat="1" ht="14.4" x14ac:dyDescent="0.3">
      <c r="A12130" s="1192" t="s">
        <v>228</v>
      </c>
      <c r="E12130" s="1743" t="s">
        <v>2391</v>
      </c>
      <c r="F12130" s="1743"/>
      <c r="G12130" s="1743"/>
      <c r="H12130" s="1743"/>
      <c r="V12130" s="1192">
        <v>280</v>
      </c>
    </row>
    <row r="12131" spans="1:22" s="1192" customFormat="1" ht="14.4" x14ac:dyDescent="0.3">
      <c r="A12131" s="1192" t="s">
        <v>228</v>
      </c>
      <c r="E12131" s="1743" t="s">
        <v>2392</v>
      </c>
      <c r="F12131" s="1743"/>
      <c r="G12131" s="1743"/>
      <c r="H12131" s="1743"/>
      <c r="V12131" s="1192">
        <v>411</v>
      </c>
    </row>
    <row r="12132" spans="1:22" s="1192" customFormat="1" ht="14.4" x14ac:dyDescent="0.3">
      <c r="A12132" s="1192" t="s">
        <v>228</v>
      </c>
      <c r="E12132" s="1743" t="s">
        <v>2445</v>
      </c>
      <c r="F12132" s="1743"/>
      <c r="G12132" s="1743"/>
      <c r="H12132" s="1743"/>
      <c r="V12132" s="1192">
        <v>211</v>
      </c>
    </row>
    <row r="12133" spans="1:22" s="1192" customFormat="1" ht="14.4" x14ac:dyDescent="0.3">
      <c r="A12133" s="1192" t="s">
        <v>228</v>
      </c>
      <c r="E12133" s="1743" t="s">
        <v>4500</v>
      </c>
      <c r="F12133" s="1743"/>
      <c r="G12133" s="1743"/>
      <c r="H12133" s="1743"/>
      <c r="V12133" s="1192">
        <v>247</v>
      </c>
    </row>
    <row r="12134" spans="1:22" s="1192" customFormat="1" ht="14.4" x14ac:dyDescent="0.3">
      <c r="A12134" s="1192" t="s">
        <v>228</v>
      </c>
      <c r="E12134" s="1743" t="s">
        <v>2595</v>
      </c>
      <c r="F12134" s="1743"/>
      <c r="G12134" s="1743"/>
      <c r="H12134" s="1743"/>
      <c r="V12134" s="1192">
        <v>142</v>
      </c>
    </row>
    <row r="12135" spans="1:22" s="1192" customFormat="1" ht="14.4" x14ac:dyDescent="0.3">
      <c r="A12135" s="1192" t="s">
        <v>228</v>
      </c>
      <c r="E12135" s="1741" t="s">
        <v>2485</v>
      </c>
      <c r="F12135" s="1741"/>
      <c r="G12135" s="451" t="s">
        <v>19</v>
      </c>
      <c r="H12135" s="358">
        <v>102</v>
      </c>
      <c r="V12135" s="1192">
        <v>106</v>
      </c>
    </row>
    <row r="12136" spans="1:22" s="1192" customFormat="1" ht="14.4" x14ac:dyDescent="0.3">
      <c r="A12136" s="1192" t="s">
        <v>228</v>
      </c>
      <c r="E12136" s="1741" t="s">
        <v>3919</v>
      </c>
      <c r="F12136" s="1741"/>
      <c r="G12136" s="451" t="s">
        <v>19</v>
      </c>
      <c r="H12136" s="358">
        <v>40.799999999999997</v>
      </c>
      <c r="V12136" s="1192">
        <v>34</v>
      </c>
    </row>
    <row r="12137" spans="1:22" s="1192" customFormat="1" ht="14.4" x14ac:dyDescent="0.3">
      <c r="A12137" s="1192" t="s">
        <v>228</v>
      </c>
      <c r="E12137" s="1741" t="s">
        <v>3920</v>
      </c>
      <c r="F12137" s="1741"/>
      <c r="G12137" s="451" t="s">
        <v>2488</v>
      </c>
      <c r="H12137" s="358">
        <v>1.02</v>
      </c>
      <c r="V12137" s="1192">
        <v>51</v>
      </c>
    </row>
    <row r="12138" spans="1:22" s="1192" customFormat="1" ht="14.4" x14ac:dyDescent="0.3">
      <c r="A12138" s="1192" t="s">
        <v>228</v>
      </c>
      <c r="E12138" s="1741" t="s">
        <v>2489</v>
      </c>
      <c r="F12138" s="1741"/>
      <c r="G12138" s="451" t="s">
        <v>2488</v>
      </c>
      <c r="H12138" s="358">
        <v>0.61</v>
      </c>
      <c r="V12138" s="1192">
        <v>75</v>
      </c>
    </row>
    <row r="12139" spans="1:22" s="1192" customFormat="1" ht="14.4" x14ac:dyDescent="0.3">
      <c r="A12139" s="1192" t="s">
        <v>228</v>
      </c>
      <c r="E12139" s="1741" t="s">
        <v>2490</v>
      </c>
      <c r="F12139" s="1741"/>
      <c r="G12139" s="451" t="s">
        <v>2488</v>
      </c>
      <c r="H12139" s="358">
        <v>-0.61</v>
      </c>
      <c r="V12139" s="1192">
        <v>72</v>
      </c>
    </row>
    <row r="12140" spans="1:22" s="1192" customFormat="1" ht="14.4" x14ac:dyDescent="0.3">
      <c r="A12140" s="1192" t="s">
        <v>228</v>
      </c>
      <c r="E12140" s="1741" t="s">
        <v>2596</v>
      </c>
      <c r="F12140" s="1741"/>
      <c r="G12140" s="451"/>
      <c r="H12140" s="899"/>
      <c r="V12140" s="1192">
        <v>34</v>
      </c>
    </row>
    <row r="12141" spans="1:22" s="1192" customFormat="1" ht="14.4" x14ac:dyDescent="0.3">
      <c r="A12141" s="1192" t="s">
        <v>228</v>
      </c>
      <c r="E12141" s="1941" t="s">
        <v>2492</v>
      </c>
      <c r="F12141" s="1941"/>
      <c r="G12141" s="451" t="s">
        <v>19</v>
      </c>
      <c r="H12141" s="358">
        <v>0.51</v>
      </c>
      <c r="V12141" s="1192">
        <v>57</v>
      </c>
    </row>
    <row r="12142" spans="1:22" s="1192" customFormat="1" ht="14.4" x14ac:dyDescent="0.3">
      <c r="A12142" s="1192" t="s">
        <v>228</v>
      </c>
      <c r="E12142" s="1941" t="s">
        <v>2493</v>
      </c>
      <c r="F12142" s="1941"/>
      <c r="G12142" s="451" t="s">
        <v>19</v>
      </c>
      <c r="H12142" s="358">
        <v>1.02</v>
      </c>
      <c r="V12142" s="1192">
        <v>60</v>
      </c>
    </row>
    <row r="12143" spans="1:22" s="1192" customFormat="1" ht="14.4" x14ac:dyDescent="0.3">
      <c r="A12143" s="1192" t="s">
        <v>228</v>
      </c>
      <c r="E12143" s="1741" t="s">
        <v>2494</v>
      </c>
      <c r="F12143" s="1741"/>
      <c r="G12143" s="451"/>
      <c r="H12143" s="899"/>
      <c r="V12143" s="1192">
        <v>91</v>
      </c>
    </row>
    <row r="12144" spans="1:22" s="1192" customFormat="1" ht="14.4" x14ac:dyDescent="0.3">
      <c r="A12144" s="1192" t="s">
        <v>228</v>
      </c>
      <c r="E12144" s="1741" t="s">
        <v>2495</v>
      </c>
      <c r="F12144" s="1741"/>
      <c r="G12144" s="451"/>
      <c r="H12144" s="899"/>
      <c r="V12144" s="1192">
        <v>96</v>
      </c>
    </row>
    <row r="12145" spans="1:22" s="1192" customFormat="1" ht="14.4" x14ac:dyDescent="0.3">
      <c r="A12145" s="1192" t="s">
        <v>228</v>
      </c>
      <c r="E12145" s="1741" t="s">
        <v>2597</v>
      </c>
      <c r="F12145" s="1741"/>
      <c r="G12145" s="451"/>
      <c r="H12145" s="899"/>
      <c r="V12145" s="1192">
        <v>77</v>
      </c>
    </row>
    <row r="12146" spans="1:22" s="1192" customFormat="1" ht="14.4" x14ac:dyDescent="0.3">
      <c r="A12146" s="1192" t="s">
        <v>228</v>
      </c>
      <c r="E12146" s="1941" t="s">
        <v>2497</v>
      </c>
      <c r="F12146" s="1941"/>
      <c r="G12146" s="451" t="s">
        <v>19</v>
      </c>
      <c r="H12146" s="899" t="s">
        <v>2498</v>
      </c>
      <c r="V12146" s="1192">
        <v>18</v>
      </c>
    </row>
    <row r="12147" spans="1:22" s="1192" customFormat="1" ht="14.4" x14ac:dyDescent="0.3">
      <c r="A12147" s="1192" t="s">
        <v>228</v>
      </c>
      <c r="E12147" s="1941" t="s">
        <v>2499</v>
      </c>
      <c r="F12147" s="1941"/>
      <c r="G12147" s="451" t="s">
        <v>19</v>
      </c>
      <c r="H12147" s="358">
        <v>4.08</v>
      </c>
      <c r="V12147" s="1192">
        <v>69</v>
      </c>
    </row>
    <row r="12148" spans="1:22" s="1192" customFormat="1" ht="14.4" x14ac:dyDescent="0.3">
      <c r="A12148" s="1192" t="s">
        <v>228</v>
      </c>
      <c r="E12148" s="1741" t="s">
        <v>4608</v>
      </c>
      <c r="F12148" s="1741"/>
      <c r="G12148" s="452" t="s">
        <v>19</v>
      </c>
      <c r="H12148" s="1218">
        <v>2.04</v>
      </c>
      <c r="V12148" s="1192">
        <v>199</v>
      </c>
    </row>
    <row r="12149" spans="1:22" s="1192" customFormat="1" x14ac:dyDescent="0.3">
      <c r="A12149" s="1192" t="s">
        <v>228</v>
      </c>
      <c r="E12149" s="1260" t="s">
        <v>143</v>
      </c>
      <c r="F12149" s="554"/>
      <c r="G12149" s="554"/>
      <c r="H12149" s="917"/>
      <c r="K12149" s="1192" t="s">
        <v>2598</v>
      </c>
      <c r="V12149" s="1192">
        <v>12</v>
      </c>
    </row>
    <row r="12150" spans="1:22" s="1192" customFormat="1" ht="14.4" x14ac:dyDescent="0.3">
      <c r="A12150" s="1192" t="s">
        <v>228</v>
      </c>
      <c r="E12150" s="1741" t="s">
        <v>2501</v>
      </c>
      <c r="F12150" s="1741"/>
      <c r="G12150" s="1741"/>
      <c r="H12150" s="1741"/>
      <c r="V12150" s="1192">
        <v>203</v>
      </c>
    </row>
    <row r="12151" spans="1:22" s="1192" customFormat="1" ht="14.4" x14ac:dyDescent="0.3">
      <c r="A12151" s="1192" t="s">
        <v>228</v>
      </c>
      <c r="E12151" s="1741" t="s">
        <v>2599</v>
      </c>
      <c r="F12151" s="1741"/>
      <c r="G12151" s="1277"/>
      <c r="H12151" s="837">
        <v>1.0421</v>
      </c>
      <c r="V12151" s="1192">
        <v>57</v>
      </c>
    </row>
    <row r="12152" spans="1:22" s="1192" customFormat="1" ht="14.4" x14ac:dyDescent="0.3">
      <c r="A12152" s="1192" t="s">
        <v>228</v>
      </c>
      <c r="E12152" s="1741" t="s">
        <v>2600</v>
      </c>
      <c r="F12152" s="1741"/>
      <c r="G12152" s="1277"/>
      <c r="H12152" s="837">
        <v>1.0169999999999999</v>
      </c>
      <c r="V12152" s="1192">
        <v>57</v>
      </c>
    </row>
    <row r="12153" spans="1:22" s="1192" customFormat="1" ht="14.4" x14ac:dyDescent="0.3">
      <c r="A12153" s="1192" t="s">
        <v>228</v>
      </c>
      <c r="E12153" s="1741" t="s">
        <v>2601</v>
      </c>
      <c r="F12153" s="1741"/>
      <c r="G12153" s="1277"/>
      <c r="H12153" s="837">
        <v>1.0316000000000001</v>
      </c>
      <c r="V12153" s="1192">
        <v>55</v>
      </c>
    </row>
    <row r="12154" spans="1:22" s="1192" customFormat="1" ht="14.4" x14ac:dyDescent="0.3">
      <c r="A12154" s="1192" t="s">
        <v>228</v>
      </c>
      <c r="E12154" s="1741" t="s">
        <v>2602</v>
      </c>
      <c r="F12154" s="1741"/>
      <c r="G12154" s="1277"/>
      <c r="H12154" s="837">
        <v>1.0068999999999999</v>
      </c>
      <c r="J12154" s="1192" t="s">
        <v>2603</v>
      </c>
      <c r="V12154" s="1192">
        <v>55</v>
      </c>
    </row>
    <row r="12155" spans="1:22" s="1192" customFormat="1" ht="22.8" x14ac:dyDescent="0.3">
      <c r="A12155" s="1192" t="s">
        <v>196</v>
      </c>
      <c r="C12155" s="1192" t="s">
        <v>2378</v>
      </c>
      <c r="E12155" s="1752" t="s">
        <v>196</v>
      </c>
      <c r="F12155" s="1752"/>
      <c r="G12155" s="1752"/>
      <c r="H12155" s="1752"/>
      <c r="I12155" s="1192" t="s">
        <v>603</v>
      </c>
      <c r="J12155" s="1192" t="s">
        <v>4865</v>
      </c>
      <c r="K12155" s="1192" t="s">
        <v>196</v>
      </c>
      <c r="M12155" s="1192">
        <v>7</v>
      </c>
      <c r="V12155" s="1192">
        <v>37</v>
      </c>
    </row>
    <row r="12156" spans="1:22" s="1192" customFormat="1" ht="17.399999999999999" x14ac:dyDescent="0.3">
      <c r="A12156" s="1192" t="s">
        <v>196</v>
      </c>
      <c r="C12156" s="1192" t="s">
        <v>2380</v>
      </c>
      <c r="E12156" s="1753" t="s">
        <v>2381</v>
      </c>
      <c r="F12156" s="1753"/>
      <c r="G12156" s="1753"/>
      <c r="H12156" s="1753"/>
      <c r="V12156" s="1192">
        <v>27</v>
      </c>
    </row>
    <row r="12157" spans="1:22" s="1192" customFormat="1" ht="15.6" x14ac:dyDescent="0.3">
      <c r="A12157" s="1192" t="s">
        <v>196</v>
      </c>
      <c r="C12157" s="1192" t="s">
        <v>2382</v>
      </c>
      <c r="E12157" s="1754" t="s">
        <v>6482</v>
      </c>
      <c r="F12157" s="1754"/>
      <c r="G12157" s="1754"/>
      <c r="H12157" s="1754"/>
      <c r="S12157" s="1192">
        <v>43952</v>
      </c>
      <c r="V12157" s="1192">
        <v>45</v>
      </c>
    </row>
    <row r="12158" spans="1:22" s="1192" customFormat="1" ht="14.4" x14ac:dyDescent="0.3">
      <c r="A12158" s="1192" t="s">
        <v>196</v>
      </c>
      <c r="C12158" s="1192" t="s">
        <v>2383</v>
      </c>
      <c r="E12158" s="1755" t="s">
        <v>2384</v>
      </c>
      <c r="F12158" s="1755"/>
      <c r="G12158" s="1755"/>
      <c r="H12158" s="1755"/>
      <c r="V12158" s="1192">
        <v>52</v>
      </c>
    </row>
    <row r="12159" spans="1:22" s="1192" customFormat="1" ht="14.4" x14ac:dyDescent="0.3">
      <c r="A12159" s="1192" t="s">
        <v>196</v>
      </c>
      <c r="E12159" s="1755" t="s">
        <v>6640</v>
      </c>
      <c r="F12159" s="1755"/>
      <c r="G12159" s="1755"/>
      <c r="H12159" s="1755"/>
      <c r="V12159" s="1192">
        <v>54</v>
      </c>
    </row>
    <row r="12160" spans="1:22" s="1192" customFormat="1" ht="14.4" x14ac:dyDescent="0.3">
      <c r="A12160" s="1192" t="s">
        <v>196</v>
      </c>
      <c r="E12160" s="1772" t="s">
        <v>6641</v>
      </c>
      <c r="F12160" s="1772"/>
      <c r="G12160" s="1772"/>
      <c r="H12160" s="1772"/>
      <c r="K12160" s="1192" t="s">
        <v>6641</v>
      </c>
      <c r="V12160" s="1192">
        <v>12</v>
      </c>
    </row>
    <row r="12161" spans="1:22" s="1192" customFormat="1" ht="17.399999999999999" x14ac:dyDescent="0.3">
      <c r="A12161" s="1192" t="s">
        <v>196</v>
      </c>
      <c r="E12161" s="2017" t="s">
        <v>427</v>
      </c>
      <c r="F12161" s="1988"/>
      <c r="G12161" s="1988"/>
      <c r="H12161" s="1988"/>
      <c r="K12161" s="1192" t="s">
        <v>2506</v>
      </c>
      <c r="V12161" s="1192">
        <v>34</v>
      </c>
    </row>
    <row r="12162" spans="1:22" s="1192" customFormat="1" ht="14.4" x14ac:dyDescent="0.3">
      <c r="A12162" s="1192" t="s">
        <v>196</v>
      </c>
      <c r="E12162" s="1743" t="s">
        <v>4867</v>
      </c>
      <c r="F12162" s="1743"/>
      <c r="G12162" s="1743"/>
      <c r="H12162" s="1743"/>
      <c r="K12162" s="1192" t="s">
        <v>2506</v>
      </c>
      <c r="V12162" s="1192">
        <v>395</v>
      </c>
    </row>
    <row r="12163" spans="1:22" s="1192" customFormat="1" ht="14.4" x14ac:dyDescent="0.3">
      <c r="A12163" s="1192" t="s">
        <v>196</v>
      </c>
      <c r="E12163" s="2018" t="s">
        <v>2389</v>
      </c>
      <c r="F12163" s="1988"/>
      <c r="G12163" s="1988"/>
      <c r="H12163" s="1988"/>
      <c r="K12163" s="1192" t="s">
        <v>2390</v>
      </c>
      <c r="V12163" s="1192">
        <v>11</v>
      </c>
    </row>
    <row r="12164" spans="1:22" s="1192" customFormat="1" ht="14.4" x14ac:dyDescent="0.3">
      <c r="A12164" s="1192" t="s">
        <v>196</v>
      </c>
      <c r="E12164" s="1743" t="s">
        <v>2391</v>
      </c>
      <c r="F12164" s="1743"/>
      <c r="G12164" s="1743"/>
      <c r="H12164" s="1743"/>
      <c r="K12164" s="1192" t="s">
        <v>2506</v>
      </c>
      <c r="V12164" s="1192">
        <v>280</v>
      </c>
    </row>
    <row r="12165" spans="1:22" s="1192" customFormat="1" ht="14.4" x14ac:dyDescent="0.3">
      <c r="A12165" s="1192" t="s">
        <v>196</v>
      </c>
      <c r="E12165" s="1743" t="s">
        <v>2392</v>
      </c>
      <c r="F12165" s="1743"/>
      <c r="G12165" s="1743"/>
      <c r="H12165" s="1743"/>
      <c r="K12165" s="1192" t="s">
        <v>2506</v>
      </c>
      <c r="V12165" s="1192">
        <v>411</v>
      </c>
    </row>
    <row r="12166" spans="1:22" s="1192" customFormat="1" ht="14.4" x14ac:dyDescent="0.3">
      <c r="A12166" s="1192" t="s">
        <v>196</v>
      </c>
      <c r="E12166" s="1743" t="s">
        <v>4868</v>
      </c>
      <c r="F12166" s="1743"/>
      <c r="G12166" s="1743"/>
      <c r="H12166" s="1743"/>
      <c r="K12166" s="1192" t="s">
        <v>2506</v>
      </c>
      <c r="V12166" s="1192">
        <v>387</v>
      </c>
    </row>
    <row r="12167" spans="1:22" s="1192" customFormat="1" ht="14.4" x14ac:dyDescent="0.3">
      <c r="A12167" s="1192" t="s">
        <v>196</v>
      </c>
      <c r="E12167" s="1743" t="s">
        <v>2986</v>
      </c>
      <c r="F12167" s="1743"/>
      <c r="G12167" s="1743"/>
      <c r="H12167" s="1743"/>
      <c r="K12167" s="1192" t="s">
        <v>2506</v>
      </c>
      <c r="V12167" s="1192">
        <v>246</v>
      </c>
    </row>
    <row r="12168" spans="1:22" s="1192" customFormat="1" ht="14.4" x14ac:dyDescent="0.3">
      <c r="A12168" s="1192" t="s">
        <v>196</v>
      </c>
      <c r="E12168" s="2018" t="s">
        <v>2394</v>
      </c>
      <c r="F12168" s="1988"/>
      <c r="G12168" s="1988"/>
      <c r="H12168" s="1988"/>
      <c r="K12168" s="1192" t="s">
        <v>2395</v>
      </c>
      <c r="V12168" s="1192">
        <v>46</v>
      </c>
    </row>
    <row r="12169" spans="1:22" s="1192" customFormat="1" ht="14.4" x14ac:dyDescent="0.3">
      <c r="A12169" s="1192" t="s">
        <v>196</v>
      </c>
      <c r="E12169" s="1741" t="s">
        <v>7</v>
      </c>
      <c r="F12169" s="1741"/>
      <c r="G12169" s="1277" t="s">
        <v>19</v>
      </c>
      <c r="H12169" s="1218">
        <v>39.72</v>
      </c>
      <c r="K12169" s="1192" t="s">
        <v>2506</v>
      </c>
      <c r="L12169" s="1192" t="s">
        <v>430</v>
      </c>
      <c r="P12169" s="1192" t="s">
        <v>2510</v>
      </c>
      <c r="V12169" s="1192">
        <v>14</v>
      </c>
    </row>
    <row r="12170" spans="1:22" s="1192" customFormat="1" ht="14.4" x14ac:dyDescent="0.3">
      <c r="A12170" s="1192" t="s">
        <v>196</v>
      </c>
      <c r="E12170" s="1741" t="s">
        <v>6642</v>
      </c>
      <c r="F12170" s="1741"/>
      <c r="G12170" s="1277" t="s">
        <v>19</v>
      </c>
      <c r="H12170" s="1218">
        <v>-2.44</v>
      </c>
      <c r="K12170" s="1192" t="s">
        <v>2506</v>
      </c>
      <c r="L12170" s="1192" t="s">
        <v>430</v>
      </c>
      <c r="P12170" s="1192" t="s">
        <v>2515</v>
      </c>
      <c r="T12170" s="1192">
        <v>44347</v>
      </c>
      <c r="V12170" s="1192">
        <v>133</v>
      </c>
    </row>
    <row r="12171" spans="1:22" s="1192" customFormat="1" ht="14.4" x14ac:dyDescent="0.3">
      <c r="A12171" s="1192" t="s">
        <v>196</v>
      </c>
      <c r="E12171" s="1741" t="s">
        <v>5494</v>
      </c>
      <c r="F12171" s="1741"/>
      <c r="G12171" s="1277" t="s">
        <v>19</v>
      </c>
      <c r="H12171" s="1218">
        <v>-3.35</v>
      </c>
      <c r="K12171" s="1192" t="s">
        <v>2506</v>
      </c>
      <c r="L12171" s="1192" t="s">
        <v>430</v>
      </c>
      <c r="P12171" s="1192" t="s">
        <v>6643</v>
      </c>
      <c r="T12171" s="1192">
        <v>44347</v>
      </c>
      <c r="V12171" s="1192">
        <v>109</v>
      </c>
    </row>
    <row r="12172" spans="1:22" s="1192" customFormat="1" ht="14.4" x14ac:dyDescent="0.3">
      <c r="A12172" s="1192" t="s">
        <v>196</v>
      </c>
      <c r="E12172" s="1741" t="s">
        <v>5495</v>
      </c>
      <c r="F12172" s="1741"/>
      <c r="G12172" s="1277" t="s">
        <v>19</v>
      </c>
      <c r="H12172" s="1218">
        <v>0.42</v>
      </c>
      <c r="K12172" s="1192" t="s">
        <v>2506</v>
      </c>
      <c r="L12172" s="1192" t="s">
        <v>430</v>
      </c>
      <c r="P12172" s="1192" t="s">
        <v>2516</v>
      </c>
      <c r="T12172" s="1192">
        <v>44347</v>
      </c>
      <c r="V12172" s="1192">
        <v>102</v>
      </c>
    </row>
    <row r="12173" spans="1:22" s="1192" customFormat="1" ht="14.4" x14ac:dyDescent="0.3">
      <c r="A12173" s="1192" t="s">
        <v>196</v>
      </c>
      <c r="E12173" s="1741" t="s">
        <v>3900</v>
      </c>
      <c r="F12173" s="1741"/>
      <c r="G12173" s="1277" t="s">
        <v>19</v>
      </c>
      <c r="H12173" s="1218">
        <v>0.56999999999999995</v>
      </c>
      <c r="K12173" s="1192" t="s">
        <v>2506</v>
      </c>
      <c r="L12173" s="1192" t="s">
        <v>431</v>
      </c>
      <c r="P12173" s="1192" t="s">
        <v>2511</v>
      </c>
      <c r="T12173" s="1192">
        <v>44926</v>
      </c>
      <c r="V12173" s="1192">
        <v>64</v>
      </c>
    </row>
    <row r="12174" spans="1:22" s="1192" customFormat="1" ht="14.4" x14ac:dyDescent="0.3">
      <c r="A12174" s="1192" t="s">
        <v>196</v>
      </c>
      <c r="E12174" s="1741" t="s">
        <v>80</v>
      </c>
      <c r="F12174" s="1741"/>
      <c r="G12174" s="1277" t="s">
        <v>20</v>
      </c>
      <c r="H12174" s="1219">
        <v>1.12E-2</v>
      </c>
      <c r="K12174" s="1192" t="s">
        <v>2506</v>
      </c>
      <c r="L12174" s="1192" t="s">
        <v>430</v>
      </c>
      <c r="P12174" s="1192" t="s">
        <v>2512</v>
      </c>
      <c r="V12174" s="1192">
        <v>28</v>
      </c>
    </row>
    <row r="12175" spans="1:22" s="1192" customFormat="1" ht="14.4" x14ac:dyDescent="0.3">
      <c r="A12175" s="1192" t="s">
        <v>196</v>
      </c>
      <c r="E12175" s="1741" t="s">
        <v>14</v>
      </c>
      <c r="F12175" s="1741"/>
      <c r="G12175" s="1277" t="s">
        <v>20</v>
      </c>
      <c r="H12175" s="1219">
        <v>1.6000000000000001E-3</v>
      </c>
      <c r="K12175" s="1192" t="s">
        <v>2506</v>
      </c>
      <c r="L12175" s="1192" t="s">
        <v>431</v>
      </c>
      <c r="P12175" s="1192" t="s">
        <v>2513</v>
      </c>
      <c r="V12175" s="1192">
        <v>24</v>
      </c>
    </row>
    <row r="12176" spans="1:22" s="1192" customFormat="1" ht="14.4" x14ac:dyDescent="0.3">
      <c r="A12176" s="1192" t="s">
        <v>196</v>
      </c>
      <c r="E12176" s="1741" t="s">
        <v>6484</v>
      </c>
      <c r="F12176" s="1998"/>
      <c r="G12176" s="1277" t="s">
        <v>20</v>
      </c>
      <c r="H12176" s="1219">
        <v>4.1999999999999997E-3</v>
      </c>
      <c r="K12176" s="1192" t="s">
        <v>2506</v>
      </c>
      <c r="L12176" s="1192" t="s">
        <v>431</v>
      </c>
      <c r="P12176" s="1192" t="s">
        <v>2514</v>
      </c>
      <c r="T12176" s="1192">
        <v>44316</v>
      </c>
      <c r="V12176" s="1192">
        <v>170</v>
      </c>
    </row>
    <row r="12177" spans="1:22" s="1192" customFormat="1" ht="14.4" x14ac:dyDescent="0.3">
      <c r="A12177" s="1192" t="s">
        <v>196</v>
      </c>
      <c r="E12177" s="1741" t="s">
        <v>6644</v>
      </c>
      <c r="F12177" s="1998"/>
      <c r="G12177" s="1277" t="s">
        <v>20</v>
      </c>
      <c r="H12177" s="1219">
        <v>4.7999999999999996E-3</v>
      </c>
      <c r="K12177" s="1192" t="s">
        <v>2506</v>
      </c>
      <c r="L12177" s="1192" t="s">
        <v>431</v>
      </c>
      <c r="P12177" s="1192" t="s">
        <v>2516</v>
      </c>
      <c r="T12177" s="1192">
        <v>44316</v>
      </c>
      <c r="V12177" s="1192">
        <v>127</v>
      </c>
    </row>
    <row r="12178" spans="1:22" s="1192" customFormat="1" ht="14.4" x14ac:dyDescent="0.3">
      <c r="A12178" s="1192" t="s">
        <v>196</v>
      </c>
      <c r="E12178" s="1741" t="s">
        <v>6645</v>
      </c>
      <c r="F12178" s="1741"/>
      <c r="G12178" s="1277" t="s">
        <v>20</v>
      </c>
      <c r="H12178" s="1219">
        <v>1.6000000000000001E-3</v>
      </c>
      <c r="K12178" s="1192" t="s">
        <v>2506</v>
      </c>
      <c r="L12178" s="1192" t="s">
        <v>431</v>
      </c>
      <c r="P12178" s="1192" t="s">
        <v>2514</v>
      </c>
      <c r="T12178" s="1192">
        <v>44347</v>
      </c>
      <c r="V12178" s="1192">
        <v>166</v>
      </c>
    </row>
    <row r="12179" spans="1:22" s="1192" customFormat="1" ht="14.4" x14ac:dyDescent="0.3">
      <c r="A12179" s="1192" t="s">
        <v>196</v>
      </c>
      <c r="E12179" s="1741" t="s">
        <v>213</v>
      </c>
      <c r="F12179" s="1741"/>
      <c r="G12179" s="1277" t="s">
        <v>20</v>
      </c>
      <c r="H12179" s="1219">
        <v>6.8999999999999999E-3</v>
      </c>
      <c r="K12179" s="1192" t="s">
        <v>2506</v>
      </c>
      <c r="L12179" s="1192" t="s">
        <v>432</v>
      </c>
      <c r="P12179" s="1192" t="s">
        <v>2517</v>
      </c>
      <c r="V12179" s="1192">
        <v>47</v>
      </c>
    </row>
    <row r="12180" spans="1:22" s="1192" customFormat="1" ht="14.4" x14ac:dyDescent="0.3">
      <c r="A12180" s="1192" t="s">
        <v>196</v>
      </c>
      <c r="E12180" s="1741" t="s">
        <v>209</v>
      </c>
      <c r="F12180" s="1741"/>
      <c r="G12180" s="1277" t="s">
        <v>20</v>
      </c>
      <c r="H12180" s="1219">
        <v>1.8E-3</v>
      </c>
      <c r="K12180" s="1192" t="s">
        <v>2506</v>
      </c>
      <c r="L12180" s="1192" t="s">
        <v>432</v>
      </c>
      <c r="P12180" s="1192" t="s">
        <v>2518</v>
      </c>
      <c r="V12180" s="1192">
        <v>74</v>
      </c>
    </row>
    <row r="12181" spans="1:22" s="1192" customFormat="1" ht="14.4" x14ac:dyDescent="0.3">
      <c r="A12181" s="1192" t="s">
        <v>196</v>
      </c>
      <c r="E12181" s="1750" t="s">
        <v>2405</v>
      </c>
      <c r="F12181" s="1741"/>
      <c r="G12181" s="1277"/>
      <c r="H12181" s="896"/>
      <c r="K12181" s="1192" t="s">
        <v>2406</v>
      </c>
      <c r="V12181" s="1192">
        <v>48</v>
      </c>
    </row>
    <row r="12182" spans="1:22" s="1192" customFormat="1" ht="14.4" x14ac:dyDescent="0.3">
      <c r="A12182" s="1192" t="s">
        <v>196</v>
      </c>
      <c r="E12182" s="1741" t="s">
        <v>2033</v>
      </c>
      <c r="F12182" s="1741"/>
      <c r="G12182" s="1277" t="s">
        <v>20</v>
      </c>
      <c r="H12182" s="1219">
        <v>3.0000000000000001E-3</v>
      </c>
      <c r="K12182" s="1192" t="s">
        <v>2506</v>
      </c>
      <c r="L12182" s="1192" t="s">
        <v>2374</v>
      </c>
      <c r="P12182" s="1192" t="s">
        <v>2519</v>
      </c>
      <c r="V12182" s="1192">
        <v>55</v>
      </c>
    </row>
    <row r="12183" spans="1:22" s="1192" customFormat="1" ht="14.4" x14ac:dyDescent="0.3">
      <c r="A12183" s="1192" t="s">
        <v>196</v>
      </c>
      <c r="E12183" s="1741" t="s">
        <v>2034</v>
      </c>
      <c r="F12183" s="1741"/>
      <c r="G12183" s="1277" t="s">
        <v>20</v>
      </c>
      <c r="H12183" s="1219">
        <v>4.0000000000000002E-4</v>
      </c>
      <c r="K12183" s="1192" t="s">
        <v>2506</v>
      </c>
      <c r="L12183" s="1192" t="s">
        <v>2374</v>
      </c>
      <c r="P12183" s="1192" t="s">
        <v>2519</v>
      </c>
      <c r="V12183" s="1192">
        <v>65</v>
      </c>
    </row>
    <row r="12184" spans="1:22" s="1192" customFormat="1" ht="14.4" x14ac:dyDescent="0.3">
      <c r="A12184" s="1192" t="s">
        <v>196</v>
      </c>
      <c r="E12184" s="1741" t="s">
        <v>428</v>
      </c>
      <c r="F12184" s="1741"/>
      <c r="G12184" s="1277" t="s">
        <v>20</v>
      </c>
      <c r="H12184" s="1219">
        <v>5.0000000000000001E-4</v>
      </c>
      <c r="K12184" s="1192" t="s">
        <v>2506</v>
      </c>
      <c r="L12184" s="1192" t="s">
        <v>2374</v>
      </c>
      <c r="P12184" s="1192" t="s">
        <v>2520</v>
      </c>
      <c r="V12184" s="1192">
        <v>57</v>
      </c>
    </row>
    <row r="12185" spans="1:22" s="1192" customFormat="1" ht="14.4" x14ac:dyDescent="0.3">
      <c r="A12185" s="1192" t="s">
        <v>196</v>
      </c>
      <c r="E12185" s="1741" t="s">
        <v>28</v>
      </c>
      <c r="F12185" s="1741"/>
      <c r="G12185" s="1277" t="s">
        <v>19</v>
      </c>
      <c r="H12185" s="1218">
        <v>0.25</v>
      </c>
      <c r="K12185" s="1192" t="s">
        <v>2506</v>
      </c>
      <c r="L12185" s="1192" t="s">
        <v>2374</v>
      </c>
      <c r="P12185" s="1192" t="s">
        <v>2521</v>
      </c>
      <c r="V12185" s="1192">
        <v>63</v>
      </c>
    </row>
    <row r="12186" spans="1:22" s="1192" customFormat="1" ht="17.399999999999999" x14ac:dyDescent="0.3">
      <c r="A12186" s="1192" t="s">
        <v>196</v>
      </c>
      <c r="E12186" s="2017" t="s">
        <v>2522</v>
      </c>
      <c r="F12186" s="1987"/>
      <c r="G12186" s="1987"/>
      <c r="H12186" s="1987"/>
      <c r="K12186" s="1192" t="s">
        <v>3901</v>
      </c>
      <c r="V12186" s="1192">
        <v>54</v>
      </c>
    </row>
    <row r="12187" spans="1:22" s="1192" customFormat="1" ht="14.4" x14ac:dyDescent="0.3">
      <c r="A12187" s="1192" t="s">
        <v>196</v>
      </c>
      <c r="E12187" s="1743" t="s">
        <v>4870</v>
      </c>
      <c r="F12187" s="1743"/>
      <c r="G12187" s="1743"/>
      <c r="H12187" s="1743"/>
      <c r="K12187" s="1192" t="s">
        <v>3901</v>
      </c>
      <c r="V12187" s="1192">
        <v>274</v>
      </c>
    </row>
    <row r="12188" spans="1:22" s="1192" customFormat="1" ht="14.4" x14ac:dyDescent="0.3">
      <c r="A12188" s="1192" t="s">
        <v>196</v>
      </c>
      <c r="E12188" s="2018" t="s">
        <v>2389</v>
      </c>
      <c r="F12188" s="1988"/>
      <c r="G12188" s="1988"/>
      <c r="H12188" s="1988"/>
      <c r="K12188" s="1192" t="s">
        <v>2412</v>
      </c>
      <c r="V12188" s="1192">
        <v>11</v>
      </c>
    </row>
    <row r="12189" spans="1:22" s="1192" customFormat="1" ht="14.4" x14ac:dyDescent="0.3">
      <c r="A12189" s="1192" t="s">
        <v>196</v>
      </c>
      <c r="E12189" s="1743" t="s">
        <v>2391</v>
      </c>
      <c r="F12189" s="1743"/>
      <c r="G12189" s="1743"/>
      <c r="H12189" s="1743"/>
      <c r="K12189" s="1192" t="s">
        <v>3901</v>
      </c>
      <c r="V12189" s="1192">
        <v>280</v>
      </c>
    </row>
    <row r="12190" spans="1:22" s="1192" customFormat="1" ht="14.4" x14ac:dyDescent="0.3">
      <c r="A12190" s="1192" t="s">
        <v>196</v>
      </c>
      <c r="E12190" s="1743" t="s">
        <v>2392</v>
      </c>
      <c r="F12190" s="1743"/>
      <c r="G12190" s="1743"/>
      <c r="H12190" s="1743"/>
      <c r="K12190" s="1192" t="s">
        <v>3901</v>
      </c>
      <c r="V12190" s="1192">
        <v>411</v>
      </c>
    </row>
    <row r="12191" spans="1:22" s="1192" customFormat="1" ht="14.4" x14ac:dyDescent="0.3">
      <c r="A12191" s="1192" t="s">
        <v>196</v>
      </c>
      <c r="E12191" s="1743" t="s">
        <v>4868</v>
      </c>
      <c r="F12191" s="1743"/>
      <c r="G12191" s="1743"/>
      <c r="H12191" s="1743"/>
      <c r="K12191" s="1192" t="s">
        <v>3901</v>
      </c>
      <c r="V12191" s="1192">
        <v>387</v>
      </c>
    </row>
    <row r="12192" spans="1:22" s="1192" customFormat="1" ht="14.4" x14ac:dyDescent="0.3">
      <c r="A12192" s="1192" t="s">
        <v>196</v>
      </c>
      <c r="E12192" s="1743" t="s">
        <v>2986</v>
      </c>
      <c r="F12192" s="1743"/>
      <c r="G12192" s="1743"/>
      <c r="H12192" s="1743"/>
      <c r="K12192" s="1192" t="s">
        <v>3901</v>
      </c>
      <c r="V12192" s="1192">
        <v>246</v>
      </c>
    </row>
    <row r="12193" spans="1:22" s="1192" customFormat="1" ht="14.4" x14ac:dyDescent="0.3">
      <c r="A12193" s="1192" t="s">
        <v>196</v>
      </c>
      <c r="E12193" s="2018" t="s">
        <v>2394</v>
      </c>
      <c r="F12193" s="1988"/>
      <c r="G12193" s="1988"/>
      <c r="H12193" s="1988"/>
      <c r="K12193" s="1192" t="s">
        <v>2413</v>
      </c>
      <c r="V12193" s="1192">
        <v>46</v>
      </c>
    </row>
    <row r="12194" spans="1:22" s="1192" customFormat="1" ht="14.4" x14ac:dyDescent="0.3">
      <c r="A12194" s="1192" t="s">
        <v>196</v>
      </c>
      <c r="E12194" s="1741" t="s">
        <v>7</v>
      </c>
      <c r="F12194" s="1741"/>
      <c r="G12194" s="1277" t="s">
        <v>19</v>
      </c>
      <c r="H12194" s="1218">
        <v>35.729999999999997</v>
      </c>
      <c r="K12194" s="1192" t="s">
        <v>3901</v>
      </c>
      <c r="L12194" s="1192" t="s">
        <v>430</v>
      </c>
      <c r="P12194" s="1192" t="s">
        <v>3902</v>
      </c>
      <c r="V12194" s="1192">
        <v>14</v>
      </c>
    </row>
    <row r="12195" spans="1:22" s="1192" customFormat="1" ht="14.4" x14ac:dyDescent="0.3">
      <c r="A12195" s="1192" t="s">
        <v>196</v>
      </c>
      <c r="E12195" s="1741" t="s">
        <v>3900</v>
      </c>
      <c r="F12195" s="1741"/>
      <c r="G12195" s="1277" t="s">
        <v>19</v>
      </c>
      <c r="H12195" s="1218">
        <v>0.56999999999999995</v>
      </c>
      <c r="K12195" s="1192" t="s">
        <v>3901</v>
      </c>
      <c r="L12195" s="1192" t="s">
        <v>431</v>
      </c>
      <c r="P12195" s="1192" t="s">
        <v>3903</v>
      </c>
      <c r="T12195" s="1192">
        <v>44926</v>
      </c>
      <c r="V12195" s="1192">
        <v>64</v>
      </c>
    </row>
    <row r="12196" spans="1:22" s="1192" customFormat="1" ht="14.4" x14ac:dyDescent="0.3">
      <c r="A12196" s="1192" t="s">
        <v>196</v>
      </c>
      <c r="E12196" s="1741" t="s">
        <v>80</v>
      </c>
      <c r="F12196" s="1741"/>
      <c r="G12196" s="1277" t="s">
        <v>20</v>
      </c>
      <c r="H12196" s="1219">
        <v>2.6800000000000001E-2</v>
      </c>
      <c r="K12196" s="1192" t="s">
        <v>3901</v>
      </c>
      <c r="L12196" s="1192" t="s">
        <v>430</v>
      </c>
      <c r="P12196" s="1192" t="s">
        <v>3904</v>
      </c>
      <c r="V12196" s="1192">
        <v>28</v>
      </c>
    </row>
    <row r="12197" spans="1:22" s="1192" customFormat="1" ht="14.4" x14ac:dyDescent="0.3">
      <c r="A12197" s="1192" t="s">
        <v>196</v>
      </c>
      <c r="E12197" s="1741" t="s">
        <v>14</v>
      </c>
      <c r="F12197" s="1741"/>
      <c r="G12197" s="1277" t="s">
        <v>20</v>
      </c>
      <c r="H12197" s="1219">
        <v>1.6000000000000001E-3</v>
      </c>
      <c r="K12197" s="1192" t="s">
        <v>3901</v>
      </c>
      <c r="L12197" s="1192" t="s">
        <v>431</v>
      </c>
      <c r="P12197" s="1192" t="s">
        <v>3905</v>
      </c>
      <c r="V12197" s="1192">
        <v>24</v>
      </c>
    </row>
    <row r="12198" spans="1:22" s="1192" customFormat="1" ht="14.4" x14ac:dyDescent="0.3">
      <c r="A12198" s="1192" t="s">
        <v>196</v>
      </c>
      <c r="E12198" s="1741" t="s">
        <v>6484</v>
      </c>
      <c r="F12198" s="1998"/>
      <c r="G12198" s="1277" t="s">
        <v>20</v>
      </c>
      <c r="H12198" s="1219">
        <v>4.1999999999999997E-3</v>
      </c>
      <c r="K12198" s="1192" t="s">
        <v>3901</v>
      </c>
      <c r="L12198" s="1192" t="s">
        <v>431</v>
      </c>
      <c r="P12198" s="1192" t="s">
        <v>3700</v>
      </c>
      <c r="T12198" s="1192">
        <v>44316</v>
      </c>
      <c r="V12198" s="1192">
        <v>170</v>
      </c>
    </row>
    <row r="12199" spans="1:22" s="1192" customFormat="1" ht="14.4" x14ac:dyDescent="0.3">
      <c r="A12199" s="1192" t="s">
        <v>196</v>
      </c>
      <c r="E12199" s="1741" t="s">
        <v>6644</v>
      </c>
      <c r="F12199" s="1998"/>
      <c r="G12199" s="1277" t="s">
        <v>20</v>
      </c>
      <c r="H12199" s="1219">
        <v>4.7999999999999996E-3</v>
      </c>
      <c r="K12199" s="1192" t="s">
        <v>3901</v>
      </c>
      <c r="L12199" s="1192" t="s">
        <v>431</v>
      </c>
      <c r="P12199" s="1192" t="s">
        <v>3911</v>
      </c>
      <c r="T12199" s="1192">
        <v>44316</v>
      </c>
      <c r="V12199" s="1192">
        <v>127</v>
      </c>
    </row>
    <row r="12200" spans="1:22" s="1192" customFormat="1" ht="14.4" x14ac:dyDescent="0.3">
      <c r="A12200" s="1192" t="s">
        <v>196</v>
      </c>
      <c r="E12200" s="1741" t="s">
        <v>6645</v>
      </c>
      <c r="F12200" s="1741"/>
      <c r="G12200" s="1277" t="s">
        <v>20</v>
      </c>
      <c r="H12200" s="1219">
        <v>1.6000000000000001E-3</v>
      </c>
      <c r="K12200" s="1192" t="s">
        <v>3901</v>
      </c>
      <c r="L12200" s="1192" t="s">
        <v>431</v>
      </c>
      <c r="P12200" s="1192" t="s">
        <v>3700</v>
      </c>
      <c r="T12200" s="1192">
        <v>44347</v>
      </c>
      <c r="V12200" s="1192">
        <v>166</v>
      </c>
    </row>
    <row r="12201" spans="1:22" s="1192" customFormat="1" ht="14.4" x14ac:dyDescent="0.3">
      <c r="A12201" s="1192" t="s">
        <v>196</v>
      </c>
      <c r="E12201" s="1741" t="s">
        <v>5495</v>
      </c>
      <c r="F12201" s="1741"/>
      <c r="G12201" s="1277" t="s">
        <v>20</v>
      </c>
      <c r="H12201" s="1219">
        <v>4.0000000000000002E-4</v>
      </c>
      <c r="K12201" s="1192" t="s">
        <v>3901</v>
      </c>
      <c r="L12201" s="1192" t="s">
        <v>430</v>
      </c>
      <c r="P12201" s="1192" t="s">
        <v>3911</v>
      </c>
      <c r="T12201" s="1192">
        <v>44347</v>
      </c>
      <c r="V12201" s="1192">
        <v>102</v>
      </c>
    </row>
    <row r="12202" spans="1:22" s="1192" customFormat="1" ht="14.4" x14ac:dyDescent="0.3">
      <c r="A12202" s="1192" t="s">
        <v>196</v>
      </c>
      <c r="E12202" s="1741" t="s">
        <v>6642</v>
      </c>
      <c r="F12202" s="1741"/>
      <c r="G12202" s="1277" t="s">
        <v>20</v>
      </c>
      <c r="H12202" s="1219">
        <v>5.0000000000000001E-3</v>
      </c>
      <c r="K12202" s="1192" t="s">
        <v>3901</v>
      </c>
      <c r="L12202" s="1192" t="s">
        <v>430</v>
      </c>
      <c r="P12202" s="1192" t="s">
        <v>4000</v>
      </c>
      <c r="T12202" s="1192">
        <v>44347</v>
      </c>
      <c r="V12202" s="1192">
        <v>133</v>
      </c>
    </row>
    <row r="12203" spans="1:22" s="1192" customFormat="1" ht="14.4" x14ac:dyDescent="0.3">
      <c r="A12203" s="1192" t="s">
        <v>196</v>
      </c>
      <c r="E12203" s="1741" t="s">
        <v>5494</v>
      </c>
      <c r="F12203" s="1741"/>
      <c r="G12203" s="1277" t="s">
        <v>20</v>
      </c>
      <c r="H12203" s="1219">
        <v>-3.2000000000000002E-3</v>
      </c>
      <c r="K12203" s="1192" t="s">
        <v>3901</v>
      </c>
      <c r="L12203" s="1192" t="s">
        <v>430</v>
      </c>
      <c r="P12203" s="1192" t="s">
        <v>6646</v>
      </c>
      <c r="T12203" s="1192">
        <v>44347</v>
      </c>
      <c r="V12203" s="1192">
        <v>109</v>
      </c>
    </row>
    <row r="12204" spans="1:22" s="1192" customFormat="1" ht="14.4" x14ac:dyDescent="0.3">
      <c r="A12204" s="1192" t="s">
        <v>196</v>
      </c>
      <c r="E12204" s="1741" t="s">
        <v>213</v>
      </c>
      <c r="F12204" s="1741"/>
      <c r="G12204" s="1277" t="s">
        <v>20</v>
      </c>
      <c r="H12204" s="1219">
        <v>6.1000000000000004E-3</v>
      </c>
      <c r="K12204" s="1192" t="s">
        <v>3901</v>
      </c>
      <c r="L12204" s="1192" t="s">
        <v>432</v>
      </c>
      <c r="P12204" s="1192" t="s">
        <v>3906</v>
      </c>
      <c r="V12204" s="1192">
        <v>47</v>
      </c>
    </row>
    <row r="12205" spans="1:22" s="1192" customFormat="1" ht="14.4" x14ac:dyDescent="0.3">
      <c r="A12205" s="1192" t="s">
        <v>196</v>
      </c>
      <c r="E12205" s="1741" t="s">
        <v>209</v>
      </c>
      <c r="F12205" s="1741"/>
      <c r="G12205" s="1277" t="s">
        <v>20</v>
      </c>
      <c r="H12205" s="1219">
        <v>1.8E-3</v>
      </c>
      <c r="K12205" s="1192" t="s">
        <v>3901</v>
      </c>
      <c r="L12205" s="1192" t="s">
        <v>432</v>
      </c>
      <c r="P12205" s="1192" t="s">
        <v>3907</v>
      </c>
      <c r="V12205" s="1192">
        <v>74</v>
      </c>
    </row>
    <row r="12206" spans="1:22" s="1192" customFormat="1" ht="14.4" x14ac:dyDescent="0.3">
      <c r="A12206" s="1192" t="s">
        <v>196</v>
      </c>
      <c r="E12206" s="1750" t="s">
        <v>2405</v>
      </c>
      <c r="F12206" s="1741"/>
      <c r="G12206" s="1277"/>
      <c r="H12206" s="896"/>
      <c r="K12206" s="1192" t="s">
        <v>2418</v>
      </c>
      <c r="V12206" s="1192">
        <v>48</v>
      </c>
    </row>
    <row r="12207" spans="1:22" s="1192" customFormat="1" ht="14.4" x14ac:dyDescent="0.3">
      <c r="A12207" s="1192" t="s">
        <v>196</v>
      </c>
      <c r="E12207" s="1740" t="s">
        <v>2033</v>
      </c>
      <c r="F12207" s="1740"/>
      <c r="G12207" s="1277" t="s">
        <v>20</v>
      </c>
      <c r="H12207" s="1219">
        <v>3.0000000000000001E-3</v>
      </c>
      <c r="K12207" s="1192" t="s">
        <v>3901</v>
      </c>
      <c r="L12207" s="1192" t="s">
        <v>2374</v>
      </c>
      <c r="P12207" s="1192" t="s">
        <v>3908</v>
      </c>
      <c r="V12207" s="1192">
        <v>55</v>
      </c>
    </row>
    <row r="12208" spans="1:22" s="1192" customFormat="1" ht="14.4" x14ac:dyDescent="0.3">
      <c r="A12208" s="1192" t="s">
        <v>196</v>
      </c>
      <c r="E12208" s="1740" t="s">
        <v>2034</v>
      </c>
      <c r="F12208" s="1740"/>
      <c r="G12208" s="1277" t="s">
        <v>20</v>
      </c>
      <c r="H12208" s="1219">
        <v>4.0000000000000002E-4</v>
      </c>
      <c r="K12208" s="1192" t="s">
        <v>3901</v>
      </c>
      <c r="L12208" s="1192" t="s">
        <v>2374</v>
      </c>
      <c r="P12208" s="1192" t="s">
        <v>3908</v>
      </c>
      <c r="V12208" s="1192">
        <v>65</v>
      </c>
    </row>
    <row r="12209" spans="1:22" s="1192" customFormat="1" ht="14.4" x14ac:dyDescent="0.3">
      <c r="A12209" s="1192" t="s">
        <v>196</v>
      </c>
      <c r="E12209" s="1740" t="s">
        <v>428</v>
      </c>
      <c r="F12209" s="1740"/>
      <c r="G12209" s="1277" t="s">
        <v>20</v>
      </c>
      <c r="H12209" s="1219">
        <v>5.0000000000000001E-4</v>
      </c>
      <c r="K12209" s="1192" t="s">
        <v>3901</v>
      </c>
      <c r="L12209" s="1192" t="s">
        <v>2374</v>
      </c>
      <c r="P12209" s="1192" t="s">
        <v>3909</v>
      </c>
      <c r="V12209" s="1192">
        <v>57</v>
      </c>
    </row>
    <row r="12210" spans="1:22" s="1192" customFormat="1" ht="14.4" x14ac:dyDescent="0.3">
      <c r="A12210" s="1192" t="s">
        <v>196</v>
      </c>
      <c r="E12210" s="1740" t="s">
        <v>28</v>
      </c>
      <c r="F12210" s="1740"/>
      <c r="G12210" s="1277" t="s">
        <v>19</v>
      </c>
      <c r="H12210" s="1218">
        <v>0.25</v>
      </c>
      <c r="K12210" s="1192" t="s">
        <v>3901</v>
      </c>
      <c r="L12210" s="1192" t="s">
        <v>2374</v>
      </c>
      <c r="P12210" s="1192" t="s">
        <v>3910</v>
      </c>
      <c r="V12210" s="1192">
        <v>63</v>
      </c>
    </row>
    <row r="12211" spans="1:22" s="1192" customFormat="1" ht="17.399999999999999" x14ac:dyDescent="0.3">
      <c r="A12211" s="1192" t="s">
        <v>196</v>
      </c>
      <c r="E12211" s="2017" t="s">
        <v>591</v>
      </c>
      <c r="F12211" s="1987"/>
      <c r="G12211" s="1987"/>
      <c r="H12211" s="1987"/>
      <c r="K12211" s="1192" t="s">
        <v>4388</v>
      </c>
      <c r="V12211" s="1192">
        <v>53</v>
      </c>
    </row>
    <row r="12212" spans="1:22" s="1192" customFormat="1" ht="14.4" x14ac:dyDescent="0.3">
      <c r="A12212" s="1192" t="s">
        <v>196</v>
      </c>
      <c r="E12212" s="1743" t="s">
        <v>4871</v>
      </c>
      <c r="F12212" s="1743"/>
      <c r="G12212" s="1743"/>
      <c r="H12212" s="1743"/>
      <c r="K12212" s="1192" t="s">
        <v>4388</v>
      </c>
      <c r="V12212" s="1192">
        <v>279</v>
      </c>
    </row>
    <row r="12213" spans="1:22" s="1192" customFormat="1" ht="14.4" x14ac:dyDescent="0.3">
      <c r="A12213" s="1192" t="s">
        <v>196</v>
      </c>
      <c r="E12213" s="2018" t="s">
        <v>2389</v>
      </c>
      <c r="F12213" s="1988"/>
      <c r="G12213" s="1988"/>
      <c r="H12213" s="1988"/>
      <c r="K12213" s="1192" t="s">
        <v>2422</v>
      </c>
      <c r="V12213" s="1192">
        <v>11</v>
      </c>
    </row>
    <row r="12214" spans="1:22" s="1192" customFormat="1" ht="14.4" x14ac:dyDescent="0.3">
      <c r="A12214" s="1192" t="s">
        <v>196</v>
      </c>
      <c r="E12214" s="1743" t="s">
        <v>2391</v>
      </c>
      <c r="F12214" s="1743"/>
      <c r="G12214" s="1743"/>
      <c r="H12214" s="1743"/>
      <c r="K12214" s="1192" t="s">
        <v>4388</v>
      </c>
      <c r="V12214" s="1192">
        <v>280</v>
      </c>
    </row>
    <row r="12215" spans="1:22" s="1192" customFormat="1" ht="14.4" x14ac:dyDescent="0.3">
      <c r="A12215" s="1192" t="s">
        <v>196</v>
      </c>
      <c r="E12215" s="1743" t="s">
        <v>2392</v>
      </c>
      <c r="F12215" s="1743"/>
      <c r="G12215" s="1743"/>
      <c r="H12215" s="1743"/>
      <c r="K12215" s="1192" t="s">
        <v>4388</v>
      </c>
      <c r="V12215" s="1192">
        <v>411</v>
      </c>
    </row>
    <row r="12216" spans="1:22" s="1192" customFormat="1" ht="14.4" x14ac:dyDescent="0.3">
      <c r="A12216" s="1192" t="s">
        <v>196</v>
      </c>
      <c r="E12216" s="1743" t="s">
        <v>4868</v>
      </c>
      <c r="F12216" s="1743"/>
      <c r="G12216" s="1743"/>
      <c r="H12216" s="1743"/>
      <c r="K12216" s="1192" t="s">
        <v>4388</v>
      </c>
      <c r="V12216" s="1192">
        <v>387</v>
      </c>
    </row>
    <row r="12217" spans="1:22" s="1192" customFormat="1" ht="14.4" x14ac:dyDescent="0.3">
      <c r="A12217" s="1192" t="s">
        <v>196</v>
      </c>
      <c r="E12217" s="1743" t="s">
        <v>4503</v>
      </c>
      <c r="F12217" s="1743"/>
      <c r="G12217" s="1743"/>
      <c r="H12217" s="1743"/>
      <c r="K12217" s="1192" t="s">
        <v>4388</v>
      </c>
      <c r="V12217" s="1192">
        <v>677</v>
      </c>
    </row>
    <row r="12218" spans="1:22" s="1192" customFormat="1" ht="14.4" x14ac:dyDescent="0.3">
      <c r="A12218" s="1192" t="s">
        <v>196</v>
      </c>
      <c r="E12218" s="1743" t="s">
        <v>4644</v>
      </c>
      <c r="F12218" s="1743"/>
      <c r="G12218" s="1743"/>
      <c r="H12218" s="1743"/>
      <c r="K12218" s="1192" t="s">
        <v>4388</v>
      </c>
      <c r="V12218" s="1192">
        <v>693</v>
      </c>
    </row>
    <row r="12219" spans="1:22" s="1192" customFormat="1" ht="14.4" x14ac:dyDescent="0.3">
      <c r="A12219" s="1192" t="s">
        <v>196</v>
      </c>
      <c r="E12219" s="1743" t="s">
        <v>2986</v>
      </c>
      <c r="F12219" s="1743"/>
      <c r="G12219" s="1743"/>
      <c r="H12219" s="1743"/>
      <c r="K12219" s="1192" t="s">
        <v>4388</v>
      </c>
      <c r="V12219" s="1192">
        <v>246</v>
      </c>
    </row>
    <row r="12220" spans="1:22" s="1192" customFormat="1" ht="14.4" x14ac:dyDescent="0.3">
      <c r="A12220" s="1192" t="s">
        <v>196</v>
      </c>
      <c r="E12220" s="2018" t="s">
        <v>2394</v>
      </c>
      <c r="F12220" s="1988"/>
      <c r="G12220" s="1988"/>
      <c r="H12220" s="1988"/>
      <c r="K12220" s="1192" t="s">
        <v>2423</v>
      </c>
      <c r="V12220" s="1192">
        <v>46</v>
      </c>
    </row>
    <row r="12221" spans="1:22" s="1192" customFormat="1" ht="14.4" x14ac:dyDescent="0.3">
      <c r="A12221" s="1192" t="s">
        <v>196</v>
      </c>
      <c r="E12221" s="1741" t="s">
        <v>7</v>
      </c>
      <c r="F12221" s="1741"/>
      <c r="G12221" s="1277" t="s">
        <v>19</v>
      </c>
      <c r="H12221" s="1218">
        <v>196.66</v>
      </c>
      <c r="K12221" s="1192" t="s">
        <v>4388</v>
      </c>
      <c r="L12221" s="1192" t="s">
        <v>430</v>
      </c>
      <c r="P12221" s="1192" t="s">
        <v>4389</v>
      </c>
      <c r="V12221" s="1192">
        <v>14</v>
      </c>
    </row>
    <row r="12222" spans="1:22" s="1192" customFormat="1" ht="14.4" x14ac:dyDescent="0.3">
      <c r="A12222" s="1192" t="s">
        <v>196</v>
      </c>
      <c r="E12222" s="1741" t="s">
        <v>80</v>
      </c>
      <c r="F12222" s="1741"/>
      <c r="G12222" s="1277" t="s">
        <v>29</v>
      </c>
      <c r="H12222" s="1219">
        <v>5.101</v>
      </c>
      <c r="K12222" s="1192" t="s">
        <v>4388</v>
      </c>
      <c r="L12222" s="1192" t="s">
        <v>430</v>
      </c>
      <c r="P12222" s="1192" t="s">
        <v>4390</v>
      </c>
      <c r="V12222" s="1192">
        <v>28</v>
      </c>
    </row>
    <row r="12223" spans="1:22" s="1192" customFormat="1" ht="14.4" x14ac:dyDescent="0.3">
      <c r="A12223" s="1192" t="s">
        <v>196</v>
      </c>
      <c r="E12223" s="1741" t="s">
        <v>14</v>
      </c>
      <c r="F12223" s="1741"/>
      <c r="G12223" s="1277" t="s">
        <v>29</v>
      </c>
      <c r="H12223" s="1219">
        <v>0.5413</v>
      </c>
      <c r="K12223" s="1192" t="s">
        <v>4388</v>
      </c>
      <c r="L12223" s="1192" t="s">
        <v>431</v>
      </c>
      <c r="P12223" s="1192" t="s">
        <v>4391</v>
      </c>
      <c r="V12223" s="1192">
        <v>24</v>
      </c>
    </row>
    <row r="12224" spans="1:22" s="1192" customFormat="1" ht="14.4" x14ac:dyDescent="0.3">
      <c r="A12224" s="1192" t="s">
        <v>196</v>
      </c>
      <c r="E12224" s="1741" t="s">
        <v>6484</v>
      </c>
      <c r="F12224" s="1998"/>
      <c r="G12224" s="1277" t="s">
        <v>20</v>
      </c>
      <c r="H12224" s="1219">
        <v>4.1999999999999997E-3</v>
      </c>
      <c r="K12224" s="1192" t="s">
        <v>4388</v>
      </c>
      <c r="L12224" s="1192" t="s">
        <v>431</v>
      </c>
      <c r="P12224" s="1192" t="s">
        <v>4397</v>
      </c>
      <c r="T12224" s="1192">
        <v>44316</v>
      </c>
      <c r="V12224" s="1192">
        <v>170</v>
      </c>
    </row>
    <row r="12225" spans="1:22" s="1192" customFormat="1" ht="14.4" x14ac:dyDescent="0.3">
      <c r="A12225" s="1192" t="s">
        <v>196</v>
      </c>
      <c r="E12225" s="1741" t="s">
        <v>6644</v>
      </c>
      <c r="F12225" s="1998"/>
      <c r="G12225" s="1277" t="s">
        <v>29</v>
      </c>
      <c r="H12225" s="1219">
        <v>1.6898</v>
      </c>
      <c r="K12225" s="1192" t="s">
        <v>4388</v>
      </c>
      <c r="L12225" s="1192" t="s">
        <v>431</v>
      </c>
      <c r="P12225" s="1192" t="s">
        <v>4398</v>
      </c>
      <c r="T12225" s="1192">
        <v>44316</v>
      </c>
      <c r="V12225" s="1192">
        <v>127</v>
      </c>
    </row>
    <row r="12226" spans="1:22" s="1192" customFormat="1" ht="14.4" x14ac:dyDescent="0.3">
      <c r="A12226" s="1192" t="s">
        <v>196</v>
      </c>
      <c r="E12226" s="1741" t="s">
        <v>6645</v>
      </c>
      <c r="F12226" s="1741"/>
      <c r="G12226" s="1277" t="s">
        <v>29</v>
      </c>
      <c r="H12226" s="1219">
        <v>0.60209999999999997</v>
      </c>
      <c r="K12226" s="1192" t="s">
        <v>4388</v>
      </c>
      <c r="L12226" s="1192" t="s">
        <v>431</v>
      </c>
      <c r="P12226" s="1192" t="s">
        <v>6647</v>
      </c>
      <c r="T12226" s="1192">
        <v>44347</v>
      </c>
      <c r="V12226" s="1192">
        <v>166</v>
      </c>
    </row>
    <row r="12227" spans="1:22" s="1192" customFormat="1" ht="14.4" x14ac:dyDescent="0.3">
      <c r="A12227" s="1192" t="s">
        <v>196</v>
      </c>
      <c r="E12227" s="1741" t="s">
        <v>5495</v>
      </c>
      <c r="F12227" s="1741"/>
      <c r="G12227" s="1277" t="s">
        <v>29</v>
      </c>
      <c r="H12227" s="1219">
        <v>0.1527</v>
      </c>
      <c r="K12227" s="1192" t="s">
        <v>4388</v>
      </c>
      <c r="L12227" s="1192" t="s">
        <v>430</v>
      </c>
      <c r="P12227" s="1192" t="s">
        <v>4398</v>
      </c>
      <c r="T12227" s="1192">
        <v>44347</v>
      </c>
      <c r="V12227" s="1192">
        <v>102</v>
      </c>
    </row>
    <row r="12228" spans="1:22" s="1192" customFormat="1" ht="14.4" x14ac:dyDescent="0.3">
      <c r="A12228" s="1192" t="s">
        <v>196</v>
      </c>
      <c r="E12228" s="1741" t="s">
        <v>5494</v>
      </c>
      <c r="F12228" s="1741"/>
      <c r="G12228" s="1277" t="s">
        <v>29</v>
      </c>
      <c r="H12228" s="1219">
        <v>-1.2109000000000001</v>
      </c>
      <c r="K12228" s="1192" t="s">
        <v>4388</v>
      </c>
      <c r="L12228" s="1192" t="s">
        <v>430</v>
      </c>
      <c r="P12228" s="1192" t="s">
        <v>6648</v>
      </c>
      <c r="T12228" s="1192">
        <v>44347</v>
      </c>
      <c r="V12228" s="1192">
        <v>109</v>
      </c>
    </row>
    <row r="12229" spans="1:22" s="1192" customFormat="1" ht="14.4" x14ac:dyDescent="0.3">
      <c r="A12229" s="1192" t="s">
        <v>196</v>
      </c>
      <c r="E12229" s="1741" t="s">
        <v>6642</v>
      </c>
      <c r="F12229" s="1741"/>
      <c r="G12229" s="1277" t="s">
        <v>29</v>
      </c>
      <c r="H12229" s="1219">
        <v>0.38869999999999999</v>
      </c>
      <c r="K12229" s="1192" t="s">
        <v>4388</v>
      </c>
      <c r="L12229" s="1192" t="s">
        <v>430</v>
      </c>
      <c r="P12229" s="1192" t="s">
        <v>4400</v>
      </c>
      <c r="T12229" s="1192">
        <v>44347</v>
      </c>
      <c r="V12229" s="1192">
        <v>133</v>
      </c>
    </row>
    <row r="12230" spans="1:22" s="1192" customFormat="1" ht="14.4" x14ac:dyDescent="0.3">
      <c r="A12230" s="1192" t="s">
        <v>196</v>
      </c>
      <c r="E12230" s="1741" t="s">
        <v>213</v>
      </c>
      <c r="F12230" s="1741"/>
      <c r="G12230" s="1277" t="s">
        <v>29</v>
      </c>
      <c r="H12230" s="1219">
        <v>2.5602</v>
      </c>
      <c r="K12230" s="1192" t="s">
        <v>4388</v>
      </c>
      <c r="L12230" s="1192" t="s">
        <v>432</v>
      </c>
      <c r="P12230" s="1192" t="s">
        <v>4392</v>
      </c>
      <c r="V12230" s="1192">
        <v>47</v>
      </c>
    </row>
    <row r="12231" spans="1:22" s="1192" customFormat="1" ht="14.4" x14ac:dyDescent="0.3">
      <c r="A12231" s="1192" t="s">
        <v>196</v>
      </c>
      <c r="E12231" s="1741" t="s">
        <v>209</v>
      </c>
      <c r="F12231" s="1741"/>
      <c r="G12231" s="1277" t="s">
        <v>29</v>
      </c>
      <c r="H12231" s="1219">
        <v>0.66500000000000004</v>
      </c>
      <c r="K12231" s="1192" t="s">
        <v>4388</v>
      </c>
      <c r="L12231" s="1192" t="s">
        <v>432</v>
      </c>
      <c r="P12231" s="1192" t="s">
        <v>4393</v>
      </c>
      <c r="V12231" s="1192">
        <v>74</v>
      </c>
    </row>
    <row r="12232" spans="1:22" s="1192" customFormat="1" ht="14.4" x14ac:dyDescent="0.3">
      <c r="A12232" s="1192" t="s">
        <v>196</v>
      </c>
      <c r="E12232" s="1750" t="s">
        <v>2405</v>
      </c>
      <c r="F12232" s="1741"/>
      <c r="G12232" s="1277"/>
      <c r="H12232" s="896"/>
      <c r="K12232" s="1192" t="s">
        <v>2526</v>
      </c>
      <c r="V12232" s="1192">
        <v>48</v>
      </c>
    </row>
    <row r="12233" spans="1:22" s="1192" customFormat="1" ht="14.4" x14ac:dyDescent="0.3">
      <c r="A12233" s="1192" t="s">
        <v>196</v>
      </c>
      <c r="E12233" s="1740" t="s">
        <v>2033</v>
      </c>
      <c r="F12233" s="1740"/>
      <c r="G12233" s="1277" t="s">
        <v>20</v>
      </c>
      <c r="H12233" s="1219">
        <v>3.0000000000000001E-3</v>
      </c>
      <c r="K12233" s="1192" t="s">
        <v>4388</v>
      </c>
      <c r="L12233" s="1192" t="s">
        <v>2374</v>
      </c>
      <c r="P12233" s="1192" t="s">
        <v>4394</v>
      </c>
      <c r="V12233" s="1192">
        <v>55</v>
      </c>
    </row>
    <row r="12234" spans="1:22" s="1192" customFormat="1" ht="14.4" x14ac:dyDescent="0.3">
      <c r="A12234" s="1192" t="s">
        <v>196</v>
      </c>
      <c r="E12234" s="1740" t="s">
        <v>2034</v>
      </c>
      <c r="F12234" s="1740"/>
      <c r="G12234" s="1277" t="s">
        <v>20</v>
      </c>
      <c r="H12234" s="1219">
        <v>4.0000000000000002E-4</v>
      </c>
      <c r="K12234" s="1192" t="s">
        <v>4388</v>
      </c>
      <c r="L12234" s="1192" t="s">
        <v>2374</v>
      </c>
      <c r="P12234" s="1192" t="s">
        <v>4394</v>
      </c>
      <c r="V12234" s="1192">
        <v>65</v>
      </c>
    </row>
    <row r="12235" spans="1:22" s="1192" customFormat="1" ht="14.4" x14ac:dyDescent="0.3">
      <c r="A12235" s="1192" t="s">
        <v>196</v>
      </c>
      <c r="E12235" s="1740" t="s">
        <v>428</v>
      </c>
      <c r="F12235" s="1740"/>
      <c r="G12235" s="1277" t="s">
        <v>20</v>
      </c>
      <c r="H12235" s="1219">
        <v>5.0000000000000001E-4</v>
      </c>
      <c r="K12235" s="1192" t="s">
        <v>4388</v>
      </c>
      <c r="L12235" s="1192" t="s">
        <v>2374</v>
      </c>
      <c r="P12235" s="1192" t="s">
        <v>4395</v>
      </c>
      <c r="V12235" s="1192">
        <v>57</v>
      </c>
    </row>
    <row r="12236" spans="1:22" s="1192" customFormat="1" ht="14.4" x14ac:dyDescent="0.3">
      <c r="A12236" s="1192" t="s">
        <v>196</v>
      </c>
      <c r="E12236" s="1740" t="s">
        <v>28</v>
      </c>
      <c r="F12236" s="1740"/>
      <c r="G12236" s="1277" t="s">
        <v>19</v>
      </c>
      <c r="H12236" s="1218">
        <v>0.25</v>
      </c>
      <c r="K12236" s="1192" t="s">
        <v>4388</v>
      </c>
      <c r="L12236" s="1192" t="s">
        <v>2374</v>
      </c>
      <c r="P12236" s="1192" t="s">
        <v>4396</v>
      </c>
      <c r="V12236" s="1192">
        <v>63</v>
      </c>
    </row>
    <row r="12237" spans="1:22" s="1192" customFormat="1" ht="17.399999999999999" x14ac:dyDescent="0.3">
      <c r="A12237" s="1192" t="s">
        <v>196</v>
      </c>
      <c r="E12237" s="2017" t="s">
        <v>592</v>
      </c>
      <c r="F12237" s="1987"/>
      <c r="G12237" s="1987"/>
      <c r="H12237" s="1987"/>
      <c r="K12237" s="1192" t="s">
        <v>2676</v>
      </c>
      <c r="V12237" s="1192">
        <v>47</v>
      </c>
    </row>
    <row r="12238" spans="1:22" s="1192" customFormat="1" ht="14.4" x14ac:dyDescent="0.3">
      <c r="A12238" s="1192" t="s">
        <v>196</v>
      </c>
      <c r="E12238" s="1743" t="s">
        <v>4872</v>
      </c>
      <c r="F12238" s="1743"/>
      <c r="G12238" s="1743"/>
      <c r="H12238" s="1743"/>
      <c r="K12238" s="1192" t="s">
        <v>2676</v>
      </c>
      <c r="V12238" s="1192">
        <v>556</v>
      </c>
    </row>
    <row r="12239" spans="1:22" s="1192" customFormat="1" ht="14.4" x14ac:dyDescent="0.3">
      <c r="A12239" s="1192" t="s">
        <v>196</v>
      </c>
      <c r="E12239" s="2018" t="s">
        <v>2389</v>
      </c>
      <c r="F12239" s="1988"/>
      <c r="G12239" s="1988"/>
      <c r="H12239" s="1988"/>
      <c r="K12239" s="1192" t="s">
        <v>2529</v>
      </c>
      <c r="V12239" s="1192">
        <v>11</v>
      </c>
    </row>
    <row r="12240" spans="1:22" s="1192" customFormat="1" ht="14.4" x14ac:dyDescent="0.3">
      <c r="A12240" s="1192" t="s">
        <v>196</v>
      </c>
      <c r="E12240" s="1743" t="s">
        <v>2391</v>
      </c>
      <c r="F12240" s="1743"/>
      <c r="G12240" s="1743"/>
      <c r="H12240" s="1743"/>
      <c r="K12240" s="1192" t="s">
        <v>2676</v>
      </c>
      <c r="V12240" s="1192">
        <v>280</v>
      </c>
    </row>
    <row r="12241" spans="1:22" s="1192" customFormat="1" ht="14.4" x14ac:dyDescent="0.3">
      <c r="A12241" s="1192" t="s">
        <v>196</v>
      </c>
      <c r="E12241" s="1743" t="s">
        <v>2392</v>
      </c>
      <c r="F12241" s="1743"/>
      <c r="G12241" s="1743"/>
      <c r="H12241" s="1743"/>
      <c r="K12241" s="1192" t="s">
        <v>2676</v>
      </c>
      <c r="V12241" s="1192">
        <v>411</v>
      </c>
    </row>
    <row r="12242" spans="1:22" s="1192" customFormat="1" ht="14.4" x14ac:dyDescent="0.3">
      <c r="A12242" s="1192" t="s">
        <v>196</v>
      </c>
      <c r="E12242" s="1743" t="s">
        <v>4868</v>
      </c>
      <c r="F12242" s="1743"/>
      <c r="G12242" s="1743"/>
      <c r="H12242" s="1743"/>
      <c r="K12242" s="1192" t="s">
        <v>2676</v>
      </c>
      <c r="V12242" s="1192">
        <v>387</v>
      </c>
    </row>
    <row r="12243" spans="1:22" s="1192" customFormat="1" ht="14.4" x14ac:dyDescent="0.3">
      <c r="A12243" s="1192" t="s">
        <v>196</v>
      </c>
      <c r="E12243" s="1743" t="s">
        <v>2986</v>
      </c>
      <c r="F12243" s="1743"/>
      <c r="G12243" s="1743"/>
      <c r="H12243" s="1743"/>
      <c r="K12243" s="1192" t="s">
        <v>2676</v>
      </c>
      <c r="V12243" s="1192">
        <v>246</v>
      </c>
    </row>
    <row r="12244" spans="1:22" s="1192" customFormat="1" ht="14.4" x14ac:dyDescent="0.3">
      <c r="A12244" s="1192" t="s">
        <v>196</v>
      </c>
      <c r="E12244" s="2018" t="s">
        <v>2394</v>
      </c>
      <c r="F12244" s="1988"/>
      <c r="G12244" s="1988"/>
      <c r="H12244" s="1988"/>
      <c r="K12244" s="1192" t="s">
        <v>2531</v>
      </c>
      <c r="V12244" s="1192">
        <v>46</v>
      </c>
    </row>
    <row r="12245" spans="1:22" s="1192" customFormat="1" ht="14.4" x14ac:dyDescent="0.3">
      <c r="A12245" s="1192" t="s">
        <v>196</v>
      </c>
      <c r="E12245" s="1741" t="s">
        <v>7</v>
      </c>
      <c r="F12245" s="1741"/>
      <c r="G12245" s="1277" t="s">
        <v>19</v>
      </c>
      <c r="H12245" s="1218">
        <v>17.46</v>
      </c>
      <c r="K12245" s="1192" t="s">
        <v>2676</v>
      </c>
      <c r="L12245" s="1192" t="s">
        <v>430</v>
      </c>
      <c r="P12245" s="1192" t="s">
        <v>2678</v>
      </c>
      <c r="V12245" s="1192">
        <v>14</v>
      </c>
    </row>
    <row r="12246" spans="1:22" s="1192" customFormat="1" ht="14.4" x14ac:dyDescent="0.3">
      <c r="A12246" s="1192" t="s">
        <v>196</v>
      </c>
      <c r="E12246" s="1741" t="s">
        <v>80</v>
      </c>
      <c r="F12246" s="1741"/>
      <c r="G12246" s="1277" t="s">
        <v>20</v>
      </c>
      <c r="H12246" s="1219">
        <v>2.35E-2</v>
      </c>
      <c r="K12246" s="1192" t="s">
        <v>2676</v>
      </c>
      <c r="L12246" s="1192" t="s">
        <v>430</v>
      </c>
      <c r="P12246" s="1192" t="s">
        <v>2679</v>
      </c>
      <c r="V12246" s="1192">
        <v>28</v>
      </c>
    </row>
    <row r="12247" spans="1:22" s="1192" customFormat="1" ht="14.4" x14ac:dyDescent="0.3">
      <c r="A12247" s="1192" t="s">
        <v>196</v>
      </c>
      <c r="E12247" s="1741" t="s">
        <v>14</v>
      </c>
      <c r="F12247" s="1741"/>
      <c r="G12247" s="1277" t="s">
        <v>20</v>
      </c>
      <c r="H12247" s="1219">
        <v>1.6000000000000001E-3</v>
      </c>
      <c r="K12247" s="1192" t="s">
        <v>2676</v>
      </c>
      <c r="L12247" s="1192" t="s">
        <v>431</v>
      </c>
      <c r="P12247" s="1192" t="s">
        <v>2809</v>
      </c>
      <c r="V12247" s="1192">
        <v>24</v>
      </c>
    </row>
    <row r="12248" spans="1:22" s="1192" customFormat="1" ht="14.4" x14ac:dyDescent="0.3">
      <c r="A12248" s="1192" t="s">
        <v>196</v>
      </c>
      <c r="E12248" s="1741" t="s">
        <v>6644</v>
      </c>
      <c r="F12248" s="1998"/>
      <c r="G12248" s="1277" t="s">
        <v>20</v>
      </c>
      <c r="H12248" s="1219">
        <v>4.7999999999999996E-3</v>
      </c>
      <c r="K12248" s="1192" t="s">
        <v>2676</v>
      </c>
      <c r="L12248" s="1192" t="s">
        <v>431</v>
      </c>
      <c r="P12248" s="1192" t="s">
        <v>2681</v>
      </c>
      <c r="T12248" s="1192">
        <v>44316</v>
      </c>
      <c r="V12248" s="1192">
        <v>127</v>
      </c>
    </row>
    <row r="12249" spans="1:22" s="1192" customFormat="1" ht="14.4" x14ac:dyDescent="0.3">
      <c r="A12249" s="1192" t="s">
        <v>196</v>
      </c>
      <c r="E12249" s="1741" t="s">
        <v>6645</v>
      </c>
      <c r="F12249" s="1741"/>
      <c r="G12249" s="1277" t="s">
        <v>20</v>
      </c>
      <c r="H12249" s="1219">
        <v>1.8E-3</v>
      </c>
      <c r="K12249" s="1192" t="s">
        <v>2676</v>
      </c>
      <c r="L12249" s="1192" t="s">
        <v>431</v>
      </c>
      <c r="P12249" s="1192" t="s">
        <v>2810</v>
      </c>
      <c r="T12249" s="1192">
        <v>44347</v>
      </c>
      <c r="V12249" s="1192">
        <v>166</v>
      </c>
    </row>
    <row r="12250" spans="1:22" s="1192" customFormat="1" ht="14.4" x14ac:dyDescent="0.3">
      <c r="A12250" s="1192" t="s">
        <v>196</v>
      </c>
      <c r="E12250" s="1741" t="s">
        <v>5495</v>
      </c>
      <c r="F12250" s="1741"/>
      <c r="G12250" s="1277" t="s">
        <v>20</v>
      </c>
      <c r="H12250" s="1219">
        <v>4.0000000000000002E-4</v>
      </c>
      <c r="K12250" s="1192" t="s">
        <v>2676</v>
      </c>
      <c r="L12250" s="1192" t="s">
        <v>430</v>
      </c>
      <c r="P12250" s="1192" t="s">
        <v>2681</v>
      </c>
      <c r="T12250" s="1192">
        <v>44347</v>
      </c>
      <c r="V12250" s="1192">
        <v>102</v>
      </c>
    </row>
    <row r="12251" spans="1:22" s="1192" customFormat="1" ht="14.4" x14ac:dyDescent="0.3">
      <c r="A12251" s="1192" t="s">
        <v>196</v>
      </c>
      <c r="E12251" s="1741" t="s">
        <v>5494</v>
      </c>
      <c r="F12251" s="1741"/>
      <c r="G12251" s="1277" t="s">
        <v>20</v>
      </c>
      <c r="H12251" s="1219">
        <v>-3.2000000000000002E-3</v>
      </c>
      <c r="K12251" s="1192" t="s">
        <v>2676</v>
      </c>
      <c r="L12251" s="1192" t="s">
        <v>430</v>
      </c>
      <c r="P12251" s="1192" t="s">
        <v>6649</v>
      </c>
      <c r="T12251" s="1192">
        <v>44347</v>
      </c>
      <c r="V12251" s="1192">
        <v>109</v>
      </c>
    </row>
    <row r="12252" spans="1:22" s="1192" customFormat="1" ht="14.4" x14ac:dyDescent="0.3">
      <c r="A12252" s="1192" t="s">
        <v>196</v>
      </c>
      <c r="E12252" s="1741" t="s">
        <v>213</v>
      </c>
      <c r="F12252" s="1741"/>
      <c r="G12252" s="1277" t="s">
        <v>20</v>
      </c>
      <c r="H12252" s="1219">
        <v>6.1000000000000004E-3</v>
      </c>
      <c r="K12252" s="1192" t="s">
        <v>2676</v>
      </c>
      <c r="L12252" s="1192" t="s">
        <v>432</v>
      </c>
      <c r="P12252" s="1192" t="s">
        <v>2682</v>
      </c>
      <c r="V12252" s="1192">
        <v>47</v>
      </c>
    </row>
    <row r="12253" spans="1:22" s="1192" customFormat="1" ht="14.4" x14ac:dyDescent="0.3">
      <c r="A12253" s="1192" t="s">
        <v>196</v>
      </c>
      <c r="E12253" s="1741" t="s">
        <v>209</v>
      </c>
      <c r="F12253" s="1741"/>
      <c r="G12253" s="1277" t="s">
        <v>20</v>
      </c>
      <c r="H12253" s="1219">
        <v>1.8E-3</v>
      </c>
      <c r="K12253" s="1192" t="s">
        <v>2676</v>
      </c>
      <c r="L12253" s="1192" t="s">
        <v>432</v>
      </c>
      <c r="P12253" s="1192" t="s">
        <v>2683</v>
      </c>
      <c r="V12253" s="1192">
        <v>74</v>
      </c>
    </row>
    <row r="12254" spans="1:22" s="1192" customFormat="1" ht="14.4" x14ac:dyDescent="0.3">
      <c r="A12254" s="1192" t="s">
        <v>196</v>
      </c>
      <c r="E12254" s="1750" t="s">
        <v>2405</v>
      </c>
      <c r="F12254" s="1741"/>
      <c r="G12254" s="1277"/>
      <c r="H12254" s="896"/>
      <c r="K12254" s="1192" t="s">
        <v>2532</v>
      </c>
      <c r="V12254" s="1192">
        <v>48</v>
      </c>
    </row>
    <row r="12255" spans="1:22" s="1192" customFormat="1" ht="14.4" x14ac:dyDescent="0.3">
      <c r="A12255" s="1192" t="s">
        <v>196</v>
      </c>
      <c r="E12255" s="1740" t="s">
        <v>2033</v>
      </c>
      <c r="F12255" s="1740"/>
      <c r="G12255" s="1277" t="s">
        <v>20</v>
      </c>
      <c r="H12255" s="1219">
        <v>3.0000000000000001E-3</v>
      </c>
      <c r="K12255" s="1192" t="s">
        <v>2676</v>
      </c>
      <c r="L12255" s="1192" t="s">
        <v>2374</v>
      </c>
      <c r="P12255" s="1192" t="s">
        <v>2684</v>
      </c>
      <c r="V12255" s="1192">
        <v>55</v>
      </c>
    </row>
    <row r="12256" spans="1:22" s="1192" customFormat="1" ht="14.4" x14ac:dyDescent="0.3">
      <c r="A12256" s="1192" t="s">
        <v>196</v>
      </c>
      <c r="E12256" s="1740" t="s">
        <v>2034</v>
      </c>
      <c r="F12256" s="1740"/>
      <c r="G12256" s="1277" t="s">
        <v>20</v>
      </c>
      <c r="H12256" s="1219">
        <v>4.0000000000000002E-4</v>
      </c>
      <c r="K12256" s="1192" t="s">
        <v>2676</v>
      </c>
      <c r="L12256" s="1192" t="s">
        <v>2374</v>
      </c>
      <c r="P12256" s="1192" t="s">
        <v>2684</v>
      </c>
      <c r="V12256" s="1192">
        <v>65</v>
      </c>
    </row>
    <row r="12257" spans="1:22" s="1192" customFormat="1" ht="14.4" x14ac:dyDescent="0.3">
      <c r="A12257" s="1192" t="s">
        <v>196</v>
      </c>
      <c r="E12257" s="1740" t="s">
        <v>428</v>
      </c>
      <c r="F12257" s="1740"/>
      <c r="G12257" s="1277" t="s">
        <v>20</v>
      </c>
      <c r="H12257" s="1219">
        <v>5.0000000000000001E-4</v>
      </c>
      <c r="K12257" s="1192" t="s">
        <v>2676</v>
      </c>
      <c r="L12257" s="1192" t="s">
        <v>2374</v>
      </c>
      <c r="P12257" s="1192" t="s">
        <v>2685</v>
      </c>
      <c r="V12257" s="1192">
        <v>57</v>
      </c>
    </row>
    <row r="12258" spans="1:22" s="1192" customFormat="1" ht="14.4" x14ac:dyDescent="0.3">
      <c r="A12258" s="1192" t="s">
        <v>196</v>
      </c>
      <c r="E12258" s="1740" t="s">
        <v>28</v>
      </c>
      <c r="F12258" s="1740"/>
      <c r="G12258" s="1277" t="s">
        <v>19</v>
      </c>
      <c r="H12258" s="1218">
        <v>0.25</v>
      </c>
      <c r="K12258" s="1192" t="s">
        <v>2676</v>
      </c>
      <c r="L12258" s="1192" t="s">
        <v>2374</v>
      </c>
      <c r="P12258" s="1192" t="s">
        <v>2686</v>
      </c>
      <c r="V12258" s="1192">
        <v>63</v>
      </c>
    </row>
    <row r="12259" spans="1:22" s="1192" customFormat="1" ht="17.399999999999999" x14ac:dyDescent="0.3">
      <c r="A12259" s="1192" t="s">
        <v>196</v>
      </c>
      <c r="E12259" s="2017" t="s">
        <v>604</v>
      </c>
      <c r="F12259" s="1987"/>
      <c r="G12259" s="1987"/>
      <c r="H12259" s="1987"/>
      <c r="K12259" s="1192" t="s">
        <v>2823</v>
      </c>
      <c r="V12259" s="1192">
        <v>40</v>
      </c>
    </row>
    <row r="12260" spans="1:22" s="1192" customFormat="1" ht="14.4" x14ac:dyDescent="0.3">
      <c r="A12260" s="1192" t="s">
        <v>196</v>
      </c>
      <c r="E12260" s="1743" t="s">
        <v>3637</v>
      </c>
      <c r="F12260" s="1743"/>
      <c r="G12260" s="1743"/>
      <c r="H12260" s="1743"/>
      <c r="K12260" s="1192" t="s">
        <v>2823</v>
      </c>
      <c r="V12260" s="1192">
        <v>188</v>
      </c>
    </row>
    <row r="12261" spans="1:22" s="1192" customFormat="1" ht="14.4" x14ac:dyDescent="0.3">
      <c r="A12261" s="1192" t="s">
        <v>196</v>
      </c>
      <c r="E12261" s="2018" t="s">
        <v>2389</v>
      </c>
      <c r="F12261" s="1988"/>
      <c r="G12261" s="1988"/>
      <c r="H12261" s="1988"/>
      <c r="K12261" s="1192" t="s">
        <v>2424</v>
      </c>
      <c r="V12261" s="1192">
        <v>11</v>
      </c>
    </row>
    <row r="12262" spans="1:22" s="1192" customFormat="1" ht="14.4" x14ac:dyDescent="0.3">
      <c r="A12262" s="1192" t="s">
        <v>196</v>
      </c>
      <c r="E12262" s="1743" t="s">
        <v>2391</v>
      </c>
      <c r="F12262" s="1743"/>
      <c r="G12262" s="1743"/>
      <c r="H12262" s="1743"/>
      <c r="K12262" s="1192" t="s">
        <v>2823</v>
      </c>
      <c r="V12262" s="1192">
        <v>280</v>
      </c>
    </row>
    <row r="12263" spans="1:22" s="1192" customFormat="1" ht="14.4" x14ac:dyDescent="0.3">
      <c r="A12263" s="1192" t="s">
        <v>196</v>
      </c>
      <c r="E12263" s="1743" t="s">
        <v>2392</v>
      </c>
      <c r="F12263" s="1743"/>
      <c r="G12263" s="1743"/>
      <c r="H12263" s="1743"/>
      <c r="K12263" s="1192" t="s">
        <v>2823</v>
      </c>
      <c r="V12263" s="1192">
        <v>411</v>
      </c>
    </row>
    <row r="12264" spans="1:22" s="1192" customFormat="1" ht="14.4" x14ac:dyDescent="0.3">
      <c r="A12264" s="1192" t="s">
        <v>196</v>
      </c>
      <c r="E12264" s="1743" t="s">
        <v>4868</v>
      </c>
      <c r="F12264" s="1743"/>
      <c r="G12264" s="1743"/>
      <c r="H12264" s="1743"/>
      <c r="K12264" s="1192" t="s">
        <v>2823</v>
      </c>
      <c r="V12264" s="1192">
        <v>387</v>
      </c>
    </row>
    <row r="12265" spans="1:22" s="1192" customFormat="1" ht="14.4" x14ac:dyDescent="0.3">
      <c r="A12265" s="1192" t="s">
        <v>196</v>
      </c>
      <c r="E12265" s="1743" t="s">
        <v>2986</v>
      </c>
      <c r="F12265" s="1743"/>
      <c r="G12265" s="1743"/>
      <c r="H12265" s="1743"/>
      <c r="K12265" s="1192" t="s">
        <v>2823</v>
      </c>
      <c r="V12265" s="1192">
        <v>246</v>
      </c>
    </row>
    <row r="12266" spans="1:22" s="1192" customFormat="1" ht="14.4" x14ac:dyDescent="0.3">
      <c r="A12266" s="1192" t="s">
        <v>196</v>
      </c>
      <c r="E12266" s="2018" t="s">
        <v>2394</v>
      </c>
      <c r="F12266" s="1988"/>
      <c r="G12266" s="1988"/>
      <c r="H12266" s="1988"/>
      <c r="K12266" s="1192" t="s">
        <v>2425</v>
      </c>
      <c r="V12266" s="1192">
        <v>46</v>
      </c>
    </row>
    <row r="12267" spans="1:22" s="1192" customFormat="1" ht="14.4" x14ac:dyDescent="0.3">
      <c r="A12267" s="1192" t="s">
        <v>196</v>
      </c>
      <c r="E12267" s="1741" t="s">
        <v>7</v>
      </c>
      <c r="F12267" s="1741"/>
      <c r="G12267" s="1277" t="s">
        <v>19</v>
      </c>
      <c r="H12267" s="1218">
        <v>11.17</v>
      </c>
      <c r="K12267" s="1192" t="s">
        <v>2823</v>
      </c>
      <c r="L12267" s="1192" t="s">
        <v>430</v>
      </c>
      <c r="P12267" s="1192" t="s">
        <v>2824</v>
      </c>
      <c r="V12267" s="1192">
        <v>14</v>
      </c>
    </row>
    <row r="12268" spans="1:22" s="1192" customFormat="1" ht="14.4" x14ac:dyDescent="0.3">
      <c r="A12268" s="1192" t="s">
        <v>196</v>
      </c>
      <c r="E12268" s="1741" t="s">
        <v>80</v>
      </c>
      <c r="F12268" s="1741"/>
      <c r="G12268" s="1277" t="s">
        <v>29</v>
      </c>
      <c r="H12268" s="1219">
        <v>19.426600000000001</v>
      </c>
      <c r="K12268" s="1192" t="s">
        <v>2823</v>
      </c>
      <c r="L12268" s="1192" t="s">
        <v>430</v>
      </c>
      <c r="P12268" s="1192" t="s">
        <v>2825</v>
      </c>
      <c r="V12268" s="1192">
        <v>28</v>
      </c>
    </row>
    <row r="12269" spans="1:22" s="1192" customFormat="1" ht="14.4" x14ac:dyDescent="0.3">
      <c r="A12269" s="1192" t="s">
        <v>196</v>
      </c>
      <c r="E12269" s="1741" t="s">
        <v>14</v>
      </c>
      <c r="F12269" s="1741"/>
      <c r="G12269" s="1277" t="s">
        <v>29</v>
      </c>
      <c r="H12269" s="1219">
        <v>0.42720000000000002</v>
      </c>
      <c r="K12269" s="1192" t="s">
        <v>2823</v>
      </c>
      <c r="L12269" s="1192" t="s">
        <v>431</v>
      </c>
      <c r="P12269" s="1192" t="s">
        <v>2826</v>
      </c>
      <c r="V12269" s="1192">
        <v>24</v>
      </c>
    </row>
    <row r="12270" spans="1:22" s="1192" customFormat="1" ht="14.4" x14ac:dyDescent="0.3">
      <c r="A12270" s="1192" t="s">
        <v>196</v>
      </c>
      <c r="E12270" s="1741" t="s">
        <v>6644</v>
      </c>
      <c r="F12270" s="1998"/>
      <c r="G12270" s="1277" t="s">
        <v>29</v>
      </c>
      <c r="H12270" s="1219">
        <v>1.7495000000000001</v>
      </c>
      <c r="K12270" s="1192" t="s">
        <v>2823</v>
      </c>
      <c r="L12270" s="1192" t="s">
        <v>431</v>
      </c>
      <c r="P12270" s="1192" t="s">
        <v>2915</v>
      </c>
      <c r="T12270" s="1192">
        <v>44316</v>
      </c>
      <c r="V12270" s="1192">
        <v>127</v>
      </c>
    </row>
    <row r="12271" spans="1:22" s="1192" customFormat="1" ht="14.4" x14ac:dyDescent="0.3">
      <c r="A12271" s="1192" t="s">
        <v>196</v>
      </c>
      <c r="E12271" s="1741" t="s">
        <v>6645</v>
      </c>
      <c r="F12271" s="1741"/>
      <c r="G12271" s="1277" t="s">
        <v>29</v>
      </c>
      <c r="H12271" s="1219">
        <v>0.51270000000000004</v>
      </c>
      <c r="K12271" s="1192" t="s">
        <v>2823</v>
      </c>
      <c r="L12271" s="1192" t="s">
        <v>431</v>
      </c>
      <c r="P12271" s="1192" t="s">
        <v>6650</v>
      </c>
      <c r="T12271" s="1192">
        <v>44347</v>
      </c>
      <c r="V12271" s="1192">
        <v>166</v>
      </c>
    </row>
    <row r="12272" spans="1:22" s="1192" customFormat="1" ht="14.4" x14ac:dyDescent="0.3">
      <c r="A12272" s="1192" t="s">
        <v>196</v>
      </c>
      <c r="E12272" s="1741" t="s">
        <v>5495</v>
      </c>
      <c r="F12272" s="1741"/>
      <c r="G12272" s="1277" t="s">
        <v>29</v>
      </c>
      <c r="H12272" s="1219">
        <v>0.13350000000000001</v>
      </c>
      <c r="K12272" s="1192" t="s">
        <v>2823</v>
      </c>
      <c r="L12272" s="1192" t="s">
        <v>430</v>
      </c>
      <c r="P12272" s="1192" t="s">
        <v>2915</v>
      </c>
      <c r="T12272" s="1192">
        <v>44347</v>
      </c>
      <c r="V12272" s="1192">
        <v>102</v>
      </c>
    </row>
    <row r="12273" spans="1:22" s="1192" customFormat="1" ht="14.4" x14ac:dyDescent="0.3">
      <c r="A12273" s="1192" t="s">
        <v>196</v>
      </c>
      <c r="E12273" s="1741" t="s">
        <v>5494</v>
      </c>
      <c r="F12273" s="1741"/>
      <c r="G12273" s="1277" t="s">
        <v>29</v>
      </c>
      <c r="H12273" s="1219">
        <v>-1.0589999999999999</v>
      </c>
      <c r="K12273" s="1192" t="s">
        <v>2823</v>
      </c>
      <c r="L12273" s="1192" t="s">
        <v>430</v>
      </c>
      <c r="P12273" s="1192" t="s">
        <v>6651</v>
      </c>
      <c r="T12273" s="1192">
        <v>44347</v>
      </c>
      <c r="V12273" s="1192">
        <v>109</v>
      </c>
    </row>
    <row r="12274" spans="1:22" s="1192" customFormat="1" ht="14.4" x14ac:dyDescent="0.3">
      <c r="A12274" s="1192" t="s">
        <v>196</v>
      </c>
      <c r="E12274" s="1741" t="s">
        <v>213</v>
      </c>
      <c r="F12274" s="1741"/>
      <c r="G12274" s="1277" t="s">
        <v>29</v>
      </c>
      <c r="H12274" s="1219">
        <v>1.9406000000000001</v>
      </c>
      <c r="K12274" s="1192" t="s">
        <v>2823</v>
      </c>
      <c r="L12274" s="1192" t="s">
        <v>432</v>
      </c>
      <c r="P12274" s="1192" t="s">
        <v>2827</v>
      </c>
      <c r="V12274" s="1192">
        <v>47</v>
      </c>
    </row>
    <row r="12275" spans="1:22" s="1192" customFormat="1" ht="14.4" x14ac:dyDescent="0.3">
      <c r="A12275" s="1192" t="s">
        <v>196</v>
      </c>
      <c r="E12275" s="1741" t="s">
        <v>209</v>
      </c>
      <c r="F12275" s="1741"/>
      <c r="G12275" s="1277" t="s">
        <v>29</v>
      </c>
      <c r="H12275" s="1219">
        <v>0.52490000000000003</v>
      </c>
      <c r="K12275" s="1192" t="s">
        <v>2823</v>
      </c>
      <c r="L12275" s="1192" t="s">
        <v>432</v>
      </c>
      <c r="P12275" s="1192" t="s">
        <v>2828</v>
      </c>
      <c r="V12275" s="1192">
        <v>74</v>
      </c>
    </row>
    <row r="12276" spans="1:22" s="1192" customFormat="1" ht="14.4" x14ac:dyDescent="0.3">
      <c r="A12276" s="1192" t="s">
        <v>196</v>
      </c>
      <c r="E12276" s="1750" t="s">
        <v>2405</v>
      </c>
      <c r="F12276" s="1741"/>
      <c r="G12276" s="1277"/>
      <c r="H12276" s="896"/>
      <c r="K12276" s="1192" t="s">
        <v>2427</v>
      </c>
      <c r="V12276" s="1192">
        <v>48</v>
      </c>
    </row>
    <row r="12277" spans="1:22" s="1192" customFormat="1" ht="14.4" x14ac:dyDescent="0.3">
      <c r="A12277" s="1192" t="s">
        <v>196</v>
      </c>
      <c r="E12277" s="1740" t="s">
        <v>2033</v>
      </c>
      <c r="F12277" s="1740"/>
      <c r="G12277" s="1277" t="s">
        <v>20</v>
      </c>
      <c r="H12277" s="1219">
        <v>3.0000000000000001E-3</v>
      </c>
      <c r="K12277" s="1192" t="s">
        <v>2823</v>
      </c>
      <c r="L12277" s="1192" t="s">
        <v>2374</v>
      </c>
      <c r="P12277" s="1192" t="s">
        <v>2829</v>
      </c>
      <c r="V12277" s="1192">
        <v>55</v>
      </c>
    </row>
    <row r="12278" spans="1:22" s="1192" customFormat="1" ht="14.4" x14ac:dyDescent="0.3">
      <c r="A12278" s="1192" t="s">
        <v>196</v>
      </c>
      <c r="E12278" s="1740" t="s">
        <v>2034</v>
      </c>
      <c r="F12278" s="1740"/>
      <c r="G12278" s="1277" t="s">
        <v>20</v>
      </c>
      <c r="H12278" s="1219">
        <v>4.0000000000000002E-4</v>
      </c>
      <c r="K12278" s="1192" t="s">
        <v>2823</v>
      </c>
      <c r="L12278" s="1192" t="s">
        <v>2374</v>
      </c>
      <c r="P12278" s="1192" t="s">
        <v>2829</v>
      </c>
      <c r="V12278" s="1192">
        <v>65</v>
      </c>
    </row>
    <row r="12279" spans="1:22" s="1192" customFormat="1" ht="14.4" x14ac:dyDescent="0.3">
      <c r="A12279" s="1192" t="s">
        <v>196</v>
      </c>
      <c r="E12279" s="1740" t="s">
        <v>428</v>
      </c>
      <c r="F12279" s="1740"/>
      <c r="G12279" s="1277" t="s">
        <v>20</v>
      </c>
      <c r="H12279" s="1219">
        <v>5.0000000000000001E-4</v>
      </c>
      <c r="K12279" s="1192" t="s">
        <v>2823</v>
      </c>
      <c r="L12279" s="1192" t="s">
        <v>2374</v>
      </c>
      <c r="P12279" s="1192" t="s">
        <v>2830</v>
      </c>
      <c r="V12279" s="1192">
        <v>57</v>
      </c>
    </row>
    <row r="12280" spans="1:22" s="1192" customFormat="1" ht="14.4" x14ac:dyDescent="0.3">
      <c r="A12280" s="1192" t="s">
        <v>196</v>
      </c>
      <c r="E12280" s="1740" t="s">
        <v>28</v>
      </c>
      <c r="F12280" s="1740"/>
      <c r="G12280" s="1277" t="s">
        <v>19</v>
      </c>
      <c r="H12280" s="1218">
        <v>0.25</v>
      </c>
      <c r="K12280" s="1192" t="s">
        <v>2823</v>
      </c>
      <c r="L12280" s="1192" t="s">
        <v>2374</v>
      </c>
      <c r="P12280" s="1192" t="s">
        <v>2831</v>
      </c>
      <c r="V12280" s="1192">
        <v>63</v>
      </c>
    </row>
    <row r="12281" spans="1:22" s="1192" customFormat="1" ht="17.399999999999999" x14ac:dyDescent="0.3">
      <c r="A12281" s="1192" t="s">
        <v>196</v>
      </c>
      <c r="E12281" s="2017" t="s">
        <v>590</v>
      </c>
      <c r="F12281" s="1987"/>
      <c r="G12281" s="1987"/>
      <c r="H12281" s="1987"/>
      <c r="K12281" s="1192" t="s">
        <v>2428</v>
      </c>
      <c r="V12281" s="1192">
        <v>38</v>
      </c>
    </row>
    <row r="12282" spans="1:22" s="1192" customFormat="1" ht="14.4" x14ac:dyDescent="0.3">
      <c r="A12282" s="1192" t="s">
        <v>196</v>
      </c>
      <c r="E12282" s="1743" t="s">
        <v>5496</v>
      </c>
      <c r="F12282" s="1743"/>
      <c r="G12282" s="1743"/>
      <c r="H12282" s="1743"/>
      <c r="K12282" s="1192" t="s">
        <v>2428</v>
      </c>
      <c r="V12282" s="1192">
        <v>486</v>
      </c>
    </row>
    <row r="12283" spans="1:22" s="1192" customFormat="1" ht="14.4" x14ac:dyDescent="0.3">
      <c r="A12283" s="1192" t="s">
        <v>196</v>
      </c>
      <c r="E12283" s="2018" t="s">
        <v>2389</v>
      </c>
      <c r="F12283" s="1988"/>
      <c r="G12283" s="1988"/>
      <c r="H12283" s="1988"/>
      <c r="K12283" s="1192" t="s">
        <v>2430</v>
      </c>
      <c r="V12283" s="1192">
        <v>11</v>
      </c>
    </row>
    <row r="12284" spans="1:22" s="1192" customFormat="1" ht="14.4" x14ac:dyDescent="0.3">
      <c r="A12284" s="1192" t="s">
        <v>196</v>
      </c>
      <c r="E12284" s="1743" t="s">
        <v>2391</v>
      </c>
      <c r="F12284" s="1743"/>
      <c r="G12284" s="1743"/>
      <c r="H12284" s="1743"/>
      <c r="K12284" s="1192" t="s">
        <v>2428</v>
      </c>
      <c r="V12284" s="1192">
        <v>280</v>
      </c>
    </row>
    <row r="12285" spans="1:22" s="1192" customFormat="1" ht="14.4" x14ac:dyDescent="0.3">
      <c r="A12285" s="1192" t="s">
        <v>196</v>
      </c>
      <c r="E12285" s="1743" t="s">
        <v>2392</v>
      </c>
      <c r="F12285" s="1743"/>
      <c r="G12285" s="1743"/>
      <c r="H12285" s="1743"/>
      <c r="K12285" s="1192" t="s">
        <v>2428</v>
      </c>
      <c r="V12285" s="1192">
        <v>411</v>
      </c>
    </row>
    <row r="12286" spans="1:22" s="1192" customFormat="1" ht="14.4" x14ac:dyDescent="0.3">
      <c r="A12286" s="1192" t="s">
        <v>196</v>
      </c>
      <c r="E12286" s="1743" t="s">
        <v>4868</v>
      </c>
      <c r="F12286" s="1743"/>
      <c r="G12286" s="1743"/>
      <c r="H12286" s="1743"/>
      <c r="K12286" s="1192" t="s">
        <v>2428</v>
      </c>
      <c r="V12286" s="1192">
        <v>387</v>
      </c>
    </row>
    <row r="12287" spans="1:22" s="1192" customFormat="1" ht="14.4" x14ac:dyDescent="0.3">
      <c r="A12287" s="1192" t="s">
        <v>196</v>
      </c>
      <c r="E12287" s="1743" t="s">
        <v>2986</v>
      </c>
      <c r="F12287" s="1743"/>
      <c r="G12287" s="1743"/>
      <c r="H12287" s="1743"/>
      <c r="K12287" s="1192" t="s">
        <v>2428</v>
      </c>
      <c r="V12287" s="1192">
        <v>246</v>
      </c>
    </row>
    <row r="12288" spans="1:22" s="1192" customFormat="1" ht="14.4" x14ac:dyDescent="0.3">
      <c r="A12288" s="1192" t="s">
        <v>196</v>
      </c>
      <c r="E12288" s="2018" t="s">
        <v>2394</v>
      </c>
      <c r="F12288" s="1988"/>
      <c r="G12288" s="1988"/>
      <c r="H12288" s="1988"/>
      <c r="K12288" s="1192" t="s">
        <v>2431</v>
      </c>
      <c r="V12288" s="1192">
        <v>46</v>
      </c>
    </row>
    <row r="12289" spans="1:22" s="1192" customFormat="1" ht="14.4" x14ac:dyDescent="0.3">
      <c r="A12289" s="1192" t="s">
        <v>196</v>
      </c>
      <c r="E12289" s="1741" t="s">
        <v>7</v>
      </c>
      <c r="F12289" s="1741"/>
      <c r="G12289" s="1277" t="s">
        <v>19</v>
      </c>
      <c r="H12289" s="1218">
        <v>2.82</v>
      </c>
      <c r="K12289" s="1192" t="s">
        <v>2428</v>
      </c>
      <c r="L12289" s="1192" t="s">
        <v>430</v>
      </c>
      <c r="P12289" s="1192" t="s">
        <v>2432</v>
      </c>
      <c r="V12289" s="1192">
        <v>14</v>
      </c>
    </row>
    <row r="12290" spans="1:22" s="1192" customFormat="1" ht="14.4" x14ac:dyDescent="0.3">
      <c r="A12290" s="1192" t="s">
        <v>196</v>
      </c>
      <c r="E12290" s="1741" t="s">
        <v>80</v>
      </c>
      <c r="F12290" s="1741"/>
      <c r="G12290" s="1277" t="s">
        <v>29</v>
      </c>
      <c r="H12290" s="1219">
        <v>13.1069</v>
      </c>
      <c r="K12290" s="1192" t="s">
        <v>2428</v>
      </c>
      <c r="L12290" s="1192" t="s">
        <v>430</v>
      </c>
      <c r="P12290" s="1192" t="s">
        <v>2433</v>
      </c>
      <c r="V12290" s="1192">
        <v>28</v>
      </c>
    </row>
    <row r="12291" spans="1:22" s="1192" customFormat="1" ht="14.4" x14ac:dyDescent="0.3">
      <c r="A12291" s="1192" t="s">
        <v>196</v>
      </c>
      <c r="E12291" s="1741" t="s">
        <v>14</v>
      </c>
      <c r="F12291" s="1741"/>
      <c r="G12291" s="1277" t="s">
        <v>29</v>
      </c>
      <c r="H12291" s="1219">
        <v>0.41849999999999998</v>
      </c>
      <c r="K12291" s="1192" t="s">
        <v>2428</v>
      </c>
      <c r="L12291" s="1192" t="s">
        <v>431</v>
      </c>
      <c r="P12291" s="1192" t="s">
        <v>2764</v>
      </c>
      <c r="V12291" s="1192">
        <v>24</v>
      </c>
    </row>
    <row r="12292" spans="1:22" s="1192" customFormat="1" ht="14.4" x14ac:dyDescent="0.3">
      <c r="A12292" s="1192" t="s">
        <v>196</v>
      </c>
      <c r="E12292" s="1741" t="s">
        <v>6644</v>
      </c>
      <c r="F12292" s="1998"/>
      <c r="G12292" s="1277" t="s">
        <v>29</v>
      </c>
      <c r="H12292" s="1219">
        <v>1.7034</v>
      </c>
      <c r="K12292" s="1192" t="s">
        <v>2428</v>
      </c>
      <c r="L12292" s="1192" t="s">
        <v>431</v>
      </c>
      <c r="P12292" s="1192" t="s">
        <v>2434</v>
      </c>
      <c r="T12292" s="1192">
        <v>44316</v>
      </c>
      <c r="V12292" s="1192">
        <v>127</v>
      </c>
    </row>
    <row r="12293" spans="1:22" s="1192" customFormat="1" ht="14.4" x14ac:dyDescent="0.3">
      <c r="A12293" s="1192" t="s">
        <v>196</v>
      </c>
      <c r="E12293" s="1741" t="s">
        <v>6645</v>
      </c>
      <c r="F12293" s="1741"/>
      <c r="G12293" s="1277" t="s">
        <v>29</v>
      </c>
      <c r="H12293" s="1219">
        <v>0.58289999999999997</v>
      </c>
      <c r="K12293" s="1192" t="s">
        <v>2428</v>
      </c>
      <c r="L12293" s="1192" t="s">
        <v>431</v>
      </c>
      <c r="P12293" s="1192" t="s">
        <v>6652</v>
      </c>
      <c r="T12293" s="1192">
        <v>44347</v>
      </c>
      <c r="V12293" s="1192">
        <v>166</v>
      </c>
    </row>
    <row r="12294" spans="1:22" s="1192" customFormat="1" ht="14.4" x14ac:dyDescent="0.3">
      <c r="A12294" s="1192" t="s">
        <v>196</v>
      </c>
      <c r="E12294" s="1741" t="s">
        <v>5495</v>
      </c>
      <c r="F12294" s="1741"/>
      <c r="G12294" s="1277" t="s">
        <v>29</v>
      </c>
      <c r="H12294" s="1219">
        <v>0.1472</v>
      </c>
      <c r="K12294" s="1192" t="s">
        <v>2428</v>
      </c>
      <c r="L12294" s="1192" t="s">
        <v>430</v>
      </c>
      <c r="P12294" s="1192" t="s">
        <v>2434</v>
      </c>
      <c r="T12294" s="1192">
        <v>44347</v>
      </c>
      <c r="V12294" s="1192">
        <v>102</v>
      </c>
    </row>
    <row r="12295" spans="1:22" s="1192" customFormat="1" ht="14.4" x14ac:dyDescent="0.3">
      <c r="A12295" s="1192" t="s">
        <v>196</v>
      </c>
      <c r="E12295" s="1741" t="s">
        <v>5494</v>
      </c>
      <c r="F12295" s="1741"/>
      <c r="G12295" s="1277" t="s">
        <v>29</v>
      </c>
      <c r="H12295" s="1219">
        <v>-1.1673</v>
      </c>
      <c r="K12295" s="1192" t="s">
        <v>2428</v>
      </c>
      <c r="L12295" s="1192" t="s">
        <v>430</v>
      </c>
      <c r="P12295" s="1192" t="s">
        <v>6653</v>
      </c>
      <c r="T12295" s="1192">
        <v>44347</v>
      </c>
      <c r="V12295" s="1192">
        <v>109</v>
      </c>
    </row>
    <row r="12296" spans="1:22" s="1192" customFormat="1" ht="14.4" x14ac:dyDescent="0.3">
      <c r="A12296" s="1192" t="s">
        <v>196</v>
      </c>
      <c r="E12296" s="1741" t="s">
        <v>213</v>
      </c>
      <c r="F12296" s="1741"/>
      <c r="G12296" s="1277" t="s">
        <v>29</v>
      </c>
      <c r="H12296" s="1219">
        <v>1.9309000000000001</v>
      </c>
      <c r="K12296" s="1192" t="s">
        <v>2428</v>
      </c>
      <c r="L12296" s="1192" t="s">
        <v>432</v>
      </c>
      <c r="P12296" s="1192" t="s">
        <v>2436</v>
      </c>
      <c r="V12296" s="1192">
        <v>47</v>
      </c>
    </row>
    <row r="12297" spans="1:22" s="1192" customFormat="1" ht="14.4" x14ac:dyDescent="0.3">
      <c r="A12297" s="1192" t="s">
        <v>196</v>
      </c>
      <c r="E12297" s="1741" t="s">
        <v>209</v>
      </c>
      <c r="F12297" s="1741"/>
      <c r="G12297" s="1277" t="s">
        <v>29</v>
      </c>
      <c r="H12297" s="1219">
        <v>0.51419999999999999</v>
      </c>
      <c r="K12297" s="1192" t="s">
        <v>2428</v>
      </c>
      <c r="L12297" s="1192" t="s">
        <v>432</v>
      </c>
      <c r="P12297" s="1192" t="s">
        <v>2437</v>
      </c>
      <c r="V12297" s="1192">
        <v>74</v>
      </c>
    </row>
    <row r="12298" spans="1:22" s="1192" customFormat="1" ht="14.4" x14ac:dyDescent="0.3">
      <c r="A12298" s="1192" t="s">
        <v>196</v>
      </c>
      <c r="E12298" s="1750" t="s">
        <v>2405</v>
      </c>
      <c r="F12298" s="1741"/>
      <c r="G12298" s="1277"/>
      <c r="H12298" s="896"/>
      <c r="K12298" s="1192" t="s">
        <v>2438</v>
      </c>
      <c r="V12298" s="1192">
        <v>48</v>
      </c>
    </row>
    <row r="12299" spans="1:22" s="1192" customFormat="1" ht="14.4" x14ac:dyDescent="0.3">
      <c r="A12299" s="1192" t="s">
        <v>196</v>
      </c>
      <c r="E12299" s="1740" t="s">
        <v>2033</v>
      </c>
      <c r="F12299" s="1740"/>
      <c r="G12299" s="1277" t="s">
        <v>20</v>
      </c>
      <c r="H12299" s="1219">
        <v>3.0000000000000001E-3</v>
      </c>
      <c r="K12299" s="1192" t="s">
        <v>2428</v>
      </c>
      <c r="L12299" s="1192" t="s">
        <v>2374</v>
      </c>
      <c r="P12299" s="1192" t="s">
        <v>2439</v>
      </c>
      <c r="V12299" s="1192">
        <v>55</v>
      </c>
    </row>
    <row r="12300" spans="1:22" s="1192" customFormat="1" ht="14.4" x14ac:dyDescent="0.3">
      <c r="A12300" s="1192" t="s">
        <v>196</v>
      </c>
      <c r="E12300" s="1740" t="s">
        <v>2034</v>
      </c>
      <c r="F12300" s="1740"/>
      <c r="G12300" s="1277" t="s">
        <v>20</v>
      </c>
      <c r="H12300" s="1219">
        <v>4.0000000000000002E-4</v>
      </c>
      <c r="K12300" s="1192" t="s">
        <v>2428</v>
      </c>
      <c r="L12300" s="1192" t="s">
        <v>2374</v>
      </c>
      <c r="P12300" s="1192" t="s">
        <v>2439</v>
      </c>
      <c r="V12300" s="1192">
        <v>65</v>
      </c>
    </row>
    <row r="12301" spans="1:22" s="1192" customFormat="1" ht="14.4" x14ac:dyDescent="0.3">
      <c r="A12301" s="1192" t="s">
        <v>196</v>
      </c>
      <c r="E12301" s="1740" t="s">
        <v>428</v>
      </c>
      <c r="F12301" s="1740"/>
      <c r="G12301" s="1277" t="s">
        <v>20</v>
      </c>
      <c r="H12301" s="1219">
        <v>5.0000000000000001E-4</v>
      </c>
      <c r="K12301" s="1192" t="s">
        <v>2428</v>
      </c>
      <c r="L12301" s="1192" t="s">
        <v>2374</v>
      </c>
      <c r="P12301" s="1192" t="s">
        <v>2440</v>
      </c>
      <c r="V12301" s="1192">
        <v>57</v>
      </c>
    </row>
    <row r="12302" spans="1:22" s="1192" customFormat="1" ht="14.4" x14ac:dyDescent="0.3">
      <c r="A12302" s="1192" t="s">
        <v>196</v>
      </c>
      <c r="E12302" s="1740" t="s">
        <v>28</v>
      </c>
      <c r="F12302" s="1740"/>
      <c r="G12302" s="1277" t="s">
        <v>19</v>
      </c>
      <c r="H12302" s="1218">
        <v>0.25</v>
      </c>
      <c r="K12302" s="1192" t="s">
        <v>2428</v>
      </c>
      <c r="L12302" s="1192" t="s">
        <v>2374</v>
      </c>
      <c r="P12302" s="1192" t="s">
        <v>2441</v>
      </c>
      <c r="V12302" s="1192">
        <v>63</v>
      </c>
    </row>
    <row r="12303" spans="1:22" s="1192" customFormat="1" ht="17.399999999999999" x14ac:dyDescent="0.3">
      <c r="A12303" s="1192" t="s">
        <v>196</v>
      </c>
      <c r="E12303" s="2017" t="s">
        <v>593</v>
      </c>
      <c r="F12303" s="1987"/>
      <c r="G12303" s="1987"/>
      <c r="H12303" s="1987"/>
      <c r="K12303" s="1192" t="s">
        <v>2442</v>
      </c>
      <c r="V12303" s="1192">
        <v>31</v>
      </c>
    </row>
    <row r="12304" spans="1:22" s="1192" customFormat="1" ht="14.4" x14ac:dyDescent="0.3">
      <c r="A12304" s="1192" t="s">
        <v>196</v>
      </c>
      <c r="E12304" s="1743" t="s">
        <v>2966</v>
      </c>
      <c r="F12304" s="1743"/>
      <c r="G12304" s="1743"/>
      <c r="H12304" s="1743"/>
      <c r="K12304" s="1192" t="s">
        <v>2442</v>
      </c>
      <c r="V12304" s="1192">
        <v>286</v>
      </c>
    </row>
    <row r="12305" spans="1:22" s="1192" customFormat="1" ht="14.4" x14ac:dyDescent="0.3">
      <c r="A12305" s="1192" t="s">
        <v>196</v>
      </c>
      <c r="E12305" s="2018" t="s">
        <v>2389</v>
      </c>
      <c r="F12305" s="1988"/>
      <c r="G12305" s="1988"/>
      <c r="H12305" s="1988"/>
      <c r="K12305" s="1192" t="s">
        <v>2444</v>
      </c>
      <c r="V12305" s="1192">
        <v>11</v>
      </c>
    </row>
    <row r="12306" spans="1:22" s="1192" customFormat="1" ht="14.4" x14ac:dyDescent="0.3">
      <c r="A12306" s="1192" t="s">
        <v>196</v>
      </c>
      <c r="E12306" s="1743" t="s">
        <v>2391</v>
      </c>
      <c r="F12306" s="1743"/>
      <c r="G12306" s="1743"/>
      <c r="H12306" s="1743"/>
      <c r="K12306" s="1192" t="s">
        <v>2442</v>
      </c>
      <c r="V12306" s="1192">
        <v>280</v>
      </c>
    </row>
    <row r="12307" spans="1:22" s="1192" customFormat="1" ht="14.4" x14ac:dyDescent="0.3">
      <c r="A12307" s="1192" t="s">
        <v>196</v>
      </c>
      <c r="E12307" s="1743" t="s">
        <v>2392</v>
      </c>
      <c r="F12307" s="1743"/>
      <c r="G12307" s="1743"/>
      <c r="H12307" s="1743"/>
      <c r="K12307" s="1192" t="s">
        <v>2442</v>
      </c>
      <c r="V12307" s="1192">
        <v>411</v>
      </c>
    </row>
    <row r="12308" spans="1:22" s="1192" customFormat="1" ht="14.4" x14ac:dyDescent="0.3">
      <c r="A12308" s="1192" t="s">
        <v>196</v>
      </c>
      <c r="E12308" s="1743" t="s">
        <v>3124</v>
      </c>
      <c r="F12308" s="1743"/>
      <c r="G12308" s="1743"/>
      <c r="H12308" s="1743"/>
      <c r="K12308" s="1192" t="s">
        <v>2442</v>
      </c>
      <c r="V12308" s="1192">
        <v>212</v>
      </c>
    </row>
    <row r="12309" spans="1:22" s="1192" customFormat="1" ht="14.4" x14ac:dyDescent="0.3">
      <c r="A12309" s="1192" t="s">
        <v>196</v>
      </c>
      <c r="E12309" s="1743" t="s">
        <v>2986</v>
      </c>
      <c r="F12309" s="1743"/>
      <c r="G12309" s="1743"/>
      <c r="H12309" s="1743"/>
      <c r="K12309" s="1192" t="s">
        <v>2442</v>
      </c>
      <c r="V12309" s="1192">
        <v>246</v>
      </c>
    </row>
    <row r="12310" spans="1:22" s="1192" customFormat="1" ht="14.4" x14ac:dyDescent="0.3">
      <c r="A12310" s="1192" t="s">
        <v>196</v>
      </c>
      <c r="E12310" s="2018" t="s">
        <v>2394</v>
      </c>
      <c r="F12310" s="1988"/>
      <c r="G12310" s="1988"/>
      <c r="H12310" s="1988"/>
      <c r="K12310" s="1192" t="s">
        <v>2446</v>
      </c>
      <c r="V12310" s="1192">
        <v>46</v>
      </c>
    </row>
    <row r="12311" spans="1:22" s="1192" customFormat="1" ht="14.4" x14ac:dyDescent="0.3">
      <c r="A12311" s="1192" t="s">
        <v>196</v>
      </c>
      <c r="E12311" s="1740" t="s">
        <v>7</v>
      </c>
      <c r="F12311" s="1740"/>
      <c r="G12311" s="1277" t="s">
        <v>19</v>
      </c>
      <c r="H12311" s="1218">
        <v>4.55</v>
      </c>
      <c r="K12311" s="1192" t="s">
        <v>2442</v>
      </c>
      <c r="L12311" s="1192" t="s">
        <v>430</v>
      </c>
      <c r="P12311" s="1192" t="s">
        <v>2447</v>
      </c>
      <c r="V12311" s="1192">
        <v>14</v>
      </c>
    </row>
    <row r="12312" spans="1:22" s="1192" customFormat="1" ht="17.399999999999999" x14ac:dyDescent="0.3">
      <c r="A12312" s="1192" t="s">
        <v>196</v>
      </c>
      <c r="E12312" s="1269" t="s">
        <v>81</v>
      </c>
      <c r="F12312" s="3"/>
      <c r="G12312" s="3"/>
      <c r="H12312" s="919"/>
      <c r="K12312" s="1192" t="s">
        <v>4874</v>
      </c>
      <c r="V12312" s="1192">
        <v>10</v>
      </c>
    </row>
    <row r="12313" spans="1:22" s="1192" customFormat="1" ht="14.4" x14ac:dyDescent="0.3">
      <c r="A12313" s="1192" t="s">
        <v>196</v>
      </c>
      <c r="E12313" s="1740" t="s">
        <v>2449</v>
      </c>
      <c r="F12313" s="1740"/>
      <c r="G12313" s="1277" t="s">
        <v>29</v>
      </c>
      <c r="H12313" s="1219">
        <v>-0.6</v>
      </c>
      <c r="V12313" s="1192">
        <v>68</v>
      </c>
    </row>
    <row r="12314" spans="1:22" s="1192" customFormat="1" ht="14.4" x14ac:dyDescent="0.3">
      <c r="A12314" s="1192" t="s">
        <v>196</v>
      </c>
      <c r="E12314" s="1740" t="s">
        <v>2450</v>
      </c>
      <c r="F12314" s="1740"/>
      <c r="G12314" s="1277" t="s">
        <v>82</v>
      </c>
      <c r="H12314" s="1218">
        <v>-1</v>
      </c>
      <c r="V12314" s="1192">
        <v>87</v>
      </c>
    </row>
    <row r="12315" spans="1:22" s="1192" customFormat="1" ht="17.399999999999999" x14ac:dyDescent="0.3">
      <c r="A12315" s="1192" t="s">
        <v>196</v>
      </c>
      <c r="E12315" s="1269" t="s">
        <v>83</v>
      </c>
      <c r="F12315" s="3"/>
      <c r="G12315" s="3"/>
      <c r="H12315" s="919"/>
      <c r="K12315" s="1192" t="s">
        <v>4875</v>
      </c>
      <c r="V12315" s="1192">
        <v>24</v>
      </c>
    </row>
    <row r="12316" spans="1:22" s="1192" customFormat="1" ht="14.4" x14ac:dyDescent="0.3">
      <c r="A12316" s="1192" t="s">
        <v>196</v>
      </c>
      <c r="E12316" s="1743" t="s">
        <v>2391</v>
      </c>
      <c r="F12316" s="1743"/>
      <c r="G12316" s="1743"/>
      <c r="H12316" s="1743"/>
      <c r="V12316" s="1192">
        <v>280</v>
      </c>
    </row>
    <row r="12317" spans="1:22" s="1192" customFormat="1" ht="14.4" x14ac:dyDescent="0.3">
      <c r="A12317" s="1192" t="s">
        <v>196</v>
      </c>
      <c r="E12317" s="1743" t="s">
        <v>2392</v>
      </c>
      <c r="F12317" s="1743"/>
      <c r="G12317" s="1743"/>
      <c r="H12317" s="1743"/>
      <c r="V12317" s="1192">
        <v>411</v>
      </c>
    </row>
    <row r="12318" spans="1:22" s="1192" customFormat="1" ht="14.4" x14ac:dyDescent="0.3">
      <c r="A12318" s="1192" t="s">
        <v>196</v>
      </c>
      <c r="E12318" s="1743" t="s">
        <v>2986</v>
      </c>
      <c r="F12318" s="1743"/>
      <c r="G12318" s="1743"/>
      <c r="H12318" s="1743"/>
      <c r="V12318" s="1192">
        <v>246</v>
      </c>
    </row>
    <row r="12319" spans="1:22" s="1192" customFormat="1" ht="14.4" x14ac:dyDescent="0.3">
      <c r="A12319" s="1192" t="s">
        <v>196</v>
      </c>
      <c r="E12319" s="1270" t="s">
        <v>2453</v>
      </c>
      <c r="F12319" s="1287"/>
      <c r="G12319" s="1287"/>
      <c r="H12319" s="880"/>
      <c r="K12319" s="1192" t="s">
        <v>4878</v>
      </c>
      <c r="V12319" s="1192">
        <v>23</v>
      </c>
    </row>
    <row r="12320" spans="1:22" s="1192" customFormat="1" ht="14.4" x14ac:dyDescent="0.3">
      <c r="A12320" s="1192" t="s">
        <v>196</v>
      </c>
      <c r="E12320" s="1745" t="s">
        <v>2639</v>
      </c>
      <c r="F12320" s="1745"/>
      <c r="G12320" s="1277" t="s">
        <v>19</v>
      </c>
      <c r="H12320" s="1218">
        <v>15</v>
      </c>
      <c r="V12320" s="1192">
        <v>19</v>
      </c>
    </row>
    <row r="12321" spans="1:22" s="1192" customFormat="1" ht="14.4" x14ac:dyDescent="0.3">
      <c r="A12321" s="1192" t="s">
        <v>196</v>
      </c>
      <c r="E12321" s="1745" t="s">
        <v>2464</v>
      </c>
      <c r="F12321" s="1745"/>
      <c r="G12321" s="1277" t="s">
        <v>19</v>
      </c>
      <c r="H12321" s="1218">
        <v>15</v>
      </c>
      <c r="V12321" s="1192">
        <v>56</v>
      </c>
    </row>
    <row r="12322" spans="1:22" s="1192" customFormat="1" ht="14.4" x14ac:dyDescent="0.3">
      <c r="A12322" s="1192" t="s">
        <v>196</v>
      </c>
      <c r="E12322" s="1745" t="s">
        <v>119</v>
      </c>
      <c r="F12322" s="1745"/>
      <c r="G12322" s="1277" t="s">
        <v>19</v>
      </c>
      <c r="H12322" s="1218">
        <v>15</v>
      </c>
      <c r="V12322" s="1192">
        <v>35</v>
      </c>
    </row>
    <row r="12323" spans="1:22" s="1192" customFormat="1" ht="14.4" x14ac:dyDescent="0.3">
      <c r="A12323" s="1192" t="s">
        <v>196</v>
      </c>
      <c r="E12323" s="1745" t="s">
        <v>84</v>
      </c>
      <c r="F12323" s="1745"/>
      <c r="G12323" s="1277" t="s">
        <v>19</v>
      </c>
      <c r="H12323" s="1218">
        <v>30</v>
      </c>
      <c r="V12323" s="1192">
        <v>89</v>
      </c>
    </row>
    <row r="12324" spans="1:22" s="1192" customFormat="1" ht="14.4" x14ac:dyDescent="0.3">
      <c r="A12324" s="1192" t="s">
        <v>196</v>
      </c>
      <c r="E12324" s="1745" t="s">
        <v>90</v>
      </c>
      <c r="F12324" s="1745"/>
      <c r="G12324" s="1277" t="s">
        <v>19</v>
      </c>
      <c r="H12324" s="1218">
        <v>30</v>
      </c>
      <c r="V12324" s="1192">
        <v>19</v>
      </c>
    </row>
    <row r="12325" spans="1:22" s="1192" customFormat="1" ht="14.4" x14ac:dyDescent="0.3">
      <c r="A12325" s="1192" t="s">
        <v>196</v>
      </c>
      <c r="E12325" s="1745" t="s">
        <v>88</v>
      </c>
      <c r="F12325" s="1745"/>
      <c r="G12325" s="1277" t="s">
        <v>19</v>
      </c>
      <c r="H12325" s="1218">
        <v>30</v>
      </c>
      <c r="V12325" s="1192">
        <v>74</v>
      </c>
    </row>
    <row r="12326" spans="1:22" s="1192" customFormat="1" ht="14.4" x14ac:dyDescent="0.3">
      <c r="A12326" s="1192" t="s">
        <v>196</v>
      </c>
      <c r="E12326" s="1270" t="s">
        <v>2468</v>
      </c>
      <c r="F12326" s="1287"/>
      <c r="G12326" s="1287"/>
      <c r="H12326" s="880"/>
      <c r="K12326" s="1192" t="s">
        <v>6654</v>
      </c>
      <c r="V12326" s="1192">
        <v>22</v>
      </c>
    </row>
    <row r="12327" spans="1:22" s="1192" customFormat="1" ht="14.4" x14ac:dyDescent="0.3">
      <c r="A12327" s="1192" t="s">
        <v>196</v>
      </c>
      <c r="E12327" s="1745" t="s">
        <v>5940</v>
      </c>
      <c r="F12327" s="1745"/>
      <c r="G12327" s="1277" t="s">
        <v>82</v>
      </c>
      <c r="H12327" s="1218">
        <v>1.5</v>
      </c>
      <c r="V12327" s="1192">
        <v>99</v>
      </c>
    </row>
    <row r="12328" spans="1:22" s="1192" customFormat="1" ht="14.4" x14ac:dyDescent="0.3">
      <c r="A12328" s="1192" t="s">
        <v>196</v>
      </c>
      <c r="E12328" s="1745" t="s">
        <v>5894</v>
      </c>
      <c r="F12328" s="1745"/>
      <c r="G12328" s="1277" t="s">
        <v>19</v>
      </c>
      <c r="H12328" s="1218">
        <v>65</v>
      </c>
      <c r="V12328" s="1192">
        <v>44</v>
      </c>
    </row>
    <row r="12329" spans="1:22" s="1192" customFormat="1" ht="14.4" x14ac:dyDescent="0.3">
      <c r="A12329" s="1192" t="s">
        <v>196</v>
      </c>
      <c r="E12329" s="1270" t="s">
        <v>2474</v>
      </c>
      <c r="F12329" s="453"/>
      <c r="G12329" s="360"/>
      <c r="H12329" s="844"/>
      <c r="V12329" s="1192">
        <v>5</v>
      </c>
    </row>
    <row r="12330" spans="1:22" s="1192" customFormat="1" ht="14.4" x14ac:dyDescent="0.3">
      <c r="A12330" s="1192" t="s">
        <v>196</v>
      </c>
      <c r="E12330" s="1745" t="s">
        <v>5497</v>
      </c>
      <c r="F12330" s="1745"/>
      <c r="G12330" s="1277" t="s">
        <v>19</v>
      </c>
      <c r="H12330" s="1218">
        <v>44.5</v>
      </c>
      <c r="V12330" s="1192">
        <v>104</v>
      </c>
    </row>
    <row r="12331" spans="1:22" s="1192" customFormat="1" ht="17.399999999999999" x14ac:dyDescent="0.3">
      <c r="A12331" s="1192" t="s">
        <v>196</v>
      </c>
      <c r="E12331" s="1269" t="s">
        <v>73</v>
      </c>
      <c r="F12331" s="3"/>
      <c r="G12331" s="3"/>
      <c r="H12331" s="919"/>
      <c r="K12331" s="1192" t="s">
        <v>4879</v>
      </c>
      <c r="V12331" s="1192">
        <v>38</v>
      </c>
    </row>
    <row r="12332" spans="1:22" s="1192" customFormat="1" ht="14.4" x14ac:dyDescent="0.3">
      <c r="A12332" s="1192" t="s">
        <v>196</v>
      </c>
      <c r="E12332" s="1743" t="s">
        <v>2391</v>
      </c>
      <c r="F12332" s="1743"/>
      <c r="G12332" s="1743"/>
      <c r="H12332" s="1743"/>
      <c r="V12332" s="1192">
        <v>280</v>
      </c>
    </row>
    <row r="12333" spans="1:22" s="1192" customFormat="1" ht="14.4" x14ac:dyDescent="0.3">
      <c r="A12333" s="1192" t="s">
        <v>196</v>
      </c>
      <c r="E12333" s="1743" t="s">
        <v>2392</v>
      </c>
      <c r="F12333" s="1743"/>
      <c r="G12333" s="1743"/>
      <c r="H12333" s="1743"/>
      <c r="V12333" s="1192">
        <v>411</v>
      </c>
    </row>
    <row r="12334" spans="1:22" s="1192" customFormat="1" ht="14.4" x14ac:dyDescent="0.3">
      <c r="A12334" s="1192" t="s">
        <v>196</v>
      </c>
      <c r="E12334" s="1743" t="s">
        <v>3124</v>
      </c>
      <c r="F12334" s="1743"/>
      <c r="G12334" s="1743"/>
      <c r="H12334" s="1743"/>
      <c r="V12334" s="1192">
        <v>212</v>
      </c>
    </row>
    <row r="12335" spans="1:22" s="1192" customFormat="1" ht="14.4" x14ac:dyDescent="0.3">
      <c r="A12335" s="1192" t="s">
        <v>196</v>
      </c>
      <c r="E12335" s="1743" t="s">
        <v>2986</v>
      </c>
      <c r="F12335" s="1743"/>
      <c r="G12335" s="1743"/>
      <c r="H12335" s="1743"/>
      <c r="V12335" s="1192">
        <v>246</v>
      </c>
    </row>
    <row r="12336" spans="1:22" s="1192" customFormat="1" ht="14.4" x14ac:dyDescent="0.3">
      <c r="A12336" s="1192" t="s">
        <v>196</v>
      </c>
      <c r="E12336" s="1743" t="s">
        <v>2595</v>
      </c>
      <c r="F12336" s="1743"/>
      <c r="G12336" s="1743"/>
      <c r="H12336" s="1743"/>
      <c r="V12336" s="1192">
        <v>142</v>
      </c>
    </row>
    <row r="12337" spans="1:22" s="1192" customFormat="1" ht="14.4" x14ac:dyDescent="0.3">
      <c r="A12337" s="1192" t="s">
        <v>196</v>
      </c>
      <c r="E12337" s="1740" t="s">
        <v>2485</v>
      </c>
      <c r="F12337" s="1740"/>
      <c r="G12337" s="360" t="s">
        <v>19</v>
      </c>
      <c r="H12337" s="1218">
        <v>102</v>
      </c>
      <c r="V12337" s="1192">
        <v>106</v>
      </c>
    </row>
    <row r="12338" spans="1:22" s="1192" customFormat="1" ht="14.4" x14ac:dyDescent="0.3">
      <c r="A12338" s="1192" t="s">
        <v>196</v>
      </c>
      <c r="E12338" s="1740" t="s">
        <v>3919</v>
      </c>
      <c r="F12338" s="1740"/>
      <c r="G12338" s="360" t="s">
        <v>19</v>
      </c>
      <c r="H12338" s="1218">
        <v>40.799999999999997</v>
      </c>
      <c r="V12338" s="1192">
        <v>34</v>
      </c>
    </row>
    <row r="12339" spans="1:22" s="1192" customFormat="1" ht="14.4" x14ac:dyDescent="0.3">
      <c r="A12339" s="1192" t="s">
        <v>196</v>
      </c>
      <c r="E12339" s="1740" t="s">
        <v>3920</v>
      </c>
      <c r="F12339" s="1740"/>
      <c r="G12339" s="360" t="s">
        <v>2488</v>
      </c>
      <c r="H12339" s="1218">
        <v>1.02</v>
      </c>
      <c r="V12339" s="1192">
        <v>51</v>
      </c>
    </row>
    <row r="12340" spans="1:22" s="1192" customFormat="1" ht="14.4" x14ac:dyDescent="0.3">
      <c r="A12340" s="1192" t="s">
        <v>196</v>
      </c>
      <c r="E12340" s="1740" t="s">
        <v>2489</v>
      </c>
      <c r="F12340" s="1740"/>
      <c r="G12340" s="360" t="s">
        <v>2488</v>
      </c>
      <c r="H12340" s="1218">
        <v>0.61</v>
      </c>
      <c r="V12340" s="1192">
        <v>75</v>
      </c>
    </row>
    <row r="12341" spans="1:22" s="1192" customFormat="1" ht="14.4" x14ac:dyDescent="0.3">
      <c r="A12341" s="1192" t="s">
        <v>196</v>
      </c>
      <c r="E12341" s="1740" t="s">
        <v>2490</v>
      </c>
      <c r="F12341" s="1740"/>
      <c r="G12341" s="360" t="s">
        <v>2488</v>
      </c>
      <c r="H12341" s="1218">
        <v>-0.61</v>
      </c>
      <c r="V12341" s="1192">
        <v>72</v>
      </c>
    </row>
    <row r="12342" spans="1:22" s="1192" customFormat="1" ht="14.4" x14ac:dyDescent="0.3">
      <c r="A12342" s="1192" t="s">
        <v>196</v>
      </c>
      <c r="E12342" s="1740" t="s">
        <v>2491</v>
      </c>
      <c r="F12342" s="1740"/>
      <c r="G12342" s="360"/>
      <c r="H12342" s="837"/>
      <c r="V12342" s="1192">
        <v>35</v>
      </c>
    </row>
    <row r="12343" spans="1:22" s="1192" customFormat="1" ht="14.4" x14ac:dyDescent="0.3">
      <c r="A12343" s="1192" t="s">
        <v>196</v>
      </c>
      <c r="E12343" s="1742" t="s">
        <v>2492</v>
      </c>
      <c r="F12343" s="1742"/>
      <c r="G12343" s="360" t="s">
        <v>19</v>
      </c>
      <c r="H12343" s="1218">
        <v>0.51</v>
      </c>
      <c r="V12343" s="1192">
        <v>57</v>
      </c>
    </row>
    <row r="12344" spans="1:22" s="1192" customFormat="1" ht="14.4" x14ac:dyDescent="0.3">
      <c r="A12344" s="1192" t="s">
        <v>196</v>
      </c>
      <c r="E12344" s="1742" t="s">
        <v>2493</v>
      </c>
      <c r="F12344" s="1742"/>
      <c r="G12344" s="360" t="s">
        <v>19</v>
      </c>
      <c r="H12344" s="1218">
        <v>1.02</v>
      </c>
      <c r="V12344" s="1192">
        <v>60</v>
      </c>
    </row>
    <row r="12345" spans="1:22" s="1192" customFormat="1" ht="14.4" x14ac:dyDescent="0.3">
      <c r="A12345" s="1192" t="s">
        <v>196</v>
      </c>
      <c r="E12345" s="1740" t="s">
        <v>2494</v>
      </c>
      <c r="F12345" s="1740"/>
      <c r="G12345" s="360"/>
      <c r="H12345" s="837"/>
      <c r="V12345" s="1192">
        <v>91</v>
      </c>
    </row>
    <row r="12346" spans="1:22" s="1192" customFormat="1" ht="14.4" x14ac:dyDescent="0.3">
      <c r="A12346" s="1192" t="s">
        <v>196</v>
      </c>
      <c r="E12346" s="1740" t="s">
        <v>2495</v>
      </c>
      <c r="F12346" s="1740"/>
      <c r="G12346" s="360"/>
      <c r="H12346" s="837"/>
      <c r="V12346" s="1192">
        <v>96</v>
      </c>
    </row>
    <row r="12347" spans="1:22" s="1192" customFormat="1" ht="14.4" x14ac:dyDescent="0.3">
      <c r="A12347" s="1192" t="s">
        <v>196</v>
      </c>
      <c r="E12347" s="1740" t="s">
        <v>2496</v>
      </c>
      <c r="F12347" s="1740"/>
      <c r="G12347" s="360"/>
      <c r="H12347" s="837"/>
      <c r="V12347" s="1192">
        <v>78</v>
      </c>
    </row>
    <row r="12348" spans="1:22" s="1192" customFormat="1" ht="14.4" x14ac:dyDescent="0.3">
      <c r="A12348" s="1192" t="s">
        <v>196</v>
      </c>
      <c r="E12348" s="1742" t="s">
        <v>2497</v>
      </c>
      <c r="F12348" s="1742"/>
      <c r="G12348" s="360" t="s">
        <v>19</v>
      </c>
      <c r="H12348" s="837" t="s">
        <v>2498</v>
      </c>
      <c r="V12348" s="1192">
        <v>18</v>
      </c>
    </row>
    <row r="12349" spans="1:22" s="1192" customFormat="1" ht="14.4" x14ac:dyDescent="0.3">
      <c r="A12349" s="1192" t="s">
        <v>196</v>
      </c>
      <c r="E12349" s="1742" t="s">
        <v>2499</v>
      </c>
      <c r="F12349" s="1742"/>
      <c r="G12349" s="360" t="s">
        <v>19</v>
      </c>
      <c r="H12349" s="1218">
        <v>4.08</v>
      </c>
      <c r="V12349" s="1192">
        <v>69</v>
      </c>
    </row>
    <row r="12350" spans="1:22" s="1192" customFormat="1" ht="14.4" x14ac:dyDescent="0.3">
      <c r="A12350" s="1192" t="s">
        <v>196</v>
      </c>
      <c r="E12350" s="1741" t="s">
        <v>4608</v>
      </c>
      <c r="F12350" s="1741"/>
      <c r="G12350" s="360" t="s">
        <v>19</v>
      </c>
      <c r="H12350" s="1218">
        <v>2.04</v>
      </c>
      <c r="V12350" s="1192">
        <v>199</v>
      </c>
    </row>
    <row r="12351" spans="1:22" s="1192" customFormat="1" ht="17.399999999999999" x14ac:dyDescent="0.3">
      <c r="A12351" s="1192" t="s">
        <v>196</v>
      </c>
      <c r="E12351" s="1269" t="s">
        <v>143</v>
      </c>
      <c r="F12351" s="3"/>
      <c r="G12351" s="3"/>
      <c r="H12351" s="919"/>
      <c r="K12351" s="1192" t="s">
        <v>4883</v>
      </c>
      <c r="V12351" s="1192">
        <v>12</v>
      </c>
    </row>
    <row r="12352" spans="1:22" s="1192" customFormat="1" ht="14.4" x14ac:dyDescent="0.3">
      <c r="A12352" s="1192" t="s">
        <v>196</v>
      </c>
      <c r="E12352" s="1741" t="s">
        <v>2501</v>
      </c>
      <c r="F12352" s="1741"/>
      <c r="G12352" s="1741"/>
      <c r="H12352" s="1741"/>
      <c r="V12352" s="1192">
        <v>203</v>
      </c>
    </row>
    <row r="12353" spans="1:22" s="1192" customFormat="1" ht="14.4" x14ac:dyDescent="0.3">
      <c r="A12353" s="1192" t="s">
        <v>196</v>
      </c>
      <c r="E12353" s="1740" t="s">
        <v>2599</v>
      </c>
      <c r="F12353" s="1740"/>
      <c r="G12353" s="1277"/>
      <c r="H12353" s="837">
        <v>1.0705</v>
      </c>
      <c r="V12353" s="1192">
        <v>57</v>
      </c>
    </row>
    <row r="12354" spans="1:22" s="1192" customFormat="1" ht="14.4" x14ac:dyDescent="0.3">
      <c r="A12354" s="1192" t="s">
        <v>196</v>
      </c>
      <c r="E12354" s="1740" t="s">
        <v>2601</v>
      </c>
      <c r="F12354" s="1740"/>
      <c r="G12354" s="1277"/>
      <c r="H12354" s="837">
        <v>1.0599000000000001</v>
      </c>
      <c r="J12354" s="1192" t="s">
        <v>4884</v>
      </c>
      <c r="V12354" s="1192">
        <v>55</v>
      </c>
    </row>
    <row r="12355" spans="1:22" s="1192" customFormat="1" ht="22.8" x14ac:dyDescent="0.3">
      <c r="A12355" s="1192" t="s">
        <v>190</v>
      </c>
      <c r="C12355" s="1192" t="s">
        <v>2378</v>
      </c>
      <c r="E12355" s="1752" t="s">
        <v>190</v>
      </c>
      <c r="F12355" s="1752"/>
      <c r="G12355" s="1752"/>
      <c r="H12355" s="1752"/>
      <c r="I12355" s="1192" t="s">
        <v>603</v>
      </c>
      <c r="J12355" s="1192" t="s">
        <v>4462</v>
      </c>
      <c r="K12355" s="1192" t="s">
        <v>190</v>
      </c>
      <c r="M12355" s="1192">
        <v>5</v>
      </c>
      <c r="V12355" s="1192">
        <v>24</v>
      </c>
    </row>
    <row r="12356" spans="1:22" s="1192" customFormat="1" ht="17.399999999999999" x14ac:dyDescent="0.3">
      <c r="A12356" s="1192" t="s">
        <v>190</v>
      </c>
      <c r="C12356" s="1192" t="s">
        <v>2380</v>
      </c>
      <c r="E12356" s="1753" t="s">
        <v>2381</v>
      </c>
      <c r="F12356" s="1753"/>
      <c r="G12356" s="1753"/>
      <c r="H12356" s="1753"/>
      <c r="V12356" s="1192">
        <v>27</v>
      </c>
    </row>
    <row r="12357" spans="1:22" s="1192" customFormat="1" ht="15.6" x14ac:dyDescent="0.3">
      <c r="A12357" s="1192" t="s">
        <v>190</v>
      </c>
      <c r="C12357" s="1192" t="s">
        <v>2382</v>
      </c>
      <c r="E12357" s="1754" t="s">
        <v>6482</v>
      </c>
      <c r="F12357" s="1754"/>
      <c r="G12357" s="1754"/>
      <c r="H12357" s="1754"/>
      <c r="S12357" s="1192">
        <v>43952</v>
      </c>
      <c r="V12357" s="1192">
        <v>45</v>
      </c>
    </row>
    <row r="12358" spans="1:22" s="1192" customFormat="1" ht="14.4" x14ac:dyDescent="0.3">
      <c r="A12358" s="1192" t="s">
        <v>190</v>
      </c>
      <c r="C12358" s="1192" t="s">
        <v>2383</v>
      </c>
      <c r="E12358" s="1755" t="s">
        <v>2384</v>
      </c>
      <c r="F12358" s="1755"/>
      <c r="G12358" s="1755"/>
      <c r="H12358" s="1755"/>
      <c r="V12358" s="1192">
        <v>52</v>
      </c>
    </row>
    <row r="12359" spans="1:22" s="1192" customFormat="1" ht="14.4" x14ac:dyDescent="0.3">
      <c r="A12359" s="1192" t="s">
        <v>190</v>
      </c>
      <c r="E12359" s="1755" t="s">
        <v>2385</v>
      </c>
      <c r="F12359" s="1755"/>
      <c r="G12359" s="1755"/>
      <c r="H12359" s="1755"/>
      <c r="V12359" s="1192">
        <v>53</v>
      </c>
    </row>
    <row r="12360" spans="1:22" s="1192" customFormat="1" ht="14.4" x14ac:dyDescent="0.3">
      <c r="A12360" s="1192" t="s">
        <v>190</v>
      </c>
      <c r="E12360" s="1772" t="s">
        <v>6655</v>
      </c>
      <c r="F12360" s="1772"/>
      <c r="G12360" s="1772"/>
      <c r="H12360" s="1772"/>
      <c r="K12360" s="1192" t="s">
        <v>6655</v>
      </c>
      <c r="V12360" s="1192">
        <v>12</v>
      </c>
    </row>
    <row r="12361" spans="1:22" s="1192" customFormat="1" ht="14.4" x14ac:dyDescent="0.3">
      <c r="A12361" s="1192" t="s">
        <v>190</v>
      </c>
      <c r="E12361" s="1746" t="s">
        <v>427</v>
      </c>
      <c r="F12361" s="1743"/>
      <c r="G12361" s="1743"/>
      <c r="H12361" s="1743"/>
      <c r="K12361" s="1192" t="s">
        <v>2506</v>
      </c>
      <c r="V12361" s="1192">
        <v>34</v>
      </c>
    </row>
    <row r="12362" spans="1:22" s="1192" customFormat="1" ht="14.4" x14ac:dyDescent="0.3">
      <c r="A12362" s="1192" t="s">
        <v>190</v>
      </c>
      <c r="E12362" s="1743" t="s">
        <v>3084</v>
      </c>
      <c r="F12362" s="1743"/>
      <c r="G12362" s="1743"/>
      <c r="H12362" s="1743"/>
      <c r="K12362" s="1192" t="s">
        <v>2506</v>
      </c>
      <c r="V12362" s="1192">
        <v>652</v>
      </c>
    </row>
    <row r="12363" spans="1:22" s="1192" customFormat="1" ht="14.4" x14ac:dyDescent="0.3">
      <c r="A12363" s="1192" t="s">
        <v>190</v>
      </c>
      <c r="E12363" s="1750" t="s">
        <v>2389</v>
      </c>
      <c r="F12363" s="1743"/>
      <c r="G12363" s="1743"/>
      <c r="H12363" s="1743"/>
      <c r="K12363" s="1192" t="s">
        <v>2390</v>
      </c>
      <c r="V12363" s="1192">
        <v>11</v>
      </c>
    </row>
    <row r="12364" spans="1:22" s="1192" customFormat="1" ht="14.4" x14ac:dyDescent="0.3">
      <c r="A12364" s="1192" t="s">
        <v>190</v>
      </c>
      <c r="E12364" s="1743" t="s">
        <v>2391</v>
      </c>
      <c r="F12364" s="1743"/>
      <c r="G12364" s="1743"/>
      <c r="H12364" s="1743"/>
      <c r="K12364" s="1192" t="s">
        <v>2506</v>
      </c>
      <c r="V12364" s="1192">
        <v>280</v>
      </c>
    </row>
    <row r="12365" spans="1:22" s="1192" customFormat="1" ht="14.4" x14ac:dyDescent="0.3">
      <c r="A12365" s="1192" t="s">
        <v>190</v>
      </c>
      <c r="E12365" s="1743" t="s">
        <v>2392</v>
      </c>
      <c r="F12365" s="1743"/>
      <c r="G12365" s="1743"/>
      <c r="H12365" s="1743"/>
      <c r="K12365" s="1192" t="s">
        <v>2506</v>
      </c>
      <c r="V12365" s="1192">
        <v>411</v>
      </c>
    </row>
    <row r="12366" spans="1:22" s="1192" customFormat="1" ht="14.4" x14ac:dyDescent="0.3">
      <c r="A12366" s="1192" t="s">
        <v>190</v>
      </c>
      <c r="E12366" s="1743" t="s">
        <v>4731</v>
      </c>
      <c r="F12366" s="1743"/>
      <c r="G12366" s="1743"/>
      <c r="H12366" s="1743"/>
      <c r="K12366" s="1192" t="s">
        <v>2506</v>
      </c>
      <c r="V12366" s="1192">
        <v>389</v>
      </c>
    </row>
    <row r="12367" spans="1:22" s="1192" customFormat="1" ht="14.4" x14ac:dyDescent="0.3">
      <c r="A12367" s="1192" t="s">
        <v>190</v>
      </c>
      <c r="E12367" s="1743" t="s">
        <v>4500</v>
      </c>
      <c r="F12367" s="1743"/>
      <c r="G12367" s="1743"/>
      <c r="H12367" s="1743"/>
      <c r="K12367" s="1192" t="s">
        <v>2506</v>
      </c>
      <c r="V12367" s="1192">
        <v>247</v>
      </c>
    </row>
    <row r="12368" spans="1:22" s="1192" customFormat="1" ht="14.4" x14ac:dyDescent="0.3">
      <c r="A12368" s="1192" t="s">
        <v>190</v>
      </c>
      <c r="E12368" s="1750" t="s">
        <v>2394</v>
      </c>
      <c r="F12368" s="1743"/>
      <c r="G12368" s="1743"/>
      <c r="H12368" s="1743"/>
      <c r="K12368" s="1192" t="s">
        <v>2395</v>
      </c>
      <c r="V12368" s="1192">
        <v>46</v>
      </c>
    </row>
    <row r="12369" spans="1:22" s="1192" customFormat="1" ht="14.4" x14ac:dyDescent="0.3">
      <c r="A12369" s="1192" t="s">
        <v>190</v>
      </c>
      <c r="E12369" s="1740" t="s">
        <v>7</v>
      </c>
      <c r="F12369" s="1740"/>
      <c r="G12369" s="524" t="s">
        <v>19</v>
      </c>
      <c r="H12369" s="1218">
        <v>48.69</v>
      </c>
      <c r="K12369" s="1192" t="s">
        <v>2506</v>
      </c>
      <c r="L12369" s="1192" t="s">
        <v>430</v>
      </c>
      <c r="P12369" s="1192" t="s">
        <v>2510</v>
      </c>
      <c r="V12369" s="1192">
        <v>14</v>
      </c>
    </row>
    <row r="12370" spans="1:22" s="1192" customFormat="1" ht="14.4" x14ac:dyDescent="0.3">
      <c r="A12370" s="1192" t="s">
        <v>190</v>
      </c>
      <c r="E12370" s="1740" t="s">
        <v>3900</v>
      </c>
      <c r="F12370" s="1740"/>
      <c r="G12370" s="524" t="s">
        <v>19</v>
      </c>
      <c r="H12370" s="1218">
        <v>0.56999999999999995</v>
      </c>
      <c r="K12370" s="1192" t="s">
        <v>2506</v>
      </c>
      <c r="L12370" s="1192" t="s">
        <v>431</v>
      </c>
      <c r="P12370" s="1192" t="s">
        <v>2511</v>
      </c>
      <c r="T12370" s="1192">
        <v>44926</v>
      </c>
      <c r="V12370" s="1192">
        <v>64</v>
      </c>
    </row>
    <row r="12371" spans="1:22" s="1192" customFormat="1" ht="14.4" x14ac:dyDescent="0.3">
      <c r="A12371" s="1192" t="s">
        <v>190</v>
      </c>
      <c r="E12371" s="1740" t="s">
        <v>4732</v>
      </c>
      <c r="F12371" s="1740"/>
      <c r="G12371" s="524" t="s">
        <v>19</v>
      </c>
      <c r="H12371" s="1218">
        <v>0.22</v>
      </c>
      <c r="K12371" s="1192" t="s">
        <v>2506</v>
      </c>
      <c r="L12371" s="1192" t="s">
        <v>430</v>
      </c>
      <c r="P12371" s="1192" t="s">
        <v>6656</v>
      </c>
      <c r="T12371" s="1192">
        <v>45199</v>
      </c>
      <c r="V12371" s="1192">
        <v>79</v>
      </c>
    </row>
    <row r="12372" spans="1:22" s="1192" customFormat="1" ht="14.4" x14ac:dyDescent="0.3">
      <c r="A12372" s="1192" t="s">
        <v>190</v>
      </c>
      <c r="E12372" s="1740" t="s">
        <v>14</v>
      </c>
      <c r="F12372" s="1740"/>
      <c r="G12372" s="524" t="s">
        <v>20</v>
      </c>
      <c r="H12372" s="1219">
        <v>5.0000000000000001E-3</v>
      </c>
      <c r="K12372" s="1192" t="s">
        <v>2506</v>
      </c>
      <c r="L12372" s="1192" t="s">
        <v>431</v>
      </c>
      <c r="P12372" s="1192" t="s">
        <v>2513</v>
      </c>
      <c r="V12372" s="1192">
        <v>24</v>
      </c>
    </row>
    <row r="12373" spans="1:22" s="1192" customFormat="1" ht="14.4" x14ac:dyDescent="0.3">
      <c r="A12373" s="1192" t="s">
        <v>190</v>
      </c>
      <c r="E12373" s="2011" t="s">
        <v>6506</v>
      </c>
      <c r="F12373" s="2016"/>
      <c r="G12373" s="524" t="s">
        <v>20</v>
      </c>
      <c r="H12373" s="1219">
        <v>-1.5100000000000001E-2</v>
      </c>
      <c r="K12373" s="1192" t="s">
        <v>2506</v>
      </c>
      <c r="L12373" s="1192" t="s">
        <v>431</v>
      </c>
      <c r="P12373" s="1192" t="s">
        <v>2514</v>
      </c>
      <c r="T12373" s="1192">
        <v>44316</v>
      </c>
      <c r="V12373" s="1192">
        <v>139</v>
      </c>
    </row>
    <row r="12374" spans="1:22" s="1192" customFormat="1" ht="14.4" x14ac:dyDescent="0.3">
      <c r="A12374" s="1192" t="s">
        <v>190</v>
      </c>
      <c r="E12374" s="1740" t="s">
        <v>6508</v>
      </c>
      <c r="F12374" s="1989"/>
      <c r="G12374" s="524" t="s">
        <v>20</v>
      </c>
      <c r="H12374" s="1219">
        <v>1E-3</v>
      </c>
      <c r="K12374" s="1192" t="s">
        <v>2506</v>
      </c>
      <c r="L12374" s="1192" t="s">
        <v>431</v>
      </c>
      <c r="P12374" s="1192" t="s">
        <v>2516</v>
      </c>
      <c r="T12374" s="1192">
        <v>44316</v>
      </c>
      <c r="V12374" s="1192">
        <v>96</v>
      </c>
    </row>
    <row r="12375" spans="1:22" s="1192" customFormat="1" ht="14.4" x14ac:dyDescent="0.3">
      <c r="A12375" s="1192" t="s">
        <v>190</v>
      </c>
      <c r="E12375" s="1740" t="s">
        <v>213</v>
      </c>
      <c r="F12375" s="1740"/>
      <c r="G12375" s="524" t="s">
        <v>20</v>
      </c>
      <c r="H12375" s="1219">
        <v>7.1000000000000004E-3</v>
      </c>
      <c r="K12375" s="1192" t="s">
        <v>2506</v>
      </c>
      <c r="L12375" s="1192" t="s">
        <v>432</v>
      </c>
      <c r="P12375" s="1192" t="s">
        <v>2517</v>
      </c>
      <c r="V12375" s="1192">
        <v>47</v>
      </c>
    </row>
    <row r="12376" spans="1:22" s="1192" customFormat="1" ht="14.4" x14ac:dyDescent="0.3">
      <c r="A12376" s="1192" t="s">
        <v>190</v>
      </c>
      <c r="E12376" s="1740" t="s">
        <v>209</v>
      </c>
      <c r="F12376" s="1740"/>
      <c r="G12376" s="524" t="s">
        <v>20</v>
      </c>
      <c r="H12376" s="1219">
        <v>1.8E-3</v>
      </c>
      <c r="K12376" s="1192" t="s">
        <v>2506</v>
      </c>
      <c r="L12376" s="1192" t="s">
        <v>432</v>
      </c>
      <c r="P12376" s="1192" t="s">
        <v>2518</v>
      </c>
      <c r="V12376" s="1192">
        <v>74</v>
      </c>
    </row>
    <row r="12377" spans="1:22" s="1192" customFormat="1" ht="14.4" x14ac:dyDescent="0.3">
      <c r="A12377" s="1192" t="s">
        <v>190</v>
      </c>
      <c r="E12377" s="1750" t="s">
        <v>2405</v>
      </c>
      <c r="F12377" s="1741"/>
      <c r="G12377" s="1277"/>
      <c r="H12377" s="896"/>
      <c r="K12377" s="1192" t="s">
        <v>2406</v>
      </c>
      <c r="V12377" s="1192">
        <v>48</v>
      </c>
    </row>
    <row r="12378" spans="1:22" s="1192" customFormat="1" ht="14.4" x14ac:dyDescent="0.3">
      <c r="A12378" s="1192" t="s">
        <v>190</v>
      </c>
      <c r="E12378" s="1740" t="s">
        <v>2033</v>
      </c>
      <c r="F12378" s="1740"/>
      <c r="G12378" s="524" t="s">
        <v>20</v>
      </c>
      <c r="H12378" s="1219">
        <v>3.0000000000000001E-3</v>
      </c>
      <c r="K12378" s="1192" t="s">
        <v>2506</v>
      </c>
      <c r="L12378" s="1192" t="s">
        <v>2374</v>
      </c>
      <c r="P12378" s="1192" t="s">
        <v>2519</v>
      </c>
      <c r="V12378" s="1192">
        <v>55</v>
      </c>
    </row>
    <row r="12379" spans="1:22" s="1192" customFormat="1" ht="14.4" x14ac:dyDescent="0.3">
      <c r="A12379" s="1192" t="s">
        <v>190</v>
      </c>
      <c r="E12379" s="1740" t="s">
        <v>2034</v>
      </c>
      <c r="F12379" s="1740"/>
      <c r="G12379" s="524" t="s">
        <v>20</v>
      </c>
      <c r="H12379" s="1219">
        <v>4.0000000000000002E-4</v>
      </c>
      <c r="K12379" s="1192" t="s">
        <v>2506</v>
      </c>
      <c r="L12379" s="1192" t="s">
        <v>2374</v>
      </c>
      <c r="P12379" s="1192" t="s">
        <v>2519</v>
      </c>
      <c r="V12379" s="1192">
        <v>65</v>
      </c>
    </row>
    <row r="12380" spans="1:22" s="1192" customFormat="1" ht="14.4" x14ac:dyDescent="0.3">
      <c r="A12380" s="1192" t="s">
        <v>190</v>
      </c>
      <c r="E12380" s="1740" t="s">
        <v>428</v>
      </c>
      <c r="F12380" s="1740"/>
      <c r="G12380" s="524" t="s">
        <v>20</v>
      </c>
      <c r="H12380" s="1219">
        <v>5.0000000000000001E-4</v>
      </c>
      <c r="K12380" s="1192" t="s">
        <v>2506</v>
      </c>
      <c r="L12380" s="1192" t="s">
        <v>2374</v>
      </c>
      <c r="P12380" s="1192" t="s">
        <v>2520</v>
      </c>
      <c r="V12380" s="1192">
        <v>57</v>
      </c>
    </row>
    <row r="12381" spans="1:22" s="1192" customFormat="1" ht="14.4" x14ac:dyDescent="0.3">
      <c r="A12381" s="1192" t="s">
        <v>190</v>
      </c>
      <c r="E12381" s="1740" t="s">
        <v>28</v>
      </c>
      <c r="F12381" s="1740"/>
      <c r="G12381" s="524" t="s">
        <v>19</v>
      </c>
      <c r="H12381" s="1218">
        <v>0.25</v>
      </c>
      <c r="K12381" s="1192" t="s">
        <v>2506</v>
      </c>
      <c r="L12381" s="1192" t="s">
        <v>2374</v>
      </c>
      <c r="P12381" s="1192" t="s">
        <v>2521</v>
      </c>
      <c r="V12381" s="1192">
        <v>63</v>
      </c>
    </row>
    <row r="12382" spans="1:22" s="1192" customFormat="1" ht="17.399999999999999" x14ac:dyDescent="0.3">
      <c r="A12382" s="1192" t="s">
        <v>190</v>
      </c>
      <c r="E12382" s="1746" t="s">
        <v>2522</v>
      </c>
      <c r="F12382" s="1747"/>
      <c r="G12382" s="1747"/>
      <c r="H12382" s="1747"/>
      <c r="K12382" s="1192" t="s">
        <v>3901</v>
      </c>
      <c r="V12382" s="1192">
        <v>54</v>
      </c>
    </row>
    <row r="12383" spans="1:22" s="1192" customFormat="1" ht="14.4" x14ac:dyDescent="0.3">
      <c r="A12383" s="1192" t="s">
        <v>190</v>
      </c>
      <c r="E12383" s="1743" t="s">
        <v>4463</v>
      </c>
      <c r="F12383" s="1743"/>
      <c r="G12383" s="1743"/>
      <c r="H12383" s="1743"/>
      <c r="K12383" s="1192" t="s">
        <v>3901</v>
      </c>
      <c r="V12383" s="1192">
        <v>336</v>
      </c>
    </row>
    <row r="12384" spans="1:22" s="1192" customFormat="1" ht="14.4" x14ac:dyDescent="0.3">
      <c r="A12384" s="1192" t="s">
        <v>190</v>
      </c>
      <c r="E12384" s="1750" t="s">
        <v>2389</v>
      </c>
      <c r="F12384" s="1743"/>
      <c r="G12384" s="1743"/>
      <c r="H12384" s="1743"/>
      <c r="K12384" s="1192" t="s">
        <v>2412</v>
      </c>
      <c r="V12384" s="1192">
        <v>11</v>
      </c>
    </row>
    <row r="12385" spans="1:22" s="1192" customFormat="1" ht="14.4" x14ac:dyDescent="0.3">
      <c r="A12385" s="1192" t="s">
        <v>190</v>
      </c>
      <c r="E12385" s="1743" t="s">
        <v>2391</v>
      </c>
      <c r="F12385" s="1743"/>
      <c r="G12385" s="1743"/>
      <c r="H12385" s="1743"/>
      <c r="K12385" s="1192" t="s">
        <v>3901</v>
      </c>
      <c r="V12385" s="1192">
        <v>280</v>
      </c>
    </row>
    <row r="12386" spans="1:22" s="1192" customFormat="1" ht="14.4" x14ac:dyDescent="0.3">
      <c r="A12386" s="1192" t="s">
        <v>190</v>
      </c>
      <c r="E12386" s="1743" t="s">
        <v>2392</v>
      </c>
      <c r="F12386" s="1743"/>
      <c r="G12386" s="1743"/>
      <c r="H12386" s="1743"/>
      <c r="K12386" s="1192" t="s">
        <v>3901</v>
      </c>
      <c r="V12386" s="1192">
        <v>411</v>
      </c>
    </row>
    <row r="12387" spans="1:22" s="1192" customFormat="1" ht="14.4" x14ac:dyDescent="0.3">
      <c r="A12387" s="1192" t="s">
        <v>190</v>
      </c>
      <c r="E12387" s="1743" t="s">
        <v>4731</v>
      </c>
      <c r="F12387" s="1743"/>
      <c r="G12387" s="1743"/>
      <c r="H12387" s="1743"/>
      <c r="K12387" s="1192" t="s">
        <v>3901</v>
      </c>
      <c r="V12387" s="1192">
        <v>389</v>
      </c>
    </row>
    <row r="12388" spans="1:22" s="1192" customFormat="1" ht="14.4" x14ac:dyDescent="0.3">
      <c r="A12388" s="1192" t="s">
        <v>190</v>
      </c>
      <c r="E12388" s="1743" t="s">
        <v>4500</v>
      </c>
      <c r="F12388" s="1743"/>
      <c r="G12388" s="1743"/>
      <c r="H12388" s="1743"/>
      <c r="K12388" s="1192" t="s">
        <v>3901</v>
      </c>
      <c r="V12388" s="1192">
        <v>247</v>
      </c>
    </row>
    <row r="12389" spans="1:22" s="1192" customFormat="1" ht="14.4" x14ac:dyDescent="0.3">
      <c r="A12389" s="1192" t="s">
        <v>190</v>
      </c>
      <c r="E12389" s="1750" t="s">
        <v>2394</v>
      </c>
      <c r="F12389" s="1743"/>
      <c r="G12389" s="1743"/>
      <c r="H12389" s="1743"/>
      <c r="K12389" s="1192" t="s">
        <v>2413</v>
      </c>
      <c r="V12389" s="1192">
        <v>46</v>
      </c>
    </row>
    <row r="12390" spans="1:22" s="1192" customFormat="1" ht="14.4" x14ac:dyDescent="0.3">
      <c r="A12390" s="1192" t="s">
        <v>190</v>
      </c>
      <c r="E12390" s="1740" t="s">
        <v>7</v>
      </c>
      <c r="F12390" s="1740"/>
      <c r="G12390" s="524" t="s">
        <v>19</v>
      </c>
      <c r="H12390" s="1218">
        <v>47.15</v>
      </c>
      <c r="K12390" s="1192" t="s">
        <v>3901</v>
      </c>
      <c r="L12390" s="1192" t="s">
        <v>430</v>
      </c>
      <c r="P12390" s="1192" t="s">
        <v>3902</v>
      </c>
      <c r="V12390" s="1192">
        <v>14</v>
      </c>
    </row>
    <row r="12391" spans="1:22" s="1192" customFormat="1" ht="14.4" x14ac:dyDescent="0.3">
      <c r="A12391" s="1192" t="s">
        <v>190</v>
      </c>
      <c r="E12391" s="1740" t="s">
        <v>3900</v>
      </c>
      <c r="F12391" s="1740"/>
      <c r="G12391" s="524" t="s">
        <v>19</v>
      </c>
      <c r="H12391" s="1218">
        <v>0.56999999999999995</v>
      </c>
      <c r="K12391" s="1192" t="s">
        <v>3901</v>
      </c>
      <c r="L12391" s="1192" t="s">
        <v>431</v>
      </c>
      <c r="P12391" s="1192" t="s">
        <v>3903</v>
      </c>
      <c r="T12391" s="1192">
        <v>44926</v>
      </c>
      <c r="V12391" s="1192">
        <v>64</v>
      </c>
    </row>
    <row r="12392" spans="1:22" s="1192" customFormat="1" ht="14.4" x14ac:dyDescent="0.3">
      <c r="A12392" s="1192" t="s">
        <v>190</v>
      </c>
      <c r="E12392" s="1740" t="s">
        <v>4732</v>
      </c>
      <c r="F12392" s="1740"/>
      <c r="G12392" s="524" t="s">
        <v>19</v>
      </c>
      <c r="H12392" s="1218">
        <v>0.47</v>
      </c>
      <c r="K12392" s="1192" t="s">
        <v>3901</v>
      </c>
      <c r="L12392" s="1192" t="s">
        <v>430</v>
      </c>
      <c r="P12392" s="1192" t="s">
        <v>6657</v>
      </c>
      <c r="T12392" s="1192">
        <v>45199</v>
      </c>
      <c r="V12392" s="1192">
        <v>79</v>
      </c>
    </row>
    <row r="12393" spans="1:22" s="1192" customFormat="1" ht="14.4" x14ac:dyDescent="0.3">
      <c r="A12393" s="1192" t="s">
        <v>190</v>
      </c>
      <c r="E12393" s="1740" t="s">
        <v>80</v>
      </c>
      <c r="F12393" s="1740"/>
      <c r="G12393" s="524" t="s">
        <v>20</v>
      </c>
      <c r="H12393" s="1219">
        <v>1.04E-2</v>
      </c>
      <c r="K12393" s="1192" t="s">
        <v>3901</v>
      </c>
      <c r="L12393" s="1192" t="s">
        <v>430</v>
      </c>
      <c r="P12393" s="1192" t="s">
        <v>3904</v>
      </c>
      <c r="V12393" s="1192">
        <v>28</v>
      </c>
    </row>
    <row r="12394" spans="1:22" s="1192" customFormat="1" ht="14.4" x14ac:dyDescent="0.3">
      <c r="A12394" s="1192" t="s">
        <v>190</v>
      </c>
      <c r="E12394" s="1740" t="s">
        <v>14</v>
      </c>
      <c r="F12394" s="1740"/>
      <c r="G12394" s="524" t="s">
        <v>20</v>
      </c>
      <c r="H12394" s="1219">
        <v>3.5000000000000001E-3</v>
      </c>
      <c r="K12394" s="1192" t="s">
        <v>3901</v>
      </c>
      <c r="L12394" s="1192" t="s">
        <v>431</v>
      </c>
      <c r="P12394" s="1192" t="s">
        <v>3905</v>
      </c>
      <c r="V12394" s="1192">
        <v>24</v>
      </c>
    </row>
    <row r="12395" spans="1:22" s="1192" customFormat="1" ht="14.4" x14ac:dyDescent="0.3">
      <c r="A12395" s="1192" t="s">
        <v>190</v>
      </c>
      <c r="E12395" s="2011" t="s">
        <v>6506</v>
      </c>
      <c r="F12395" s="2016"/>
      <c r="G12395" s="524" t="s">
        <v>20</v>
      </c>
      <c r="H12395" s="1219">
        <v>-1.5100000000000001E-2</v>
      </c>
      <c r="K12395" s="1192" t="s">
        <v>3901</v>
      </c>
      <c r="L12395" s="1192" t="s">
        <v>431</v>
      </c>
      <c r="P12395" s="1192" t="s">
        <v>3700</v>
      </c>
      <c r="T12395" s="1192">
        <v>44316</v>
      </c>
      <c r="V12395" s="1192">
        <v>139</v>
      </c>
    </row>
    <row r="12396" spans="1:22" s="1192" customFormat="1" ht="14.4" x14ac:dyDescent="0.3">
      <c r="A12396" s="1192" t="s">
        <v>190</v>
      </c>
      <c r="E12396" s="1740" t="s">
        <v>6508</v>
      </c>
      <c r="F12396" s="1989"/>
      <c r="G12396" s="524" t="s">
        <v>20</v>
      </c>
      <c r="H12396" s="1219">
        <v>1E-3</v>
      </c>
      <c r="K12396" s="1192" t="s">
        <v>3901</v>
      </c>
      <c r="L12396" s="1192" t="s">
        <v>431</v>
      </c>
      <c r="P12396" s="1192" t="s">
        <v>3911</v>
      </c>
      <c r="T12396" s="1192">
        <v>44316</v>
      </c>
      <c r="V12396" s="1192">
        <v>96</v>
      </c>
    </row>
    <row r="12397" spans="1:22" s="1192" customFormat="1" ht="14.4" x14ac:dyDescent="0.3">
      <c r="A12397" s="1192" t="s">
        <v>190</v>
      </c>
      <c r="E12397" s="1740" t="s">
        <v>213</v>
      </c>
      <c r="F12397" s="1740"/>
      <c r="G12397" s="524" t="s">
        <v>20</v>
      </c>
      <c r="H12397" s="1219">
        <v>6.4000000000000003E-3</v>
      </c>
      <c r="K12397" s="1192" t="s">
        <v>3901</v>
      </c>
      <c r="L12397" s="1192" t="s">
        <v>432</v>
      </c>
      <c r="P12397" s="1192" t="s">
        <v>3906</v>
      </c>
      <c r="V12397" s="1192">
        <v>47</v>
      </c>
    </row>
    <row r="12398" spans="1:22" s="1192" customFormat="1" ht="14.4" x14ac:dyDescent="0.3">
      <c r="A12398" s="1192" t="s">
        <v>190</v>
      </c>
      <c r="E12398" s="1740" t="s">
        <v>209</v>
      </c>
      <c r="F12398" s="1740"/>
      <c r="G12398" s="524" t="s">
        <v>20</v>
      </c>
      <c r="H12398" s="1219">
        <v>1.2999999999999999E-3</v>
      </c>
      <c r="K12398" s="1192" t="s">
        <v>3901</v>
      </c>
      <c r="L12398" s="1192" t="s">
        <v>432</v>
      </c>
      <c r="P12398" s="1192" t="s">
        <v>3907</v>
      </c>
      <c r="V12398" s="1192">
        <v>74</v>
      </c>
    </row>
    <row r="12399" spans="1:22" s="1192" customFormat="1" ht="14.4" x14ac:dyDescent="0.3">
      <c r="A12399" s="1192" t="s">
        <v>190</v>
      </c>
      <c r="E12399" s="1750" t="s">
        <v>2405</v>
      </c>
      <c r="F12399" s="1741"/>
      <c r="G12399" s="1277"/>
      <c r="H12399" s="896"/>
      <c r="K12399" s="1192" t="s">
        <v>2418</v>
      </c>
      <c r="V12399" s="1192">
        <v>48</v>
      </c>
    </row>
    <row r="12400" spans="1:22" s="1192" customFormat="1" ht="14.4" x14ac:dyDescent="0.3">
      <c r="A12400" s="1192" t="s">
        <v>190</v>
      </c>
      <c r="E12400" s="1741" t="s">
        <v>2033</v>
      </c>
      <c r="F12400" s="1741"/>
      <c r="G12400" s="524" t="s">
        <v>20</v>
      </c>
      <c r="H12400" s="1219">
        <v>3.0000000000000001E-3</v>
      </c>
      <c r="K12400" s="1192" t="s">
        <v>3901</v>
      </c>
      <c r="L12400" s="1192" t="s">
        <v>2374</v>
      </c>
      <c r="P12400" s="1192" t="s">
        <v>3908</v>
      </c>
      <c r="V12400" s="1192">
        <v>55</v>
      </c>
    </row>
    <row r="12401" spans="1:22" s="1192" customFormat="1" ht="14.4" x14ac:dyDescent="0.3">
      <c r="A12401" s="1192" t="s">
        <v>190</v>
      </c>
      <c r="E12401" s="1741" t="s">
        <v>2034</v>
      </c>
      <c r="F12401" s="1741"/>
      <c r="G12401" s="524" t="s">
        <v>20</v>
      </c>
      <c r="H12401" s="1219">
        <v>4.0000000000000002E-4</v>
      </c>
      <c r="K12401" s="1192" t="s">
        <v>3901</v>
      </c>
      <c r="L12401" s="1192" t="s">
        <v>2374</v>
      </c>
      <c r="P12401" s="1192" t="s">
        <v>3908</v>
      </c>
      <c r="V12401" s="1192">
        <v>65</v>
      </c>
    </row>
    <row r="12402" spans="1:22" s="1192" customFormat="1" ht="14.4" x14ac:dyDescent="0.3">
      <c r="A12402" s="1192" t="s">
        <v>190</v>
      </c>
      <c r="E12402" s="1741" t="s">
        <v>428</v>
      </c>
      <c r="F12402" s="1741"/>
      <c r="G12402" s="524" t="s">
        <v>20</v>
      </c>
      <c r="H12402" s="1219">
        <v>5.0000000000000001E-4</v>
      </c>
      <c r="K12402" s="1192" t="s">
        <v>3901</v>
      </c>
      <c r="L12402" s="1192" t="s">
        <v>2374</v>
      </c>
      <c r="P12402" s="1192" t="s">
        <v>3909</v>
      </c>
      <c r="V12402" s="1192">
        <v>57</v>
      </c>
    </row>
    <row r="12403" spans="1:22" s="1192" customFormat="1" ht="14.4" x14ac:dyDescent="0.3">
      <c r="A12403" s="1192" t="s">
        <v>190</v>
      </c>
      <c r="E12403" s="1741" t="s">
        <v>28</v>
      </c>
      <c r="F12403" s="1741"/>
      <c r="G12403" s="524" t="s">
        <v>19</v>
      </c>
      <c r="H12403" s="1218">
        <v>0.25</v>
      </c>
      <c r="K12403" s="1192" t="s">
        <v>3901</v>
      </c>
      <c r="L12403" s="1192" t="s">
        <v>2374</v>
      </c>
      <c r="P12403" s="1192" t="s">
        <v>3910</v>
      </c>
      <c r="V12403" s="1192">
        <v>63</v>
      </c>
    </row>
    <row r="12404" spans="1:22" s="1192" customFormat="1" ht="17.399999999999999" x14ac:dyDescent="0.3">
      <c r="A12404" s="1192" t="s">
        <v>190</v>
      </c>
      <c r="E12404" s="1746" t="s">
        <v>591</v>
      </c>
      <c r="F12404" s="1747"/>
      <c r="G12404" s="1747"/>
      <c r="H12404" s="1747"/>
      <c r="K12404" s="1192" t="s">
        <v>4388</v>
      </c>
      <c r="V12404" s="1192">
        <v>53</v>
      </c>
    </row>
    <row r="12405" spans="1:22" s="1192" customFormat="1" ht="14.4" x14ac:dyDescent="0.3">
      <c r="A12405" s="1192" t="s">
        <v>190</v>
      </c>
      <c r="E12405" s="1743" t="s">
        <v>4464</v>
      </c>
      <c r="F12405" s="1743"/>
      <c r="G12405" s="1743"/>
      <c r="H12405" s="1743"/>
      <c r="K12405" s="1192" t="s">
        <v>4388</v>
      </c>
      <c r="V12405" s="1192">
        <v>753</v>
      </c>
    </row>
    <row r="12406" spans="1:22" s="1192" customFormat="1" ht="14.4" x14ac:dyDescent="0.3">
      <c r="A12406" s="1192" t="s">
        <v>190</v>
      </c>
      <c r="E12406" s="1750" t="s">
        <v>2389</v>
      </c>
      <c r="F12406" s="1743"/>
      <c r="G12406" s="1743"/>
      <c r="H12406" s="1743"/>
      <c r="K12406" s="1192" t="s">
        <v>2422</v>
      </c>
      <c r="V12406" s="1192">
        <v>11</v>
      </c>
    </row>
    <row r="12407" spans="1:22" s="1192" customFormat="1" ht="14.4" x14ac:dyDescent="0.3">
      <c r="A12407" s="1192" t="s">
        <v>190</v>
      </c>
      <c r="E12407" s="1743" t="s">
        <v>2391</v>
      </c>
      <c r="F12407" s="1743"/>
      <c r="G12407" s="1743"/>
      <c r="H12407" s="1743"/>
      <c r="K12407" s="1192" t="s">
        <v>4388</v>
      </c>
      <c r="V12407" s="1192">
        <v>280</v>
      </c>
    </row>
    <row r="12408" spans="1:22" s="1192" customFormat="1" ht="14.4" x14ac:dyDescent="0.3">
      <c r="A12408" s="1192" t="s">
        <v>190</v>
      </c>
      <c r="E12408" s="1743" t="s">
        <v>2392</v>
      </c>
      <c r="F12408" s="1743"/>
      <c r="G12408" s="1743"/>
      <c r="H12408" s="1743"/>
      <c r="K12408" s="1192" t="s">
        <v>4388</v>
      </c>
      <c r="V12408" s="1192">
        <v>411</v>
      </c>
    </row>
    <row r="12409" spans="1:22" s="1192" customFormat="1" ht="14.4" x14ac:dyDescent="0.3">
      <c r="A12409" s="1192" t="s">
        <v>190</v>
      </c>
      <c r="E12409" s="1743" t="s">
        <v>2393</v>
      </c>
      <c r="F12409" s="1743"/>
      <c r="G12409" s="1743"/>
      <c r="H12409" s="1743"/>
      <c r="K12409" s="1192" t="s">
        <v>4388</v>
      </c>
      <c r="V12409" s="1192">
        <v>387</v>
      </c>
    </row>
    <row r="12410" spans="1:22" s="1192" customFormat="1" ht="14.4" x14ac:dyDescent="0.3">
      <c r="A12410" s="1192" t="s">
        <v>190</v>
      </c>
      <c r="E12410" s="1743" t="s">
        <v>4503</v>
      </c>
      <c r="F12410" s="1743"/>
      <c r="G12410" s="1743"/>
      <c r="H12410" s="1743"/>
      <c r="K12410" s="1192" t="s">
        <v>4388</v>
      </c>
      <c r="V12410" s="1192">
        <v>677</v>
      </c>
    </row>
    <row r="12411" spans="1:22" s="1192" customFormat="1" ht="14.4" x14ac:dyDescent="0.3">
      <c r="A12411" s="1192" t="s">
        <v>190</v>
      </c>
      <c r="E12411" s="1743" t="s">
        <v>4605</v>
      </c>
      <c r="F12411" s="1743"/>
      <c r="G12411" s="1743"/>
      <c r="H12411" s="1743"/>
      <c r="K12411" s="1192" t="s">
        <v>4388</v>
      </c>
      <c r="V12411" s="1192">
        <v>684</v>
      </c>
    </row>
    <row r="12412" spans="1:22" s="1192" customFormat="1" ht="14.4" x14ac:dyDescent="0.3">
      <c r="A12412" s="1192" t="s">
        <v>190</v>
      </c>
      <c r="E12412" s="1743" t="s">
        <v>4500</v>
      </c>
      <c r="F12412" s="1743"/>
      <c r="G12412" s="1743"/>
      <c r="H12412" s="1743"/>
      <c r="K12412" s="1192" t="s">
        <v>4388</v>
      </c>
      <c r="V12412" s="1192">
        <v>247</v>
      </c>
    </row>
    <row r="12413" spans="1:22" s="1192" customFormat="1" ht="14.4" x14ac:dyDescent="0.3">
      <c r="A12413" s="1192" t="s">
        <v>190</v>
      </c>
      <c r="E12413" s="1750" t="s">
        <v>2394</v>
      </c>
      <c r="F12413" s="1743"/>
      <c r="G12413" s="1743"/>
      <c r="H12413" s="1743"/>
      <c r="K12413" s="1192" t="s">
        <v>2423</v>
      </c>
      <c r="V12413" s="1192">
        <v>46</v>
      </c>
    </row>
    <row r="12414" spans="1:22" s="1192" customFormat="1" ht="14.4" x14ac:dyDescent="0.3">
      <c r="A12414" s="1192" t="s">
        <v>190</v>
      </c>
      <c r="E12414" s="1740" t="s">
        <v>7</v>
      </c>
      <c r="F12414" s="1740"/>
      <c r="G12414" s="524" t="s">
        <v>19</v>
      </c>
      <c r="H12414" s="1218">
        <v>383.62</v>
      </c>
      <c r="K12414" s="1192" t="s">
        <v>4388</v>
      </c>
      <c r="L12414" s="1192" t="s">
        <v>430</v>
      </c>
      <c r="P12414" s="1192" t="s">
        <v>4389</v>
      </c>
      <c r="V12414" s="1192">
        <v>14</v>
      </c>
    </row>
    <row r="12415" spans="1:22" s="1192" customFormat="1" ht="14.4" x14ac:dyDescent="0.3">
      <c r="A12415" s="1192" t="s">
        <v>190</v>
      </c>
      <c r="E12415" s="1740" t="s">
        <v>4732</v>
      </c>
      <c r="F12415" s="1740"/>
      <c r="G12415" s="524" t="s">
        <v>19</v>
      </c>
      <c r="H12415" s="1218">
        <v>8.15</v>
      </c>
      <c r="K12415" s="1192" t="s">
        <v>4388</v>
      </c>
      <c r="L12415" s="1192" t="s">
        <v>430</v>
      </c>
      <c r="P12415" s="1192" t="s">
        <v>6658</v>
      </c>
      <c r="T12415" s="1192">
        <v>45199</v>
      </c>
      <c r="V12415" s="1192">
        <v>79</v>
      </c>
    </row>
    <row r="12416" spans="1:22" s="1192" customFormat="1" ht="14.4" x14ac:dyDescent="0.3">
      <c r="A12416" s="1192" t="s">
        <v>190</v>
      </c>
      <c r="E12416" s="1740" t="s">
        <v>80</v>
      </c>
      <c r="F12416" s="1740"/>
      <c r="G12416" s="524" t="s">
        <v>29</v>
      </c>
      <c r="H12416" s="1219">
        <v>1.3389</v>
      </c>
      <c r="K12416" s="1192" t="s">
        <v>4388</v>
      </c>
      <c r="L12416" s="1192" t="s">
        <v>430</v>
      </c>
      <c r="P12416" s="1192" t="s">
        <v>4390</v>
      </c>
      <c r="V12416" s="1192">
        <v>28</v>
      </c>
    </row>
    <row r="12417" spans="1:22" s="1192" customFormat="1" ht="14.4" x14ac:dyDescent="0.3">
      <c r="A12417" s="1192" t="s">
        <v>190</v>
      </c>
      <c r="E12417" s="1740" t="s">
        <v>14</v>
      </c>
      <c r="F12417" s="1740"/>
      <c r="G12417" s="524" t="s">
        <v>29</v>
      </c>
      <c r="H12417" s="1219">
        <v>1.5995999999999999</v>
      </c>
      <c r="K12417" s="1192" t="s">
        <v>4388</v>
      </c>
      <c r="L12417" s="1192" t="s">
        <v>431</v>
      </c>
      <c r="P12417" s="1192" t="s">
        <v>4391</v>
      </c>
      <c r="V12417" s="1192">
        <v>24</v>
      </c>
    </row>
    <row r="12418" spans="1:22" s="1192" customFormat="1" ht="14.4" x14ac:dyDescent="0.3">
      <c r="A12418" s="1192" t="s">
        <v>190</v>
      </c>
      <c r="E12418" s="2011" t="s">
        <v>6506</v>
      </c>
      <c r="F12418" s="2016"/>
      <c r="G12418" s="524" t="s">
        <v>20</v>
      </c>
      <c r="H12418" s="1219">
        <v>-1.5100000000000001E-2</v>
      </c>
      <c r="K12418" s="1192" t="s">
        <v>4388</v>
      </c>
      <c r="L12418" s="1192" t="s">
        <v>431</v>
      </c>
      <c r="P12418" s="1192" t="s">
        <v>4397</v>
      </c>
      <c r="T12418" s="1192">
        <v>44316</v>
      </c>
      <c r="V12418" s="1192">
        <v>139</v>
      </c>
    </row>
    <row r="12419" spans="1:22" s="1192" customFormat="1" ht="14.4" x14ac:dyDescent="0.3">
      <c r="A12419" s="1192" t="s">
        <v>190</v>
      </c>
      <c r="E12419" s="1740" t="s">
        <v>6508</v>
      </c>
      <c r="F12419" s="1989"/>
      <c r="G12419" s="524" t="s">
        <v>29</v>
      </c>
      <c r="H12419" s="1219">
        <v>0.45879999999999999</v>
      </c>
      <c r="K12419" s="1192" t="s">
        <v>4388</v>
      </c>
      <c r="L12419" s="1192" t="s">
        <v>431</v>
      </c>
      <c r="P12419" s="1192" t="s">
        <v>4398</v>
      </c>
      <c r="T12419" s="1192">
        <v>44316</v>
      </c>
      <c r="V12419" s="1192">
        <v>96</v>
      </c>
    </row>
    <row r="12420" spans="1:22" s="1192" customFormat="1" ht="14.4" x14ac:dyDescent="0.3">
      <c r="A12420" s="1192" t="s">
        <v>190</v>
      </c>
      <c r="E12420" s="1740" t="s">
        <v>213</v>
      </c>
      <c r="F12420" s="1740"/>
      <c r="G12420" s="524" t="s">
        <v>29</v>
      </c>
      <c r="H12420" s="1219">
        <v>2.5669</v>
      </c>
      <c r="K12420" s="1192" t="s">
        <v>4388</v>
      </c>
      <c r="L12420" s="1192" t="s">
        <v>432</v>
      </c>
      <c r="P12420" s="1192" t="s">
        <v>4392</v>
      </c>
      <c r="V12420" s="1192">
        <v>47</v>
      </c>
    </row>
    <row r="12421" spans="1:22" s="1192" customFormat="1" ht="14.4" x14ac:dyDescent="0.3">
      <c r="A12421" s="1192" t="s">
        <v>190</v>
      </c>
      <c r="E12421" s="1740" t="s">
        <v>209</v>
      </c>
      <c r="F12421" s="1740"/>
      <c r="G12421" s="524" t="s">
        <v>29</v>
      </c>
      <c r="H12421" s="1219">
        <v>0.57099999999999995</v>
      </c>
      <c r="K12421" s="1192" t="s">
        <v>4388</v>
      </c>
      <c r="L12421" s="1192" t="s">
        <v>432</v>
      </c>
      <c r="P12421" s="1192" t="s">
        <v>4393</v>
      </c>
      <c r="V12421" s="1192">
        <v>74</v>
      </c>
    </row>
    <row r="12422" spans="1:22" s="1192" customFormat="1" ht="14.4" x14ac:dyDescent="0.3">
      <c r="A12422" s="1192" t="s">
        <v>190</v>
      </c>
      <c r="E12422" s="1740" t="s">
        <v>218</v>
      </c>
      <c r="F12422" s="1740"/>
      <c r="G12422" s="524" t="s">
        <v>29</v>
      </c>
      <c r="H12422" s="1219">
        <v>2.7231000000000001</v>
      </c>
      <c r="K12422" s="1192" t="s">
        <v>4388</v>
      </c>
      <c r="L12422" s="1192" t="s">
        <v>432</v>
      </c>
      <c r="P12422" s="1192" t="s">
        <v>4392</v>
      </c>
      <c r="V12422" s="1192">
        <v>77</v>
      </c>
    </row>
    <row r="12423" spans="1:22" s="1192" customFormat="1" ht="14.4" x14ac:dyDescent="0.3">
      <c r="A12423" s="1192" t="s">
        <v>190</v>
      </c>
      <c r="E12423" s="1740" t="s">
        <v>616</v>
      </c>
      <c r="F12423" s="1740"/>
      <c r="G12423" s="524" t="s">
        <v>29</v>
      </c>
      <c r="H12423" s="1219">
        <v>0.63109999999999999</v>
      </c>
      <c r="K12423" s="1192" t="s">
        <v>4388</v>
      </c>
      <c r="L12423" s="1192" t="s">
        <v>432</v>
      </c>
      <c r="P12423" s="1192" t="s">
        <v>4393</v>
      </c>
      <c r="V12423" s="1192">
        <v>104</v>
      </c>
    </row>
    <row r="12424" spans="1:22" s="1192" customFormat="1" ht="14.4" x14ac:dyDescent="0.3">
      <c r="A12424" s="1192" t="s">
        <v>190</v>
      </c>
      <c r="E12424" s="1750" t="s">
        <v>2405</v>
      </c>
      <c r="F12424" s="1741"/>
      <c r="G12424" s="1277"/>
      <c r="H12424" s="896"/>
      <c r="K12424" s="1192" t="s">
        <v>2526</v>
      </c>
      <c r="V12424" s="1192">
        <v>48</v>
      </c>
    </row>
    <row r="12425" spans="1:22" s="1192" customFormat="1" ht="14.4" x14ac:dyDescent="0.3">
      <c r="A12425" s="1192" t="s">
        <v>190</v>
      </c>
      <c r="E12425" s="1740" t="s">
        <v>2033</v>
      </c>
      <c r="F12425" s="1740"/>
      <c r="G12425" s="524" t="s">
        <v>20</v>
      </c>
      <c r="H12425" s="1219">
        <v>3.0000000000000001E-3</v>
      </c>
      <c r="K12425" s="1192" t="s">
        <v>4388</v>
      </c>
      <c r="L12425" s="1192" t="s">
        <v>2374</v>
      </c>
      <c r="P12425" s="1192" t="s">
        <v>4394</v>
      </c>
      <c r="V12425" s="1192">
        <v>55</v>
      </c>
    </row>
    <row r="12426" spans="1:22" s="1192" customFormat="1" ht="14.4" x14ac:dyDescent="0.3">
      <c r="A12426" s="1192" t="s">
        <v>190</v>
      </c>
      <c r="E12426" s="1740" t="s">
        <v>2034</v>
      </c>
      <c r="F12426" s="1740"/>
      <c r="G12426" s="524" t="s">
        <v>20</v>
      </c>
      <c r="H12426" s="1219">
        <v>4.0000000000000002E-4</v>
      </c>
      <c r="K12426" s="1192" t="s">
        <v>4388</v>
      </c>
      <c r="L12426" s="1192" t="s">
        <v>2374</v>
      </c>
      <c r="P12426" s="1192" t="s">
        <v>4394</v>
      </c>
      <c r="V12426" s="1192">
        <v>65</v>
      </c>
    </row>
    <row r="12427" spans="1:22" s="1192" customFormat="1" ht="14.4" x14ac:dyDescent="0.3">
      <c r="A12427" s="1192" t="s">
        <v>190</v>
      </c>
      <c r="E12427" s="1740" t="s">
        <v>428</v>
      </c>
      <c r="F12427" s="1740"/>
      <c r="G12427" s="524" t="s">
        <v>20</v>
      </c>
      <c r="H12427" s="1219">
        <v>5.0000000000000001E-4</v>
      </c>
      <c r="K12427" s="1192" t="s">
        <v>4388</v>
      </c>
      <c r="L12427" s="1192" t="s">
        <v>2374</v>
      </c>
      <c r="P12427" s="1192" t="s">
        <v>4395</v>
      </c>
      <c r="V12427" s="1192">
        <v>57</v>
      </c>
    </row>
    <row r="12428" spans="1:22" s="1192" customFormat="1" ht="14.4" x14ac:dyDescent="0.3">
      <c r="A12428" s="1192" t="s">
        <v>190</v>
      </c>
      <c r="E12428" s="1740" t="s">
        <v>28</v>
      </c>
      <c r="F12428" s="1740"/>
      <c r="G12428" s="524" t="s">
        <v>19</v>
      </c>
      <c r="H12428" s="1218">
        <v>0.25</v>
      </c>
      <c r="K12428" s="1192" t="s">
        <v>4388</v>
      </c>
      <c r="L12428" s="1192" t="s">
        <v>2374</v>
      </c>
      <c r="P12428" s="1192" t="s">
        <v>4396</v>
      </c>
      <c r="V12428" s="1192">
        <v>63</v>
      </c>
    </row>
    <row r="12429" spans="1:22" s="1192" customFormat="1" ht="17.399999999999999" x14ac:dyDescent="0.3">
      <c r="A12429" s="1192" t="s">
        <v>190</v>
      </c>
      <c r="E12429" s="1746" t="s">
        <v>590</v>
      </c>
      <c r="F12429" s="1747"/>
      <c r="G12429" s="1747"/>
      <c r="H12429" s="1747"/>
      <c r="K12429" s="1192" t="s">
        <v>3465</v>
      </c>
      <c r="V12429" s="1192">
        <v>38</v>
      </c>
    </row>
    <row r="12430" spans="1:22" s="1192" customFormat="1" ht="14.4" x14ac:dyDescent="0.3">
      <c r="A12430" s="1192" t="s">
        <v>190</v>
      </c>
      <c r="E12430" s="1743" t="s">
        <v>4465</v>
      </c>
      <c r="F12430" s="1743"/>
      <c r="G12430" s="1743"/>
      <c r="H12430" s="1743"/>
      <c r="K12430" s="1192" t="s">
        <v>3465</v>
      </c>
      <c r="V12430" s="1192">
        <v>544</v>
      </c>
    </row>
    <row r="12431" spans="1:22" s="1192" customFormat="1" ht="14.4" x14ac:dyDescent="0.3">
      <c r="A12431" s="1192" t="s">
        <v>190</v>
      </c>
      <c r="E12431" s="1750" t="s">
        <v>2389</v>
      </c>
      <c r="F12431" s="1743"/>
      <c r="G12431" s="1743"/>
      <c r="H12431" s="1743"/>
      <c r="K12431" s="1192" t="s">
        <v>2529</v>
      </c>
      <c r="V12431" s="1192">
        <v>11</v>
      </c>
    </row>
    <row r="12432" spans="1:22" s="1192" customFormat="1" ht="14.4" x14ac:dyDescent="0.3">
      <c r="A12432" s="1192" t="s">
        <v>190</v>
      </c>
      <c r="E12432" s="1743" t="s">
        <v>2391</v>
      </c>
      <c r="F12432" s="1743"/>
      <c r="G12432" s="1743"/>
      <c r="H12432" s="1743"/>
      <c r="K12432" s="1192" t="s">
        <v>3465</v>
      </c>
      <c r="V12432" s="1192">
        <v>280</v>
      </c>
    </row>
    <row r="12433" spans="1:22" s="1192" customFormat="1" ht="14.4" x14ac:dyDescent="0.3">
      <c r="A12433" s="1192" t="s">
        <v>190</v>
      </c>
      <c r="E12433" s="1743" t="s">
        <v>2392</v>
      </c>
      <c r="F12433" s="1743"/>
      <c r="G12433" s="1743"/>
      <c r="H12433" s="1743"/>
      <c r="K12433" s="1192" t="s">
        <v>3465</v>
      </c>
      <c r="V12433" s="1192">
        <v>411</v>
      </c>
    </row>
    <row r="12434" spans="1:22" s="1192" customFormat="1" ht="14.4" x14ac:dyDescent="0.3">
      <c r="A12434" s="1192" t="s">
        <v>190</v>
      </c>
      <c r="E12434" s="1743" t="s">
        <v>4731</v>
      </c>
      <c r="F12434" s="1743"/>
      <c r="G12434" s="1743"/>
      <c r="H12434" s="1743"/>
      <c r="K12434" s="1192" t="s">
        <v>3465</v>
      </c>
      <c r="V12434" s="1192">
        <v>389</v>
      </c>
    </row>
    <row r="12435" spans="1:22" s="1192" customFormat="1" ht="14.4" x14ac:dyDescent="0.3">
      <c r="A12435" s="1192" t="s">
        <v>190</v>
      </c>
      <c r="E12435" s="1743" t="s">
        <v>4500</v>
      </c>
      <c r="F12435" s="1743"/>
      <c r="G12435" s="1743"/>
      <c r="H12435" s="1743"/>
      <c r="K12435" s="1192" t="s">
        <v>3465</v>
      </c>
      <c r="V12435" s="1192">
        <v>247</v>
      </c>
    </row>
    <row r="12436" spans="1:22" s="1192" customFormat="1" ht="14.4" x14ac:dyDescent="0.3">
      <c r="A12436" s="1192" t="s">
        <v>190</v>
      </c>
      <c r="E12436" s="1750" t="s">
        <v>2394</v>
      </c>
      <c r="F12436" s="1743"/>
      <c r="G12436" s="1743"/>
      <c r="H12436" s="1743"/>
      <c r="K12436" s="1192" t="s">
        <v>2531</v>
      </c>
      <c r="V12436" s="1192">
        <v>46</v>
      </c>
    </row>
    <row r="12437" spans="1:22" s="1192" customFormat="1" ht="14.4" x14ac:dyDescent="0.3">
      <c r="A12437" s="1192" t="s">
        <v>190</v>
      </c>
      <c r="E12437" s="1740" t="s">
        <v>8</v>
      </c>
      <c r="F12437" s="1740"/>
      <c r="G12437" s="524" t="s">
        <v>19</v>
      </c>
      <c r="H12437" s="1218">
        <v>4</v>
      </c>
      <c r="K12437" s="1192" t="s">
        <v>3465</v>
      </c>
      <c r="L12437" s="1192" t="s">
        <v>430</v>
      </c>
      <c r="P12437" s="1192" t="s">
        <v>3466</v>
      </c>
      <c r="V12437" s="1192">
        <v>31</v>
      </c>
    </row>
    <row r="12438" spans="1:22" s="1192" customFormat="1" ht="14.4" x14ac:dyDescent="0.3">
      <c r="A12438" s="1192" t="s">
        <v>190</v>
      </c>
      <c r="E12438" s="1740" t="s">
        <v>80</v>
      </c>
      <c r="F12438" s="1740"/>
      <c r="G12438" s="524" t="s">
        <v>29</v>
      </c>
      <c r="H12438" s="1219">
        <v>11.179</v>
      </c>
      <c r="K12438" s="1192" t="s">
        <v>3465</v>
      </c>
      <c r="L12438" s="1192" t="s">
        <v>430</v>
      </c>
      <c r="P12438" s="1192" t="s">
        <v>3467</v>
      </c>
      <c r="V12438" s="1192">
        <v>28</v>
      </c>
    </row>
    <row r="12439" spans="1:22" s="1192" customFormat="1" ht="14.4" x14ac:dyDescent="0.3">
      <c r="A12439" s="1192" t="s">
        <v>190</v>
      </c>
      <c r="E12439" s="1740" t="s">
        <v>14</v>
      </c>
      <c r="F12439" s="1740"/>
      <c r="G12439" s="524" t="s">
        <v>29</v>
      </c>
      <c r="H12439" s="1219">
        <v>1.2342</v>
      </c>
      <c r="K12439" s="1192" t="s">
        <v>3465</v>
      </c>
      <c r="L12439" s="1192" t="s">
        <v>431</v>
      </c>
      <c r="P12439" s="1192" t="s">
        <v>4461</v>
      </c>
      <c r="V12439" s="1192">
        <v>24</v>
      </c>
    </row>
    <row r="12440" spans="1:22" s="1192" customFormat="1" ht="14.4" x14ac:dyDescent="0.3">
      <c r="A12440" s="1192" t="s">
        <v>190</v>
      </c>
      <c r="E12440" s="2011" t="s">
        <v>6506</v>
      </c>
      <c r="F12440" s="2016"/>
      <c r="G12440" s="524" t="s">
        <v>20</v>
      </c>
      <c r="H12440" s="1219">
        <v>-1.5100000000000001E-2</v>
      </c>
      <c r="K12440" s="1192" t="s">
        <v>3465</v>
      </c>
      <c r="L12440" s="1192" t="s">
        <v>431</v>
      </c>
      <c r="P12440" s="1192" t="s">
        <v>3914</v>
      </c>
      <c r="T12440" s="1192">
        <v>44316</v>
      </c>
      <c r="V12440" s="1192">
        <v>139</v>
      </c>
    </row>
    <row r="12441" spans="1:22" s="1192" customFormat="1" ht="14.4" x14ac:dyDescent="0.3">
      <c r="A12441" s="1192" t="s">
        <v>190</v>
      </c>
      <c r="E12441" s="1740" t="s">
        <v>6508</v>
      </c>
      <c r="F12441" s="1989"/>
      <c r="G12441" s="524" t="s">
        <v>29</v>
      </c>
      <c r="H12441" s="1219">
        <v>0.37669999999999998</v>
      </c>
      <c r="K12441" s="1192" t="s">
        <v>3465</v>
      </c>
      <c r="L12441" s="1192" t="s">
        <v>431</v>
      </c>
      <c r="P12441" s="1192" t="s">
        <v>3915</v>
      </c>
      <c r="T12441" s="1192">
        <v>44316</v>
      </c>
      <c r="V12441" s="1192">
        <v>96</v>
      </c>
    </row>
    <row r="12442" spans="1:22" s="1192" customFormat="1" ht="14.4" x14ac:dyDescent="0.3">
      <c r="A12442" s="1192" t="s">
        <v>190</v>
      </c>
      <c r="E12442" s="1740" t="s">
        <v>213</v>
      </c>
      <c r="F12442" s="1740"/>
      <c r="G12442" s="524" t="s">
        <v>29</v>
      </c>
      <c r="H12442" s="1219">
        <v>1.9359999999999999</v>
      </c>
      <c r="K12442" s="1192" t="s">
        <v>3465</v>
      </c>
      <c r="L12442" s="1192" t="s">
        <v>432</v>
      </c>
      <c r="P12442" s="1192" t="s">
        <v>3468</v>
      </c>
      <c r="V12442" s="1192">
        <v>47</v>
      </c>
    </row>
    <row r="12443" spans="1:22" s="1192" customFormat="1" ht="14.4" x14ac:dyDescent="0.3">
      <c r="A12443" s="1192" t="s">
        <v>190</v>
      </c>
      <c r="E12443" s="1740" t="s">
        <v>209</v>
      </c>
      <c r="F12443" s="1740"/>
      <c r="G12443" s="524" t="s">
        <v>29</v>
      </c>
      <c r="H12443" s="1219">
        <v>0.44159999999999999</v>
      </c>
      <c r="K12443" s="1192" t="s">
        <v>3465</v>
      </c>
      <c r="L12443" s="1192" t="s">
        <v>432</v>
      </c>
      <c r="P12443" s="1192" t="s">
        <v>3469</v>
      </c>
      <c r="V12443" s="1192">
        <v>74</v>
      </c>
    </row>
    <row r="12444" spans="1:22" s="1192" customFormat="1" ht="14.4" x14ac:dyDescent="0.3">
      <c r="A12444" s="1192" t="s">
        <v>190</v>
      </c>
      <c r="E12444" s="1750" t="s">
        <v>2405</v>
      </c>
      <c r="F12444" s="1741"/>
      <c r="G12444" s="1277"/>
      <c r="H12444" s="896"/>
      <c r="K12444" s="1192" t="s">
        <v>2532</v>
      </c>
      <c r="V12444" s="1192">
        <v>48</v>
      </c>
    </row>
    <row r="12445" spans="1:22" s="1192" customFormat="1" ht="14.4" x14ac:dyDescent="0.3">
      <c r="A12445" s="1192" t="s">
        <v>190</v>
      </c>
      <c r="E12445" s="1740" t="s">
        <v>2033</v>
      </c>
      <c r="F12445" s="1740"/>
      <c r="G12445" s="524" t="s">
        <v>20</v>
      </c>
      <c r="H12445" s="1219">
        <v>3.0000000000000001E-3</v>
      </c>
      <c r="K12445" s="1192" t="s">
        <v>3465</v>
      </c>
      <c r="L12445" s="1192" t="s">
        <v>2374</v>
      </c>
      <c r="P12445" s="1192" t="s">
        <v>3470</v>
      </c>
      <c r="V12445" s="1192">
        <v>55</v>
      </c>
    </row>
    <row r="12446" spans="1:22" s="1192" customFormat="1" ht="14.4" x14ac:dyDescent="0.3">
      <c r="A12446" s="1192" t="s">
        <v>190</v>
      </c>
      <c r="E12446" s="1740" t="s">
        <v>2034</v>
      </c>
      <c r="F12446" s="1740"/>
      <c r="G12446" s="524" t="s">
        <v>20</v>
      </c>
      <c r="H12446" s="1219">
        <v>4.0000000000000002E-4</v>
      </c>
      <c r="K12446" s="1192" t="s">
        <v>3465</v>
      </c>
      <c r="L12446" s="1192" t="s">
        <v>2374</v>
      </c>
      <c r="P12446" s="1192" t="s">
        <v>3470</v>
      </c>
      <c r="V12446" s="1192">
        <v>65</v>
      </c>
    </row>
    <row r="12447" spans="1:22" s="1192" customFormat="1" ht="14.4" x14ac:dyDescent="0.3">
      <c r="A12447" s="1192" t="s">
        <v>190</v>
      </c>
      <c r="E12447" s="1740" t="s">
        <v>428</v>
      </c>
      <c r="F12447" s="1740"/>
      <c r="G12447" s="524" t="s">
        <v>20</v>
      </c>
      <c r="H12447" s="1219">
        <v>5.0000000000000001E-4</v>
      </c>
      <c r="K12447" s="1192" t="s">
        <v>3465</v>
      </c>
      <c r="L12447" s="1192" t="s">
        <v>2374</v>
      </c>
      <c r="P12447" s="1192" t="s">
        <v>3471</v>
      </c>
      <c r="V12447" s="1192">
        <v>57</v>
      </c>
    </row>
    <row r="12448" spans="1:22" s="1192" customFormat="1" ht="14.4" x14ac:dyDescent="0.3">
      <c r="A12448" s="1192" t="s">
        <v>190</v>
      </c>
      <c r="E12448" s="1740" t="s">
        <v>28</v>
      </c>
      <c r="F12448" s="1740"/>
      <c r="G12448" s="524" t="s">
        <v>19</v>
      </c>
      <c r="H12448" s="1218">
        <v>0.25</v>
      </c>
      <c r="K12448" s="1192" t="s">
        <v>3465</v>
      </c>
      <c r="L12448" s="1192" t="s">
        <v>2374</v>
      </c>
      <c r="P12448" s="1192" t="s">
        <v>3472</v>
      </c>
      <c r="V12448" s="1192">
        <v>63</v>
      </c>
    </row>
    <row r="12449" spans="1:22" s="1192" customFormat="1" ht="17.399999999999999" x14ac:dyDescent="0.3">
      <c r="A12449" s="1192" t="s">
        <v>190</v>
      </c>
      <c r="E12449" s="1746" t="s">
        <v>593</v>
      </c>
      <c r="F12449" s="1747"/>
      <c r="G12449" s="1747"/>
      <c r="H12449" s="1747"/>
      <c r="K12449" s="1192" t="s">
        <v>3916</v>
      </c>
      <c r="V12449" s="1192">
        <v>31</v>
      </c>
    </row>
    <row r="12450" spans="1:22" s="1192" customFormat="1" ht="14.4" x14ac:dyDescent="0.3">
      <c r="A12450" s="1192" t="s">
        <v>190</v>
      </c>
      <c r="E12450" s="1743" t="s">
        <v>3357</v>
      </c>
      <c r="F12450" s="1743"/>
      <c r="G12450" s="1743"/>
      <c r="H12450" s="1743"/>
      <c r="K12450" s="1192" t="s">
        <v>3916</v>
      </c>
      <c r="V12450" s="1192">
        <v>284</v>
      </c>
    </row>
    <row r="12451" spans="1:22" s="1192" customFormat="1" ht="14.4" x14ac:dyDescent="0.3">
      <c r="A12451" s="1192" t="s">
        <v>190</v>
      </c>
      <c r="E12451" s="1750" t="s">
        <v>2389</v>
      </c>
      <c r="F12451" s="1743"/>
      <c r="G12451" s="1743"/>
      <c r="H12451" s="1743"/>
      <c r="K12451" s="1192" t="s">
        <v>2424</v>
      </c>
      <c r="V12451" s="1192">
        <v>11</v>
      </c>
    </row>
    <row r="12452" spans="1:22" s="1192" customFormat="1" ht="14.4" x14ac:dyDescent="0.3">
      <c r="A12452" s="1192" t="s">
        <v>190</v>
      </c>
      <c r="E12452" s="1743" t="s">
        <v>2391</v>
      </c>
      <c r="F12452" s="1743"/>
      <c r="G12452" s="1743"/>
      <c r="H12452" s="1743"/>
      <c r="K12452" s="1192" t="s">
        <v>3916</v>
      </c>
      <c r="V12452" s="1192">
        <v>280</v>
      </c>
    </row>
    <row r="12453" spans="1:22" s="1192" customFormat="1" ht="14.4" x14ac:dyDescent="0.3">
      <c r="A12453" s="1192" t="s">
        <v>190</v>
      </c>
      <c r="E12453" s="1743" t="s">
        <v>2392</v>
      </c>
      <c r="F12453" s="1743"/>
      <c r="G12453" s="1743"/>
      <c r="H12453" s="1743"/>
      <c r="K12453" s="1192" t="s">
        <v>3916</v>
      </c>
      <c r="V12453" s="1192">
        <v>411</v>
      </c>
    </row>
    <row r="12454" spans="1:22" s="1192" customFormat="1" ht="14.4" x14ac:dyDescent="0.3">
      <c r="A12454" s="1192" t="s">
        <v>190</v>
      </c>
      <c r="E12454" s="1743" t="s">
        <v>3124</v>
      </c>
      <c r="F12454" s="1743"/>
      <c r="G12454" s="1743"/>
      <c r="H12454" s="1743"/>
      <c r="K12454" s="1192" t="s">
        <v>3916</v>
      </c>
      <c r="V12454" s="1192">
        <v>212</v>
      </c>
    </row>
    <row r="12455" spans="1:22" s="1192" customFormat="1" ht="14.4" x14ac:dyDescent="0.3">
      <c r="A12455" s="1192" t="s">
        <v>190</v>
      </c>
      <c r="E12455" s="1743" t="s">
        <v>4500</v>
      </c>
      <c r="F12455" s="1743"/>
      <c r="G12455" s="1743"/>
      <c r="H12455" s="1743"/>
      <c r="K12455" s="1192" t="s">
        <v>3916</v>
      </c>
      <c r="V12455" s="1192">
        <v>247</v>
      </c>
    </row>
    <row r="12456" spans="1:22" s="1192" customFormat="1" ht="14.4" x14ac:dyDescent="0.3">
      <c r="A12456" s="1192" t="s">
        <v>190</v>
      </c>
      <c r="E12456" s="1750" t="s">
        <v>2394</v>
      </c>
      <c r="F12456" s="1743"/>
      <c r="G12456" s="1743"/>
      <c r="H12456" s="1743"/>
      <c r="K12456" s="1192" t="s">
        <v>2425</v>
      </c>
      <c r="V12456" s="1192">
        <v>46</v>
      </c>
    </row>
    <row r="12457" spans="1:22" s="1192" customFormat="1" ht="14.4" x14ac:dyDescent="0.3">
      <c r="A12457" s="1192" t="s">
        <v>190</v>
      </c>
      <c r="E12457" s="1741" t="s">
        <v>7</v>
      </c>
      <c r="F12457" s="1741"/>
      <c r="G12457" s="524" t="s">
        <v>19</v>
      </c>
      <c r="H12457" s="1218">
        <v>5.4</v>
      </c>
      <c r="K12457" s="1192" t="s">
        <v>3916</v>
      </c>
      <c r="L12457" s="1192" t="s">
        <v>430</v>
      </c>
      <c r="P12457" s="1192" t="s">
        <v>3917</v>
      </c>
      <c r="V12457" s="1192">
        <v>14</v>
      </c>
    </row>
    <row r="12458" spans="1:22" s="1192" customFormat="1" x14ac:dyDescent="0.3">
      <c r="A12458" s="1192" t="s">
        <v>190</v>
      </c>
      <c r="E12458" s="1260" t="s">
        <v>81</v>
      </c>
      <c r="F12458" s="823"/>
      <c r="G12458" s="823"/>
      <c r="H12458" s="878"/>
      <c r="K12458" s="1192" t="s">
        <v>4466</v>
      </c>
      <c r="V12458" s="1192">
        <v>10</v>
      </c>
    </row>
    <row r="12459" spans="1:22" s="1192" customFormat="1" ht="14.4" x14ac:dyDescent="0.3">
      <c r="A12459" s="1192" t="s">
        <v>190</v>
      </c>
      <c r="E12459" s="1741" t="s">
        <v>2449</v>
      </c>
      <c r="F12459" s="1741"/>
      <c r="G12459" s="1277" t="s">
        <v>29</v>
      </c>
      <c r="H12459" s="1219">
        <v>-0.37409999999999999</v>
      </c>
      <c r="V12459" s="1192">
        <v>68</v>
      </c>
    </row>
    <row r="12460" spans="1:22" s="1192" customFormat="1" ht="14.4" x14ac:dyDescent="0.3">
      <c r="A12460" s="1192" t="s">
        <v>190</v>
      </c>
      <c r="E12460" s="1741" t="s">
        <v>2450</v>
      </c>
      <c r="F12460" s="1741"/>
      <c r="G12460" s="1277" t="s">
        <v>82</v>
      </c>
      <c r="H12460" s="1218">
        <v>-1</v>
      </c>
      <c r="V12460" s="1192">
        <v>87</v>
      </c>
    </row>
    <row r="12461" spans="1:22" s="1192" customFormat="1" x14ac:dyDescent="0.3">
      <c r="A12461" s="1192" t="s">
        <v>190</v>
      </c>
      <c r="E12461" s="1260" t="s">
        <v>83</v>
      </c>
      <c r="F12461" s="823"/>
      <c r="G12461" s="823"/>
      <c r="H12461" s="878"/>
      <c r="K12461" s="1192" t="s">
        <v>4467</v>
      </c>
      <c r="V12461" s="1192">
        <v>24</v>
      </c>
    </row>
    <row r="12462" spans="1:22" s="1192" customFormat="1" ht="14.4" x14ac:dyDescent="0.3">
      <c r="A12462" s="1192" t="s">
        <v>190</v>
      </c>
      <c r="E12462" s="1743" t="s">
        <v>2391</v>
      </c>
      <c r="F12462" s="1743"/>
      <c r="G12462" s="1743"/>
      <c r="H12462" s="1743"/>
      <c r="V12462" s="1192">
        <v>280</v>
      </c>
    </row>
    <row r="12463" spans="1:22" s="1192" customFormat="1" ht="14.4" x14ac:dyDescent="0.3">
      <c r="A12463" s="1192" t="s">
        <v>190</v>
      </c>
      <c r="E12463" s="1743" t="s">
        <v>2452</v>
      </c>
      <c r="F12463" s="1743"/>
      <c r="G12463" s="1743"/>
      <c r="H12463" s="1743"/>
      <c r="V12463" s="1192">
        <v>353</v>
      </c>
    </row>
    <row r="12464" spans="1:22" s="1192" customFormat="1" ht="14.4" x14ac:dyDescent="0.3">
      <c r="A12464" s="1192" t="s">
        <v>190</v>
      </c>
      <c r="E12464" s="1743" t="s">
        <v>4500</v>
      </c>
      <c r="F12464" s="1743"/>
      <c r="G12464" s="1743"/>
      <c r="H12464" s="1743"/>
      <c r="V12464" s="1192">
        <v>247</v>
      </c>
    </row>
    <row r="12465" spans="1:22" s="1192" customFormat="1" ht="14.4" x14ac:dyDescent="0.3">
      <c r="A12465" s="1192" t="s">
        <v>190</v>
      </c>
      <c r="E12465" s="1258" t="s">
        <v>2453</v>
      </c>
      <c r="F12465" s="3"/>
      <c r="G12465" s="3"/>
      <c r="H12465" s="897"/>
      <c r="K12465" s="1192" t="s">
        <v>4468</v>
      </c>
      <c r="V12465" s="1192">
        <v>23</v>
      </c>
    </row>
    <row r="12466" spans="1:22" s="1192" customFormat="1" ht="14.4" x14ac:dyDescent="0.3">
      <c r="A12466" s="1192" t="s">
        <v>190</v>
      </c>
      <c r="E12466" s="1745" t="s">
        <v>2456</v>
      </c>
      <c r="F12466" s="1745"/>
      <c r="G12466" s="1277" t="s">
        <v>19</v>
      </c>
      <c r="H12466" s="1218">
        <v>15</v>
      </c>
      <c r="V12466" s="1192">
        <v>20</v>
      </c>
    </row>
    <row r="12467" spans="1:22" s="1192" customFormat="1" ht="14.4" x14ac:dyDescent="0.3">
      <c r="A12467" s="1192" t="s">
        <v>190</v>
      </c>
      <c r="E12467" s="1745" t="s">
        <v>2458</v>
      </c>
      <c r="F12467" s="1745"/>
      <c r="G12467" s="1277" t="s">
        <v>19</v>
      </c>
      <c r="H12467" s="1218">
        <v>15</v>
      </c>
      <c r="V12467" s="1192">
        <v>39</v>
      </c>
    </row>
    <row r="12468" spans="1:22" s="1192" customFormat="1" ht="14.4" x14ac:dyDescent="0.3">
      <c r="A12468" s="1192" t="s">
        <v>190</v>
      </c>
      <c r="E12468" s="1745" t="s">
        <v>3663</v>
      </c>
      <c r="F12468" s="1745"/>
      <c r="G12468" s="1277" t="s">
        <v>19</v>
      </c>
      <c r="H12468" s="1218">
        <v>15</v>
      </c>
      <c r="V12468" s="1192">
        <v>15</v>
      </c>
    </row>
    <row r="12469" spans="1:22" s="1192" customFormat="1" ht="14.4" x14ac:dyDescent="0.3">
      <c r="A12469" s="1192" t="s">
        <v>190</v>
      </c>
      <c r="E12469" s="1745" t="s">
        <v>2461</v>
      </c>
      <c r="F12469" s="1745"/>
      <c r="G12469" s="1277" t="s">
        <v>19</v>
      </c>
      <c r="H12469" s="1218">
        <v>15</v>
      </c>
      <c r="V12469" s="1192">
        <v>17</v>
      </c>
    </row>
    <row r="12470" spans="1:22" s="1192" customFormat="1" ht="14.4" x14ac:dyDescent="0.3">
      <c r="A12470" s="1192" t="s">
        <v>190</v>
      </c>
      <c r="E12470" s="1745" t="s">
        <v>2464</v>
      </c>
      <c r="F12470" s="1745"/>
      <c r="G12470" s="1277" t="s">
        <v>19</v>
      </c>
      <c r="H12470" s="1218">
        <v>15</v>
      </c>
      <c r="V12470" s="1192">
        <v>56</v>
      </c>
    </row>
    <row r="12471" spans="1:22" s="1192" customFormat="1" ht="14.4" x14ac:dyDescent="0.3">
      <c r="A12471" s="1192" t="s">
        <v>190</v>
      </c>
      <c r="E12471" s="1745" t="s">
        <v>6659</v>
      </c>
      <c r="F12471" s="1745"/>
      <c r="G12471" s="1277" t="s">
        <v>19</v>
      </c>
      <c r="H12471" s="1218">
        <v>15</v>
      </c>
      <c r="V12471" s="1192">
        <v>34</v>
      </c>
    </row>
    <row r="12472" spans="1:22" s="1192" customFormat="1" ht="14.4" x14ac:dyDescent="0.3">
      <c r="A12472" s="1192" t="s">
        <v>190</v>
      </c>
      <c r="E12472" s="1745" t="s">
        <v>2466</v>
      </c>
      <c r="F12472" s="1745"/>
      <c r="G12472" s="1277" t="s">
        <v>19</v>
      </c>
      <c r="H12472" s="1218">
        <v>15</v>
      </c>
      <c r="V12472" s="1192">
        <v>24</v>
      </c>
    </row>
    <row r="12473" spans="1:22" s="1192" customFormat="1" ht="14.4" x14ac:dyDescent="0.3">
      <c r="A12473" s="1192" t="s">
        <v>190</v>
      </c>
      <c r="E12473" s="1745" t="s">
        <v>84</v>
      </c>
      <c r="F12473" s="1745"/>
      <c r="G12473" s="1277" t="s">
        <v>19</v>
      </c>
      <c r="H12473" s="1218">
        <v>30</v>
      </c>
      <c r="V12473" s="1192">
        <v>89</v>
      </c>
    </row>
    <row r="12474" spans="1:22" s="1192" customFormat="1" ht="14.4" x14ac:dyDescent="0.3">
      <c r="A12474" s="1192" t="s">
        <v>190</v>
      </c>
      <c r="E12474" s="1745" t="s">
        <v>88</v>
      </c>
      <c r="F12474" s="1745"/>
      <c r="G12474" s="1277" t="s">
        <v>19</v>
      </c>
      <c r="H12474" s="1218">
        <v>30</v>
      </c>
      <c r="V12474" s="1192">
        <v>74</v>
      </c>
    </row>
    <row r="12475" spans="1:22" s="1192" customFormat="1" ht="14.4" x14ac:dyDescent="0.3">
      <c r="A12475" s="1192" t="s">
        <v>190</v>
      </c>
      <c r="E12475" s="1258" t="s">
        <v>2468</v>
      </c>
      <c r="F12475" s="3"/>
      <c r="G12475" s="3"/>
      <c r="H12475" s="897"/>
      <c r="K12475" s="1192" t="s">
        <v>6660</v>
      </c>
      <c r="V12475" s="1192">
        <v>22</v>
      </c>
    </row>
    <row r="12476" spans="1:22" s="1192" customFormat="1" ht="14.4" x14ac:dyDescent="0.3">
      <c r="A12476" s="1192" t="s">
        <v>190</v>
      </c>
      <c r="E12476" s="1745" t="s">
        <v>5940</v>
      </c>
      <c r="F12476" s="1745"/>
      <c r="G12476" s="1277" t="s">
        <v>82</v>
      </c>
      <c r="H12476" s="1218">
        <v>1.5</v>
      </c>
      <c r="V12476" s="1192">
        <v>99</v>
      </c>
    </row>
    <row r="12477" spans="1:22" s="1192" customFormat="1" ht="14.4" x14ac:dyDescent="0.3">
      <c r="A12477" s="1192" t="s">
        <v>190</v>
      </c>
      <c r="E12477" s="1745" t="s">
        <v>6106</v>
      </c>
      <c r="F12477" s="1745"/>
      <c r="G12477" s="1277" t="s">
        <v>19</v>
      </c>
      <c r="H12477" s="1218">
        <v>110</v>
      </c>
      <c r="V12477" s="1192">
        <v>44</v>
      </c>
    </row>
    <row r="12478" spans="1:22" s="1192" customFormat="1" ht="14.4" x14ac:dyDescent="0.3">
      <c r="A12478" s="1192" t="s">
        <v>190</v>
      </c>
      <c r="E12478" s="1745" t="s">
        <v>6107</v>
      </c>
      <c r="F12478" s="1745"/>
      <c r="G12478" s="1277" t="s">
        <v>19</v>
      </c>
      <c r="H12478" s="1218">
        <v>245</v>
      </c>
      <c r="V12478" s="1192">
        <v>43</v>
      </c>
    </row>
    <row r="12479" spans="1:22" s="1192" customFormat="1" ht="14.4" x14ac:dyDescent="0.3">
      <c r="A12479" s="1192" t="s">
        <v>190</v>
      </c>
      <c r="E12479" s="1745" t="s">
        <v>6108</v>
      </c>
      <c r="F12479" s="1745"/>
      <c r="G12479" s="1277" t="s">
        <v>19</v>
      </c>
      <c r="H12479" s="1218">
        <v>245</v>
      </c>
      <c r="V12479" s="1192">
        <v>43</v>
      </c>
    </row>
    <row r="12480" spans="1:22" s="1192" customFormat="1" ht="14.4" x14ac:dyDescent="0.3">
      <c r="A12480" s="1192" t="s">
        <v>190</v>
      </c>
      <c r="E12480" s="1745" t="s">
        <v>6115</v>
      </c>
      <c r="F12480" s="1745"/>
      <c r="G12480" s="1277" t="s">
        <v>19</v>
      </c>
      <c r="H12480" s="1218">
        <v>415</v>
      </c>
      <c r="V12480" s="1192">
        <v>42</v>
      </c>
    </row>
    <row r="12481" spans="1:22" s="1192" customFormat="1" ht="14.4" x14ac:dyDescent="0.3">
      <c r="A12481" s="1192" t="s">
        <v>190</v>
      </c>
      <c r="E12481" s="1258" t="s">
        <v>2474</v>
      </c>
      <c r="F12481" s="3"/>
      <c r="G12481" s="3"/>
      <c r="H12481" s="897"/>
      <c r="V12481" s="1192">
        <v>5</v>
      </c>
    </row>
    <row r="12482" spans="1:22" s="1192" customFormat="1" ht="14.4" x14ac:dyDescent="0.3">
      <c r="A12482" s="1192" t="s">
        <v>190</v>
      </c>
      <c r="E12482" s="1745" t="s">
        <v>2703</v>
      </c>
      <c r="F12482" s="1745"/>
      <c r="G12482" s="1277" t="s">
        <v>19</v>
      </c>
      <c r="H12482" s="1218">
        <v>500</v>
      </c>
      <c r="V12482" s="1192">
        <v>64</v>
      </c>
    </row>
    <row r="12483" spans="1:22" s="1192" customFormat="1" ht="14.4" x14ac:dyDescent="0.3">
      <c r="A12483" s="1192" t="s">
        <v>190</v>
      </c>
      <c r="E12483" s="1745" t="s">
        <v>2758</v>
      </c>
      <c r="F12483" s="1745"/>
      <c r="G12483" s="1277" t="s">
        <v>19</v>
      </c>
      <c r="H12483" s="1218">
        <v>300</v>
      </c>
      <c r="V12483" s="1192">
        <v>67</v>
      </c>
    </row>
    <row r="12484" spans="1:22" s="1192" customFormat="1" ht="14.4" x14ac:dyDescent="0.3">
      <c r="A12484" s="1192" t="s">
        <v>190</v>
      </c>
      <c r="E12484" s="1745" t="s">
        <v>2759</v>
      </c>
      <c r="F12484" s="1745"/>
      <c r="G12484" s="1277" t="s">
        <v>19</v>
      </c>
      <c r="H12484" s="1218">
        <v>1000</v>
      </c>
      <c r="V12484" s="1192">
        <v>66</v>
      </c>
    </row>
    <row r="12485" spans="1:22" s="1192" customFormat="1" ht="14.4" x14ac:dyDescent="0.3">
      <c r="A12485" s="1192" t="s">
        <v>190</v>
      </c>
      <c r="E12485" s="2182" t="s">
        <v>4734</v>
      </c>
      <c r="F12485" s="2182"/>
      <c r="G12485" s="1277" t="s">
        <v>19</v>
      </c>
      <c r="H12485" s="1218">
        <v>44.5</v>
      </c>
      <c r="V12485" s="1192">
        <v>105</v>
      </c>
    </row>
    <row r="12486" spans="1:22" s="1192" customFormat="1" ht="34.799999999999997" x14ac:dyDescent="0.35">
      <c r="A12486" s="1192" t="s">
        <v>190</v>
      </c>
      <c r="E12486" s="1260" t="s">
        <v>73</v>
      </c>
      <c r="F12486" s="550"/>
      <c r="G12486" s="550"/>
      <c r="H12486" s="881"/>
      <c r="K12486" s="1192" t="s">
        <v>4469</v>
      </c>
      <c r="V12486" s="1192">
        <v>38</v>
      </c>
    </row>
    <row r="12487" spans="1:22" s="1192" customFormat="1" ht="14.4" x14ac:dyDescent="0.3">
      <c r="A12487" s="1192" t="s">
        <v>190</v>
      </c>
      <c r="E12487" s="1743" t="s">
        <v>2391</v>
      </c>
      <c r="F12487" s="1743"/>
      <c r="G12487" s="1743"/>
      <c r="H12487" s="1743"/>
      <c r="V12487" s="1192">
        <v>280</v>
      </c>
    </row>
    <row r="12488" spans="1:22" s="1192" customFormat="1" ht="14.4" x14ac:dyDescent="0.3">
      <c r="A12488" s="1192" t="s">
        <v>190</v>
      </c>
      <c r="E12488" s="1743" t="s">
        <v>2392</v>
      </c>
      <c r="F12488" s="1743"/>
      <c r="G12488" s="1743"/>
      <c r="H12488" s="1743"/>
      <c r="V12488" s="1192">
        <v>411</v>
      </c>
    </row>
    <row r="12489" spans="1:22" s="1192" customFormat="1" ht="14.4" x14ac:dyDescent="0.3">
      <c r="A12489" s="1192" t="s">
        <v>190</v>
      </c>
      <c r="E12489" s="1743" t="s">
        <v>4735</v>
      </c>
      <c r="F12489" s="1743"/>
      <c r="G12489" s="1743"/>
      <c r="H12489" s="1743"/>
      <c r="V12489" s="1192">
        <v>214</v>
      </c>
    </row>
    <row r="12490" spans="1:22" s="1192" customFormat="1" ht="14.4" x14ac:dyDescent="0.3">
      <c r="A12490" s="1192" t="s">
        <v>190</v>
      </c>
      <c r="E12490" s="1743" t="s">
        <v>4500</v>
      </c>
      <c r="F12490" s="1743"/>
      <c r="G12490" s="1743"/>
      <c r="H12490" s="1743"/>
      <c r="V12490" s="1192">
        <v>247</v>
      </c>
    </row>
    <row r="12491" spans="1:22" s="1192" customFormat="1" ht="14.4" x14ac:dyDescent="0.3">
      <c r="A12491" s="1192" t="s">
        <v>190</v>
      </c>
      <c r="E12491" s="1743" t="s">
        <v>2595</v>
      </c>
      <c r="F12491" s="1743"/>
      <c r="G12491" s="1743"/>
      <c r="H12491" s="1743"/>
      <c r="V12491" s="1192">
        <v>142</v>
      </c>
    </row>
    <row r="12492" spans="1:22" s="1192" customFormat="1" ht="14.4" x14ac:dyDescent="0.3">
      <c r="A12492" s="1192" t="s">
        <v>190</v>
      </c>
      <c r="E12492" s="1740" t="s">
        <v>2485</v>
      </c>
      <c r="F12492" s="1740"/>
      <c r="G12492" s="360" t="s">
        <v>19</v>
      </c>
      <c r="H12492" s="1218">
        <v>102</v>
      </c>
      <c r="V12492" s="1192">
        <v>106</v>
      </c>
    </row>
    <row r="12493" spans="1:22" s="1192" customFormat="1" ht="14.4" x14ac:dyDescent="0.3">
      <c r="A12493" s="1192" t="s">
        <v>190</v>
      </c>
      <c r="E12493" s="1740" t="s">
        <v>3919</v>
      </c>
      <c r="F12493" s="1740"/>
      <c r="G12493" s="1280" t="s">
        <v>19</v>
      </c>
      <c r="H12493" s="509">
        <v>40.799999999999997</v>
      </c>
      <c r="V12493" s="1192">
        <v>34</v>
      </c>
    </row>
    <row r="12494" spans="1:22" s="1192" customFormat="1" ht="14.4" x14ac:dyDescent="0.3">
      <c r="A12494" s="1192" t="s">
        <v>190</v>
      </c>
      <c r="E12494" s="1740" t="s">
        <v>3920</v>
      </c>
      <c r="F12494" s="1740"/>
      <c r="G12494" s="1280" t="s">
        <v>2488</v>
      </c>
      <c r="H12494" s="509">
        <v>1.02</v>
      </c>
      <c r="V12494" s="1192">
        <v>51</v>
      </c>
    </row>
    <row r="12495" spans="1:22" s="1192" customFormat="1" ht="14.4" x14ac:dyDescent="0.3">
      <c r="A12495" s="1192" t="s">
        <v>190</v>
      </c>
      <c r="E12495" s="1740" t="s">
        <v>2489</v>
      </c>
      <c r="F12495" s="1740"/>
      <c r="G12495" s="1280" t="s">
        <v>2488</v>
      </c>
      <c r="H12495" s="509">
        <v>0.61</v>
      </c>
      <c r="V12495" s="1192">
        <v>75</v>
      </c>
    </row>
    <row r="12496" spans="1:22" s="1192" customFormat="1" ht="14.4" x14ac:dyDescent="0.3">
      <c r="A12496" s="1192" t="s">
        <v>190</v>
      </c>
      <c r="E12496" s="1740" t="s">
        <v>2490</v>
      </c>
      <c r="F12496" s="1740"/>
      <c r="G12496" s="1280" t="s">
        <v>2488</v>
      </c>
      <c r="H12496" s="509">
        <v>-0.61</v>
      </c>
      <c r="V12496" s="1192">
        <v>72</v>
      </c>
    </row>
    <row r="12497" spans="1:22" s="1192" customFormat="1" ht="14.4" x14ac:dyDescent="0.3">
      <c r="A12497" s="1192" t="s">
        <v>190</v>
      </c>
      <c r="E12497" s="1740" t="s">
        <v>2596</v>
      </c>
      <c r="F12497" s="1740"/>
      <c r="G12497" s="1280"/>
      <c r="H12497" s="840"/>
      <c r="V12497" s="1192">
        <v>34</v>
      </c>
    </row>
    <row r="12498" spans="1:22" s="1192" customFormat="1" ht="14.4" x14ac:dyDescent="0.3">
      <c r="A12498" s="1192" t="s">
        <v>190</v>
      </c>
      <c r="E12498" s="1742" t="s">
        <v>2492</v>
      </c>
      <c r="F12498" s="1742"/>
      <c r="G12498" s="360" t="s">
        <v>19</v>
      </c>
      <c r="H12498" s="1218">
        <v>0.51</v>
      </c>
      <c r="V12498" s="1192">
        <v>57</v>
      </c>
    </row>
    <row r="12499" spans="1:22" s="1192" customFormat="1" ht="14.4" x14ac:dyDescent="0.3">
      <c r="A12499" s="1192" t="s">
        <v>190</v>
      </c>
      <c r="E12499" s="1742" t="s">
        <v>2493</v>
      </c>
      <c r="F12499" s="1742"/>
      <c r="G12499" s="360" t="s">
        <v>19</v>
      </c>
      <c r="H12499" s="1218">
        <v>1.02</v>
      </c>
      <c r="V12499" s="1192">
        <v>60</v>
      </c>
    </row>
    <row r="12500" spans="1:22" s="1192" customFormat="1" ht="14.4" x14ac:dyDescent="0.3">
      <c r="A12500" s="1192" t="s">
        <v>190</v>
      </c>
      <c r="E12500" s="1740" t="s">
        <v>2494</v>
      </c>
      <c r="F12500" s="1740"/>
      <c r="G12500" s="360"/>
      <c r="H12500" s="837"/>
      <c r="V12500" s="1192">
        <v>91</v>
      </c>
    </row>
    <row r="12501" spans="1:22" s="1192" customFormat="1" ht="14.4" x14ac:dyDescent="0.3">
      <c r="A12501" s="1192" t="s">
        <v>190</v>
      </c>
      <c r="E12501" s="1740" t="s">
        <v>2495</v>
      </c>
      <c r="F12501" s="1740"/>
      <c r="G12501" s="360"/>
      <c r="H12501" s="837"/>
      <c r="V12501" s="1192">
        <v>96</v>
      </c>
    </row>
    <row r="12502" spans="1:22" s="1192" customFormat="1" ht="14.4" x14ac:dyDescent="0.3">
      <c r="A12502" s="1192" t="s">
        <v>190</v>
      </c>
      <c r="E12502" s="1740" t="s">
        <v>2597</v>
      </c>
      <c r="F12502" s="1740"/>
      <c r="G12502" s="360"/>
      <c r="H12502" s="837"/>
      <c r="V12502" s="1192">
        <v>77</v>
      </c>
    </row>
    <row r="12503" spans="1:22" s="1192" customFormat="1" ht="14.4" x14ac:dyDescent="0.3">
      <c r="A12503" s="1192" t="s">
        <v>190</v>
      </c>
      <c r="E12503" s="1742" t="s">
        <v>2497</v>
      </c>
      <c r="F12503" s="1742"/>
      <c r="G12503" s="360" t="s">
        <v>19</v>
      </c>
      <c r="H12503" s="837" t="s">
        <v>2498</v>
      </c>
      <c r="V12503" s="1192">
        <v>18</v>
      </c>
    </row>
    <row r="12504" spans="1:22" s="1192" customFormat="1" ht="14.4" x14ac:dyDescent="0.3">
      <c r="A12504" s="1192" t="s">
        <v>190</v>
      </c>
      <c r="E12504" s="1742" t="s">
        <v>2499</v>
      </c>
      <c r="F12504" s="1742"/>
      <c r="G12504" s="360" t="s">
        <v>19</v>
      </c>
      <c r="H12504" s="1218">
        <v>4.08</v>
      </c>
      <c r="V12504" s="1192">
        <v>69</v>
      </c>
    </row>
    <row r="12505" spans="1:22" s="1192" customFormat="1" ht="14.4" x14ac:dyDescent="0.3">
      <c r="A12505" s="1192" t="s">
        <v>190</v>
      </c>
      <c r="E12505" s="2011" t="s">
        <v>4608</v>
      </c>
      <c r="F12505" s="2011"/>
      <c r="G12505" s="360" t="s">
        <v>19</v>
      </c>
      <c r="H12505" s="1218">
        <v>2.04</v>
      </c>
      <c r="V12505" s="1192">
        <v>199</v>
      </c>
    </row>
    <row r="12506" spans="1:22" s="1192" customFormat="1" x14ac:dyDescent="0.3">
      <c r="A12506" s="1192" t="s">
        <v>190</v>
      </c>
      <c r="E12506" s="1260" t="s">
        <v>143</v>
      </c>
      <c r="F12506" s="823"/>
      <c r="G12506" s="823"/>
      <c r="H12506" s="878"/>
      <c r="K12506" s="1192" t="s">
        <v>4470</v>
      </c>
      <c r="V12506" s="1192">
        <v>12</v>
      </c>
    </row>
    <row r="12507" spans="1:22" s="1192" customFormat="1" ht="14.4" x14ac:dyDescent="0.3">
      <c r="A12507" s="1192" t="s">
        <v>190</v>
      </c>
      <c r="E12507" s="1741" t="s">
        <v>2501</v>
      </c>
      <c r="F12507" s="1741"/>
      <c r="G12507" s="1741"/>
      <c r="H12507" s="1741"/>
      <c r="V12507" s="1192">
        <v>203</v>
      </c>
    </row>
    <row r="12508" spans="1:22" s="1192" customFormat="1" ht="14.4" x14ac:dyDescent="0.3">
      <c r="A12508" s="1192" t="s">
        <v>190</v>
      </c>
      <c r="E12508" s="1741" t="s">
        <v>2599</v>
      </c>
      <c r="F12508" s="1741"/>
      <c r="G12508" s="1277"/>
      <c r="H12508" s="837">
        <v>1.0565</v>
      </c>
      <c r="V12508" s="1192">
        <v>57</v>
      </c>
    </row>
    <row r="12509" spans="1:22" s="1192" customFormat="1" ht="14.4" x14ac:dyDescent="0.3">
      <c r="A12509" s="1192" t="s">
        <v>190</v>
      </c>
      <c r="E12509" s="1741" t="s">
        <v>2601</v>
      </c>
      <c r="F12509" s="1741"/>
      <c r="G12509" s="1277"/>
      <c r="H12509" s="837">
        <v>1.046</v>
      </c>
      <c r="J12509" s="1192" t="s">
        <v>4471</v>
      </c>
      <c r="V12509" s="1192">
        <v>55</v>
      </c>
    </row>
    <row r="12510" spans="1:22" s="1192" customFormat="1" ht="22.8" x14ac:dyDescent="0.3">
      <c r="A12510" s="1192" t="s">
        <v>6898</v>
      </c>
      <c r="B12510" s="1192" t="s">
        <v>6899</v>
      </c>
      <c r="C12510" s="1192" t="s">
        <v>2378</v>
      </c>
      <c r="E12510" s="1752" t="s">
        <v>6898</v>
      </c>
      <c r="F12510" s="1752"/>
      <c r="G12510" s="1752"/>
      <c r="H12510" s="1752"/>
      <c r="I12510" s="1192" t="s">
        <v>603</v>
      </c>
      <c r="J12510" s="1192" t="s">
        <v>6900</v>
      </c>
      <c r="K12510" s="1192" t="s">
        <v>6661</v>
      </c>
      <c r="M12510" s="1192">
        <v>9</v>
      </c>
      <c r="V12510" s="1192">
        <v>43</v>
      </c>
    </row>
    <row r="12511" spans="1:22" s="1192" customFormat="1" ht="22.8" x14ac:dyDescent="0.3">
      <c r="A12511" s="1192" t="s">
        <v>6898</v>
      </c>
      <c r="B12511" s="1192" t="s">
        <v>6899</v>
      </c>
      <c r="C12511" s="1192" t="s">
        <v>2380</v>
      </c>
      <c r="E12511" s="1752" t="s">
        <v>6897</v>
      </c>
      <c r="F12511" s="1752"/>
      <c r="G12511" s="1752"/>
      <c r="H12511" s="1752"/>
    </row>
    <row r="12512" spans="1:22" s="1192" customFormat="1" ht="17.399999999999999" x14ac:dyDescent="0.3">
      <c r="A12512" s="1192" t="s">
        <v>6898</v>
      </c>
      <c r="B12512" s="1192" t="s">
        <v>6899</v>
      </c>
      <c r="C12512" s="1192" t="s">
        <v>2382</v>
      </c>
      <c r="E12512" s="1753" t="s">
        <v>2381</v>
      </c>
      <c r="F12512" s="1753"/>
      <c r="G12512" s="1753"/>
      <c r="H12512" s="1753"/>
      <c r="V12512" s="1192">
        <v>27</v>
      </c>
    </row>
    <row r="12513" spans="1:22" s="1192" customFormat="1" ht="15.6" x14ac:dyDescent="0.3">
      <c r="A12513" s="1192" t="s">
        <v>6898</v>
      </c>
      <c r="B12513" s="1192" t="s">
        <v>6899</v>
      </c>
      <c r="C12513" s="1192" t="s">
        <v>2383</v>
      </c>
      <c r="E12513" s="1754" t="s">
        <v>6482</v>
      </c>
      <c r="F12513" s="1754"/>
      <c r="G12513" s="1754"/>
      <c r="H12513" s="1754"/>
      <c r="S12513" s="1192">
        <v>43952</v>
      </c>
      <c r="V12513" s="1192">
        <v>45</v>
      </c>
    </row>
    <row r="12514" spans="1:22" s="1192" customFormat="1" ht="14.4" x14ac:dyDescent="0.3">
      <c r="A12514" s="1192" t="s">
        <v>6898</v>
      </c>
      <c r="B12514" s="1192" t="s">
        <v>6899</v>
      </c>
      <c r="E12514" s="1755" t="s">
        <v>2384</v>
      </c>
      <c r="F12514" s="1755"/>
      <c r="G12514" s="1755"/>
      <c r="H12514" s="1755"/>
      <c r="V12514" s="1192">
        <v>52</v>
      </c>
    </row>
    <row r="12515" spans="1:22" s="1192" customFormat="1" ht="14.4" x14ac:dyDescent="0.3">
      <c r="A12515" s="1192" t="s">
        <v>6898</v>
      </c>
      <c r="B12515" s="1192" t="s">
        <v>6899</v>
      </c>
      <c r="E12515" s="1755" t="s">
        <v>2385</v>
      </c>
      <c r="F12515" s="1755"/>
      <c r="G12515" s="1755"/>
      <c r="H12515" s="1755"/>
      <c r="V12515" s="1192">
        <v>53</v>
      </c>
    </row>
    <row r="12516" spans="1:22" s="1192" customFormat="1" ht="14.4" x14ac:dyDescent="0.3">
      <c r="A12516" s="1192" t="s">
        <v>6898</v>
      </c>
      <c r="B12516" s="1192" t="s">
        <v>6899</v>
      </c>
      <c r="E12516" s="1772" t="s">
        <v>6662</v>
      </c>
      <c r="F12516" s="1772"/>
      <c r="G12516" s="1772"/>
      <c r="H12516" s="1772"/>
      <c r="K12516" s="1192" t="s">
        <v>6662</v>
      </c>
      <c r="V12516" s="1192">
        <v>12</v>
      </c>
    </row>
    <row r="12517" spans="1:22" s="1192" customFormat="1" ht="14.4" x14ac:dyDescent="0.3">
      <c r="A12517" s="1192" t="s">
        <v>6898</v>
      </c>
      <c r="B12517" s="1192" t="s">
        <v>6899</v>
      </c>
      <c r="E12517" s="1746" t="s">
        <v>427</v>
      </c>
      <c r="F12517" s="1743"/>
      <c r="G12517" s="1743"/>
      <c r="H12517" s="1743"/>
      <c r="K12517" s="1192" t="s">
        <v>2506</v>
      </c>
      <c r="V12517" s="1192">
        <v>34</v>
      </c>
    </row>
    <row r="12518" spans="1:22" s="1192" customFormat="1" ht="14.4" x14ac:dyDescent="0.3">
      <c r="A12518" s="1192" t="s">
        <v>6898</v>
      </c>
      <c r="B12518" s="1192" t="s">
        <v>6899</v>
      </c>
      <c r="E12518" s="1743" t="s">
        <v>3615</v>
      </c>
      <c r="F12518" s="1743"/>
      <c r="G12518" s="1743"/>
      <c r="H12518" s="1743"/>
      <c r="K12518" s="1192" t="s">
        <v>2506</v>
      </c>
      <c r="V12518" s="1192">
        <v>263</v>
      </c>
    </row>
    <row r="12519" spans="1:22" s="1192" customFormat="1" ht="14.4" x14ac:dyDescent="0.3">
      <c r="A12519" s="1192" t="s">
        <v>6898</v>
      </c>
      <c r="B12519" s="1192" t="s">
        <v>6899</v>
      </c>
      <c r="E12519" s="1750" t="s">
        <v>2389</v>
      </c>
      <c r="F12519" s="1743"/>
      <c r="G12519" s="1743"/>
      <c r="H12519" s="1743"/>
      <c r="K12519" s="1192" t="s">
        <v>2390</v>
      </c>
      <c r="V12519" s="1192">
        <v>11</v>
      </c>
    </row>
    <row r="12520" spans="1:22" s="1192" customFormat="1" ht="14.4" x14ac:dyDescent="0.3">
      <c r="A12520" s="1192" t="s">
        <v>6898</v>
      </c>
      <c r="B12520" s="1192" t="s">
        <v>6899</v>
      </c>
      <c r="E12520" s="1743" t="s">
        <v>2391</v>
      </c>
      <c r="F12520" s="1743"/>
      <c r="G12520" s="1743"/>
      <c r="H12520" s="1743"/>
      <c r="K12520" s="1192" t="s">
        <v>2506</v>
      </c>
      <c r="V12520" s="1192">
        <v>280</v>
      </c>
    </row>
    <row r="12521" spans="1:22" s="1192" customFormat="1" ht="14.4" x14ac:dyDescent="0.3">
      <c r="A12521" s="1192" t="s">
        <v>6898</v>
      </c>
      <c r="B12521" s="1192" t="s">
        <v>6899</v>
      </c>
      <c r="E12521" s="1743" t="s">
        <v>2392</v>
      </c>
      <c r="F12521" s="1743"/>
      <c r="G12521" s="1743"/>
      <c r="H12521" s="1743"/>
      <c r="K12521" s="1192" t="s">
        <v>2506</v>
      </c>
      <c r="V12521" s="1192">
        <v>411</v>
      </c>
    </row>
    <row r="12522" spans="1:22" s="1192" customFormat="1" ht="14.4" x14ac:dyDescent="0.3">
      <c r="A12522" s="1192" t="s">
        <v>6898</v>
      </c>
      <c r="B12522" s="1192" t="s">
        <v>6899</v>
      </c>
      <c r="E12522" s="1743" t="s">
        <v>2393</v>
      </c>
      <c r="F12522" s="1743"/>
      <c r="G12522" s="1743"/>
      <c r="H12522" s="1743"/>
      <c r="K12522" s="1192" t="s">
        <v>2506</v>
      </c>
      <c r="V12522" s="1192">
        <v>387</v>
      </c>
    </row>
    <row r="12523" spans="1:22" s="1192" customFormat="1" ht="14.4" x14ac:dyDescent="0.3">
      <c r="A12523" s="1192" t="s">
        <v>6898</v>
      </c>
      <c r="B12523" s="1192" t="s">
        <v>6899</v>
      </c>
      <c r="E12523" s="1743" t="s">
        <v>4500</v>
      </c>
      <c r="F12523" s="1743"/>
      <c r="G12523" s="1743"/>
      <c r="H12523" s="1743"/>
      <c r="K12523" s="1192" t="s">
        <v>2506</v>
      </c>
      <c r="V12523" s="1192">
        <v>247</v>
      </c>
    </row>
    <row r="12524" spans="1:22" s="1192" customFormat="1" ht="14.4" x14ac:dyDescent="0.3">
      <c r="A12524" s="1192" t="s">
        <v>6898</v>
      </c>
      <c r="B12524" s="1192" t="s">
        <v>6899</v>
      </c>
      <c r="E12524" s="1750" t="s">
        <v>2394</v>
      </c>
      <c r="F12524" s="1743"/>
      <c r="G12524" s="1743"/>
      <c r="H12524" s="1743"/>
      <c r="K12524" s="1192" t="s">
        <v>2395</v>
      </c>
      <c r="V12524" s="1192">
        <v>46</v>
      </c>
    </row>
    <row r="12525" spans="1:22" s="1192" customFormat="1" ht="14.4" x14ac:dyDescent="0.3">
      <c r="A12525" s="1192" t="s">
        <v>6898</v>
      </c>
      <c r="B12525" s="1192" t="s">
        <v>6899</v>
      </c>
      <c r="E12525" s="1741" t="s">
        <v>7</v>
      </c>
      <c r="F12525" s="1741"/>
      <c r="G12525" s="1277" t="s">
        <v>19</v>
      </c>
      <c r="H12525" s="1218">
        <v>34.08</v>
      </c>
      <c r="K12525" s="1192" t="s">
        <v>2506</v>
      </c>
      <c r="L12525" s="1192" t="s">
        <v>430</v>
      </c>
      <c r="P12525" s="1192" t="s">
        <v>2510</v>
      </c>
      <c r="V12525" s="1192">
        <v>14</v>
      </c>
    </row>
    <row r="12526" spans="1:22" s="1192" customFormat="1" ht="14.4" x14ac:dyDescent="0.3">
      <c r="A12526" s="1192" t="s">
        <v>6898</v>
      </c>
      <c r="B12526" s="1192" t="s">
        <v>6899</v>
      </c>
      <c r="E12526" s="1741" t="s">
        <v>3900</v>
      </c>
      <c r="F12526" s="1741"/>
      <c r="G12526" s="1277" t="s">
        <v>19</v>
      </c>
      <c r="H12526" s="1218">
        <v>0.56999999999999995</v>
      </c>
      <c r="K12526" s="1192" t="s">
        <v>2506</v>
      </c>
      <c r="L12526" s="1192" t="s">
        <v>431</v>
      </c>
      <c r="P12526" s="1192" t="s">
        <v>2511</v>
      </c>
      <c r="T12526" s="1192">
        <v>44926</v>
      </c>
      <c r="V12526" s="1192">
        <v>64</v>
      </c>
    </row>
    <row r="12527" spans="1:22" s="1192" customFormat="1" ht="14.4" x14ac:dyDescent="0.3">
      <c r="A12527" s="1192" t="s">
        <v>6898</v>
      </c>
      <c r="B12527" s="1192" t="s">
        <v>6899</v>
      </c>
      <c r="E12527" s="1741" t="s">
        <v>6484</v>
      </c>
      <c r="F12527" s="1998"/>
      <c r="G12527" s="1277" t="s">
        <v>20</v>
      </c>
      <c r="H12527" s="1219">
        <v>9.4999999999999998E-3</v>
      </c>
      <c r="K12527" s="1192" t="s">
        <v>2506</v>
      </c>
      <c r="L12527" s="1192" t="s">
        <v>431</v>
      </c>
      <c r="P12527" s="1192" t="s">
        <v>2514</v>
      </c>
      <c r="T12527" s="1192">
        <v>44316</v>
      </c>
      <c r="V12527" s="1192">
        <v>170</v>
      </c>
    </row>
    <row r="12528" spans="1:22" s="1192" customFormat="1" ht="14.4" x14ac:dyDescent="0.3">
      <c r="A12528" s="1192" t="s">
        <v>6898</v>
      </c>
      <c r="B12528" s="1192" t="s">
        <v>6899</v>
      </c>
      <c r="E12528" s="1741" t="s">
        <v>6588</v>
      </c>
      <c r="F12528" s="1998"/>
      <c r="G12528" s="1277" t="s">
        <v>20</v>
      </c>
      <c r="H12528" s="1219">
        <v>8.0000000000000004E-4</v>
      </c>
      <c r="K12528" s="1192" t="s">
        <v>2506</v>
      </c>
      <c r="L12528" s="1192" t="s">
        <v>430</v>
      </c>
      <c r="P12528" s="1192" t="s">
        <v>2515</v>
      </c>
      <c r="T12528" s="1192">
        <v>44316</v>
      </c>
      <c r="V12528" s="1192">
        <v>135</v>
      </c>
    </row>
    <row r="12529" spans="1:22" s="1192" customFormat="1" ht="14.4" x14ac:dyDescent="0.3">
      <c r="A12529" s="1192" t="s">
        <v>6898</v>
      </c>
      <c r="B12529" s="1192" t="s">
        <v>6899</v>
      </c>
      <c r="E12529" s="1741" t="s">
        <v>6487</v>
      </c>
      <c r="F12529" s="1998"/>
      <c r="G12529" s="1277" t="s">
        <v>20</v>
      </c>
      <c r="H12529" s="1219">
        <v>1.4E-3</v>
      </c>
      <c r="K12529" s="1192" t="s">
        <v>2506</v>
      </c>
      <c r="L12529" s="1192" t="s">
        <v>431</v>
      </c>
      <c r="P12529" s="1192" t="s">
        <v>2516</v>
      </c>
      <c r="T12529" s="1192">
        <v>44316</v>
      </c>
      <c r="V12529" s="1192">
        <v>132</v>
      </c>
    </row>
    <row r="12530" spans="1:22" s="1192" customFormat="1" ht="14.4" x14ac:dyDescent="0.3">
      <c r="A12530" s="1192" t="s">
        <v>6898</v>
      </c>
      <c r="B12530" s="1192" t="s">
        <v>6899</v>
      </c>
      <c r="E12530" s="1741" t="s">
        <v>213</v>
      </c>
      <c r="F12530" s="1741"/>
      <c r="G12530" s="1277" t="s">
        <v>20</v>
      </c>
      <c r="H12530" s="1219">
        <v>6.7000000000000002E-3</v>
      </c>
      <c r="K12530" s="1192" t="s">
        <v>2506</v>
      </c>
      <c r="L12530" s="1192" t="s">
        <v>432</v>
      </c>
      <c r="P12530" s="1192" t="s">
        <v>2517</v>
      </c>
      <c r="V12530" s="1192">
        <v>47</v>
      </c>
    </row>
    <row r="12531" spans="1:22" s="1192" customFormat="1" ht="14.4" x14ac:dyDescent="0.3">
      <c r="A12531" s="1192" t="s">
        <v>6898</v>
      </c>
      <c r="B12531" s="1192" t="s">
        <v>6899</v>
      </c>
      <c r="E12531" s="1741" t="s">
        <v>209</v>
      </c>
      <c r="F12531" s="1741"/>
      <c r="G12531" s="1277" t="s">
        <v>20</v>
      </c>
      <c r="H12531" s="1219">
        <v>6.7999999999999996E-3</v>
      </c>
      <c r="K12531" s="1192" t="s">
        <v>2506</v>
      </c>
      <c r="L12531" s="1192" t="s">
        <v>432</v>
      </c>
      <c r="P12531" s="1192" t="s">
        <v>2518</v>
      </c>
      <c r="V12531" s="1192">
        <v>74</v>
      </c>
    </row>
    <row r="12532" spans="1:22" s="1192" customFormat="1" ht="14.4" x14ac:dyDescent="0.3">
      <c r="A12532" s="1192" t="s">
        <v>6898</v>
      </c>
      <c r="B12532" s="1192" t="s">
        <v>6899</v>
      </c>
      <c r="E12532" s="1750" t="s">
        <v>2405</v>
      </c>
      <c r="F12532" s="1741"/>
      <c r="G12532" s="1277"/>
      <c r="H12532" s="896"/>
      <c r="K12532" s="1192" t="s">
        <v>2406</v>
      </c>
      <c r="V12532" s="1192">
        <v>48</v>
      </c>
    </row>
    <row r="12533" spans="1:22" s="1192" customFormat="1" ht="14.4" x14ac:dyDescent="0.3">
      <c r="A12533" s="1192" t="s">
        <v>6898</v>
      </c>
      <c r="B12533" s="1192" t="s">
        <v>6899</v>
      </c>
      <c r="E12533" s="1741" t="s">
        <v>2033</v>
      </c>
      <c r="F12533" s="1741"/>
      <c r="G12533" s="1277" t="s">
        <v>20</v>
      </c>
      <c r="H12533" s="1219">
        <v>3.0000000000000001E-3</v>
      </c>
      <c r="K12533" s="1192" t="s">
        <v>2506</v>
      </c>
      <c r="L12533" s="1192" t="s">
        <v>2374</v>
      </c>
      <c r="P12533" s="1192" t="s">
        <v>2519</v>
      </c>
      <c r="V12533" s="1192">
        <v>55</v>
      </c>
    </row>
    <row r="12534" spans="1:22" s="1192" customFormat="1" ht="14.4" x14ac:dyDescent="0.3">
      <c r="A12534" s="1192" t="s">
        <v>6898</v>
      </c>
      <c r="B12534" s="1192" t="s">
        <v>6899</v>
      </c>
      <c r="E12534" s="1741" t="s">
        <v>2034</v>
      </c>
      <c r="F12534" s="1741"/>
      <c r="G12534" s="1277" t="s">
        <v>20</v>
      </c>
      <c r="H12534" s="1219">
        <v>4.0000000000000002E-4</v>
      </c>
      <c r="K12534" s="1192" t="s">
        <v>2506</v>
      </c>
      <c r="L12534" s="1192" t="s">
        <v>2374</v>
      </c>
      <c r="P12534" s="1192" t="s">
        <v>2519</v>
      </c>
      <c r="V12534" s="1192">
        <v>65</v>
      </c>
    </row>
    <row r="12535" spans="1:22" s="1192" customFormat="1" ht="14.4" x14ac:dyDescent="0.3">
      <c r="A12535" s="1192" t="s">
        <v>6898</v>
      </c>
      <c r="B12535" s="1192" t="s">
        <v>6899</v>
      </c>
      <c r="E12535" s="1741" t="s">
        <v>428</v>
      </c>
      <c r="F12535" s="1741"/>
      <c r="G12535" s="1277" t="s">
        <v>20</v>
      </c>
      <c r="H12535" s="1219">
        <v>5.0000000000000001E-4</v>
      </c>
      <c r="K12535" s="1192" t="s">
        <v>2506</v>
      </c>
      <c r="L12535" s="1192" t="s">
        <v>2374</v>
      </c>
      <c r="P12535" s="1192" t="s">
        <v>2520</v>
      </c>
      <c r="V12535" s="1192">
        <v>57</v>
      </c>
    </row>
    <row r="12536" spans="1:22" s="1192" customFormat="1" ht="14.4" x14ac:dyDescent="0.3">
      <c r="A12536" s="1192" t="s">
        <v>6898</v>
      </c>
      <c r="B12536" s="1192" t="s">
        <v>6899</v>
      </c>
      <c r="E12536" s="1741" t="s">
        <v>28</v>
      </c>
      <c r="F12536" s="1741"/>
      <c r="G12536" s="1277" t="s">
        <v>19</v>
      </c>
      <c r="H12536" s="1218">
        <v>0.25</v>
      </c>
      <c r="K12536" s="1192" t="s">
        <v>2506</v>
      </c>
      <c r="L12536" s="1192" t="s">
        <v>2374</v>
      </c>
      <c r="P12536" s="1192" t="s">
        <v>2521</v>
      </c>
      <c r="V12536" s="1192">
        <v>63</v>
      </c>
    </row>
    <row r="12537" spans="1:22" s="1192" customFormat="1" ht="17.399999999999999" x14ac:dyDescent="0.3">
      <c r="A12537" s="1192" t="s">
        <v>6898</v>
      </c>
      <c r="B12537" s="1192" t="s">
        <v>6899</v>
      </c>
      <c r="E12537" s="1746" t="s">
        <v>2522</v>
      </c>
      <c r="F12537" s="1747"/>
      <c r="G12537" s="1747"/>
      <c r="H12537" s="1747"/>
      <c r="K12537" s="1192" t="s">
        <v>3901</v>
      </c>
      <c r="V12537" s="1192">
        <v>54</v>
      </c>
    </row>
    <row r="12538" spans="1:22" s="1192" customFormat="1" ht="14.4" x14ac:dyDescent="0.3">
      <c r="A12538" s="1192" t="s">
        <v>6898</v>
      </c>
      <c r="B12538" s="1192" t="s">
        <v>6899</v>
      </c>
      <c r="E12538" s="1743" t="s">
        <v>3616</v>
      </c>
      <c r="F12538" s="1743"/>
      <c r="G12538" s="1743"/>
      <c r="H12538" s="1743"/>
      <c r="K12538" s="1192" t="s">
        <v>3901</v>
      </c>
      <c r="V12538" s="1192">
        <v>560</v>
      </c>
    </row>
    <row r="12539" spans="1:22" s="1192" customFormat="1" ht="14.4" x14ac:dyDescent="0.3">
      <c r="A12539" s="1192" t="s">
        <v>6898</v>
      </c>
      <c r="B12539" s="1192" t="s">
        <v>6899</v>
      </c>
      <c r="E12539" s="1750" t="s">
        <v>2389</v>
      </c>
      <c r="F12539" s="1743"/>
      <c r="G12539" s="1743"/>
      <c r="H12539" s="1743"/>
      <c r="K12539" s="1192" t="s">
        <v>2412</v>
      </c>
      <c r="V12539" s="1192">
        <v>11</v>
      </c>
    </row>
    <row r="12540" spans="1:22" s="1192" customFormat="1" ht="14.4" x14ac:dyDescent="0.3">
      <c r="A12540" s="1192" t="s">
        <v>6898</v>
      </c>
      <c r="B12540" s="1192" t="s">
        <v>6899</v>
      </c>
      <c r="E12540" s="1743" t="s">
        <v>2391</v>
      </c>
      <c r="F12540" s="1743"/>
      <c r="G12540" s="1743"/>
      <c r="H12540" s="1743"/>
      <c r="K12540" s="1192" t="s">
        <v>3901</v>
      </c>
      <c r="V12540" s="1192">
        <v>280</v>
      </c>
    </row>
    <row r="12541" spans="1:22" s="1192" customFormat="1" ht="14.4" x14ac:dyDescent="0.3">
      <c r="A12541" s="1192" t="s">
        <v>6898</v>
      </c>
      <c r="B12541" s="1192" t="s">
        <v>6899</v>
      </c>
      <c r="E12541" s="1743" t="s">
        <v>2392</v>
      </c>
      <c r="F12541" s="1743"/>
      <c r="G12541" s="1743"/>
      <c r="H12541" s="1743"/>
      <c r="K12541" s="1192" t="s">
        <v>3901</v>
      </c>
      <c r="V12541" s="1192">
        <v>411</v>
      </c>
    </row>
    <row r="12542" spans="1:22" s="1192" customFormat="1" ht="14.4" x14ac:dyDescent="0.3">
      <c r="A12542" s="1192" t="s">
        <v>6898</v>
      </c>
      <c r="B12542" s="1192" t="s">
        <v>6899</v>
      </c>
      <c r="E12542" s="1743" t="s">
        <v>2393</v>
      </c>
      <c r="F12542" s="1743"/>
      <c r="G12542" s="1743"/>
      <c r="H12542" s="1743"/>
      <c r="K12542" s="1192" t="s">
        <v>3901</v>
      </c>
      <c r="V12542" s="1192">
        <v>387</v>
      </c>
    </row>
    <row r="12543" spans="1:22" s="1192" customFormat="1" ht="14.4" x14ac:dyDescent="0.3">
      <c r="A12543" s="1192" t="s">
        <v>6898</v>
      </c>
      <c r="B12543" s="1192" t="s">
        <v>6899</v>
      </c>
      <c r="E12543" s="1743" t="s">
        <v>4500</v>
      </c>
      <c r="F12543" s="1743"/>
      <c r="G12543" s="1743"/>
      <c r="H12543" s="1743"/>
      <c r="K12543" s="1192" t="s">
        <v>3901</v>
      </c>
      <c r="V12543" s="1192">
        <v>247</v>
      </c>
    </row>
    <row r="12544" spans="1:22" s="1192" customFormat="1" ht="14.4" x14ac:dyDescent="0.3">
      <c r="A12544" s="1192" t="s">
        <v>6898</v>
      </c>
      <c r="B12544" s="1192" t="s">
        <v>6899</v>
      </c>
      <c r="E12544" s="1750" t="s">
        <v>2394</v>
      </c>
      <c r="F12544" s="1743"/>
      <c r="G12544" s="1743"/>
      <c r="H12544" s="1743"/>
      <c r="K12544" s="1192" t="s">
        <v>2413</v>
      </c>
      <c r="V12544" s="1192">
        <v>46</v>
      </c>
    </row>
    <row r="12545" spans="1:22" s="1192" customFormat="1" ht="14.4" x14ac:dyDescent="0.3">
      <c r="A12545" s="1192" t="s">
        <v>6898</v>
      </c>
      <c r="B12545" s="1192" t="s">
        <v>6899</v>
      </c>
      <c r="E12545" s="1741" t="s">
        <v>7</v>
      </c>
      <c r="F12545" s="1741"/>
      <c r="G12545" s="1277" t="s">
        <v>19</v>
      </c>
      <c r="H12545" s="1218">
        <v>33.11</v>
      </c>
      <c r="K12545" s="1192" t="s">
        <v>3901</v>
      </c>
      <c r="L12545" s="1192" t="s">
        <v>430</v>
      </c>
      <c r="P12545" s="1192" t="s">
        <v>3902</v>
      </c>
      <c r="V12545" s="1192">
        <v>14</v>
      </c>
    </row>
    <row r="12546" spans="1:22" s="1192" customFormat="1" ht="14.4" x14ac:dyDescent="0.3">
      <c r="A12546" s="1192" t="s">
        <v>6898</v>
      </c>
      <c r="B12546" s="1192" t="s">
        <v>6899</v>
      </c>
      <c r="E12546" s="1741" t="s">
        <v>3900</v>
      </c>
      <c r="F12546" s="1741"/>
      <c r="G12546" s="1277" t="s">
        <v>19</v>
      </c>
      <c r="H12546" s="1218">
        <v>0.56999999999999995</v>
      </c>
      <c r="K12546" s="1192" t="s">
        <v>3901</v>
      </c>
      <c r="L12546" s="1192" t="s">
        <v>431</v>
      </c>
      <c r="P12546" s="1192" t="s">
        <v>3903</v>
      </c>
      <c r="T12546" s="1192">
        <v>44926</v>
      </c>
      <c r="V12546" s="1192">
        <v>64</v>
      </c>
    </row>
    <row r="12547" spans="1:22" s="1192" customFormat="1" ht="14.4" x14ac:dyDescent="0.3">
      <c r="A12547" s="1192" t="s">
        <v>6898</v>
      </c>
      <c r="B12547" s="1192" t="s">
        <v>6899</v>
      </c>
      <c r="E12547" s="1741" t="s">
        <v>80</v>
      </c>
      <c r="F12547" s="1741"/>
      <c r="G12547" s="1277" t="s">
        <v>20</v>
      </c>
      <c r="H12547" s="1219">
        <v>1.14E-2</v>
      </c>
      <c r="K12547" s="1192" t="s">
        <v>3901</v>
      </c>
      <c r="L12547" s="1192" t="s">
        <v>430</v>
      </c>
      <c r="P12547" s="1192" t="s">
        <v>3904</v>
      </c>
      <c r="V12547" s="1192">
        <v>28</v>
      </c>
    </row>
    <row r="12548" spans="1:22" s="1192" customFormat="1" ht="14.4" x14ac:dyDescent="0.3">
      <c r="A12548" s="1192" t="s">
        <v>6898</v>
      </c>
      <c r="B12548" s="1192" t="s">
        <v>6899</v>
      </c>
      <c r="E12548" s="1741" t="s">
        <v>6484</v>
      </c>
      <c r="F12548" s="1998"/>
      <c r="G12548" s="1277" t="s">
        <v>20</v>
      </c>
      <c r="H12548" s="1219">
        <v>9.4999999999999998E-3</v>
      </c>
      <c r="K12548" s="1192" t="s">
        <v>3901</v>
      </c>
      <c r="L12548" s="1192" t="s">
        <v>431</v>
      </c>
      <c r="P12548" s="1192" t="s">
        <v>3700</v>
      </c>
      <c r="T12548" s="1192">
        <v>44316</v>
      </c>
      <c r="V12548" s="1192">
        <v>170</v>
      </c>
    </row>
    <row r="12549" spans="1:22" s="1192" customFormat="1" ht="14.4" x14ac:dyDescent="0.3">
      <c r="A12549" s="1192" t="s">
        <v>6898</v>
      </c>
      <c r="B12549" s="1192" t="s">
        <v>6899</v>
      </c>
      <c r="E12549" s="1741" t="s">
        <v>6588</v>
      </c>
      <c r="F12549" s="1998"/>
      <c r="G12549" s="1277" t="s">
        <v>20</v>
      </c>
      <c r="H12549" s="1219">
        <v>2.5999999999999999E-3</v>
      </c>
      <c r="K12549" s="1192" t="s">
        <v>3901</v>
      </c>
      <c r="L12549" s="1192" t="s">
        <v>430</v>
      </c>
      <c r="P12549" s="1192" t="s">
        <v>4000</v>
      </c>
      <c r="T12549" s="1192">
        <v>44316</v>
      </c>
      <c r="V12549" s="1192">
        <v>135</v>
      </c>
    </row>
    <row r="12550" spans="1:22" s="1192" customFormat="1" ht="14.4" x14ac:dyDescent="0.3">
      <c r="A12550" s="1192" t="s">
        <v>6898</v>
      </c>
      <c r="B12550" s="1192" t="s">
        <v>6899</v>
      </c>
      <c r="E12550" s="1741" t="s">
        <v>6487</v>
      </c>
      <c r="F12550" s="1998"/>
      <c r="G12550" s="1277" t="s">
        <v>20</v>
      </c>
      <c r="H12550" s="1219">
        <v>1.4E-3</v>
      </c>
      <c r="K12550" s="1192" t="s">
        <v>3901</v>
      </c>
      <c r="L12550" s="1192" t="s">
        <v>431</v>
      </c>
      <c r="P12550" s="1192" t="s">
        <v>3911</v>
      </c>
      <c r="T12550" s="1192">
        <v>44316</v>
      </c>
      <c r="V12550" s="1192">
        <v>132</v>
      </c>
    </row>
    <row r="12551" spans="1:22" s="1192" customFormat="1" ht="14.4" x14ac:dyDescent="0.3">
      <c r="A12551" s="1192" t="s">
        <v>6898</v>
      </c>
      <c r="B12551" s="1192" t="s">
        <v>6899</v>
      </c>
      <c r="E12551" s="1741" t="s">
        <v>213</v>
      </c>
      <c r="F12551" s="1741"/>
      <c r="G12551" s="1277" t="s">
        <v>20</v>
      </c>
      <c r="H12551" s="1219">
        <v>6.1000000000000004E-3</v>
      </c>
      <c r="K12551" s="1192" t="s">
        <v>3901</v>
      </c>
      <c r="L12551" s="1192" t="s">
        <v>432</v>
      </c>
      <c r="P12551" s="1192" t="s">
        <v>3906</v>
      </c>
      <c r="V12551" s="1192">
        <v>47</v>
      </c>
    </row>
    <row r="12552" spans="1:22" s="1192" customFormat="1" ht="14.4" x14ac:dyDescent="0.3">
      <c r="A12552" s="1192" t="s">
        <v>6898</v>
      </c>
      <c r="B12552" s="1192" t="s">
        <v>6899</v>
      </c>
      <c r="E12552" s="1741" t="s">
        <v>209</v>
      </c>
      <c r="F12552" s="1741"/>
      <c r="G12552" s="1277" t="s">
        <v>20</v>
      </c>
      <c r="H12552" s="1219">
        <v>5.8999999999999999E-3</v>
      </c>
      <c r="K12552" s="1192" t="s">
        <v>3901</v>
      </c>
      <c r="L12552" s="1192" t="s">
        <v>432</v>
      </c>
      <c r="P12552" s="1192" t="s">
        <v>3907</v>
      </c>
      <c r="V12552" s="1192">
        <v>74</v>
      </c>
    </row>
    <row r="12553" spans="1:22" s="1192" customFormat="1" ht="14.4" x14ac:dyDescent="0.3">
      <c r="A12553" s="1192" t="s">
        <v>6898</v>
      </c>
      <c r="B12553" s="1192" t="s">
        <v>6899</v>
      </c>
      <c r="E12553" s="1750" t="s">
        <v>2405</v>
      </c>
      <c r="F12553" s="1741"/>
      <c r="G12553" s="1277"/>
      <c r="H12553" s="896"/>
      <c r="K12553" s="1192" t="s">
        <v>2418</v>
      </c>
      <c r="V12553" s="1192">
        <v>48</v>
      </c>
    </row>
    <row r="12554" spans="1:22" s="1192" customFormat="1" ht="14.4" x14ac:dyDescent="0.3">
      <c r="A12554" s="1192" t="s">
        <v>6898</v>
      </c>
      <c r="B12554" s="1192" t="s">
        <v>6899</v>
      </c>
      <c r="E12554" s="1741" t="s">
        <v>2033</v>
      </c>
      <c r="F12554" s="1741"/>
      <c r="G12554" s="1277" t="s">
        <v>20</v>
      </c>
      <c r="H12554" s="1219">
        <v>3.0000000000000001E-3</v>
      </c>
      <c r="K12554" s="1192" t="s">
        <v>3901</v>
      </c>
      <c r="L12554" s="1192" t="s">
        <v>2374</v>
      </c>
      <c r="P12554" s="1192" t="s">
        <v>3908</v>
      </c>
      <c r="V12554" s="1192">
        <v>55</v>
      </c>
    </row>
    <row r="12555" spans="1:22" s="1192" customFormat="1" ht="14.4" x14ac:dyDescent="0.3">
      <c r="A12555" s="1192" t="s">
        <v>6898</v>
      </c>
      <c r="B12555" s="1192" t="s">
        <v>6899</v>
      </c>
      <c r="E12555" s="1741" t="s">
        <v>2034</v>
      </c>
      <c r="F12555" s="1741"/>
      <c r="G12555" s="1277" t="s">
        <v>20</v>
      </c>
      <c r="H12555" s="1219">
        <v>4.0000000000000002E-4</v>
      </c>
      <c r="K12555" s="1192" t="s">
        <v>3901</v>
      </c>
      <c r="L12555" s="1192" t="s">
        <v>2374</v>
      </c>
      <c r="P12555" s="1192" t="s">
        <v>3908</v>
      </c>
      <c r="V12555" s="1192">
        <v>65</v>
      </c>
    </row>
    <row r="12556" spans="1:22" s="1192" customFormat="1" ht="14.4" x14ac:dyDescent="0.3">
      <c r="A12556" s="1192" t="s">
        <v>6898</v>
      </c>
      <c r="B12556" s="1192" t="s">
        <v>6899</v>
      </c>
      <c r="E12556" s="1741" t="s">
        <v>428</v>
      </c>
      <c r="F12556" s="1741"/>
      <c r="G12556" s="1277" t="s">
        <v>20</v>
      </c>
      <c r="H12556" s="1219">
        <v>5.0000000000000001E-4</v>
      </c>
      <c r="K12556" s="1192" t="s">
        <v>3901</v>
      </c>
      <c r="L12556" s="1192" t="s">
        <v>2374</v>
      </c>
      <c r="P12556" s="1192" t="s">
        <v>3909</v>
      </c>
      <c r="V12556" s="1192">
        <v>57</v>
      </c>
    </row>
    <row r="12557" spans="1:22" s="1192" customFormat="1" ht="14.4" x14ac:dyDescent="0.3">
      <c r="A12557" s="1192" t="s">
        <v>6898</v>
      </c>
      <c r="B12557" s="1192" t="s">
        <v>6899</v>
      </c>
      <c r="E12557" s="1741" t="s">
        <v>28</v>
      </c>
      <c r="F12557" s="1741"/>
      <c r="G12557" s="1277" t="s">
        <v>19</v>
      </c>
      <c r="H12557" s="1218">
        <v>0.25</v>
      </c>
      <c r="K12557" s="1192" t="s">
        <v>3901</v>
      </c>
      <c r="L12557" s="1192" t="s">
        <v>2374</v>
      </c>
      <c r="P12557" s="1192" t="s">
        <v>3910</v>
      </c>
      <c r="V12557" s="1192">
        <v>63</v>
      </c>
    </row>
    <row r="12558" spans="1:22" s="1192" customFormat="1" ht="17.399999999999999" x14ac:dyDescent="0.3">
      <c r="A12558" s="1192" t="s">
        <v>6898</v>
      </c>
      <c r="B12558" s="1192" t="s">
        <v>6899</v>
      </c>
      <c r="E12558" s="1746" t="s">
        <v>2843</v>
      </c>
      <c r="F12558" s="1747"/>
      <c r="G12558" s="1747"/>
      <c r="H12558" s="1747"/>
      <c r="K12558" s="1192" t="s">
        <v>4018</v>
      </c>
      <c r="V12558" s="1192">
        <v>51</v>
      </c>
    </row>
    <row r="12559" spans="1:22" s="1192" customFormat="1" ht="14.4" x14ac:dyDescent="0.3">
      <c r="A12559" s="1192" t="s">
        <v>6898</v>
      </c>
      <c r="B12559" s="1192" t="s">
        <v>6899</v>
      </c>
      <c r="E12559" s="1743" t="s">
        <v>3617</v>
      </c>
      <c r="F12559" s="1743"/>
      <c r="G12559" s="1743"/>
      <c r="H12559" s="1743"/>
      <c r="K12559" s="1192" t="s">
        <v>4018</v>
      </c>
      <c r="V12559" s="1192">
        <v>430</v>
      </c>
    </row>
    <row r="12560" spans="1:22" s="1192" customFormat="1" ht="14.4" x14ac:dyDescent="0.3">
      <c r="A12560" s="1192" t="s">
        <v>6898</v>
      </c>
      <c r="B12560" s="1192" t="s">
        <v>6899</v>
      </c>
      <c r="E12560" s="1750" t="s">
        <v>2389</v>
      </c>
      <c r="F12560" s="1743"/>
      <c r="G12560" s="1743"/>
      <c r="H12560" s="1743"/>
      <c r="K12560" s="1192" t="s">
        <v>2422</v>
      </c>
      <c r="V12560" s="1192">
        <v>11</v>
      </c>
    </row>
    <row r="12561" spans="1:22" s="1192" customFormat="1" ht="14.4" x14ac:dyDescent="0.3">
      <c r="A12561" s="1192" t="s">
        <v>6898</v>
      </c>
      <c r="B12561" s="1192" t="s">
        <v>6899</v>
      </c>
      <c r="E12561" s="1743" t="s">
        <v>2391</v>
      </c>
      <c r="F12561" s="1743"/>
      <c r="G12561" s="1743"/>
      <c r="H12561" s="1743"/>
      <c r="K12561" s="1192" t="s">
        <v>4018</v>
      </c>
      <c r="V12561" s="1192">
        <v>280</v>
      </c>
    </row>
    <row r="12562" spans="1:22" s="1192" customFormat="1" ht="14.4" x14ac:dyDescent="0.3">
      <c r="A12562" s="1192" t="s">
        <v>6898</v>
      </c>
      <c r="B12562" s="1192" t="s">
        <v>6899</v>
      </c>
      <c r="E12562" s="1743" t="s">
        <v>2392</v>
      </c>
      <c r="F12562" s="1743"/>
      <c r="G12562" s="1743"/>
      <c r="H12562" s="1743"/>
      <c r="K12562" s="1192" t="s">
        <v>4018</v>
      </c>
      <c r="V12562" s="1192">
        <v>411</v>
      </c>
    </row>
    <row r="12563" spans="1:22" s="1192" customFormat="1" ht="14.4" x14ac:dyDescent="0.3">
      <c r="A12563" s="1192" t="s">
        <v>6898</v>
      </c>
      <c r="B12563" s="1192" t="s">
        <v>6899</v>
      </c>
      <c r="E12563" s="1743" t="s">
        <v>2393</v>
      </c>
      <c r="F12563" s="1743"/>
      <c r="G12563" s="1743"/>
      <c r="H12563" s="1743"/>
      <c r="K12563" s="1192" t="s">
        <v>4018</v>
      </c>
      <c r="V12563" s="1192">
        <v>387</v>
      </c>
    </row>
    <row r="12564" spans="1:22" s="1192" customFormat="1" ht="14.4" x14ac:dyDescent="0.3">
      <c r="A12564" s="1192" t="s">
        <v>6898</v>
      </c>
      <c r="B12564" s="1192" t="s">
        <v>6899</v>
      </c>
      <c r="E12564" s="1743" t="s">
        <v>4618</v>
      </c>
      <c r="F12564" s="1743"/>
      <c r="G12564" s="1743"/>
      <c r="H12564" s="1743"/>
      <c r="K12564" s="1192" t="s">
        <v>4018</v>
      </c>
      <c r="V12564" s="1192">
        <v>1404</v>
      </c>
    </row>
    <row r="12565" spans="1:22" s="1192" customFormat="1" ht="14.4" x14ac:dyDescent="0.3">
      <c r="A12565" s="1192" t="s">
        <v>6898</v>
      </c>
      <c r="B12565" s="1192" t="s">
        <v>6899</v>
      </c>
      <c r="E12565" s="1743" t="s">
        <v>4500</v>
      </c>
      <c r="F12565" s="1743"/>
      <c r="G12565" s="1743"/>
      <c r="H12565" s="1743"/>
      <c r="K12565" s="1192" t="s">
        <v>4018</v>
      </c>
      <c r="V12565" s="1192">
        <v>247</v>
      </c>
    </row>
    <row r="12566" spans="1:22" s="1192" customFormat="1" ht="14.4" x14ac:dyDescent="0.3">
      <c r="A12566" s="1192" t="s">
        <v>6898</v>
      </c>
      <c r="B12566" s="1192" t="s">
        <v>6899</v>
      </c>
      <c r="E12566" s="1750" t="s">
        <v>2394</v>
      </c>
      <c r="F12566" s="1743"/>
      <c r="G12566" s="1743"/>
      <c r="H12566" s="1743"/>
      <c r="K12566" s="1192" t="s">
        <v>2423</v>
      </c>
      <c r="V12566" s="1192">
        <v>46</v>
      </c>
    </row>
    <row r="12567" spans="1:22" s="1192" customFormat="1" ht="14.4" x14ac:dyDescent="0.3">
      <c r="A12567" s="1192" t="s">
        <v>6898</v>
      </c>
      <c r="B12567" s="1192" t="s">
        <v>6899</v>
      </c>
      <c r="E12567" s="1741" t="s">
        <v>7</v>
      </c>
      <c r="F12567" s="1741"/>
      <c r="G12567" s="1277" t="s">
        <v>19</v>
      </c>
      <c r="H12567" s="1218">
        <v>158.69999999999999</v>
      </c>
      <c r="K12567" s="1192" t="s">
        <v>4018</v>
      </c>
      <c r="L12567" s="1192" t="s">
        <v>430</v>
      </c>
      <c r="P12567" s="1192" t="s">
        <v>4020</v>
      </c>
      <c r="V12567" s="1192">
        <v>14</v>
      </c>
    </row>
    <row r="12568" spans="1:22" s="1192" customFormat="1" ht="14.4" x14ac:dyDescent="0.3">
      <c r="A12568" s="1192" t="s">
        <v>6898</v>
      </c>
      <c r="B12568" s="1192" t="s">
        <v>6899</v>
      </c>
      <c r="E12568" s="1741" t="s">
        <v>80</v>
      </c>
      <c r="F12568" s="1741"/>
      <c r="G12568" s="1277" t="s">
        <v>29</v>
      </c>
      <c r="H12568" s="1219">
        <v>2.4805999999999999</v>
      </c>
      <c r="K12568" s="1192" t="s">
        <v>4018</v>
      </c>
      <c r="L12568" s="1192" t="s">
        <v>430</v>
      </c>
      <c r="P12568" s="1192" t="s">
        <v>4021</v>
      </c>
      <c r="V12568" s="1192">
        <v>28</v>
      </c>
    </row>
    <row r="12569" spans="1:22" s="1192" customFormat="1" ht="14.4" x14ac:dyDescent="0.3">
      <c r="A12569" s="1192" t="s">
        <v>6898</v>
      </c>
      <c r="B12569" s="1192" t="s">
        <v>6899</v>
      </c>
      <c r="E12569" s="1741" t="s">
        <v>6484</v>
      </c>
      <c r="F12569" s="1998"/>
      <c r="G12569" s="1277" t="s">
        <v>20</v>
      </c>
      <c r="H12569" s="1219">
        <v>9.4999999999999998E-3</v>
      </c>
      <c r="K12569" s="1192" t="s">
        <v>4018</v>
      </c>
      <c r="L12569" s="1192" t="s">
        <v>431</v>
      </c>
      <c r="P12569" s="1192" t="s">
        <v>4023</v>
      </c>
      <c r="T12569" s="1192">
        <v>44316</v>
      </c>
      <c r="V12569" s="1192">
        <v>170</v>
      </c>
    </row>
    <row r="12570" spans="1:22" s="1192" customFormat="1" ht="14.4" x14ac:dyDescent="0.3">
      <c r="A12570" s="1192" t="s">
        <v>6898</v>
      </c>
      <c r="B12570" s="1192" t="s">
        <v>6899</v>
      </c>
      <c r="E12570" s="1741" t="s">
        <v>6588</v>
      </c>
      <c r="F12570" s="1998"/>
      <c r="G12570" s="1277" t="s">
        <v>29</v>
      </c>
      <c r="H12570" s="1219">
        <v>9.9699999999999997E-2</v>
      </c>
      <c r="K12570" s="1192" t="s">
        <v>4018</v>
      </c>
      <c r="L12570" s="1192" t="s">
        <v>430</v>
      </c>
      <c r="P12570" s="1192" t="s">
        <v>4026</v>
      </c>
      <c r="T12570" s="1192">
        <v>44316</v>
      </c>
      <c r="V12570" s="1192">
        <v>135</v>
      </c>
    </row>
    <row r="12571" spans="1:22" s="1192" customFormat="1" ht="14.4" x14ac:dyDescent="0.3">
      <c r="A12571" s="1192" t="s">
        <v>6898</v>
      </c>
      <c r="B12571" s="1192" t="s">
        <v>6899</v>
      </c>
      <c r="E12571" s="1741" t="s">
        <v>6487</v>
      </c>
      <c r="F12571" s="1998"/>
      <c r="G12571" s="1277" t="s">
        <v>29</v>
      </c>
      <c r="H12571" s="1219">
        <v>0.54090000000000005</v>
      </c>
      <c r="K12571" s="1192" t="s">
        <v>4018</v>
      </c>
      <c r="L12571" s="1192" t="s">
        <v>431</v>
      </c>
      <c r="P12571" s="1192" t="s">
        <v>4024</v>
      </c>
      <c r="T12571" s="1192">
        <v>44316</v>
      </c>
      <c r="V12571" s="1192">
        <v>132</v>
      </c>
    </row>
    <row r="12572" spans="1:22" s="1192" customFormat="1" ht="14.4" x14ac:dyDescent="0.3">
      <c r="A12572" s="1192" t="s">
        <v>6898</v>
      </c>
      <c r="B12572" s="1192" t="s">
        <v>6899</v>
      </c>
      <c r="E12572" s="1741" t="s">
        <v>213</v>
      </c>
      <c r="F12572" s="1741"/>
      <c r="G12572" s="1277" t="s">
        <v>29</v>
      </c>
      <c r="H12572" s="1219">
        <v>2.4533</v>
      </c>
      <c r="K12572" s="1192" t="s">
        <v>4018</v>
      </c>
      <c r="L12572" s="1192" t="s">
        <v>432</v>
      </c>
      <c r="P12572" s="1192" t="s">
        <v>4027</v>
      </c>
      <c r="V12572" s="1192">
        <v>47</v>
      </c>
    </row>
    <row r="12573" spans="1:22" s="1192" customFormat="1" ht="14.4" x14ac:dyDescent="0.3">
      <c r="A12573" s="1192" t="s">
        <v>6898</v>
      </c>
      <c r="B12573" s="1192" t="s">
        <v>6899</v>
      </c>
      <c r="E12573" s="1741" t="s">
        <v>209</v>
      </c>
      <c r="F12573" s="1741"/>
      <c r="G12573" s="1277" t="s">
        <v>29</v>
      </c>
      <c r="H12573" s="1219">
        <v>2.3925999999999998</v>
      </c>
      <c r="K12573" s="1192" t="s">
        <v>4018</v>
      </c>
      <c r="L12573" s="1192" t="s">
        <v>432</v>
      </c>
      <c r="P12573" s="1192" t="s">
        <v>4028</v>
      </c>
      <c r="V12573" s="1192">
        <v>74</v>
      </c>
    </row>
    <row r="12574" spans="1:22" s="1192" customFormat="1" ht="14.4" x14ac:dyDescent="0.3">
      <c r="A12574" s="1192" t="s">
        <v>6898</v>
      </c>
      <c r="B12574" s="1192" t="s">
        <v>6899</v>
      </c>
      <c r="E12574" s="1750" t="s">
        <v>2405</v>
      </c>
      <c r="F12574" s="1741"/>
      <c r="G12574" s="1277"/>
      <c r="H12574" s="896"/>
      <c r="K12574" s="1192" t="s">
        <v>2526</v>
      </c>
      <c r="V12574" s="1192">
        <v>48</v>
      </c>
    </row>
    <row r="12575" spans="1:22" s="1192" customFormat="1" ht="14.4" x14ac:dyDescent="0.3">
      <c r="A12575" s="1192" t="s">
        <v>6898</v>
      </c>
      <c r="B12575" s="1192" t="s">
        <v>6899</v>
      </c>
      <c r="E12575" s="1741" t="s">
        <v>2033</v>
      </c>
      <c r="F12575" s="1741"/>
      <c r="G12575" s="1277" t="s">
        <v>20</v>
      </c>
      <c r="H12575" s="1219">
        <v>3.0000000000000001E-3</v>
      </c>
      <c r="K12575" s="1192" t="s">
        <v>4018</v>
      </c>
      <c r="L12575" s="1192" t="s">
        <v>2374</v>
      </c>
      <c r="P12575" s="1192" t="s">
        <v>4029</v>
      </c>
      <c r="V12575" s="1192">
        <v>55</v>
      </c>
    </row>
    <row r="12576" spans="1:22" s="1192" customFormat="1" ht="14.4" x14ac:dyDescent="0.3">
      <c r="A12576" s="1192" t="s">
        <v>6898</v>
      </c>
      <c r="B12576" s="1192" t="s">
        <v>6899</v>
      </c>
      <c r="E12576" s="1741" t="s">
        <v>2034</v>
      </c>
      <c r="F12576" s="1741"/>
      <c r="G12576" s="1277" t="s">
        <v>20</v>
      </c>
      <c r="H12576" s="1219">
        <v>4.0000000000000002E-4</v>
      </c>
      <c r="K12576" s="1192" t="s">
        <v>4018</v>
      </c>
      <c r="L12576" s="1192" t="s">
        <v>2374</v>
      </c>
      <c r="P12576" s="1192" t="s">
        <v>4029</v>
      </c>
      <c r="V12576" s="1192">
        <v>65</v>
      </c>
    </row>
    <row r="12577" spans="1:22" s="1192" customFormat="1" ht="14.4" x14ac:dyDescent="0.3">
      <c r="A12577" s="1192" t="s">
        <v>6898</v>
      </c>
      <c r="B12577" s="1192" t="s">
        <v>6899</v>
      </c>
      <c r="E12577" s="1741" t="s">
        <v>428</v>
      </c>
      <c r="F12577" s="1741"/>
      <c r="G12577" s="1277" t="s">
        <v>20</v>
      </c>
      <c r="H12577" s="1219">
        <v>5.0000000000000001E-4</v>
      </c>
      <c r="K12577" s="1192" t="s">
        <v>4018</v>
      </c>
      <c r="L12577" s="1192" t="s">
        <v>2374</v>
      </c>
      <c r="P12577" s="1192" t="s">
        <v>4030</v>
      </c>
      <c r="V12577" s="1192">
        <v>57</v>
      </c>
    </row>
    <row r="12578" spans="1:22" s="1192" customFormat="1" ht="14.4" x14ac:dyDescent="0.3">
      <c r="A12578" s="1192" t="s">
        <v>6898</v>
      </c>
      <c r="B12578" s="1192" t="s">
        <v>6899</v>
      </c>
      <c r="E12578" s="1741" t="s">
        <v>28</v>
      </c>
      <c r="F12578" s="1741"/>
      <c r="G12578" s="1277" t="s">
        <v>19</v>
      </c>
      <c r="H12578" s="1218">
        <v>0.25</v>
      </c>
      <c r="K12578" s="1192" t="s">
        <v>4018</v>
      </c>
      <c r="L12578" s="1192" t="s">
        <v>2374</v>
      </c>
      <c r="P12578" s="1192" t="s">
        <v>4031</v>
      </c>
      <c r="V12578" s="1192">
        <v>63</v>
      </c>
    </row>
    <row r="12579" spans="1:22" s="1192" customFormat="1" ht="17.399999999999999" x14ac:dyDescent="0.3">
      <c r="A12579" s="1192" t="s">
        <v>6898</v>
      </c>
      <c r="B12579" s="1192" t="s">
        <v>6899</v>
      </c>
      <c r="E12579" s="1746" t="s">
        <v>2845</v>
      </c>
      <c r="F12579" s="1747"/>
      <c r="G12579" s="1747"/>
      <c r="H12579" s="1747"/>
      <c r="K12579" s="1192" t="s">
        <v>4032</v>
      </c>
      <c r="V12579" s="1192">
        <v>54</v>
      </c>
    </row>
    <row r="12580" spans="1:22" s="1192" customFormat="1" ht="14.4" x14ac:dyDescent="0.3">
      <c r="A12580" s="1192" t="s">
        <v>6898</v>
      </c>
      <c r="B12580" s="1192" t="s">
        <v>6899</v>
      </c>
      <c r="E12580" s="1743" t="s">
        <v>3618</v>
      </c>
      <c r="F12580" s="1743"/>
      <c r="G12580" s="1743"/>
      <c r="H12580" s="1743"/>
      <c r="K12580" s="1192" t="s">
        <v>4032</v>
      </c>
      <c r="V12580" s="1192">
        <v>445</v>
      </c>
    </row>
    <row r="12581" spans="1:22" s="1192" customFormat="1" ht="14.4" x14ac:dyDescent="0.3">
      <c r="A12581" s="1192" t="s">
        <v>6898</v>
      </c>
      <c r="B12581" s="1192" t="s">
        <v>6899</v>
      </c>
      <c r="E12581" s="1750" t="s">
        <v>2389</v>
      </c>
      <c r="F12581" s="1743"/>
      <c r="G12581" s="1743"/>
      <c r="H12581" s="1743"/>
      <c r="K12581" s="1192" t="s">
        <v>2529</v>
      </c>
      <c r="V12581" s="1192">
        <v>11</v>
      </c>
    </row>
    <row r="12582" spans="1:22" s="1192" customFormat="1" ht="14.4" x14ac:dyDescent="0.3">
      <c r="A12582" s="1192" t="s">
        <v>6898</v>
      </c>
      <c r="B12582" s="1192" t="s">
        <v>6899</v>
      </c>
      <c r="E12582" s="1743" t="s">
        <v>2391</v>
      </c>
      <c r="F12582" s="1743"/>
      <c r="G12582" s="1743"/>
      <c r="H12582" s="1743"/>
      <c r="K12582" s="1192" t="s">
        <v>4032</v>
      </c>
      <c r="V12582" s="1192">
        <v>280</v>
      </c>
    </row>
    <row r="12583" spans="1:22" s="1192" customFormat="1" ht="14.4" x14ac:dyDescent="0.3">
      <c r="A12583" s="1192" t="s">
        <v>6898</v>
      </c>
      <c r="B12583" s="1192" t="s">
        <v>6899</v>
      </c>
      <c r="E12583" s="1743" t="s">
        <v>2392</v>
      </c>
      <c r="F12583" s="1743"/>
      <c r="G12583" s="1743"/>
      <c r="H12583" s="1743"/>
      <c r="K12583" s="1192" t="s">
        <v>4032</v>
      </c>
      <c r="V12583" s="1192">
        <v>411</v>
      </c>
    </row>
    <row r="12584" spans="1:22" s="1192" customFormat="1" ht="14.4" x14ac:dyDescent="0.3">
      <c r="A12584" s="1192" t="s">
        <v>6898</v>
      </c>
      <c r="B12584" s="1192" t="s">
        <v>6899</v>
      </c>
      <c r="E12584" s="1743" t="s">
        <v>2393</v>
      </c>
      <c r="F12584" s="1743"/>
      <c r="G12584" s="1743"/>
      <c r="H12584" s="1743"/>
      <c r="K12584" s="1192" t="s">
        <v>4032</v>
      </c>
      <c r="V12584" s="1192">
        <v>387</v>
      </c>
    </row>
    <row r="12585" spans="1:22" s="1192" customFormat="1" ht="14.4" x14ac:dyDescent="0.3">
      <c r="A12585" s="1192" t="s">
        <v>6898</v>
      </c>
      <c r="B12585" s="1192" t="s">
        <v>6899</v>
      </c>
      <c r="E12585" s="1743" t="s">
        <v>4618</v>
      </c>
      <c r="F12585" s="1743"/>
      <c r="G12585" s="1743"/>
      <c r="H12585" s="1743"/>
      <c r="K12585" s="1192" t="s">
        <v>4032</v>
      </c>
      <c r="V12585" s="1192">
        <v>1404</v>
      </c>
    </row>
    <row r="12586" spans="1:22" s="1192" customFormat="1" ht="14.4" x14ac:dyDescent="0.3">
      <c r="A12586" s="1192" t="s">
        <v>6898</v>
      </c>
      <c r="B12586" s="1192" t="s">
        <v>6899</v>
      </c>
      <c r="E12586" s="1743" t="s">
        <v>4500</v>
      </c>
      <c r="F12586" s="1743"/>
      <c r="G12586" s="1743"/>
      <c r="H12586" s="1743"/>
      <c r="K12586" s="1192" t="s">
        <v>4032</v>
      </c>
      <c r="V12586" s="1192">
        <v>247</v>
      </c>
    </row>
    <row r="12587" spans="1:22" s="1192" customFormat="1" ht="14.4" x14ac:dyDescent="0.3">
      <c r="A12587" s="1192" t="s">
        <v>6898</v>
      </c>
      <c r="B12587" s="1192" t="s">
        <v>6899</v>
      </c>
      <c r="E12587" s="1750" t="s">
        <v>2394</v>
      </c>
      <c r="F12587" s="1743"/>
      <c r="G12587" s="1743"/>
      <c r="H12587" s="1743"/>
      <c r="K12587" s="1192" t="s">
        <v>2531</v>
      </c>
      <c r="V12587" s="1192">
        <v>46</v>
      </c>
    </row>
    <row r="12588" spans="1:22" s="1192" customFormat="1" ht="14.4" x14ac:dyDescent="0.3">
      <c r="A12588" s="1192" t="s">
        <v>6898</v>
      </c>
      <c r="B12588" s="1192" t="s">
        <v>6899</v>
      </c>
      <c r="E12588" s="1741" t="s">
        <v>7</v>
      </c>
      <c r="F12588" s="1741"/>
      <c r="G12588" s="1277" t="s">
        <v>19</v>
      </c>
      <c r="H12588" s="1218">
        <v>1683.09</v>
      </c>
      <c r="K12588" s="1192" t="s">
        <v>4032</v>
      </c>
      <c r="L12588" s="1192" t="s">
        <v>430</v>
      </c>
      <c r="P12588" s="1192" t="s">
        <v>4034</v>
      </c>
      <c r="V12588" s="1192">
        <v>14</v>
      </c>
    </row>
    <row r="12589" spans="1:22" s="1192" customFormat="1" ht="14.4" x14ac:dyDescent="0.3">
      <c r="A12589" s="1192" t="s">
        <v>6898</v>
      </c>
      <c r="B12589" s="1192" t="s">
        <v>6899</v>
      </c>
      <c r="E12589" s="1741" t="s">
        <v>80</v>
      </c>
      <c r="F12589" s="1741"/>
      <c r="G12589" s="1277" t="s">
        <v>29</v>
      </c>
      <c r="H12589" s="1219">
        <v>1.155</v>
      </c>
      <c r="K12589" s="1192" t="s">
        <v>4032</v>
      </c>
      <c r="L12589" s="1192" t="s">
        <v>430</v>
      </c>
      <c r="P12589" s="1192" t="s">
        <v>4035</v>
      </c>
      <c r="V12589" s="1192">
        <v>28</v>
      </c>
    </row>
    <row r="12590" spans="1:22" s="1192" customFormat="1" ht="14.4" x14ac:dyDescent="0.3">
      <c r="A12590" s="1192" t="s">
        <v>6898</v>
      </c>
      <c r="B12590" s="1192" t="s">
        <v>6899</v>
      </c>
      <c r="E12590" s="1741" t="s">
        <v>6484</v>
      </c>
      <c r="F12590" s="1998"/>
      <c r="G12590" s="1277" t="s">
        <v>20</v>
      </c>
      <c r="H12590" s="1219">
        <v>9.4999999999999998E-3</v>
      </c>
      <c r="K12590" s="1192" t="s">
        <v>4032</v>
      </c>
      <c r="L12590" s="1192" t="s">
        <v>431</v>
      </c>
      <c r="P12590" s="1192" t="s">
        <v>4037</v>
      </c>
      <c r="T12590" s="1192">
        <v>44316</v>
      </c>
      <c r="V12590" s="1192">
        <v>170</v>
      </c>
    </row>
    <row r="12591" spans="1:22" s="1192" customFormat="1" ht="14.4" x14ac:dyDescent="0.3">
      <c r="A12591" s="1192" t="s">
        <v>6898</v>
      </c>
      <c r="B12591" s="1192" t="s">
        <v>6899</v>
      </c>
      <c r="E12591" s="1741" t="s">
        <v>6588</v>
      </c>
      <c r="F12591" s="1998"/>
      <c r="G12591" s="1277" t="s">
        <v>29</v>
      </c>
      <c r="H12591" s="1219">
        <v>0.1217</v>
      </c>
      <c r="K12591" s="1192" t="s">
        <v>4032</v>
      </c>
      <c r="L12591" s="1192" t="s">
        <v>430</v>
      </c>
      <c r="P12591" s="1192" t="s">
        <v>4040</v>
      </c>
      <c r="T12591" s="1192">
        <v>44316</v>
      </c>
      <c r="V12591" s="1192">
        <v>135</v>
      </c>
    </row>
    <row r="12592" spans="1:22" s="1192" customFormat="1" ht="14.4" x14ac:dyDescent="0.3">
      <c r="A12592" s="1192" t="s">
        <v>6898</v>
      </c>
      <c r="B12592" s="1192" t="s">
        <v>6899</v>
      </c>
      <c r="E12592" s="1741" t="s">
        <v>6487</v>
      </c>
      <c r="F12592" s="1998"/>
      <c r="G12592" s="1277" t="s">
        <v>29</v>
      </c>
      <c r="H12592" s="1219">
        <v>0.60850000000000004</v>
      </c>
      <c r="K12592" s="1192" t="s">
        <v>4032</v>
      </c>
      <c r="L12592" s="1192" t="s">
        <v>431</v>
      </c>
      <c r="P12592" s="1192" t="s">
        <v>4038</v>
      </c>
      <c r="T12592" s="1192">
        <v>44316</v>
      </c>
      <c r="V12592" s="1192">
        <v>132</v>
      </c>
    </row>
    <row r="12593" spans="1:22" s="1192" customFormat="1" ht="14.4" x14ac:dyDescent="0.3">
      <c r="A12593" s="1192" t="s">
        <v>6898</v>
      </c>
      <c r="B12593" s="1192" t="s">
        <v>6899</v>
      </c>
      <c r="E12593" s="1741" t="s">
        <v>213</v>
      </c>
      <c r="F12593" s="1741"/>
      <c r="G12593" s="1277" t="s">
        <v>29</v>
      </c>
      <c r="H12593" s="1219">
        <v>2.6057000000000001</v>
      </c>
      <c r="K12593" s="1192" t="s">
        <v>4032</v>
      </c>
      <c r="L12593" s="1192" t="s">
        <v>432</v>
      </c>
      <c r="P12593" s="1192" t="s">
        <v>4291</v>
      </c>
      <c r="V12593" s="1192">
        <v>47</v>
      </c>
    </row>
    <row r="12594" spans="1:22" s="1192" customFormat="1" ht="14.4" x14ac:dyDescent="0.3">
      <c r="A12594" s="1192" t="s">
        <v>6898</v>
      </c>
      <c r="B12594" s="1192" t="s">
        <v>6899</v>
      </c>
      <c r="E12594" s="1741" t="s">
        <v>209</v>
      </c>
      <c r="F12594" s="1741"/>
      <c r="G12594" s="1277" t="s">
        <v>29</v>
      </c>
      <c r="H12594" s="1219">
        <v>2.6232000000000002</v>
      </c>
      <c r="K12594" s="1192" t="s">
        <v>4032</v>
      </c>
      <c r="L12594" s="1192" t="s">
        <v>432</v>
      </c>
      <c r="P12594" s="1192" t="s">
        <v>4292</v>
      </c>
      <c r="V12594" s="1192">
        <v>74</v>
      </c>
    </row>
    <row r="12595" spans="1:22" s="1192" customFormat="1" ht="14.4" x14ac:dyDescent="0.3">
      <c r="A12595" s="1192" t="s">
        <v>6898</v>
      </c>
      <c r="B12595" s="1192" t="s">
        <v>6899</v>
      </c>
      <c r="E12595" s="1750" t="s">
        <v>2405</v>
      </c>
      <c r="F12595" s="1741"/>
      <c r="G12595" s="1277"/>
      <c r="H12595" s="896"/>
      <c r="K12595" s="1192" t="s">
        <v>2532</v>
      </c>
      <c r="V12595" s="1192">
        <v>48</v>
      </c>
    </row>
    <row r="12596" spans="1:22" s="1192" customFormat="1" ht="14.4" x14ac:dyDescent="0.3">
      <c r="A12596" s="1192" t="s">
        <v>6898</v>
      </c>
      <c r="B12596" s="1192" t="s">
        <v>6899</v>
      </c>
      <c r="E12596" s="1741" t="s">
        <v>2033</v>
      </c>
      <c r="F12596" s="1741"/>
      <c r="G12596" s="1277" t="s">
        <v>20</v>
      </c>
      <c r="H12596" s="1219">
        <v>3.0000000000000001E-3</v>
      </c>
      <c r="K12596" s="1192" t="s">
        <v>4032</v>
      </c>
      <c r="L12596" s="1192" t="s">
        <v>2374</v>
      </c>
      <c r="P12596" s="1192" t="s">
        <v>4041</v>
      </c>
      <c r="V12596" s="1192">
        <v>55</v>
      </c>
    </row>
    <row r="12597" spans="1:22" s="1192" customFormat="1" ht="14.4" x14ac:dyDescent="0.3">
      <c r="A12597" s="1192" t="s">
        <v>6898</v>
      </c>
      <c r="B12597" s="1192" t="s">
        <v>6899</v>
      </c>
      <c r="E12597" s="1741" t="s">
        <v>2034</v>
      </c>
      <c r="F12597" s="1741"/>
      <c r="G12597" s="1277" t="s">
        <v>20</v>
      </c>
      <c r="H12597" s="1219">
        <v>4.0000000000000002E-4</v>
      </c>
      <c r="K12597" s="1192" t="s">
        <v>4032</v>
      </c>
      <c r="L12597" s="1192" t="s">
        <v>2374</v>
      </c>
      <c r="P12597" s="1192" t="s">
        <v>4041</v>
      </c>
      <c r="V12597" s="1192">
        <v>65</v>
      </c>
    </row>
    <row r="12598" spans="1:22" s="1192" customFormat="1" ht="14.4" x14ac:dyDescent="0.3">
      <c r="A12598" s="1192" t="s">
        <v>6898</v>
      </c>
      <c r="B12598" s="1192" t="s">
        <v>6899</v>
      </c>
      <c r="E12598" s="1741" t="s">
        <v>428</v>
      </c>
      <c r="F12598" s="1741"/>
      <c r="G12598" s="1277" t="s">
        <v>20</v>
      </c>
      <c r="H12598" s="1219">
        <v>5.0000000000000001E-4</v>
      </c>
      <c r="K12598" s="1192" t="s">
        <v>4032</v>
      </c>
      <c r="L12598" s="1192" t="s">
        <v>2374</v>
      </c>
      <c r="P12598" s="1192" t="s">
        <v>4042</v>
      </c>
      <c r="V12598" s="1192">
        <v>57</v>
      </c>
    </row>
    <row r="12599" spans="1:22" s="1192" customFormat="1" ht="14.4" x14ac:dyDescent="0.3">
      <c r="A12599" s="1192" t="s">
        <v>6898</v>
      </c>
      <c r="B12599" s="1192" t="s">
        <v>6899</v>
      </c>
      <c r="E12599" s="1741" t="s">
        <v>28</v>
      </c>
      <c r="F12599" s="1741"/>
      <c r="G12599" s="1277" t="s">
        <v>19</v>
      </c>
      <c r="H12599" s="1218">
        <v>0.25</v>
      </c>
      <c r="K12599" s="1192" t="s">
        <v>4032</v>
      </c>
      <c r="L12599" s="1192" t="s">
        <v>2374</v>
      </c>
      <c r="P12599" s="1192" t="s">
        <v>4043</v>
      </c>
      <c r="V12599" s="1192">
        <v>63</v>
      </c>
    </row>
    <row r="12600" spans="1:22" s="1192" customFormat="1" ht="17.399999999999999" x14ac:dyDescent="0.3">
      <c r="A12600" s="1192" t="s">
        <v>6898</v>
      </c>
      <c r="B12600" s="1192" t="s">
        <v>6899</v>
      </c>
      <c r="E12600" s="1746" t="s">
        <v>596</v>
      </c>
      <c r="F12600" s="1747"/>
      <c r="G12600" s="1747"/>
      <c r="H12600" s="1747"/>
      <c r="K12600" s="1192" t="s">
        <v>2533</v>
      </c>
      <c r="V12600" s="1192">
        <v>32</v>
      </c>
    </row>
    <row r="12601" spans="1:22" s="1192" customFormat="1" ht="14.4" x14ac:dyDescent="0.3">
      <c r="A12601" s="1192" t="s">
        <v>6898</v>
      </c>
      <c r="B12601" s="1192" t="s">
        <v>6899</v>
      </c>
      <c r="E12601" s="1743" t="s">
        <v>3619</v>
      </c>
      <c r="F12601" s="1743"/>
      <c r="G12601" s="1743"/>
      <c r="H12601" s="1743"/>
      <c r="K12601" s="1192" t="s">
        <v>2533</v>
      </c>
      <c r="V12601" s="1192">
        <v>447</v>
      </c>
    </row>
    <row r="12602" spans="1:22" s="1192" customFormat="1" ht="14.4" x14ac:dyDescent="0.3">
      <c r="A12602" s="1192" t="s">
        <v>6898</v>
      </c>
      <c r="B12602" s="1192" t="s">
        <v>6899</v>
      </c>
      <c r="E12602" s="1750" t="s">
        <v>2389</v>
      </c>
      <c r="F12602" s="1743"/>
      <c r="G12602" s="1743"/>
      <c r="H12602" s="1743"/>
      <c r="K12602" s="1192" t="s">
        <v>2424</v>
      </c>
      <c r="V12602" s="1192">
        <v>11</v>
      </c>
    </row>
    <row r="12603" spans="1:22" s="1192" customFormat="1" ht="14.4" x14ac:dyDescent="0.3">
      <c r="A12603" s="1192" t="s">
        <v>6898</v>
      </c>
      <c r="B12603" s="1192" t="s">
        <v>6899</v>
      </c>
      <c r="E12603" s="1743" t="s">
        <v>2391</v>
      </c>
      <c r="F12603" s="1743"/>
      <c r="G12603" s="1743"/>
      <c r="H12603" s="1743"/>
      <c r="K12603" s="1192" t="s">
        <v>2533</v>
      </c>
      <c r="V12603" s="1192">
        <v>280</v>
      </c>
    </row>
    <row r="12604" spans="1:22" s="1192" customFormat="1" ht="14.4" x14ac:dyDescent="0.3">
      <c r="A12604" s="1192" t="s">
        <v>6898</v>
      </c>
      <c r="B12604" s="1192" t="s">
        <v>6899</v>
      </c>
      <c r="E12604" s="1743" t="s">
        <v>2392</v>
      </c>
      <c r="F12604" s="1743"/>
      <c r="G12604" s="1743"/>
      <c r="H12604" s="1743"/>
      <c r="K12604" s="1192" t="s">
        <v>2533</v>
      </c>
      <c r="V12604" s="1192">
        <v>411</v>
      </c>
    </row>
    <row r="12605" spans="1:22" s="1192" customFormat="1" ht="14.4" x14ac:dyDescent="0.3">
      <c r="A12605" s="1192" t="s">
        <v>6898</v>
      </c>
      <c r="B12605" s="1192" t="s">
        <v>6899</v>
      </c>
      <c r="E12605" s="1743" t="s">
        <v>2393</v>
      </c>
      <c r="F12605" s="1743"/>
      <c r="G12605" s="1743"/>
      <c r="H12605" s="1743"/>
      <c r="K12605" s="1192" t="s">
        <v>2533</v>
      </c>
      <c r="V12605" s="1192">
        <v>387</v>
      </c>
    </row>
    <row r="12606" spans="1:22" s="1192" customFormat="1" ht="14.4" x14ac:dyDescent="0.3">
      <c r="A12606" s="1192" t="s">
        <v>6898</v>
      </c>
      <c r="B12606" s="1192" t="s">
        <v>6899</v>
      </c>
      <c r="E12606" s="1743" t="s">
        <v>4618</v>
      </c>
      <c r="F12606" s="1743"/>
      <c r="G12606" s="1743"/>
      <c r="H12606" s="1743"/>
      <c r="K12606" s="1192" t="s">
        <v>2533</v>
      </c>
      <c r="V12606" s="1192">
        <v>1404</v>
      </c>
    </row>
    <row r="12607" spans="1:22" s="1192" customFormat="1" ht="14.4" x14ac:dyDescent="0.3">
      <c r="A12607" s="1192" t="s">
        <v>6898</v>
      </c>
      <c r="B12607" s="1192" t="s">
        <v>6899</v>
      </c>
      <c r="E12607" s="1743" t="s">
        <v>4500</v>
      </c>
      <c r="F12607" s="1743"/>
      <c r="G12607" s="1743"/>
      <c r="H12607" s="1743"/>
      <c r="K12607" s="1192" t="s">
        <v>2533</v>
      </c>
      <c r="V12607" s="1192">
        <v>247</v>
      </c>
    </row>
    <row r="12608" spans="1:22" s="1192" customFormat="1" ht="14.4" x14ac:dyDescent="0.3">
      <c r="A12608" s="1192" t="s">
        <v>6898</v>
      </c>
      <c r="B12608" s="1192" t="s">
        <v>6899</v>
      </c>
      <c r="E12608" s="1750" t="s">
        <v>2394</v>
      </c>
      <c r="F12608" s="1743"/>
      <c r="G12608" s="1743"/>
      <c r="H12608" s="1743"/>
      <c r="K12608" s="1192" t="s">
        <v>2425</v>
      </c>
      <c r="V12608" s="1192">
        <v>46</v>
      </c>
    </row>
    <row r="12609" spans="1:22" s="1192" customFormat="1" ht="14.4" x14ac:dyDescent="0.3">
      <c r="A12609" s="1192" t="s">
        <v>6898</v>
      </c>
      <c r="B12609" s="1192" t="s">
        <v>6899</v>
      </c>
      <c r="E12609" s="1741" t="s">
        <v>7</v>
      </c>
      <c r="F12609" s="1741"/>
      <c r="G12609" s="1277" t="s">
        <v>19</v>
      </c>
      <c r="H12609" s="1218">
        <v>10124.41</v>
      </c>
      <c r="K12609" s="1192" t="s">
        <v>2533</v>
      </c>
      <c r="L12609" s="1192" t="s">
        <v>430</v>
      </c>
      <c r="P12609" s="1192" t="s">
        <v>2535</v>
      </c>
      <c r="V12609" s="1192">
        <v>14</v>
      </c>
    </row>
    <row r="12610" spans="1:22" s="1192" customFormat="1" ht="14.4" x14ac:dyDescent="0.3">
      <c r="A12610" s="1192" t="s">
        <v>6898</v>
      </c>
      <c r="B12610" s="1192" t="s">
        <v>6899</v>
      </c>
      <c r="E12610" s="1741" t="s">
        <v>80</v>
      </c>
      <c r="F12610" s="1741"/>
      <c r="G12610" s="1277" t="s">
        <v>29</v>
      </c>
      <c r="H12610" s="1219">
        <v>1.8225</v>
      </c>
      <c r="K12610" s="1192" t="s">
        <v>2533</v>
      </c>
      <c r="L12610" s="1192" t="s">
        <v>430</v>
      </c>
      <c r="P12610" s="1192" t="s">
        <v>2536</v>
      </c>
      <c r="V12610" s="1192">
        <v>28</v>
      </c>
    </row>
    <row r="12611" spans="1:22" s="1192" customFormat="1" ht="14.4" x14ac:dyDescent="0.3">
      <c r="A12611" s="1192" t="s">
        <v>6898</v>
      </c>
      <c r="B12611" s="1192" t="s">
        <v>6899</v>
      </c>
      <c r="E12611" s="1741" t="s">
        <v>6588</v>
      </c>
      <c r="F12611" s="1998"/>
      <c r="G12611" s="1277" t="s">
        <v>29</v>
      </c>
      <c r="H12611" s="1219">
        <v>-0.15060000000000001</v>
      </c>
      <c r="K12611" s="1192" t="s">
        <v>2533</v>
      </c>
      <c r="L12611" s="1192" t="s">
        <v>430</v>
      </c>
      <c r="P12611" s="1192" t="s">
        <v>2538</v>
      </c>
      <c r="T12611" s="1192">
        <v>44316</v>
      </c>
      <c r="V12611" s="1192">
        <v>135</v>
      </c>
    </row>
    <row r="12612" spans="1:22" s="1192" customFormat="1" ht="14.4" x14ac:dyDescent="0.3">
      <c r="A12612" s="1192" t="s">
        <v>6898</v>
      </c>
      <c r="B12612" s="1192" t="s">
        <v>6899</v>
      </c>
      <c r="E12612" s="1741" t="s">
        <v>6487</v>
      </c>
      <c r="F12612" s="1998"/>
      <c r="G12612" s="1277" t="s">
        <v>29</v>
      </c>
      <c r="H12612" s="1219">
        <v>-4.7000000000000002E-3</v>
      </c>
      <c r="K12612" s="1192" t="s">
        <v>2533</v>
      </c>
      <c r="L12612" s="1192" t="s">
        <v>431</v>
      </c>
      <c r="P12612" s="1192" t="s">
        <v>2539</v>
      </c>
      <c r="T12612" s="1192">
        <v>44316</v>
      </c>
      <c r="V12612" s="1192">
        <v>132</v>
      </c>
    </row>
    <row r="12613" spans="1:22" s="1192" customFormat="1" ht="14.4" x14ac:dyDescent="0.3">
      <c r="A12613" s="1192" t="s">
        <v>6898</v>
      </c>
      <c r="B12613" s="1192" t="s">
        <v>6899</v>
      </c>
      <c r="E12613" s="1741" t="s">
        <v>213</v>
      </c>
      <c r="F12613" s="1741"/>
      <c r="G12613" s="1277" t="s">
        <v>29</v>
      </c>
      <c r="H12613" s="1219">
        <v>2.8855</v>
      </c>
      <c r="K12613" s="1192" t="s">
        <v>2533</v>
      </c>
      <c r="L12613" s="1192" t="s">
        <v>432</v>
      </c>
      <c r="P12613" s="1192" t="s">
        <v>2833</v>
      </c>
      <c r="V12613" s="1192">
        <v>47</v>
      </c>
    </row>
    <row r="12614" spans="1:22" s="1192" customFormat="1" ht="14.4" x14ac:dyDescent="0.3">
      <c r="A12614" s="1192" t="s">
        <v>6898</v>
      </c>
      <c r="B12614" s="1192" t="s">
        <v>6899</v>
      </c>
      <c r="E12614" s="1741" t="s">
        <v>209</v>
      </c>
      <c r="F12614" s="1741"/>
      <c r="G12614" s="1277" t="s">
        <v>29</v>
      </c>
      <c r="H12614" s="1219">
        <v>2.9994000000000001</v>
      </c>
      <c r="K12614" s="1192" t="s">
        <v>2533</v>
      </c>
      <c r="L12614" s="1192" t="s">
        <v>432</v>
      </c>
      <c r="P12614" s="1192" t="s">
        <v>2834</v>
      </c>
      <c r="V12614" s="1192">
        <v>74</v>
      </c>
    </row>
    <row r="12615" spans="1:22" s="1192" customFormat="1" ht="14.4" x14ac:dyDescent="0.3">
      <c r="A12615" s="1192" t="s">
        <v>6898</v>
      </c>
      <c r="B12615" s="1192" t="s">
        <v>6899</v>
      </c>
      <c r="E12615" s="1750" t="s">
        <v>2405</v>
      </c>
      <c r="F12615" s="1741"/>
      <c r="G12615" s="1277"/>
      <c r="H12615" s="896"/>
      <c r="K12615" s="1192" t="s">
        <v>2427</v>
      </c>
      <c r="V12615" s="1192">
        <v>48</v>
      </c>
    </row>
    <row r="12616" spans="1:22" s="1192" customFormat="1" ht="14.4" x14ac:dyDescent="0.3">
      <c r="A12616" s="1192" t="s">
        <v>6898</v>
      </c>
      <c r="B12616" s="1192" t="s">
        <v>6899</v>
      </c>
      <c r="E12616" s="1741" t="s">
        <v>2033</v>
      </c>
      <c r="F12616" s="1741"/>
      <c r="G12616" s="1277" t="s">
        <v>20</v>
      </c>
      <c r="H12616" s="1219">
        <v>3.0000000000000001E-3</v>
      </c>
      <c r="K12616" s="1192" t="s">
        <v>2533</v>
      </c>
      <c r="L12616" s="1192" t="s">
        <v>2374</v>
      </c>
      <c r="P12616" s="1192" t="s">
        <v>2540</v>
      </c>
      <c r="V12616" s="1192">
        <v>55</v>
      </c>
    </row>
    <row r="12617" spans="1:22" s="1192" customFormat="1" ht="14.4" x14ac:dyDescent="0.3">
      <c r="A12617" s="1192" t="s">
        <v>6898</v>
      </c>
      <c r="B12617" s="1192" t="s">
        <v>6899</v>
      </c>
      <c r="E12617" s="1741" t="s">
        <v>2034</v>
      </c>
      <c r="F12617" s="1741"/>
      <c r="G12617" s="1277" t="s">
        <v>20</v>
      </c>
      <c r="H12617" s="1219">
        <v>4.0000000000000002E-4</v>
      </c>
      <c r="K12617" s="1192" t="s">
        <v>2533</v>
      </c>
      <c r="L12617" s="1192" t="s">
        <v>2374</v>
      </c>
      <c r="P12617" s="1192" t="s">
        <v>2540</v>
      </c>
      <c r="V12617" s="1192">
        <v>65</v>
      </c>
    </row>
    <row r="12618" spans="1:22" s="1192" customFormat="1" ht="14.4" x14ac:dyDescent="0.3">
      <c r="A12618" s="1192" t="s">
        <v>6898</v>
      </c>
      <c r="B12618" s="1192" t="s">
        <v>6899</v>
      </c>
      <c r="E12618" s="1741" t="s">
        <v>428</v>
      </c>
      <c r="F12618" s="1741"/>
      <c r="G12618" s="1277" t="s">
        <v>20</v>
      </c>
      <c r="H12618" s="1219">
        <v>5.0000000000000001E-4</v>
      </c>
      <c r="K12618" s="1192" t="s">
        <v>2533</v>
      </c>
      <c r="L12618" s="1192" t="s">
        <v>2374</v>
      </c>
      <c r="P12618" s="1192" t="s">
        <v>2541</v>
      </c>
      <c r="V12618" s="1192">
        <v>57</v>
      </c>
    </row>
    <row r="12619" spans="1:22" s="1192" customFormat="1" ht="14.4" x14ac:dyDescent="0.3">
      <c r="A12619" s="1192" t="s">
        <v>6898</v>
      </c>
      <c r="B12619" s="1192" t="s">
        <v>6899</v>
      </c>
      <c r="E12619" s="1741" t="s">
        <v>28</v>
      </c>
      <c r="F12619" s="1741"/>
      <c r="G12619" s="1277" t="s">
        <v>19</v>
      </c>
      <c r="H12619" s="1218">
        <v>0.25</v>
      </c>
      <c r="K12619" s="1192" t="s">
        <v>2533</v>
      </c>
      <c r="L12619" s="1192" t="s">
        <v>2374</v>
      </c>
      <c r="P12619" s="1192" t="s">
        <v>2542</v>
      </c>
      <c r="V12619" s="1192">
        <v>63</v>
      </c>
    </row>
    <row r="12620" spans="1:22" s="1192" customFormat="1" ht="17.399999999999999" x14ac:dyDescent="0.3">
      <c r="A12620" s="1192" t="s">
        <v>6898</v>
      </c>
      <c r="B12620" s="1192" t="s">
        <v>6899</v>
      </c>
      <c r="E12620" s="1746" t="s">
        <v>592</v>
      </c>
      <c r="F12620" s="1747"/>
      <c r="G12620" s="1747"/>
      <c r="H12620" s="1747"/>
      <c r="K12620" s="1192" t="s">
        <v>2543</v>
      </c>
      <c r="V12620" s="1192">
        <v>47</v>
      </c>
    </row>
    <row r="12621" spans="1:22" s="1192" customFormat="1" ht="14.4" x14ac:dyDescent="0.3">
      <c r="A12621" s="1192" t="s">
        <v>6898</v>
      </c>
      <c r="B12621" s="1192" t="s">
        <v>6899</v>
      </c>
      <c r="E12621" s="1743" t="s">
        <v>3620</v>
      </c>
      <c r="F12621" s="1743"/>
      <c r="G12621" s="1743"/>
      <c r="H12621" s="1743"/>
      <c r="K12621" s="1192" t="s">
        <v>2543</v>
      </c>
      <c r="V12621" s="1192">
        <v>750</v>
      </c>
    </row>
    <row r="12622" spans="1:22" s="1192" customFormat="1" ht="14.4" x14ac:dyDescent="0.3">
      <c r="A12622" s="1192" t="s">
        <v>6898</v>
      </c>
      <c r="B12622" s="1192" t="s">
        <v>6899</v>
      </c>
      <c r="E12622" s="1750" t="s">
        <v>2389</v>
      </c>
      <c r="F12622" s="1743"/>
      <c r="G12622" s="1743"/>
      <c r="H12622" s="1743"/>
      <c r="K12622" s="1192" t="s">
        <v>2430</v>
      </c>
      <c r="V12622" s="1192">
        <v>11</v>
      </c>
    </row>
    <row r="12623" spans="1:22" s="1192" customFormat="1" ht="14.4" x14ac:dyDescent="0.3">
      <c r="A12623" s="1192" t="s">
        <v>6898</v>
      </c>
      <c r="B12623" s="1192" t="s">
        <v>6899</v>
      </c>
      <c r="E12623" s="1743" t="s">
        <v>2391</v>
      </c>
      <c r="F12623" s="1743"/>
      <c r="G12623" s="1743"/>
      <c r="H12623" s="1743"/>
      <c r="K12623" s="1192" t="s">
        <v>2543</v>
      </c>
      <c r="V12623" s="1192">
        <v>280</v>
      </c>
    </row>
    <row r="12624" spans="1:22" s="1192" customFormat="1" ht="14.4" x14ac:dyDescent="0.3">
      <c r="A12624" s="1192" t="s">
        <v>6898</v>
      </c>
      <c r="B12624" s="1192" t="s">
        <v>6899</v>
      </c>
      <c r="E12624" s="1743" t="s">
        <v>2392</v>
      </c>
      <c r="F12624" s="1743"/>
      <c r="G12624" s="1743"/>
      <c r="H12624" s="1743"/>
      <c r="K12624" s="1192" t="s">
        <v>2543</v>
      </c>
      <c r="V12624" s="1192">
        <v>411</v>
      </c>
    </row>
    <row r="12625" spans="1:22" s="1192" customFormat="1" ht="14.4" x14ac:dyDescent="0.3">
      <c r="A12625" s="1192" t="s">
        <v>6898</v>
      </c>
      <c r="B12625" s="1192" t="s">
        <v>6899</v>
      </c>
      <c r="E12625" s="1743" t="s">
        <v>2393</v>
      </c>
      <c r="F12625" s="1743"/>
      <c r="G12625" s="1743"/>
      <c r="H12625" s="1743"/>
      <c r="K12625" s="1192" t="s">
        <v>2543</v>
      </c>
      <c r="V12625" s="1192">
        <v>387</v>
      </c>
    </row>
    <row r="12626" spans="1:22" s="1192" customFormat="1" ht="14.4" x14ac:dyDescent="0.3">
      <c r="A12626" s="1192" t="s">
        <v>6898</v>
      </c>
      <c r="B12626" s="1192" t="s">
        <v>6899</v>
      </c>
      <c r="E12626" s="1743" t="s">
        <v>4500</v>
      </c>
      <c r="F12626" s="1743"/>
      <c r="G12626" s="1743"/>
      <c r="H12626" s="1743"/>
      <c r="K12626" s="1192" t="s">
        <v>2543</v>
      </c>
      <c r="V12626" s="1192">
        <v>247</v>
      </c>
    </row>
    <row r="12627" spans="1:22" s="1192" customFormat="1" ht="14.4" x14ac:dyDescent="0.3">
      <c r="A12627" s="1192" t="s">
        <v>6898</v>
      </c>
      <c r="B12627" s="1192" t="s">
        <v>6899</v>
      </c>
      <c r="E12627" s="1750" t="s">
        <v>2394</v>
      </c>
      <c r="F12627" s="1743"/>
      <c r="G12627" s="1743"/>
      <c r="H12627" s="1743"/>
      <c r="K12627" s="1192" t="s">
        <v>2431</v>
      </c>
      <c r="V12627" s="1192">
        <v>46</v>
      </c>
    </row>
    <row r="12628" spans="1:22" s="1192" customFormat="1" ht="14.4" x14ac:dyDescent="0.3">
      <c r="A12628" s="1192" t="s">
        <v>6898</v>
      </c>
      <c r="B12628" s="1192" t="s">
        <v>6899</v>
      </c>
      <c r="E12628" s="1741" t="s">
        <v>8</v>
      </c>
      <c r="F12628" s="1741"/>
      <c r="G12628" s="1277" t="s">
        <v>19</v>
      </c>
      <c r="H12628" s="1218">
        <v>77.459999999999994</v>
      </c>
      <c r="K12628" s="1192" t="s">
        <v>2543</v>
      </c>
      <c r="L12628" s="1192" t="s">
        <v>430</v>
      </c>
      <c r="P12628" s="1192" t="s">
        <v>2545</v>
      </c>
      <c r="V12628" s="1192">
        <v>31</v>
      </c>
    </row>
    <row r="12629" spans="1:22" s="1192" customFormat="1" ht="14.4" x14ac:dyDescent="0.3">
      <c r="A12629" s="1192" t="s">
        <v>6898</v>
      </c>
      <c r="B12629" s="1192" t="s">
        <v>6899</v>
      </c>
      <c r="E12629" s="1741" t="s">
        <v>80</v>
      </c>
      <c r="F12629" s="1741"/>
      <c r="G12629" s="1277" t="s">
        <v>20</v>
      </c>
      <c r="H12629" s="1219">
        <v>6.8699999999999997E-2</v>
      </c>
      <c r="K12629" s="1192" t="s">
        <v>2543</v>
      </c>
      <c r="L12629" s="1192" t="s">
        <v>430</v>
      </c>
      <c r="P12629" s="1192" t="s">
        <v>2546</v>
      </c>
      <c r="V12629" s="1192">
        <v>28</v>
      </c>
    </row>
    <row r="12630" spans="1:22" s="1192" customFormat="1" ht="14.4" x14ac:dyDescent="0.3">
      <c r="A12630" s="1192" t="s">
        <v>6898</v>
      </c>
      <c r="B12630" s="1192" t="s">
        <v>6899</v>
      </c>
      <c r="E12630" s="1741" t="s">
        <v>6588</v>
      </c>
      <c r="F12630" s="1998"/>
      <c r="G12630" s="1277" t="s">
        <v>20</v>
      </c>
      <c r="H12630" s="1219">
        <v>-6.1999999999999998E-3</v>
      </c>
      <c r="K12630" s="1192" t="s">
        <v>2543</v>
      </c>
      <c r="L12630" s="1192" t="s">
        <v>430</v>
      </c>
      <c r="P12630" s="1192" t="s">
        <v>2548</v>
      </c>
      <c r="T12630" s="1192">
        <v>44316</v>
      </c>
      <c r="V12630" s="1192">
        <v>135</v>
      </c>
    </row>
    <row r="12631" spans="1:22" s="1192" customFormat="1" ht="14.4" x14ac:dyDescent="0.3">
      <c r="A12631" s="1192" t="s">
        <v>6898</v>
      </c>
      <c r="B12631" s="1192" t="s">
        <v>6899</v>
      </c>
      <c r="E12631" s="1741" t="s">
        <v>6487</v>
      </c>
      <c r="F12631" s="1998"/>
      <c r="G12631" s="1277" t="s">
        <v>20</v>
      </c>
      <c r="H12631" s="1219">
        <v>1.5E-3</v>
      </c>
      <c r="K12631" s="1192" t="s">
        <v>2543</v>
      </c>
      <c r="L12631" s="1192" t="s">
        <v>431</v>
      </c>
      <c r="P12631" s="1192" t="s">
        <v>2549</v>
      </c>
      <c r="T12631" s="1192">
        <v>44316</v>
      </c>
      <c r="V12631" s="1192">
        <v>132</v>
      </c>
    </row>
    <row r="12632" spans="1:22" s="1192" customFormat="1" ht="14.4" x14ac:dyDescent="0.3">
      <c r="A12632" s="1192" t="s">
        <v>6898</v>
      </c>
      <c r="B12632" s="1192" t="s">
        <v>6899</v>
      </c>
      <c r="E12632" s="1741" t="s">
        <v>213</v>
      </c>
      <c r="F12632" s="1741"/>
      <c r="G12632" s="1277" t="s">
        <v>20</v>
      </c>
      <c r="H12632" s="1219">
        <v>6.1000000000000004E-3</v>
      </c>
      <c r="K12632" s="1192" t="s">
        <v>2543</v>
      </c>
      <c r="L12632" s="1192" t="s">
        <v>432</v>
      </c>
      <c r="P12632" s="1192" t="s">
        <v>2550</v>
      </c>
      <c r="V12632" s="1192">
        <v>47</v>
      </c>
    </row>
    <row r="12633" spans="1:22" s="1192" customFormat="1" ht="14.4" x14ac:dyDescent="0.3">
      <c r="A12633" s="1192" t="s">
        <v>6898</v>
      </c>
      <c r="B12633" s="1192" t="s">
        <v>6899</v>
      </c>
      <c r="E12633" s="1741" t="s">
        <v>209</v>
      </c>
      <c r="F12633" s="1741"/>
      <c r="G12633" s="1277" t="s">
        <v>20</v>
      </c>
      <c r="H12633" s="1219">
        <v>5.8999999999999999E-3</v>
      </c>
      <c r="K12633" s="1192" t="s">
        <v>2543</v>
      </c>
      <c r="L12633" s="1192" t="s">
        <v>432</v>
      </c>
      <c r="P12633" s="1192" t="s">
        <v>2551</v>
      </c>
      <c r="V12633" s="1192">
        <v>74</v>
      </c>
    </row>
    <row r="12634" spans="1:22" s="1192" customFormat="1" ht="14.4" x14ac:dyDescent="0.3">
      <c r="A12634" s="1192" t="s">
        <v>6898</v>
      </c>
      <c r="B12634" s="1192" t="s">
        <v>6899</v>
      </c>
      <c r="E12634" s="1750" t="s">
        <v>2405</v>
      </c>
      <c r="F12634" s="1741"/>
      <c r="G12634" s="1277"/>
      <c r="H12634" s="896"/>
      <c r="K12634" s="1192" t="s">
        <v>2438</v>
      </c>
      <c r="V12634" s="1192">
        <v>48</v>
      </c>
    </row>
    <row r="12635" spans="1:22" s="1192" customFormat="1" ht="14.4" x14ac:dyDescent="0.3">
      <c r="A12635" s="1192" t="s">
        <v>6898</v>
      </c>
      <c r="B12635" s="1192" t="s">
        <v>6899</v>
      </c>
      <c r="E12635" s="1741" t="s">
        <v>2033</v>
      </c>
      <c r="F12635" s="1741"/>
      <c r="G12635" s="1277" t="s">
        <v>20</v>
      </c>
      <c r="H12635" s="1219">
        <v>3.0000000000000001E-3</v>
      </c>
      <c r="K12635" s="1192" t="s">
        <v>2543</v>
      </c>
      <c r="L12635" s="1192" t="s">
        <v>2374</v>
      </c>
      <c r="P12635" s="1192" t="s">
        <v>2552</v>
      </c>
      <c r="V12635" s="1192">
        <v>55</v>
      </c>
    </row>
    <row r="12636" spans="1:22" s="1192" customFormat="1" ht="14.4" x14ac:dyDescent="0.3">
      <c r="A12636" s="1192" t="s">
        <v>6898</v>
      </c>
      <c r="B12636" s="1192" t="s">
        <v>6899</v>
      </c>
      <c r="E12636" s="1741" t="s">
        <v>2034</v>
      </c>
      <c r="F12636" s="1741"/>
      <c r="G12636" s="1277" t="s">
        <v>20</v>
      </c>
      <c r="H12636" s="1219">
        <v>4.0000000000000002E-4</v>
      </c>
      <c r="K12636" s="1192" t="s">
        <v>2543</v>
      </c>
      <c r="L12636" s="1192" t="s">
        <v>2374</v>
      </c>
      <c r="P12636" s="1192" t="s">
        <v>2552</v>
      </c>
      <c r="V12636" s="1192">
        <v>65</v>
      </c>
    </row>
    <row r="12637" spans="1:22" s="1192" customFormat="1" ht="14.4" x14ac:dyDescent="0.3">
      <c r="A12637" s="1192" t="s">
        <v>6898</v>
      </c>
      <c r="B12637" s="1192" t="s">
        <v>6899</v>
      </c>
      <c r="E12637" s="1741" t="s">
        <v>428</v>
      </c>
      <c r="F12637" s="1741"/>
      <c r="G12637" s="1277" t="s">
        <v>20</v>
      </c>
      <c r="H12637" s="1219">
        <v>5.0000000000000001E-4</v>
      </c>
      <c r="K12637" s="1192" t="s">
        <v>2543</v>
      </c>
      <c r="L12637" s="1192" t="s">
        <v>2374</v>
      </c>
      <c r="P12637" s="1192" t="s">
        <v>2553</v>
      </c>
      <c r="V12637" s="1192">
        <v>57</v>
      </c>
    </row>
    <row r="12638" spans="1:22" s="1192" customFormat="1" ht="14.4" x14ac:dyDescent="0.3">
      <c r="A12638" s="1192" t="s">
        <v>6898</v>
      </c>
      <c r="B12638" s="1192" t="s">
        <v>6899</v>
      </c>
      <c r="E12638" s="1741" t="s">
        <v>28</v>
      </c>
      <c r="F12638" s="1741"/>
      <c r="G12638" s="1277" t="s">
        <v>19</v>
      </c>
      <c r="H12638" s="1218">
        <v>0.25</v>
      </c>
      <c r="K12638" s="1192" t="s">
        <v>2543</v>
      </c>
      <c r="L12638" s="1192" t="s">
        <v>2374</v>
      </c>
      <c r="P12638" s="1192" t="s">
        <v>2554</v>
      </c>
      <c r="V12638" s="1192">
        <v>63</v>
      </c>
    </row>
    <row r="12639" spans="1:22" s="1192" customFormat="1" ht="17.399999999999999" x14ac:dyDescent="0.3">
      <c r="A12639" s="1192" t="s">
        <v>6898</v>
      </c>
      <c r="B12639" s="1192" t="s">
        <v>6899</v>
      </c>
      <c r="E12639" s="1746" t="s">
        <v>604</v>
      </c>
      <c r="F12639" s="1747"/>
      <c r="G12639" s="1747"/>
      <c r="H12639" s="1747"/>
      <c r="K12639" s="1192" t="s">
        <v>2555</v>
      </c>
      <c r="V12639" s="1192">
        <v>40</v>
      </c>
    </row>
    <row r="12640" spans="1:22" s="1192" customFormat="1" ht="14.4" x14ac:dyDescent="0.3">
      <c r="A12640" s="1192" t="s">
        <v>6898</v>
      </c>
      <c r="B12640" s="1192" t="s">
        <v>6899</v>
      </c>
      <c r="E12640" s="1743" t="s">
        <v>3365</v>
      </c>
      <c r="F12640" s="1743"/>
      <c r="G12640" s="1743"/>
      <c r="H12640" s="1743"/>
      <c r="K12640" s="1192" t="s">
        <v>2555</v>
      </c>
      <c r="V12640" s="1192">
        <v>253</v>
      </c>
    </row>
    <row r="12641" spans="1:22" s="1192" customFormat="1" ht="14.4" x14ac:dyDescent="0.3">
      <c r="A12641" s="1192" t="s">
        <v>6898</v>
      </c>
      <c r="B12641" s="1192" t="s">
        <v>6899</v>
      </c>
      <c r="E12641" s="1750" t="s">
        <v>2389</v>
      </c>
      <c r="F12641" s="1743"/>
      <c r="G12641" s="1743"/>
      <c r="H12641" s="1743"/>
      <c r="K12641" s="1192" t="s">
        <v>2444</v>
      </c>
      <c r="V12641" s="1192">
        <v>11</v>
      </c>
    </row>
    <row r="12642" spans="1:22" s="1192" customFormat="1" ht="14.4" x14ac:dyDescent="0.3">
      <c r="A12642" s="1192" t="s">
        <v>6898</v>
      </c>
      <c r="B12642" s="1192" t="s">
        <v>6899</v>
      </c>
      <c r="E12642" s="1743" t="s">
        <v>2391</v>
      </c>
      <c r="F12642" s="1743"/>
      <c r="G12642" s="1743"/>
      <c r="H12642" s="1743"/>
      <c r="K12642" s="1192" t="s">
        <v>2555</v>
      </c>
      <c r="V12642" s="1192">
        <v>280</v>
      </c>
    </row>
    <row r="12643" spans="1:22" s="1192" customFormat="1" ht="14.4" x14ac:dyDescent="0.3">
      <c r="A12643" s="1192" t="s">
        <v>6898</v>
      </c>
      <c r="B12643" s="1192" t="s">
        <v>6899</v>
      </c>
      <c r="E12643" s="1743" t="s">
        <v>2392</v>
      </c>
      <c r="F12643" s="1743"/>
      <c r="G12643" s="1743"/>
      <c r="H12643" s="1743"/>
      <c r="K12643" s="1192" t="s">
        <v>2555</v>
      </c>
      <c r="V12643" s="1192">
        <v>411</v>
      </c>
    </row>
    <row r="12644" spans="1:22" s="1192" customFormat="1" ht="14.4" x14ac:dyDescent="0.3">
      <c r="A12644" s="1192" t="s">
        <v>6898</v>
      </c>
      <c r="B12644" s="1192" t="s">
        <v>6899</v>
      </c>
      <c r="E12644" s="1743" t="s">
        <v>2393</v>
      </c>
      <c r="F12644" s="1743"/>
      <c r="G12644" s="1743"/>
      <c r="H12644" s="1743"/>
      <c r="K12644" s="1192" t="s">
        <v>2555</v>
      </c>
      <c r="V12644" s="1192">
        <v>387</v>
      </c>
    </row>
    <row r="12645" spans="1:22" s="1192" customFormat="1" ht="14.4" x14ac:dyDescent="0.3">
      <c r="A12645" s="1192" t="s">
        <v>6898</v>
      </c>
      <c r="B12645" s="1192" t="s">
        <v>6899</v>
      </c>
      <c r="E12645" s="1743" t="s">
        <v>4500</v>
      </c>
      <c r="F12645" s="1743"/>
      <c r="G12645" s="1743"/>
      <c r="H12645" s="1743"/>
      <c r="K12645" s="1192" t="s">
        <v>2555</v>
      </c>
      <c r="V12645" s="1192">
        <v>247</v>
      </c>
    </row>
    <row r="12646" spans="1:22" s="1192" customFormat="1" ht="14.4" x14ac:dyDescent="0.3">
      <c r="A12646" s="1192" t="s">
        <v>6898</v>
      </c>
      <c r="B12646" s="1192" t="s">
        <v>6899</v>
      </c>
      <c r="E12646" s="1750" t="s">
        <v>2394</v>
      </c>
      <c r="F12646" s="1743"/>
      <c r="G12646" s="1743"/>
      <c r="H12646" s="1743"/>
      <c r="K12646" s="1192" t="s">
        <v>2446</v>
      </c>
      <c r="V12646" s="1192">
        <v>46</v>
      </c>
    </row>
    <row r="12647" spans="1:22" s="1192" customFormat="1" ht="14.4" x14ac:dyDescent="0.3">
      <c r="A12647" s="1192" t="s">
        <v>6898</v>
      </c>
      <c r="B12647" s="1192" t="s">
        <v>6899</v>
      </c>
      <c r="E12647" s="1741" t="s">
        <v>8</v>
      </c>
      <c r="F12647" s="1741"/>
      <c r="G12647" s="1277" t="s">
        <v>19</v>
      </c>
      <c r="H12647" s="1218">
        <v>37.96</v>
      </c>
      <c r="K12647" s="1192" t="s">
        <v>2555</v>
      </c>
      <c r="L12647" s="1192" t="s">
        <v>430</v>
      </c>
      <c r="P12647" s="1192" t="s">
        <v>2557</v>
      </c>
      <c r="V12647" s="1192">
        <v>31</v>
      </c>
    </row>
    <row r="12648" spans="1:22" s="1192" customFormat="1" ht="14.4" x14ac:dyDescent="0.3">
      <c r="A12648" s="1192" t="s">
        <v>6898</v>
      </c>
      <c r="B12648" s="1192" t="s">
        <v>6899</v>
      </c>
      <c r="E12648" s="1741" t="s">
        <v>6487</v>
      </c>
      <c r="F12648" s="1998"/>
      <c r="G12648" s="1277" t="s">
        <v>29</v>
      </c>
      <c r="H12648" s="1219">
        <v>0.56340000000000001</v>
      </c>
      <c r="K12648" s="1192" t="s">
        <v>2555</v>
      </c>
      <c r="L12648" s="1192" t="s">
        <v>431</v>
      </c>
      <c r="P12648" s="1192" t="s">
        <v>2562</v>
      </c>
      <c r="T12648" s="1192">
        <v>44316</v>
      </c>
      <c r="V12648" s="1192">
        <v>132</v>
      </c>
    </row>
    <row r="12649" spans="1:22" s="1192" customFormat="1" ht="14.4" x14ac:dyDescent="0.3">
      <c r="A12649" s="1192" t="s">
        <v>6898</v>
      </c>
      <c r="B12649" s="1192" t="s">
        <v>6899</v>
      </c>
      <c r="E12649" s="1741" t="s">
        <v>213</v>
      </c>
      <c r="F12649" s="1741"/>
      <c r="G12649" s="1277" t="s">
        <v>29</v>
      </c>
      <c r="H12649" s="1219">
        <v>1.8585</v>
      </c>
      <c r="K12649" s="1192" t="s">
        <v>2555</v>
      </c>
      <c r="L12649" s="1192" t="s">
        <v>432</v>
      </c>
      <c r="P12649" s="1192" t="s">
        <v>2563</v>
      </c>
      <c r="V12649" s="1192">
        <v>47</v>
      </c>
    </row>
    <row r="12650" spans="1:22" s="1192" customFormat="1" ht="14.4" x14ac:dyDescent="0.3">
      <c r="A12650" s="1192" t="s">
        <v>6898</v>
      </c>
      <c r="B12650" s="1192" t="s">
        <v>6899</v>
      </c>
      <c r="E12650" s="1741" t="s">
        <v>209</v>
      </c>
      <c r="F12650" s="1741"/>
      <c r="G12650" s="1277" t="s">
        <v>29</v>
      </c>
      <c r="H12650" s="1219">
        <v>1.8915999999999999</v>
      </c>
      <c r="K12650" s="1192" t="s">
        <v>2555</v>
      </c>
      <c r="L12650" s="1192" t="s">
        <v>432</v>
      </c>
      <c r="P12650" s="1192" t="s">
        <v>2564</v>
      </c>
      <c r="V12650" s="1192">
        <v>74</v>
      </c>
    </row>
    <row r="12651" spans="1:22" s="1192" customFormat="1" ht="14.4" x14ac:dyDescent="0.3">
      <c r="A12651" s="1192" t="s">
        <v>6898</v>
      </c>
      <c r="B12651" s="1192" t="s">
        <v>6899</v>
      </c>
      <c r="E12651" s="1750" t="s">
        <v>2405</v>
      </c>
      <c r="F12651" s="1741"/>
      <c r="G12651" s="1277"/>
      <c r="H12651" s="896"/>
      <c r="K12651" s="1192" t="s">
        <v>2565</v>
      </c>
      <c r="V12651" s="1192">
        <v>48</v>
      </c>
    </row>
    <row r="12652" spans="1:22" s="1192" customFormat="1" ht="14.4" x14ac:dyDescent="0.3">
      <c r="A12652" s="1192" t="s">
        <v>6898</v>
      </c>
      <c r="B12652" s="1192" t="s">
        <v>6899</v>
      </c>
      <c r="E12652" s="1741" t="s">
        <v>2033</v>
      </c>
      <c r="F12652" s="1741"/>
      <c r="G12652" s="1277" t="s">
        <v>20</v>
      </c>
      <c r="H12652" s="1219">
        <v>3.0000000000000001E-3</v>
      </c>
      <c r="K12652" s="1192" t="s">
        <v>2555</v>
      </c>
      <c r="L12652" s="1192" t="s">
        <v>2374</v>
      </c>
      <c r="P12652" s="1192" t="s">
        <v>2566</v>
      </c>
      <c r="V12652" s="1192">
        <v>55</v>
      </c>
    </row>
    <row r="12653" spans="1:22" s="1192" customFormat="1" ht="14.4" x14ac:dyDescent="0.3">
      <c r="A12653" s="1192" t="s">
        <v>6898</v>
      </c>
      <c r="B12653" s="1192" t="s">
        <v>6899</v>
      </c>
      <c r="E12653" s="1741" t="s">
        <v>2034</v>
      </c>
      <c r="F12653" s="1741"/>
      <c r="G12653" s="1277" t="s">
        <v>20</v>
      </c>
      <c r="H12653" s="1219">
        <v>4.0000000000000002E-4</v>
      </c>
      <c r="K12653" s="1192" t="s">
        <v>2555</v>
      </c>
      <c r="L12653" s="1192" t="s">
        <v>2374</v>
      </c>
      <c r="P12653" s="1192" t="s">
        <v>2566</v>
      </c>
      <c r="V12653" s="1192">
        <v>65</v>
      </c>
    </row>
    <row r="12654" spans="1:22" s="1192" customFormat="1" ht="14.4" x14ac:dyDescent="0.3">
      <c r="A12654" s="1192" t="s">
        <v>6898</v>
      </c>
      <c r="B12654" s="1192" t="s">
        <v>6899</v>
      </c>
      <c r="E12654" s="1741" t="s">
        <v>428</v>
      </c>
      <c r="F12654" s="1741"/>
      <c r="G12654" s="1277" t="s">
        <v>20</v>
      </c>
      <c r="H12654" s="1219">
        <v>5.0000000000000001E-4</v>
      </c>
      <c r="K12654" s="1192" t="s">
        <v>2555</v>
      </c>
      <c r="L12654" s="1192" t="s">
        <v>2374</v>
      </c>
      <c r="P12654" s="1192" t="s">
        <v>2567</v>
      </c>
      <c r="V12654" s="1192">
        <v>57</v>
      </c>
    </row>
    <row r="12655" spans="1:22" s="1192" customFormat="1" ht="14.4" x14ac:dyDescent="0.3">
      <c r="A12655" s="1192" t="s">
        <v>6898</v>
      </c>
      <c r="B12655" s="1192" t="s">
        <v>6899</v>
      </c>
      <c r="E12655" s="1741" t="s">
        <v>28</v>
      </c>
      <c r="F12655" s="1741"/>
      <c r="G12655" s="1277" t="s">
        <v>19</v>
      </c>
      <c r="H12655" s="1218">
        <v>0.25</v>
      </c>
      <c r="K12655" s="1192" t="s">
        <v>2555</v>
      </c>
      <c r="L12655" s="1192" t="s">
        <v>2374</v>
      </c>
      <c r="P12655" s="1192" t="s">
        <v>2568</v>
      </c>
      <c r="V12655" s="1192">
        <v>63</v>
      </c>
    </row>
    <row r="12656" spans="1:22" s="1192" customFormat="1" ht="17.399999999999999" x14ac:dyDescent="0.3">
      <c r="A12656" s="1192" t="s">
        <v>6898</v>
      </c>
      <c r="B12656" s="1192" t="s">
        <v>6899</v>
      </c>
      <c r="E12656" s="1746" t="s">
        <v>590</v>
      </c>
      <c r="F12656" s="1747"/>
      <c r="G12656" s="1747"/>
      <c r="H12656" s="1747"/>
      <c r="K12656" s="1192" t="s">
        <v>2569</v>
      </c>
      <c r="V12656" s="1192">
        <v>38</v>
      </c>
    </row>
    <row r="12657" spans="1:22" s="1192" customFormat="1" ht="14.4" x14ac:dyDescent="0.3">
      <c r="A12657" s="1192" t="s">
        <v>6898</v>
      </c>
      <c r="B12657" s="1192" t="s">
        <v>6899</v>
      </c>
      <c r="E12657" s="1743" t="s">
        <v>3621</v>
      </c>
      <c r="F12657" s="1743"/>
      <c r="G12657" s="1743"/>
      <c r="H12657" s="1743"/>
      <c r="K12657" s="1192" t="s">
        <v>2569</v>
      </c>
      <c r="V12657" s="1192">
        <v>651</v>
      </c>
    </row>
    <row r="12658" spans="1:22" s="1192" customFormat="1" ht="14.4" x14ac:dyDescent="0.3">
      <c r="A12658" s="1192" t="s">
        <v>6898</v>
      </c>
      <c r="B12658" s="1192" t="s">
        <v>6899</v>
      </c>
      <c r="E12658" s="1750" t="s">
        <v>2389</v>
      </c>
      <c r="F12658" s="1743"/>
      <c r="G12658" s="1743"/>
      <c r="H12658" s="1743"/>
      <c r="K12658" s="1192" t="s">
        <v>2571</v>
      </c>
      <c r="V12658" s="1192">
        <v>11</v>
      </c>
    </row>
    <row r="12659" spans="1:22" s="1192" customFormat="1" ht="14.4" x14ac:dyDescent="0.3">
      <c r="A12659" s="1192" t="s">
        <v>6898</v>
      </c>
      <c r="B12659" s="1192" t="s">
        <v>6899</v>
      </c>
      <c r="E12659" s="1743" t="s">
        <v>2391</v>
      </c>
      <c r="F12659" s="1743"/>
      <c r="G12659" s="1743"/>
      <c r="H12659" s="1743"/>
      <c r="K12659" s="1192" t="s">
        <v>2569</v>
      </c>
      <c r="V12659" s="1192">
        <v>280</v>
      </c>
    </row>
    <row r="12660" spans="1:22" s="1192" customFormat="1" ht="14.4" x14ac:dyDescent="0.3">
      <c r="A12660" s="1192" t="s">
        <v>6898</v>
      </c>
      <c r="B12660" s="1192" t="s">
        <v>6899</v>
      </c>
      <c r="E12660" s="1743" t="s">
        <v>2392</v>
      </c>
      <c r="F12660" s="1743"/>
      <c r="G12660" s="1743"/>
      <c r="H12660" s="1743"/>
      <c r="K12660" s="1192" t="s">
        <v>2569</v>
      </c>
      <c r="V12660" s="1192">
        <v>411</v>
      </c>
    </row>
    <row r="12661" spans="1:22" s="1192" customFormat="1" ht="14.4" x14ac:dyDescent="0.3">
      <c r="A12661" s="1192" t="s">
        <v>6898</v>
      </c>
      <c r="B12661" s="1192" t="s">
        <v>6899</v>
      </c>
      <c r="E12661" s="1743" t="s">
        <v>2393</v>
      </c>
      <c r="F12661" s="1743"/>
      <c r="G12661" s="1743"/>
      <c r="H12661" s="1743"/>
      <c r="K12661" s="1192" t="s">
        <v>2569</v>
      </c>
      <c r="V12661" s="1192">
        <v>387</v>
      </c>
    </row>
    <row r="12662" spans="1:22" s="1192" customFormat="1" ht="14.4" x14ac:dyDescent="0.3">
      <c r="A12662" s="1192" t="s">
        <v>6898</v>
      </c>
      <c r="B12662" s="1192" t="s">
        <v>6899</v>
      </c>
      <c r="E12662" s="1743" t="s">
        <v>4500</v>
      </c>
      <c r="F12662" s="1743"/>
      <c r="G12662" s="1743"/>
      <c r="H12662" s="1743"/>
      <c r="K12662" s="1192" t="s">
        <v>2569</v>
      </c>
      <c r="V12662" s="1192">
        <v>247</v>
      </c>
    </row>
    <row r="12663" spans="1:22" s="1192" customFormat="1" ht="14.4" x14ac:dyDescent="0.3">
      <c r="A12663" s="1192" t="s">
        <v>6898</v>
      </c>
      <c r="B12663" s="1192" t="s">
        <v>6899</v>
      </c>
      <c r="E12663" s="1750" t="s">
        <v>2394</v>
      </c>
      <c r="F12663" s="1743"/>
      <c r="G12663" s="1743"/>
      <c r="H12663" s="1743"/>
      <c r="K12663" s="1192" t="s">
        <v>2572</v>
      </c>
      <c r="V12663" s="1192">
        <v>46</v>
      </c>
    </row>
    <row r="12664" spans="1:22" s="1192" customFormat="1" ht="14.4" x14ac:dyDescent="0.3">
      <c r="A12664" s="1192" t="s">
        <v>6898</v>
      </c>
      <c r="B12664" s="1192" t="s">
        <v>6899</v>
      </c>
      <c r="E12664" s="1741" t="s">
        <v>8</v>
      </c>
      <c r="F12664" s="1741"/>
      <c r="G12664" s="1277" t="s">
        <v>19</v>
      </c>
      <c r="H12664" s="1218">
        <v>4.6399999999999997</v>
      </c>
      <c r="K12664" s="1192" t="s">
        <v>2569</v>
      </c>
      <c r="L12664" s="1192" t="s">
        <v>430</v>
      </c>
      <c r="P12664" s="1192" t="s">
        <v>2573</v>
      </c>
      <c r="V12664" s="1192">
        <v>31</v>
      </c>
    </row>
    <row r="12665" spans="1:22" s="1192" customFormat="1" ht="14.4" x14ac:dyDescent="0.3">
      <c r="A12665" s="1192" t="s">
        <v>6898</v>
      </c>
      <c r="B12665" s="1192" t="s">
        <v>6899</v>
      </c>
      <c r="E12665" s="1741" t="s">
        <v>80</v>
      </c>
      <c r="F12665" s="1741"/>
      <c r="G12665" s="1277" t="s">
        <v>29</v>
      </c>
      <c r="H12665" s="1219">
        <v>25.411799999999999</v>
      </c>
      <c r="K12665" s="1192" t="s">
        <v>2569</v>
      </c>
      <c r="L12665" s="1192" t="s">
        <v>430</v>
      </c>
      <c r="P12665" s="1192" t="s">
        <v>2574</v>
      </c>
      <c r="V12665" s="1192">
        <v>28</v>
      </c>
    </row>
    <row r="12666" spans="1:22" s="1192" customFormat="1" ht="14.4" x14ac:dyDescent="0.3">
      <c r="A12666" s="1192" t="s">
        <v>6898</v>
      </c>
      <c r="B12666" s="1192" t="s">
        <v>6899</v>
      </c>
      <c r="E12666" s="1741" t="s">
        <v>6484</v>
      </c>
      <c r="F12666" s="1998"/>
      <c r="G12666" s="1277" t="s">
        <v>20</v>
      </c>
      <c r="H12666" s="1219">
        <v>9.4999999999999998E-3</v>
      </c>
      <c r="K12666" s="1192" t="s">
        <v>2569</v>
      </c>
      <c r="L12666" s="1192" t="s">
        <v>431</v>
      </c>
      <c r="P12666" s="1192" t="s">
        <v>2576</v>
      </c>
      <c r="T12666" s="1192">
        <v>44316</v>
      </c>
      <c r="V12666" s="1192">
        <v>170</v>
      </c>
    </row>
    <row r="12667" spans="1:22" s="1192" customFormat="1" ht="14.4" x14ac:dyDescent="0.3">
      <c r="A12667" s="1192" t="s">
        <v>6898</v>
      </c>
      <c r="B12667" s="1192" t="s">
        <v>6899</v>
      </c>
      <c r="E12667" s="1741" t="s">
        <v>6663</v>
      </c>
      <c r="F12667" s="1998"/>
      <c r="G12667" s="1277" t="s">
        <v>29</v>
      </c>
      <c r="H12667" s="1219">
        <v>13.443</v>
      </c>
      <c r="K12667" s="1192" t="s">
        <v>2569</v>
      </c>
      <c r="L12667" s="1192" t="s">
        <v>430</v>
      </c>
      <c r="P12667" s="1192" t="s">
        <v>2577</v>
      </c>
      <c r="T12667" s="1192">
        <v>45046</v>
      </c>
      <c r="V12667" s="1192">
        <v>135</v>
      </c>
    </row>
    <row r="12668" spans="1:22" s="1192" customFormat="1" ht="14.4" x14ac:dyDescent="0.3">
      <c r="A12668" s="1192" t="s">
        <v>6898</v>
      </c>
      <c r="B12668" s="1192" t="s">
        <v>6899</v>
      </c>
      <c r="E12668" s="1741" t="s">
        <v>6487</v>
      </c>
      <c r="F12668" s="1998"/>
      <c r="G12668" s="1277" t="s">
        <v>29</v>
      </c>
      <c r="H12668" s="1219">
        <v>0.52910000000000001</v>
      </c>
      <c r="K12668" s="1192" t="s">
        <v>2569</v>
      </c>
      <c r="L12668" s="1192" t="s">
        <v>431</v>
      </c>
      <c r="P12668" s="1192" t="s">
        <v>2578</v>
      </c>
      <c r="T12668" s="1192">
        <v>44316</v>
      </c>
      <c r="V12668" s="1192">
        <v>132</v>
      </c>
    </row>
    <row r="12669" spans="1:22" s="1192" customFormat="1" ht="14.4" x14ac:dyDescent="0.3">
      <c r="A12669" s="1192" t="s">
        <v>6898</v>
      </c>
      <c r="B12669" s="1192" t="s">
        <v>6899</v>
      </c>
      <c r="E12669" s="1741" t="s">
        <v>213</v>
      </c>
      <c r="F12669" s="1741"/>
      <c r="G12669" s="1277" t="s">
        <v>29</v>
      </c>
      <c r="H12669" s="1219">
        <v>1.8502000000000001</v>
      </c>
      <c r="K12669" s="1192" t="s">
        <v>2569</v>
      </c>
      <c r="L12669" s="1192" t="s">
        <v>432</v>
      </c>
      <c r="P12669" s="1192" t="s">
        <v>2579</v>
      </c>
      <c r="V12669" s="1192">
        <v>47</v>
      </c>
    </row>
    <row r="12670" spans="1:22" s="1192" customFormat="1" ht="14.4" x14ac:dyDescent="0.3">
      <c r="A12670" s="1192" t="s">
        <v>6898</v>
      </c>
      <c r="B12670" s="1192" t="s">
        <v>6899</v>
      </c>
      <c r="E12670" s="1741" t="s">
        <v>209</v>
      </c>
      <c r="F12670" s="1741"/>
      <c r="G12670" s="1277" t="s">
        <v>29</v>
      </c>
      <c r="H12670" s="1219">
        <v>1.8883000000000001</v>
      </c>
      <c r="K12670" s="1192" t="s">
        <v>2569</v>
      </c>
      <c r="L12670" s="1192" t="s">
        <v>432</v>
      </c>
      <c r="P12670" s="1192" t="s">
        <v>2580</v>
      </c>
      <c r="V12670" s="1192">
        <v>74</v>
      </c>
    </row>
    <row r="12671" spans="1:22" s="1192" customFormat="1" ht="14.4" x14ac:dyDescent="0.3">
      <c r="A12671" s="1192" t="s">
        <v>6898</v>
      </c>
      <c r="B12671" s="1192" t="s">
        <v>6899</v>
      </c>
      <c r="E12671" s="1750" t="s">
        <v>2405</v>
      </c>
      <c r="F12671" s="1741"/>
      <c r="G12671" s="1277"/>
      <c r="H12671" s="896"/>
      <c r="K12671" s="1192" t="s">
        <v>2581</v>
      </c>
      <c r="V12671" s="1192">
        <v>48</v>
      </c>
    </row>
    <row r="12672" spans="1:22" s="1192" customFormat="1" ht="14.4" x14ac:dyDescent="0.3">
      <c r="A12672" s="1192" t="s">
        <v>6898</v>
      </c>
      <c r="B12672" s="1192" t="s">
        <v>6899</v>
      </c>
      <c r="E12672" s="1741" t="s">
        <v>2033</v>
      </c>
      <c r="F12672" s="1741"/>
      <c r="G12672" s="1277" t="s">
        <v>20</v>
      </c>
      <c r="H12672" s="1219">
        <v>3.0000000000000001E-3</v>
      </c>
      <c r="K12672" s="1192" t="s">
        <v>2569</v>
      </c>
      <c r="L12672" s="1192" t="s">
        <v>2374</v>
      </c>
      <c r="P12672" s="1192" t="s">
        <v>2582</v>
      </c>
      <c r="V12672" s="1192">
        <v>55</v>
      </c>
    </row>
    <row r="12673" spans="1:22" s="1192" customFormat="1" ht="14.4" x14ac:dyDescent="0.3">
      <c r="A12673" s="1192" t="s">
        <v>6898</v>
      </c>
      <c r="B12673" s="1192" t="s">
        <v>6899</v>
      </c>
      <c r="E12673" s="1741" t="s">
        <v>2034</v>
      </c>
      <c r="F12673" s="1741"/>
      <c r="G12673" s="1277" t="s">
        <v>20</v>
      </c>
      <c r="H12673" s="1219">
        <v>4.0000000000000002E-4</v>
      </c>
      <c r="K12673" s="1192" t="s">
        <v>2569</v>
      </c>
      <c r="L12673" s="1192" t="s">
        <v>2374</v>
      </c>
      <c r="P12673" s="1192" t="s">
        <v>2582</v>
      </c>
      <c r="V12673" s="1192">
        <v>65</v>
      </c>
    </row>
    <row r="12674" spans="1:22" s="1192" customFormat="1" ht="14.4" x14ac:dyDescent="0.3">
      <c r="A12674" s="1192" t="s">
        <v>6898</v>
      </c>
      <c r="B12674" s="1192" t="s">
        <v>6899</v>
      </c>
      <c r="E12674" s="1741" t="s">
        <v>428</v>
      </c>
      <c r="F12674" s="1741"/>
      <c r="G12674" s="1277" t="s">
        <v>20</v>
      </c>
      <c r="H12674" s="1219">
        <v>5.0000000000000001E-4</v>
      </c>
      <c r="K12674" s="1192" t="s">
        <v>2569</v>
      </c>
      <c r="L12674" s="1192" t="s">
        <v>2374</v>
      </c>
      <c r="P12674" s="1192" t="s">
        <v>2583</v>
      </c>
      <c r="V12674" s="1192">
        <v>57</v>
      </c>
    </row>
    <row r="12675" spans="1:22" s="1192" customFormat="1" ht="14.4" x14ac:dyDescent="0.3">
      <c r="A12675" s="1192" t="s">
        <v>6898</v>
      </c>
      <c r="B12675" s="1192" t="s">
        <v>6899</v>
      </c>
      <c r="E12675" s="1741" t="s">
        <v>28</v>
      </c>
      <c r="F12675" s="1741"/>
      <c r="G12675" s="1277" t="s">
        <v>19</v>
      </c>
      <c r="H12675" s="1218">
        <v>0.25</v>
      </c>
      <c r="K12675" s="1192" t="s">
        <v>2569</v>
      </c>
      <c r="L12675" s="1192" t="s">
        <v>2374</v>
      </c>
      <c r="P12675" s="1192" t="s">
        <v>2584</v>
      </c>
      <c r="V12675" s="1192">
        <v>63</v>
      </c>
    </row>
    <row r="12676" spans="1:22" s="1192" customFormat="1" ht="17.399999999999999" x14ac:dyDescent="0.3">
      <c r="A12676" s="1192" t="s">
        <v>6898</v>
      </c>
      <c r="B12676" s="1192" t="s">
        <v>6899</v>
      </c>
      <c r="E12676" s="1746" t="s">
        <v>593</v>
      </c>
      <c r="F12676" s="1747"/>
      <c r="G12676" s="1747"/>
      <c r="H12676" s="1747"/>
      <c r="K12676" s="1192" t="s">
        <v>2585</v>
      </c>
      <c r="V12676" s="1192">
        <v>31</v>
      </c>
    </row>
    <row r="12677" spans="1:22" s="1192" customFormat="1" ht="14.4" x14ac:dyDescent="0.3">
      <c r="A12677" s="1192" t="s">
        <v>6898</v>
      </c>
      <c r="B12677" s="1192" t="s">
        <v>6899</v>
      </c>
      <c r="E12677" s="1743" t="s">
        <v>3622</v>
      </c>
      <c r="F12677" s="1743"/>
      <c r="G12677" s="1743"/>
      <c r="H12677" s="1743"/>
      <c r="K12677" s="1192" t="s">
        <v>2585</v>
      </c>
      <c r="V12677" s="1192">
        <v>286</v>
      </c>
    </row>
    <row r="12678" spans="1:22" s="1192" customFormat="1" ht="14.4" x14ac:dyDescent="0.3">
      <c r="A12678" s="1192" t="s">
        <v>6898</v>
      </c>
      <c r="B12678" s="1192" t="s">
        <v>6899</v>
      </c>
      <c r="E12678" s="1750" t="s">
        <v>2389</v>
      </c>
      <c r="F12678" s="1743"/>
      <c r="G12678" s="1743"/>
      <c r="H12678" s="1743"/>
      <c r="K12678" s="1192" t="s">
        <v>2586</v>
      </c>
      <c r="V12678" s="1192">
        <v>11</v>
      </c>
    </row>
    <row r="12679" spans="1:22" s="1192" customFormat="1" ht="14.4" x14ac:dyDescent="0.3">
      <c r="A12679" s="1192" t="s">
        <v>6898</v>
      </c>
      <c r="B12679" s="1192" t="s">
        <v>6899</v>
      </c>
      <c r="E12679" s="1743" t="s">
        <v>2391</v>
      </c>
      <c r="F12679" s="1743"/>
      <c r="G12679" s="1743"/>
      <c r="H12679" s="1743"/>
      <c r="K12679" s="1192" t="s">
        <v>2585</v>
      </c>
      <c r="V12679" s="1192">
        <v>280</v>
      </c>
    </row>
    <row r="12680" spans="1:22" s="1192" customFormat="1" ht="14.4" x14ac:dyDescent="0.3">
      <c r="A12680" s="1192" t="s">
        <v>6898</v>
      </c>
      <c r="B12680" s="1192" t="s">
        <v>6899</v>
      </c>
      <c r="E12680" s="1743" t="s">
        <v>2392</v>
      </c>
      <c r="F12680" s="1743"/>
      <c r="G12680" s="1743"/>
      <c r="H12680" s="1743"/>
      <c r="K12680" s="1192" t="s">
        <v>2585</v>
      </c>
      <c r="V12680" s="1192">
        <v>411</v>
      </c>
    </row>
    <row r="12681" spans="1:22" s="1192" customFormat="1" ht="14.4" x14ac:dyDescent="0.3">
      <c r="A12681" s="1192" t="s">
        <v>6898</v>
      </c>
      <c r="B12681" s="1192" t="s">
        <v>6899</v>
      </c>
      <c r="E12681" s="1743" t="s">
        <v>2393</v>
      </c>
      <c r="F12681" s="1743"/>
      <c r="G12681" s="1743"/>
      <c r="H12681" s="1743"/>
      <c r="K12681" s="1192" t="s">
        <v>2585</v>
      </c>
      <c r="V12681" s="1192">
        <v>387</v>
      </c>
    </row>
    <row r="12682" spans="1:22" s="1192" customFormat="1" ht="14.4" x14ac:dyDescent="0.3">
      <c r="A12682" s="1192" t="s">
        <v>6898</v>
      </c>
      <c r="B12682" s="1192" t="s">
        <v>6899</v>
      </c>
      <c r="E12682" s="1743" t="s">
        <v>4500</v>
      </c>
      <c r="F12682" s="1743"/>
      <c r="G12682" s="1743"/>
      <c r="H12682" s="1743"/>
      <c r="K12682" s="1192" t="s">
        <v>2585</v>
      </c>
      <c r="V12682" s="1192">
        <v>247</v>
      </c>
    </row>
    <row r="12683" spans="1:22" s="1192" customFormat="1" ht="14.4" x14ac:dyDescent="0.3">
      <c r="A12683" s="1192" t="s">
        <v>6898</v>
      </c>
      <c r="B12683" s="1192" t="s">
        <v>6899</v>
      </c>
      <c r="E12683" s="1750" t="s">
        <v>2394</v>
      </c>
      <c r="F12683" s="1743"/>
      <c r="G12683" s="1743"/>
      <c r="H12683" s="1743"/>
      <c r="K12683" s="1192" t="s">
        <v>2587</v>
      </c>
      <c r="V12683" s="1192">
        <v>46</v>
      </c>
    </row>
    <row r="12684" spans="1:22" s="1192" customFormat="1" ht="14.4" x14ac:dyDescent="0.3">
      <c r="A12684" s="1192" t="s">
        <v>6898</v>
      </c>
      <c r="B12684" s="1192" t="s">
        <v>6899</v>
      </c>
      <c r="E12684" s="1741" t="s">
        <v>7</v>
      </c>
      <c r="F12684" s="1741"/>
      <c r="G12684" s="1277" t="s">
        <v>19</v>
      </c>
      <c r="H12684" s="1218">
        <v>4.55</v>
      </c>
      <c r="K12684" s="1192" t="s">
        <v>2585</v>
      </c>
      <c r="L12684" s="1192" t="s">
        <v>430</v>
      </c>
      <c r="P12684" s="1192" t="s">
        <v>2588</v>
      </c>
      <c r="V12684" s="1192">
        <v>14</v>
      </c>
    </row>
    <row r="12685" spans="1:22" s="1192" customFormat="1" x14ac:dyDescent="0.3">
      <c r="A12685" s="1192" t="s">
        <v>6898</v>
      </c>
      <c r="B12685" s="1192" t="s">
        <v>6899</v>
      </c>
      <c r="E12685" s="1260" t="s">
        <v>81</v>
      </c>
      <c r="F12685" s="554"/>
      <c r="G12685" s="554"/>
      <c r="H12685" s="917"/>
      <c r="K12685" s="1192" t="s">
        <v>6901</v>
      </c>
      <c r="V12685" s="1192">
        <v>10</v>
      </c>
    </row>
    <row r="12686" spans="1:22" s="1192" customFormat="1" ht="14.4" x14ac:dyDescent="0.3">
      <c r="A12686" s="1192" t="s">
        <v>6898</v>
      </c>
      <c r="B12686" s="1192" t="s">
        <v>6899</v>
      </c>
      <c r="E12686" s="1741" t="s">
        <v>2449</v>
      </c>
      <c r="F12686" s="1741"/>
      <c r="G12686" s="1277" t="s">
        <v>29</v>
      </c>
      <c r="H12686" s="564">
        <v>-0.6</v>
      </c>
      <c r="V12686" s="1192">
        <v>68</v>
      </c>
    </row>
    <row r="12687" spans="1:22" s="1192" customFormat="1" ht="14.4" x14ac:dyDescent="0.3">
      <c r="A12687" s="1192" t="s">
        <v>6898</v>
      </c>
      <c r="B12687" s="1192" t="s">
        <v>6899</v>
      </c>
      <c r="E12687" s="1741" t="s">
        <v>2450</v>
      </c>
      <c r="F12687" s="1741"/>
      <c r="G12687" s="1277" t="s">
        <v>82</v>
      </c>
      <c r="H12687" s="1218">
        <v>-1</v>
      </c>
      <c r="V12687" s="1192">
        <v>87</v>
      </c>
    </row>
    <row r="12688" spans="1:22" s="1192" customFormat="1" x14ac:dyDescent="0.3">
      <c r="A12688" s="1192" t="s">
        <v>6898</v>
      </c>
      <c r="B12688" s="1192" t="s">
        <v>6899</v>
      </c>
      <c r="E12688" s="1260" t="s">
        <v>83</v>
      </c>
      <c r="F12688" s="554"/>
      <c r="G12688" s="554"/>
      <c r="H12688" s="917"/>
      <c r="K12688" s="1192" t="s">
        <v>6902</v>
      </c>
      <c r="V12688" s="1192">
        <v>24</v>
      </c>
    </row>
    <row r="12689" spans="1:22" s="1192" customFormat="1" ht="14.4" x14ac:dyDescent="0.3">
      <c r="A12689" s="1192" t="s">
        <v>6898</v>
      </c>
      <c r="B12689" s="1192" t="s">
        <v>6899</v>
      </c>
      <c r="E12689" s="1743" t="s">
        <v>2391</v>
      </c>
      <c r="F12689" s="1743"/>
      <c r="G12689" s="1743"/>
      <c r="H12689" s="1743"/>
      <c r="V12689" s="1192">
        <v>280</v>
      </c>
    </row>
    <row r="12690" spans="1:22" s="1192" customFormat="1" ht="14.4" x14ac:dyDescent="0.3">
      <c r="A12690" s="1192" t="s">
        <v>6898</v>
      </c>
      <c r="B12690" s="1192" t="s">
        <v>6899</v>
      </c>
      <c r="E12690" s="1743" t="s">
        <v>2452</v>
      </c>
      <c r="F12690" s="1743"/>
      <c r="G12690" s="1743"/>
      <c r="H12690" s="1743"/>
      <c r="V12690" s="1192">
        <v>353</v>
      </c>
    </row>
    <row r="12691" spans="1:22" s="1192" customFormat="1" ht="14.4" x14ac:dyDescent="0.3">
      <c r="A12691" s="1192" t="s">
        <v>6898</v>
      </c>
      <c r="B12691" s="1192" t="s">
        <v>6899</v>
      </c>
      <c r="E12691" s="1743" t="s">
        <v>4500</v>
      </c>
      <c r="F12691" s="1743"/>
      <c r="G12691" s="1743"/>
      <c r="H12691" s="1743"/>
      <c r="V12691" s="1192">
        <v>247</v>
      </c>
    </row>
    <row r="12692" spans="1:22" s="1192" customFormat="1" ht="14.4" x14ac:dyDescent="0.3">
      <c r="A12692" s="1192" t="s">
        <v>6898</v>
      </c>
      <c r="B12692" s="1192" t="s">
        <v>6899</v>
      </c>
      <c r="E12692" s="1258" t="s">
        <v>2453</v>
      </c>
      <c r="F12692" s="450"/>
      <c r="G12692" s="450"/>
      <c r="H12692" s="926"/>
      <c r="K12692" s="1192" t="s">
        <v>6903</v>
      </c>
      <c r="V12692" s="1192">
        <v>23</v>
      </c>
    </row>
    <row r="12693" spans="1:22" s="1192" customFormat="1" ht="14.4" x14ac:dyDescent="0.3">
      <c r="A12693" s="1192" t="s">
        <v>6898</v>
      </c>
      <c r="B12693" s="1192" t="s">
        <v>6899</v>
      </c>
      <c r="E12693" s="1745" t="s">
        <v>2639</v>
      </c>
      <c r="F12693" s="1745"/>
      <c r="G12693" s="1277" t="s">
        <v>19</v>
      </c>
      <c r="H12693" s="1218">
        <v>15</v>
      </c>
      <c r="V12693" s="1192">
        <v>19</v>
      </c>
    </row>
    <row r="12694" spans="1:22" s="1192" customFormat="1" ht="14.4" x14ac:dyDescent="0.3">
      <c r="A12694" s="1192" t="s">
        <v>6898</v>
      </c>
      <c r="B12694" s="1192" t="s">
        <v>6899</v>
      </c>
      <c r="E12694" s="1745" t="s">
        <v>84</v>
      </c>
      <c r="F12694" s="1745"/>
      <c r="G12694" s="1277" t="s">
        <v>19</v>
      </c>
      <c r="H12694" s="1218">
        <v>30</v>
      </c>
      <c r="V12694" s="1192">
        <v>89</v>
      </c>
    </row>
    <row r="12695" spans="1:22" s="1192" customFormat="1" ht="14.4" x14ac:dyDescent="0.3">
      <c r="A12695" s="1192" t="s">
        <v>6898</v>
      </c>
      <c r="B12695" s="1192" t="s">
        <v>6899</v>
      </c>
      <c r="E12695" s="1745" t="s">
        <v>90</v>
      </c>
      <c r="F12695" s="1745"/>
      <c r="G12695" s="1277" t="s">
        <v>19</v>
      </c>
      <c r="H12695" s="1218">
        <v>15</v>
      </c>
      <c r="V12695" s="1192">
        <v>19</v>
      </c>
    </row>
    <row r="12696" spans="1:22" s="1192" customFormat="1" ht="14.4" x14ac:dyDescent="0.3">
      <c r="A12696" s="1192" t="s">
        <v>6898</v>
      </c>
      <c r="B12696" s="1192" t="s">
        <v>6899</v>
      </c>
      <c r="E12696" s="1745" t="s">
        <v>88</v>
      </c>
      <c r="F12696" s="1745"/>
      <c r="G12696" s="1277" t="s">
        <v>19</v>
      </c>
      <c r="H12696" s="1218">
        <v>30</v>
      </c>
      <c r="V12696" s="1192">
        <v>74</v>
      </c>
    </row>
    <row r="12697" spans="1:22" s="1192" customFormat="1" ht="14.4" x14ac:dyDescent="0.3">
      <c r="A12697" s="1192" t="s">
        <v>6898</v>
      </c>
      <c r="B12697" s="1192" t="s">
        <v>6899</v>
      </c>
      <c r="E12697" s="1258" t="s">
        <v>2468</v>
      </c>
      <c r="F12697" s="450"/>
      <c r="G12697" s="450"/>
      <c r="H12697" s="926"/>
      <c r="K12697" s="1192" t="s">
        <v>6904</v>
      </c>
      <c r="V12697" s="1192">
        <v>22</v>
      </c>
    </row>
    <row r="12698" spans="1:22" s="1192" customFormat="1" ht="14.4" x14ac:dyDescent="0.3">
      <c r="A12698" s="1192" t="s">
        <v>6898</v>
      </c>
      <c r="B12698" s="1192" t="s">
        <v>6899</v>
      </c>
      <c r="E12698" s="1942" t="s">
        <v>5940</v>
      </c>
      <c r="F12698" s="1942"/>
      <c r="G12698" s="1277" t="s">
        <v>82</v>
      </c>
      <c r="H12698" s="1218">
        <v>1.5</v>
      </c>
      <c r="V12698" s="1192">
        <v>99</v>
      </c>
    </row>
    <row r="12699" spans="1:22" s="1192" customFormat="1" ht="14.4" x14ac:dyDescent="0.3">
      <c r="A12699" s="1192" t="s">
        <v>6898</v>
      </c>
      <c r="B12699" s="1192" t="s">
        <v>6899</v>
      </c>
      <c r="E12699" s="1745" t="s">
        <v>6106</v>
      </c>
      <c r="F12699" s="1745"/>
      <c r="G12699" s="1277" t="s">
        <v>19</v>
      </c>
      <c r="H12699" s="1218">
        <v>65</v>
      </c>
      <c r="V12699" s="1192">
        <v>44</v>
      </c>
    </row>
    <row r="12700" spans="1:22" s="1192" customFormat="1" ht="14.4" x14ac:dyDescent="0.3">
      <c r="A12700" s="1192" t="s">
        <v>6898</v>
      </c>
      <c r="B12700" s="1192" t="s">
        <v>6899</v>
      </c>
      <c r="E12700" s="1745" t="s">
        <v>6107</v>
      </c>
      <c r="F12700" s="1745"/>
      <c r="G12700" s="1277" t="s">
        <v>19</v>
      </c>
      <c r="H12700" s="1218">
        <v>185</v>
      </c>
      <c r="V12700" s="1192">
        <v>43</v>
      </c>
    </row>
    <row r="12701" spans="1:22" s="1192" customFormat="1" ht="14.4" x14ac:dyDescent="0.3">
      <c r="A12701" s="1192" t="s">
        <v>6898</v>
      </c>
      <c r="B12701" s="1192" t="s">
        <v>6899</v>
      </c>
      <c r="E12701" s="1745" t="s">
        <v>6108</v>
      </c>
      <c r="F12701" s="1745"/>
      <c r="G12701" s="1277" t="s">
        <v>19</v>
      </c>
      <c r="H12701" s="1218">
        <v>185</v>
      </c>
      <c r="V12701" s="1192">
        <v>43</v>
      </c>
    </row>
    <row r="12702" spans="1:22" s="1192" customFormat="1" ht="14.4" x14ac:dyDescent="0.3">
      <c r="A12702" s="1192" t="s">
        <v>6898</v>
      </c>
      <c r="B12702" s="1192" t="s">
        <v>6899</v>
      </c>
      <c r="E12702" s="1258" t="s">
        <v>2474</v>
      </c>
      <c r="F12702" s="1266"/>
      <c r="G12702" s="451"/>
      <c r="H12702" s="899"/>
      <c r="V12702" s="1192">
        <v>5</v>
      </c>
    </row>
    <row r="12703" spans="1:22" s="1192" customFormat="1" ht="14.4" x14ac:dyDescent="0.3">
      <c r="A12703" s="1192" t="s">
        <v>6898</v>
      </c>
      <c r="B12703" s="1192" t="s">
        <v>6899</v>
      </c>
      <c r="E12703" s="1942" t="s">
        <v>4758</v>
      </c>
      <c r="F12703" s="1942"/>
      <c r="G12703" s="1277" t="s">
        <v>19</v>
      </c>
      <c r="H12703" s="1218">
        <v>44.5</v>
      </c>
      <c r="V12703" s="1192">
        <v>106</v>
      </c>
    </row>
    <row r="12704" spans="1:22" s="1192" customFormat="1" ht="17.399999999999999" x14ac:dyDescent="0.3">
      <c r="A12704" s="1192" t="s">
        <v>6898</v>
      </c>
      <c r="B12704" s="1192" t="s">
        <v>6899</v>
      </c>
      <c r="E12704" s="1746" t="s">
        <v>73</v>
      </c>
      <c r="F12704" s="1746"/>
      <c r="G12704" s="1746"/>
      <c r="H12704" s="1746"/>
      <c r="K12704" s="1192" t="s">
        <v>6905</v>
      </c>
      <c r="V12704" s="1192">
        <v>38</v>
      </c>
    </row>
    <row r="12705" spans="1:22" s="1192" customFormat="1" ht="14.4" x14ac:dyDescent="0.3">
      <c r="A12705" s="1192" t="s">
        <v>6898</v>
      </c>
      <c r="B12705" s="1192" t="s">
        <v>6899</v>
      </c>
      <c r="E12705" s="1743" t="s">
        <v>2391</v>
      </c>
      <c r="F12705" s="1743"/>
      <c r="G12705" s="1743"/>
      <c r="H12705" s="1743"/>
      <c r="V12705" s="1192">
        <v>280</v>
      </c>
    </row>
    <row r="12706" spans="1:22" s="1192" customFormat="1" ht="14.4" x14ac:dyDescent="0.3">
      <c r="A12706" s="1192" t="s">
        <v>6898</v>
      </c>
      <c r="B12706" s="1192" t="s">
        <v>6899</v>
      </c>
      <c r="E12706" s="1743" t="s">
        <v>2392</v>
      </c>
      <c r="F12706" s="1743"/>
      <c r="G12706" s="1743"/>
      <c r="H12706" s="1743"/>
      <c r="V12706" s="1192">
        <v>411</v>
      </c>
    </row>
    <row r="12707" spans="1:22" s="1192" customFormat="1" ht="14.4" x14ac:dyDescent="0.3">
      <c r="A12707" s="1192" t="s">
        <v>6898</v>
      </c>
      <c r="B12707" s="1192" t="s">
        <v>6899</v>
      </c>
      <c r="E12707" s="1743" t="s">
        <v>2445</v>
      </c>
      <c r="F12707" s="1743"/>
      <c r="G12707" s="1743"/>
      <c r="H12707" s="1743"/>
      <c r="V12707" s="1192">
        <v>211</v>
      </c>
    </row>
    <row r="12708" spans="1:22" s="1192" customFormat="1" ht="14.4" x14ac:dyDescent="0.3">
      <c r="A12708" s="1192" t="s">
        <v>6898</v>
      </c>
      <c r="B12708" s="1192" t="s">
        <v>6899</v>
      </c>
      <c r="E12708" s="1743" t="s">
        <v>4500</v>
      </c>
      <c r="F12708" s="1743"/>
      <c r="G12708" s="1743"/>
      <c r="H12708" s="1743"/>
      <c r="V12708" s="1192">
        <v>247</v>
      </c>
    </row>
    <row r="12709" spans="1:22" s="1192" customFormat="1" ht="14.4" x14ac:dyDescent="0.3">
      <c r="A12709" s="1192" t="s">
        <v>6898</v>
      </c>
      <c r="B12709" s="1192" t="s">
        <v>6899</v>
      </c>
      <c r="E12709" s="1743" t="s">
        <v>2595</v>
      </c>
      <c r="F12709" s="1743"/>
      <c r="G12709" s="1743"/>
      <c r="H12709" s="1743"/>
      <c r="V12709" s="1192">
        <v>142</v>
      </c>
    </row>
    <row r="12710" spans="1:22" s="1192" customFormat="1" ht="14.4" x14ac:dyDescent="0.3">
      <c r="A12710" s="1192" t="s">
        <v>6898</v>
      </c>
      <c r="B12710" s="1192" t="s">
        <v>6899</v>
      </c>
      <c r="E12710" s="1741" t="s">
        <v>2485</v>
      </c>
      <c r="F12710" s="1741"/>
      <c r="G12710" s="360" t="s">
        <v>19</v>
      </c>
      <c r="H12710" s="1218">
        <v>102</v>
      </c>
      <c r="V12710" s="1192">
        <v>106</v>
      </c>
    </row>
    <row r="12711" spans="1:22" s="1192" customFormat="1" ht="14.4" x14ac:dyDescent="0.3">
      <c r="A12711" s="1192" t="s">
        <v>6898</v>
      </c>
      <c r="B12711" s="1192" t="s">
        <v>6899</v>
      </c>
      <c r="E12711" s="1741" t="s">
        <v>3919</v>
      </c>
      <c r="F12711" s="1741"/>
      <c r="G12711" s="360" t="s">
        <v>19</v>
      </c>
      <c r="H12711" s="1218">
        <v>40.799999999999997</v>
      </c>
      <c r="V12711" s="1192">
        <v>34</v>
      </c>
    </row>
    <row r="12712" spans="1:22" s="1192" customFormat="1" ht="14.4" x14ac:dyDescent="0.3">
      <c r="A12712" s="1192" t="s">
        <v>6898</v>
      </c>
      <c r="B12712" s="1192" t="s">
        <v>6899</v>
      </c>
      <c r="E12712" s="1741" t="s">
        <v>3920</v>
      </c>
      <c r="F12712" s="1741"/>
      <c r="G12712" s="360" t="s">
        <v>2488</v>
      </c>
      <c r="H12712" s="1218">
        <v>1.02</v>
      </c>
      <c r="V12712" s="1192">
        <v>51</v>
      </c>
    </row>
    <row r="12713" spans="1:22" s="1192" customFormat="1" ht="14.4" x14ac:dyDescent="0.3">
      <c r="A12713" s="1192" t="s">
        <v>6898</v>
      </c>
      <c r="B12713" s="1192" t="s">
        <v>6899</v>
      </c>
      <c r="E12713" s="1741" t="s">
        <v>2489</v>
      </c>
      <c r="F12713" s="1741"/>
      <c r="G12713" s="360" t="s">
        <v>2488</v>
      </c>
      <c r="H12713" s="1218">
        <v>0.61</v>
      </c>
      <c r="V12713" s="1192">
        <v>75</v>
      </c>
    </row>
    <row r="12714" spans="1:22" s="1192" customFormat="1" ht="14.4" x14ac:dyDescent="0.3">
      <c r="A12714" s="1192" t="s">
        <v>6898</v>
      </c>
      <c r="B12714" s="1192" t="s">
        <v>6899</v>
      </c>
      <c r="E12714" s="1741" t="s">
        <v>2490</v>
      </c>
      <c r="F12714" s="1741"/>
      <c r="G12714" s="360" t="s">
        <v>2488</v>
      </c>
      <c r="H12714" s="511">
        <v>-0.61</v>
      </c>
      <c r="V12714" s="1192">
        <v>72</v>
      </c>
    </row>
    <row r="12715" spans="1:22" s="1192" customFormat="1" ht="14.4" x14ac:dyDescent="0.3">
      <c r="A12715" s="1192" t="s">
        <v>6898</v>
      </c>
      <c r="B12715" s="1192" t="s">
        <v>6899</v>
      </c>
      <c r="E12715" s="1741" t="s">
        <v>2596</v>
      </c>
      <c r="F12715" s="1741"/>
      <c r="G12715" s="360"/>
      <c r="H12715" s="837"/>
      <c r="V12715" s="1192">
        <v>34</v>
      </c>
    </row>
    <row r="12716" spans="1:22" s="1192" customFormat="1" ht="14.4" x14ac:dyDescent="0.3">
      <c r="A12716" s="1192" t="s">
        <v>6898</v>
      </c>
      <c r="B12716" s="1192" t="s">
        <v>6899</v>
      </c>
      <c r="E12716" s="1941" t="s">
        <v>2492</v>
      </c>
      <c r="F12716" s="1941"/>
      <c r="G12716" s="360" t="s">
        <v>19</v>
      </c>
      <c r="H12716" s="1218">
        <v>0.51</v>
      </c>
      <c r="V12716" s="1192">
        <v>57</v>
      </c>
    </row>
    <row r="12717" spans="1:22" s="1192" customFormat="1" ht="14.4" x14ac:dyDescent="0.3">
      <c r="A12717" s="1192" t="s">
        <v>6898</v>
      </c>
      <c r="B12717" s="1192" t="s">
        <v>6899</v>
      </c>
      <c r="E12717" s="1941" t="s">
        <v>2493</v>
      </c>
      <c r="F12717" s="1941"/>
      <c r="G12717" s="360" t="s">
        <v>19</v>
      </c>
      <c r="H12717" s="1218">
        <v>1.02</v>
      </c>
      <c r="V12717" s="1192">
        <v>60</v>
      </c>
    </row>
    <row r="12718" spans="1:22" s="1192" customFormat="1" ht="14.4" x14ac:dyDescent="0.3">
      <c r="A12718" s="1192" t="s">
        <v>6898</v>
      </c>
      <c r="B12718" s="1192" t="s">
        <v>6899</v>
      </c>
      <c r="E12718" s="1741" t="s">
        <v>2494</v>
      </c>
      <c r="F12718" s="1741"/>
      <c r="G12718" s="360"/>
      <c r="H12718" s="837"/>
      <c r="V12718" s="1192">
        <v>91</v>
      </c>
    </row>
    <row r="12719" spans="1:22" s="1192" customFormat="1" ht="14.4" x14ac:dyDescent="0.3">
      <c r="A12719" s="1192" t="s">
        <v>6898</v>
      </c>
      <c r="B12719" s="1192" t="s">
        <v>6899</v>
      </c>
      <c r="E12719" s="1741" t="s">
        <v>2495</v>
      </c>
      <c r="F12719" s="1741"/>
      <c r="G12719" s="360"/>
      <c r="H12719" s="837"/>
      <c r="V12719" s="1192">
        <v>96</v>
      </c>
    </row>
    <row r="12720" spans="1:22" s="1192" customFormat="1" ht="14.4" x14ac:dyDescent="0.3">
      <c r="A12720" s="1192" t="s">
        <v>6898</v>
      </c>
      <c r="B12720" s="1192" t="s">
        <v>6899</v>
      </c>
      <c r="E12720" s="1741" t="s">
        <v>2597</v>
      </c>
      <c r="F12720" s="1741"/>
      <c r="G12720" s="360"/>
      <c r="H12720" s="837"/>
      <c r="V12720" s="1192">
        <v>77</v>
      </c>
    </row>
    <row r="12721" spans="1:22" s="1192" customFormat="1" ht="14.4" x14ac:dyDescent="0.3">
      <c r="A12721" s="1192" t="s">
        <v>6898</v>
      </c>
      <c r="B12721" s="1192" t="s">
        <v>6899</v>
      </c>
      <c r="E12721" s="1941" t="s">
        <v>2497</v>
      </c>
      <c r="F12721" s="1941"/>
      <c r="G12721" s="360" t="s">
        <v>19</v>
      </c>
      <c r="H12721" s="837" t="s">
        <v>2498</v>
      </c>
      <c r="V12721" s="1192">
        <v>18</v>
      </c>
    </row>
    <row r="12722" spans="1:22" s="1192" customFormat="1" ht="14.4" x14ac:dyDescent="0.3">
      <c r="A12722" s="1192" t="s">
        <v>6898</v>
      </c>
      <c r="B12722" s="1192" t="s">
        <v>6899</v>
      </c>
      <c r="E12722" s="1941" t="s">
        <v>2499</v>
      </c>
      <c r="F12722" s="1941"/>
      <c r="G12722" s="360" t="s">
        <v>19</v>
      </c>
      <c r="H12722" s="1218">
        <v>4.08</v>
      </c>
      <c r="V12722" s="1192">
        <v>69</v>
      </c>
    </row>
    <row r="12723" spans="1:22" s="1192" customFormat="1" ht="14.4" x14ac:dyDescent="0.3">
      <c r="A12723" s="1192" t="s">
        <v>6898</v>
      </c>
      <c r="B12723" s="1192" t="s">
        <v>6899</v>
      </c>
      <c r="E12723" s="1741" t="s">
        <v>4608</v>
      </c>
      <c r="F12723" s="1741"/>
      <c r="G12723" s="360" t="s">
        <v>19</v>
      </c>
      <c r="H12723" s="1218">
        <v>2.04</v>
      </c>
      <c r="V12723" s="1192">
        <v>199</v>
      </c>
    </row>
    <row r="12724" spans="1:22" s="1192" customFormat="1" x14ac:dyDescent="0.3">
      <c r="A12724" s="1192" t="s">
        <v>6898</v>
      </c>
      <c r="B12724" s="1192" t="s">
        <v>6899</v>
      </c>
      <c r="E12724" s="1260" t="s">
        <v>143</v>
      </c>
      <c r="F12724" s="554"/>
      <c r="G12724" s="554"/>
      <c r="H12724" s="917"/>
      <c r="K12724" s="1192" t="s">
        <v>6906</v>
      </c>
      <c r="V12724" s="1192">
        <v>12</v>
      </c>
    </row>
    <row r="12725" spans="1:22" s="1192" customFormat="1" ht="14.4" x14ac:dyDescent="0.3">
      <c r="A12725" s="1192" t="s">
        <v>6898</v>
      </c>
      <c r="B12725" s="1192" t="s">
        <v>6899</v>
      </c>
      <c r="E12725" s="1741" t="s">
        <v>2501</v>
      </c>
      <c r="F12725" s="1741"/>
      <c r="G12725" s="1741"/>
      <c r="H12725" s="1741"/>
      <c r="V12725" s="1192">
        <v>203</v>
      </c>
    </row>
    <row r="12726" spans="1:22" s="1192" customFormat="1" ht="14.4" x14ac:dyDescent="0.3">
      <c r="A12726" s="1192" t="s">
        <v>6898</v>
      </c>
      <c r="B12726" s="1192" t="s">
        <v>6899</v>
      </c>
      <c r="E12726" s="1741" t="s">
        <v>2599</v>
      </c>
      <c r="F12726" s="1741"/>
      <c r="G12726" s="1277"/>
      <c r="H12726" s="837">
        <v>1.0467</v>
      </c>
      <c r="V12726" s="1192">
        <v>57</v>
      </c>
    </row>
    <row r="12727" spans="1:22" s="1192" customFormat="1" ht="14.4" x14ac:dyDescent="0.3">
      <c r="A12727" s="1192" t="s">
        <v>6898</v>
      </c>
      <c r="B12727" s="1192" t="s">
        <v>6899</v>
      </c>
      <c r="E12727" s="1741" t="s">
        <v>2600</v>
      </c>
      <c r="F12727" s="1741"/>
      <c r="G12727" s="1277"/>
      <c r="H12727" s="837">
        <v>1.0145</v>
      </c>
      <c r="V12727" s="1192">
        <v>57</v>
      </c>
    </row>
    <row r="12728" spans="1:22" s="1192" customFormat="1" ht="14.4" x14ac:dyDescent="0.3">
      <c r="A12728" s="1192" t="s">
        <v>6898</v>
      </c>
      <c r="B12728" s="1192" t="s">
        <v>6899</v>
      </c>
      <c r="E12728" s="1741" t="s">
        <v>2601</v>
      </c>
      <c r="F12728" s="1741"/>
      <c r="G12728" s="1277"/>
      <c r="H12728" s="837">
        <v>1.0362</v>
      </c>
      <c r="V12728" s="1192">
        <v>55</v>
      </c>
    </row>
    <row r="12729" spans="1:22" s="1192" customFormat="1" ht="14.4" x14ac:dyDescent="0.3">
      <c r="A12729" s="1192" t="s">
        <v>6898</v>
      </c>
      <c r="B12729" s="1192" t="s">
        <v>6899</v>
      </c>
      <c r="E12729" s="1741" t="s">
        <v>2602</v>
      </c>
      <c r="F12729" s="1741"/>
      <c r="G12729" s="1277"/>
      <c r="H12729" s="837">
        <v>1.0044999999999999</v>
      </c>
      <c r="J12729" s="1192" t="s">
        <v>6907</v>
      </c>
      <c r="V12729" s="1192">
        <v>55</v>
      </c>
    </row>
    <row r="12730" spans="1:22" s="1192" customFormat="1" ht="22.8" x14ac:dyDescent="0.3">
      <c r="A12730" s="1192" t="s">
        <v>6898</v>
      </c>
      <c r="B12730" s="1192" t="s">
        <v>6908</v>
      </c>
      <c r="C12730" s="1192" t="s">
        <v>2378</v>
      </c>
      <c r="E12730" s="1752" t="s">
        <v>6898</v>
      </c>
      <c r="F12730" s="1752"/>
      <c r="G12730" s="1752"/>
      <c r="H12730" s="1752"/>
      <c r="I12730" s="1192" t="s">
        <v>603</v>
      </c>
      <c r="J12730" s="1192" t="s">
        <v>6910</v>
      </c>
      <c r="K12730" s="1192" t="s">
        <v>6664</v>
      </c>
      <c r="M12730" s="1192">
        <v>10</v>
      </c>
      <c r="V12730" s="1192">
        <v>39</v>
      </c>
    </row>
    <row r="12731" spans="1:22" s="1192" customFormat="1" ht="22.8" x14ac:dyDescent="0.3">
      <c r="A12731" s="1192" t="s">
        <v>6898</v>
      </c>
      <c r="B12731" s="1192" t="s">
        <v>6908</v>
      </c>
      <c r="C12731" s="1192" t="s">
        <v>2380</v>
      </c>
      <c r="E12731" s="1752" t="s">
        <v>6909</v>
      </c>
      <c r="F12731" s="1752"/>
      <c r="G12731" s="1752"/>
      <c r="H12731" s="1752"/>
    </row>
    <row r="12732" spans="1:22" s="1192" customFormat="1" ht="17.399999999999999" x14ac:dyDescent="0.3">
      <c r="A12732" s="1192" t="s">
        <v>6898</v>
      </c>
      <c r="B12732" s="1192" t="s">
        <v>6908</v>
      </c>
      <c r="C12732" s="1192" t="s">
        <v>2382</v>
      </c>
      <c r="E12732" s="1753" t="s">
        <v>2381</v>
      </c>
      <c r="F12732" s="1753"/>
      <c r="G12732" s="1753"/>
      <c r="H12732" s="1753"/>
      <c r="V12732" s="1192">
        <v>27</v>
      </c>
    </row>
    <row r="12733" spans="1:22" s="1192" customFormat="1" ht="15.6" x14ac:dyDescent="0.3">
      <c r="A12733" s="1192" t="s">
        <v>6898</v>
      </c>
      <c r="B12733" s="1192" t="s">
        <v>6908</v>
      </c>
      <c r="C12733" s="1192" t="s">
        <v>2383</v>
      </c>
      <c r="E12733" s="1754" t="s">
        <v>6482</v>
      </c>
      <c r="F12733" s="1754"/>
      <c r="G12733" s="1754"/>
      <c r="H12733" s="1754"/>
      <c r="S12733" s="1192">
        <v>43952</v>
      </c>
      <c r="V12733" s="1192">
        <v>45</v>
      </c>
    </row>
    <row r="12734" spans="1:22" s="1192" customFormat="1" ht="14.4" x14ac:dyDescent="0.3">
      <c r="A12734" s="1192" t="s">
        <v>6898</v>
      </c>
      <c r="B12734" s="1192" t="s">
        <v>6908</v>
      </c>
      <c r="E12734" s="1755" t="s">
        <v>2384</v>
      </c>
      <c r="F12734" s="1755"/>
      <c r="G12734" s="1755"/>
      <c r="H12734" s="1755"/>
      <c r="V12734" s="1192">
        <v>52</v>
      </c>
    </row>
    <row r="12735" spans="1:22" s="1192" customFormat="1" ht="14.4" x14ac:dyDescent="0.3">
      <c r="A12735" s="1192" t="s">
        <v>6898</v>
      </c>
      <c r="B12735" s="1192" t="s">
        <v>6908</v>
      </c>
      <c r="E12735" s="1755" t="s">
        <v>2385</v>
      </c>
      <c r="F12735" s="1755"/>
      <c r="G12735" s="1755"/>
      <c r="H12735" s="1755"/>
      <c r="V12735" s="1192">
        <v>53</v>
      </c>
    </row>
    <row r="12736" spans="1:22" s="1192" customFormat="1" ht="14.4" x14ac:dyDescent="0.3">
      <c r="A12736" s="1192" t="s">
        <v>6898</v>
      </c>
      <c r="B12736" s="1192" t="s">
        <v>6908</v>
      </c>
      <c r="E12736" s="1772" t="s">
        <v>6662</v>
      </c>
      <c r="F12736" s="1772"/>
      <c r="G12736" s="1772"/>
      <c r="H12736" s="1772"/>
      <c r="K12736" s="1192" t="s">
        <v>6662</v>
      </c>
      <c r="V12736" s="1192">
        <v>12</v>
      </c>
    </row>
    <row r="12737" spans="1:22" s="1192" customFormat="1" ht="14.4" x14ac:dyDescent="0.3">
      <c r="A12737" s="1192" t="s">
        <v>6898</v>
      </c>
      <c r="B12737" s="1192" t="s">
        <v>6908</v>
      </c>
      <c r="E12737" s="1746" t="s">
        <v>427</v>
      </c>
      <c r="F12737" s="1743"/>
      <c r="G12737" s="1743"/>
      <c r="H12737" s="1743"/>
      <c r="K12737" s="1192" t="s">
        <v>2506</v>
      </c>
      <c r="V12737" s="1192">
        <v>34</v>
      </c>
    </row>
    <row r="12738" spans="1:22" s="1192" customFormat="1" ht="14.4" x14ac:dyDescent="0.3">
      <c r="A12738" s="1192" t="s">
        <v>6898</v>
      </c>
      <c r="B12738" s="1192" t="s">
        <v>6908</v>
      </c>
      <c r="E12738" s="1743" t="s">
        <v>6665</v>
      </c>
      <c r="F12738" s="1743"/>
      <c r="G12738" s="1743"/>
      <c r="H12738" s="1743"/>
      <c r="K12738" s="1192" t="s">
        <v>2506</v>
      </c>
      <c r="V12738" s="1192">
        <v>266</v>
      </c>
    </row>
    <row r="12739" spans="1:22" s="1192" customFormat="1" ht="14.4" x14ac:dyDescent="0.3">
      <c r="A12739" s="1192" t="s">
        <v>6898</v>
      </c>
      <c r="B12739" s="1192" t="s">
        <v>6908</v>
      </c>
      <c r="E12739" s="1750" t="s">
        <v>2389</v>
      </c>
      <c r="F12739" s="1743"/>
      <c r="G12739" s="1743"/>
      <c r="H12739" s="1743"/>
      <c r="K12739" s="1192" t="s">
        <v>2390</v>
      </c>
      <c r="V12739" s="1192">
        <v>11</v>
      </c>
    </row>
    <row r="12740" spans="1:22" s="1192" customFormat="1" ht="14.4" x14ac:dyDescent="0.3">
      <c r="A12740" s="1192" t="s">
        <v>6898</v>
      </c>
      <c r="B12740" s="1192" t="s">
        <v>6908</v>
      </c>
      <c r="E12740" s="1743" t="s">
        <v>2391</v>
      </c>
      <c r="F12740" s="1743"/>
      <c r="G12740" s="1743"/>
      <c r="H12740" s="1743"/>
      <c r="K12740" s="1192" t="s">
        <v>2506</v>
      </c>
      <c r="V12740" s="1192">
        <v>280</v>
      </c>
    </row>
    <row r="12741" spans="1:22" s="1192" customFormat="1" ht="14.4" x14ac:dyDescent="0.3">
      <c r="A12741" s="1192" t="s">
        <v>6898</v>
      </c>
      <c r="B12741" s="1192" t="s">
        <v>6908</v>
      </c>
      <c r="E12741" s="1743" t="s">
        <v>2392</v>
      </c>
      <c r="F12741" s="1743"/>
      <c r="G12741" s="1743"/>
      <c r="H12741" s="1743"/>
      <c r="K12741" s="1192" t="s">
        <v>2506</v>
      </c>
      <c r="V12741" s="1192">
        <v>411</v>
      </c>
    </row>
    <row r="12742" spans="1:22" s="1192" customFormat="1" ht="14.4" x14ac:dyDescent="0.3">
      <c r="A12742" s="1192" t="s">
        <v>6898</v>
      </c>
      <c r="B12742" s="1192" t="s">
        <v>6908</v>
      </c>
      <c r="E12742" s="1743" t="s">
        <v>4444</v>
      </c>
      <c r="F12742" s="1743"/>
      <c r="G12742" s="1743"/>
      <c r="H12742" s="1743"/>
      <c r="K12742" s="1192" t="s">
        <v>2506</v>
      </c>
      <c r="V12742" s="1192">
        <v>388</v>
      </c>
    </row>
    <row r="12743" spans="1:22" s="1192" customFormat="1" ht="14.4" x14ac:dyDescent="0.3">
      <c r="A12743" s="1192" t="s">
        <v>6898</v>
      </c>
      <c r="B12743" s="1192" t="s">
        <v>6908</v>
      </c>
      <c r="E12743" s="1743" t="s">
        <v>4500</v>
      </c>
      <c r="F12743" s="1743"/>
      <c r="G12743" s="1743"/>
      <c r="H12743" s="1743"/>
      <c r="K12743" s="1192" t="s">
        <v>2506</v>
      </c>
      <c r="V12743" s="1192">
        <v>247</v>
      </c>
    </row>
    <row r="12744" spans="1:22" s="1192" customFormat="1" ht="14.4" x14ac:dyDescent="0.3">
      <c r="A12744" s="1192" t="s">
        <v>6898</v>
      </c>
      <c r="B12744" s="1192" t="s">
        <v>6908</v>
      </c>
      <c r="E12744" s="1750" t="s">
        <v>2394</v>
      </c>
      <c r="F12744" s="1743"/>
      <c r="G12744" s="1743"/>
      <c r="H12744" s="1743"/>
      <c r="K12744" s="1192" t="s">
        <v>2395</v>
      </c>
      <c r="V12744" s="1192">
        <v>46</v>
      </c>
    </row>
    <row r="12745" spans="1:22" s="1192" customFormat="1" ht="14.4" x14ac:dyDescent="0.3">
      <c r="A12745" s="1192" t="s">
        <v>6898</v>
      </c>
      <c r="B12745" s="1192" t="s">
        <v>6908</v>
      </c>
      <c r="E12745" s="1741" t="s">
        <v>7</v>
      </c>
      <c r="F12745" s="1741"/>
      <c r="G12745" s="524" t="s">
        <v>19</v>
      </c>
      <c r="H12745" s="1218">
        <v>32.06</v>
      </c>
      <c r="K12745" s="1192" t="s">
        <v>2506</v>
      </c>
      <c r="L12745" s="1192" t="s">
        <v>430</v>
      </c>
      <c r="P12745" s="1192" t="s">
        <v>2510</v>
      </c>
      <c r="V12745" s="1192">
        <v>14</v>
      </c>
    </row>
    <row r="12746" spans="1:22" s="1192" customFormat="1" ht="14.4" x14ac:dyDescent="0.3">
      <c r="A12746" s="1192" t="s">
        <v>6898</v>
      </c>
      <c r="B12746" s="1192" t="s">
        <v>6908</v>
      </c>
      <c r="E12746" s="1741" t="s">
        <v>3900</v>
      </c>
      <c r="F12746" s="1741"/>
      <c r="G12746" s="524" t="s">
        <v>19</v>
      </c>
      <c r="H12746" s="1218">
        <v>0.56999999999999995</v>
      </c>
      <c r="K12746" s="1192" t="s">
        <v>2506</v>
      </c>
      <c r="L12746" s="1192" t="s">
        <v>431</v>
      </c>
      <c r="P12746" s="1192" t="s">
        <v>2511</v>
      </c>
      <c r="T12746" s="1192">
        <v>44926</v>
      </c>
      <c r="V12746" s="1192">
        <v>64</v>
      </c>
    </row>
    <row r="12747" spans="1:22" s="1192" customFormat="1" ht="14.4" x14ac:dyDescent="0.3">
      <c r="A12747" s="1192" t="s">
        <v>6898</v>
      </c>
      <c r="B12747" s="1192" t="s">
        <v>6908</v>
      </c>
      <c r="E12747" s="1741" t="s">
        <v>14</v>
      </c>
      <c r="F12747" s="1741"/>
      <c r="G12747" s="524" t="s">
        <v>20</v>
      </c>
      <c r="H12747" s="1219">
        <v>3.3999999999999998E-3</v>
      </c>
      <c r="K12747" s="1192" t="s">
        <v>2506</v>
      </c>
      <c r="L12747" s="1192" t="s">
        <v>431</v>
      </c>
      <c r="P12747" s="1192" t="s">
        <v>2513</v>
      </c>
      <c r="V12747" s="1192">
        <v>24</v>
      </c>
    </row>
    <row r="12748" spans="1:22" s="1192" customFormat="1" ht="14.4" x14ac:dyDescent="0.3">
      <c r="A12748" s="1192" t="s">
        <v>6898</v>
      </c>
      <c r="B12748" s="1192" t="s">
        <v>6908</v>
      </c>
      <c r="E12748" s="1741" t="s">
        <v>6588</v>
      </c>
      <c r="F12748" s="1998"/>
      <c r="G12748" s="524" t="s">
        <v>20</v>
      </c>
      <c r="H12748" s="1219">
        <v>5.9999999999999995E-4</v>
      </c>
      <c r="K12748" s="1192" t="s">
        <v>2506</v>
      </c>
      <c r="L12748" s="1192" t="s">
        <v>430</v>
      </c>
      <c r="P12748" s="1192" t="s">
        <v>2515</v>
      </c>
      <c r="T12748" s="1192">
        <v>44316</v>
      </c>
      <c r="V12748" s="1192">
        <v>135</v>
      </c>
    </row>
    <row r="12749" spans="1:22" s="1192" customFormat="1" ht="14.4" x14ac:dyDescent="0.3">
      <c r="A12749" s="1192" t="s">
        <v>6898</v>
      </c>
      <c r="B12749" s="1192" t="s">
        <v>6908</v>
      </c>
      <c r="E12749" s="1741" t="s">
        <v>6487</v>
      </c>
      <c r="F12749" s="1998"/>
      <c r="G12749" s="524" t="s">
        <v>20</v>
      </c>
      <c r="H12749" s="1219">
        <v>-5.0000000000000001E-4</v>
      </c>
      <c r="K12749" s="1192" t="s">
        <v>2506</v>
      </c>
      <c r="L12749" s="1192" t="s">
        <v>431</v>
      </c>
      <c r="P12749" s="1192" t="s">
        <v>2516</v>
      </c>
      <c r="T12749" s="1192">
        <v>44316</v>
      </c>
      <c r="V12749" s="1192">
        <v>132</v>
      </c>
    </row>
    <row r="12750" spans="1:22" s="1192" customFormat="1" ht="14.4" x14ac:dyDescent="0.3">
      <c r="A12750" s="1192" t="s">
        <v>6898</v>
      </c>
      <c r="B12750" s="1192" t="s">
        <v>6908</v>
      </c>
      <c r="E12750" s="1741" t="s">
        <v>213</v>
      </c>
      <c r="F12750" s="1741"/>
      <c r="G12750" s="524" t="s">
        <v>20</v>
      </c>
      <c r="H12750" s="1219">
        <v>6.0000000000000001E-3</v>
      </c>
      <c r="K12750" s="1192" t="s">
        <v>2506</v>
      </c>
      <c r="L12750" s="1192" t="s">
        <v>432</v>
      </c>
      <c r="P12750" s="1192" t="s">
        <v>2517</v>
      </c>
      <c r="V12750" s="1192">
        <v>47</v>
      </c>
    </row>
    <row r="12751" spans="1:22" s="1192" customFormat="1" ht="14.4" x14ac:dyDescent="0.3">
      <c r="A12751" s="1192" t="s">
        <v>6898</v>
      </c>
      <c r="B12751" s="1192" t="s">
        <v>6908</v>
      </c>
      <c r="E12751" s="1741" t="s">
        <v>209</v>
      </c>
      <c r="F12751" s="1741"/>
      <c r="G12751" s="524" t="s">
        <v>20</v>
      </c>
      <c r="H12751" s="1219">
        <v>5.7000000000000002E-3</v>
      </c>
      <c r="K12751" s="1192" t="s">
        <v>2506</v>
      </c>
      <c r="L12751" s="1192" t="s">
        <v>432</v>
      </c>
      <c r="P12751" s="1192" t="s">
        <v>2518</v>
      </c>
      <c r="V12751" s="1192">
        <v>74</v>
      </c>
    </row>
    <row r="12752" spans="1:22" s="1192" customFormat="1" ht="14.4" x14ac:dyDescent="0.3">
      <c r="A12752" s="1192" t="s">
        <v>6898</v>
      </c>
      <c r="B12752" s="1192" t="s">
        <v>6908</v>
      </c>
      <c r="E12752" s="1750" t="s">
        <v>2405</v>
      </c>
      <c r="F12752" s="1741"/>
      <c r="G12752" s="1277"/>
      <c r="H12752" s="896"/>
      <c r="K12752" s="1192" t="s">
        <v>2406</v>
      </c>
      <c r="V12752" s="1192">
        <v>48</v>
      </c>
    </row>
    <row r="12753" spans="1:22" s="1192" customFormat="1" ht="14.4" x14ac:dyDescent="0.3">
      <c r="A12753" s="1192" t="s">
        <v>6898</v>
      </c>
      <c r="B12753" s="1192" t="s">
        <v>6908</v>
      </c>
      <c r="E12753" s="2044" t="s">
        <v>2033</v>
      </c>
      <c r="F12753" s="1741"/>
      <c r="G12753" s="524" t="s">
        <v>20</v>
      </c>
      <c r="H12753" s="1219">
        <v>3.0000000000000001E-3</v>
      </c>
      <c r="K12753" s="1192" t="s">
        <v>2506</v>
      </c>
      <c r="L12753" s="1192" t="s">
        <v>2374</v>
      </c>
      <c r="P12753" s="1192" t="s">
        <v>2519</v>
      </c>
      <c r="V12753" s="1192">
        <v>55</v>
      </c>
    </row>
    <row r="12754" spans="1:22" s="1192" customFormat="1" ht="14.4" x14ac:dyDescent="0.3">
      <c r="A12754" s="1192" t="s">
        <v>6898</v>
      </c>
      <c r="B12754" s="1192" t="s">
        <v>6908</v>
      </c>
      <c r="E12754" s="1741" t="s">
        <v>2034</v>
      </c>
      <c r="F12754" s="1741"/>
      <c r="G12754" s="524" t="s">
        <v>20</v>
      </c>
      <c r="H12754" s="1219">
        <v>4.0000000000000002E-4</v>
      </c>
      <c r="K12754" s="1192" t="s">
        <v>2506</v>
      </c>
      <c r="L12754" s="1192" t="s">
        <v>2374</v>
      </c>
      <c r="P12754" s="1192" t="s">
        <v>2519</v>
      </c>
      <c r="V12754" s="1192">
        <v>65</v>
      </c>
    </row>
    <row r="12755" spans="1:22" s="1192" customFormat="1" ht="14.4" x14ac:dyDescent="0.3">
      <c r="A12755" s="1192" t="s">
        <v>6898</v>
      </c>
      <c r="B12755" s="1192" t="s">
        <v>6908</v>
      </c>
      <c r="E12755" s="1741" t="s">
        <v>428</v>
      </c>
      <c r="F12755" s="1741"/>
      <c r="G12755" s="524" t="s">
        <v>20</v>
      </c>
      <c r="H12755" s="1219">
        <v>5.0000000000000001E-4</v>
      </c>
      <c r="K12755" s="1192" t="s">
        <v>2506</v>
      </c>
      <c r="L12755" s="1192" t="s">
        <v>2374</v>
      </c>
      <c r="P12755" s="1192" t="s">
        <v>2520</v>
      </c>
      <c r="V12755" s="1192">
        <v>57</v>
      </c>
    </row>
    <row r="12756" spans="1:22" s="1192" customFormat="1" ht="14.4" x14ac:dyDescent="0.3">
      <c r="A12756" s="1192" t="s">
        <v>6898</v>
      </c>
      <c r="B12756" s="1192" t="s">
        <v>6908</v>
      </c>
      <c r="E12756" s="1741" t="s">
        <v>28</v>
      </c>
      <c r="F12756" s="1741"/>
      <c r="G12756" s="524" t="s">
        <v>19</v>
      </c>
      <c r="H12756" s="1218">
        <v>0.25</v>
      </c>
      <c r="K12756" s="1192" t="s">
        <v>2506</v>
      </c>
      <c r="L12756" s="1192" t="s">
        <v>2374</v>
      </c>
      <c r="P12756" s="1192" t="s">
        <v>2521</v>
      </c>
      <c r="V12756" s="1192">
        <v>63</v>
      </c>
    </row>
    <row r="12757" spans="1:22" s="1192" customFormat="1" ht="17.399999999999999" x14ac:dyDescent="0.3">
      <c r="A12757" s="1192" t="s">
        <v>6898</v>
      </c>
      <c r="B12757" s="1192" t="s">
        <v>6908</v>
      </c>
      <c r="E12757" s="1746" t="s">
        <v>2522</v>
      </c>
      <c r="F12757" s="1747"/>
      <c r="G12757" s="1747"/>
      <c r="H12757" s="1747"/>
      <c r="K12757" s="1192" t="s">
        <v>3901</v>
      </c>
      <c r="V12757" s="1192">
        <v>54</v>
      </c>
    </row>
    <row r="12758" spans="1:22" s="1192" customFormat="1" ht="14.4" x14ac:dyDescent="0.3">
      <c r="A12758" s="1192" t="s">
        <v>6898</v>
      </c>
      <c r="B12758" s="1192" t="s">
        <v>6908</v>
      </c>
      <c r="E12758" s="1743" t="s">
        <v>4445</v>
      </c>
      <c r="F12758" s="1743"/>
      <c r="G12758" s="1743"/>
      <c r="H12758" s="1743"/>
      <c r="K12758" s="1192" t="s">
        <v>3901</v>
      </c>
      <c r="V12758" s="1192">
        <v>563</v>
      </c>
    </row>
    <row r="12759" spans="1:22" s="1192" customFormat="1" ht="14.4" x14ac:dyDescent="0.3">
      <c r="A12759" s="1192" t="s">
        <v>6898</v>
      </c>
      <c r="B12759" s="1192" t="s">
        <v>6908</v>
      </c>
      <c r="E12759" s="1750" t="s">
        <v>2389</v>
      </c>
      <c r="F12759" s="1743"/>
      <c r="G12759" s="1743"/>
      <c r="H12759" s="1743"/>
      <c r="K12759" s="1192" t="s">
        <v>2412</v>
      </c>
      <c r="V12759" s="1192">
        <v>11</v>
      </c>
    </row>
    <row r="12760" spans="1:22" s="1192" customFormat="1" ht="14.4" x14ac:dyDescent="0.3">
      <c r="A12760" s="1192" t="s">
        <v>6898</v>
      </c>
      <c r="B12760" s="1192" t="s">
        <v>6908</v>
      </c>
      <c r="E12760" s="1743" t="s">
        <v>2391</v>
      </c>
      <c r="F12760" s="1743"/>
      <c r="G12760" s="1743"/>
      <c r="H12760" s="1743"/>
      <c r="K12760" s="1192" t="s">
        <v>3901</v>
      </c>
      <c r="V12760" s="1192">
        <v>280</v>
      </c>
    </row>
    <row r="12761" spans="1:22" s="1192" customFormat="1" ht="14.4" x14ac:dyDescent="0.3">
      <c r="A12761" s="1192" t="s">
        <v>6898</v>
      </c>
      <c r="B12761" s="1192" t="s">
        <v>6908</v>
      </c>
      <c r="E12761" s="1743" t="s">
        <v>2392</v>
      </c>
      <c r="F12761" s="1743"/>
      <c r="G12761" s="1743"/>
      <c r="H12761" s="1743"/>
      <c r="K12761" s="1192" t="s">
        <v>3901</v>
      </c>
      <c r="V12761" s="1192">
        <v>411</v>
      </c>
    </row>
    <row r="12762" spans="1:22" s="1192" customFormat="1" ht="14.4" x14ac:dyDescent="0.3">
      <c r="A12762" s="1192" t="s">
        <v>6898</v>
      </c>
      <c r="B12762" s="1192" t="s">
        <v>6908</v>
      </c>
      <c r="E12762" s="1743" t="s">
        <v>4444</v>
      </c>
      <c r="F12762" s="1743"/>
      <c r="G12762" s="1743"/>
      <c r="H12762" s="1743"/>
      <c r="K12762" s="1192" t="s">
        <v>3901</v>
      </c>
      <c r="V12762" s="1192">
        <v>388</v>
      </c>
    </row>
    <row r="12763" spans="1:22" s="1192" customFormat="1" ht="14.4" x14ac:dyDescent="0.3">
      <c r="A12763" s="1192" t="s">
        <v>6898</v>
      </c>
      <c r="B12763" s="1192" t="s">
        <v>6908</v>
      </c>
      <c r="E12763" s="1743" t="s">
        <v>4500</v>
      </c>
      <c r="F12763" s="1743"/>
      <c r="G12763" s="1743"/>
      <c r="H12763" s="1743"/>
      <c r="K12763" s="1192" t="s">
        <v>3901</v>
      </c>
      <c r="V12763" s="1192">
        <v>247</v>
      </c>
    </row>
    <row r="12764" spans="1:22" s="1192" customFormat="1" ht="14.4" x14ac:dyDescent="0.3">
      <c r="A12764" s="1192" t="s">
        <v>6898</v>
      </c>
      <c r="B12764" s="1192" t="s">
        <v>6908</v>
      </c>
      <c r="E12764" s="1750" t="s">
        <v>2394</v>
      </c>
      <c r="F12764" s="1743"/>
      <c r="G12764" s="1743"/>
      <c r="H12764" s="1743"/>
      <c r="K12764" s="1192" t="s">
        <v>2413</v>
      </c>
      <c r="V12764" s="1192">
        <v>46</v>
      </c>
    </row>
    <row r="12765" spans="1:22" s="1192" customFormat="1" ht="14.4" x14ac:dyDescent="0.3">
      <c r="A12765" s="1192" t="s">
        <v>6898</v>
      </c>
      <c r="B12765" s="1192" t="s">
        <v>6908</v>
      </c>
      <c r="E12765" s="1741" t="s">
        <v>7</v>
      </c>
      <c r="F12765" s="1741"/>
      <c r="G12765" s="524" t="s">
        <v>19</v>
      </c>
      <c r="H12765" s="1218">
        <v>22.87</v>
      </c>
      <c r="K12765" s="1192" t="s">
        <v>3901</v>
      </c>
      <c r="L12765" s="1192" t="s">
        <v>430</v>
      </c>
      <c r="P12765" s="1192" t="s">
        <v>3902</v>
      </c>
      <c r="V12765" s="1192">
        <v>14</v>
      </c>
    </row>
    <row r="12766" spans="1:22" s="1192" customFormat="1" ht="14.4" x14ac:dyDescent="0.3">
      <c r="A12766" s="1192" t="s">
        <v>6898</v>
      </c>
      <c r="B12766" s="1192" t="s">
        <v>6908</v>
      </c>
      <c r="E12766" s="1741" t="s">
        <v>3900</v>
      </c>
      <c r="F12766" s="1741"/>
      <c r="G12766" s="524" t="s">
        <v>19</v>
      </c>
      <c r="H12766" s="1218">
        <v>0.56999999999999995</v>
      </c>
      <c r="K12766" s="1192" t="s">
        <v>3901</v>
      </c>
      <c r="L12766" s="1192" t="s">
        <v>431</v>
      </c>
      <c r="P12766" s="1192" t="s">
        <v>3903</v>
      </c>
      <c r="T12766" s="1192">
        <v>44926</v>
      </c>
      <c r="V12766" s="1192">
        <v>64</v>
      </c>
    </row>
    <row r="12767" spans="1:22" s="1192" customFormat="1" ht="14.4" x14ac:dyDescent="0.3">
      <c r="A12767" s="1192" t="s">
        <v>6898</v>
      </c>
      <c r="B12767" s="1192" t="s">
        <v>6908</v>
      </c>
      <c r="E12767" s="1741" t="s">
        <v>80</v>
      </c>
      <c r="F12767" s="1741"/>
      <c r="G12767" s="524" t="s">
        <v>20</v>
      </c>
      <c r="H12767" s="1219">
        <v>1.4500000000000001E-2</v>
      </c>
      <c r="K12767" s="1192" t="s">
        <v>3901</v>
      </c>
      <c r="L12767" s="1192" t="s">
        <v>430</v>
      </c>
      <c r="P12767" s="1192" t="s">
        <v>3904</v>
      </c>
      <c r="V12767" s="1192">
        <v>28</v>
      </c>
    </row>
    <row r="12768" spans="1:22" s="1192" customFormat="1" ht="14.4" x14ac:dyDescent="0.3">
      <c r="A12768" s="1192" t="s">
        <v>6898</v>
      </c>
      <c r="B12768" s="1192" t="s">
        <v>6908</v>
      </c>
      <c r="E12768" s="1741" t="s">
        <v>14</v>
      </c>
      <c r="F12768" s="1741"/>
      <c r="G12768" s="524" t="s">
        <v>20</v>
      </c>
      <c r="H12768" s="1219">
        <v>3.0999999999999999E-3</v>
      </c>
      <c r="K12768" s="1192" t="s">
        <v>3901</v>
      </c>
      <c r="L12768" s="1192" t="s">
        <v>431</v>
      </c>
      <c r="P12768" s="1192" t="s">
        <v>3905</v>
      </c>
      <c r="V12768" s="1192">
        <v>24</v>
      </c>
    </row>
    <row r="12769" spans="1:22" s="1192" customFormat="1" ht="14.4" x14ac:dyDescent="0.3">
      <c r="A12769" s="1192" t="s">
        <v>6898</v>
      </c>
      <c r="B12769" s="1192" t="s">
        <v>6908</v>
      </c>
      <c r="E12769" s="1741" t="s">
        <v>6588</v>
      </c>
      <c r="F12769" s="1998"/>
      <c r="G12769" s="524" t="s">
        <v>20</v>
      </c>
      <c r="H12769" s="1219">
        <v>1.1999999999999999E-3</v>
      </c>
      <c r="K12769" s="1192" t="s">
        <v>3901</v>
      </c>
      <c r="L12769" s="1192" t="s">
        <v>430</v>
      </c>
      <c r="P12769" s="1192" t="s">
        <v>4000</v>
      </c>
      <c r="T12769" s="1192">
        <v>44316</v>
      </c>
      <c r="V12769" s="1192">
        <v>135</v>
      </c>
    </row>
    <row r="12770" spans="1:22" s="1192" customFormat="1" ht="14.4" x14ac:dyDescent="0.3">
      <c r="A12770" s="1192" t="s">
        <v>6898</v>
      </c>
      <c r="B12770" s="1192" t="s">
        <v>6908</v>
      </c>
      <c r="E12770" s="1741" t="s">
        <v>6487</v>
      </c>
      <c r="F12770" s="1998"/>
      <c r="G12770" s="524" t="s">
        <v>20</v>
      </c>
      <c r="H12770" s="1219">
        <v>-5.0000000000000001E-4</v>
      </c>
      <c r="K12770" s="1192" t="s">
        <v>3901</v>
      </c>
      <c r="L12770" s="1192" t="s">
        <v>431</v>
      </c>
      <c r="P12770" s="1192" t="s">
        <v>3911</v>
      </c>
      <c r="T12770" s="1192">
        <v>44316</v>
      </c>
      <c r="V12770" s="1192">
        <v>132</v>
      </c>
    </row>
    <row r="12771" spans="1:22" s="1192" customFormat="1" ht="14.4" x14ac:dyDescent="0.3">
      <c r="A12771" s="1192" t="s">
        <v>6898</v>
      </c>
      <c r="B12771" s="1192" t="s">
        <v>6908</v>
      </c>
      <c r="E12771" s="1741" t="s">
        <v>213</v>
      </c>
      <c r="F12771" s="1741"/>
      <c r="G12771" s="524" t="s">
        <v>20</v>
      </c>
      <c r="H12771" s="1219">
        <v>5.5999999999999999E-3</v>
      </c>
      <c r="K12771" s="1192" t="s">
        <v>3901</v>
      </c>
      <c r="L12771" s="1192" t="s">
        <v>432</v>
      </c>
      <c r="P12771" s="1192" t="s">
        <v>3906</v>
      </c>
      <c r="V12771" s="1192">
        <v>47</v>
      </c>
    </row>
    <row r="12772" spans="1:22" s="1192" customFormat="1" ht="14.4" x14ac:dyDescent="0.3">
      <c r="A12772" s="1192" t="s">
        <v>6898</v>
      </c>
      <c r="B12772" s="1192" t="s">
        <v>6908</v>
      </c>
      <c r="E12772" s="1741" t="s">
        <v>209</v>
      </c>
      <c r="F12772" s="1741"/>
      <c r="G12772" s="524" t="s">
        <v>20</v>
      </c>
      <c r="H12772" s="1219">
        <v>5.4000000000000003E-3</v>
      </c>
      <c r="K12772" s="1192" t="s">
        <v>3901</v>
      </c>
      <c r="L12772" s="1192" t="s">
        <v>432</v>
      </c>
      <c r="P12772" s="1192" t="s">
        <v>3907</v>
      </c>
      <c r="V12772" s="1192">
        <v>74</v>
      </c>
    </row>
    <row r="12773" spans="1:22" s="1192" customFormat="1" ht="14.4" x14ac:dyDescent="0.3">
      <c r="A12773" s="1192" t="s">
        <v>6898</v>
      </c>
      <c r="B12773" s="1192" t="s">
        <v>6908</v>
      </c>
      <c r="E12773" s="1750" t="s">
        <v>2405</v>
      </c>
      <c r="F12773" s="1741"/>
      <c r="G12773" s="1277"/>
      <c r="H12773" s="896"/>
      <c r="K12773" s="1192" t="s">
        <v>2418</v>
      </c>
      <c r="V12773" s="1192">
        <v>48</v>
      </c>
    </row>
    <row r="12774" spans="1:22" s="1192" customFormat="1" ht="14.4" x14ac:dyDescent="0.3">
      <c r="A12774" s="1192" t="s">
        <v>6898</v>
      </c>
      <c r="B12774" s="1192" t="s">
        <v>6908</v>
      </c>
      <c r="E12774" s="1741" t="s">
        <v>2033</v>
      </c>
      <c r="F12774" s="1741"/>
      <c r="G12774" s="524" t="s">
        <v>20</v>
      </c>
      <c r="H12774" s="1219">
        <v>3.0000000000000001E-3</v>
      </c>
      <c r="K12774" s="1192" t="s">
        <v>3901</v>
      </c>
      <c r="L12774" s="1192" t="s">
        <v>2374</v>
      </c>
      <c r="P12774" s="1192" t="s">
        <v>3908</v>
      </c>
      <c r="V12774" s="1192">
        <v>55</v>
      </c>
    </row>
    <row r="12775" spans="1:22" s="1192" customFormat="1" ht="14.4" x14ac:dyDescent="0.3">
      <c r="A12775" s="1192" t="s">
        <v>6898</v>
      </c>
      <c r="B12775" s="1192" t="s">
        <v>6908</v>
      </c>
      <c r="E12775" s="1741" t="s">
        <v>2034</v>
      </c>
      <c r="F12775" s="1741"/>
      <c r="G12775" s="524" t="s">
        <v>20</v>
      </c>
      <c r="H12775" s="1219">
        <v>4.0000000000000002E-4</v>
      </c>
      <c r="K12775" s="1192" t="s">
        <v>3901</v>
      </c>
      <c r="L12775" s="1192" t="s">
        <v>2374</v>
      </c>
      <c r="P12775" s="1192" t="s">
        <v>3908</v>
      </c>
      <c r="V12775" s="1192">
        <v>65</v>
      </c>
    </row>
    <row r="12776" spans="1:22" s="1192" customFormat="1" ht="14.4" x14ac:dyDescent="0.3">
      <c r="A12776" s="1192" t="s">
        <v>6898</v>
      </c>
      <c r="B12776" s="1192" t="s">
        <v>6908</v>
      </c>
      <c r="E12776" s="1741" t="s">
        <v>428</v>
      </c>
      <c r="F12776" s="1741"/>
      <c r="G12776" s="524" t="s">
        <v>20</v>
      </c>
      <c r="H12776" s="1219">
        <v>5.0000000000000001E-4</v>
      </c>
      <c r="K12776" s="1192" t="s">
        <v>3901</v>
      </c>
      <c r="L12776" s="1192" t="s">
        <v>2374</v>
      </c>
      <c r="P12776" s="1192" t="s">
        <v>3909</v>
      </c>
      <c r="V12776" s="1192">
        <v>57</v>
      </c>
    </row>
    <row r="12777" spans="1:22" s="1192" customFormat="1" ht="14.4" x14ac:dyDescent="0.3">
      <c r="A12777" s="1192" t="s">
        <v>6898</v>
      </c>
      <c r="B12777" s="1192" t="s">
        <v>6908</v>
      </c>
      <c r="E12777" s="1741" t="s">
        <v>28</v>
      </c>
      <c r="F12777" s="1741"/>
      <c r="G12777" s="524" t="s">
        <v>19</v>
      </c>
      <c r="H12777" s="1218">
        <v>0.25</v>
      </c>
      <c r="K12777" s="1192" t="s">
        <v>3901</v>
      </c>
      <c r="L12777" s="1192" t="s">
        <v>2374</v>
      </c>
      <c r="P12777" s="1192" t="s">
        <v>3910</v>
      </c>
      <c r="V12777" s="1192">
        <v>63</v>
      </c>
    </row>
    <row r="12778" spans="1:22" s="1192" customFormat="1" ht="17.399999999999999" x14ac:dyDescent="0.3">
      <c r="A12778" s="1192" t="s">
        <v>6898</v>
      </c>
      <c r="B12778" s="1192" t="s">
        <v>6908</v>
      </c>
      <c r="E12778" s="1746" t="s">
        <v>2524</v>
      </c>
      <c r="F12778" s="1747"/>
      <c r="G12778" s="1747"/>
      <c r="H12778" s="1747"/>
      <c r="K12778" s="1192" t="s">
        <v>3937</v>
      </c>
      <c r="V12778" s="1192">
        <v>51</v>
      </c>
    </row>
    <row r="12779" spans="1:22" s="1192" customFormat="1" ht="14.4" x14ac:dyDescent="0.3">
      <c r="A12779" s="1192" t="s">
        <v>6898</v>
      </c>
      <c r="B12779" s="1192" t="s">
        <v>6908</v>
      </c>
      <c r="E12779" s="1743" t="s">
        <v>4446</v>
      </c>
      <c r="F12779" s="1743"/>
      <c r="G12779" s="1743"/>
      <c r="H12779" s="1743"/>
      <c r="K12779" s="1192" t="s">
        <v>3937</v>
      </c>
      <c r="V12779" s="1192">
        <v>412</v>
      </c>
    </row>
    <row r="12780" spans="1:22" s="1192" customFormat="1" ht="14.4" x14ac:dyDescent="0.3">
      <c r="A12780" s="1192" t="s">
        <v>6898</v>
      </c>
      <c r="B12780" s="1192" t="s">
        <v>6908</v>
      </c>
      <c r="E12780" s="1750" t="s">
        <v>2389</v>
      </c>
      <c r="F12780" s="1743"/>
      <c r="G12780" s="1743"/>
      <c r="H12780" s="1743"/>
      <c r="K12780" s="1192" t="s">
        <v>2422</v>
      </c>
      <c r="V12780" s="1192">
        <v>11</v>
      </c>
    </row>
    <row r="12781" spans="1:22" s="1192" customFormat="1" ht="14.4" x14ac:dyDescent="0.3">
      <c r="A12781" s="1192" t="s">
        <v>6898</v>
      </c>
      <c r="B12781" s="1192" t="s">
        <v>6908</v>
      </c>
      <c r="E12781" s="1743" t="s">
        <v>2391</v>
      </c>
      <c r="F12781" s="1743"/>
      <c r="G12781" s="1743"/>
      <c r="H12781" s="1743"/>
      <c r="K12781" s="1192" t="s">
        <v>3937</v>
      </c>
      <c r="V12781" s="1192">
        <v>280</v>
      </c>
    </row>
    <row r="12782" spans="1:22" s="1192" customFormat="1" ht="14.4" x14ac:dyDescent="0.3">
      <c r="A12782" s="1192" t="s">
        <v>6898</v>
      </c>
      <c r="B12782" s="1192" t="s">
        <v>6908</v>
      </c>
      <c r="E12782" s="1743" t="s">
        <v>2392</v>
      </c>
      <c r="F12782" s="1743"/>
      <c r="G12782" s="1743"/>
      <c r="H12782" s="1743"/>
      <c r="K12782" s="1192" t="s">
        <v>3937</v>
      </c>
      <c r="V12782" s="1192">
        <v>411</v>
      </c>
    </row>
    <row r="12783" spans="1:22" s="1192" customFormat="1" ht="14.4" x14ac:dyDescent="0.3">
      <c r="A12783" s="1192" t="s">
        <v>6898</v>
      </c>
      <c r="B12783" s="1192" t="s">
        <v>6908</v>
      </c>
      <c r="E12783" s="1743" t="s">
        <v>4444</v>
      </c>
      <c r="F12783" s="1743"/>
      <c r="G12783" s="1743"/>
      <c r="H12783" s="1743"/>
      <c r="K12783" s="1192" t="s">
        <v>3937</v>
      </c>
      <c r="V12783" s="1192">
        <v>388</v>
      </c>
    </row>
    <row r="12784" spans="1:22" s="1192" customFormat="1" ht="14.4" x14ac:dyDescent="0.3">
      <c r="A12784" s="1192" t="s">
        <v>6898</v>
      </c>
      <c r="B12784" s="1192" t="s">
        <v>6908</v>
      </c>
      <c r="E12784" s="1743" t="s">
        <v>4503</v>
      </c>
      <c r="F12784" s="1743"/>
      <c r="G12784" s="1743"/>
      <c r="H12784" s="1743"/>
      <c r="K12784" s="1192" t="s">
        <v>3937</v>
      </c>
      <c r="V12784" s="1192">
        <v>677</v>
      </c>
    </row>
    <row r="12785" spans="1:22" s="1192" customFormat="1" ht="14.4" x14ac:dyDescent="0.3">
      <c r="A12785" s="1192" t="s">
        <v>6898</v>
      </c>
      <c r="B12785" s="1192" t="s">
        <v>6908</v>
      </c>
      <c r="E12785" s="1743" t="s">
        <v>4644</v>
      </c>
      <c r="F12785" s="1743"/>
      <c r="G12785" s="1743"/>
      <c r="H12785" s="1743"/>
      <c r="K12785" s="1192" t="s">
        <v>3937</v>
      </c>
      <c r="V12785" s="1192">
        <v>693</v>
      </c>
    </row>
    <row r="12786" spans="1:22" s="1192" customFormat="1" ht="14.4" x14ac:dyDescent="0.3">
      <c r="A12786" s="1192" t="s">
        <v>6898</v>
      </c>
      <c r="B12786" s="1192" t="s">
        <v>6908</v>
      </c>
      <c r="E12786" s="1743" t="s">
        <v>4500</v>
      </c>
      <c r="F12786" s="1743"/>
      <c r="G12786" s="1743"/>
      <c r="H12786" s="1743"/>
      <c r="K12786" s="1192" t="s">
        <v>3937</v>
      </c>
      <c r="V12786" s="1192">
        <v>247</v>
      </c>
    </row>
    <row r="12787" spans="1:22" s="1192" customFormat="1" ht="14.4" x14ac:dyDescent="0.3">
      <c r="A12787" s="1192" t="s">
        <v>6898</v>
      </c>
      <c r="B12787" s="1192" t="s">
        <v>6908</v>
      </c>
      <c r="E12787" s="1750" t="s">
        <v>2394</v>
      </c>
      <c r="F12787" s="1743"/>
      <c r="G12787" s="1743"/>
      <c r="H12787" s="1743"/>
      <c r="K12787" s="1192" t="s">
        <v>2423</v>
      </c>
      <c r="V12787" s="1192">
        <v>46</v>
      </c>
    </row>
    <row r="12788" spans="1:22" s="1192" customFormat="1" ht="14.4" x14ac:dyDescent="0.3">
      <c r="A12788" s="1192" t="s">
        <v>6898</v>
      </c>
      <c r="B12788" s="1192" t="s">
        <v>6908</v>
      </c>
      <c r="E12788" s="1741" t="s">
        <v>7</v>
      </c>
      <c r="F12788" s="1741"/>
      <c r="G12788" s="524" t="s">
        <v>19</v>
      </c>
      <c r="H12788" s="1218">
        <v>127.21</v>
      </c>
      <c r="K12788" s="1192" t="s">
        <v>3937</v>
      </c>
      <c r="L12788" s="1192" t="s">
        <v>430</v>
      </c>
      <c r="P12788" s="1192" t="s">
        <v>3938</v>
      </c>
      <c r="V12788" s="1192">
        <v>14</v>
      </c>
    </row>
    <row r="12789" spans="1:22" s="1192" customFormat="1" ht="14.4" x14ac:dyDescent="0.3">
      <c r="A12789" s="1192" t="s">
        <v>6898</v>
      </c>
      <c r="B12789" s="1192" t="s">
        <v>6908</v>
      </c>
      <c r="E12789" s="1741" t="s">
        <v>80</v>
      </c>
      <c r="F12789" s="1741"/>
      <c r="G12789" s="524" t="s">
        <v>29</v>
      </c>
      <c r="H12789" s="1219">
        <v>3.0767000000000002</v>
      </c>
      <c r="K12789" s="1192" t="s">
        <v>3937</v>
      </c>
      <c r="L12789" s="1192" t="s">
        <v>430</v>
      </c>
      <c r="P12789" s="1192" t="s">
        <v>3939</v>
      </c>
      <c r="V12789" s="1192">
        <v>28</v>
      </c>
    </row>
    <row r="12790" spans="1:22" s="1192" customFormat="1" ht="14.4" x14ac:dyDescent="0.3">
      <c r="A12790" s="1192" t="s">
        <v>6898</v>
      </c>
      <c r="B12790" s="1192" t="s">
        <v>6908</v>
      </c>
      <c r="E12790" s="1741" t="s">
        <v>14</v>
      </c>
      <c r="F12790" s="1741"/>
      <c r="G12790" s="524" t="s">
        <v>29</v>
      </c>
      <c r="H12790" s="1219">
        <v>1.1189</v>
      </c>
      <c r="K12790" s="1192" t="s">
        <v>3937</v>
      </c>
      <c r="L12790" s="1192" t="s">
        <v>431</v>
      </c>
      <c r="P12790" s="1192" t="s">
        <v>3940</v>
      </c>
      <c r="V12790" s="1192">
        <v>24</v>
      </c>
    </row>
    <row r="12791" spans="1:22" s="1192" customFormat="1" ht="14.4" x14ac:dyDescent="0.3">
      <c r="A12791" s="1192" t="s">
        <v>6898</v>
      </c>
      <c r="B12791" s="1192" t="s">
        <v>6908</v>
      </c>
      <c r="E12791" s="1741" t="s">
        <v>6588</v>
      </c>
      <c r="F12791" s="1998"/>
      <c r="G12791" s="524" t="s">
        <v>29</v>
      </c>
      <c r="H12791" s="1219">
        <v>2.2200000000000001E-2</v>
      </c>
      <c r="K12791" s="1192" t="s">
        <v>3937</v>
      </c>
      <c r="L12791" s="1192" t="s">
        <v>430</v>
      </c>
      <c r="P12791" s="1192" t="s">
        <v>4090</v>
      </c>
      <c r="T12791" s="1192">
        <v>44316</v>
      </c>
      <c r="V12791" s="1192">
        <v>135</v>
      </c>
    </row>
    <row r="12792" spans="1:22" s="1192" customFormat="1" ht="14.4" x14ac:dyDescent="0.3">
      <c r="A12792" s="1192" t="s">
        <v>6898</v>
      </c>
      <c r="B12792" s="1192" t="s">
        <v>6908</v>
      </c>
      <c r="E12792" s="1741" t="s">
        <v>6487</v>
      </c>
      <c r="F12792" s="1998"/>
      <c r="G12792" s="524" t="s">
        <v>29</v>
      </c>
      <c r="H12792" s="1219">
        <v>-9.8100000000000007E-2</v>
      </c>
      <c r="K12792" s="1192" t="s">
        <v>3937</v>
      </c>
      <c r="L12792" s="1192" t="s">
        <v>431</v>
      </c>
      <c r="P12792" s="1192" t="s">
        <v>4091</v>
      </c>
      <c r="T12792" s="1192">
        <v>44316</v>
      </c>
      <c r="V12792" s="1192">
        <v>132</v>
      </c>
    </row>
    <row r="12793" spans="1:22" s="1192" customFormat="1" ht="14.4" x14ac:dyDescent="0.3">
      <c r="A12793" s="1192" t="s">
        <v>6898</v>
      </c>
      <c r="B12793" s="1192" t="s">
        <v>6908</v>
      </c>
      <c r="E12793" s="1741" t="s">
        <v>213</v>
      </c>
      <c r="F12793" s="1741"/>
      <c r="G12793" s="524" t="s">
        <v>29</v>
      </c>
      <c r="H12793" s="1219">
        <v>2.5301999999999998</v>
      </c>
      <c r="K12793" s="1192" t="s">
        <v>3937</v>
      </c>
      <c r="L12793" s="1192" t="s">
        <v>432</v>
      </c>
      <c r="P12793" s="1192" t="s">
        <v>3941</v>
      </c>
      <c r="V12793" s="1192">
        <v>47</v>
      </c>
    </row>
    <row r="12794" spans="1:22" s="1192" customFormat="1" ht="14.4" x14ac:dyDescent="0.3">
      <c r="A12794" s="1192" t="s">
        <v>6898</v>
      </c>
      <c r="B12794" s="1192" t="s">
        <v>6908</v>
      </c>
      <c r="E12794" s="1741" t="s">
        <v>209</v>
      </c>
      <c r="F12794" s="1741"/>
      <c r="G12794" s="524" t="s">
        <v>29</v>
      </c>
      <c r="H12794" s="1219">
        <v>1.9319</v>
      </c>
      <c r="K12794" s="1192" t="s">
        <v>3937</v>
      </c>
      <c r="L12794" s="1192" t="s">
        <v>432</v>
      </c>
      <c r="P12794" s="1192" t="s">
        <v>3942</v>
      </c>
      <c r="V12794" s="1192">
        <v>74</v>
      </c>
    </row>
    <row r="12795" spans="1:22" s="1192" customFormat="1" ht="14.4" x14ac:dyDescent="0.3">
      <c r="A12795" s="1192" t="s">
        <v>6898</v>
      </c>
      <c r="B12795" s="1192" t="s">
        <v>6908</v>
      </c>
      <c r="E12795" s="1750" t="s">
        <v>2405</v>
      </c>
      <c r="F12795" s="1741"/>
      <c r="G12795" s="1277"/>
      <c r="H12795" s="896"/>
      <c r="K12795" s="1192" t="s">
        <v>2526</v>
      </c>
      <c r="V12795" s="1192">
        <v>48</v>
      </c>
    </row>
    <row r="12796" spans="1:22" s="1192" customFormat="1" ht="14.4" x14ac:dyDescent="0.3">
      <c r="A12796" s="1192" t="s">
        <v>6898</v>
      </c>
      <c r="B12796" s="1192" t="s">
        <v>6908</v>
      </c>
      <c r="E12796" s="1741" t="s">
        <v>2033</v>
      </c>
      <c r="F12796" s="1741"/>
      <c r="G12796" s="524" t="s">
        <v>20</v>
      </c>
      <c r="H12796" s="1219">
        <v>3.0000000000000001E-3</v>
      </c>
      <c r="K12796" s="1192" t="s">
        <v>3937</v>
      </c>
      <c r="L12796" s="1192" t="s">
        <v>2374</v>
      </c>
      <c r="P12796" s="1192" t="s">
        <v>3943</v>
      </c>
      <c r="V12796" s="1192">
        <v>55</v>
      </c>
    </row>
    <row r="12797" spans="1:22" s="1192" customFormat="1" ht="14.4" x14ac:dyDescent="0.3">
      <c r="A12797" s="1192" t="s">
        <v>6898</v>
      </c>
      <c r="B12797" s="1192" t="s">
        <v>6908</v>
      </c>
      <c r="E12797" s="1741" t="s">
        <v>2034</v>
      </c>
      <c r="F12797" s="1741"/>
      <c r="G12797" s="524" t="s">
        <v>20</v>
      </c>
      <c r="H12797" s="1219">
        <v>4.0000000000000002E-4</v>
      </c>
      <c r="K12797" s="1192" t="s">
        <v>3937</v>
      </c>
      <c r="L12797" s="1192" t="s">
        <v>2374</v>
      </c>
      <c r="P12797" s="1192" t="s">
        <v>3943</v>
      </c>
      <c r="V12797" s="1192">
        <v>65</v>
      </c>
    </row>
    <row r="12798" spans="1:22" s="1192" customFormat="1" ht="14.4" x14ac:dyDescent="0.3">
      <c r="A12798" s="1192" t="s">
        <v>6898</v>
      </c>
      <c r="B12798" s="1192" t="s">
        <v>6908</v>
      </c>
      <c r="E12798" s="1741" t="s">
        <v>428</v>
      </c>
      <c r="F12798" s="1741"/>
      <c r="G12798" s="524" t="s">
        <v>20</v>
      </c>
      <c r="H12798" s="1219">
        <v>5.0000000000000001E-4</v>
      </c>
      <c r="K12798" s="1192" t="s">
        <v>3937</v>
      </c>
      <c r="L12798" s="1192" t="s">
        <v>2374</v>
      </c>
      <c r="P12798" s="1192" t="s">
        <v>3944</v>
      </c>
      <c r="V12798" s="1192">
        <v>57</v>
      </c>
    </row>
    <row r="12799" spans="1:22" s="1192" customFormat="1" ht="14.4" x14ac:dyDescent="0.3">
      <c r="A12799" s="1192" t="s">
        <v>6898</v>
      </c>
      <c r="B12799" s="1192" t="s">
        <v>6908</v>
      </c>
      <c r="E12799" s="1741" t="s">
        <v>28</v>
      </c>
      <c r="F12799" s="1741"/>
      <c r="G12799" s="524" t="s">
        <v>19</v>
      </c>
      <c r="H12799" s="1218">
        <v>0.25</v>
      </c>
      <c r="K12799" s="1192" t="s">
        <v>3937</v>
      </c>
      <c r="L12799" s="1192" t="s">
        <v>2374</v>
      </c>
      <c r="P12799" s="1192" t="s">
        <v>3945</v>
      </c>
      <c r="V12799" s="1192">
        <v>63</v>
      </c>
    </row>
    <row r="12800" spans="1:22" s="1192" customFormat="1" ht="17.399999999999999" x14ac:dyDescent="0.3">
      <c r="A12800" s="1192" t="s">
        <v>6898</v>
      </c>
      <c r="B12800" s="1192" t="s">
        <v>6908</v>
      </c>
      <c r="E12800" s="1746" t="s">
        <v>2527</v>
      </c>
      <c r="F12800" s="1747"/>
      <c r="G12800" s="1747"/>
      <c r="H12800" s="1747"/>
      <c r="K12800" s="1192" t="s">
        <v>3946</v>
      </c>
      <c r="V12800" s="1192">
        <v>56</v>
      </c>
    </row>
    <row r="12801" spans="1:22" s="1192" customFormat="1" ht="14.4" x14ac:dyDescent="0.3">
      <c r="A12801" s="1192" t="s">
        <v>6898</v>
      </c>
      <c r="B12801" s="1192" t="s">
        <v>6908</v>
      </c>
      <c r="E12801" s="1743" t="s">
        <v>4592</v>
      </c>
      <c r="F12801" s="1743"/>
      <c r="G12801" s="1743"/>
      <c r="H12801" s="1743"/>
      <c r="K12801" s="1192" t="s">
        <v>3946</v>
      </c>
      <c r="V12801" s="1192">
        <v>425</v>
      </c>
    </row>
    <row r="12802" spans="1:22" s="1192" customFormat="1" ht="14.4" x14ac:dyDescent="0.3">
      <c r="A12802" s="1192" t="s">
        <v>6898</v>
      </c>
      <c r="B12802" s="1192" t="s">
        <v>6908</v>
      </c>
      <c r="E12802" s="1750" t="s">
        <v>2389</v>
      </c>
      <c r="F12802" s="1743"/>
      <c r="G12802" s="1743"/>
      <c r="H12802" s="1743"/>
      <c r="K12802" s="1192" t="s">
        <v>2529</v>
      </c>
      <c r="V12802" s="1192">
        <v>11</v>
      </c>
    </row>
    <row r="12803" spans="1:22" s="1192" customFormat="1" ht="14.4" x14ac:dyDescent="0.3">
      <c r="A12803" s="1192" t="s">
        <v>6898</v>
      </c>
      <c r="B12803" s="1192" t="s">
        <v>6908</v>
      </c>
      <c r="E12803" s="1743" t="s">
        <v>2391</v>
      </c>
      <c r="F12803" s="1743"/>
      <c r="G12803" s="1743"/>
      <c r="H12803" s="1743"/>
      <c r="K12803" s="1192" t="s">
        <v>3946</v>
      </c>
      <c r="V12803" s="1192">
        <v>280</v>
      </c>
    </row>
    <row r="12804" spans="1:22" s="1192" customFormat="1" ht="14.4" x14ac:dyDescent="0.3">
      <c r="A12804" s="1192" t="s">
        <v>6898</v>
      </c>
      <c r="B12804" s="1192" t="s">
        <v>6908</v>
      </c>
      <c r="E12804" s="1743" t="s">
        <v>2392</v>
      </c>
      <c r="F12804" s="1743"/>
      <c r="G12804" s="1743"/>
      <c r="H12804" s="1743"/>
      <c r="K12804" s="1192" t="s">
        <v>3946</v>
      </c>
      <c r="V12804" s="1192">
        <v>411</v>
      </c>
    </row>
    <row r="12805" spans="1:22" s="1192" customFormat="1" ht="14.4" x14ac:dyDescent="0.3">
      <c r="A12805" s="1192" t="s">
        <v>6898</v>
      </c>
      <c r="B12805" s="1192" t="s">
        <v>6908</v>
      </c>
      <c r="E12805" s="1743" t="s">
        <v>4444</v>
      </c>
      <c r="F12805" s="1743"/>
      <c r="G12805" s="1743"/>
      <c r="H12805" s="1743"/>
      <c r="K12805" s="1192" t="s">
        <v>3946</v>
      </c>
      <c r="V12805" s="1192">
        <v>388</v>
      </c>
    </row>
    <row r="12806" spans="1:22" s="1192" customFormat="1" ht="14.4" x14ac:dyDescent="0.3">
      <c r="A12806" s="1192" t="s">
        <v>6898</v>
      </c>
      <c r="B12806" s="1192" t="s">
        <v>6908</v>
      </c>
      <c r="E12806" s="1743" t="s">
        <v>4503</v>
      </c>
      <c r="F12806" s="1743"/>
      <c r="G12806" s="1743"/>
      <c r="H12806" s="1743"/>
      <c r="K12806" s="1192" t="s">
        <v>3946</v>
      </c>
      <c r="V12806" s="1192">
        <v>677</v>
      </c>
    </row>
    <row r="12807" spans="1:22" s="1192" customFormat="1" ht="14.4" x14ac:dyDescent="0.3">
      <c r="A12807" s="1192" t="s">
        <v>6898</v>
      </c>
      <c r="B12807" s="1192" t="s">
        <v>6908</v>
      </c>
      <c r="E12807" s="1743" t="s">
        <v>4644</v>
      </c>
      <c r="F12807" s="1743"/>
      <c r="G12807" s="1743"/>
      <c r="H12807" s="1743"/>
      <c r="K12807" s="1192" t="s">
        <v>3946</v>
      </c>
      <c r="V12807" s="1192">
        <v>693</v>
      </c>
    </row>
    <row r="12808" spans="1:22" s="1192" customFormat="1" ht="14.4" x14ac:dyDescent="0.3">
      <c r="A12808" s="1192" t="s">
        <v>6898</v>
      </c>
      <c r="B12808" s="1192" t="s">
        <v>6908</v>
      </c>
      <c r="E12808" s="1743" t="s">
        <v>4500</v>
      </c>
      <c r="F12808" s="1743"/>
      <c r="G12808" s="1743"/>
      <c r="H12808" s="1743"/>
      <c r="K12808" s="1192" t="s">
        <v>3946</v>
      </c>
      <c r="V12808" s="1192">
        <v>247</v>
      </c>
    </row>
    <row r="12809" spans="1:22" s="1192" customFormat="1" ht="14.4" x14ac:dyDescent="0.3">
      <c r="A12809" s="1192" t="s">
        <v>6898</v>
      </c>
      <c r="B12809" s="1192" t="s">
        <v>6908</v>
      </c>
      <c r="E12809" s="1750" t="s">
        <v>2394</v>
      </c>
      <c r="F12809" s="1743"/>
      <c r="G12809" s="1743"/>
      <c r="H12809" s="1743"/>
      <c r="K12809" s="1192" t="s">
        <v>2531</v>
      </c>
      <c r="V12809" s="1192">
        <v>46</v>
      </c>
    </row>
    <row r="12810" spans="1:22" s="1192" customFormat="1" ht="14.4" x14ac:dyDescent="0.3">
      <c r="A12810" s="1192" t="s">
        <v>6898</v>
      </c>
      <c r="B12810" s="1192" t="s">
        <v>6908</v>
      </c>
      <c r="E12810" s="1741" t="s">
        <v>7</v>
      </c>
      <c r="F12810" s="1741"/>
      <c r="G12810" s="524" t="s">
        <v>19</v>
      </c>
      <c r="H12810" s="1218">
        <v>2611.33</v>
      </c>
      <c r="K12810" s="1192" t="s">
        <v>3946</v>
      </c>
      <c r="L12810" s="1192" t="s">
        <v>430</v>
      </c>
      <c r="P12810" s="1192" t="s">
        <v>3947</v>
      </c>
      <c r="V12810" s="1192">
        <v>14</v>
      </c>
    </row>
    <row r="12811" spans="1:22" s="1192" customFormat="1" ht="14.4" x14ac:dyDescent="0.3">
      <c r="A12811" s="1192" t="s">
        <v>6898</v>
      </c>
      <c r="B12811" s="1192" t="s">
        <v>6908</v>
      </c>
      <c r="E12811" s="1741" t="s">
        <v>80</v>
      </c>
      <c r="F12811" s="1741"/>
      <c r="G12811" s="524" t="s">
        <v>29</v>
      </c>
      <c r="H12811" s="1219">
        <v>1.5911</v>
      </c>
      <c r="K12811" s="1192" t="s">
        <v>3946</v>
      </c>
      <c r="L12811" s="1192" t="s">
        <v>430</v>
      </c>
      <c r="P12811" s="1192" t="s">
        <v>3948</v>
      </c>
      <c r="V12811" s="1192">
        <v>28</v>
      </c>
    </row>
    <row r="12812" spans="1:22" s="1192" customFormat="1" ht="14.4" x14ac:dyDescent="0.3">
      <c r="A12812" s="1192" t="s">
        <v>6898</v>
      </c>
      <c r="B12812" s="1192" t="s">
        <v>6908</v>
      </c>
      <c r="E12812" s="1741" t="s">
        <v>14</v>
      </c>
      <c r="F12812" s="1741"/>
      <c r="G12812" s="524" t="s">
        <v>29</v>
      </c>
      <c r="H12812" s="1219">
        <v>1.1986000000000001</v>
      </c>
      <c r="K12812" s="1192" t="s">
        <v>3946</v>
      </c>
      <c r="L12812" s="1192" t="s">
        <v>431</v>
      </c>
      <c r="P12812" s="1192" t="s">
        <v>3949</v>
      </c>
      <c r="V12812" s="1192">
        <v>24</v>
      </c>
    </row>
    <row r="12813" spans="1:22" s="1192" customFormat="1" ht="14.4" x14ac:dyDescent="0.3">
      <c r="A12813" s="1192" t="s">
        <v>6898</v>
      </c>
      <c r="B12813" s="1192" t="s">
        <v>6908</v>
      </c>
      <c r="E12813" s="1741" t="s">
        <v>6588</v>
      </c>
      <c r="F12813" s="1998"/>
      <c r="G12813" s="524" t="s">
        <v>29</v>
      </c>
      <c r="H12813" s="1219">
        <v>0.58489999999999998</v>
      </c>
      <c r="K12813" s="1192" t="s">
        <v>3946</v>
      </c>
      <c r="L12813" s="1192" t="s">
        <v>430</v>
      </c>
      <c r="P12813" s="1192" t="s">
        <v>4094</v>
      </c>
      <c r="T12813" s="1192">
        <v>44316</v>
      </c>
      <c r="V12813" s="1192">
        <v>135</v>
      </c>
    </row>
    <row r="12814" spans="1:22" s="1192" customFormat="1" ht="14.4" x14ac:dyDescent="0.3">
      <c r="A12814" s="1192" t="s">
        <v>6898</v>
      </c>
      <c r="B12814" s="1192" t="s">
        <v>6908</v>
      </c>
      <c r="E12814" s="1741" t="s">
        <v>6487</v>
      </c>
      <c r="F12814" s="1998"/>
      <c r="G12814" s="524" t="s">
        <v>29</v>
      </c>
      <c r="H12814" s="1219">
        <v>-0.1144</v>
      </c>
      <c r="K12814" s="1192" t="s">
        <v>3946</v>
      </c>
      <c r="L12814" s="1192" t="s">
        <v>431</v>
      </c>
      <c r="P12814" s="1192" t="s">
        <v>4095</v>
      </c>
      <c r="T12814" s="1192">
        <v>44316</v>
      </c>
      <c r="V12814" s="1192">
        <v>132</v>
      </c>
    </row>
    <row r="12815" spans="1:22" s="1192" customFormat="1" ht="14.4" x14ac:dyDescent="0.3">
      <c r="A12815" s="1192" t="s">
        <v>6898</v>
      </c>
      <c r="B12815" s="1192" t="s">
        <v>6908</v>
      </c>
      <c r="E12815" s="1741" t="s">
        <v>213</v>
      </c>
      <c r="F12815" s="1741"/>
      <c r="G12815" s="524" t="s">
        <v>29</v>
      </c>
      <c r="H12815" s="1219">
        <v>2.7467999999999999</v>
      </c>
      <c r="K12815" s="1192" t="s">
        <v>3946</v>
      </c>
      <c r="L12815" s="1192" t="s">
        <v>432</v>
      </c>
      <c r="P12815" s="1192" t="s">
        <v>3950</v>
      </c>
      <c r="V12815" s="1192">
        <v>47</v>
      </c>
    </row>
    <row r="12816" spans="1:22" s="1192" customFormat="1" ht="14.4" x14ac:dyDescent="0.3">
      <c r="A12816" s="1192" t="s">
        <v>6898</v>
      </c>
      <c r="B12816" s="1192" t="s">
        <v>6908</v>
      </c>
      <c r="E12816" s="1741" t="s">
        <v>209</v>
      </c>
      <c r="F12816" s="1741"/>
      <c r="G12816" s="524" t="s">
        <v>29</v>
      </c>
      <c r="H12816" s="1219">
        <v>2.0695999999999999</v>
      </c>
      <c r="K12816" s="1192" t="s">
        <v>3946</v>
      </c>
      <c r="L12816" s="1192" t="s">
        <v>432</v>
      </c>
      <c r="P12816" s="1192" t="s">
        <v>3951</v>
      </c>
      <c r="V12816" s="1192">
        <v>74</v>
      </c>
    </row>
    <row r="12817" spans="1:22" s="1192" customFormat="1" ht="14.4" x14ac:dyDescent="0.3">
      <c r="A12817" s="1192" t="s">
        <v>6898</v>
      </c>
      <c r="B12817" s="1192" t="s">
        <v>6908</v>
      </c>
      <c r="E12817" s="1750" t="s">
        <v>2405</v>
      </c>
      <c r="F12817" s="1741"/>
      <c r="G12817" s="1277"/>
      <c r="H12817" s="896"/>
      <c r="K12817" s="1192" t="s">
        <v>2532</v>
      </c>
      <c r="V12817" s="1192">
        <v>48</v>
      </c>
    </row>
    <row r="12818" spans="1:22" s="1192" customFormat="1" ht="14.4" x14ac:dyDescent="0.3">
      <c r="A12818" s="1192" t="s">
        <v>6898</v>
      </c>
      <c r="B12818" s="1192" t="s">
        <v>6908</v>
      </c>
      <c r="E12818" s="1741" t="s">
        <v>2033</v>
      </c>
      <c r="F12818" s="1741"/>
      <c r="G12818" s="524" t="s">
        <v>20</v>
      </c>
      <c r="H12818" s="1219">
        <v>3.0000000000000001E-3</v>
      </c>
      <c r="K12818" s="1192" t="s">
        <v>3946</v>
      </c>
      <c r="L12818" s="1192" t="s">
        <v>2374</v>
      </c>
      <c r="P12818" s="1192" t="s">
        <v>3952</v>
      </c>
      <c r="V12818" s="1192">
        <v>55</v>
      </c>
    </row>
    <row r="12819" spans="1:22" s="1192" customFormat="1" ht="14.4" x14ac:dyDescent="0.3">
      <c r="A12819" s="1192" t="s">
        <v>6898</v>
      </c>
      <c r="B12819" s="1192" t="s">
        <v>6908</v>
      </c>
      <c r="E12819" s="1741" t="s">
        <v>2034</v>
      </c>
      <c r="F12819" s="1741"/>
      <c r="G12819" s="524" t="s">
        <v>20</v>
      </c>
      <c r="H12819" s="1219">
        <v>4.0000000000000002E-4</v>
      </c>
      <c r="K12819" s="1192" t="s">
        <v>3946</v>
      </c>
      <c r="L12819" s="1192" t="s">
        <v>2374</v>
      </c>
      <c r="P12819" s="1192" t="s">
        <v>3952</v>
      </c>
      <c r="V12819" s="1192">
        <v>65</v>
      </c>
    </row>
    <row r="12820" spans="1:22" s="1192" customFormat="1" ht="14.4" x14ac:dyDescent="0.3">
      <c r="A12820" s="1192" t="s">
        <v>6898</v>
      </c>
      <c r="B12820" s="1192" t="s">
        <v>6908</v>
      </c>
      <c r="E12820" s="1741" t="s">
        <v>428</v>
      </c>
      <c r="F12820" s="1741"/>
      <c r="G12820" s="524" t="s">
        <v>20</v>
      </c>
      <c r="H12820" s="1219">
        <v>5.0000000000000001E-4</v>
      </c>
      <c r="K12820" s="1192" t="s">
        <v>3946</v>
      </c>
      <c r="L12820" s="1192" t="s">
        <v>2374</v>
      </c>
      <c r="P12820" s="1192" t="s">
        <v>3953</v>
      </c>
      <c r="V12820" s="1192">
        <v>57</v>
      </c>
    </row>
    <row r="12821" spans="1:22" s="1192" customFormat="1" ht="14.4" x14ac:dyDescent="0.3">
      <c r="A12821" s="1192" t="s">
        <v>6898</v>
      </c>
      <c r="B12821" s="1192" t="s">
        <v>6908</v>
      </c>
      <c r="E12821" s="1741" t="s">
        <v>28</v>
      </c>
      <c r="F12821" s="1741"/>
      <c r="G12821" s="524" t="s">
        <v>19</v>
      </c>
      <c r="H12821" s="1218">
        <v>0.25</v>
      </c>
      <c r="K12821" s="1192" t="s">
        <v>3946</v>
      </c>
      <c r="L12821" s="1192" t="s">
        <v>2374</v>
      </c>
      <c r="P12821" s="1192" t="s">
        <v>3954</v>
      </c>
      <c r="V12821" s="1192">
        <v>63</v>
      </c>
    </row>
    <row r="12822" spans="1:22" s="1192" customFormat="1" ht="17.399999999999999" x14ac:dyDescent="0.3">
      <c r="A12822" s="1192" t="s">
        <v>6898</v>
      </c>
      <c r="B12822" s="1192" t="s">
        <v>6908</v>
      </c>
      <c r="E12822" s="1746" t="s">
        <v>596</v>
      </c>
      <c r="F12822" s="1747"/>
      <c r="G12822" s="1747"/>
      <c r="H12822" s="1747"/>
      <c r="K12822" s="1192" t="s">
        <v>2533</v>
      </c>
      <c r="V12822" s="1192">
        <v>32</v>
      </c>
    </row>
    <row r="12823" spans="1:22" s="1192" customFormat="1" ht="14.4" x14ac:dyDescent="0.3">
      <c r="A12823" s="1192" t="s">
        <v>6898</v>
      </c>
      <c r="B12823" s="1192" t="s">
        <v>6908</v>
      </c>
      <c r="E12823" s="1743" t="s">
        <v>4594</v>
      </c>
      <c r="F12823" s="1743"/>
      <c r="G12823" s="1743"/>
      <c r="H12823" s="1743"/>
      <c r="K12823" s="1192" t="s">
        <v>2533</v>
      </c>
      <c r="V12823" s="1192">
        <v>449</v>
      </c>
    </row>
    <row r="12824" spans="1:22" s="1192" customFormat="1" ht="14.4" x14ac:dyDescent="0.3">
      <c r="A12824" s="1192" t="s">
        <v>6898</v>
      </c>
      <c r="B12824" s="1192" t="s">
        <v>6908</v>
      </c>
      <c r="E12824" s="1750" t="s">
        <v>2389</v>
      </c>
      <c r="F12824" s="1743"/>
      <c r="G12824" s="1743"/>
      <c r="H12824" s="1743"/>
      <c r="K12824" s="1192" t="s">
        <v>2424</v>
      </c>
      <c r="V12824" s="1192">
        <v>11</v>
      </c>
    </row>
    <row r="12825" spans="1:22" s="1192" customFormat="1" ht="14.4" x14ac:dyDescent="0.3">
      <c r="A12825" s="1192" t="s">
        <v>6898</v>
      </c>
      <c r="B12825" s="1192" t="s">
        <v>6908</v>
      </c>
      <c r="E12825" s="1743" t="s">
        <v>2391</v>
      </c>
      <c r="F12825" s="1743"/>
      <c r="G12825" s="1743"/>
      <c r="H12825" s="1743"/>
      <c r="K12825" s="1192" t="s">
        <v>2533</v>
      </c>
      <c r="V12825" s="1192">
        <v>280</v>
      </c>
    </row>
    <row r="12826" spans="1:22" s="1192" customFormat="1" ht="14.4" x14ac:dyDescent="0.3">
      <c r="A12826" s="1192" t="s">
        <v>6898</v>
      </c>
      <c r="B12826" s="1192" t="s">
        <v>6908</v>
      </c>
      <c r="E12826" s="1743" t="s">
        <v>2392</v>
      </c>
      <c r="F12826" s="1743"/>
      <c r="G12826" s="1743"/>
      <c r="H12826" s="1743"/>
      <c r="K12826" s="1192" t="s">
        <v>2533</v>
      </c>
      <c r="V12826" s="1192">
        <v>411</v>
      </c>
    </row>
    <row r="12827" spans="1:22" s="1192" customFormat="1" ht="14.4" x14ac:dyDescent="0.3">
      <c r="A12827" s="1192" t="s">
        <v>6898</v>
      </c>
      <c r="B12827" s="1192" t="s">
        <v>6908</v>
      </c>
      <c r="E12827" s="1743" t="s">
        <v>4444</v>
      </c>
      <c r="F12827" s="1743"/>
      <c r="G12827" s="1743"/>
      <c r="H12827" s="1743"/>
      <c r="K12827" s="1192" t="s">
        <v>2533</v>
      </c>
      <c r="V12827" s="1192">
        <v>388</v>
      </c>
    </row>
    <row r="12828" spans="1:22" s="1192" customFormat="1" ht="14.4" x14ac:dyDescent="0.3">
      <c r="A12828" s="1192" t="s">
        <v>6898</v>
      </c>
      <c r="B12828" s="1192" t="s">
        <v>6908</v>
      </c>
      <c r="E12828" s="1743" t="s">
        <v>4503</v>
      </c>
      <c r="F12828" s="1743"/>
      <c r="G12828" s="1743"/>
      <c r="H12828" s="1743"/>
      <c r="K12828" s="1192" t="s">
        <v>2533</v>
      </c>
      <c r="V12828" s="1192">
        <v>677</v>
      </c>
    </row>
    <row r="12829" spans="1:22" s="1192" customFormat="1" ht="14.4" x14ac:dyDescent="0.3">
      <c r="A12829" s="1192" t="s">
        <v>6898</v>
      </c>
      <c r="B12829" s="1192" t="s">
        <v>6908</v>
      </c>
      <c r="E12829" s="1743" t="s">
        <v>4644</v>
      </c>
      <c r="F12829" s="1743"/>
      <c r="G12829" s="1743"/>
      <c r="H12829" s="1743"/>
      <c r="K12829" s="1192" t="s">
        <v>2533</v>
      </c>
      <c r="V12829" s="1192">
        <v>693</v>
      </c>
    </row>
    <row r="12830" spans="1:22" s="1192" customFormat="1" ht="14.4" x14ac:dyDescent="0.3">
      <c r="A12830" s="1192" t="s">
        <v>6898</v>
      </c>
      <c r="B12830" s="1192" t="s">
        <v>6908</v>
      </c>
      <c r="E12830" s="1743" t="s">
        <v>4500</v>
      </c>
      <c r="F12830" s="1743"/>
      <c r="G12830" s="1743"/>
      <c r="H12830" s="1743"/>
      <c r="K12830" s="1192" t="s">
        <v>2533</v>
      </c>
      <c r="V12830" s="1192">
        <v>247</v>
      </c>
    </row>
    <row r="12831" spans="1:22" s="1192" customFormat="1" ht="14.4" x14ac:dyDescent="0.3">
      <c r="A12831" s="1192" t="s">
        <v>6898</v>
      </c>
      <c r="B12831" s="1192" t="s">
        <v>6908</v>
      </c>
      <c r="E12831" s="1750" t="s">
        <v>2394</v>
      </c>
      <c r="F12831" s="1743"/>
      <c r="G12831" s="1743"/>
      <c r="H12831" s="1743"/>
      <c r="K12831" s="1192" t="s">
        <v>2425</v>
      </c>
      <c r="V12831" s="1192">
        <v>46</v>
      </c>
    </row>
    <row r="12832" spans="1:22" s="1192" customFormat="1" ht="14.4" x14ac:dyDescent="0.3">
      <c r="A12832" s="1192" t="s">
        <v>6898</v>
      </c>
      <c r="B12832" s="1192" t="s">
        <v>6908</v>
      </c>
      <c r="E12832" s="1741" t="s">
        <v>7</v>
      </c>
      <c r="F12832" s="1741"/>
      <c r="G12832" s="524" t="s">
        <v>19</v>
      </c>
      <c r="H12832" s="1218">
        <v>10665.29</v>
      </c>
      <c r="K12832" s="1192" t="s">
        <v>2533</v>
      </c>
      <c r="L12832" s="1192" t="s">
        <v>430</v>
      </c>
      <c r="P12832" s="1192" t="s">
        <v>2535</v>
      </c>
      <c r="V12832" s="1192">
        <v>14</v>
      </c>
    </row>
    <row r="12833" spans="1:22" s="1192" customFormat="1" ht="14.4" x14ac:dyDescent="0.3">
      <c r="A12833" s="1192" t="s">
        <v>6898</v>
      </c>
      <c r="B12833" s="1192" t="s">
        <v>6908</v>
      </c>
      <c r="E12833" s="1741" t="s">
        <v>80</v>
      </c>
      <c r="F12833" s="1741"/>
      <c r="G12833" s="524" t="s">
        <v>29</v>
      </c>
      <c r="H12833" s="1219">
        <v>1.9236</v>
      </c>
      <c r="K12833" s="1192" t="s">
        <v>2533</v>
      </c>
      <c r="L12833" s="1192" t="s">
        <v>430</v>
      </c>
      <c r="P12833" s="1192" t="s">
        <v>2536</v>
      </c>
      <c r="V12833" s="1192">
        <v>28</v>
      </c>
    </row>
    <row r="12834" spans="1:22" s="1192" customFormat="1" ht="14.4" x14ac:dyDescent="0.3">
      <c r="A12834" s="1192" t="s">
        <v>6898</v>
      </c>
      <c r="B12834" s="1192" t="s">
        <v>6908</v>
      </c>
      <c r="E12834" s="1741" t="s">
        <v>14</v>
      </c>
      <c r="F12834" s="1741"/>
      <c r="G12834" s="524" t="s">
        <v>29</v>
      </c>
      <c r="H12834" s="1219">
        <v>1.3595999999999999</v>
      </c>
      <c r="K12834" s="1192" t="s">
        <v>2533</v>
      </c>
      <c r="L12834" s="1192" t="s">
        <v>431</v>
      </c>
      <c r="P12834" s="1192" t="s">
        <v>2537</v>
      </c>
      <c r="V12834" s="1192">
        <v>24</v>
      </c>
    </row>
    <row r="12835" spans="1:22" s="1192" customFormat="1" ht="14.4" x14ac:dyDescent="0.3">
      <c r="A12835" s="1192" t="s">
        <v>6898</v>
      </c>
      <c r="B12835" s="1192" t="s">
        <v>6908</v>
      </c>
      <c r="E12835" s="1741" t="s">
        <v>6588</v>
      </c>
      <c r="F12835" s="1998"/>
      <c r="G12835" s="524" t="s">
        <v>29</v>
      </c>
      <c r="H12835" s="1219">
        <v>0.69969999999999999</v>
      </c>
      <c r="K12835" s="1192" t="s">
        <v>2533</v>
      </c>
      <c r="L12835" s="1192" t="s">
        <v>430</v>
      </c>
      <c r="P12835" s="1192" t="s">
        <v>2538</v>
      </c>
      <c r="T12835" s="1192">
        <v>44316</v>
      </c>
      <c r="V12835" s="1192">
        <v>135</v>
      </c>
    </row>
    <row r="12836" spans="1:22" s="1192" customFormat="1" ht="14.4" x14ac:dyDescent="0.3">
      <c r="A12836" s="1192" t="s">
        <v>6898</v>
      </c>
      <c r="B12836" s="1192" t="s">
        <v>6908</v>
      </c>
      <c r="E12836" s="1741" t="s">
        <v>6487</v>
      </c>
      <c r="F12836" s="1998"/>
      <c r="G12836" s="524" t="s">
        <v>29</v>
      </c>
      <c r="H12836" s="1219">
        <v>-0.32679999999999998</v>
      </c>
      <c r="K12836" s="1192" t="s">
        <v>2533</v>
      </c>
      <c r="L12836" s="1192" t="s">
        <v>431</v>
      </c>
      <c r="P12836" s="1192" t="s">
        <v>2539</v>
      </c>
      <c r="T12836" s="1192">
        <v>44316</v>
      </c>
      <c r="V12836" s="1192">
        <v>132</v>
      </c>
    </row>
    <row r="12837" spans="1:22" s="1192" customFormat="1" ht="14.4" x14ac:dyDescent="0.3">
      <c r="A12837" s="1192" t="s">
        <v>6898</v>
      </c>
      <c r="B12837" s="1192" t="s">
        <v>6908</v>
      </c>
      <c r="E12837" s="1741" t="s">
        <v>213</v>
      </c>
      <c r="F12837" s="1741"/>
      <c r="G12837" s="524" t="s">
        <v>29</v>
      </c>
      <c r="H12837" s="1219">
        <v>3.0449999999999999</v>
      </c>
      <c r="K12837" s="1192" t="s">
        <v>2533</v>
      </c>
      <c r="L12837" s="1192" t="s">
        <v>432</v>
      </c>
      <c r="P12837" s="1192" t="s">
        <v>2833</v>
      </c>
      <c r="V12837" s="1192">
        <v>47</v>
      </c>
    </row>
    <row r="12838" spans="1:22" s="1192" customFormat="1" ht="14.4" x14ac:dyDescent="0.3">
      <c r="A12838" s="1192" t="s">
        <v>6898</v>
      </c>
      <c r="B12838" s="1192" t="s">
        <v>6908</v>
      </c>
      <c r="E12838" s="1741" t="s">
        <v>209</v>
      </c>
      <c r="F12838" s="1741"/>
      <c r="G12838" s="524" t="s">
        <v>29</v>
      </c>
      <c r="H12838" s="1219">
        <v>2.3475999999999999</v>
      </c>
      <c r="K12838" s="1192" t="s">
        <v>2533</v>
      </c>
      <c r="L12838" s="1192" t="s">
        <v>432</v>
      </c>
      <c r="P12838" s="1192" t="s">
        <v>2834</v>
      </c>
      <c r="V12838" s="1192">
        <v>74</v>
      </c>
    </row>
    <row r="12839" spans="1:22" s="1192" customFormat="1" ht="14.4" x14ac:dyDescent="0.3">
      <c r="A12839" s="1192" t="s">
        <v>6898</v>
      </c>
      <c r="B12839" s="1192" t="s">
        <v>6908</v>
      </c>
      <c r="E12839" s="1750" t="s">
        <v>2405</v>
      </c>
      <c r="F12839" s="1741"/>
      <c r="G12839" s="1277"/>
      <c r="H12839" s="896"/>
      <c r="K12839" s="1192" t="s">
        <v>2427</v>
      </c>
      <c r="V12839" s="1192">
        <v>48</v>
      </c>
    </row>
    <row r="12840" spans="1:22" s="1192" customFormat="1" ht="14.4" x14ac:dyDescent="0.3">
      <c r="A12840" s="1192" t="s">
        <v>6898</v>
      </c>
      <c r="B12840" s="1192" t="s">
        <v>6908</v>
      </c>
      <c r="E12840" s="1741" t="s">
        <v>2033</v>
      </c>
      <c r="F12840" s="1741"/>
      <c r="G12840" s="524" t="s">
        <v>20</v>
      </c>
      <c r="H12840" s="1219">
        <v>3.0000000000000001E-3</v>
      </c>
      <c r="K12840" s="1192" t="s">
        <v>2533</v>
      </c>
      <c r="L12840" s="1192" t="s">
        <v>2374</v>
      </c>
      <c r="P12840" s="1192" t="s">
        <v>2540</v>
      </c>
      <c r="V12840" s="1192">
        <v>55</v>
      </c>
    </row>
    <row r="12841" spans="1:22" s="1192" customFormat="1" ht="14.4" x14ac:dyDescent="0.3">
      <c r="A12841" s="1192" t="s">
        <v>6898</v>
      </c>
      <c r="B12841" s="1192" t="s">
        <v>6908</v>
      </c>
      <c r="E12841" s="1741" t="s">
        <v>2034</v>
      </c>
      <c r="F12841" s="1741"/>
      <c r="G12841" s="524" t="s">
        <v>20</v>
      </c>
      <c r="H12841" s="1219">
        <v>4.0000000000000002E-4</v>
      </c>
      <c r="K12841" s="1192" t="s">
        <v>2533</v>
      </c>
      <c r="L12841" s="1192" t="s">
        <v>2374</v>
      </c>
      <c r="P12841" s="1192" t="s">
        <v>2540</v>
      </c>
      <c r="V12841" s="1192">
        <v>65</v>
      </c>
    </row>
    <row r="12842" spans="1:22" s="1192" customFormat="1" ht="14.4" x14ac:dyDescent="0.3">
      <c r="A12842" s="1192" t="s">
        <v>6898</v>
      </c>
      <c r="B12842" s="1192" t="s">
        <v>6908</v>
      </c>
      <c r="E12842" s="1741" t="s">
        <v>428</v>
      </c>
      <c r="F12842" s="1741"/>
      <c r="G12842" s="524" t="s">
        <v>20</v>
      </c>
      <c r="H12842" s="1219">
        <v>5.0000000000000001E-4</v>
      </c>
      <c r="K12842" s="1192" t="s">
        <v>2533</v>
      </c>
      <c r="L12842" s="1192" t="s">
        <v>2374</v>
      </c>
      <c r="P12842" s="1192" t="s">
        <v>2541</v>
      </c>
      <c r="V12842" s="1192">
        <v>57</v>
      </c>
    </row>
    <row r="12843" spans="1:22" s="1192" customFormat="1" ht="14.4" x14ac:dyDescent="0.3">
      <c r="A12843" s="1192" t="s">
        <v>6898</v>
      </c>
      <c r="B12843" s="1192" t="s">
        <v>6908</v>
      </c>
      <c r="E12843" s="1741" t="s">
        <v>28</v>
      </c>
      <c r="F12843" s="1741"/>
      <c r="G12843" s="524" t="s">
        <v>19</v>
      </c>
      <c r="H12843" s="1218">
        <v>0.25</v>
      </c>
      <c r="K12843" s="1192" t="s">
        <v>2533</v>
      </c>
      <c r="L12843" s="1192" t="s">
        <v>2374</v>
      </c>
      <c r="P12843" s="1192" t="s">
        <v>2542</v>
      </c>
      <c r="V12843" s="1192">
        <v>63</v>
      </c>
    </row>
    <row r="12844" spans="1:22" s="1192" customFormat="1" ht="17.399999999999999" x14ac:dyDescent="0.3">
      <c r="A12844" s="1192" t="s">
        <v>6898</v>
      </c>
      <c r="B12844" s="1192" t="s">
        <v>6908</v>
      </c>
      <c r="E12844" s="1746" t="s">
        <v>592</v>
      </c>
      <c r="F12844" s="1747"/>
      <c r="G12844" s="1747"/>
      <c r="H12844" s="1747"/>
      <c r="K12844" s="1192" t="s">
        <v>2543</v>
      </c>
      <c r="V12844" s="1192">
        <v>47</v>
      </c>
    </row>
    <row r="12845" spans="1:22" s="1192" customFormat="1" ht="14.4" x14ac:dyDescent="0.3">
      <c r="A12845" s="1192" t="s">
        <v>6898</v>
      </c>
      <c r="B12845" s="1192" t="s">
        <v>6908</v>
      </c>
      <c r="E12845" s="1743" t="s">
        <v>4447</v>
      </c>
      <c r="F12845" s="1743"/>
      <c r="G12845" s="1743"/>
      <c r="H12845" s="1743"/>
      <c r="K12845" s="1192" t="s">
        <v>2543</v>
      </c>
      <c r="V12845" s="1192">
        <v>710</v>
      </c>
    </row>
    <row r="12846" spans="1:22" s="1192" customFormat="1" ht="14.4" x14ac:dyDescent="0.3">
      <c r="A12846" s="1192" t="s">
        <v>6898</v>
      </c>
      <c r="B12846" s="1192" t="s">
        <v>6908</v>
      </c>
      <c r="E12846" s="1750" t="s">
        <v>2389</v>
      </c>
      <c r="F12846" s="1743"/>
      <c r="G12846" s="1743"/>
      <c r="H12846" s="1743"/>
      <c r="K12846" s="1192" t="s">
        <v>2430</v>
      </c>
      <c r="V12846" s="1192">
        <v>11</v>
      </c>
    </row>
    <row r="12847" spans="1:22" s="1192" customFormat="1" ht="14.4" x14ac:dyDescent="0.3">
      <c r="A12847" s="1192" t="s">
        <v>6898</v>
      </c>
      <c r="B12847" s="1192" t="s">
        <v>6908</v>
      </c>
      <c r="E12847" s="1743" t="s">
        <v>2391</v>
      </c>
      <c r="F12847" s="1743"/>
      <c r="G12847" s="1743"/>
      <c r="H12847" s="1743"/>
      <c r="K12847" s="1192" t="s">
        <v>2543</v>
      </c>
      <c r="V12847" s="1192">
        <v>280</v>
      </c>
    </row>
    <row r="12848" spans="1:22" s="1192" customFormat="1" ht="14.4" x14ac:dyDescent="0.3">
      <c r="A12848" s="1192" t="s">
        <v>6898</v>
      </c>
      <c r="B12848" s="1192" t="s">
        <v>6908</v>
      </c>
      <c r="E12848" s="1743" t="s">
        <v>2392</v>
      </c>
      <c r="F12848" s="1743"/>
      <c r="G12848" s="1743"/>
      <c r="H12848" s="1743"/>
      <c r="K12848" s="1192" t="s">
        <v>2543</v>
      </c>
      <c r="V12848" s="1192">
        <v>411</v>
      </c>
    </row>
    <row r="12849" spans="1:22" s="1192" customFormat="1" ht="14.4" x14ac:dyDescent="0.3">
      <c r="A12849" s="1192" t="s">
        <v>6898</v>
      </c>
      <c r="B12849" s="1192" t="s">
        <v>6908</v>
      </c>
      <c r="E12849" s="1743" t="s">
        <v>4448</v>
      </c>
      <c r="F12849" s="1743"/>
      <c r="G12849" s="1743"/>
      <c r="H12849" s="1743"/>
      <c r="K12849" s="1192" t="s">
        <v>2543</v>
      </c>
      <c r="V12849" s="1192">
        <v>387</v>
      </c>
    </row>
    <row r="12850" spans="1:22" s="1192" customFormat="1" ht="14.4" x14ac:dyDescent="0.3">
      <c r="A12850" s="1192" t="s">
        <v>6898</v>
      </c>
      <c r="B12850" s="1192" t="s">
        <v>6908</v>
      </c>
      <c r="E12850" s="1743" t="s">
        <v>4500</v>
      </c>
      <c r="F12850" s="1743"/>
      <c r="G12850" s="1743"/>
      <c r="H12850" s="1743"/>
      <c r="K12850" s="1192" t="s">
        <v>2543</v>
      </c>
      <c r="V12850" s="1192">
        <v>247</v>
      </c>
    </row>
    <row r="12851" spans="1:22" s="1192" customFormat="1" ht="14.4" x14ac:dyDescent="0.3">
      <c r="A12851" s="1192" t="s">
        <v>6898</v>
      </c>
      <c r="B12851" s="1192" t="s">
        <v>6908</v>
      </c>
      <c r="E12851" s="1750" t="s">
        <v>2394</v>
      </c>
      <c r="F12851" s="1743"/>
      <c r="G12851" s="1743"/>
      <c r="H12851" s="1743"/>
      <c r="K12851" s="1192" t="s">
        <v>2431</v>
      </c>
      <c r="V12851" s="1192">
        <v>46</v>
      </c>
    </row>
    <row r="12852" spans="1:22" s="1192" customFormat="1" ht="14.4" x14ac:dyDescent="0.3">
      <c r="A12852" s="1192" t="s">
        <v>6898</v>
      </c>
      <c r="B12852" s="1192" t="s">
        <v>6908</v>
      </c>
      <c r="E12852" s="1741" t="s">
        <v>7</v>
      </c>
      <c r="F12852" s="1741"/>
      <c r="G12852" s="524" t="s">
        <v>19</v>
      </c>
      <c r="H12852" s="1218">
        <v>2.1800000000000002</v>
      </c>
      <c r="K12852" s="1192" t="s">
        <v>2543</v>
      </c>
      <c r="L12852" s="1192" t="s">
        <v>430</v>
      </c>
      <c r="P12852" s="1192" t="s">
        <v>2545</v>
      </c>
      <c r="V12852" s="1192">
        <v>14</v>
      </c>
    </row>
    <row r="12853" spans="1:22" s="1192" customFormat="1" ht="14.4" x14ac:dyDescent="0.3">
      <c r="A12853" s="1192" t="s">
        <v>6898</v>
      </c>
      <c r="B12853" s="1192" t="s">
        <v>6908</v>
      </c>
      <c r="E12853" s="1741" t="s">
        <v>80</v>
      </c>
      <c r="F12853" s="1741"/>
      <c r="G12853" s="524" t="s">
        <v>20</v>
      </c>
      <c r="H12853" s="1219">
        <v>7.7399999999999997E-2</v>
      </c>
      <c r="K12853" s="1192" t="s">
        <v>2543</v>
      </c>
      <c r="L12853" s="1192" t="s">
        <v>430</v>
      </c>
      <c r="P12853" s="1192" t="s">
        <v>2546</v>
      </c>
      <c r="V12853" s="1192">
        <v>28</v>
      </c>
    </row>
    <row r="12854" spans="1:22" s="1192" customFormat="1" ht="14.4" x14ac:dyDescent="0.3">
      <c r="A12854" s="1192" t="s">
        <v>6898</v>
      </c>
      <c r="B12854" s="1192" t="s">
        <v>6908</v>
      </c>
      <c r="E12854" s="1741" t="s">
        <v>14</v>
      </c>
      <c r="F12854" s="1741"/>
      <c r="G12854" s="524" t="s">
        <v>20</v>
      </c>
      <c r="H12854" s="1219">
        <v>3.0999999999999999E-3</v>
      </c>
      <c r="K12854" s="1192" t="s">
        <v>2543</v>
      </c>
      <c r="L12854" s="1192" t="s">
        <v>431</v>
      </c>
      <c r="P12854" s="1192" t="s">
        <v>2547</v>
      </c>
      <c r="V12854" s="1192">
        <v>24</v>
      </c>
    </row>
    <row r="12855" spans="1:22" s="1192" customFormat="1" ht="14.4" x14ac:dyDescent="0.3">
      <c r="A12855" s="1192" t="s">
        <v>6898</v>
      </c>
      <c r="B12855" s="1192" t="s">
        <v>6908</v>
      </c>
      <c r="E12855" s="1741" t="s">
        <v>6588</v>
      </c>
      <c r="F12855" s="1998"/>
      <c r="G12855" s="524" t="s">
        <v>20</v>
      </c>
      <c r="H12855" s="1219">
        <v>-1.5E-3</v>
      </c>
      <c r="K12855" s="1192" t="s">
        <v>2543</v>
      </c>
      <c r="L12855" s="1192" t="s">
        <v>430</v>
      </c>
      <c r="P12855" s="1192" t="s">
        <v>2548</v>
      </c>
      <c r="T12855" s="1192">
        <v>44316</v>
      </c>
      <c r="V12855" s="1192">
        <v>135</v>
      </c>
    </row>
    <row r="12856" spans="1:22" s="1192" customFormat="1" ht="14.4" x14ac:dyDescent="0.3">
      <c r="A12856" s="1192" t="s">
        <v>6898</v>
      </c>
      <c r="B12856" s="1192" t="s">
        <v>6908</v>
      </c>
      <c r="E12856" s="1741" t="s">
        <v>6487</v>
      </c>
      <c r="F12856" s="1998"/>
      <c r="G12856" s="524" t="s">
        <v>20</v>
      </c>
      <c r="H12856" s="1219">
        <v>-5.0000000000000001E-4</v>
      </c>
      <c r="K12856" s="1192" t="s">
        <v>2543</v>
      </c>
      <c r="L12856" s="1192" t="s">
        <v>431</v>
      </c>
      <c r="P12856" s="1192" t="s">
        <v>2549</v>
      </c>
      <c r="T12856" s="1192">
        <v>44316</v>
      </c>
      <c r="V12856" s="1192">
        <v>132</v>
      </c>
    </row>
    <row r="12857" spans="1:22" s="1192" customFormat="1" ht="14.4" x14ac:dyDescent="0.3">
      <c r="A12857" s="1192" t="s">
        <v>6898</v>
      </c>
      <c r="B12857" s="1192" t="s">
        <v>6908</v>
      </c>
      <c r="E12857" s="1741" t="s">
        <v>213</v>
      </c>
      <c r="F12857" s="1741"/>
      <c r="G12857" s="524" t="s">
        <v>20</v>
      </c>
      <c r="H12857" s="1219">
        <v>5.5999999999999999E-3</v>
      </c>
      <c r="K12857" s="1192" t="s">
        <v>2543</v>
      </c>
      <c r="L12857" s="1192" t="s">
        <v>432</v>
      </c>
      <c r="P12857" s="1192" t="s">
        <v>2550</v>
      </c>
      <c r="V12857" s="1192">
        <v>47</v>
      </c>
    </row>
    <row r="12858" spans="1:22" s="1192" customFormat="1" ht="14.4" x14ac:dyDescent="0.3">
      <c r="A12858" s="1192" t="s">
        <v>6898</v>
      </c>
      <c r="B12858" s="1192" t="s">
        <v>6908</v>
      </c>
      <c r="E12858" s="1741" t="s">
        <v>209</v>
      </c>
      <c r="F12858" s="1741"/>
      <c r="G12858" s="524" t="s">
        <v>20</v>
      </c>
      <c r="H12858" s="1219">
        <v>5.4000000000000003E-3</v>
      </c>
      <c r="K12858" s="1192" t="s">
        <v>2543</v>
      </c>
      <c r="L12858" s="1192" t="s">
        <v>432</v>
      </c>
      <c r="P12858" s="1192" t="s">
        <v>2551</v>
      </c>
      <c r="V12858" s="1192">
        <v>74</v>
      </c>
    </row>
    <row r="12859" spans="1:22" s="1192" customFormat="1" ht="14.4" x14ac:dyDescent="0.3">
      <c r="A12859" s="1192" t="s">
        <v>6898</v>
      </c>
      <c r="B12859" s="1192" t="s">
        <v>6908</v>
      </c>
      <c r="E12859" s="1750" t="s">
        <v>2405</v>
      </c>
      <c r="F12859" s="1741"/>
      <c r="G12859" s="1277"/>
      <c r="H12859" s="896"/>
      <c r="K12859" s="1192" t="s">
        <v>2438</v>
      </c>
      <c r="V12859" s="1192">
        <v>48</v>
      </c>
    </row>
    <row r="12860" spans="1:22" s="1192" customFormat="1" ht="14.4" x14ac:dyDescent="0.3">
      <c r="A12860" s="1192" t="s">
        <v>6898</v>
      </c>
      <c r="B12860" s="1192" t="s">
        <v>6908</v>
      </c>
      <c r="E12860" s="1741" t="s">
        <v>2033</v>
      </c>
      <c r="F12860" s="1741"/>
      <c r="G12860" s="524" t="s">
        <v>20</v>
      </c>
      <c r="H12860" s="1219">
        <v>3.0000000000000001E-3</v>
      </c>
      <c r="K12860" s="1192" t="s">
        <v>2543</v>
      </c>
      <c r="L12860" s="1192" t="s">
        <v>2374</v>
      </c>
      <c r="P12860" s="1192" t="s">
        <v>2552</v>
      </c>
      <c r="V12860" s="1192">
        <v>55</v>
      </c>
    </row>
    <row r="12861" spans="1:22" s="1192" customFormat="1" ht="14.4" x14ac:dyDescent="0.3">
      <c r="A12861" s="1192" t="s">
        <v>6898</v>
      </c>
      <c r="B12861" s="1192" t="s">
        <v>6908</v>
      </c>
      <c r="E12861" s="1741" t="s">
        <v>2034</v>
      </c>
      <c r="F12861" s="1741"/>
      <c r="G12861" s="524" t="s">
        <v>20</v>
      </c>
      <c r="H12861" s="1219">
        <v>4.0000000000000002E-4</v>
      </c>
      <c r="K12861" s="1192" t="s">
        <v>2543</v>
      </c>
      <c r="L12861" s="1192" t="s">
        <v>2374</v>
      </c>
      <c r="P12861" s="1192" t="s">
        <v>2552</v>
      </c>
      <c r="V12861" s="1192">
        <v>65</v>
      </c>
    </row>
    <row r="12862" spans="1:22" s="1192" customFormat="1" ht="14.4" x14ac:dyDescent="0.3">
      <c r="A12862" s="1192" t="s">
        <v>6898</v>
      </c>
      <c r="B12862" s="1192" t="s">
        <v>6908</v>
      </c>
      <c r="E12862" s="1741" t="s">
        <v>428</v>
      </c>
      <c r="F12862" s="1741"/>
      <c r="G12862" s="524" t="s">
        <v>20</v>
      </c>
      <c r="H12862" s="1219">
        <v>5.0000000000000001E-4</v>
      </c>
      <c r="K12862" s="1192" t="s">
        <v>2543</v>
      </c>
      <c r="L12862" s="1192" t="s">
        <v>2374</v>
      </c>
      <c r="P12862" s="1192" t="s">
        <v>2553</v>
      </c>
      <c r="V12862" s="1192">
        <v>57</v>
      </c>
    </row>
    <row r="12863" spans="1:22" s="1192" customFormat="1" ht="14.4" x14ac:dyDescent="0.3">
      <c r="A12863" s="1192" t="s">
        <v>6898</v>
      </c>
      <c r="B12863" s="1192" t="s">
        <v>6908</v>
      </c>
      <c r="E12863" s="1741" t="s">
        <v>28</v>
      </c>
      <c r="F12863" s="1741"/>
      <c r="G12863" s="524" t="s">
        <v>19</v>
      </c>
      <c r="H12863" s="1218">
        <v>0.25</v>
      </c>
      <c r="K12863" s="1192" t="s">
        <v>2543</v>
      </c>
      <c r="L12863" s="1192" t="s">
        <v>2374</v>
      </c>
      <c r="P12863" s="1192" t="s">
        <v>2554</v>
      </c>
      <c r="V12863" s="1192">
        <v>63</v>
      </c>
    </row>
    <row r="12864" spans="1:22" s="1192" customFormat="1" ht="17.399999999999999" x14ac:dyDescent="0.3">
      <c r="A12864" s="1192" t="s">
        <v>6898</v>
      </c>
      <c r="B12864" s="1192" t="s">
        <v>6908</v>
      </c>
      <c r="E12864" s="1746" t="s">
        <v>604</v>
      </c>
      <c r="F12864" s="1747"/>
      <c r="G12864" s="1747"/>
      <c r="H12864" s="1747"/>
      <c r="K12864" s="1192" t="s">
        <v>2555</v>
      </c>
      <c r="V12864" s="1192">
        <v>40</v>
      </c>
    </row>
    <row r="12865" spans="1:22" s="1192" customFormat="1" ht="14.4" x14ac:dyDescent="0.3">
      <c r="A12865" s="1192" t="s">
        <v>6898</v>
      </c>
      <c r="B12865" s="1192" t="s">
        <v>6908</v>
      </c>
      <c r="E12865" s="1743" t="s">
        <v>4449</v>
      </c>
      <c r="F12865" s="1743"/>
      <c r="G12865" s="1743"/>
      <c r="H12865" s="1743"/>
      <c r="K12865" s="1192" t="s">
        <v>2555</v>
      </c>
      <c r="V12865" s="1192">
        <v>256</v>
      </c>
    </row>
    <row r="12866" spans="1:22" s="1192" customFormat="1" ht="14.4" x14ac:dyDescent="0.3">
      <c r="A12866" s="1192" t="s">
        <v>6898</v>
      </c>
      <c r="B12866" s="1192" t="s">
        <v>6908</v>
      </c>
      <c r="E12866" s="1750" t="s">
        <v>2389</v>
      </c>
      <c r="F12866" s="1743"/>
      <c r="G12866" s="1743"/>
      <c r="H12866" s="1743"/>
      <c r="K12866" s="1192" t="s">
        <v>2444</v>
      </c>
      <c r="V12866" s="1192">
        <v>11</v>
      </c>
    </row>
    <row r="12867" spans="1:22" s="1192" customFormat="1" ht="14.4" x14ac:dyDescent="0.3">
      <c r="A12867" s="1192" t="s">
        <v>6898</v>
      </c>
      <c r="B12867" s="1192" t="s">
        <v>6908</v>
      </c>
      <c r="E12867" s="1743" t="s">
        <v>2391</v>
      </c>
      <c r="F12867" s="1743"/>
      <c r="G12867" s="1743"/>
      <c r="H12867" s="1743"/>
      <c r="K12867" s="1192" t="s">
        <v>2555</v>
      </c>
      <c r="V12867" s="1192">
        <v>280</v>
      </c>
    </row>
    <row r="12868" spans="1:22" s="1192" customFormat="1" ht="14.4" x14ac:dyDescent="0.3">
      <c r="A12868" s="1192" t="s">
        <v>6898</v>
      </c>
      <c r="B12868" s="1192" t="s">
        <v>6908</v>
      </c>
      <c r="E12868" s="1743" t="s">
        <v>2392</v>
      </c>
      <c r="F12868" s="1743"/>
      <c r="G12868" s="1743"/>
      <c r="H12868" s="1743"/>
      <c r="K12868" s="1192" t="s">
        <v>2555</v>
      </c>
      <c r="V12868" s="1192">
        <v>411</v>
      </c>
    </row>
    <row r="12869" spans="1:22" s="1192" customFormat="1" ht="14.4" x14ac:dyDescent="0.3">
      <c r="A12869" s="1192" t="s">
        <v>6898</v>
      </c>
      <c r="B12869" s="1192" t="s">
        <v>6908</v>
      </c>
      <c r="E12869" s="1743" t="s">
        <v>4444</v>
      </c>
      <c r="F12869" s="1743"/>
      <c r="G12869" s="1743"/>
      <c r="H12869" s="1743"/>
      <c r="K12869" s="1192" t="s">
        <v>2555</v>
      </c>
      <c r="V12869" s="1192">
        <v>388</v>
      </c>
    </row>
    <row r="12870" spans="1:22" s="1192" customFormat="1" ht="14.4" x14ac:dyDescent="0.3">
      <c r="A12870" s="1192" t="s">
        <v>6898</v>
      </c>
      <c r="B12870" s="1192" t="s">
        <v>6908</v>
      </c>
      <c r="E12870" s="1743" t="s">
        <v>4500</v>
      </c>
      <c r="F12870" s="1743"/>
      <c r="G12870" s="1743"/>
      <c r="H12870" s="1743"/>
      <c r="K12870" s="1192" t="s">
        <v>2555</v>
      </c>
      <c r="V12870" s="1192">
        <v>247</v>
      </c>
    </row>
    <row r="12871" spans="1:22" s="1192" customFormat="1" ht="14.4" x14ac:dyDescent="0.3">
      <c r="A12871" s="1192" t="s">
        <v>6898</v>
      </c>
      <c r="B12871" s="1192" t="s">
        <v>6908</v>
      </c>
      <c r="E12871" s="1750" t="s">
        <v>2394</v>
      </c>
      <c r="F12871" s="1743"/>
      <c r="G12871" s="1743"/>
      <c r="H12871" s="1743"/>
      <c r="K12871" s="1192" t="s">
        <v>2446</v>
      </c>
      <c r="V12871" s="1192">
        <v>46</v>
      </c>
    </row>
    <row r="12872" spans="1:22" s="1192" customFormat="1" ht="14.4" x14ac:dyDescent="0.3">
      <c r="A12872" s="1192" t="s">
        <v>6898</v>
      </c>
      <c r="B12872" s="1192" t="s">
        <v>6908</v>
      </c>
      <c r="E12872" s="1741" t="s">
        <v>8</v>
      </c>
      <c r="F12872" s="1741"/>
      <c r="G12872" s="524" t="s">
        <v>19</v>
      </c>
      <c r="H12872" s="1218">
        <v>13.67</v>
      </c>
      <c r="K12872" s="1192" t="s">
        <v>2555</v>
      </c>
      <c r="L12872" s="1192" t="s">
        <v>430</v>
      </c>
      <c r="P12872" s="1192" t="s">
        <v>2557</v>
      </c>
      <c r="V12872" s="1192">
        <v>31</v>
      </c>
    </row>
    <row r="12873" spans="1:22" s="1192" customFormat="1" ht="14.4" x14ac:dyDescent="0.3">
      <c r="A12873" s="1192" t="s">
        <v>6898</v>
      </c>
      <c r="B12873" s="1192" t="s">
        <v>6908</v>
      </c>
      <c r="E12873" s="1741" t="s">
        <v>80</v>
      </c>
      <c r="F12873" s="1741"/>
      <c r="G12873" s="524" t="s">
        <v>20</v>
      </c>
      <c r="H12873" s="1219">
        <v>9.9199999999999997E-2</v>
      </c>
      <c r="K12873" s="1192" t="s">
        <v>2555</v>
      </c>
      <c r="L12873" s="1192" t="s">
        <v>430</v>
      </c>
      <c r="P12873" s="1192" t="s">
        <v>2558</v>
      </c>
      <c r="V12873" s="1192">
        <v>28</v>
      </c>
    </row>
    <row r="12874" spans="1:22" s="1192" customFormat="1" ht="14.4" x14ac:dyDescent="0.3">
      <c r="A12874" s="1192" t="s">
        <v>6898</v>
      </c>
      <c r="B12874" s="1192" t="s">
        <v>6908</v>
      </c>
      <c r="E12874" s="1741" t="s">
        <v>14</v>
      </c>
      <c r="F12874" s="1741"/>
      <c r="G12874" s="524" t="s">
        <v>20</v>
      </c>
      <c r="H12874" s="1219">
        <v>3.0999999999999999E-3</v>
      </c>
      <c r="K12874" s="1192" t="s">
        <v>2555</v>
      </c>
      <c r="L12874" s="1192" t="s">
        <v>431</v>
      </c>
      <c r="P12874" s="1192" t="s">
        <v>2559</v>
      </c>
      <c r="V12874" s="1192">
        <v>24</v>
      </c>
    </row>
    <row r="12875" spans="1:22" s="1192" customFormat="1" ht="14.4" x14ac:dyDescent="0.3">
      <c r="A12875" s="1192" t="s">
        <v>6898</v>
      </c>
      <c r="B12875" s="1192" t="s">
        <v>6908</v>
      </c>
      <c r="E12875" s="1741" t="s">
        <v>6588</v>
      </c>
      <c r="F12875" s="1998"/>
      <c r="G12875" s="524" t="s">
        <v>20</v>
      </c>
      <c r="H12875" s="1219">
        <v>-1E-4</v>
      </c>
      <c r="K12875" s="1192" t="s">
        <v>2555</v>
      </c>
      <c r="L12875" s="1192" t="s">
        <v>430</v>
      </c>
      <c r="P12875" s="1192" t="s">
        <v>2561</v>
      </c>
      <c r="T12875" s="1192">
        <v>44316</v>
      </c>
      <c r="V12875" s="1192">
        <v>135</v>
      </c>
    </row>
    <row r="12876" spans="1:22" s="1192" customFormat="1" ht="14.4" x14ac:dyDescent="0.3">
      <c r="A12876" s="1192" t="s">
        <v>6898</v>
      </c>
      <c r="B12876" s="1192" t="s">
        <v>6908</v>
      </c>
      <c r="E12876" s="1741" t="s">
        <v>6487</v>
      </c>
      <c r="F12876" s="1998"/>
      <c r="G12876" s="524" t="s">
        <v>20</v>
      </c>
      <c r="H12876" s="1219">
        <v>-5.0000000000000001E-4</v>
      </c>
      <c r="K12876" s="1192" t="s">
        <v>2555</v>
      </c>
      <c r="L12876" s="1192" t="s">
        <v>431</v>
      </c>
      <c r="P12876" s="1192" t="s">
        <v>2562</v>
      </c>
      <c r="T12876" s="1192">
        <v>44316</v>
      </c>
      <c r="V12876" s="1192">
        <v>132</v>
      </c>
    </row>
    <row r="12877" spans="1:22" s="1192" customFormat="1" ht="14.4" x14ac:dyDescent="0.3">
      <c r="A12877" s="1192" t="s">
        <v>6898</v>
      </c>
      <c r="B12877" s="1192" t="s">
        <v>6908</v>
      </c>
      <c r="E12877" s="1741" t="s">
        <v>213</v>
      </c>
      <c r="F12877" s="1741"/>
      <c r="G12877" s="524" t="s">
        <v>20</v>
      </c>
      <c r="H12877" s="1219">
        <v>5.5999999999999999E-3</v>
      </c>
      <c r="K12877" s="1192" t="s">
        <v>2555</v>
      </c>
      <c r="L12877" s="1192" t="s">
        <v>432</v>
      </c>
      <c r="P12877" s="1192" t="s">
        <v>2563</v>
      </c>
      <c r="V12877" s="1192">
        <v>47</v>
      </c>
    </row>
    <row r="12878" spans="1:22" s="1192" customFormat="1" ht="14.4" x14ac:dyDescent="0.3">
      <c r="A12878" s="1192" t="s">
        <v>6898</v>
      </c>
      <c r="B12878" s="1192" t="s">
        <v>6908</v>
      </c>
      <c r="E12878" s="1741" t="s">
        <v>209</v>
      </c>
      <c r="F12878" s="1741"/>
      <c r="G12878" s="524" t="s">
        <v>20</v>
      </c>
      <c r="H12878" s="1219">
        <v>5.4000000000000003E-3</v>
      </c>
      <c r="K12878" s="1192" t="s">
        <v>2555</v>
      </c>
      <c r="L12878" s="1192" t="s">
        <v>432</v>
      </c>
      <c r="P12878" s="1192" t="s">
        <v>2564</v>
      </c>
      <c r="V12878" s="1192">
        <v>74</v>
      </c>
    </row>
    <row r="12879" spans="1:22" s="1192" customFormat="1" ht="14.4" x14ac:dyDescent="0.3">
      <c r="A12879" s="1192" t="s">
        <v>6898</v>
      </c>
      <c r="B12879" s="1192" t="s">
        <v>6908</v>
      </c>
      <c r="E12879" s="1750" t="s">
        <v>2405</v>
      </c>
      <c r="F12879" s="1741"/>
      <c r="G12879" s="1277"/>
      <c r="H12879" s="896"/>
      <c r="K12879" s="1192" t="s">
        <v>2565</v>
      </c>
      <c r="V12879" s="1192">
        <v>48</v>
      </c>
    </row>
    <row r="12880" spans="1:22" s="1192" customFormat="1" ht="14.4" x14ac:dyDescent="0.3">
      <c r="A12880" s="1192" t="s">
        <v>6898</v>
      </c>
      <c r="B12880" s="1192" t="s">
        <v>6908</v>
      </c>
      <c r="E12880" s="1741" t="s">
        <v>2033</v>
      </c>
      <c r="F12880" s="1741"/>
      <c r="G12880" s="524" t="s">
        <v>20</v>
      </c>
      <c r="H12880" s="1219">
        <v>3.0000000000000001E-3</v>
      </c>
      <c r="K12880" s="1192" t="s">
        <v>2555</v>
      </c>
      <c r="L12880" s="1192" t="s">
        <v>2374</v>
      </c>
      <c r="P12880" s="1192" t="s">
        <v>2566</v>
      </c>
      <c r="V12880" s="1192">
        <v>55</v>
      </c>
    </row>
    <row r="12881" spans="1:22" s="1192" customFormat="1" ht="14.4" x14ac:dyDescent="0.3">
      <c r="A12881" s="1192" t="s">
        <v>6898</v>
      </c>
      <c r="B12881" s="1192" t="s">
        <v>6908</v>
      </c>
      <c r="E12881" s="1741" t="s">
        <v>2034</v>
      </c>
      <c r="F12881" s="1741"/>
      <c r="G12881" s="524" t="s">
        <v>20</v>
      </c>
      <c r="H12881" s="1219">
        <v>4.0000000000000002E-4</v>
      </c>
      <c r="K12881" s="1192" t="s">
        <v>2555</v>
      </c>
      <c r="L12881" s="1192" t="s">
        <v>2374</v>
      </c>
      <c r="P12881" s="1192" t="s">
        <v>2566</v>
      </c>
      <c r="V12881" s="1192">
        <v>65</v>
      </c>
    </row>
    <row r="12882" spans="1:22" s="1192" customFormat="1" ht="14.4" x14ac:dyDescent="0.3">
      <c r="A12882" s="1192" t="s">
        <v>6898</v>
      </c>
      <c r="B12882" s="1192" t="s">
        <v>6908</v>
      </c>
      <c r="E12882" s="1741" t="s">
        <v>428</v>
      </c>
      <c r="F12882" s="1741"/>
      <c r="G12882" s="524" t="s">
        <v>20</v>
      </c>
      <c r="H12882" s="1219">
        <v>5.0000000000000001E-4</v>
      </c>
      <c r="K12882" s="1192" t="s">
        <v>2555</v>
      </c>
      <c r="L12882" s="1192" t="s">
        <v>2374</v>
      </c>
      <c r="P12882" s="1192" t="s">
        <v>2567</v>
      </c>
      <c r="V12882" s="1192">
        <v>57</v>
      </c>
    </row>
    <row r="12883" spans="1:22" s="1192" customFormat="1" ht="14.4" x14ac:dyDescent="0.3">
      <c r="A12883" s="1192" t="s">
        <v>6898</v>
      </c>
      <c r="B12883" s="1192" t="s">
        <v>6908</v>
      </c>
      <c r="E12883" s="1741" t="s">
        <v>28</v>
      </c>
      <c r="F12883" s="1741"/>
      <c r="G12883" s="524" t="s">
        <v>19</v>
      </c>
      <c r="H12883" s="1218">
        <v>0.25</v>
      </c>
      <c r="K12883" s="1192" t="s">
        <v>2555</v>
      </c>
      <c r="L12883" s="1192" t="s">
        <v>2374</v>
      </c>
      <c r="P12883" s="1192" t="s">
        <v>2568</v>
      </c>
      <c r="V12883" s="1192">
        <v>63</v>
      </c>
    </row>
    <row r="12884" spans="1:22" s="1192" customFormat="1" ht="17.399999999999999" x14ac:dyDescent="0.3">
      <c r="A12884" s="1192" t="s">
        <v>6898</v>
      </c>
      <c r="B12884" s="1192" t="s">
        <v>6908</v>
      </c>
      <c r="E12884" s="1746" t="s">
        <v>590</v>
      </c>
      <c r="F12884" s="1747"/>
      <c r="G12884" s="1747"/>
      <c r="H12884" s="1747"/>
      <c r="K12884" s="1192" t="s">
        <v>2569</v>
      </c>
      <c r="V12884" s="1192">
        <v>38</v>
      </c>
    </row>
    <row r="12885" spans="1:22" s="1192" customFormat="1" ht="14.4" x14ac:dyDescent="0.3">
      <c r="A12885" s="1192" t="s">
        <v>6898</v>
      </c>
      <c r="B12885" s="1192" t="s">
        <v>6908</v>
      </c>
      <c r="E12885" s="1743" t="s">
        <v>4450</v>
      </c>
      <c r="F12885" s="1743"/>
      <c r="G12885" s="1743"/>
      <c r="H12885" s="1743"/>
      <c r="K12885" s="1192" t="s">
        <v>2569</v>
      </c>
      <c r="V12885" s="1192">
        <v>545</v>
      </c>
    </row>
    <row r="12886" spans="1:22" s="1192" customFormat="1" ht="14.4" x14ac:dyDescent="0.3">
      <c r="A12886" s="1192" t="s">
        <v>6898</v>
      </c>
      <c r="B12886" s="1192" t="s">
        <v>6908</v>
      </c>
      <c r="E12886" s="1750" t="s">
        <v>2389</v>
      </c>
      <c r="F12886" s="1743"/>
      <c r="G12886" s="1743"/>
      <c r="H12886" s="1743"/>
      <c r="K12886" s="1192" t="s">
        <v>2571</v>
      </c>
      <c r="V12886" s="1192">
        <v>11</v>
      </c>
    </row>
    <row r="12887" spans="1:22" s="1192" customFormat="1" ht="14.4" x14ac:dyDescent="0.3">
      <c r="A12887" s="1192" t="s">
        <v>6898</v>
      </c>
      <c r="B12887" s="1192" t="s">
        <v>6908</v>
      </c>
      <c r="E12887" s="1743" t="s">
        <v>2391</v>
      </c>
      <c r="F12887" s="1743"/>
      <c r="G12887" s="1743"/>
      <c r="H12887" s="1743"/>
      <c r="K12887" s="1192" t="s">
        <v>2569</v>
      </c>
      <c r="V12887" s="1192">
        <v>280</v>
      </c>
    </row>
    <row r="12888" spans="1:22" s="1192" customFormat="1" ht="14.4" x14ac:dyDescent="0.3">
      <c r="A12888" s="1192" t="s">
        <v>6898</v>
      </c>
      <c r="B12888" s="1192" t="s">
        <v>6908</v>
      </c>
      <c r="E12888" s="1743" t="s">
        <v>2392</v>
      </c>
      <c r="F12888" s="1743"/>
      <c r="G12888" s="1743"/>
      <c r="H12888" s="1743"/>
      <c r="K12888" s="1192" t="s">
        <v>2569</v>
      </c>
      <c r="V12888" s="1192">
        <v>411</v>
      </c>
    </row>
    <row r="12889" spans="1:22" s="1192" customFormat="1" ht="14.4" x14ac:dyDescent="0.3">
      <c r="A12889" s="1192" t="s">
        <v>6898</v>
      </c>
      <c r="B12889" s="1192" t="s">
        <v>6908</v>
      </c>
      <c r="E12889" s="1743" t="s">
        <v>4444</v>
      </c>
      <c r="F12889" s="1743"/>
      <c r="G12889" s="1743"/>
      <c r="H12889" s="1743"/>
      <c r="K12889" s="1192" t="s">
        <v>2569</v>
      </c>
      <c r="V12889" s="1192">
        <v>388</v>
      </c>
    </row>
    <row r="12890" spans="1:22" s="1192" customFormat="1" ht="14.4" x14ac:dyDescent="0.3">
      <c r="A12890" s="1192" t="s">
        <v>6898</v>
      </c>
      <c r="B12890" s="1192" t="s">
        <v>6908</v>
      </c>
      <c r="E12890" s="1743" t="s">
        <v>4500</v>
      </c>
      <c r="F12890" s="1743"/>
      <c r="G12890" s="1743"/>
      <c r="H12890" s="1743"/>
      <c r="K12890" s="1192" t="s">
        <v>2569</v>
      </c>
      <c r="V12890" s="1192">
        <v>247</v>
      </c>
    </row>
    <row r="12891" spans="1:22" s="1192" customFormat="1" ht="14.4" x14ac:dyDescent="0.3">
      <c r="A12891" s="1192" t="s">
        <v>6898</v>
      </c>
      <c r="B12891" s="1192" t="s">
        <v>6908</v>
      </c>
      <c r="E12891" s="1750" t="s">
        <v>2394</v>
      </c>
      <c r="F12891" s="1743"/>
      <c r="G12891" s="1743"/>
      <c r="H12891" s="1743"/>
      <c r="K12891" s="1192" t="s">
        <v>2572</v>
      </c>
      <c r="V12891" s="1192">
        <v>46</v>
      </c>
    </row>
    <row r="12892" spans="1:22" s="1192" customFormat="1" ht="14.4" x14ac:dyDescent="0.3">
      <c r="A12892" s="1192" t="s">
        <v>6898</v>
      </c>
      <c r="B12892" s="1192" t="s">
        <v>6908</v>
      </c>
      <c r="E12892" s="1741" t="s">
        <v>8</v>
      </c>
      <c r="F12892" s="1741"/>
      <c r="G12892" s="524" t="s">
        <v>19</v>
      </c>
      <c r="H12892" s="1218">
        <v>3.83</v>
      </c>
      <c r="K12892" s="1192" t="s">
        <v>2569</v>
      </c>
      <c r="L12892" s="1192" t="s">
        <v>430</v>
      </c>
      <c r="P12892" s="1192" t="s">
        <v>2573</v>
      </c>
      <c r="V12892" s="1192">
        <v>31</v>
      </c>
    </row>
    <row r="12893" spans="1:22" s="1192" customFormat="1" ht="14.4" x14ac:dyDescent="0.3">
      <c r="A12893" s="1192" t="s">
        <v>6898</v>
      </c>
      <c r="B12893" s="1192" t="s">
        <v>6908</v>
      </c>
      <c r="E12893" s="1741" t="s">
        <v>80</v>
      </c>
      <c r="F12893" s="1741"/>
      <c r="G12893" s="524" t="s">
        <v>29</v>
      </c>
      <c r="H12893" s="1219">
        <v>22.308199999999999</v>
      </c>
      <c r="K12893" s="1192" t="s">
        <v>2569</v>
      </c>
      <c r="L12893" s="1192" t="s">
        <v>430</v>
      </c>
      <c r="P12893" s="1192" t="s">
        <v>2574</v>
      </c>
      <c r="V12893" s="1192">
        <v>28</v>
      </c>
    </row>
    <row r="12894" spans="1:22" s="1192" customFormat="1" ht="14.4" x14ac:dyDescent="0.3">
      <c r="A12894" s="1192" t="s">
        <v>6898</v>
      </c>
      <c r="B12894" s="1192" t="s">
        <v>6908</v>
      </c>
      <c r="E12894" s="1741" t="s">
        <v>14</v>
      </c>
      <c r="F12894" s="1741"/>
      <c r="G12894" s="524" t="s">
        <v>29</v>
      </c>
      <c r="H12894" s="1219">
        <v>1.4231</v>
      </c>
      <c r="K12894" s="1192" t="s">
        <v>2569</v>
      </c>
      <c r="L12894" s="1192" t="s">
        <v>431</v>
      </c>
      <c r="P12894" s="1192" t="s">
        <v>2575</v>
      </c>
      <c r="V12894" s="1192">
        <v>24</v>
      </c>
    </row>
    <row r="12895" spans="1:22" s="1192" customFormat="1" ht="14.4" x14ac:dyDescent="0.3">
      <c r="A12895" s="1192" t="s">
        <v>6898</v>
      </c>
      <c r="B12895" s="1192" t="s">
        <v>6908</v>
      </c>
      <c r="E12895" s="1741" t="s">
        <v>6588</v>
      </c>
      <c r="F12895" s="1998"/>
      <c r="G12895" s="524" t="s">
        <v>29</v>
      </c>
      <c r="H12895" s="1219">
        <v>15.3316</v>
      </c>
      <c r="K12895" s="1192" t="s">
        <v>2569</v>
      </c>
      <c r="L12895" s="1192" t="s">
        <v>430</v>
      </c>
      <c r="P12895" s="1192" t="s">
        <v>2577</v>
      </c>
      <c r="T12895" s="1192">
        <v>44316</v>
      </c>
      <c r="V12895" s="1192">
        <v>135</v>
      </c>
    </row>
    <row r="12896" spans="1:22" s="1192" customFormat="1" ht="14.4" x14ac:dyDescent="0.3">
      <c r="A12896" s="1192" t="s">
        <v>6898</v>
      </c>
      <c r="B12896" s="1192" t="s">
        <v>6908</v>
      </c>
      <c r="E12896" s="1741" t="s">
        <v>6487</v>
      </c>
      <c r="F12896" s="1998"/>
      <c r="G12896" s="524" t="s">
        <v>29</v>
      </c>
      <c r="H12896" s="1219">
        <v>-0.17130000000000001</v>
      </c>
      <c r="K12896" s="1192" t="s">
        <v>2569</v>
      </c>
      <c r="L12896" s="1192" t="s">
        <v>431</v>
      </c>
      <c r="P12896" s="1192" t="s">
        <v>2578</v>
      </c>
      <c r="T12896" s="1192">
        <v>44316</v>
      </c>
      <c r="V12896" s="1192">
        <v>132</v>
      </c>
    </row>
    <row r="12897" spans="1:22" s="1192" customFormat="1" ht="14.4" x14ac:dyDescent="0.3">
      <c r="A12897" s="1192" t="s">
        <v>6898</v>
      </c>
      <c r="B12897" s="1192" t="s">
        <v>6908</v>
      </c>
      <c r="E12897" s="1741" t="s">
        <v>213</v>
      </c>
      <c r="F12897" s="1741"/>
      <c r="G12897" s="524" t="s">
        <v>29</v>
      </c>
      <c r="H12897" s="1219">
        <v>1.9530000000000001</v>
      </c>
      <c r="K12897" s="1192" t="s">
        <v>2569</v>
      </c>
      <c r="L12897" s="1192" t="s">
        <v>432</v>
      </c>
      <c r="P12897" s="1192" t="s">
        <v>2579</v>
      </c>
      <c r="V12897" s="1192">
        <v>47</v>
      </c>
    </row>
    <row r="12898" spans="1:22" s="1192" customFormat="1" ht="14.4" x14ac:dyDescent="0.3">
      <c r="A12898" s="1192" t="s">
        <v>6898</v>
      </c>
      <c r="B12898" s="1192" t="s">
        <v>6908</v>
      </c>
      <c r="E12898" s="1741" t="s">
        <v>209</v>
      </c>
      <c r="F12898" s="1741"/>
      <c r="G12898" s="524" t="s">
        <v>29</v>
      </c>
      <c r="H12898" s="1219">
        <v>2.4563999999999999</v>
      </c>
      <c r="K12898" s="1192" t="s">
        <v>2569</v>
      </c>
      <c r="L12898" s="1192" t="s">
        <v>432</v>
      </c>
      <c r="P12898" s="1192" t="s">
        <v>2580</v>
      </c>
      <c r="V12898" s="1192">
        <v>74</v>
      </c>
    </row>
    <row r="12899" spans="1:22" s="1192" customFormat="1" ht="14.4" x14ac:dyDescent="0.3">
      <c r="A12899" s="1192" t="s">
        <v>6898</v>
      </c>
      <c r="B12899" s="1192" t="s">
        <v>6908</v>
      </c>
      <c r="E12899" s="1750" t="s">
        <v>2405</v>
      </c>
      <c r="F12899" s="1741"/>
      <c r="G12899" s="1277"/>
      <c r="H12899" s="896"/>
      <c r="K12899" s="1192" t="s">
        <v>2581</v>
      </c>
      <c r="V12899" s="1192">
        <v>48</v>
      </c>
    </row>
    <row r="12900" spans="1:22" s="1192" customFormat="1" ht="14.4" x14ac:dyDescent="0.3">
      <c r="A12900" s="1192" t="s">
        <v>6898</v>
      </c>
      <c r="B12900" s="1192" t="s">
        <v>6908</v>
      </c>
      <c r="E12900" s="1741" t="s">
        <v>2033</v>
      </c>
      <c r="F12900" s="1741"/>
      <c r="G12900" s="524" t="s">
        <v>20</v>
      </c>
      <c r="H12900" s="1219">
        <v>3.0000000000000001E-3</v>
      </c>
      <c r="K12900" s="1192" t="s">
        <v>2569</v>
      </c>
      <c r="L12900" s="1192" t="s">
        <v>2374</v>
      </c>
      <c r="P12900" s="1192" t="s">
        <v>2582</v>
      </c>
      <c r="V12900" s="1192">
        <v>55</v>
      </c>
    </row>
    <row r="12901" spans="1:22" s="1192" customFormat="1" ht="14.4" x14ac:dyDescent="0.3">
      <c r="A12901" s="1192" t="s">
        <v>6898</v>
      </c>
      <c r="B12901" s="1192" t="s">
        <v>6908</v>
      </c>
      <c r="E12901" s="1741" t="s">
        <v>2034</v>
      </c>
      <c r="F12901" s="1741"/>
      <c r="G12901" s="524" t="s">
        <v>20</v>
      </c>
      <c r="H12901" s="1219">
        <v>4.0000000000000002E-4</v>
      </c>
      <c r="K12901" s="1192" t="s">
        <v>2569</v>
      </c>
      <c r="L12901" s="1192" t="s">
        <v>2374</v>
      </c>
      <c r="P12901" s="1192" t="s">
        <v>2582</v>
      </c>
      <c r="V12901" s="1192">
        <v>65</v>
      </c>
    </row>
    <row r="12902" spans="1:22" s="1192" customFormat="1" ht="14.4" x14ac:dyDescent="0.3">
      <c r="A12902" s="1192" t="s">
        <v>6898</v>
      </c>
      <c r="B12902" s="1192" t="s">
        <v>6908</v>
      </c>
      <c r="E12902" s="1741" t="s">
        <v>428</v>
      </c>
      <c r="F12902" s="1741"/>
      <c r="G12902" s="524" t="s">
        <v>20</v>
      </c>
      <c r="H12902" s="1219">
        <v>5.0000000000000001E-4</v>
      </c>
      <c r="K12902" s="1192" t="s">
        <v>2569</v>
      </c>
      <c r="L12902" s="1192" t="s">
        <v>2374</v>
      </c>
      <c r="P12902" s="1192" t="s">
        <v>2583</v>
      </c>
      <c r="V12902" s="1192">
        <v>57</v>
      </c>
    </row>
    <row r="12903" spans="1:22" s="1192" customFormat="1" ht="14.4" x14ac:dyDescent="0.3">
      <c r="A12903" s="1192" t="s">
        <v>6898</v>
      </c>
      <c r="B12903" s="1192" t="s">
        <v>6908</v>
      </c>
      <c r="E12903" s="1741" t="s">
        <v>28</v>
      </c>
      <c r="F12903" s="1741"/>
      <c r="G12903" s="524" t="s">
        <v>19</v>
      </c>
      <c r="H12903" s="1218">
        <v>0.25</v>
      </c>
      <c r="K12903" s="1192" t="s">
        <v>2569</v>
      </c>
      <c r="L12903" s="1192" t="s">
        <v>2374</v>
      </c>
      <c r="P12903" s="1192" t="s">
        <v>2584</v>
      </c>
      <c r="V12903" s="1192">
        <v>63</v>
      </c>
    </row>
    <row r="12904" spans="1:22" s="1192" customFormat="1" ht="17.399999999999999" x14ac:dyDescent="0.3">
      <c r="A12904" s="1192" t="s">
        <v>6898</v>
      </c>
      <c r="B12904" s="1192" t="s">
        <v>6908</v>
      </c>
      <c r="E12904" s="1746" t="s">
        <v>597</v>
      </c>
      <c r="F12904" s="1747"/>
      <c r="G12904" s="1747"/>
      <c r="H12904" s="1747"/>
      <c r="K12904" s="1192" t="s">
        <v>2881</v>
      </c>
      <c r="V12904" s="1192">
        <v>43</v>
      </c>
    </row>
    <row r="12905" spans="1:22" s="1192" customFormat="1" ht="14.4" x14ac:dyDescent="0.3">
      <c r="A12905" s="1192" t="s">
        <v>6898</v>
      </c>
      <c r="B12905" s="1192" t="s">
        <v>6908</v>
      </c>
      <c r="E12905" s="1743" t="s">
        <v>4596</v>
      </c>
      <c r="F12905" s="1743"/>
      <c r="G12905" s="1743"/>
      <c r="H12905" s="1743"/>
      <c r="K12905" s="1192" t="s">
        <v>2881</v>
      </c>
      <c r="V12905" s="1192">
        <v>249</v>
      </c>
    </row>
    <row r="12906" spans="1:22" s="1192" customFormat="1" ht="14.4" x14ac:dyDescent="0.3">
      <c r="A12906" s="1192" t="s">
        <v>6898</v>
      </c>
      <c r="B12906" s="1192" t="s">
        <v>6908</v>
      </c>
      <c r="E12906" s="1750" t="s">
        <v>2389</v>
      </c>
      <c r="F12906" s="1743"/>
      <c r="G12906" s="1743"/>
      <c r="H12906" s="1743"/>
      <c r="K12906" s="1192" t="s">
        <v>2586</v>
      </c>
      <c r="V12906" s="1192">
        <v>11</v>
      </c>
    </row>
    <row r="12907" spans="1:22" s="1192" customFormat="1" ht="14.4" x14ac:dyDescent="0.3">
      <c r="A12907" s="1192" t="s">
        <v>6898</v>
      </c>
      <c r="B12907" s="1192" t="s">
        <v>6908</v>
      </c>
      <c r="E12907" s="1743" t="s">
        <v>2391</v>
      </c>
      <c r="F12907" s="1743"/>
      <c r="G12907" s="1743"/>
      <c r="H12907" s="1743"/>
      <c r="K12907" s="1192" t="s">
        <v>2881</v>
      </c>
      <c r="V12907" s="1192">
        <v>280</v>
      </c>
    </row>
    <row r="12908" spans="1:22" s="1192" customFormat="1" ht="14.4" x14ac:dyDescent="0.3">
      <c r="A12908" s="1192" t="s">
        <v>6898</v>
      </c>
      <c r="B12908" s="1192" t="s">
        <v>6908</v>
      </c>
      <c r="E12908" s="1743" t="s">
        <v>2392</v>
      </c>
      <c r="F12908" s="1743"/>
      <c r="G12908" s="1743"/>
      <c r="H12908" s="1743"/>
      <c r="K12908" s="1192" t="s">
        <v>2881</v>
      </c>
      <c r="V12908" s="1192">
        <v>411</v>
      </c>
    </row>
    <row r="12909" spans="1:22" s="1192" customFormat="1" ht="14.4" x14ac:dyDescent="0.3">
      <c r="A12909" s="1192" t="s">
        <v>6898</v>
      </c>
      <c r="B12909" s="1192" t="s">
        <v>6908</v>
      </c>
      <c r="E12909" s="1743" t="s">
        <v>4444</v>
      </c>
      <c r="F12909" s="1743"/>
      <c r="G12909" s="1743"/>
      <c r="H12909" s="1743"/>
      <c r="K12909" s="1192" t="s">
        <v>2881</v>
      </c>
      <c r="V12909" s="1192">
        <v>388</v>
      </c>
    </row>
    <row r="12910" spans="1:22" s="1192" customFormat="1" ht="14.4" x14ac:dyDescent="0.3">
      <c r="A12910" s="1192" t="s">
        <v>6898</v>
      </c>
      <c r="B12910" s="1192" t="s">
        <v>6908</v>
      </c>
      <c r="E12910" s="1743" t="s">
        <v>4500</v>
      </c>
      <c r="F12910" s="1743"/>
      <c r="G12910" s="1743"/>
      <c r="H12910" s="1743"/>
      <c r="K12910" s="1192" t="s">
        <v>2881</v>
      </c>
      <c r="V12910" s="1192">
        <v>247</v>
      </c>
    </row>
    <row r="12911" spans="1:22" s="1192" customFormat="1" ht="14.4" x14ac:dyDescent="0.3">
      <c r="A12911" s="1192" t="s">
        <v>6898</v>
      </c>
      <c r="B12911" s="1192" t="s">
        <v>6908</v>
      </c>
      <c r="E12911" s="1750" t="s">
        <v>2394</v>
      </c>
      <c r="F12911" s="1743"/>
      <c r="G12911" s="1743"/>
      <c r="H12911" s="1743"/>
      <c r="K12911" s="1192" t="s">
        <v>2587</v>
      </c>
      <c r="V12911" s="1192">
        <v>46</v>
      </c>
    </row>
    <row r="12912" spans="1:22" s="1192" customFormat="1" ht="14.4" x14ac:dyDescent="0.3">
      <c r="A12912" s="1192" t="s">
        <v>6898</v>
      </c>
      <c r="B12912" s="1192" t="s">
        <v>6908</v>
      </c>
      <c r="E12912" s="1741" t="s">
        <v>7</v>
      </c>
      <c r="F12912" s="1741"/>
      <c r="G12912" s="524" t="s">
        <v>19</v>
      </c>
      <c r="H12912" s="1218">
        <v>1739.17</v>
      </c>
      <c r="K12912" s="1192" t="s">
        <v>2881</v>
      </c>
      <c r="L12912" s="1192" t="s">
        <v>430</v>
      </c>
      <c r="P12912" s="1192" t="s">
        <v>2882</v>
      </c>
      <c r="V12912" s="1192">
        <v>14</v>
      </c>
    </row>
    <row r="12913" spans="1:22" s="1192" customFormat="1" ht="14.4" x14ac:dyDescent="0.3">
      <c r="A12913" s="1192" t="s">
        <v>6898</v>
      </c>
      <c r="B12913" s="1192" t="s">
        <v>6908</v>
      </c>
      <c r="E12913" s="1741" t="s">
        <v>80</v>
      </c>
      <c r="F12913" s="1741"/>
      <c r="G12913" s="524" t="s">
        <v>29</v>
      </c>
      <c r="H12913" s="1219">
        <v>2.9918</v>
      </c>
      <c r="K12913" s="1192" t="s">
        <v>2881</v>
      </c>
      <c r="L12913" s="1192" t="s">
        <v>430</v>
      </c>
      <c r="P12913" s="1192" t="s">
        <v>4451</v>
      </c>
      <c r="V12913" s="1192">
        <v>28</v>
      </c>
    </row>
    <row r="12914" spans="1:22" s="1192" customFormat="1" ht="14.4" x14ac:dyDescent="0.3">
      <c r="A12914" s="1192" t="s">
        <v>6898</v>
      </c>
      <c r="B12914" s="1192" t="s">
        <v>6908</v>
      </c>
      <c r="E12914" s="1741" t="s">
        <v>14</v>
      </c>
      <c r="F12914" s="1741"/>
      <c r="G12914" s="524" t="s">
        <v>29</v>
      </c>
      <c r="H12914" s="1219">
        <v>1.5809</v>
      </c>
      <c r="K12914" s="1192" t="s">
        <v>2881</v>
      </c>
      <c r="L12914" s="1192" t="s">
        <v>431</v>
      </c>
      <c r="P12914" s="1192" t="s">
        <v>4597</v>
      </c>
      <c r="V12914" s="1192">
        <v>24</v>
      </c>
    </row>
    <row r="12915" spans="1:22" s="1192" customFormat="1" ht="14.4" x14ac:dyDescent="0.3">
      <c r="A12915" s="1192" t="s">
        <v>6898</v>
      </c>
      <c r="B12915" s="1192" t="s">
        <v>6908</v>
      </c>
      <c r="E12915" s="1741" t="s">
        <v>6588</v>
      </c>
      <c r="F12915" s="1998"/>
      <c r="G12915" s="524" t="s">
        <v>29</v>
      </c>
      <c r="H12915" s="1219">
        <v>-8.2000000000000007E-3</v>
      </c>
      <c r="K12915" s="1192" t="s">
        <v>2881</v>
      </c>
      <c r="L12915" s="1192" t="s">
        <v>430</v>
      </c>
      <c r="P12915" s="1192" t="s">
        <v>4598</v>
      </c>
      <c r="T12915" s="1192">
        <v>44316</v>
      </c>
      <c r="V12915" s="1192">
        <v>135</v>
      </c>
    </row>
    <row r="12916" spans="1:22" s="1192" customFormat="1" ht="14.4" x14ac:dyDescent="0.3">
      <c r="A12916" s="1192" t="s">
        <v>6898</v>
      </c>
      <c r="B12916" s="1192" t="s">
        <v>6908</v>
      </c>
      <c r="E12916" s="1741" t="s">
        <v>6487</v>
      </c>
      <c r="F12916" s="1998"/>
      <c r="G12916" s="524" t="s">
        <v>29</v>
      </c>
      <c r="H12916" s="1219">
        <v>-0.192</v>
      </c>
      <c r="K12916" s="1192" t="s">
        <v>2881</v>
      </c>
      <c r="L12916" s="1192" t="s">
        <v>431</v>
      </c>
      <c r="P12916" s="1192" t="s">
        <v>3495</v>
      </c>
      <c r="T12916" s="1192">
        <v>44316</v>
      </c>
      <c r="V12916" s="1192">
        <v>132</v>
      </c>
    </row>
    <row r="12917" spans="1:22" s="1192" customFormat="1" ht="14.4" x14ac:dyDescent="0.3">
      <c r="A12917" s="1192" t="s">
        <v>6898</v>
      </c>
      <c r="B12917" s="1192" t="s">
        <v>6908</v>
      </c>
      <c r="E12917" s="1741" t="s">
        <v>213</v>
      </c>
      <c r="F12917" s="1741"/>
      <c r="G12917" s="524" t="s">
        <v>29</v>
      </c>
      <c r="H12917" s="1219">
        <v>3.6747000000000001</v>
      </c>
      <c r="K12917" s="1192" t="s">
        <v>2881</v>
      </c>
      <c r="L12917" s="1192" t="s">
        <v>432</v>
      </c>
      <c r="P12917" s="1192" t="s">
        <v>2883</v>
      </c>
      <c r="V12917" s="1192">
        <v>47</v>
      </c>
    </row>
    <row r="12918" spans="1:22" s="1192" customFormat="1" ht="14.4" x14ac:dyDescent="0.3">
      <c r="A12918" s="1192" t="s">
        <v>6898</v>
      </c>
      <c r="B12918" s="1192" t="s">
        <v>6908</v>
      </c>
      <c r="E12918" s="1741" t="s">
        <v>209</v>
      </c>
      <c r="F12918" s="1741"/>
      <c r="G12918" s="524" t="s">
        <v>29</v>
      </c>
      <c r="H12918" s="1219">
        <v>2.7294</v>
      </c>
      <c r="K12918" s="1192" t="s">
        <v>2881</v>
      </c>
      <c r="L12918" s="1192" t="s">
        <v>432</v>
      </c>
      <c r="P12918" s="1192" t="s">
        <v>2884</v>
      </c>
      <c r="V12918" s="1192">
        <v>74</v>
      </c>
    </row>
    <row r="12919" spans="1:22" s="1192" customFormat="1" ht="14.4" x14ac:dyDescent="0.3">
      <c r="A12919" s="1192" t="s">
        <v>6898</v>
      </c>
      <c r="B12919" s="1192" t="s">
        <v>6908</v>
      </c>
      <c r="E12919" s="1750" t="s">
        <v>2405</v>
      </c>
      <c r="F12919" s="1741"/>
      <c r="G12919" s="1277"/>
      <c r="H12919" s="896"/>
      <c r="K12919" s="1192" t="s">
        <v>2657</v>
      </c>
      <c r="V12919" s="1192">
        <v>48</v>
      </c>
    </row>
    <row r="12920" spans="1:22" s="1192" customFormat="1" ht="14.4" x14ac:dyDescent="0.3">
      <c r="A12920" s="1192" t="s">
        <v>6898</v>
      </c>
      <c r="B12920" s="1192" t="s">
        <v>6908</v>
      </c>
      <c r="E12920" s="1741" t="s">
        <v>2033</v>
      </c>
      <c r="F12920" s="1741"/>
      <c r="G12920" s="524" t="s">
        <v>20</v>
      </c>
      <c r="H12920" s="1219">
        <v>3.0000000000000001E-3</v>
      </c>
      <c r="K12920" s="1192" t="s">
        <v>2881</v>
      </c>
      <c r="L12920" s="1192" t="s">
        <v>2374</v>
      </c>
      <c r="P12920" s="1192" t="s">
        <v>2885</v>
      </c>
      <c r="V12920" s="1192">
        <v>55</v>
      </c>
    </row>
    <row r="12921" spans="1:22" s="1192" customFormat="1" ht="14.4" x14ac:dyDescent="0.3">
      <c r="A12921" s="1192" t="s">
        <v>6898</v>
      </c>
      <c r="B12921" s="1192" t="s">
        <v>6908</v>
      </c>
      <c r="E12921" s="1741" t="s">
        <v>2034</v>
      </c>
      <c r="F12921" s="1741"/>
      <c r="G12921" s="524" t="s">
        <v>20</v>
      </c>
      <c r="H12921" s="1219">
        <v>4.0000000000000002E-4</v>
      </c>
      <c r="K12921" s="1192" t="s">
        <v>2881</v>
      </c>
      <c r="L12921" s="1192" t="s">
        <v>2374</v>
      </c>
      <c r="P12921" s="1192" t="s">
        <v>2885</v>
      </c>
      <c r="V12921" s="1192">
        <v>65</v>
      </c>
    </row>
    <row r="12922" spans="1:22" s="1192" customFormat="1" ht="14.4" x14ac:dyDescent="0.3">
      <c r="A12922" s="1192" t="s">
        <v>6898</v>
      </c>
      <c r="B12922" s="1192" t="s">
        <v>6908</v>
      </c>
      <c r="E12922" s="1741" t="s">
        <v>428</v>
      </c>
      <c r="F12922" s="1741"/>
      <c r="G12922" s="524" t="s">
        <v>20</v>
      </c>
      <c r="H12922" s="1219">
        <v>5.0000000000000001E-4</v>
      </c>
      <c r="K12922" s="1192" t="s">
        <v>2881</v>
      </c>
      <c r="L12922" s="1192" t="s">
        <v>2374</v>
      </c>
      <c r="P12922" s="1192" t="s">
        <v>2886</v>
      </c>
      <c r="V12922" s="1192">
        <v>57</v>
      </c>
    </row>
    <row r="12923" spans="1:22" s="1192" customFormat="1" ht="14.4" x14ac:dyDescent="0.3">
      <c r="A12923" s="1192" t="s">
        <v>6898</v>
      </c>
      <c r="B12923" s="1192" t="s">
        <v>6908</v>
      </c>
      <c r="E12923" s="1741" t="s">
        <v>28</v>
      </c>
      <c r="F12923" s="1741"/>
      <c r="G12923" s="524" t="s">
        <v>19</v>
      </c>
      <c r="H12923" s="1218">
        <v>0.25</v>
      </c>
      <c r="K12923" s="1192" t="s">
        <v>2881</v>
      </c>
      <c r="L12923" s="1192" t="s">
        <v>2374</v>
      </c>
      <c r="P12923" s="1192" t="s">
        <v>2887</v>
      </c>
      <c r="V12923" s="1192">
        <v>63</v>
      </c>
    </row>
    <row r="12924" spans="1:22" s="1192" customFormat="1" ht="17.399999999999999" x14ac:dyDescent="0.3">
      <c r="A12924" s="1192" t="s">
        <v>6898</v>
      </c>
      <c r="B12924" s="1192" t="s">
        <v>6908</v>
      </c>
      <c r="E12924" s="1746" t="s">
        <v>593</v>
      </c>
      <c r="F12924" s="1747"/>
      <c r="G12924" s="1747"/>
      <c r="H12924" s="1747"/>
      <c r="K12924" s="1192" t="s">
        <v>2873</v>
      </c>
      <c r="V12924" s="1192">
        <v>31</v>
      </c>
    </row>
    <row r="12925" spans="1:22" s="1192" customFormat="1" ht="14.4" x14ac:dyDescent="0.3">
      <c r="A12925" s="1192" t="s">
        <v>6898</v>
      </c>
      <c r="B12925" s="1192" t="s">
        <v>6908</v>
      </c>
      <c r="E12925" s="1743" t="s">
        <v>2699</v>
      </c>
      <c r="F12925" s="1743"/>
      <c r="G12925" s="1743"/>
      <c r="H12925" s="1743"/>
      <c r="K12925" s="1192" t="s">
        <v>2873</v>
      </c>
      <c r="V12925" s="1192">
        <v>285</v>
      </c>
    </row>
    <row r="12926" spans="1:22" s="1192" customFormat="1" ht="14.4" x14ac:dyDescent="0.3">
      <c r="A12926" s="1192" t="s">
        <v>6898</v>
      </c>
      <c r="B12926" s="1192" t="s">
        <v>6908</v>
      </c>
      <c r="E12926" s="1750" t="s">
        <v>2389</v>
      </c>
      <c r="F12926" s="1743"/>
      <c r="G12926" s="1743"/>
      <c r="H12926" s="1743"/>
      <c r="K12926" s="1192" t="s">
        <v>2629</v>
      </c>
      <c r="V12926" s="1192">
        <v>11</v>
      </c>
    </row>
    <row r="12927" spans="1:22" s="1192" customFormat="1" ht="14.4" x14ac:dyDescent="0.3">
      <c r="A12927" s="1192" t="s">
        <v>6898</v>
      </c>
      <c r="B12927" s="1192" t="s">
        <v>6908</v>
      </c>
      <c r="E12927" s="1743" t="s">
        <v>2391</v>
      </c>
      <c r="F12927" s="1743"/>
      <c r="G12927" s="1743"/>
      <c r="H12927" s="1743"/>
      <c r="K12927" s="1192" t="s">
        <v>2873</v>
      </c>
      <c r="V12927" s="1192">
        <v>280</v>
      </c>
    </row>
    <row r="12928" spans="1:22" s="1192" customFormat="1" ht="14.4" x14ac:dyDescent="0.3">
      <c r="A12928" s="1192" t="s">
        <v>6898</v>
      </c>
      <c r="B12928" s="1192" t="s">
        <v>6908</v>
      </c>
      <c r="E12928" s="1743" t="s">
        <v>2392</v>
      </c>
      <c r="F12928" s="1743"/>
      <c r="G12928" s="1743"/>
      <c r="H12928" s="1743"/>
      <c r="K12928" s="1192" t="s">
        <v>2873</v>
      </c>
      <c r="V12928" s="1192">
        <v>411</v>
      </c>
    </row>
    <row r="12929" spans="1:22" s="1192" customFormat="1" ht="14.4" x14ac:dyDescent="0.3">
      <c r="A12929" s="1192" t="s">
        <v>6898</v>
      </c>
      <c r="B12929" s="1192" t="s">
        <v>6908</v>
      </c>
      <c r="E12929" s="1743" t="s">
        <v>2445</v>
      </c>
      <c r="F12929" s="1743"/>
      <c r="G12929" s="1743"/>
      <c r="H12929" s="1743"/>
      <c r="K12929" s="1192" t="s">
        <v>2873</v>
      </c>
      <c r="V12929" s="1192">
        <v>211</v>
      </c>
    </row>
    <row r="12930" spans="1:22" s="1192" customFormat="1" ht="14.4" x14ac:dyDescent="0.3">
      <c r="A12930" s="1192" t="s">
        <v>6898</v>
      </c>
      <c r="B12930" s="1192" t="s">
        <v>6908</v>
      </c>
      <c r="E12930" s="1743" t="s">
        <v>4500</v>
      </c>
      <c r="F12930" s="1743"/>
      <c r="G12930" s="1743"/>
      <c r="H12930" s="1743"/>
      <c r="K12930" s="1192" t="s">
        <v>2873</v>
      </c>
      <c r="V12930" s="1192">
        <v>247</v>
      </c>
    </row>
    <row r="12931" spans="1:22" s="1192" customFormat="1" ht="14.4" x14ac:dyDescent="0.3">
      <c r="A12931" s="1192" t="s">
        <v>6898</v>
      </c>
      <c r="B12931" s="1192" t="s">
        <v>6908</v>
      </c>
      <c r="E12931" s="1750" t="s">
        <v>2394</v>
      </c>
      <c r="F12931" s="1743"/>
      <c r="G12931" s="1743"/>
      <c r="H12931" s="1743"/>
      <c r="K12931" s="1192" t="s">
        <v>2630</v>
      </c>
      <c r="V12931" s="1192">
        <v>46</v>
      </c>
    </row>
    <row r="12932" spans="1:22" s="1192" customFormat="1" ht="14.4" x14ac:dyDescent="0.3">
      <c r="A12932" s="1192" t="s">
        <v>6898</v>
      </c>
      <c r="B12932" s="1192" t="s">
        <v>6908</v>
      </c>
      <c r="E12932" s="1741" t="s">
        <v>7</v>
      </c>
      <c r="F12932" s="1741"/>
      <c r="G12932" s="524" t="s">
        <v>19</v>
      </c>
      <c r="H12932" s="1218">
        <v>4.55</v>
      </c>
      <c r="K12932" s="1192" t="s">
        <v>2873</v>
      </c>
      <c r="L12932" s="1192" t="s">
        <v>430</v>
      </c>
      <c r="P12932" s="1192" t="s">
        <v>2874</v>
      </c>
      <c r="V12932" s="1192">
        <v>14</v>
      </c>
    </row>
    <row r="12933" spans="1:22" s="1192" customFormat="1" x14ac:dyDescent="0.3">
      <c r="A12933" s="1192" t="s">
        <v>6898</v>
      </c>
      <c r="B12933" s="1192" t="s">
        <v>6908</v>
      </c>
      <c r="E12933" s="1260" t="s">
        <v>81</v>
      </c>
      <c r="F12933" s="554"/>
      <c r="G12933" s="554"/>
      <c r="H12933" s="917"/>
      <c r="K12933" s="1192" t="s">
        <v>6911</v>
      </c>
      <c r="V12933" s="1192">
        <v>10</v>
      </c>
    </row>
    <row r="12934" spans="1:22" s="1192" customFormat="1" ht="14.4" x14ac:dyDescent="0.3">
      <c r="A12934" s="1192" t="s">
        <v>6898</v>
      </c>
      <c r="B12934" s="1192" t="s">
        <v>6908</v>
      </c>
      <c r="E12934" s="1741" t="s">
        <v>2449</v>
      </c>
      <c r="F12934" s="1741"/>
      <c r="G12934" s="1277" t="s">
        <v>29</v>
      </c>
      <c r="H12934" s="1219">
        <v>-0.6</v>
      </c>
      <c r="V12934" s="1192">
        <v>68</v>
      </c>
    </row>
    <row r="12935" spans="1:22" s="1192" customFormat="1" ht="14.4" x14ac:dyDescent="0.3">
      <c r="A12935" s="1192" t="s">
        <v>6898</v>
      </c>
      <c r="B12935" s="1192" t="s">
        <v>6908</v>
      </c>
      <c r="E12935" s="1741" t="s">
        <v>2450</v>
      </c>
      <c r="F12935" s="1741"/>
      <c r="G12935" s="1277" t="s">
        <v>82</v>
      </c>
      <c r="H12935" s="1218">
        <v>-1</v>
      </c>
      <c r="V12935" s="1192">
        <v>87</v>
      </c>
    </row>
    <row r="12936" spans="1:22" s="1192" customFormat="1" x14ac:dyDescent="0.3">
      <c r="A12936" s="1192" t="s">
        <v>6898</v>
      </c>
      <c r="B12936" s="1192" t="s">
        <v>6908</v>
      </c>
      <c r="E12936" s="1260" t="s">
        <v>83</v>
      </c>
      <c r="F12936" s="554"/>
      <c r="G12936" s="554"/>
      <c r="H12936" s="917"/>
      <c r="K12936" s="1192" t="s">
        <v>6912</v>
      </c>
      <c r="V12936" s="1192">
        <v>24</v>
      </c>
    </row>
    <row r="12937" spans="1:22" s="1192" customFormat="1" ht="14.4" x14ac:dyDescent="0.3">
      <c r="A12937" s="1192" t="s">
        <v>6898</v>
      </c>
      <c r="B12937" s="1192" t="s">
        <v>6908</v>
      </c>
      <c r="E12937" s="1743" t="s">
        <v>2391</v>
      </c>
      <c r="F12937" s="1743"/>
      <c r="G12937" s="1743"/>
      <c r="H12937" s="1743"/>
      <c r="V12937" s="1192">
        <v>280</v>
      </c>
    </row>
    <row r="12938" spans="1:22" s="1192" customFormat="1" ht="14.4" x14ac:dyDescent="0.3">
      <c r="A12938" s="1192" t="s">
        <v>6898</v>
      </c>
      <c r="B12938" s="1192" t="s">
        <v>6908</v>
      </c>
      <c r="E12938" s="1743" t="s">
        <v>2452</v>
      </c>
      <c r="F12938" s="1743"/>
      <c r="G12938" s="1743"/>
      <c r="H12938" s="1743"/>
      <c r="V12938" s="1192">
        <v>353</v>
      </c>
    </row>
    <row r="12939" spans="1:22" s="1192" customFormat="1" ht="14.4" x14ac:dyDescent="0.3">
      <c r="A12939" s="1192" t="s">
        <v>6898</v>
      </c>
      <c r="B12939" s="1192" t="s">
        <v>6908</v>
      </c>
      <c r="E12939" s="1743" t="s">
        <v>4500</v>
      </c>
      <c r="F12939" s="1743"/>
      <c r="G12939" s="1743"/>
      <c r="H12939" s="1743"/>
      <c r="V12939" s="1192">
        <v>247</v>
      </c>
    </row>
    <row r="12940" spans="1:22" s="1192" customFormat="1" ht="14.4" x14ac:dyDescent="0.3">
      <c r="A12940" s="1192" t="s">
        <v>6898</v>
      </c>
      <c r="B12940" s="1192" t="s">
        <v>6908</v>
      </c>
      <c r="E12940" s="1258" t="s">
        <v>2453</v>
      </c>
      <c r="F12940" s="450"/>
      <c r="G12940" s="450"/>
      <c r="H12940" s="926"/>
      <c r="K12940" s="1192" t="s">
        <v>6913</v>
      </c>
      <c r="V12940" s="1192">
        <v>23</v>
      </c>
    </row>
    <row r="12941" spans="1:22" s="1192" customFormat="1" ht="14.4" x14ac:dyDescent="0.3">
      <c r="A12941" s="1192" t="s">
        <v>6898</v>
      </c>
      <c r="B12941" s="1192" t="s">
        <v>6908</v>
      </c>
      <c r="E12941" s="1942" t="s">
        <v>2639</v>
      </c>
      <c r="F12941" s="1942"/>
      <c r="G12941" s="1277" t="s">
        <v>19</v>
      </c>
      <c r="H12941" s="1218">
        <v>15</v>
      </c>
      <c r="V12941" s="1192">
        <v>19</v>
      </c>
    </row>
    <row r="12942" spans="1:22" s="1192" customFormat="1" ht="14.4" x14ac:dyDescent="0.3">
      <c r="A12942" s="1192" t="s">
        <v>6898</v>
      </c>
      <c r="B12942" s="1192" t="s">
        <v>6908</v>
      </c>
      <c r="E12942" s="1942" t="s">
        <v>3663</v>
      </c>
      <c r="F12942" s="1942"/>
      <c r="G12942" s="1277" t="s">
        <v>19</v>
      </c>
      <c r="H12942" s="1218">
        <v>15</v>
      </c>
      <c r="V12942" s="1192">
        <v>15</v>
      </c>
    </row>
    <row r="12943" spans="1:22" s="1192" customFormat="1" ht="14.4" x14ac:dyDescent="0.3">
      <c r="A12943" s="1192" t="s">
        <v>6898</v>
      </c>
      <c r="B12943" s="1192" t="s">
        <v>6908</v>
      </c>
      <c r="E12943" s="1942" t="s">
        <v>2464</v>
      </c>
      <c r="F12943" s="1942"/>
      <c r="G12943" s="1277" t="s">
        <v>19</v>
      </c>
      <c r="H12943" s="1218">
        <v>15</v>
      </c>
      <c r="V12943" s="1192">
        <v>56</v>
      </c>
    </row>
    <row r="12944" spans="1:22" s="1192" customFormat="1" ht="14.4" x14ac:dyDescent="0.3">
      <c r="A12944" s="1192" t="s">
        <v>6898</v>
      </c>
      <c r="B12944" s="1192" t="s">
        <v>6908</v>
      </c>
      <c r="E12944" s="1942" t="s">
        <v>119</v>
      </c>
      <c r="F12944" s="1942"/>
      <c r="G12944" s="1277" t="s">
        <v>19</v>
      </c>
      <c r="H12944" s="1218">
        <v>15</v>
      </c>
      <c r="V12944" s="1192">
        <v>35</v>
      </c>
    </row>
    <row r="12945" spans="1:22" s="1192" customFormat="1" ht="14.4" x14ac:dyDescent="0.3">
      <c r="A12945" s="1192" t="s">
        <v>6898</v>
      </c>
      <c r="B12945" s="1192" t="s">
        <v>6908</v>
      </c>
      <c r="E12945" s="1942" t="s">
        <v>84</v>
      </c>
      <c r="F12945" s="1942"/>
      <c r="G12945" s="1277" t="s">
        <v>19</v>
      </c>
      <c r="H12945" s="1218">
        <v>30</v>
      </c>
      <c r="V12945" s="1192">
        <v>89</v>
      </c>
    </row>
    <row r="12946" spans="1:22" s="1192" customFormat="1" ht="14.4" x14ac:dyDescent="0.3">
      <c r="A12946" s="1192" t="s">
        <v>6898</v>
      </c>
      <c r="B12946" s="1192" t="s">
        <v>6908</v>
      </c>
      <c r="E12946" s="1942" t="s">
        <v>90</v>
      </c>
      <c r="F12946" s="1942"/>
      <c r="G12946" s="1277" t="s">
        <v>19</v>
      </c>
      <c r="H12946" s="1218">
        <v>30</v>
      </c>
      <c r="V12946" s="1192">
        <v>19</v>
      </c>
    </row>
    <row r="12947" spans="1:22" s="1192" customFormat="1" ht="14.4" x14ac:dyDescent="0.3">
      <c r="A12947" s="1192" t="s">
        <v>6898</v>
      </c>
      <c r="B12947" s="1192" t="s">
        <v>6908</v>
      </c>
      <c r="E12947" s="1942" t="s">
        <v>88</v>
      </c>
      <c r="F12947" s="1942"/>
      <c r="G12947" s="1277" t="s">
        <v>19</v>
      </c>
      <c r="H12947" s="1218">
        <v>30</v>
      </c>
      <c r="V12947" s="1192">
        <v>74</v>
      </c>
    </row>
    <row r="12948" spans="1:22" s="1192" customFormat="1" ht="14.4" x14ac:dyDescent="0.3">
      <c r="A12948" s="1192" t="s">
        <v>6898</v>
      </c>
      <c r="B12948" s="1192" t="s">
        <v>6908</v>
      </c>
      <c r="E12948" s="1258" t="s">
        <v>2468</v>
      </c>
      <c r="F12948" s="450"/>
      <c r="G12948" s="450"/>
      <c r="H12948" s="926"/>
      <c r="K12948" s="1192" t="s">
        <v>6914</v>
      </c>
      <c r="V12948" s="1192">
        <v>22</v>
      </c>
    </row>
    <row r="12949" spans="1:22" s="1192" customFormat="1" ht="14.4" x14ac:dyDescent="0.3">
      <c r="A12949" s="1192" t="s">
        <v>6898</v>
      </c>
      <c r="B12949" s="1192" t="s">
        <v>6908</v>
      </c>
      <c r="E12949" s="1942" t="s">
        <v>5940</v>
      </c>
      <c r="F12949" s="1942"/>
      <c r="G12949" s="1277" t="s">
        <v>82</v>
      </c>
      <c r="H12949" s="1218">
        <v>1.5</v>
      </c>
      <c r="V12949" s="1192">
        <v>99</v>
      </c>
    </row>
    <row r="12950" spans="1:22" s="1192" customFormat="1" ht="14.4" x14ac:dyDescent="0.3">
      <c r="A12950" s="1192" t="s">
        <v>6898</v>
      </c>
      <c r="B12950" s="1192" t="s">
        <v>6908</v>
      </c>
      <c r="E12950" s="1942" t="s">
        <v>6106</v>
      </c>
      <c r="F12950" s="1942"/>
      <c r="G12950" s="1277" t="s">
        <v>19</v>
      </c>
      <c r="H12950" s="1218">
        <v>65</v>
      </c>
      <c r="V12950" s="1192">
        <v>44</v>
      </c>
    </row>
    <row r="12951" spans="1:22" s="1192" customFormat="1" ht="14.4" x14ac:dyDescent="0.3">
      <c r="A12951" s="1192" t="s">
        <v>6898</v>
      </c>
      <c r="B12951" s="1192" t="s">
        <v>6908</v>
      </c>
      <c r="E12951" s="1942" t="s">
        <v>6107</v>
      </c>
      <c r="F12951" s="1942"/>
      <c r="G12951" s="1277" t="s">
        <v>19</v>
      </c>
      <c r="H12951" s="1218">
        <v>185</v>
      </c>
      <c r="V12951" s="1192">
        <v>43</v>
      </c>
    </row>
    <row r="12952" spans="1:22" s="1192" customFormat="1" ht="14.4" x14ac:dyDescent="0.3">
      <c r="A12952" s="1192" t="s">
        <v>6898</v>
      </c>
      <c r="B12952" s="1192" t="s">
        <v>6908</v>
      </c>
      <c r="E12952" s="1942" t="s">
        <v>6108</v>
      </c>
      <c r="F12952" s="1942"/>
      <c r="G12952" s="1277" t="s">
        <v>19</v>
      </c>
      <c r="H12952" s="1218">
        <v>185</v>
      </c>
      <c r="V12952" s="1192">
        <v>43</v>
      </c>
    </row>
    <row r="12953" spans="1:22" s="1192" customFormat="1" ht="14.4" x14ac:dyDescent="0.3">
      <c r="A12953" s="1192" t="s">
        <v>6898</v>
      </c>
      <c r="B12953" s="1192" t="s">
        <v>6908</v>
      </c>
      <c r="E12953" s="1258" t="s">
        <v>2474</v>
      </c>
      <c r="F12953" s="450"/>
      <c r="G12953" s="450"/>
      <c r="H12953" s="926"/>
      <c r="V12953" s="1192">
        <v>5</v>
      </c>
    </row>
    <row r="12954" spans="1:22" s="1192" customFormat="1" ht="14.4" x14ac:dyDescent="0.3">
      <c r="A12954" s="1192" t="s">
        <v>6898</v>
      </c>
      <c r="B12954" s="1192" t="s">
        <v>6908</v>
      </c>
      <c r="E12954" s="1942" t="s">
        <v>2703</v>
      </c>
      <c r="F12954" s="1942"/>
      <c r="G12954" s="1277" t="s">
        <v>19</v>
      </c>
      <c r="H12954" s="1218">
        <v>500</v>
      </c>
      <c r="V12954" s="1192">
        <v>64</v>
      </c>
    </row>
    <row r="12955" spans="1:22" s="1192" customFormat="1" ht="14.4" x14ac:dyDescent="0.3">
      <c r="A12955" s="1192" t="s">
        <v>6898</v>
      </c>
      <c r="B12955" s="1192" t="s">
        <v>6908</v>
      </c>
      <c r="E12955" s="1942" t="s">
        <v>2758</v>
      </c>
      <c r="F12955" s="1942"/>
      <c r="G12955" s="1277" t="s">
        <v>19</v>
      </c>
      <c r="H12955" s="1218">
        <v>300</v>
      </c>
      <c r="V12955" s="1192">
        <v>67</v>
      </c>
    </row>
    <row r="12956" spans="1:22" s="1192" customFormat="1" ht="14.4" x14ac:dyDescent="0.3">
      <c r="A12956" s="1192" t="s">
        <v>6898</v>
      </c>
      <c r="B12956" s="1192" t="s">
        <v>6908</v>
      </c>
      <c r="E12956" s="1942" t="s">
        <v>4555</v>
      </c>
      <c r="F12956" s="1942"/>
      <c r="G12956" s="1277" t="s">
        <v>19</v>
      </c>
      <c r="H12956" s="1218">
        <v>44.5</v>
      </c>
      <c r="V12956" s="1192">
        <v>105</v>
      </c>
    </row>
    <row r="12957" spans="1:22" s="1192" customFormat="1" ht="34.799999999999997" x14ac:dyDescent="0.3">
      <c r="A12957" s="1192" t="s">
        <v>6898</v>
      </c>
      <c r="B12957" s="1192" t="s">
        <v>6908</v>
      </c>
      <c r="E12957" s="1260" t="s">
        <v>73</v>
      </c>
      <c r="F12957" s="554"/>
      <c r="G12957" s="554"/>
      <c r="H12957" s="917"/>
      <c r="K12957" s="1192" t="s">
        <v>6915</v>
      </c>
      <c r="V12957" s="1192">
        <v>38</v>
      </c>
    </row>
    <row r="12958" spans="1:22" s="1192" customFormat="1" ht="14.4" x14ac:dyDescent="0.3">
      <c r="A12958" s="1192" t="s">
        <v>6898</v>
      </c>
      <c r="B12958" s="1192" t="s">
        <v>6908</v>
      </c>
      <c r="E12958" s="1743" t="s">
        <v>2391</v>
      </c>
      <c r="F12958" s="1743"/>
      <c r="G12958" s="1743"/>
      <c r="H12958" s="1743"/>
      <c r="V12958" s="1192">
        <v>280</v>
      </c>
    </row>
    <row r="12959" spans="1:22" s="1192" customFormat="1" ht="14.4" x14ac:dyDescent="0.3">
      <c r="A12959" s="1192" t="s">
        <v>6898</v>
      </c>
      <c r="B12959" s="1192" t="s">
        <v>6908</v>
      </c>
      <c r="E12959" s="1743" t="s">
        <v>2392</v>
      </c>
      <c r="F12959" s="1743"/>
      <c r="G12959" s="1743"/>
      <c r="H12959" s="1743"/>
      <c r="V12959" s="1192">
        <v>411</v>
      </c>
    </row>
    <row r="12960" spans="1:22" s="1192" customFormat="1" ht="14.4" x14ac:dyDescent="0.3">
      <c r="A12960" s="1192" t="s">
        <v>6898</v>
      </c>
      <c r="B12960" s="1192" t="s">
        <v>6908</v>
      </c>
      <c r="E12960" s="1743" t="s">
        <v>2445</v>
      </c>
      <c r="F12960" s="1743"/>
      <c r="G12960" s="1743"/>
      <c r="H12960" s="1743"/>
      <c r="V12960" s="1192">
        <v>211</v>
      </c>
    </row>
    <row r="12961" spans="1:22" s="1192" customFormat="1" ht="14.4" x14ac:dyDescent="0.3">
      <c r="A12961" s="1192" t="s">
        <v>6898</v>
      </c>
      <c r="B12961" s="1192" t="s">
        <v>6908</v>
      </c>
      <c r="E12961" s="1743" t="s">
        <v>4500</v>
      </c>
      <c r="F12961" s="1743"/>
      <c r="G12961" s="1743"/>
      <c r="H12961" s="1743"/>
      <c r="V12961" s="1192">
        <v>247</v>
      </c>
    </row>
    <row r="12962" spans="1:22" s="1192" customFormat="1" ht="14.4" x14ac:dyDescent="0.3">
      <c r="A12962" s="1192" t="s">
        <v>6898</v>
      </c>
      <c r="B12962" s="1192" t="s">
        <v>6908</v>
      </c>
      <c r="E12962" s="1743" t="s">
        <v>2595</v>
      </c>
      <c r="F12962" s="1743"/>
      <c r="G12962" s="1743"/>
      <c r="H12962" s="1743"/>
      <c r="V12962" s="1192">
        <v>142</v>
      </c>
    </row>
    <row r="12963" spans="1:22" s="1192" customFormat="1" ht="14.4" x14ac:dyDescent="0.3">
      <c r="A12963" s="1192" t="s">
        <v>6898</v>
      </c>
      <c r="B12963" s="1192" t="s">
        <v>6908</v>
      </c>
      <c r="E12963" s="1741" t="s">
        <v>2485</v>
      </c>
      <c r="F12963" s="1741"/>
      <c r="G12963" s="1280" t="s">
        <v>19</v>
      </c>
      <c r="H12963" s="509">
        <v>102</v>
      </c>
      <c r="V12963" s="1192">
        <v>106</v>
      </c>
    </row>
    <row r="12964" spans="1:22" s="1192" customFormat="1" ht="14.4" x14ac:dyDescent="0.3">
      <c r="A12964" s="1192" t="s">
        <v>6898</v>
      </c>
      <c r="B12964" s="1192" t="s">
        <v>6908</v>
      </c>
      <c r="E12964" s="1741" t="s">
        <v>3919</v>
      </c>
      <c r="F12964" s="1741"/>
      <c r="G12964" s="1280" t="s">
        <v>19</v>
      </c>
      <c r="H12964" s="509">
        <v>40.799999999999997</v>
      </c>
      <c r="V12964" s="1192">
        <v>34</v>
      </c>
    </row>
    <row r="12965" spans="1:22" s="1192" customFormat="1" ht="14.4" x14ac:dyDescent="0.3">
      <c r="A12965" s="1192" t="s">
        <v>6898</v>
      </c>
      <c r="B12965" s="1192" t="s">
        <v>6908</v>
      </c>
      <c r="E12965" s="1741" t="s">
        <v>3920</v>
      </c>
      <c r="F12965" s="1741"/>
      <c r="G12965" s="1280" t="s">
        <v>2488</v>
      </c>
      <c r="H12965" s="509">
        <v>1.02</v>
      </c>
      <c r="V12965" s="1192">
        <v>51</v>
      </c>
    </row>
    <row r="12966" spans="1:22" s="1192" customFormat="1" ht="14.4" x14ac:dyDescent="0.3">
      <c r="A12966" s="1192" t="s">
        <v>6898</v>
      </c>
      <c r="B12966" s="1192" t="s">
        <v>6908</v>
      </c>
      <c r="E12966" s="1741" t="s">
        <v>2489</v>
      </c>
      <c r="F12966" s="1741"/>
      <c r="G12966" s="1280" t="s">
        <v>2488</v>
      </c>
      <c r="H12966" s="509">
        <v>0.61</v>
      </c>
      <c r="V12966" s="1192">
        <v>75</v>
      </c>
    </row>
    <row r="12967" spans="1:22" s="1192" customFormat="1" ht="14.4" x14ac:dyDescent="0.3">
      <c r="A12967" s="1192" t="s">
        <v>6898</v>
      </c>
      <c r="B12967" s="1192" t="s">
        <v>6908</v>
      </c>
      <c r="E12967" s="1741" t="s">
        <v>2490</v>
      </c>
      <c r="F12967" s="1741"/>
      <c r="G12967" s="1280" t="s">
        <v>2488</v>
      </c>
      <c r="H12967" s="509">
        <v>-0.61</v>
      </c>
      <c r="V12967" s="1192">
        <v>72</v>
      </c>
    </row>
    <row r="12968" spans="1:22" s="1192" customFormat="1" ht="14.4" x14ac:dyDescent="0.3">
      <c r="A12968" s="1192" t="s">
        <v>6898</v>
      </c>
      <c r="B12968" s="1192" t="s">
        <v>6908</v>
      </c>
      <c r="E12968" s="1741" t="s">
        <v>2596</v>
      </c>
      <c r="F12968" s="1741"/>
      <c r="G12968" s="1280"/>
      <c r="H12968" s="840"/>
      <c r="V12968" s="1192">
        <v>34</v>
      </c>
    </row>
    <row r="12969" spans="1:22" s="1192" customFormat="1" ht="14.4" x14ac:dyDescent="0.3">
      <c r="A12969" s="1192" t="s">
        <v>6898</v>
      </c>
      <c r="B12969" s="1192" t="s">
        <v>6908</v>
      </c>
      <c r="E12969" s="1941" t="s">
        <v>6666</v>
      </c>
      <c r="F12969" s="1941"/>
      <c r="G12969" s="1280" t="s">
        <v>19</v>
      </c>
      <c r="H12969" s="509">
        <v>0.51</v>
      </c>
      <c r="V12969" s="1192">
        <v>64</v>
      </c>
    </row>
    <row r="12970" spans="1:22" s="1192" customFormat="1" ht="14.4" x14ac:dyDescent="0.3">
      <c r="A12970" s="1192" t="s">
        <v>6898</v>
      </c>
      <c r="B12970" s="1192" t="s">
        <v>6908</v>
      </c>
      <c r="E12970" s="1941" t="s">
        <v>6667</v>
      </c>
      <c r="F12970" s="1941"/>
      <c r="G12970" s="1280" t="s">
        <v>19</v>
      </c>
      <c r="H12970" s="509">
        <v>1.02</v>
      </c>
      <c r="V12970" s="1192">
        <v>67</v>
      </c>
    </row>
    <row r="12971" spans="1:22" s="1192" customFormat="1" ht="14.4" x14ac:dyDescent="0.3">
      <c r="A12971" s="1192" t="s">
        <v>6898</v>
      </c>
      <c r="B12971" s="1192" t="s">
        <v>6908</v>
      </c>
      <c r="E12971" s="1741" t="s">
        <v>2494</v>
      </c>
      <c r="F12971" s="1741"/>
      <c r="G12971" s="1280"/>
      <c r="H12971" s="840"/>
      <c r="V12971" s="1192">
        <v>91</v>
      </c>
    </row>
    <row r="12972" spans="1:22" s="1192" customFormat="1" ht="14.4" x14ac:dyDescent="0.3">
      <c r="A12972" s="1192" t="s">
        <v>6898</v>
      </c>
      <c r="B12972" s="1192" t="s">
        <v>6908</v>
      </c>
      <c r="E12972" s="1741" t="s">
        <v>2495</v>
      </c>
      <c r="F12972" s="1741"/>
      <c r="G12972" s="1280"/>
      <c r="H12972" s="840"/>
      <c r="V12972" s="1192">
        <v>96</v>
      </c>
    </row>
    <row r="12973" spans="1:22" s="1192" customFormat="1" ht="14.4" x14ac:dyDescent="0.3">
      <c r="A12973" s="1192" t="s">
        <v>6898</v>
      </c>
      <c r="B12973" s="1192" t="s">
        <v>6908</v>
      </c>
      <c r="E12973" s="1741" t="s">
        <v>2597</v>
      </c>
      <c r="F12973" s="1741"/>
      <c r="G12973" s="1280"/>
      <c r="H12973" s="840"/>
      <c r="V12973" s="1192">
        <v>77</v>
      </c>
    </row>
    <row r="12974" spans="1:22" s="1192" customFormat="1" ht="14.4" x14ac:dyDescent="0.3">
      <c r="A12974" s="1192" t="s">
        <v>6898</v>
      </c>
      <c r="B12974" s="1192" t="s">
        <v>6908</v>
      </c>
      <c r="E12974" s="1941" t="s">
        <v>6668</v>
      </c>
      <c r="F12974" s="1941"/>
      <c r="G12974" s="1280" t="s">
        <v>19</v>
      </c>
      <c r="H12974" s="840" t="s">
        <v>2498</v>
      </c>
      <c r="V12974" s="1192">
        <v>25</v>
      </c>
    </row>
    <row r="12975" spans="1:22" s="1192" customFormat="1" ht="14.4" x14ac:dyDescent="0.3">
      <c r="A12975" s="1192" t="s">
        <v>6898</v>
      </c>
      <c r="B12975" s="1192" t="s">
        <v>6908</v>
      </c>
      <c r="E12975" s="1941" t="s">
        <v>6669</v>
      </c>
      <c r="F12975" s="1941"/>
      <c r="G12975" s="1280" t="s">
        <v>19</v>
      </c>
      <c r="H12975" s="509">
        <v>4.08</v>
      </c>
      <c r="V12975" s="1192">
        <v>76</v>
      </c>
    </row>
    <row r="12976" spans="1:22" s="1192" customFormat="1" ht="14.4" x14ac:dyDescent="0.3">
      <c r="A12976" s="1192" t="s">
        <v>6898</v>
      </c>
      <c r="B12976" s="1192" t="s">
        <v>6908</v>
      </c>
      <c r="E12976" s="1741" t="s">
        <v>4608</v>
      </c>
      <c r="F12976" s="1741"/>
      <c r="G12976" s="1280" t="s">
        <v>19</v>
      </c>
      <c r="H12976" s="509">
        <v>2.04</v>
      </c>
      <c r="V12976" s="1192">
        <v>199</v>
      </c>
    </row>
    <row r="12977" spans="1:22" s="1192" customFormat="1" x14ac:dyDescent="0.3">
      <c r="A12977" s="1192" t="s">
        <v>6898</v>
      </c>
      <c r="B12977" s="1192" t="s">
        <v>6908</v>
      </c>
      <c r="E12977" s="1260" t="s">
        <v>143</v>
      </c>
      <c r="F12977" s="823"/>
      <c r="G12977" s="823"/>
      <c r="H12977" s="878"/>
      <c r="K12977" s="1192" t="s">
        <v>6916</v>
      </c>
      <c r="V12977" s="1192">
        <v>12</v>
      </c>
    </row>
    <row r="12978" spans="1:22" s="1192" customFormat="1" ht="14.4" x14ac:dyDescent="0.3">
      <c r="A12978" s="1192" t="s">
        <v>6898</v>
      </c>
      <c r="B12978" s="1192" t="s">
        <v>6908</v>
      </c>
      <c r="E12978" s="1741" t="s">
        <v>2501</v>
      </c>
      <c r="F12978" s="1741"/>
      <c r="G12978" s="1741"/>
      <c r="H12978" s="1741"/>
      <c r="V12978" s="1192">
        <v>203</v>
      </c>
    </row>
    <row r="12979" spans="1:22" s="1192" customFormat="1" ht="14.4" x14ac:dyDescent="0.3">
      <c r="A12979" s="1192" t="s">
        <v>6898</v>
      </c>
      <c r="B12979" s="1192" t="s">
        <v>6908</v>
      </c>
      <c r="E12979" s="1741" t="s">
        <v>2599</v>
      </c>
      <c r="F12979" s="1741"/>
      <c r="G12979" s="1277"/>
      <c r="H12979" s="837">
        <v>1.0325</v>
      </c>
      <c r="V12979" s="1192">
        <v>57</v>
      </c>
    </row>
    <row r="12980" spans="1:22" s="1192" customFormat="1" ht="14.4" x14ac:dyDescent="0.3">
      <c r="A12980" s="1192" t="s">
        <v>6898</v>
      </c>
      <c r="B12980" s="1192" t="s">
        <v>6908</v>
      </c>
      <c r="E12980" s="1741" t="s">
        <v>2600</v>
      </c>
      <c r="F12980" s="1741"/>
      <c r="G12980" s="1277"/>
      <c r="H12980" s="837">
        <v>1.0144</v>
      </c>
      <c r="V12980" s="1192">
        <v>57</v>
      </c>
    </row>
    <row r="12981" spans="1:22" s="1192" customFormat="1" ht="14.4" x14ac:dyDescent="0.3">
      <c r="A12981" s="1192" t="s">
        <v>6898</v>
      </c>
      <c r="B12981" s="1192" t="s">
        <v>6908</v>
      </c>
      <c r="E12981" s="1741" t="s">
        <v>2601</v>
      </c>
      <c r="F12981" s="1741"/>
      <c r="G12981" s="1277"/>
      <c r="H12981" s="837">
        <v>1.0222</v>
      </c>
      <c r="V12981" s="1192">
        <v>55</v>
      </c>
    </row>
    <row r="12982" spans="1:22" s="1192" customFormat="1" ht="14.4" x14ac:dyDescent="0.3">
      <c r="A12982" s="1192" t="s">
        <v>6898</v>
      </c>
      <c r="B12982" s="1192" t="s">
        <v>6908</v>
      </c>
      <c r="E12982" s="1741" t="s">
        <v>2602</v>
      </c>
      <c r="F12982" s="1741"/>
      <c r="G12982" s="1277"/>
      <c r="H12982" s="837">
        <v>1.0043</v>
      </c>
      <c r="J12982" s="1192" t="s">
        <v>6917</v>
      </c>
      <c r="V12982" s="1192">
        <v>55</v>
      </c>
    </row>
    <row r="12983" spans="1:22" s="1192" customFormat="1" ht="22.8" x14ac:dyDescent="0.3">
      <c r="A12983" s="1192" t="s">
        <v>184</v>
      </c>
      <c r="C12983" s="1192" t="s">
        <v>2378</v>
      </c>
      <c r="E12983" s="1752" t="s">
        <v>184</v>
      </c>
      <c r="F12983" s="1752"/>
      <c r="G12983" s="1752"/>
      <c r="H12983" s="1752"/>
      <c r="I12983" s="1192" t="s">
        <v>603</v>
      </c>
      <c r="J12983" s="1192" t="s">
        <v>4987</v>
      </c>
      <c r="K12983" s="1192" t="s">
        <v>184</v>
      </c>
      <c r="M12983" s="1192">
        <v>8</v>
      </c>
      <c r="V12983" s="1192">
        <v>30</v>
      </c>
    </row>
    <row r="12984" spans="1:22" s="1192" customFormat="1" ht="17.399999999999999" x14ac:dyDescent="0.3">
      <c r="A12984" s="1192" t="s">
        <v>184</v>
      </c>
      <c r="C12984" s="1192" t="s">
        <v>2380</v>
      </c>
      <c r="E12984" s="1753" t="s">
        <v>2381</v>
      </c>
      <c r="F12984" s="1753"/>
      <c r="G12984" s="1753"/>
      <c r="H12984" s="1753"/>
      <c r="V12984" s="1192">
        <v>27</v>
      </c>
    </row>
    <row r="12985" spans="1:22" s="1192" customFormat="1" ht="15.6" x14ac:dyDescent="0.3">
      <c r="A12985" s="1192" t="s">
        <v>184</v>
      </c>
      <c r="C12985" s="1192" t="s">
        <v>2382</v>
      </c>
      <c r="E12985" s="1754" t="s">
        <v>6482</v>
      </c>
      <c r="F12985" s="1754"/>
      <c r="G12985" s="1754"/>
      <c r="H12985" s="1754"/>
      <c r="S12985" s="1192">
        <v>43952</v>
      </c>
      <c r="V12985" s="1192">
        <v>45</v>
      </c>
    </row>
    <row r="12986" spans="1:22" s="1192" customFormat="1" ht="14.4" x14ac:dyDescent="0.3">
      <c r="A12986" s="1192" t="s">
        <v>184</v>
      </c>
      <c r="C12986" s="1192" t="s">
        <v>2383</v>
      </c>
      <c r="E12986" s="1755" t="s">
        <v>2384</v>
      </c>
      <c r="F12986" s="1755"/>
      <c r="G12986" s="1755"/>
      <c r="H12986" s="1755"/>
      <c r="V12986" s="1192">
        <v>52</v>
      </c>
    </row>
    <row r="12987" spans="1:22" s="1192" customFormat="1" ht="14.4" x14ac:dyDescent="0.3">
      <c r="A12987" s="1192" t="s">
        <v>184</v>
      </c>
      <c r="E12987" s="1755" t="s">
        <v>2385</v>
      </c>
      <c r="F12987" s="1755"/>
      <c r="G12987" s="1755"/>
      <c r="H12987" s="1755"/>
      <c r="V12987" s="1192">
        <v>53</v>
      </c>
    </row>
    <row r="12988" spans="1:22" s="1192" customFormat="1" ht="14.4" x14ac:dyDescent="0.3">
      <c r="A12988" s="1192" t="s">
        <v>184</v>
      </c>
      <c r="E12988" s="1772" t="s">
        <v>6670</v>
      </c>
      <c r="F12988" s="1772"/>
      <c r="G12988" s="1772"/>
      <c r="H12988" s="1772"/>
      <c r="K12988" s="1192" t="s">
        <v>6670</v>
      </c>
      <c r="V12988" s="1192">
        <v>12</v>
      </c>
    </row>
    <row r="12989" spans="1:22" s="1192" customFormat="1" ht="14.4" x14ac:dyDescent="0.3">
      <c r="A12989" s="1192" t="s">
        <v>184</v>
      </c>
      <c r="E12989" s="1746" t="s">
        <v>427</v>
      </c>
      <c r="F12989" s="1743"/>
      <c r="G12989" s="1743"/>
      <c r="H12989" s="1743"/>
      <c r="K12989" s="1192" t="s">
        <v>2506</v>
      </c>
      <c r="V12989" s="1192">
        <v>34</v>
      </c>
    </row>
    <row r="12990" spans="1:22" s="1192" customFormat="1" ht="14.4" x14ac:dyDescent="0.3">
      <c r="A12990" s="1192" t="s">
        <v>184</v>
      </c>
      <c r="E12990" s="1743" t="s">
        <v>4988</v>
      </c>
      <c r="F12990" s="1743"/>
      <c r="G12990" s="1743"/>
      <c r="H12990" s="1743"/>
      <c r="K12990" s="1192" t="s">
        <v>2506</v>
      </c>
      <c r="V12990" s="1192">
        <v>620</v>
      </c>
    </row>
    <row r="12991" spans="1:22" s="1192" customFormat="1" ht="14.4" x14ac:dyDescent="0.3">
      <c r="A12991" s="1192" t="s">
        <v>184</v>
      </c>
      <c r="E12991" s="1750" t="s">
        <v>2389</v>
      </c>
      <c r="F12991" s="1743"/>
      <c r="G12991" s="1743"/>
      <c r="H12991" s="1743"/>
      <c r="K12991" s="1192" t="s">
        <v>2390</v>
      </c>
      <c r="V12991" s="1192">
        <v>11</v>
      </c>
    </row>
    <row r="12992" spans="1:22" s="1192" customFormat="1" ht="14.4" x14ac:dyDescent="0.3">
      <c r="A12992" s="1192" t="s">
        <v>184</v>
      </c>
      <c r="E12992" s="1743" t="s">
        <v>2391</v>
      </c>
      <c r="F12992" s="1743"/>
      <c r="G12992" s="1743"/>
      <c r="H12992" s="1743"/>
      <c r="K12992" s="1192" t="s">
        <v>2506</v>
      </c>
      <c r="V12992" s="1192">
        <v>280</v>
      </c>
    </row>
    <row r="12993" spans="1:22" s="1192" customFormat="1" ht="14.4" x14ac:dyDescent="0.3">
      <c r="A12993" s="1192" t="s">
        <v>184</v>
      </c>
      <c r="E12993" s="1743" t="s">
        <v>2392</v>
      </c>
      <c r="F12993" s="1743"/>
      <c r="G12993" s="1743"/>
      <c r="H12993" s="1743"/>
      <c r="K12993" s="1192" t="s">
        <v>2506</v>
      </c>
      <c r="V12993" s="1192">
        <v>411</v>
      </c>
    </row>
    <row r="12994" spans="1:22" s="1192" customFormat="1" ht="14.4" x14ac:dyDescent="0.3">
      <c r="A12994" s="1192" t="s">
        <v>184</v>
      </c>
      <c r="E12994" s="1743" t="s">
        <v>2393</v>
      </c>
      <c r="F12994" s="1743"/>
      <c r="G12994" s="1743"/>
      <c r="H12994" s="1743"/>
      <c r="K12994" s="1192" t="s">
        <v>2506</v>
      </c>
      <c r="V12994" s="1192">
        <v>387</v>
      </c>
    </row>
    <row r="12995" spans="1:22" s="1192" customFormat="1" ht="14.4" x14ac:dyDescent="0.3">
      <c r="A12995" s="1192" t="s">
        <v>184</v>
      </c>
      <c r="E12995" s="1743" t="s">
        <v>4500</v>
      </c>
      <c r="F12995" s="1743"/>
      <c r="G12995" s="1743"/>
      <c r="H12995" s="1743"/>
      <c r="K12995" s="1192" t="s">
        <v>2506</v>
      </c>
      <c r="V12995" s="1192">
        <v>247</v>
      </c>
    </row>
    <row r="12996" spans="1:22" s="1192" customFormat="1" ht="14.4" x14ac:dyDescent="0.3">
      <c r="A12996" s="1192" t="s">
        <v>184</v>
      </c>
      <c r="E12996" s="1750" t="s">
        <v>2394</v>
      </c>
      <c r="F12996" s="1743"/>
      <c r="G12996" s="1743"/>
      <c r="H12996" s="1743"/>
      <c r="K12996" s="1192" t="s">
        <v>2395</v>
      </c>
      <c r="V12996" s="1192">
        <v>46</v>
      </c>
    </row>
    <row r="12997" spans="1:22" s="1192" customFormat="1" ht="14.4" x14ac:dyDescent="0.3">
      <c r="A12997" s="1192" t="s">
        <v>184</v>
      </c>
      <c r="E12997" s="1741" t="s">
        <v>7</v>
      </c>
      <c r="F12997" s="1741"/>
      <c r="G12997" s="1277" t="s">
        <v>19</v>
      </c>
      <c r="H12997" s="1218">
        <v>29.41</v>
      </c>
      <c r="K12997" s="1192" t="s">
        <v>2506</v>
      </c>
      <c r="L12997" s="1192" t="s">
        <v>430</v>
      </c>
      <c r="P12997" s="1192" t="s">
        <v>2510</v>
      </c>
      <c r="V12997" s="1192">
        <v>14</v>
      </c>
    </row>
    <row r="12998" spans="1:22" s="1192" customFormat="1" ht="14.4" x14ac:dyDescent="0.3">
      <c r="A12998" s="1192" t="s">
        <v>184</v>
      </c>
      <c r="E12998" s="1741" t="s">
        <v>4617</v>
      </c>
      <c r="F12998" s="1741"/>
      <c r="G12998" s="1277" t="s">
        <v>19</v>
      </c>
      <c r="H12998" s="1218">
        <v>0.21</v>
      </c>
      <c r="K12998" s="1192" t="s">
        <v>2506</v>
      </c>
      <c r="L12998" s="1192" t="s">
        <v>430</v>
      </c>
      <c r="P12998" s="1192" t="s">
        <v>2515</v>
      </c>
      <c r="T12998" s="1192">
        <v>44316</v>
      </c>
      <c r="V12998" s="1192">
        <v>134</v>
      </c>
    </row>
    <row r="12999" spans="1:22" s="1192" customFormat="1" ht="14.4" x14ac:dyDescent="0.3">
      <c r="A12999" s="1192" t="s">
        <v>184</v>
      </c>
      <c r="E12999" s="1741" t="s">
        <v>6671</v>
      </c>
      <c r="F12999" s="1741"/>
      <c r="G12999" s="1277" t="s">
        <v>19</v>
      </c>
      <c r="H12999" s="1218">
        <v>0.39</v>
      </c>
      <c r="K12999" s="1192" t="s">
        <v>2506</v>
      </c>
      <c r="L12999" s="1192" t="s">
        <v>430</v>
      </c>
      <c r="P12999" s="1192" t="s">
        <v>2516</v>
      </c>
      <c r="T12999" s="1192">
        <v>44316</v>
      </c>
      <c r="V12999" s="1192">
        <v>104</v>
      </c>
    </row>
    <row r="13000" spans="1:22" s="1192" customFormat="1" ht="14.4" x14ac:dyDescent="0.3">
      <c r="A13000" s="1192" t="s">
        <v>184</v>
      </c>
      <c r="E13000" s="1741" t="s">
        <v>3900</v>
      </c>
      <c r="F13000" s="1741"/>
      <c r="G13000" s="1277" t="s">
        <v>19</v>
      </c>
      <c r="H13000" s="1218">
        <v>0.56999999999999995</v>
      </c>
      <c r="K13000" s="1192" t="s">
        <v>2506</v>
      </c>
      <c r="L13000" s="1192" t="s">
        <v>431</v>
      </c>
      <c r="P13000" s="1192" t="s">
        <v>2511</v>
      </c>
      <c r="T13000" s="1192">
        <v>44926</v>
      </c>
      <c r="V13000" s="1192">
        <v>64</v>
      </c>
    </row>
    <row r="13001" spans="1:22" s="1192" customFormat="1" ht="14.4" x14ac:dyDescent="0.3">
      <c r="A13001" s="1192" t="s">
        <v>184</v>
      </c>
      <c r="E13001" s="1741" t="s">
        <v>6506</v>
      </c>
      <c r="F13001" s="1998"/>
      <c r="G13001" s="1277" t="s">
        <v>20</v>
      </c>
      <c r="H13001" s="1219">
        <v>2.3E-3</v>
      </c>
      <c r="K13001" s="1192" t="s">
        <v>2506</v>
      </c>
      <c r="L13001" s="1192" t="s">
        <v>431</v>
      </c>
      <c r="P13001" s="1192" t="s">
        <v>2514</v>
      </c>
      <c r="T13001" s="1192">
        <v>44316</v>
      </c>
      <c r="V13001" s="1192">
        <v>139</v>
      </c>
    </row>
    <row r="13002" spans="1:22" s="1192" customFormat="1" ht="14.4" x14ac:dyDescent="0.3">
      <c r="A13002" s="1192" t="s">
        <v>184</v>
      </c>
      <c r="E13002" s="1741" t="s">
        <v>6508</v>
      </c>
      <c r="F13002" s="1998"/>
      <c r="G13002" s="1277" t="s">
        <v>20</v>
      </c>
      <c r="H13002" s="1219">
        <v>2.9999999999999997E-4</v>
      </c>
      <c r="K13002" s="1192" t="s">
        <v>2506</v>
      </c>
      <c r="L13002" s="1192" t="s">
        <v>431</v>
      </c>
      <c r="P13002" s="1192" t="s">
        <v>2516</v>
      </c>
      <c r="T13002" s="1192">
        <v>44316</v>
      </c>
      <c r="V13002" s="1192">
        <v>96</v>
      </c>
    </row>
    <row r="13003" spans="1:22" s="1192" customFormat="1" ht="14.4" x14ac:dyDescent="0.3">
      <c r="A13003" s="1192" t="s">
        <v>184</v>
      </c>
      <c r="E13003" s="1741" t="s">
        <v>213</v>
      </c>
      <c r="F13003" s="1741"/>
      <c r="G13003" s="1277" t="s">
        <v>20</v>
      </c>
      <c r="H13003" s="1219">
        <v>7.7999999999999996E-3</v>
      </c>
      <c r="K13003" s="1192" t="s">
        <v>2506</v>
      </c>
      <c r="L13003" s="1192" t="s">
        <v>432</v>
      </c>
      <c r="P13003" s="1192" t="s">
        <v>2517</v>
      </c>
      <c r="V13003" s="1192">
        <v>47</v>
      </c>
    </row>
    <row r="13004" spans="1:22" s="1192" customFormat="1" ht="14.4" x14ac:dyDescent="0.3">
      <c r="A13004" s="1192" t="s">
        <v>184</v>
      </c>
      <c r="E13004" s="1741" t="s">
        <v>209</v>
      </c>
      <c r="F13004" s="1741"/>
      <c r="G13004" s="1277" t="s">
        <v>20</v>
      </c>
      <c r="H13004" s="1219">
        <v>1.6000000000000001E-3</v>
      </c>
      <c r="K13004" s="1192" t="s">
        <v>2506</v>
      </c>
      <c r="L13004" s="1192" t="s">
        <v>432</v>
      </c>
      <c r="P13004" s="1192" t="s">
        <v>2518</v>
      </c>
      <c r="V13004" s="1192">
        <v>74</v>
      </c>
    </row>
    <row r="13005" spans="1:22" s="1192" customFormat="1" ht="14.4" x14ac:dyDescent="0.3">
      <c r="A13005" s="1192" t="s">
        <v>184</v>
      </c>
      <c r="E13005" s="1750" t="s">
        <v>2405</v>
      </c>
      <c r="F13005" s="1741"/>
      <c r="G13005" s="1277"/>
      <c r="H13005" s="896"/>
      <c r="K13005" s="1192" t="s">
        <v>2406</v>
      </c>
      <c r="V13005" s="1192">
        <v>48</v>
      </c>
    </row>
    <row r="13006" spans="1:22" s="1192" customFormat="1" ht="14.4" x14ac:dyDescent="0.3">
      <c r="A13006" s="1192" t="s">
        <v>184</v>
      </c>
      <c r="E13006" s="1741" t="s">
        <v>2033</v>
      </c>
      <c r="F13006" s="1741"/>
      <c r="G13006" s="1277" t="s">
        <v>20</v>
      </c>
      <c r="H13006" s="1219">
        <v>3.0000000000000001E-3</v>
      </c>
      <c r="K13006" s="1192" t="s">
        <v>2506</v>
      </c>
      <c r="L13006" s="1192" t="s">
        <v>2374</v>
      </c>
      <c r="P13006" s="1192" t="s">
        <v>2519</v>
      </c>
      <c r="V13006" s="1192">
        <v>55</v>
      </c>
    </row>
    <row r="13007" spans="1:22" s="1192" customFormat="1" ht="14.4" x14ac:dyDescent="0.3">
      <c r="A13007" s="1192" t="s">
        <v>184</v>
      </c>
      <c r="E13007" s="1741" t="s">
        <v>2034</v>
      </c>
      <c r="F13007" s="1741"/>
      <c r="G13007" s="1277" t="s">
        <v>20</v>
      </c>
      <c r="H13007" s="1219">
        <v>4.0000000000000002E-4</v>
      </c>
      <c r="K13007" s="1192" t="s">
        <v>2506</v>
      </c>
      <c r="L13007" s="1192" t="s">
        <v>2374</v>
      </c>
      <c r="P13007" s="1192" t="s">
        <v>2519</v>
      </c>
      <c r="V13007" s="1192">
        <v>65</v>
      </c>
    </row>
    <row r="13008" spans="1:22" s="1192" customFormat="1" ht="14.4" x14ac:dyDescent="0.3">
      <c r="A13008" s="1192" t="s">
        <v>184</v>
      </c>
      <c r="E13008" s="1741" t="s">
        <v>428</v>
      </c>
      <c r="F13008" s="1741"/>
      <c r="G13008" s="1277" t="s">
        <v>20</v>
      </c>
      <c r="H13008" s="1219">
        <v>5.0000000000000001E-4</v>
      </c>
      <c r="K13008" s="1192" t="s">
        <v>2506</v>
      </c>
      <c r="L13008" s="1192" t="s">
        <v>2374</v>
      </c>
      <c r="P13008" s="1192" t="s">
        <v>2520</v>
      </c>
      <c r="V13008" s="1192">
        <v>57</v>
      </c>
    </row>
    <row r="13009" spans="1:22" s="1192" customFormat="1" ht="14.4" x14ac:dyDescent="0.3">
      <c r="A13009" s="1192" t="s">
        <v>184</v>
      </c>
      <c r="E13009" s="1741" t="s">
        <v>28</v>
      </c>
      <c r="F13009" s="1741"/>
      <c r="G13009" s="1277" t="s">
        <v>19</v>
      </c>
      <c r="H13009" s="1218">
        <v>0.25</v>
      </c>
      <c r="K13009" s="1192" t="s">
        <v>2506</v>
      </c>
      <c r="L13009" s="1192" t="s">
        <v>2374</v>
      </c>
      <c r="P13009" s="1192" t="s">
        <v>2521</v>
      </c>
      <c r="V13009" s="1192">
        <v>63</v>
      </c>
    </row>
    <row r="13010" spans="1:22" s="1192" customFormat="1" ht="17.399999999999999" x14ac:dyDescent="0.3">
      <c r="A13010" s="1192" t="s">
        <v>184</v>
      </c>
      <c r="E13010" s="1746" t="s">
        <v>2522</v>
      </c>
      <c r="F13010" s="1747"/>
      <c r="G13010" s="1747"/>
      <c r="H13010" s="1747"/>
      <c r="K13010" s="1192" t="s">
        <v>3901</v>
      </c>
      <c r="V13010" s="1192">
        <v>54</v>
      </c>
    </row>
    <row r="13011" spans="1:22" s="1192" customFormat="1" ht="14.4" x14ac:dyDescent="0.3">
      <c r="A13011" s="1192" t="s">
        <v>184</v>
      </c>
      <c r="E13011" s="1743" t="s">
        <v>4989</v>
      </c>
      <c r="F13011" s="1743"/>
      <c r="G13011" s="1743"/>
      <c r="H13011" s="1743"/>
      <c r="K13011" s="1192" t="s">
        <v>3901</v>
      </c>
      <c r="V13011" s="1192">
        <v>332</v>
      </c>
    </row>
    <row r="13012" spans="1:22" s="1192" customFormat="1" ht="14.4" x14ac:dyDescent="0.3">
      <c r="A13012" s="1192" t="s">
        <v>184</v>
      </c>
      <c r="E13012" s="1750" t="s">
        <v>2389</v>
      </c>
      <c r="F13012" s="1743"/>
      <c r="G13012" s="1743"/>
      <c r="H13012" s="1743"/>
      <c r="K13012" s="1192" t="s">
        <v>2412</v>
      </c>
      <c r="V13012" s="1192">
        <v>11</v>
      </c>
    </row>
    <row r="13013" spans="1:22" s="1192" customFormat="1" ht="14.4" x14ac:dyDescent="0.3">
      <c r="A13013" s="1192" t="s">
        <v>184</v>
      </c>
      <c r="E13013" s="1743" t="s">
        <v>2391</v>
      </c>
      <c r="F13013" s="1743"/>
      <c r="G13013" s="1743"/>
      <c r="H13013" s="1743"/>
      <c r="K13013" s="1192" t="s">
        <v>3901</v>
      </c>
      <c r="V13013" s="1192">
        <v>280</v>
      </c>
    </row>
    <row r="13014" spans="1:22" s="1192" customFormat="1" ht="14.4" x14ac:dyDescent="0.3">
      <c r="A13014" s="1192" t="s">
        <v>184</v>
      </c>
      <c r="E13014" s="1743" t="s">
        <v>2392</v>
      </c>
      <c r="F13014" s="1743"/>
      <c r="G13014" s="1743"/>
      <c r="H13014" s="1743"/>
      <c r="K13014" s="1192" t="s">
        <v>3901</v>
      </c>
      <c r="V13014" s="1192">
        <v>411</v>
      </c>
    </row>
    <row r="13015" spans="1:22" s="1192" customFormat="1" ht="14.4" x14ac:dyDescent="0.3">
      <c r="A13015" s="1192" t="s">
        <v>184</v>
      </c>
      <c r="E13015" s="1743" t="s">
        <v>2393</v>
      </c>
      <c r="F13015" s="1743"/>
      <c r="G13015" s="1743"/>
      <c r="H13015" s="1743"/>
      <c r="K13015" s="1192" t="s">
        <v>3901</v>
      </c>
      <c r="V13015" s="1192">
        <v>387</v>
      </c>
    </row>
    <row r="13016" spans="1:22" s="1192" customFormat="1" ht="14.4" x14ac:dyDescent="0.3">
      <c r="A13016" s="1192" t="s">
        <v>184</v>
      </c>
      <c r="E13016" s="1743" t="s">
        <v>4500</v>
      </c>
      <c r="F13016" s="1743"/>
      <c r="G13016" s="1743"/>
      <c r="H13016" s="1743"/>
      <c r="K13016" s="1192" t="s">
        <v>3901</v>
      </c>
      <c r="V13016" s="1192">
        <v>247</v>
      </c>
    </row>
    <row r="13017" spans="1:22" s="1192" customFormat="1" ht="14.4" x14ac:dyDescent="0.3">
      <c r="A13017" s="1192" t="s">
        <v>184</v>
      </c>
      <c r="E13017" s="1750" t="s">
        <v>2394</v>
      </c>
      <c r="F13017" s="1743"/>
      <c r="G13017" s="1743"/>
      <c r="H13017" s="1743"/>
      <c r="K13017" s="1192" t="s">
        <v>2413</v>
      </c>
      <c r="V13017" s="1192">
        <v>46</v>
      </c>
    </row>
    <row r="13018" spans="1:22" s="1192" customFormat="1" ht="14.4" x14ac:dyDescent="0.3">
      <c r="A13018" s="1192" t="s">
        <v>184</v>
      </c>
      <c r="E13018" s="1741" t="s">
        <v>7</v>
      </c>
      <c r="F13018" s="1741"/>
      <c r="G13018" s="1277" t="s">
        <v>19</v>
      </c>
      <c r="H13018" s="1218">
        <v>40.08</v>
      </c>
      <c r="K13018" s="1192" t="s">
        <v>3901</v>
      </c>
      <c r="L13018" s="1192" t="s">
        <v>430</v>
      </c>
      <c r="P13018" s="1192" t="s">
        <v>3902</v>
      </c>
      <c r="V13018" s="1192">
        <v>14</v>
      </c>
    </row>
    <row r="13019" spans="1:22" s="1192" customFormat="1" ht="14.4" x14ac:dyDescent="0.3">
      <c r="A13019" s="1192" t="s">
        <v>184</v>
      </c>
      <c r="E13019" s="1741" t="s">
        <v>3900</v>
      </c>
      <c r="F13019" s="1741"/>
      <c r="G13019" s="1277" t="s">
        <v>19</v>
      </c>
      <c r="H13019" s="1218">
        <v>0.56999999999999995</v>
      </c>
      <c r="K13019" s="1192" t="s">
        <v>3901</v>
      </c>
      <c r="L13019" s="1192" t="s">
        <v>431</v>
      </c>
      <c r="P13019" s="1192" t="s">
        <v>3903</v>
      </c>
      <c r="T13019" s="1192">
        <v>44926</v>
      </c>
      <c r="V13019" s="1192">
        <v>64</v>
      </c>
    </row>
    <row r="13020" spans="1:22" s="1192" customFormat="1" ht="14.4" x14ac:dyDescent="0.3">
      <c r="A13020" s="1192" t="s">
        <v>184</v>
      </c>
      <c r="E13020" s="1741" t="s">
        <v>80</v>
      </c>
      <c r="F13020" s="1741"/>
      <c r="G13020" s="1277" t="s">
        <v>20</v>
      </c>
      <c r="H13020" s="1219">
        <v>1.1900000000000001E-2</v>
      </c>
      <c r="K13020" s="1192" t="s">
        <v>3901</v>
      </c>
      <c r="L13020" s="1192" t="s">
        <v>430</v>
      </c>
      <c r="P13020" s="1192" t="s">
        <v>3904</v>
      </c>
      <c r="V13020" s="1192">
        <v>28</v>
      </c>
    </row>
    <row r="13021" spans="1:22" s="1192" customFormat="1" ht="14.4" x14ac:dyDescent="0.3">
      <c r="A13021" s="1192" t="s">
        <v>184</v>
      </c>
      <c r="E13021" s="1741" t="s">
        <v>6506</v>
      </c>
      <c r="F13021" s="1998"/>
      <c r="G13021" s="1277" t="s">
        <v>20</v>
      </c>
      <c r="H13021" s="1219">
        <v>2.3E-3</v>
      </c>
      <c r="K13021" s="1192" t="s">
        <v>3901</v>
      </c>
      <c r="L13021" s="1192" t="s">
        <v>431</v>
      </c>
      <c r="P13021" s="1192" t="s">
        <v>3700</v>
      </c>
      <c r="T13021" s="1192">
        <v>44316</v>
      </c>
      <c r="V13021" s="1192">
        <v>139</v>
      </c>
    </row>
    <row r="13022" spans="1:22" s="1192" customFormat="1" ht="14.4" x14ac:dyDescent="0.3">
      <c r="A13022" s="1192" t="s">
        <v>184</v>
      </c>
      <c r="E13022" s="1741" t="s">
        <v>6508</v>
      </c>
      <c r="F13022" s="1998"/>
      <c r="G13022" s="1277" t="s">
        <v>20</v>
      </c>
      <c r="H13022" s="1219">
        <v>4.0000000000000002E-4</v>
      </c>
      <c r="K13022" s="1192" t="s">
        <v>3901</v>
      </c>
      <c r="L13022" s="1192" t="s">
        <v>431</v>
      </c>
      <c r="P13022" s="1192" t="s">
        <v>3911</v>
      </c>
      <c r="T13022" s="1192">
        <v>44316</v>
      </c>
      <c r="V13022" s="1192">
        <v>96</v>
      </c>
    </row>
    <row r="13023" spans="1:22" s="1192" customFormat="1" ht="14.4" x14ac:dyDescent="0.3">
      <c r="A13023" s="1192" t="s">
        <v>184</v>
      </c>
      <c r="E13023" s="1741" t="s">
        <v>6671</v>
      </c>
      <c r="F13023" s="1741"/>
      <c r="G13023" s="1277" t="s">
        <v>20</v>
      </c>
      <c r="H13023" s="1219">
        <v>5.0000000000000001E-4</v>
      </c>
      <c r="K13023" s="1192" t="s">
        <v>3901</v>
      </c>
      <c r="L13023" s="1192" t="s">
        <v>430</v>
      </c>
      <c r="P13023" s="1192" t="s">
        <v>3911</v>
      </c>
      <c r="T13023" s="1192">
        <v>44316</v>
      </c>
      <c r="V13023" s="1192">
        <v>104</v>
      </c>
    </row>
    <row r="13024" spans="1:22" s="1192" customFormat="1" ht="14.4" x14ac:dyDescent="0.3">
      <c r="A13024" s="1192" t="s">
        <v>184</v>
      </c>
      <c r="E13024" s="1741" t="s">
        <v>4617</v>
      </c>
      <c r="F13024" s="1741"/>
      <c r="G13024" s="1277" t="s">
        <v>20</v>
      </c>
      <c r="H13024" s="1219">
        <v>5.0000000000000001E-4</v>
      </c>
      <c r="K13024" s="1192" t="s">
        <v>3901</v>
      </c>
      <c r="L13024" s="1192" t="s">
        <v>430</v>
      </c>
      <c r="P13024" s="1192" t="s">
        <v>4000</v>
      </c>
      <c r="T13024" s="1192">
        <v>44316</v>
      </c>
      <c r="V13024" s="1192">
        <v>134</v>
      </c>
    </row>
    <row r="13025" spans="1:22" s="1192" customFormat="1" ht="14.4" x14ac:dyDescent="0.3">
      <c r="A13025" s="1192" t="s">
        <v>184</v>
      </c>
      <c r="E13025" s="1741" t="s">
        <v>213</v>
      </c>
      <c r="F13025" s="1741"/>
      <c r="G13025" s="1277" t="s">
        <v>20</v>
      </c>
      <c r="H13025" s="1219">
        <v>7.1000000000000004E-3</v>
      </c>
      <c r="K13025" s="1192" t="s">
        <v>3901</v>
      </c>
      <c r="L13025" s="1192" t="s">
        <v>432</v>
      </c>
      <c r="P13025" s="1192" t="s">
        <v>3906</v>
      </c>
      <c r="V13025" s="1192">
        <v>47</v>
      </c>
    </row>
    <row r="13026" spans="1:22" s="1192" customFormat="1" ht="14.4" x14ac:dyDescent="0.3">
      <c r="A13026" s="1192" t="s">
        <v>184</v>
      </c>
      <c r="E13026" s="1741" t="s">
        <v>209</v>
      </c>
      <c r="F13026" s="1741"/>
      <c r="G13026" s="1277" t="s">
        <v>20</v>
      </c>
      <c r="H13026" s="1219">
        <v>1.6000000000000001E-3</v>
      </c>
      <c r="K13026" s="1192" t="s">
        <v>3901</v>
      </c>
      <c r="L13026" s="1192" t="s">
        <v>432</v>
      </c>
      <c r="P13026" s="1192" t="s">
        <v>3907</v>
      </c>
      <c r="V13026" s="1192">
        <v>74</v>
      </c>
    </row>
    <row r="13027" spans="1:22" s="1192" customFormat="1" ht="14.4" x14ac:dyDescent="0.3">
      <c r="A13027" s="1192" t="s">
        <v>184</v>
      </c>
      <c r="E13027" s="1750" t="s">
        <v>2405</v>
      </c>
      <c r="F13027" s="1741"/>
      <c r="G13027" s="1277"/>
      <c r="H13027" s="896"/>
      <c r="K13027" s="1192" t="s">
        <v>2418</v>
      </c>
      <c r="V13027" s="1192">
        <v>48</v>
      </c>
    </row>
    <row r="13028" spans="1:22" s="1192" customFormat="1" ht="14.4" x14ac:dyDescent="0.3">
      <c r="A13028" s="1192" t="s">
        <v>184</v>
      </c>
      <c r="E13028" s="1741" t="s">
        <v>2033</v>
      </c>
      <c r="F13028" s="1741"/>
      <c r="G13028" s="1277" t="s">
        <v>20</v>
      </c>
      <c r="H13028" s="1219">
        <v>3.0000000000000001E-3</v>
      </c>
      <c r="K13028" s="1192" t="s">
        <v>3901</v>
      </c>
      <c r="L13028" s="1192" t="s">
        <v>2374</v>
      </c>
      <c r="P13028" s="1192" t="s">
        <v>3908</v>
      </c>
      <c r="V13028" s="1192">
        <v>55</v>
      </c>
    </row>
    <row r="13029" spans="1:22" s="1192" customFormat="1" ht="14.4" x14ac:dyDescent="0.3">
      <c r="A13029" s="1192" t="s">
        <v>184</v>
      </c>
      <c r="E13029" s="1741" t="s">
        <v>2034</v>
      </c>
      <c r="F13029" s="1741"/>
      <c r="G13029" s="1277" t="s">
        <v>20</v>
      </c>
      <c r="H13029" s="1219">
        <v>4.0000000000000002E-4</v>
      </c>
      <c r="K13029" s="1192" t="s">
        <v>3901</v>
      </c>
      <c r="L13029" s="1192" t="s">
        <v>2374</v>
      </c>
      <c r="P13029" s="1192" t="s">
        <v>3908</v>
      </c>
      <c r="V13029" s="1192">
        <v>65</v>
      </c>
    </row>
    <row r="13030" spans="1:22" s="1192" customFormat="1" ht="14.4" x14ac:dyDescent="0.3">
      <c r="A13030" s="1192" t="s">
        <v>184</v>
      </c>
      <c r="E13030" s="1741" t="s">
        <v>428</v>
      </c>
      <c r="F13030" s="1741"/>
      <c r="G13030" s="1277" t="s">
        <v>20</v>
      </c>
      <c r="H13030" s="1219">
        <v>5.0000000000000001E-4</v>
      </c>
      <c r="K13030" s="1192" t="s">
        <v>3901</v>
      </c>
      <c r="L13030" s="1192" t="s">
        <v>2374</v>
      </c>
      <c r="P13030" s="1192" t="s">
        <v>3909</v>
      </c>
      <c r="V13030" s="1192">
        <v>57</v>
      </c>
    </row>
    <row r="13031" spans="1:22" s="1192" customFormat="1" ht="14.4" x14ac:dyDescent="0.3">
      <c r="A13031" s="1192" t="s">
        <v>184</v>
      </c>
      <c r="E13031" s="1741" t="s">
        <v>28</v>
      </c>
      <c r="F13031" s="1741"/>
      <c r="G13031" s="1277" t="s">
        <v>19</v>
      </c>
      <c r="H13031" s="1218">
        <v>0.25</v>
      </c>
      <c r="K13031" s="1192" t="s">
        <v>3901</v>
      </c>
      <c r="L13031" s="1192" t="s">
        <v>2374</v>
      </c>
      <c r="P13031" s="1192" t="s">
        <v>3910</v>
      </c>
      <c r="V13031" s="1192">
        <v>63</v>
      </c>
    </row>
    <row r="13032" spans="1:22" s="1192" customFormat="1" ht="17.399999999999999" x14ac:dyDescent="0.3">
      <c r="A13032" s="1192" t="s">
        <v>184</v>
      </c>
      <c r="E13032" s="1746" t="s">
        <v>591</v>
      </c>
      <c r="F13032" s="1747"/>
      <c r="G13032" s="1747"/>
      <c r="H13032" s="1747"/>
      <c r="K13032" s="1192" t="s">
        <v>4388</v>
      </c>
      <c r="V13032" s="1192">
        <v>53</v>
      </c>
    </row>
    <row r="13033" spans="1:22" s="1192" customFormat="1" ht="14.4" x14ac:dyDescent="0.3">
      <c r="A13033" s="1192" t="s">
        <v>184</v>
      </c>
      <c r="E13033" s="1743" t="s">
        <v>4990</v>
      </c>
      <c r="F13033" s="1743"/>
      <c r="G13033" s="1743"/>
      <c r="H13033" s="1743"/>
      <c r="K13033" s="1192" t="s">
        <v>4388</v>
      </c>
      <c r="V13033" s="1192">
        <v>357</v>
      </c>
    </row>
    <row r="13034" spans="1:22" s="1192" customFormat="1" ht="14.4" x14ac:dyDescent="0.3">
      <c r="A13034" s="1192" t="s">
        <v>184</v>
      </c>
      <c r="E13034" s="1750" t="s">
        <v>2389</v>
      </c>
      <c r="F13034" s="1743"/>
      <c r="G13034" s="1743"/>
      <c r="H13034" s="1743"/>
      <c r="K13034" s="1192" t="s">
        <v>2422</v>
      </c>
      <c r="V13034" s="1192">
        <v>11</v>
      </c>
    </row>
    <row r="13035" spans="1:22" s="1192" customFormat="1" ht="14.4" x14ac:dyDescent="0.3">
      <c r="A13035" s="1192" t="s">
        <v>184</v>
      </c>
      <c r="E13035" s="1743" t="s">
        <v>2391</v>
      </c>
      <c r="F13035" s="1743"/>
      <c r="G13035" s="1743"/>
      <c r="H13035" s="1743"/>
      <c r="K13035" s="1192" t="s">
        <v>4388</v>
      </c>
      <c r="V13035" s="1192">
        <v>280</v>
      </c>
    </row>
    <row r="13036" spans="1:22" s="1192" customFormat="1" ht="14.4" x14ac:dyDescent="0.3">
      <c r="A13036" s="1192" t="s">
        <v>184</v>
      </c>
      <c r="E13036" s="1743" t="s">
        <v>2392</v>
      </c>
      <c r="F13036" s="1743"/>
      <c r="G13036" s="1743"/>
      <c r="H13036" s="1743"/>
      <c r="K13036" s="1192" t="s">
        <v>4388</v>
      </c>
      <c r="V13036" s="1192">
        <v>411</v>
      </c>
    </row>
    <row r="13037" spans="1:22" s="1192" customFormat="1" ht="14.4" x14ac:dyDescent="0.3">
      <c r="A13037" s="1192" t="s">
        <v>184</v>
      </c>
      <c r="E13037" s="1743" t="s">
        <v>2393</v>
      </c>
      <c r="F13037" s="1743"/>
      <c r="G13037" s="1743"/>
      <c r="H13037" s="1743"/>
      <c r="K13037" s="1192" t="s">
        <v>4388</v>
      </c>
      <c r="V13037" s="1192">
        <v>387</v>
      </c>
    </row>
    <row r="13038" spans="1:22" s="1192" customFormat="1" ht="14.4" x14ac:dyDescent="0.3">
      <c r="A13038" s="1192" t="s">
        <v>184</v>
      </c>
      <c r="E13038" s="1743" t="s">
        <v>4503</v>
      </c>
      <c r="F13038" s="1743"/>
      <c r="G13038" s="1743"/>
      <c r="H13038" s="1743"/>
      <c r="K13038" s="1192" t="s">
        <v>4388</v>
      </c>
      <c r="V13038" s="1192">
        <v>677</v>
      </c>
    </row>
    <row r="13039" spans="1:22" s="1192" customFormat="1" ht="14.4" x14ac:dyDescent="0.3">
      <c r="A13039" s="1192" t="s">
        <v>184</v>
      </c>
      <c r="E13039" s="1743" t="s">
        <v>4644</v>
      </c>
      <c r="F13039" s="1743"/>
      <c r="G13039" s="1743"/>
      <c r="H13039" s="1743"/>
      <c r="K13039" s="1192" t="s">
        <v>4388</v>
      </c>
      <c r="V13039" s="1192">
        <v>693</v>
      </c>
    </row>
    <row r="13040" spans="1:22" s="1192" customFormat="1" ht="14.4" x14ac:dyDescent="0.3">
      <c r="A13040" s="1192" t="s">
        <v>184</v>
      </c>
      <c r="E13040" s="1743" t="s">
        <v>4500</v>
      </c>
      <c r="F13040" s="1743"/>
      <c r="G13040" s="1743"/>
      <c r="H13040" s="1743"/>
      <c r="K13040" s="1192" t="s">
        <v>4388</v>
      </c>
      <c r="V13040" s="1192">
        <v>247</v>
      </c>
    </row>
    <row r="13041" spans="1:22" s="1192" customFormat="1" ht="14.4" x14ac:dyDescent="0.3">
      <c r="A13041" s="1192" t="s">
        <v>184</v>
      </c>
      <c r="E13041" s="1750" t="s">
        <v>2394</v>
      </c>
      <c r="F13041" s="1743"/>
      <c r="G13041" s="1743"/>
      <c r="H13041" s="1743"/>
      <c r="K13041" s="1192" t="s">
        <v>2423</v>
      </c>
      <c r="V13041" s="1192">
        <v>46</v>
      </c>
    </row>
    <row r="13042" spans="1:22" s="1192" customFormat="1" ht="14.4" x14ac:dyDescent="0.3">
      <c r="A13042" s="1192" t="s">
        <v>184</v>
      </c>
      <c r="E13042" s="1741" t="s">
        <v>7</v>
      </c>
      <c r="F13042" s="1741"/>
      <c r="G13042" s="1277" t="s">
        <v>19</v>
      </c>
      <c r="H13042" s="1218">
        <v>286.44</v>
      </c>
      <c r="K13042" s="1192" t="s">
        <v>4388</v>
      </c>
      <c r="L13042" s="1192" t="s">
        <v>430</v>
      </c>
      <c r="P13042" s="1192" t="s">
        <v>4389</v>
      </c>
      <c r="V13042" s="1192">
        <v>14</v>
      </c>
    </row>
    <row r="13043" spans="1:22" s="1192" customFormat="1" ht="14.4" x14ac:dyDescent="0.3">
      <c r="A13043" s="1192" t="s">
        <v>184</v>
      </c>
      <c r="E13043" s="1741" t="s">
        <v>80</v>
      </c>
      <c r="F13043" s="1741"/>
      <c r="G13043" s="1277" t="s">
        <v>29</v>
      </c>
      <c r="H13043" s="1219">
        <v>2.3975</v>
      </c>
      <c r="K13043" s="1192" t="s">
        <v>4388</v>
      </c>
      <c r="L13043" s="1192" t="s">
        <v>430</v>
      </c>
      <c r="P13043" s="1192" t="s">
        <v>4390</v>
      </c>
      <c r="V13043" s="1192">
        <v>28</v>
      </c>
    </row>
    <row r="13044" spans="1:22" s="1192" customFormat="1" ht="14.4" x14ac:dyDescent="0.3">
      <c r="A13044" s="1192" t="s">
        <v>184</v>
      </c>
      <c r="E13044" s="1741" t="s">
        <v>6506</v>
      </c>
      <c r="F13044" s="1998"/>
      <c r="G13044" s="1277" t="s">
        <v>20</v>
      </c>
      <c r="H13044" s="1219">
        <v>2.3E-3</v>
      </c>
      <c r="K13044" s="1192" t="s">
        <v>4388</v>
      </c>
      <c r="L13044" s="1192" t="s">
        <v>431</v>
      </c>
      <c r="P13044" s="1192" t="s">
        <v>4397</v>
      </c>
      <c r="T13044" s="1192">
        <v>44316</v>
      </c>
      <c r="V13044" s="1192">
        <v>139</v>
      </c>
    </row>
    <row r="13045" spans="1:22" s="1192" customFormat="1" ht="14.4" x14ac:dyDescent="0.3">
      <c r="A13045" s="1192" t="s">
        <v>184</v>
      </c>
      <c r="E13045" s="1741" t="s">
        <v>6508</v>
      </c>
      <c r="F13045" s="1998"/>
      <c r="G13045" s="1277" t="s">
        <v>29</v>
      </c>
      <c r="H13045" s="1219">
        <v>0.16450000000000001</v>
      </c>
      <c r="K13045" s="1192" t="s">
        <v>4388</v>
      </c>
      <c r="L13045" s="1192" t="s">
        <v>431</v>
      </c>
      <c r="P13045" s="1192" t="s">
        <v>4398</v>
      </c>
      <c r="T13045" s="1192">
        <v>44316</v>
      </c>
      <c r="V13045" s="1192">
        <v>96</v>
      </c>
    </row>
    <row r="13046" spans="1:22" s="1192" customFormat="1" ht="14.4" x14ac:dyDescent="0.3">
      <c r="A13046" s="1192" t="s">
        <v>184</v>
      </c>
      <c r="E13046" s="1741" t="s">
        <v>6671</v>
      </c>
      <c r="F13046" s="1741"/>
      <c r="G13046" s="1277" t="s">
        <v>29</v>
      </c>
      <c r="H13046" s="1219">
        <v>0.20080000000000001</v>
      </c>
      <c r="K13046" s="1192" t="s">
        <v>4388</v>
      </c>
      <c r="L13046" s="1192" t="s">
        <v>430</v>
      </c>
      <c r="P13046" s="1192" t="s">
        <v>4398</v>
      </c>
      <c r="T13046" s="1192">
        <v>44316</v>
      </c>
      <c r="V13046" s="1192">
        <v>104</v>
      </c>
    </row>
    <row r="13047" spans="1:22" s="1192" customFormat="1" ht="14.4" x14ac:dyDescent="0.3">
      <c r="A13047" s="1192" t="s">
        <v>184</v>
      </c>
      <c r="E13047" s="1741" t="s">
        <v>4617</v>
      </c>
      <c r="F13047" s="1741"/>
      <c r="G13047" s="1277" t="s">
        <v>29</v>
      </c>
      <c r="H13047" s="1219">
        <v>0.1343</v>
      </c>
      <c r="K13047" s="1192" t="s">
        <v>4388</v>
      </c>
      <c r="L13047" s="1192" t="s">
        <v>430</v>
      </c>
      <c r="P13047" s="1192" t="s">
        <v>4400</v>
      </c>
      <c r="T13047" s="1192">
        <v>44316</v>
      </c>
      <c r="V13047" s="1192">
        <v>134</v>
      </c>
    </row>
    <row r="13048" spans="1:22" s="1192" customFormat="1" ht="14.4" x14ac:dyDescent="0.3">
      <c r="A13048" s="1192" t="s">
        <v>184</v>
      </c>
      <c r="E13048" s="1741" t="s">
        <v>213</v>
      </c>
      <c r="F13048" s="1741"/>
      <c r="G13048" s="1277" t="s">
        <v>29</v>
      </c>
      <c r="H13048" s="1219">
        <v>2.9047999999999998</v>
      </c>
      <c r="K13048" s="1192" t="s">
        <v>4388</v>
      </c>
      <c r="L13048" s="1192" t="s">
        <v>432</v>
      </c>
      <c r="P13048" s="1192" t="s">
        <v>4392</v>
      </c>
      <c r="V13048" s="1192">
        <v>47</v>
      </c>
    </row>
    <row r="13049" spans="1:22" s="1192" customFormat="1" ht="14.4" x14ac:dyDescent="0.3">
      <c r="A13049" s="1192" t="s">
        <v>184</v>
      </c>
      <c r="E13049" s="1741" t="s">
        <v>209</v>
      </c>
      <c r="F13049" s="1741"/>
      <c r="G13049" s="1277" t="s">
        <v>29</v>
      </c>
      <c r="H13049" s="1219">
        <v>0.53469999999999995</v>
      </c>
      <c r="K13049" s="1192" t="s">
        <v>4388</v>
      </c>
      <c r="L13049" s="1192" t="s">
        <v>432</v>
      </c>
      <c r="P13049" s="1192" t="s">
        <v>4393</v>
      </c>
      <c r="V13049" s="1192">
        <v>74</v>
      </c>
    </row>
    <row r="13050" spans="1:22" s="1192" customFormat="1" ht="14.4" x14ac:dyDescent="0.3">
      <c r="A13050" s="1192" t="s">
        <v>184</v>
      </c>
      <c r="E13050" s="1741" t="s">
        <v>215</v>
      </c>
      <c r="F13050" s="1741"/>
      <c r="G13050" s="1277" t="s">
        <v>29</v>
      </c>
      <c r="H13050" s="1219">
        <v>3.1394000000000002</v>
      </c>
      <c r="K13050" s="1192" t="s">
        <v>4388</v>
      </c>
      <c r="L13050" s="1192" t="s">
        <v>432</v>
      </c>
      <c r="P13050" s="1192" t="s">
        <v>4392</v>
      </c>
      <c r="V13050" s="1192">
        <v>66</v>
      </c>
    </row>
    <row r="13051" spans="1:22" s="1192" customFormat="1" ht="14.4" x14ac:dyDescent="0.3">
      <c r="A13051" s="1192" t="s">
        <v>184</v>
      </c>
      <c r="E13051" s="1741" t="s">
        <v>211</v>
      </c>
      <c r="F13051" s="1741"/>
      <c r="G13051" s="1277" t="s">
        <v>29</v>
      </c>
      <c r="H13051" s="1219">
        <v>1.2861</v>
      </c>
      <c r="K13051" s="1192" t="s">
        <v>4388</v>
      </c>
      <c r="L13051" s="1192" t="s">
        <v>432</v>
      </c>
      <c r="P13051" s="1192" t="s">
        <v>4393</v>
      </c>
      <c r="V13051" s="1192">
        <v>93</v>
      </c>
    </row>
    <row r="13052" spans="1:22" s="1192" customFormat="1" ht="14.4" x14ac:dyDescent="0.3">
      <c r="A13052" s="1192" t="s">
        <v>184</v>
      </c>
      <c r="E13052" s="1750" t="s">
        <v>2405</v>
      </c>
      <c r="F13052" s="1741"/>
      <c r="G13052" s="1277"/>
      <c r="H13052" s="896"/>
      <c r="K13052" s="1192" t="s">
        <v>2526</v>
      </c>
      <c r="V13052" s="1192">
        <v>48</v>
      </c>
    </row>
    <row r="13053" spans="1:22" s="1192" customFormat="1" ht="14.4" x14ac:dyDescent="0.3">
      <c r="A13053" s="1192" t="s">
        <v>184</v>
      </c>
      <c r="E13053" s="1741" t="s">
        <v>2033</v>
      </c>
      <c r="F13053" s="1741"/>
      <c r="G13053" s="1277" t="s">
        <v>20</v>
      </c>
      <c r="H13053" s="1219">
        <v>3.0000000000000001E-3</v>
      </c>
      <c r="K13053" s="1192" t="s">
        <v>4388</v>
      </c>
      <c r="L13053" s="1192" t="s">
        <v>2374</v>
      </c>
      <c r="P13053" s="1192" t="s">
        <v>4394</v>
      </c>
      <c r="V13053" s="1192">
        <v>55</v>
      </c>
    </row>
    <row r="13054" spans="1:22" s="1192" customFormat="1" ht="14.4" x14ac:dyDescent="0.3">
      <c r="A13054" s="1192" t="s">
        <v>184</v>
      </c>
      <c r="E13054" s="1741" t="s">
        <v>2034</v>
      </c>
      <c r="F13054" s="1741"/>
      <c r="G13054" s="1277" t="s">
        <v>20</v>
      </c>
      <c r="H13054" s="1219">
        <v>4.0000000000000002E-4</v>
      </c>
      <c r="K13054" s="1192" t="s">
        <v>4388</v>
      </c>
      <c r="L13054" s="1192" t="s">
        <v>2374</v>
      </c>
      <c r="P13054" s="1192" t="s">
        <v>4394</v>
      </c>
      <c r="V13054" s="1192">
        <v>65</v>
      </c>
    </row>
    <row r="13055" spans="1:22" s="1192" customFormat="1" ht="14.4" x14ac:dyDescent="0.3">
      <c r="A13055" s="1192" t="s">
        <v>184</v>
      </c>
      <c r="E13055" s="1741" t="s">
        <v>428</v>
      </c>
      <c r="F13055" s="1741"/>
      <c r="G13055" s="1277" t="s">
        <v>20</v>
      </c>
      <c r="H13055" s="1219">
        <v>5.0000000000000001E-4</v>
      </c>
      <c r="K13055" s="1192" t="s">
        <v>4388</v>
      </c>
      <c r="L13055" s="1192" t="s">
        <v>2374</v>
      </c>
      <c r="P13055" s="1192" t="s">
        <v>4395</v>
      </c>
      <c r="V13055" s="1192">
        <v>57</v>
      </c>
    </row>
    <row r="13056" spans="1:22" s="1192" customFormat="1" ht="14.4" x14ac:dyDescent="0.3">
      <c r="A13056" s="1192" t="s">
        <v>184</v>
      </c>
      <c r="E13056" s="1741" t="s">
        <v>28</v>
      </c>
      <c r="F13056" s="1741"/>
      <c r="G13056" s="1277" t="s">
        <v>19</v>
      </c>
      <c r="H13056" s="1218">
        <v>0.25</v>
      </c>
      <c r="K13056" s="1192" t="s">
        <v>4388</v>
      </c>
      <c r="L13056" s="1192" t="s">
        <v>2374</v>
      </c>
      <c r="P13056" s="1192" t="s">
        <v>4396</v>
      </c>
      <c r="V13056" s="1192">
        <v>63</v>
      </c>
    </row>
    <row r="13057" spans="1:22" s="1192" customFormat="1" ht="17.399999999999999" x14ac:dyDescent="0.3">
      <c r="A13057" s="1192" t="s">
        <v>184</v>
      </c>
      <c r="E13057" s="1746" t="s">
        <v>596</v>
      </c>
      <c r="F13057" s="1747"/>
      <c r="G13057" s="1747"/>
      <c r="H13057" s="1747"/>
      <c r="K13057" s="1192" t="s">
        <v>3407</v>
      </c>
      <c r="V13057" s="1192">
        <v>32</v>
      </c>
    </row>
    <row r="13058" spans="1:22" s="1192" customFormat="1" ht="14.4" x14ac:dyDescent="0.3">
      <c r="A13058" s="1192" t="s">
        <v>184</v>
      </c>
      <c r="E13058" s="1743" t="s">
        <v>6672</v>
      </c>
      <c r="F13058" s="1743"/>
      <c r="G13058" s="1743"/>
      <c r="H13058" s="1743"/>
      <c r="K13058" s="1192" t="s">
        <v>3407</v>
      </c>
      <c r="V13058" s="1192">
        <v>337</v>
      </c>
    </row>
    <row r="13059" spans="1:22" s="1192" customFormat="1" ht="14.4" x14ac:dyDescent="0.3">
      <c r="A13059" s="1192" t="s">
        <v>184</v>
      </c>
      <c r="E13059" s="1750" t="s">
        <v>2389</v>
      </c>
      <c r="F13059" s="1743"/>
      <c r="G13059" s="1743"/>
      <c r="H13059" s="1743"/>
      <c r="K13059" s="1192" t="s">
        <v>2529</v>
      </c>
      <c r="V13059" s="1192">
        <v>11</v>
      </c>
    </row>
    <row r="13060" spans="1:22" s="1192" customFormat="1" ht="14.4" x14ac:dyDescent="0.3">
      <c r="A13060" s="1192" t="s">
        <v>184</v>
      </c>
      <c r="E13060" s="1743" t="s">
        <v>2391</v>
      </c>
      <c r="F13060" s="1743"/>
      <c r="G13060" s="1743"/>
      <c r="H13060" s="1743"/>
      <c r="K13060" s="1192" t="s">
        <v>3407</v>
      </c>
      <c r="V13060" s="1192">
        <v>280</v>
      </c>
    </row>
    <row r="13061" spans="1:22" s="1192" customFormat="1" ht="14.4" x14ac:dyDescent="0.3">
      <c r="A13061" s="1192" t="s">
        <v>184</v>
      </c>
      <c r="E13061" s="1743" t="s">
        <v>2392</v>
      </c>
      <c r="F13061" s="1743"/>
      <c r="G13061" s="1743"/>
      <c r="H13061" s="1743"/>
      <c r="K13061" s="1192" t="s">
        <v>3407</v>
      </c>
      <c r="V13061" s="1192">
        <v>411</v>
      </c>
    </row>
    <row r="13062" spans="1:22" s="1192" customFormat="1" ht="14.4" x14ac:dyDescent="0.3">
      <c r="A13062" s="1192" t="s">
        <v>184</v>
      </c>
      <c r="E13062" s="1743" t="s">
        <v>2393</v>
      </c>
      <c r="F13062" s="1743"/>
      <c r="G13062" s="1743"/>
      <c r="H13062" s="1743"/>
      <c r="K13062" s="1192" t="s">
        <v>3407</v>
      </c>
      <c r="V13062" s="1192">
        <v>387</v>
      </c>
    </row>
    <row r="13063" spans="1:22" s="1192" customFormat="1" ht="14.4" x14ac:dyDescent="0.3">
      <c r="A13063" s="1192" t="s">
        <v>184</v>
      </c>
      <c r="E13063" s="1743" t="s">
        <v>4503</v>
      </c>
      <c r="F13063" s="1743"/>
      <c r="G13063" s="1743"/>
      <c r="H13063" s="1743"/>
      <c r="K13063" s="1192" t="s">
        <v>3407</v>
      </c>
      <c r="V13063" s="1192">
        <v>677</v>
      </c>
    </row>
    <row r="13064" spans="1:22" s="1192" customFormat="1" ht="14.4" x14ac:dyDescent="0.3">
      <c r="A13064" s="1192" t="s">
        <v>184</v>
      </c>
      <c r="E13064" s="1743" t="s">
        <v>4644</v>
      </c>
      <c r="F13064" s="1743"/>
      <c r="G13064" s="1743"/>
      <c r="H13064" s="1743"/>
      <c r="K13064" s="1192" t="s">
        <v>3407</v>
      </c>
      <c r="V13064" s="1192">
        <v>693</v>
      </c>
    </row>
    <row r="13065" spans="1:22" s="1192" customFormat="1" ht="14.4" x14ac:dyDescent="0.3">
      <c r="A13065" s="1192" t="s">
        <v>184</v>
      </c>
      <c r="E13065" s="1743" t="s">
        <v>4500</v>
      </c>
      <c r="F13065" s="1743"/>
      <c r="G13065" s="1743"/>
      <c r="H13065" s="1743"/>
      <c r="K13065" s="1192" t="s">
        <v>3407</v>
      </c>
      <c r="V13065" s="1192">
        <v>247</v>
      </c>
    </row>
    <row r="13066" spans="1:22" s="1192" customFormat="1" ht="14.4" x14ac:dyDescent="0.3">
      <c r="A13066" s="1192" t="s">
        <v>184</v>
      </c>
      <c r="E13066" s="1750" t="s">
        <v>2394</v>
      </c>
      <c r="F13066" s="1743"/>
      <c r="G13066" s="1743"/>
      <c r="H13066" s="1743"/>
      <c r="K13066" s="1192" t="s">
        <v>2531</v>
      </c>
      <c r="V13066" s="1192">
        <v>46</v>
      </c>
    </row>
    <row r="13067" spans="1:22" s="1192" customFormat="1" ht="14.4" x14ac:dyDescent="0.3">
      <c r="A13067" s="1192" t="s">
        <v>184</v>
      </c>
      <c r="E13067" s="1741" t="s">
        <v>7</v>
      </c>
      <c r="F13067" s="1741"/>
      <c r="G13067" s="1277" t="s">
        <v>19</v>
      </c>
      <c r="H13067" s="1218">
        <v>3754.95</v>
      </c>
      <c r="K13067" s="1192" t="s">
        <v>3407</v>
      </c>
      <c r="L13067" s="1192" t="s">
        <v>430</v>
      </c>
      <c r="P13067" s="1192" t="s">
        <v>3409</v>
      </c>
      <c r="V13067" s="1192">
        <v>14</v>
      </c>
    </row>
    <row r="13068" spans="1:22" s="1192" customFormat="1" ht="14.4" x14ac:dyDescent="0.3">
      <c r="A13068" s="1192" t="s">
        <v>184</v>
      </c>
      <c r="E13068" s="1741" t="s">
        <v>80</v>
      </c>
      <c r="F13068" s="1741"/>
      <c r="G13068" s="1277" t="s">
        <v>29</v>
      </c>
      <c r="H13068" s="1219">
        <v>2.3975</v>
      </c>
      <c r="K13068" s="1192" t="s">
        <v>3407</v>
      </c>
      <c r="L13068" s="1192" t="s">
        <v>430</v>
      </c>
      <c r="P13068" s="1192" t="s">
        <v>3410</v>
      </c>
      <c r="V13068" s="1192">
        <v>28</v>
      </c>
    </row>
    <row r="13069" spans="1:22" s="1192" customFormat="1" ht="14.4" x14ac:dyDescent="0.3">
      <c r="A13069" s="1192" t="s">
        <v>184</v>
      </c>
      <c r="E13069" s="1741" t="s">
        <v>6506</v>
      </c>
      <c r="F13069" s="1998"/>
      <c r="G13069" s="1277" t="s">
        <v>20</v>
      </c>
      <c r="H13069" s="1219">
        <v>2.3E-3</v>
      </c>
      <c r="K13069" s="1192" t="s">
        <v>3407</v>
      </c>
      <c r="L13069" s="1192" t="s">
        <v>431</v>
      </c>
      <c r="P13069" s="1192" t="s">
        <v>4057</v>
      </c>
      <c r="T13069" s="1192">
        <v>44316</v>
      </c>
      <c r="V13069" s="1192">
        <v>139</v>
      </c>
    </row>
    <row r="13070" spans="1:22" s="1192" customFormat="1" ht="14.4" x14ac:dyDescent="0.3">
      <c r="A13070" s="1192" t="s">
        <v>184</v>
      </c>
      <c r="E13070" s="1741" t="s">
        <v>6508</v>
      </c>
      <c r="F13070" s="1998"/>
      <c r="G13070" s="1277" t="s">
        <v>29</v>
      </c>
      <c r="H13070" s="1219">
        <v>0.1555</v>
      </c>
      <c r="K13070" s="1192" t="s">
        <v>3407</v>
      </c>
      <c r="L13070" s="1192" t="s">
        <v>431</v>
      </c>
      <c r="P13070" s="1192" t="s">
        <v>3413</v>
      </c>
      <c r="T13070" s="1192">
        <v>44316</v>
      </c>
      <c r="V13070" s="1192">
        <v>96</v>
      </c>
    </row>
    <row r="13071" spans="1:22" s="1192" customFormat="1" ht="14.4" x14ac:dyDescent="0.3">
      <c r="A13071" s="1192" t="s">
        <v>184</v>
      </c>
      <c r="E13071" s="1741" t="s">
        <v>6671</v>
      </c>
      <c r="F13071" s="1741"/>
      <c r="G13071" s="1277" t="s">
        <v>29</v>
      </c>
      <c r="H13071" s="1219">
        <v>0.20080000000000001</v>
      </c>
      <c r="K13071" s="1192" t="s">
        <v>3407</v>
      </c>
      <c r="L13071" s="1192" t="s">
        <v>430</v>
      </c>
      <c r="P13071" s="1192" t="s">
        <v>3413</v>
      </c>
      <c r="T13071" s="1192">
        <v>44316</v>
      </c>
      <c r="V13071" s="1192">
        <v>104</v>
      </c>
    </row>
    <row r="13072" spans="1:22" s="1192" customFormat="1" ht="14.4" x14ac:dyDescent="0.3">
      <c r="A13072" s="1192" t="s">
        <v>184</v>
      </c>
      <c r="E13072" s="1741" t="s">
        <v>215</v>
      </c>
      <c r="F13072" s="1741"/>
      <c r="G13072" s="1277" t="s">
        <v>29</v>
      </c>
      <c r="H13072" s="1219">
        <v>3.1394000000000002</v>
      </c>
      <c r="K13072" s="1192" t="s">
        <v>3407</v>
      </c>
      <c r="L13072" s="1192" t="s">
        <v>432</v>
      </c>
      <c r="P13072" s="1192" t="s">
        <v>3414</v>
      </c>
      <c r="V13072" s="1192">
        <v>66</v>
      </c>
    </row>
    <row r="13073" spans="1:22" s="1192" customFormat="1" ht="14.4" x14ac:dyDescent="0.3">
      <c r="A13073" s="1192" t="s">
        <v>184</v>
      </c>
      <c r="E13073" s="1741" t="s">
        <v>6673</v>
      </c>
      <c r="F13073" s="1741"/>
      <c r="G13073" s="1277" t="s">
        <v>29</v>
      </c>
      <c r="H13073" s="1219">
        <v>1.2861</v>
      </c>
      <c r="K13073" s="1192" t="s">
        <v>3407</v>
      </c>
      <c r="L13073" s="1192" t="s">
        <v>432</v>
      </c>
      <c r="P13073" s="1192" t="s">
        <v>4132</v>
      </c>
      <c r="V13073" s="1192">
        <v>106</v>
      </c>
    </row>
    <row r="13074" spans="1:22" s="1192" customFormat="1" ht="14.4" x14ac:dyDescent="0.3">
      <c r="A13074" s="1192" t="s">
        <v>184</v>
      </c>
      <c r="E13074" s="1750" t="s">
        <v>2405</v>
      </c>
      <c r="F13074" s="1741"/>
      <c r="G13074" s="1277"/>
      <c r="H13074" s="896"/>
      <c r="K13074" s="1192" t="s">
        <v>2532</v>
      </c>
      <c r="V13074" s="1192">
        <v>48</v>
      </c>
    </row>
    <row r="13075" spans="1:22" s="1192" customFormat="1" ht="14.4" x14ac:dyDescent="0.3">
      <c r="A13075" s="1192" t="s">
        <v>184</v>
      </c>
      <c r="E13075" s="1741" t="s">
        <v>2033</v>
      </c>
      <c r="F13075" s="1741"/>
      <c r="G13075" s="1277" t="s">
        <v>20</v>
      </c>
      <c r="H13075" s="1219">
        <v>3.0000000000000001E-3</v>
      </c>
      <c r="K13075" s="1192" t="s">
        <v>3407</v>
      </c>
      <c r="L13075" s="1192" t="s">
        <v>2374</v>
      </c>
      <c r="P13075" s="1192" t="s">
        <v>3415</v>
      </c>
      <c r="V13075" s="1192">
        <v>55</v>
      </c>
    </row>
    <row r="13076" spans="1:22" s="1192" customFormat="1" ht="14.4" x14ac:dyDescent="0.3">
      <c r="A13076" s="1192" t="s">
        <v>184</v>
      </c>
      <c r="E13076" s="1741" t="s">
        <v>2034</v>
      </c>
      <c r="F13076" s="1741"/>
      <c r="G13076" s="1277" t="s">
        <v>20</v>
      </c>
      <c r="H13076" s="1219">
        <v>4.0000000000000002E-4</v>
      </c>
      <c r="K13076" s="1192" t="s">
        <v>3407</v>
      </c>
      <c r="L13076" s="1192" t="s">
        <v>2374</v>
      </c>
      <c r="P13076" s="1192" t="s">
        <v>3415</v>
      </c>
      <c r="V13076" s="1192">
        <v>65</v>
      </c>
    </row>
    <row r="13077" spans="1:22" s="1192" customFormat="1" ht="14.4" x14ac:dyDescent="0.3">
      <c r="A13077" s="1192" t="s">
        <v>184</v>
      </c>
      <c r="E13077" s="1741" t="s">
        <v>428</v>
      </c>
      <c r="F13077" s="1741"/>
      <c r="G13077" s="1277" t="s">
        <v>20</v>
      </c>
      <c r="H13077" s="1219">
        <v>5.0000000000000001E-4</v>
      </c>
      <c r="K13077" s="1192" t="s">
        <v>3407</v>
      </c>
      <c r="L13077" s="1192" t="s">
        <v>2374</v>
      </c>
      <c r="P13077" s="1192" t="s">
        <v>3416</v>
      </c>
      <c r="V13077" s="1192">
        <v>57</v>
      </c>
    </row>
    <row r="13078" spans="1:22" s="1192" customFormat="1" ht="14.4" x14ac:dyDescent="0.3">
      <c r="A13078" s="1192" t="s">
        <v>184</v>
      </c>
      <c r="E13078" s="1741" t="s">
        <v>28</v>
      </c>
      <c r="F13078" s="1741"/>
      <c r="G13078" s="1277" t="s">
        <v>19</v>
      </c>
      <c r="H13078" s="1218">
        <v>0.25</v>
      </c>
      <c r="K13078" s="1192" t="s">
        <v>3407</v>
      </c>
      <c r="L13078" s="1192" t="s">
        <v>2374</v>
      </c>
      <c r="P13078" s="1192" t="s">
        <v>3417</v>
      </c>
      <c r="V13078" s="1192">
        <v>63</v>
      </c>
    </row>
    <row r="13079" spans="1:22" s="1192" customFormat="1" ht="17.399999999999999" x14ac:dyDescent="0.3">
      <c r="A13079" s="1192" t="s">
        <v>184</v>
      </c>
      <c r="E13079" s="1746" t="s">
        <v>592</v>
      </c>
      <c r="F13079" s="1747"/>
      <c r="G13079" s="1747"/>
      <c r="H13079" s="1747"/>
      <c r="K13079" s="1192" t="s">
        <v>2726</v>
      </c>
      <c r="V13079" s="1192">
        <v>47</v>
      </c>
    </row>
    <row r="13080" spans="1:22" s="1192" customFormat="1" ht="14.4" x14ac:dyDescent="0.3">
      <c r="A13080" s="1192" t="s">
        <v>184</v>
      </c>
      <c r="E13080" s="1743" t="s">
        <v>3099</v>
      </c>
      <c r="F13080" s="1743"/>
      <c r="G13080" s="1743"/>
      <c r="H13080" s="1743"/>
      <c r="K13080" s="1192" t="s">
        <v>2726</v>
      </c>
      <c r="V13080" s="1192">
        <v>723</v>
      </c>
    </row>
    <row r="13081" spans="1:22" s="1192" customFormat="1" ht="14.4" x14ac:dyDescent="0.3">
      <c r="A13081" s="1192" t="s">
        <v>184</v>
      </c>
      <c r="E13081" s="1750" t="s">
        <v>2389</v>
      </c>
      <c r="F13081" s="1743"/>
      <c r="G13081" s="1743"/>
      <c r="H13081" s="1743"/>
      <c r="K13081" s="1192" t="s">
        <v>2424</v>
      </c>
      <c r="V13081" s="1192">
        <v>11</v>
      </c>
    </row>
    <row r="13082" spans="1:22" s="1192" customFormat="1" ht="14.4" x14ac:dyDescent="0.3">
      <c r="A13082" s="1192" t="s">
        <v>184</v>
      </c>
      <c r="E13082" s="1743" t="s">
        <v>2391</v>
      </c>
      <c r="F13082" s="1743"/>
      <c r="G13082" s="1743"/>
      <c r="H13082" s="1743"/>
      <c r="K13082" s="1192" t="s">
        <v>2726</v>
      </c>
      <c r="V13082" s="1192">
        <v>280</v>
      </c>
    </row>
    <row r="13083" spans="1:22" s="1192" customFormat="1" ht="14.4" x14ac:dyDescent="0.3">
      <c r="A13083" s="1192" t="s">
        <v>184</v>
      </c>
      <c r="E13083" s="1743" t="s">
        <v>2392</v>
      </c>
      <c r="F13083" s="1743"/>
      <c r="G13083" s="1743"/>
      <c r="H13083" s="1743"/>
      <c r="K13083" s="1192" t="s">
        <v>2726</v>
      </c>
      <c r="V13083" s="1192">
        <v>411</v>
      </c>
    </row>
    <row r="13084" spans="1:22" s="1192" customFormat="1" ht="14.4" x14ac:dyDescent="0.3">
      <c r="A13084" s="1192" t="s">
        <v>184</v>
      </c>
      <c r="E13084" s="1743" t="s">
        <v>2393</v>
      </c>
      <c r="F13084" s="1743"/>
      <c r="G13084" s="1743"/>
      <c r="H13084" s="1743"/>
      <c r="K13084" s="1192" t="s">
        <v>2726</v>
      </c>
      <c r="V13084" s="1192">
        <v>387</v>
      </c>
    </row>
    <row r="13085" spans="1:22" s="1192" customFormat="1" ht="14.4" x14ac:dyDescent="0.3">
      <c r="A13085" s="1192" t="s">
        <v>184</v>
      </c>
      <c r="E13085" s="1743" t="s">
        <v>4500</v>
      </c>
      <c r="F13085" s="1743"/>
      <c r="G13085" s="1743"/>
      <c r="H13085" s="1743"/>
      <c r="K13085" s="1192" t="s">
        <v>2726</v>
      </c>
      <c r="V13085" s="1192">
        <v>247</v>
      </c>
    </row>
    <row r="13086" spans="1:22" s="1192" customFormat="1" ht="14.4" x14ac:dyDescent="0.3">
      <c r="A13086" s="1192" t="s">
        <v>184</v>
      </c>
      <c r="E13086" s="1750" t="s">
        <v>2394</v>
      </c>
      <c r="F13086" s="1743"/>
      <c r="G13086" s="1743"/>
      <c r="H13086" s="1743"/>
      <c r="K13086" s="1192" t="s">
        <v>2425</v>
      </c>
      <c r="V13086" s="1192">
        <v>46</v>
      </c>
    </row>
    <row r="13087" spans="1:22" s="1192" customFormat="1" ht="14.4" x14ac:dyDescent="0.3">
      <c r="A13087" s="1192" t="s">
        <v>184</v>
      </c>
      <c r="E13087" s="1741" t="s">
        <v>9</v>
      </c>
      <c r="F13087" s="1741"/>
      <c r="G13087" s="1277" t="s">
        <v>19</v>
      </c>
      <c r="H13087" s="1218">
        <v>21.56</v>
      </c>
      <c r="K13087" s="1192" t="s">
        <v>2726</v>
      </c>
      <c r="L13087" s="1192" t="s">
        <v>430</v>
      </c>
      <c r="P13087" s="1192" t="s">
        <v>2727</v>
      </c>
      <c r="V13087" s="1192">
        <v>29</v>
      </c>
    </row>
    <row r="13088" spans="1:22" s="1192" customFormat="1" ht="14.4" x14ac:dyDescent="0.3">
      <c r="A13088" s="1192" t="s">
        <v>184</v>
      </c>
      <c r="E13088" s="1741" t="s">
        <v>80</v>
      </c>
      <c r="F13088" s="1741"/>
      <c r="G13088" s="1277" t="s">
        <v>20</v>
      </c>
      <c r="H13088" s="1219">
        <v>5.4999999999999997E-3</v>
      </c>
      <c r="K13088" s="1192" t="s">
        <v>2726</v>
      </c>
      <c r="L13088" s="1192" t="s">
        <v>430</v>
      </c>
      <c r="P13088" s="1192" t="s">
        <v>2728</v>
      </c>
      <c r="V13088" s="1192">
        <v>28</v>
      </c>
    </row>
    <row r="13089" spans="1:22" s="1192" customFormat="1" ht="14.4" x14ac:dyDescent="0.3">
      <c r="A13089" s="1192" t="s">
        <v>184</v>
      </c>
      <c r="E13089" s="1741" t="s">
        <v>6506</v>
      </c>
      <c r="F13089" s="1998"/>
      <c r="G13089" s="1277" t="s">
        <v>20</v>
      </c>
      <c r="H13089" s="1219">
        <v>2.3E-3</v>
      </c>
      <c r="K13089" s="1192" t="s">
        <v>2726</v>
      </c>
      <c r="L13089" s="1192" t="s">
        <v>431</v>
      </c>
      <c r="P13089" s="1192" t="s">
        <v>2788</v>
      </c>
      <c r="T13089" s="1192">
        <v>44316</v>
      </c>
      <c r="V13089" s="1192">
        <v>139</v>
      </c>
    </row>
    <row r="13090" spans="1:22" s="1192" customFormat="1" ht="14.4" x14ac:dyDescent="0.3">
      <c r="A13090" s="1192" t="s">
        <v>184</v>
      </c>
      <c r="E13090" s="1741" t="s">
        <v>6508</v>
      </c>
      <c r="F13090" s="1998"/>
      <c r="G13090" s="1277" t="s">
        <v>20</v>
      </c>
      <c r="H13090" s="1219">
        <v>4.0000000000000002E-4</v>
      </c>
      <c r="K13090" s="1192" t="s">
        <v>2726</v>
      </c>
      <c r="L13090" s="1192" t="s">
        <v>431</v>
      </c>
      <c r="P13090" s="1192" t="s">
        <v>2789</v>
      </c>
      <c r="T13090" s="1192">
        <v>44316</v>
      </c>
      <c r="V13090" s="1192">
        <v>96</v>
      </c>
    </row>
    <row r="13091" spans="1:22" s="1192" customFormat="1" ht="14.4" x14ac:dyDescent="0.3">
      <c r="A13091" s="1192" t="s">
        <v>184</v>
      </c>
      <c r="E13091" s="1741" t="s">
        <v>6671</v>
      </c>
      <c r="F13091" s="1741"/>
      <c r="G13091" s="1277" t="s">
        <v>20</v>
      </c>
      <c r="H13091" s="1219">
        <v>5.0000000000000001E-4</v>
      </c>
      <c r="K13091" s="1192" t="s">
        <v>2726</v>
      </c>
      <c r="L13091" s="1192" t="s">
        <v>430</v>
      </c>
      <c r="P13091" s="1192" t="s">
        <v>2789</v>
      </c>
      <c r="T13091" s="1192">
        <v>44316</v>
      </c>
      <c r="V13091" s="1192">
        <v>104</v>
      </c>
    </row>
    <row r="13092" spans="1:22" s="1192" customFormat="1" ht="14.4" x14ac:dyDescent="0.3">
      <c r="A13092" s="1192" t="s">
        <v>184</v>
      </c>
      <c r="E13092" s="1741" t="s">
        <v>213</v>
      </c>
      <c r="F13092" s="1741"/>
      <c r="G13092" s="1277" t="s">
        <v>20</v>
      </c>
      <c r="H13092" s="1219">
        <v>7.1000000000000004E-3</v>
      </c>
      <c r="K13092" s="1192" t="s">
        <v>2726</v>
      </c>
      <c r="L13092" s="1192" t="s">
        <v>432</v>
      </c>
      <c r="P13092" s="1192" t="s">
        <v>2731</v>
      </c>
      <c r="V13092" s="1192">
        <v>47</v>
      </c>
    </row>
    <row r="13093" spans="1:22" s="1192" customFormat="1" ht="14.4" x14ac:dyDescent="0.3">
      <c r="A13093" s="1192" t="s">
        <v>184</v>
      </c>
      <c r="E13093" s="1741" t="s">
        <v>209</v>
      </c>
      <c r="F13093" s="1741"/>
      <c r="G13093" s="1277" t="s">
        <v>20</v>
      </c>
      <c r="H13093" s="1219">
        <v>1.6000000000000001E-3</v>
      </c>
      <c r="K13093" s="1192" t="s">
        <v>2726</v>
      </c>
      <c r="L13093" s="1192" t="s">
        <v>432</v>
      </c>
      <c r="P13093" s="1192" t="s">
        <v>2732</v>
      </c>
      <c r="V13093" s="1192">
        <v>74</v>
      </c>
    </row>
    <row r="13094" spans="1:22" s="1192" customFormat="1" ht="14.4" x14ac:dyDescent="0.3">
      <c r="A13094" s="1192" t="s">
        <v>184</v>
      </c>
      <c r="E13094" s="1750" t="s">
        <v>2405</v>
      </c>
      <c r="F13094" s="1741"/>
      <c r="G13094" s="1277"/>
      <c r="H13094" s="896"/>
      <c r="K13094" s="1192" t="s">
        <v>2427</v>
      </c>
      <c r="V13094" s="1192">
        <v>48</v>
      </c>
    </row>
    <row r="13095" spans="1:22" s="1192" customFormat="1" ht="14.4" x14ac:dyDescent="0.3">
      <c r="A13095" s="1192" t="s">
        <v>184</v>
      </c>
      <c r="E13095" s="1741" t="s">
        <v>2033</v>
      </c>
      <c r="F13095" s="1741"/>
      <c r="G13095" s="1277" t="s">
        <v>20</v>
      </c>
      <c r="H13095" s="1219">
        <v>3.0000000000000001E-3</v>
      </c>
      <c r="K13095" s="1192" t="s">
        <v>2726</v>
      </c>
      <c r="L13095" s="1192" t="s">
        <v>2374</v>
      </c>
      <c r="P13095" s="1192" t="s">
        <v>2733</v>
      </c>
      <c r="V13095" s="1192">
        <v>55</v>
      </c>
    </row>
    <row r="13096" spans="1:22" s="1192" customFormat="1" ht="14.4" x14ac:dyDescent="0.3">
      <c r="A13096" s="1192" t="s">
        <v>184</v>
      </c>
      <c r="E13096" s="1741" t="s">
        <v>2034</v>
      </c>
      <c r="F13096" s="1741"/>
      <c r="G13096" s="1277" t="s">
        <v>20</v>
      </c>
      <c r="H13096" s="1219">
        <v>4.0000000000000002E-4</v>
      </c>
      <c r="K13096" s="1192" t="s">
        <v>2726</v>
      </c>
      <c r="L13096" s="1192" t="s">
        <v>2374</v>
      </c>
      <c r="P13096" s="1192" t="s">
        <v>2733</v>
      </c>
      <c r="V13096" s="1192">
        <v>65</v>
      </c>
    </row>
    <row r="13097" spans="1:22" s="1192" customFormat="1" ht="14.4" x14ac:dyDescent="0.3">
      <c r="A13097" s="1192" t="s">
        <v>184</v>
      </c>
      <c r="E13097" s="1741" t="s">
        <v>428</v>
      </c>
      <c r="F13097" s="1741"/>
      <c r="G13097" s="1277" t="s">
        <v>20</v>
      </c>
      <c r="H13097" s="1219">
        <v>5.0000000000000001E-4</v>
      </c>
      <c r="K13097" s="1192" t="s">
        <v>2726</v>
      </c>
      <c r="L13097" s="1192" t="s">
        <v>2374</v>
      </c>
      <c r="P13097" s="1192" t="s">
        <v>2734</v>
      </c>
      <c r="V13097" s="1192">
        <v>57</v>
      </c>
    </row>
    <row r="13098" spans="1:22" s="1192" customFormat="1" ht="14.4" x14ac:dyDescent="0.3">
      <c r="A13098" s="1192" t="s">
        <v>184</v>
      </c>
      <c r="E13098" s="1741" t="s">
        <v>28</v>
      </c>
      <c r="F13098" s="1741"/>
      <c r="G13098" s="1277" t="s">
        <v>19</v>
      </c>
      <c r="H13098" s="1218">
        <v>0.25</v>
      </c>
      <c r="K13098" s="1192" t="s">
        <v>2726</v>
      </c>
      <c r="L13098" s="1192" t="s">
        <v>2374</v>
      </c>
      <c r="P13098" s="1192" t="s">
        <v>2735</v>
      </c>
      <c r="V13098" s="1192">
        <v>63</v>
      </c>
    </row>
    <row r="13099" spans="1:22" s="1192" customFormat="1" ht="17.399999999999999" x14ac:dyDescent="0.3">
      <c r="A13099" s="1192" t="s">
        <v>184</v>
      </c>
      <c r="E13099" s="1746" t="s">
        <v>590</v>
      </c>
      <c r="F13099" s="1747"/>
      <c r="G13099" s="1747"/>
      <c r="H13099" s="1747"/>
      <c r="K13099" s="1192" t="s">
        <v>2428</v>
      </c>
      <c r="V13099" s="1192">
        <v>38</v>
      </c>
    </row>
    <row r="13100" spans="1:22" s="1192" customFormat="1" ht="14.4" x14ac:dyDescent="0.3">
      <c r="A13100" s="1192" t="s">
        <v>184</v>
      </c>
      <c r="E13100" s="1743" t="s">
        <v>4991</v>
      </c>
      <c r="F13100" s="1743"/>
      <c r="G13100" s="1743"/>
      <c r="H13100" s="1743"/>
      <c r="K13100" s="1192" t="s">
        <v>2428</v>
      </c>
      <c r="V13100" s="1192">
        <v>523</v>
      </c>
    </row>
    <row r="13101" spans="1:22" s="1192" customFormat="1" ht="14.4" x14ac:dyDescent="0.3">
      <c r="A13101" s="1192" t="s">
        <v>184</v>
      </c>
      <c r="E13101" s="1750" t="s">
        <v>2389</v>
      </c>
      <c r="F13101" s="1743"/>
      <c r="G13101" s="1743"/>
      <c r="H13101" s="1743"/>
      <c r="K13101" s="1192" t="s">
        <v>2430</v>
      </c>
      <c r="V13101" s="1192">
        <v>11</v>
      </c>
    </row>
    <row r="13102" spans="1:22" s="1192" customFormat="1" ht="14.4" x14ac:dyDescent="0.3">
      <c r="A13102" s="1192" t="s">
        <v>184</v>
      </c>
      <c r="E13102" s="1743" t="s">
        <v>2391</v>
      </c>
      <c r="F13102" s="1743"/>
      <c r="G13102" s="1743"/>
      <c r="H13102" s="1743"/>
      <c r="K13102" s="1192" t="s">
        <v>2428</v>
      </c>
      <c r="V13102" s="1192">
        <v>280</v>
      </c>
    </row>
    <row r="13103" spans="1:22" s="1192" customFormat="1" ht="14.4" x14ac:dyDescent="0.3">
      <c r="A13103" s="1192" t="s">
        <v>184</v>
      </c>
      <c r="E13103" s="1743" t="s">
        <v>2392</v>
      </c>
      <c r="F13103" s="1743"/>
      <c r="G13103" s="1743"/>
      <c r="H13103" s="1743"/>
      <c r="K13103" s="1192" t="s">
        <v>2428</v>
      </c>
      <c r="V13103" s="1192">
        <v>411</v>
      </c>
    </row>
    <row r="13104" spans="1:22" s="1192" customFormat="1" ht="14.4" x14ac:dyDescent="0.3">
      <c r="A13104" s="1192" t="s">
        <v>184</v>
      </c>
      <c r="E13104" s="1743" t="s">
        <v>2393</v>
      </c>
      <c r="F13104" s="1743"/>
      <c r="G13104" s="1743"/>
      <c r="H13104" s="1743"/>
      <c r="K13104" s="1192" t="s">
        <v>2428</v>
      </c>
      <c r="V13104" s="1192">
        <v>387</v>
      </c>
    </row>
    <row r="13105" spans="1:22" s="1192" customFormat="1" ht="14.4" x14ac:dyDescent="0.3">
      <c r="A13105" s="1192" t="s">
        <v>184</v>
      </c>
      <c r="E13105" s="1743" t="s">
        <v>4500</v>
      </c>
      <c r="F13105" s="1743"/>
      <c r="G13105" s="1743"/>
      <c r="H13105" s="1743"/>
      <c r="K13105" s="1192" t="s">
        <v>2428</v>
      </c>
      <c r="V13105" s="1192">
        <v>247</v>
      </c>
    </row>
    <row r="13106" spans="1:22" s="1192" customFormat="1" ht="14.4" x14ac:dyDescent="0.3">
      <c r="A13106" s="1192" t="s">
        <v>184</v>
      </c>
      <c r="E13106" s="1750" t="s">
        <v>2394</v>
      </c>
      <c r="F13106" s="1743"/>
      <c r="G13106" s="1743"/>
      <c r="H13106" s="1743"/>
      <c r="K13106" s="1192" t="s">
        <v>2431</v>
      </c>
      <c r="V13106" s="1192">
        <v>46</v>
      </c>
    </row>
    <row r="13107" spans="1:22" s="1192" customFormat="1" ht="14.4" x14ac:dyDescent="0.3">
      <c r="A13107" s="1192" t="s">
        <v>184</v>
      </c>
      <c r="E13107" s="1741" t="s">
        <v>8</v>
      </c>
      <c r="F13107" s="1741"/>
      <c r="G13107" s="1277" t="s">
        <v>19</v>
      </c>
      <c r="H13107" s="1218">
        <v>7.32</v>
      </c>
      <c r="K13107" s="1192" t="s">
        <v>2428</v>
      </c>
      <c r="L13107" s="1192" t="s">
        <v>430</v>
      </c>
      <c r="P13107" s="1192" t="s">
        <v>2432</v>
      </c>
      <c r="V13107" s="1192">
        <v>31</v>
      </c>
    </row>
    <row r="13108" spans="1:22" s="1192" customFormat="1" ht="14.4" x14ac:dyDescent="0.3">
      <c r="A13108" s="1192" t="s">
        <v>184</v>
      </c>
      <c r="E13108" s="1741" t="s">
        <v>80</v>
      </c>
      <c r="F13108" s="1741"/>
      <c r="G13108" s="1277" t="s">
        <v>29</v>
      </c>
      <c r="H13108" s="1219">
        <v>1.7615000000000001</v>
      </c>
      <c r="K13108" s="1192" t="s">
        <v>2428</v>
      </c>
      <c r="L13108" s="1192" t="s">
        <v>430</v>
      </c>
      <c r="P13108" s="1192" t="s">
        <v>2433</v>
      </c>
      <c r="V13108" s="1192">
        <v>28</v>
      </c>
    </row>
    <row r="13109" spans="1:22" s="1192" customFormat="1" ht="14.4" x14ac:dyDescent="0.3">
      <c r="A13109" s="1192" t="s">
        <v>184</v>
      </c>
      <c r="E13109" s="1741" t="s">
        <v>6506</v>
      </c>
      <c r="F13109" s="1998"/>
      <c r="G13109" s="1277" t="s">
        <v>20</v>
      </c>
      <c r="H13109" s="1219">
        <v>2.3E-3</v>
      </c>
      <c r="K13109" s="1192" t="s">
        <v>2428</v>
      </c>
      <c r="L13109" s="1192" t="s">
        <v>431</v>
      </c>
      <c r="P13109" s="1192" t="s">
        <v>2435</v>
      </c>
      <c r="T13109" s="1192">
        <v>44316</v>
      </c>
      <c r="V13109" s="1192">
        <v>139</v>
      </c>
    </row>
    <row r="13110" spans="1:22" s="1192" customFormat="1" ht="14.4" x14ac:dyDescent="0.3">
      <c r="A13110" s="1192" t="s">
        <v>184</v>
      </c>
      <c r="E13110" s="1741" t="s">
        <v>6508</v>
      </c>
      <c r="F13110" s="1998"/>
      <c r="G13110" s="1277" t="s">
        <v>29</v>
      </c>
      <c r="H13110" s="1219">
        <v>0.14360000000000001</v>
      </c>
      <c r="K13110" s="1192" t="s">
        <v>2428</v>
      </c>
      <c r="L13110" s="1192" t="s">
        <v>431</v>
      </c>
      <c r="P13110" s="1192" t="s">
        <v>2434</v>
      </c>
      <c r="T13110" s="1192">
        <v>44316</v>
      </c>
      <c r="V13110" s="1192">
        <v>96</v>
      </c>
    </row>
    <row r="13111" spans="1:22" s="1192" customFormat="1" ht="14.4" x14ac:dyDescent="0.3">
      <c r="A13111" s="1192" t="s">
        <v>184</v>
      </c>
      <c r="E13111" s="1741" t="s">
        <v>6671</v>
      </c>
      <c r="F13111" s="1741"/>
      <c r="G13111" s="1277" t="s">
        <v>29</v>
      </c>
      <c r="H13111" s="1219">
        <v>0.1852</v>
      </c>
      <c r="K13111" s="1192" t="s">
        <v>2428</v>
      </c>
      <c r="L13111" s="1192" t="s">
        <v>430</v>
      </c>
      <c r="P13111" s="1192" t="s">
        <v>2434</v>
      </c>
      <c r="T13111" s="1192">
        <v>44316</v>
      </c>
      <c r="V13111" s="1192">
        <v>104</v>
      </c>
    </row>
    <row r="13112" spans="1:22" s="1192" customFormat="1" ht="14.4" x14ac:dyDescent="0.3">
      <c r="A13112" s="1192" t="s">
        <v>184</v>
      </c>
      <c r="E13112" s="1741" t="s">
        <v>4617</v>
      </c>
      <c r="F13112" s="1741"/>
      <c r="G13112" s="1277" t="s">
        <v>29</v>
      </c>
      <c r="H13112" s="1219">
        <v>13.196</v>
      </c>
      <c r="K13112" s="1192" t="s">
        <v>2428</v>
      </c>
      <c r="L13112" s="1192" t="s">
        <v>430</v>
      </c>
      <c r="P13112" s="1192" t="s">
        <v>3343</v>
      </c>
      <c r="T13112" s="1192">
        <v>44316</v>
      </c>
      <c r="V13112" s="1192">
        <v>134</v>
      </c>
    </row>
    <row r="13113" spans="1:22" s="1192" customFormat="1" ht="14.4" x14ac:dyDescent="0.3">
      <c r="A13113" s="1192" t="s">
        <v>184</v>
      </c>
      <c r="E13113" s="1741" t="s">
        <v>213</v>
      </c>
      <c r="F13113" s="1741"/>
      <c r="G13113" s="1277" t="s">
        <v>29</v>
      </c>
      <c r="H13113" s="1219">
        <v>2.1903000000000001</v>
      </c>
      <c r="K13113" s="1192" t="s">
        <v>2428</v>
      </c>
      <c r="L13113" s="1192" t="s">
        <v>432</v>
      </c>
      <c r="P13113" s="1192" t="s">
        <v>2436</v>
      </c>
      <c r="V13113" s="1192">
        <v>47</v>
      </c>
    </row>
    <row r="13114" spans="1:22" s="1192" customFormat="1" ht="14.4" x14ac:dyDescent="0.3">
      <c r="A13114" s="1192" t="s">
        <v>184</v>
      </c>
      <c r="E13114" s="1741" t="s">
        <v>209</v>
      </c>
      <c r="F13114" s="1741"/>
      <c r="G13114" s="1277" t="s">
        <v>29</v>
      </c>
      <c r="H13114" s="1219">
        <v>0.41339999999999999</v>
      </c>
      <c r="K13114" s="1192" t="s">
        <v>2428</v>
      </c>
      <c r="L13114" s="1192" t="s">
        <v>432</v>
      </c>
      <c r="P13114" s="1192" t="s">
        <v>2437</v>
      </c>
      <c r="V13114" s="1192">
        <v>74</v>
      </c>
    </row>
    <row r="13115" spans="1:22" s="1192" customFormat="1" ht="14.4" x14ac:dyDescent="0.3">
      <c r="A13115" s="1192" t="s">
        <v>184</v>
      </c>
      <c r="E13115" s="1750" t="s">
        <v>2405</v>
      </c>
      <c r="F13115" s="1741"/>
      <c r="G13115" s="1277"/>
      <c r="H13115" s="896"/>
      <c r="K13115" s="1192" t="s">
        <v>2438</v>
      </c>
      <c r="V13115" s="1192">
        <v>48</v>
      </c>
    </row>
    <row r="13116" spans="1:22" s="1192" customFormat="1" ht="14.4" x14ac:dyDescent="0.3">
      <c r="A13116" s="1192" t="s">
        <v>184</v>
      </c>
      <c r="E13116" s="1741" t="s">
        <v>2033</v>
      </c>
      <c r="F13116" s="1741"/>
      <c r="G13116" s="1277" t="s">
        <v>20</v>
      </c>
      <c r="H13116" s="1219">
        <v>3.0000000000000001E-3</v>
      </c>
      <c r="K13116" s="1192" t="s">
        <v>2428</v>
      </c>
      <c r="L13116" s="1192" t="s">
        <v>2374</v>
      </c>
      <c r="P13116" s="1192" t="s">
        <v>2439</v>
      </c>
      <c r="V13116" s="1192">
        <v>55</v>
      </c>
    </row>
    <row r="13117" spans="1:22" s="1192" customFormat="1" ht="14.4" x14ac:dyDescent="0.3">
      <c r="A13117" s="1192" t="s">
        <v>184</v>
      </c>
      <c r="E13117" s="1741" t="s">
        <v>2034</v>
      </c>
      <c r="F13117" s="1741"/>
      <c r="G13117" s="1277" t="s">
        <v>20</v>
      </c>
      <c r="H13117" s="1219">
        <v>4.0000000000000002E-4</v>
      </c>
      <c r="K13117" s="1192" t="s">
        <v>2428</v>
      </c>
      <c r="L13117" s="1192" t="s">
        <v>2374</v>
      </c>
      <c r="P13117" s="1192" t="s">
        <v>2439</v>
      </c>
      <c r="V13117" s="1192">
        <v>65</v>
      </c>
    </row>
    <row r="13118" spans="1:22" s="1192" customFormat="1" ht="14.4" x14ac:dyDescent="0.3">
      <c r="A13118" s="1192" t="s">
        <v>184</v>
      </c>
      <c r="E13118" s="1741" t="s">
        <v>428</v>
      </c>
      <c r="F13118" s="1741"/>
      <c r="G13118" s="1277" t="s">
        <v>20</v>
      </c>
      <c r="H13118" s="1219">
        <v>5.0000000000000001E-4</v>
      </c>
      <c r="K13118" s="1192" t="s">
        <v>2428</v>
      </c>
      <c r="L13118" s="1192" t="s">
        <v>2374</v>
      </c>
      <c r="P13118" s="1192" t="s">
        <v>2440</v>
      </c>
      <c r="V13118" s="1192">
        <v>57</v>
      </c>
    </row>
    <row r="13119" spans="1:22" s="1192" customFormat="1" ht="14.4" x14ac:dyDescent="0.3">
      <c r="A13119" s="1192" t="s">
        <v>184</v>
      </c>
      <c r="E13119" s="1741" t="s">
        <v>28</v>
      </c>
      <c r="F13119" s="1741"/>
      <c r="G13119" s="1277" t="s">
        <v>19</v>
      </c>
      <c r="H13119" s="1218">
        <v>0.25</v>
      </c>
      <c r="K13119" s="1192" t="s">
        <v>2428</v>
      </c>
      <c r="L13119" s="1192" t="s">
        <v>2374</v>
      </c>
      <c r="P13119" s="1192" t="s">
        <v>2441</v>
      </c>
      <c r="V13119" s="1192">
        <v>63</v>
      </c>
    </row>
    <row r="13120" spans="1:22" s="1192" customFormat="1" ht="17.399999999999999" x14ac:dyDescent="0.3">
      <c r="A13120" s="1192" t="s">
        <v>184</v>
      </c>
      <c r="E13120" s="1746" t="s">
        <v>606</v>
      </c>
      <c r="F13120" s="1747"/>
      <c r="G13120" s="1747"/>
      <c r="H13120" s="1747"/>
      <c r="K13120" s="1192" t="s">
        <v>3203</v>
      </c>
      <c r="V13120" s="1192">
        <v>36</v>
      </c>
    </row>
    <row r="13121" spans="1:22" s="1192" customFormat="1" ht="14.4" x14ac:dyDescent="0.3">
      <c r="A13121" s="1192" t="s">
        <v>184</v>
      </c>
      <c r="E13121" s="1743" t="s">
        <v>6674</v>
      </c>
      <c r="F13121" s="1743"/>
      <c r="G13121" s="1743"/>
      <c r="H13121" s="1743"/>
      <c r="K13121" s="1192" t="s">
        <v>3203</v>
      </c>
      <c r="V13121" s="1192">
        <v>731</v>
      </c>
    </row>
    <row r="13122" spans="1:22" s="1192" customFormat="1" ht="14.4" x14ac:dyDescent="0.3">
      <c r="A13122" s="1192" t="s">
        <v>184</v>
      </c>
      <c r="E13122" s="1750" t="s">
        <v>2389</v>
      </c>
      <c r="F13122" s="1743"/>
      <c r="G13122" s="1743"/>
      <c r="H13122" s="1743"/>
      <c r="K13122" s="1192" t="s">
        <v>2444</v>
      </c>
      <c r="V13122" s="1192">
        <v>11</v>
      </c>
    </row>
    <row r="13123" spans="1:22" s="1192" customFormat="1" ht="14.4" x14ac:dyDescent="0.3">
      <c r="A13123" s="1192" t="s">
        <v>184</v>
      </c>
      <c r="E13123" s="1743" t="s">
        <v>6675</v>
      </c>
      <c r="F13123" s="1743"/>
      <c r="G13123" s="1743"/>
      <c r="H13123" s="1743"/>
      <c r="K13123" s="1192" t="s">
        <v>3203</v>
      </c>
      <c r="V13123" s="1192">
        <v>281</v>
      </c>
    </row>
    <row r="13124" spans="1:22" s="1192" customFormat="1" ht="14.4" x14ac:dyDescent="0.3">
      <c r="A13124" s="1192" t="s">
        <v>184</v>
      </c>
      <c r="E13124" s="1743" t="s">
        <v>3161</v>
      </c>
      <c r="F13124" s="1743"/>
      <c r="G13124" s="1743"/>
      <c r="H13124" s="1743"/>
      <c r="K13124" s="1192" t="s">
        <v>3203</v>
      </c>
      <c r="V13124" s="1192">
        <v>411</v>
      </c>
    </row>
    <row r="13125" spans="1:22" s="1192" customFormat="1" ht="14.4" x14ac:dyDescent="0.3">
      <c r="A13125" s="1192" t="s">
        <v>184</v>
      </c>
      <c r="E13125" s="1743" t="s">
        <v>4868</v>
      </c>
      <c r="F13125" s="1743"/>
      <c r="G13125" s="1743"/>
      <c r="H13125" s="1743"/>
      <c r="K13125" s="1192" t="s">
        <v>3203</v>
      </c>
      <c r="V13125" s="1192">
        <v>387</v>
      </c>
    </row>
    <row r="13126" spans="1:22" s="1192" customFormat="1" ht="14.4" x14ac:dyDescent="0.3">
      <c r="A13126" s="1192" t="s">
        <v>184</v>
      </c>
      <c r="E13126" s="1743" t="s">
        <v>6676</v>
      </c>
      <c r="F13126" s="1743"/>
      <c r="G13126" s="1743"/>
      <c r="H13126" s="1743"/>
      <c r="K13126" s="1192" t="s">
        <v>3203</v>
      </c>
      <c r="V13126" s="1192">
        <v>248</v>
      </c>
    </row>
    <row r="13127" spans="1:22" s="1192" customFormat="1" ht="14.4" x14ac:dyDescent="0.3">
      <c r="A13127" s="1192" t="s">
        <v>184</v>
      </c>
      <c r="E13127" s="1750" t="s">
        <v>2606</v>
      </c>
      <c r="F13127" s="1743"/>
      <c r="G13127" s="1743"/>
      <c r="H13127" s="1743"/>
      <c r="K13127" s="1192" t="s">
        <v>6677</v>
      </c>
      <c r="V13127" s="1192">
        <v>25</v>
      </c>
    </row>
    <row r="13128" spans="1:22" s="1192" customFormat="1" ht="14.4" x14ac:dyDescent="0.3">
      <c r="A13128" s="1192" t="s">
        <v>184</v>
      </c>
      <c r="E13128" s="1741" t="s">
        <v>6678</v>
      </c>
      <c r="F13128" s="1741"/>
      <c r="G13128" s="1741"/>
      <c r="H13128" s="1741"/>
      <c r="K13128" s="1192" t="s">
        <v>3203</v>
      </c>
      <c r="V13128" s="1192">
        <v>198</v>
      </c>
    </row>
    <row r="13129" spans="1:22" s="1192" customFormat="1" ht="14.4" x14ac:dyDescent="0.3">
      <c r="A13129" s="1192" t="s">
        <v>184</v>
      </c>
      <c r="E13129" s="2011" t="s">
        <v>6679</v>
      </c>
      <c r="F13129" s="2011"/>
      <c r="G13129" s="2011"/>
      <c r="H13129" s="2011"/>
      <c r="K13129" s="1192" t="s">
        <v>3203</v>
      </c>
      <c r="V13129" s="1192">
        <v>495</v>
      </c>
    </row>
    <row r="13130" spans="1:22" s="1192" customFormat="1" ht="17.399999999999999" x14ac:dyDescent="0.3">
      <c r="A13130" s="1192" t="s">
        <v>184</v>
      </c>
      <c r="E13130" s="1746" t="s">
        <v>593</v>
      </c>
      <c r="F13130" s="1747"/>
      <c r="G13130" s="1747"/>
      <c r="H13130" s="1747"/>
      <c r="K13130" s="1192" t="s">
        <v>2756</v>
      </c>
      <c r="V13130" s="1192">
        <v>31</v>
      </c>
    </row>
    <row r="13131" spans="1:22" s="1192" customFormat="1" ht="14.4" x14ac:dyDescent="0.3">
      <c r="A13131" s="1192" t="s">
        <v>184</v>
      </c>
      <c r="E13131" s="1743" t="s">
        <v>4992</v>
      </c>
      <c r="F13131" s="1743"/>
      <c r="G13131" s="1743"/>
      <c r="H13131" s="1743"/>
      <c r="K13131" s="1192" t="s">
        <v>2756</v>
      </c>
      <c r="V13131" s="1192">
        <v>285</v>
      </c>
    </row>
    <row r="13132" spans="1:22" s="1192" customFormat="1" ht="14.4" x14ac:dyDescent="0.3">
      <c r="A13132" s="1192" t="s">
        <v>184</v>
      </c>
      <c r="E13132" s="1750" t="s">
        <v>2389</v>
      </c>
      <c r="F13132" s="1743"/>
      <c r="G13132" s="1743"/>
      <c r="H13132" s="1743"/>
      <c r="K13132" s="1192" t="s">
        <v>2571</v>
      </c>
      <c r="V13132" s="1192">
        <v>11</v>
      </c>
    </row>
    <row r="13133" spans="1:22" s="1192" customFormat="1" ht="14.4" x14ac:dyDescent="0.3">
      <c r="A13133" s="1192" t="s">
        <v>184</v>
      </c>
      <c r="E13133" s="1743" t="s">
        <v>2391</v>
      </c>
      <c r="F13133" s="1743"/>
      <c r="G13133" s="1743"/>
      <c r="H13133" s="1743"/>
      <c r="K13133" s="1192" t="s">
        <v>2756</v>
      </c>
      <c r="V13133" s="1192">
        <v>280</v>
      </c>
    </row>
    <row r="13134" spans="1:22" s="1192" customFormat="1" ht="14.4" x14ac:dyDescent="0.3">
      <c r="A13134" s="1192" t="s">
        <v>184</v>
      </c>
      <c r="E13134" s="1743" t="s">
        <v>2392</v>
      </c>
      <c r="F13134" s="1743"/>
      <c r="G13134" s="1743"/>
      <c r="H13134" s="1743"/>
      <c r="K13134" s="1192" t="s">
        <v>2756</v>
      </c>
      <c r="V13134" s="1192">
        <v>411</v>
      </c>
    </row>
    <row r="13135" spans="1:22" s="1192" customFormat="1" ht="14.4" x14ac:dyDescent="0.3">
      <c r="A13135" s="1192" t="s">
        <v>184</v>
      </c>
      <c r="E13135" s="1743" t="s">
        <v>2445</v>
      </c>
      <c r="F13135" s="1743"/>
      <c r="G13135" s="1743"/>
      <c r="H13135" s="1743"/>
      <c r="K13135" s="1192" t="s">
        <v>2756</v>
      </c>
      <c r="V13135" s="1192">
        <v>211</v>
      </c>
    </row>
    <row r="13136" spans="1:22" s="1192" customFormat="1" ht="14.4" x14ac:dyDescent="0.3">
      <c r="A13136" s="1192" t="s">
        <v>184</v>
      </c>
      <c r="E13136" s="1743" t="s">
        <v>4500</v>
      </c>
      <c r="F13136" s="1743"/>
      <c r="G13136" s="1743"/>
      <c r="H13136" s="1743"/>
      <c r="K13136" s="1192" t="s">
        <v>2756</v>
      </c>
      <c r="V13136" s="1192">
        <v>247</v>
      </c>
    </row>
    <row r="13137" spans="1:22" s="1192" customFormat="1" ht="14.4" x14ac:dyDescent="0.3">
      <c r="A13137" s="1192" t="s">
        <v>184</v>
      </c>
      <c r="E13137" s="1750" t="s">
        <v>2394</v>
      </c>
      <c r="F13137" s="1743"/>
      <c r="G13137" s="1743"/>
      <c r="H13137" s="1743"/>
      <c r="K13137" s="1192" t="s">
        <v>2572</v>
      </c>
      <c r="V13137" s="1192">
        <v>46</v>
      </c>
    </row>
    <row r="13138" spans="1:22" s="1192" customFormat="1" ht="14.4" x14ac:dyDescent="0.3">
      <c r="A13138" s="1192" t="s">
        <v>184</v>
      </c>
      <c r="E13138" s="1741" t="s">
        <v>7</v>
      </c>
      <c r="F13138" s="1741"/>
      <c r="G13138" s="1277" t="s">
        <v>19</v>
      </c>
      <c r="H13138" s="1218">
        <v>10</v>
      </c>
      <c r="K13138" s="1192" t="s">
        <v>2756</v>
      </c>
      <c r="L13138" s="1192" t="s">
        <v>430</v>
      </c>
      <c r="P13138" s="1192" t="s">
        <v>2757</v>
      </c>
      <c r="V13138" s="1192">
        <v>14</v>
      </c>
    </row>
    <row r="13139" spans="1:22" s="1192" customFormat="1" x14ac:dyDescent="0.35">
      <c r="A13139" s="1192" t="s">
        <v>184</v>
      </c>
      <c r="E13139" s="1260" t="s">
        <v>81</v>
      </c>
      <c r="F13139" s="550"/>
      <c r="G13139" s="550"/>
      <c r="H13139" s="881"/>
      <c r="K13139" s="1192" t="s">
        <v>4993</v>
      </c>
      <c r="V13139" s="1192">
        <v>10</v>
      </c>
    </row>
    <row r="13140" spans="1:22" s="1192" customFormat="1" ht="14.4" x14ac:dyDescent="0.3">
      <c r="A13140" s="1192" t="s">
        <v>184</v>
      </c>
      <c r="E13140" s="1741" t="s">
        <v>2449</v>
      </c>
      <c r="F13140" s="1741"/>
      <c r="G13140" s="1277" t="s">
        <v>29</v>
      </c>
      <c r="H13140" s="1219">
        <v>-0.56000000000000005</v>
      </c>
      <c r="V13140" s="1192">
        <v>68</v>
      </c>
    </row>
    <row r="13141" spans="1:22" s="1192" customFormat="1" ht="14.4" x14ac:dyDescent="0.3">
      <c r="A13141" s="1192" t="s">
        <v>184</v>
      </c>
      <c r="E13141" s="1741" t="s">
        <v>2450</v>
      </c>
      <c r="F13141" s="1741"/>
      <c r="G13141" s="1277" t="s">
        <v>82</v>
      </c>
      <c r="H13141" s="1218">
        <v>-1</v>
      </c>
      <c r="V13141" s="1192">
        <v>87</v>
      </c>
    </row>
    <row r="13142" spans="1:22" s="1192" customFormat="1" x14ac:dyDescent="0.35">
      <c r="A13142" s="1192" t="s">
        <v>184</v>
      </c>
      <c r="E13142" s="1260" t="s">
        <v>83</v>
      </c>
      <c r="F13142" s="550"/>
      <c r="G13142" s="550"/>
      <c r="H13142" s="881"/>
      <c r="K13142" s="1192" t="s">
        <v>4994</v>
      </c>
      <c r="V13142" s="1192">
        <v>24</v>
      </c>
    </row>
    <row r="13143" spans="1:22" s="1192" customFormat="1" ht="14.4" x14ac:dyDescent="0.3">
      <c r="A13143" s="1192" t="s">
        <v>184</v>
      </c>
      <c r="E13143" s="1743" t="s">
        <v>2391</v>
      </c>
      <c r="F13143" s="1743"/>
      <c r="G13143" s="1743"/>
      <c r="H13143" s="1743"/>
      <c r="V13143" s="1192">
        <v>280</v>
      </c>
    </row>
    <row r="13144" spans="1:22" s="1192" customFormat="1" ht="14.4" x14ac:dyDescent="0.3">
      <c r="A13144" s="1192" t="s">
        <v>184</v>
      </c>
      <c r="E13144" s="1743" t="s">
        <v>2452</v>
      </c>
      <c r="F13144" s="1743"/>
      <c r="G13144" s="1743"/>
      <c r="H13144" s="1743"/>
      <c r="V13144" s="1192">
        <v>353</v>
      </c>
    </row>
    <row r="13145" spans="1:22" s="1192" customFormat="1" ht="14.4" x14ac:dyDescent="0.3">
      <c r="A13145" s="1192" t="s">
        <v>184</v>
      </c>
      <c r="E13145" s="1743" t="s">
        <v>4500</v>
      </c>
      <c r="F13145" s="1743"/>
      <c r="G13145" s="1743"/>
      <c r="H13145" s="1743"/>
      <c r="V13145" s="1192">
        <v>247</v>
      </c>
    </row>
    <row r="13146" spans="1:22" s="1192" customFormat="1" ht="14.4" x14ac:dyDescent="0.3">
      <c r="A13146" s="1192" t="s">
        <v>184</v>
      </c>
      <c r="E13146" s="1258" t="s">
        <v>2453</v>
      </c>
      <c r="F13146" s="970"/>
      <c r="G13146" s="970"/>
      <c r="H13146" s="1350"/>
      <c r="K13146" s="1192" t="s">
        <v>4995</v>
      </c>
      <c r="V13146" s="1192">
        <v>23</v>
      </c>
    </row>
    <row r="13147" spans="1:22" s="1192" customFormat="1" ht="14.4" x14ac:dyDescent="0.3">
      <c r="A13147" s="1192" t="s">
        <v>184</v>
      </c>
      <c r="E13147" s="1745" t="s">
        <v>2639</v>
      </c>
      <c r="F13147" s="1745"/>
      <c r="G13147" s="1277" t="s">
        <v>19</v>
      </c>
      <c r="H13147" s="1218">
        <v>15</v>
      </c>
      <c r="V13147" s="1192">
        <v>19</v>
      </c>
    </row>
    <row r="13148" spans="1:22" s="1192" customFormat="1" ht="14.4" x14ac:dyDescent="0.3">
      <c r="A13148" s="1192" t="s">
        <v>184</v>
      </c>
      <c r="E13148" s="1745" t="s">
        <v>2456</v>
      </c>
      <c r="F13148" s="1745"/>
      <c r="G13148" s="1277" t="s">
        <v>19</v>
      </c>
      <c r="H13148" s="1218">
        <v>15</v>
      </c>
      <c r="V13148" s="1192">
        <v>20</v>
      </c>
    </row>
    <row r="13149" spans="1:22" s="1192" customFormat="1" ht="14.4" x14ac:dyDescent="0.3">
      <c r="A13149" s="1192" t="s">
        <v>184</v>
      </c>
      <c r="E13149" s="1745" t="s">
        <v>2457</v>
      </c>
      <c r="F13149" s="1745"/>
      <c r="G13149" s="1277" t="s">
        <v>19</v>
      </c>
      <c r="H13149" s="1218">
        <v>15</v>
      </c>
      <c r="V13149" s="1192">
        <v>26</v>
      </c>
    </row>
    <row r="13150" spans="1:22" s="1192" customFormat="1" ht="14.4" x14ac:dyDescent="0.3">
      <c r="A13150" s="1192" t="s">
        <v>184</v>
      </c>
      <c r="E13150" s="1745" t="s">
        <v>2458</v>
      </c>
      <c r="F13150" s="1745"/>
      <c r="G13150" s="1277" t="s">
        <v>19</v>
      </c>
      <c r="H13150" s="1218">
        <v>15</v>
      </c>
      <c r="V13150" s="1192">
        <v>39</v>
      </c>
    </row>
    <row r="13151" spans="1:22" s="1192" customFormat="1" ht="14.4" x14ac:dyDescent="0.3">
      <c r="A13151" s="1192" t="s">
        <v>184</v>
      </c>
      <c r="E13151" s="1745" t="s">
        <v>2459</v>
      </c>
      <c r="F13151" s="1745"/>
      <c r="G13151" s="1277" t="s">
        <v>19</v>
      </c>
      <c r="H13151" s="1218">
        <v>15</v>
      </c>
      <c r="V13151" s="1192">
        <v>37</v>
      </c>
    </row>
    <row r="13152" spans="1:22" s="1192" customFormat="1" ht="14.4" x14ac:dyDescent="0.3">
      <c r="A13152" s="1192" t="s">
        <v>184</v>
      </c>
      <c r="E13152" s="1745" t="s">
        <v>3663</v>
      </c>
      <c r="F13152" s="1745"/>
      <c r="G13152" s="1277" t="s">
        <v>19</v>
      </c>
      <c r="H13152" s="1218">
        <v>15</v>
      </c>
      <c r="V13152" s="1192">
        <v>15</v>
      </c>
    </row>
    <row r="13153" spans="1:22" s="1192" customFormat="1" ht="14.4" x14ac:dyDescent="0.3">
      <c r="A13153" s="1192" t="s">
        <v>184</v>
      </c>
      <c r="E13153" s="1745" t="s">
        <v>2463</v>
      </c>
      <c r="F13153" s="1745"/>
      <c r="G13153" s="1277" t="s">
        <v>19</v>
      </c>
      <c r="H13153" s="1218">
        <v>15</v>
      </c>
      <c r="V13153" s="1192">
        <v>15</v>
      </c>
    </row>
    <row r="13154" spans="1:22" s="1192" customFormat="1" ht="14.4" x14ac:dyDescent="0.3">
      <c r="A13154" s="1192" t="s">
        <v>184</v>
      </c>
      <c r="E13154" s="1745" t="s">
        <v>4189</v>
      </c>
      <c r="F13154" s="1745"/>
      <c r="G13154" s="1277" t="s">
        <v>19</v>
      </c>
      <c r="H13154" s="1218">
        <v>15</v>
      </c>
      <c r="V13154" s="1192">
        <v>39</v>
      </c>
    </row>
    <row r="13155" spans="1:22" s="1192" customFormat="1" ht="14.4" x14ac:dyDescent="0.3">
      <c r="A13155" s="1192" t="s">
        <v>184</v>
      </c>
      <c r="E13155" s="1745" t="s">
        <v>119</v>
      </c>
      <c r="F13155" s="1745"/>
      <c r="G13155" s="1277" t="s">
        <v>19</v>
      </c>
      <c r="H13155" s="1218">
        <v>15</v>
      </c>
      <c r="V13155" s="1192">
        <v>35</v>
      </c>
    </row>
    <row r="13156" spans="1:22" s="1192" customFormat="1" ht="14.4" x14ac:dyDescent="0.3">
      <c r="A13156" s="1192" t="s">
        <v>184</v>
      </c>
      <c r="E13156" s="1745" t="s">
        <v>2466</v>
      </c>
      <c r="F13156" s="1745"/>
      <c r="G13156" s="1277" t="s">
        <v>19</v>
      </c>
      <c r="H13156" s="1218">
        <v>15</v>
      </c>
      <c r="V13156" s="1192">
        <v>24</v>
      </c>
    </row>
    <row r="13157" spans="1:22" s="1192" customFormat="1" ht="14.4" x14ac:dyDescent="0.3">
      <c r="A13157" s="1192" t="s">
        <v>184</v>
      </c>
      <c r="E13157" s="1745" t="s">
        <v>84</v>
      </c>
      <c r="F13157" s="1745"/>
      <c r="G13157" s="1277" t="s">
        <v>19</v>
      </c>
      <c r="H13157" s="1218">
        <v>30</v>
      </c>
      <c r="V13157" s="1192">
        <v>89</v>
      </c>
    </row>
    <row r="13158" spans="1:22" s="1192" customFormat="1" ht="14.4" x14ac:dyDescent="0.3">
      <c r="A13158" s="1192" t="s">
        <v>184</v>
      </c>
      <c r="E13158" s="1745" t="s">
        <v>90</v>
      </c>
      <c r="F13158" s="1745"/>
      <c r="G13158" s="1277" t="s">
        <v>19</v>
      </c>
      <c r="H13158" s="1218">
        <v>30</v>
      </c>
      <c r="V13158" s="1192">
        <v>19</v>
      </c>
    </row>
    <row r="13159" spans="1:22" s="1192" customFormat="1" ht="14.4" x14ac:dyDescent="0.3">
      <c r="A13159" s="1192" t="s">
        <v>184</v>
      </c>
      <c r="E13159" s="1745" t="s">
        <v>88</v>
      </c>
      <c r="F13159" s="1745"/>
      <c r="G13159" s="1277" t="s">
        <v>19</v>
      </c>
      <c r="H13159" s="1218">
        <v>190</v>
      </c>
      <c r="V13159" s="1192">
        <v>74</v>
      </c>
    </row>
    <row r="13160" spans="1:22" s="1192" customFormat="1" ht="14.4" x14ac:dyDescent="0.3">
      <c r="A13160" s="1192" t="s">
        <v>184</v>
      </c>
      <c r="E13160" s="1258" t="s">
        <v>2468</v>
      </c>
      <c r="F13160" s="970"/>
      <c r="G13160" s="970"/>
      <c r="H13160" s="1350"/>
      <c r="K13160" s="1192" t="s">
        <v>4996</v>
      </c>
      <c r="V13160" s="1192">
        <v>22</v>
      </c>
    </row>
    <row r="13161" spans="1:22" s="1192" customFormat="1" ht="14.4" x14ac:dyDescent="0.3">
      <c r="A13161" s="1192" t="s">
        <v>184</v>
      </c>
      <c r="E13161" s="1745" t="s">
        <v>6680</v>
      </c>
      <c r="F13161" s="1745"/>
      <c r="G13161" s="1277" t="s">
        <v>82</v>
      </c>
      <c r="H13161" s="1218">
        <v>1.5</v>
      </c>
      <c r="V13161" s="1192">
        <v>94</v>
      </c>
    </row>
    <row r="13162" spans="1:22" s="1192" customFormat="1" ht="14.4" x14ac:dyDescent="0.3">
      <c r="A13162" s="1192" t="s">
        <v>184</v>
      </c>
      <c r="E13162" s="1745" t="s">
        <v>6106</v>
      </c>
      <c r="F13162" s="1745"/>
      <c r="G13162" s="1277" t="s">
        <v>19</v>
      </c>
      <c r="H13162" s="1218">
        <v>95</v>
      </c>
      <c r="V13162" s="1192">
        <v>44</v>
      </c>
    </row>
    <row r="13163" spans="1:22" s="1192" customFormat="1" ht="14.4" x14ac:dyDescent="0.3">
      <c r="A13163" s="1192" t="s">
        <v>184</v>
      </c>
      <c r="E13163" s="1745" t="s">
        <v>6107</v>
      </c>
      <c r="F13163" s="1745"/>
      <c r="G13163" s="1277" t="s">
        <v>19</v>
      </c>
      <c r="H13163" s="1218">
        <v>320</v>
      </c>
      <c r="V13163" s="1192">
        <v>43</v>
      </c>
    </row>
    <row r="13164" spans="1:22" s="1192" customFormat="1" ht="14.4" x14ac:dyDescent="0.3">
      <c r="A13164" s="1192" t="s">
        <v>184</v>
      </c>
      <c r="E13164" s="1745" t="s">
        <v>6108</v>
      </c>
      <c r="F13164" s="1745"/>
      <c r="G13164" s="1277" t="s">
        <v>19</v>
      </c>
      <c r="H13164" s="1218">
        <v>185</v>
      </c>
      <c r="V13164" s="1192">
        <v>43</v>
      </c>
    </row>
    <row r="13165" spans="1:22" s="1192" customFormat="1" ht="14.4" x14ac:dyDescent="0.3">
      <c r="A13165" s="1192" t="s">
        <v>184</v>
      </c>
      <c r="E13165" s="1745" t="s">
        <v>6115</v>
      </c>
      <c r="F13165" s="1745"/>
      <c r="G13165" s="1277" t="s">
        <v>19</v>
      </c>
      <c r="H13165" s="1218">
        <v>610</v>
      </c>
      <c r="V13165" s="1192">
        <v>42</v>
      </c>
    </row>
    <row r="13166" spans="1:22" s="1192" customFormat="1" ht="14.4" x14ac:dyDescent="0.3">
      <c r="A13166" s="1192" t="s">
        <v>184</v>
      </c>
      <c r="E13166" s="1258" t="s">
        <v>2474</v>
      </c>
      <c r="F13166" s="970"/>
      <c r="G13166" s="970"/>
      <c r="H13166" s="1350"/>
      <c r="V13166" s="1192">
        <v>5</v>
      </c>
    </row>
    <row r="13167" spans="1:22" s="1192" customFormat="1" ht="14.4" x14ac:dyDescent="0.3">
      <c r="A13167" s="1192" t="s">
        <v>184</v>
      </c>
      <c r="E13167" s="1745" t="s">
        <v>4997</v>
      </c>
      <c r="F13167" s="1745"/>
      <c r="G13167" s="1277" t="s">
        <v>19</v>
      </c>
      <c r="H13167" s="1218">
        <v>30</v>
      </c>
      <c r="V13167" s="1192">
        <v>62</v>
      </c>
    </row>
    <row r="13168" spans="1:22" s="1192" customFormat="1" ht="14.4" x14ac:dyDescent="0.3">
      <c r="A13168" s="1192" t="s">
        <v>184</v>
      </c>
      <c r="E13168" s="1745" t="s">
        <v>2841</v>
      </c>
      <c r="F13168" s="1745"/>
      <c r="G13168" s="1277" t="s">
        <v>19</v>
      </c>
      <c r="H13168" s="1218">
        <v>320</v>
      </c>
      <c r="V13168" s="1192">
        <v>61</v>
      </c>
    </row>
    <row r="13169" spans="1:22" s="1192" customFormat="1" ht="14.4" x14ac:dyDescent="0.3">
      <c r="A13169" s="1192" t="s">
        <v>184</v>
      </c>
      <c r="E13169" s="1745" t="s">
        <v>2703</v>
      </c>
      <c r="F13169" s="1745"/>
      <c r="G13169" s="1277" t="s">
        <v>19</v>
      </c>
      <c r="H13169" s="837" t="s">
        <v>6681</v>
      </c>
      <c r="V13169" s="1192">
        <v>64</v>
      </c>
    </row>
    <row r="13170" spans="1:22" s="1192" customFormat="1" ht="14.4" x14ac:dyDescent="0.3">
      <c r="A13170" s="1192" t="s">
        <v>184</v>
      </c>
      <c r="E13170" s="1745" t="s">
        <v>2758</v>
      </c>
      <c r="F13170" s="1745"/>
      <c r="G13170" s="1277" t="s">
        <v>19</v>
      </c>
      <c r="H13170" s="837" t="s">
        <v>6681</v>
      </c>
      <c r="V13170" s="1192">
        <v>67</v>
      </c>
    </row>
    <row r="13171" spans="1:22" s="1192" customFormat="1" ht="14.4" x14ac:dyDescent="0.3">
      <c r="A13171" s="1192" t="s">
        <v>184</v>
      </c>
      <c r="E13171" s="1745" t="s">
        <v>2759</v>
      </c>
      <c r="F13171" s="1745"/>
      <c r="G13171" s="1277" t="s">
        <v>19</v>
      </c>
      <c r="H13171" s="837" t="s">
        <v>6681</v>
      </c>
      <c r="V13171" s="1192">
        <v>66</v>
      </c>
    </row>
    <row r="13172" spans="1:22" s="1192" customFormat="1" ht="14.4" x14ac:dyDescent="0.3">
      <c r="A13172" s="1192" t="s">
        <v>184</v>
      </c>
      <c r="E13172" s="1745" t="s">
        <v>5497</v>
      </c>
      <c r="F13172" s="1745"/>
      <c r="G13172" s="1277" t="s">
        <v>19</v>
      </c>
      <c r="H13172" s="1218">
        <v>44.5</v>
      </c>
      <c r="V13172" s="1192">
        <v>104</v>
      </c>
    </row>
    <row r="13173" spans="1:22" s="1192" customFormat="1" x14ac:dyDescent="0.3">
      <c r="A13173" s="1192" t="s">
        <v>184</v>
      </c>
      <c r="E13173" s="1269" t="s">
        <v>73</v>
      </c>
      <c r="F13173" s="1351"/>
      <c r="G13173" s="823"/>
      <c r="H13173" s="878"/>
      <c r="K13173" s="1192" t="s">
        <v>4998</v>
      </c>
      <c r="V13173" s="1192">
        <v>38</v>
      </c>
    </row>
    <row r="13174" spans="1:22" s="1192" customFormat="1" ht="14.4" x14ac:dyDescent="0.3">
      <c r="A13174" s="1192" t="s">
        <v>184</v>
      </c>
      <c r="E13174" s="1743" t="s">
        <v>2391</v>
      </c>
      <c r="F13174" s="1743"/>
      <c r="G13174" s="1743"/>
      <c r="H13174" s="1743"/>
      <c r="V13174" s="1192">
        <v>280</v>
      </c>
    </row>
    <row r="13175" spans="1:22" s="1192" customFormat="1" ht="14.4" x14ac:dyDescent="0.3">
      <c r="A13175" s="1192" t="s">
        <v>184</v>
      </c>
      <c r="E13175" s="1743" t="s">
        <v>2392</v>
      </c>
      <c r="F13175" s="1743"/>
      <c r="G13175" s="1743"/>
      <c r="H13175" s="1743"/>
      <c r="V13175" s="1192">
        <v>411</v>
      </c>
    </row>
    <row r="13176" spans="1:22" s="1192" customFormat="1" ht="14.4" x14ac:dyDescent="0.3">
      <c r="A13176" s="1192" t="s">
        <v>184</v>
      </c>
      <c r="E13176" s="1743" t="s">
        <v>2445</v>
      </c>
      <c r="F13176" s="1743"/>
      <c r="G13176" s="1743"/>
      <c r="H13176" s="1743"/>
      <c r="V13176" s="1192">
        <v>211</v>
      </c>
    </row>
    <row r="13177" spans="1:22" s="1192" customFormat="1" ht="14.4" x14ac:dyDescent="0.3">
      <c r="A13177" s="1192" t="s">
        <v>184</v>
      </c>
      <c r="E13177" s="1743" t="s">
        <v>4500</v>
      </c>
      <c r="F13177" s="1743"/>
      <c r="G13177" s="1743"/>
      <c r="H13177" s="1743"/>
      <c r="V13177" s="1192">
        <v>247</v>
      </c>
    </row>
    <row r="13178" spans="1:22" s="1192" customFormat="1" ht="14.4" x14ac:dyDescent="0.3">
      <c r="A13178" s="1192" t="s">
        <v>184</v>
      </c>
      <c r="E13178" s="1743" t="s">
        <v>2595</v>
      </c>
      <c r="F13178" s="1743"/>
      <c r="G13178" s="1743"/>
      <c r="H13178" s="1743"/>
      <c r="V13178" s="1192">
        <v>142</v>
      </c>
    </row>
    <row r="13179" spans="1:22" s="1192" customFormat="1" ht="14.4" x14ac:dyDescent="0.3">
      <c r="A13179" s="1192" t="s">
        <v>184</v>
      </c>
      <c r="E13179" s="1740" t="s">
        <v>2485</v>
      </c>
      <c r="F13179" s="1740"/>
      <c r="G13179" s="360" t="s">
        <v>19</v>
      </c>
      <c r="H13179" s="1218">
        <v>102</v>
      </c>
      <c r="V13179" s="1192">
        <v>106</v>
      </c>
    </row>
    <row r="13180" spans="1:22" s="1192" customFormat="1" ht="14.4" x14ac:dyDescent="0.3">
      <c r="A13180" s="1192" t="s">
        <v>184</v>
      </c>
      <c r="E13180" s="1740" t="s">
        <v>3919</v>
      </c>
      <c r="F13180" s="1740"/>
      <c r="G13180" s="360" t="s">
        <v>19</v>
      </c>
      <c r="H13180" s="1218">
        <v>40.799999999999997</v>
      </c>
      <c r="V13180" s="1192">
        <v>34</v>
      </c>
    </row>
    <row r="13181" spans="1:22" s="1192" customFormat="1" ht="14.4" x14ac:dyDescent="0.3">
      <c r="A13181" s="1192" t="s">
        <v>184</v>
      </c>
      <c r="E13181" s="1740" t="s">
        <v>3920</v>
      </c>
      <c r="F13181" s="1740"/>
      <c r="G13181" s="360" t="s">
        <v>2488</v>
      </c>
      <c r="H13181" s="1218">
        <v>1.02</v>
      </c>
      <c r="V13181" s="1192">
        <v>51</v>
      </c>
    </row>
    <row r="13182" spans="1:22" s="1192" customFormat="1" ht="14.4" x14ac:dyDescent="0.3">
      <c r="A13182" s="1192" t="s">
        <v>184</v>
      </c>
      <c r="E13182" s="1740" t="s">
        <v>2489</v>
      </c>
      <c r="F13182" s="1740"/>
      <c r="G13182" s="360" t="s">
        <v>2488</v>
      </c>
      <c r="H13182" s="1218">
        <v>0.61</v>
      </c>
      <c r="V13182" s="1192">
        <v>75</v>
      </c>
    </row>
    <row r="13183" spans="1:22" s="1192" customFormat="1" ht="14.4" x14ac:dyDescent="0.3">
      <c r="A13183" s="1192" t="s">
        <v>184</v>
      </c>
      <c r="E13183" s="1740" t="s">
        <v>2490</v>
      </c>
      <c r="F13183" s="1740"/>
      <c r="G13183" s="360" t="s">
        <v>2488</v>
      </c>
      <c r="H13183" s="1218">
        <v>-0.61</v>
      </c>
      <c r="V13183" s="1192">
        <v>72</v>
      </c>
    </row>
    <row r="13184" spans="1:22" s="1192" customFormat="1" ht="14.4" x14ac:dyDescent="0.3">
      <c r="A13184" s="1192" t="s">
        <v>184</v>
      </c>
      <c r="E13184" s="1740" t="s">
        <v>2596</v>
      </c>
      <c r="F13184" s="1740"/>
      <c r="G13184" s="360"/>
      <c r="H13184" s="837"/>
      <c r="V13184" s="1192">
        <v>34</v>
      </c>
    </row>
    <row r="13185" spans="1:22" s="1192" customFormat="1" ht="14.4" x14ac:dyDescent="0.3">
      <c r="A13185" s="1192" t="s">
        <v>184</v>
      </c>
      <c r="E13185" s="1742" t="s">
        <v>2492</v>
      </c>
      <c r="F13185" s="1742"/>
      <c r="G13185" s="360" t="s">
        <v>19</v>
      </c>
      <c r="H13185" s="1218">
        <v>0.51</v>
      </c>
      <c r="V13185" s="1192">
        <v>57</v>
      </c>
    </row>
    <row r="13186" spans="1:22" s="1192" customFormat="1" ht="14.4" x14ac:dyDescent="0.3">
      <c r="A13186" s="1192" t="s">
        <v>184</v>
      </c>
      <c r="E13186" s="1742" t="s">
        <v>2493</v>
      </c>
      <c r="F13186" s="1742"/>
      <c r="G13186" s="360" t="s">
        <v>19</v>
      </c>
      <c r="H13186" s="1218">
        <v>1.02</v>
      </c>
      <c r="V13186" s="1192">
        <v>60</v>
      </c>
    </row>
    <row r="13187" spans="1:22" s="1192" customFormat="1" ht="14.4" x14ac:dyDescent="0.3">
      <c r="A13187" s="1192" t="s">
        <v>184</v>
      </c>
      <c r="E13187" s="1740" t="s">
        <v>2494</v>
      </c>
      <c r="F13187" s="1740"/>
      <c r="G13187" s="360"/>
      <c r="H13187" s="837"/>
      <c r="V13187" s="1192">
        <v>91</v>
      </c>
    </row>
    <row r="13188" spans="1:22" s="1192" customFormat="1" ht="14.4" x14ac:dyDescent="0.3">
      <c r="A13188" s="1192" t="s">
        <v>184</v>
      </c>
      <c r="E13188" s="1740" t="s">
        <v>2495</v>
      </c>
      <c r="F13188" s="1740"/>
      <c r="G13188" s="360"/>
      <c r="H13188" s="837"/>
      <c r="V13188" s="1192">
        <v>96</v>
      </c>
    </row>
    <row r="13189" spans="1:22" s="1192" customFormat="1" ht="14.4" x14ac:dyDescent="0.3">
      <c r="A13189" s="1192" t="s">
        <v>184</v>
      </c>
      <c r="E13189" s="1740" t="s">
        <v>2597</v>
      </c>
      <c r="F13189" s="1740"/>
      <c r="G13189" s="360"/>
      <c r="H13189" s="837"/>
      <c r="V13189" s="1192">
        <v>77</v>
      </c>
    </row>
    <row r="13190" spans="1:22" s="1192" customFormat="1" ht="14.4" x14ac:dyDescent="0.3">
      <c r="A13190" s="1192" t="s">
        <v>184</v>
      </c>
      <c r="E13190" s="1742" t="s">
        <v>2497</v>
      </c>
      <c r="F13190" s="1742"/>
      <c r="G13190" s="360" t="s">
        <v>19</v>
      </c>
      <c r="H13190" s="837" t="s">
        <v>2498</v>
      </c>
      <c r="V13190" s="1192">
        <v>18</v>
      </c>
    </row>
    <row r="13191" spans="1:22" s="1192" customFormat="1" ht="14.4" x14ac:dyDescent="0.3">
      <c r="A13191" s="1192" t="s">
        <v>184</v>
      </c>
      <c r="E13191" s="1742" t="s">
        <v>2499</v>
      </c>
      <c r="F13191" s="1742"/>
      <c r="G13191" s="360" t="s">
        <v>19</v>
      </c>
      <c r="H13191" s="1218">
        <v>4.08</v>
      </c>
      <c r="V13191" s="1192">
        <v>69</v>
      </c>
    </row>
    <row r="13192" spans="1:22" s="1192" customFormat="1" ht="14.4" x14ac:dyDescent="0.3">
      <c r="A13192" s="1192" t="s">
        <v>184</v>
      </c>
      <c r="E13192" s="1740" t="s">
        <v>4608</v>
      </c>
      <c r="F13192" s="1740"/>
      <c r="G13192" s="360" t="s">
        <v>19</v>
      </c>
      <c r="H13192" s="1218">
        <v>2.04</v>
      </c>
      <c r="V13192" s="1192">
        <v>199</v>
      </c>
    </row>
    <row r="13193" spans="1:22" s="1192" customFormat="1" x14ac:dyDescent="0.3">
      <c r="A13193" s="1192" t="s">
        <v>184</v>
      </c>
      <c r="E13193" s="1260" t="s">
        <v>143</v>
      </c>
      <c r="F13193" s="823"/>
      <c r="G13193" s="823"/>
      <c r="H13193" s="878"/>
      <c r="K13193" s="1192" t="s">
        <v>4999</v>
      </c>
      <c r="V13193" s="1192">
        <v>12</v>
      </c>
    </row>
    <row r="13194" spans="1:22" s="1192" customFormat="1" ht="14.4" x14ac:dyDescent="0.3">
      <c r="A13194" s="1192" t="s">
        <v>184</v>
      </c>
      <c r="E13194" s="1741" t="s">
        <v>2501</v>
      </c>
      <c r="F13194" s="1741"/>
      <c r="G13194" s="1741"/>
      <c r="H13194" s="1741"/>
      <c r="V13194" s="1192">
        <v>203</v>
      </c>
    </row>
    <row r="13195" spans="1:22" s="1192" customFormat="1" ht="14.4" x14ac:dyDescent="0.3">
      <c r="A13195" s="1192" t="s">
        <v>184</v>
      </c>
      <c r="E13195" s="1740" t="s">
        <v>2599</v>
      </c>
      <c r="F13195" s="1740"/>
      <c r="G13195" s="1277"/>
      <c r="H13195" s="837">
        <v>1.0373000000000001</v>
      </c>
      <c r="V13195" s="1192">
        <v>57</v>
      </c>
    </row>
    <row r="13196" spans="1:22" s="1192" customFormat="1" ht="14.4" x14ac:dyDescent="0.3">
      <c r="A13196" s="1192" t="s">
        <v>184</v>
      </c>
      <c r="E13196" s="1740" t="s">
        <v>2600</v>
      </c>
      <c r="F13196" s="1740"/>
      <c r="G13196" s="1277"/>
      <c r="H13196" s="837">
        <v>1.0145</v>
      </c>
      <c r="V13196" s="1192">
        <v>57</v>
      </c>
    </row>
    <row r="13197" spans="1:22" s="1192" customFormat="1" ht="14.4" x14ac:dyDescent="0.3">
      <c r="A13197" s="1192" t="s">
        <v>184</v>
      </c>
      <c r="E13197" s="1740" t="s">
        <v>2601</v>
      </c>
      <c r="F13197" s="1740"/>
      <c r="G13197" s="1277"/>
      <c r="H13197" s="837">
        <v>1.0275000000000001</v>
      </c>
      <c r="V13197" s="1192">
        <v>55</v>
      </c>
    </row>
    <row r="13198" spans="1:22" s="1192" customFormat="1" ht="14.4" x14ac:dyDescent="0.3">
      <c r="A13198" s="1192" t="s">
        <v>184</v>
      </c>
      <c r="E13198" s="1740" t="s">
        <v>2602</v>
      </c>
      <c r="F13198" s="1740"/>
      <c r="G13198" s="1277"/>
      <c r="H13198" s="837">
        <v>1.0044999999999999</v>
      </c>
      <c r="J13198" s="1192" t="s">
        <v>5000</v>
      </c>
      <c r="V13198" s="1192">
        <v>55</v>
      </c>
    </row>
    <row r="13199" spans="1:22" s="1192" customFormat="1" ht="22.8" x14ac:dyDescent="0.3">
      <c r="A13199" s="1192" t="s">
        <v>4692</v>
      </c>
      <c r="B13199" s="1192" t="s">
        <v>5453</v>
      </c>
      <c r="C13199" s="1192" t="s">
        <v>2378</v>
      </c>
      <c r="E13199" s="1752" t="s">
        <v>4692</v>
      </c>
      <c r="F13199" s="1752"/>
      <c r="G13199" s="1752"/>
      <c r="H13199" s="1752"/>
      <c r="I13199" s="1192" t="s">
        <v>603</v>
      </c>
      <c r="J13199" s="1192" t="s">
        <v>5454</v>
      </c>
      <c r="K13199" s="1192" t="s">
        <v>4692</v>
      </c>
      <c r="M13199" s="1192">
        <v>8</v>
      </c>
      <c r="V13199" s="1192">
        <v>25</v>
      </c>
    </row>
    <row r="13200" spans="1:22" s="1192" customFormat="1" ht="17.399999999999999" x14ac:dyDescent="0.3">
      <c r="A13200" s="1192" t="s">
        <v>4692</v>
      </c>
      <c r="B13200" s="1192" t="s">
        <v>5453</v>
      </c>
      <c r="C13200" s="1192" t="s">
        <v>2380</v>
      </c>
      <c r="E13200" s="1753" t="s">
        <v>5294</v>
      </c>
      <c r="F13200" s="1753"/>
      <c r="G13200" s="1753"/>
      <c r="H13200" s="1753"/>
      <c r="V13200" s="1192">
        <v>21</v>
      </c>
    </row>
    <row r="13201" spans="1:22" s="1192" customFormat="1" ht="17.399999999999999" x14ac:dyDescent="0.3">
      <c r="A13201" s="1192" t="s">
        <v>4692</v>
      </c>
      <c r="B13201" s="1192" t="s">
        <v>5453</v>
      </c>
      <c r="C13201" s="1192" t="s">
        <v>2382</v>
      </c>
      <c r="E13201" s="1753" t="s">
        <v>2381</v>
      </c>
      <c r="F13201" s="1753"/>
      <c r="G13201" s="1753"/>
      <c r="H13201" s="1753"/>
      <c r="V13201" s="1192">
        <v>27</v>
      </c>
    </row>
    <row r="13202" spans="1:22" s="1192" customFormat="1" ht="15.6" x14ac:dyDescent="0.3">
      <c r="A13202" s="1192" t="s">
        <v>4692</v>
      </c>
      <c r="B13202" s="1192" t="s">
        <v>5453</v>
      </c>
      <c r="C13202" s="1192" t="s">
        <v>2383</v>
      </c>
      <c r="E13202" s="1754" t="s">
        <v>6482</v>
      </c>
      <c r="F13202" s="1754"/>
      <c r="G13202" s="1754"/>
      <c r="H13202" s="1754"/>
      <c r="S13202" s="1192">
        <v>43952</v>
      </c>
      <c r="V13202" s="1192">
        <v>45</v>
      </c>
    </row>
    <row r="13203" spans="1:22" s="1192" customFormat="1" ht="14.4" x14ac:dyDescent="0.3">
      <c r="A13203" s="1192" t="s">
        <v>4692</v>
      </c>
      <c r="B13203" s="1192" t="s">
        <v>5453</v>
      </c>
      <c r="E13203" s="1755" t="s">
        <v>2385</v>
      </c>
      <c r="F13203" s="1755"/>
      <c r="G13203" s="1755"/>
      <c r="H13203" s="1755"/>
      <c r="V13203" s="1192">
        <v>53</v>
      </c>
    </row>
    <row r="13204" spans="1:22" s="1192" customFormat="1" ht="14.4" x14ac:dyDescent="0.3">
      <c r="A13204" s="1192" t="s">
        <v>4692</v>
      </c>
      <c r="B13204" s="1192" t="s">
        <v>5453</v>
      </c>
      <c r="E13204" s="1772" t="s">
        <v>6582</v>
      </c>
      <c r="F13204" s="1772"/>
      <c r="G13204" s="1772"/>
      <c r="H13204" s="1772"/>
      <c r="K13204" s="1192" t="s">
        <v>6582</v>
      </c>
      <c r="V13204" s="1192">
        <v>12</v>
      </c>
    </row>
    <row r="13205" spans="1:22" s="1192" customFormat="1" ht="14.4" x14ac:dyDescent="0.3">
      <c r="A13205" s="1192" t="s">
        <v>4692</v>
      </c>
      <c r="B13205" s="1192" t="s">
        <v>5453</v>
      </c>
      <c r="E13205" s="1746" t="s">
        <v>427</v>
      </c>
      <c r="F13205" s="1743"/>
      <c r="G13205" s="1743"/>
      <c r="H13205" s="1743"/>
      <c r="K13205" s="1192" t="s">
        <v>2506</v>
      </c>
      <c r="V13205" s="1192">
        <v>34</v>
      </c>
    </row>
    <row r="13206" spans="1:22" s="1192" customFormat="1" ht="14.4" x14ac:dyDescent="0.3">
      <c r="A13206" s="1192" t="s">
        <v>4692</v>
      </c>
      <c r="B13206" s="1192" t="s">
        <v>5453</v>
      </c>
      <c r="E13206" s="1743" t="s">
        <v>3358</v>
      </c>
      <c r="F13206" s="1743"/>
      <c r="G13206" s="1743"/>
      <c r="H13206" s="1743"/>
      <c r="K13206" s="1192" t="s">
        <v>2506</v>
      </c>
      <c r="V13206" s="1192">
        <v>617</v>
      </c>
    </row>
    <row r="13207" spans="1:22" s="1192" customFormat="1" ht="14.4" x14ac:dyDescent="0.3">
      <c r="A13207" s="1192" t="s">
        <v>4692</v>
      </c>
      <c r="B13207" s="1192" t="s">
        <v>5453</v>
      </c>
      <c r="E13207" s="1750" t="s">
        <v>2389</v>
      </c>
      <c r="F13207" s="1743"/>
      <c r="G13207" s="1743"/>
      <c r="H13207" s="1743"/>
      <c r="K13207" s="1192" t="s">
        <v>2390</v>
      </c>
      <c r="V13207" s="1192">
        <v>11</v>
      </c>
    </row>
    <row r="13208" spans="1:22" s="1192" customFormat="1" ht="14.4" x14ac:dyDescent="0.3">
      <c r="A13208" s="1192" t="s">
        <v>4692</v>
      </c>
      <c r="B13208" s="1192" t="s">
        <v>5453</v>
      </c>
      <c r="E13208" s="1743" t="s">
        <v>2391</v>
      </c>
      <c r="F13208" s="1743"/>
      <c r="G13208" s="1743"/>
      <c r="H13208" s="1743"/>
      <c r="K13208" s="1192" t="s">
        <v>2506</v>
      </c>
      <c r="V13208" s="1192">
        <v>280</v>
      </c>
    </row>
    <row r="13209" spans="1:22" s="1192" customFormat="1" ht="14.4" x14ac:dyDescent="0.3">
      <c r="A13209" s="1192" t="s">
        <v>4692</v>
      </c>
      <c r="B13209" s="1192" t="s">
        <v>5453</v>
      </c>
      <c r="E13209" s="1743" t="s">
        <v>2392</v>
      </c>
      <c r="F13209" s="1743"/>
      <c r="G13209" s="1743"/>
      <c r="H13209" s="1743"/>
      <c r="K13209" s="1192" t="s">
        <v>2506</v>
      </c>
      <c r="V13209" s="1192">
        <v>411</v>
      </c>
    </row>
    <row r="13210" spans="1:22" s="1192" customFormat="1" ht="14.4" x14ac:dyDescent="0.3">
      <c r="A13210" s="1192" t="s">
        <v>4692</v>
      </c>
      <c r="B13210" s="1192" t="s">
        <v>5453</v>
      </c>
      <c r="E13210" s="1743" t="s">
        <v>2508</v>
      </c>
      <c r="F13210" s="1743"/>
      <c r="G13210" s="1743"/>
      <c r="H13210" s="1743"/>
      <c r="K13210" s="1192" t="s">
        <v>2506</v>
      </c>
      <c r="V13210" s="1192">
        <v>386</v>
      </c>
    </row>
    <row r="13211" spans="1:22" s="1192" customFormat="1" ht="14.4" x14ac:dyDescent="0.3">
      <c r="A13211" s="1192" t="s">
        <v>4692</v>
      </c>
      <c r="B13211" s="1192" t="s">
        <v>5453</v>
      </c>
      <c r="E13211" s="1743" t="s">
        <v>4500</v>
      </c>
      <c r="F13211" s="1743"/>
      <c r="G13211" s="1743"/>
      <c r="H13211" s="1743"/>
      <c r="K13211" s="1192" t="s">
        <v>2506</v>
      </c>
      <c r="V13211" s="1192">
        <v>247</v>
      </c>
    </row>
    <row r="13212" spans="1:22" s="1192" customFormat="1" ht="14.4" x14ac:dyDescent="0.3">
      <c r="A13212" s="1192" t="s">
        <v>4692</v>
      </c>
      <c r="B13212" s="1192" t="s">
        <v>5453</v>
      </c>
      <c r="E13212" s="1750" t="s">
        <v>2394</v>
      </c>
      <c r="F13212" s="1743"/>
      <c r="G13212" s="1743"/>
      <c r="H13212" s="1743"/>
      <c r="K13212" s="1192" t="s">
        <v>2395</v>
      </c>
      <c r="V13212" s="1192">
        <v>46</v>
      </c>
    </row>
    <row r="13213" spans="1:22" s="1192" customFormat="1" ht="14.4" x14ac:dyDescent="0.3">
      <c r="A13213" s="1192" t="s">
        <v>4692</v>
      </c>
      <c r="B13213" s="1192" t="s">
        <v>5453</v>
      </c>
      <c r="E13213" s="1741" t="s">
        <v>7</v>
      </c>
      <c r="F13213" s="1741"/>
      <c r="G13213" s="1277" t="s">
        <v>19</v>
      </c>
      <c r="H13213" s="1218">
        <v>25.15</v>
      </c>
      <c r="K13213" s="1192" t="s">
        <v>2506</v>
      </c>
      <c r="L13213" s="1192" t="s">
        <v>430</v>
      </c>
      <c r="P13213" s="1192" t="s">
        <v>2510</v>
      </c>
      <c r="V13213" s="1192">
        <v>14</v>
      </c>
    </row>
    <row r="13214" spans="1:22" s="1192" customFormat="1" ht="14.4" x14ac:dyDescent="0.3">
      <c r="A13214" s="1192" t="s">
        <v>4692</v>
      </c>
      <c r="B13214" s="1192" t="s">
        <v>5453</v>
      </c>
      <c r="E13214" s="1741" t="s">
        <v>3900</v>
      </c>
      <c r="F13214" s="1741"/>
      <c r="G13214" s="1277" t="s">
        <v>19</v>
      </c>
      <c r="H13214" s="1218">
        <v>0.56999999999999995</v>
      </c>
      <c r="K13214" s="1192" t="s">
        <v>2506</v>
      </c>
      <c r="L13214" s="1192" t="s">
        <v>431</v>
      </c>
      <c r="P13214" s="1192" t="s">
        <v>2511</v>
      </c>
      <c r="T13214" s="1192">
        <v>44926</v>
      </c>
      <c r="V13214" s="1192">
        <v>64</v>
      </c>
    </row>
    <row r="13215" spans="1:22" s="1192" customFormat="1" ht="14.4" x14ac:dyDescent="0.3">
      <c r="A13215" s="1192" t="s">
        <v>4692</v>
      </c>
      <c r="B13215" s="1192" t="s">
        <v>5453</v>
      </c>
      <c r="E13215" s="1741" t="s">
        <v>6506</v>
      </c>
      <c r="F13215" s="1998"/>
      <c r="G13215" s="1277" t="s">
        <v>20</v>
      </c>
      <c r="H13215" s="1219">
        <v>-1.1999999999999999E-3</v>
      </c>
      <c r="K13215" s="1192" t="s">
        <v>2506</v>
      </c>
      <c r="L13215" s="1192" t="s">
        <v>431</v>
      </c>
      <c r="P13215" s="1192" t="s">
        <v>2514</v>
      </c>
      <c r="T13215" s="1192">
        <v>44316</v>
      </c>
      <c r="V13215" s="1192">
        <v>139</v>
      </c>
    </row>
    <row r="13216" spans="1:22" s="1192" customFormat="1" ht="14.4" x14ac:dyDescent="0.3">
      <c r="A13216" s="1192" t="s">
        <v>4692</v>
      </c>
      <c r="B13216" s="1192" t="s">
        <v>5453</v>
      </c>
      <c r="E13216" s="1741" t="s">
        <v>6508</v>
      </c>
      <c r="F13216" s="1998"/>
      <c r="G13216" s="1277" t="s">
        <v>20</v>
      </c>
      <c r="H13216" s="1219">
        <v>5.9999999999999995E-4</v>
      </c>
      <c r="K13216" s="1192" t="s">
        <v>2506</v>
      </c>
      <c r="L13216" s="1192" t="s">
        <v>431</v>
      </c>
      <c r="P13216" s="1192" t="s">
        <v>2516</v>
      </c>
      <c r="T13216" s="1192">
        <v>44316</v>
      </c>
      <c r="V13216" s="1192">
        <v>96</v>
      </c>
    </row>
    <row r="13217" spans="1:22" s="1192" customFormat="1" ht="14.4" x14ac:dyDescent="0.3">
      <c r="A13217" s="1192" t="s">
        <v>4692</v>
      </c>
      <c r="B13217" s="1192" t="s">
        <v>5453</v>
      </c>
      <c r="E13217" s="1741" t="s">
        <v>213</v>
      </c>
      <c r="F13217" s="1741"/>
      <c r="G13217" s="1277" t="s">
        <v>20</v>
      </c>
      <c r="H13217" s="1219">
        <v>6.4000000000000003E-3</v>
      </c>
      <c r="K13217" s="1192" t="s">
        <v>2506</v>
      </c>
      <c r="L13217" s="1192" t="s">
        <v>432</v>
      </c>
      <c r="P13217" s="1192" t="s">
        <v>2517</v>
      </c>
      <c r="V13217" s="1192">
        <v>47</v>
      </c>
    </row>
    <row r="13218" spans="1:22" s="1192" customFormat="1" ht="14.4" x14ac:dyDescent="0.3">
      <c r="A13218" s="1192" t="s">
        <v>4692</v>
      </c>
      <c r="B13218" s="1192" t="s">
        <v>5453</v>
      </c>
      <c r="E13218" s="1741" t="s">
        <v>209</v>
      </c>
      <c r="F13218" s="1741"/>
      <c r="G13218" s="1277" t="s">
        <v>20</v>
      </c>
      <c r="H13218" s="1219">
        <v>5.1000000000000004E-3</v>
      </c>
      <c r="K13218" s="1192" t="s">
        <v>2506</v>
      </c>
      <c r="L13218" s="1192" t="s">
        <v>432</v>
      </c>
      <c r="P13218" s="1192" t="s">
        <v>2518</v>
      </c>
      <c r="V13218" s="1192">
        <v>74</v>
      </c>
    </row>
    <row r="13219" spans="1:22" s="1192" customFormat="1" ht="14.4" x14ac:dyDescent="0.3">
      <c r="A13219" s="1192" t="s">
        <v>4692</v>
      </c>
      <c r="B13219" s="1192" t="s">
        <v>5453</v>
      </c>
      <c r="E13219" s="1750" t="s">
        <v>2405</v>
      </c>
      <c r="F13219" s="1741"/>
      <c r="G13219" s="1277"/>
      <c r="H13219" s="896"/>
      <c r="K13219" s="1192" t="s">
        <v>2406</v>
      </c>
      <c r="V13219" s="1192">
        <v>48</v>
      </c>
    </row>
    <row r="13220" spans="1:22" s="1192" customFormat="1" ht="14.4" x14ac:dyDescent="0.3">
      <c r="A13220" s="1192" t="s">
        <v>4692</v>
      </c>
      <c r="B13220" s="1192" t="s">
        <v>5453</v>
      </c>
      <c r="E13220" s="1741" t="s">
        <v>2033</v>
      </c>
      <c r="F13220" s="1741"/>
      <c r="G13220" s="1277" t="s">
        <v>20</v>
      </c>
      <c r="H13220" s="1219">
        <v>3.0000000000000001E-3</v>
      </c>
      <c r="K13220" s="1192" t="s">
        <v>2506</v>
      </c>
      <c r="L13220" s="1192" t="s">
        <v>2374</v>
      </c>
      <c r="P13220" s="1192" t="s">
        <v>2519</v>
      </c>
      <c r="V13220" s="1192">
        <v>55</v>
      </c>
    </row>
    <row r="13221" spans="1:22" s="1192" customFormat="1" ht="14.4" x14ac:dyDescent="0.3">
      <c r="A13221" s="1192" t="s">
        <v>4692</v>
      </c>
      <c r="B13221" s="1192" t="s">
        <v>5453</v>
      </c>
      <c r="E13221" s="1741" t="s">
        <v>2034</v>
      </c>
      <c r="F13221" s="1741"/>
      <c r="G13221" s="1277" t="s">
        <v>20</v>
      </c>
      <c r="H13221" s="1219">
        <v>4.0000000000000002E-4</v>
      </c>
      <c r="K13221" s="1192" t="s">
        <v>2506</v>
      </c>
      <c r="L13221" s="1192" t="s">
        <v>2374</v>
      </c>
      <c r="P13221" s="1192" t="s">
        <v>2519</v>
      </c>
      <c r="V13221" s="1192">
        <v>65</v>
      </c>
    </row>
    <row r="13222" spans="1:22" s="1192" customFormat="1" ht="14.4" x14ac:dyDescent="0.3">
      <c r="A13222" s="1192" t="s">
        <v>4692</v>
      </c>
      <c r="B13222" s="1192" t="s">
        <v>5453</v>
      </c>
      <c r="E13222" s="1741" t="s">
        <v>428</v>
      </c>
      <c r="F13222" s="1741"/>
      <c r="G13222" s="1277" t="s">
        <v>20</v>
      </c>
      <c r="H13222" s="1219">
        <v>5.0000000000000001E-4</v>
      </c>
      <c r="K13222" s="1192" t="s">
        <v>2506</v>
      </c>
      <c r="L13222" s="1192" t="s">
        <v>2374</v>
      </c>
      <c r="P13222" s="1192" t="s">
        <v>2520</v>
      </c>
      <c r="V13222" s="1192">
        <v>57</v>
      </c>
    </row>
    <row r="13223" spans="1:22" s="1192" customFormat="1" ht="14.4" x14ac:dyDescent="0.3">
      <c r="A13223" s="1192" t="s">
        <v>4692</v>
      </c>
      <c r="B13223" s="1192" t="s">
        <v>5453</v>
      </c>
      <c r="E13223" s="1741" t="s">
        <v>28</v>
      </c>
      <c r="F13223" s="1741"/>
      <c r="G13223" s="1277" t="s">
        <v>19</v>
      </c>
      <c r="H13223" s="794">
        <v>0.25</v>
      </c>
      <c r="K13223" s="1192" t="s">
        <v>2506</v>
      </c>
      <c r="L13223" s="1192" t="s">
        <v>2374</v>
      </c>
      <c r="P13223" s="1192" t="s">
        <v>2521</v>
      </c>
      <c r="V13223" s="1192">
        <v>63</v>
      </c>
    </row>
    <row r="13224" spans="1:22" s="1192" customFormat="1" ht="17.399999999999999" x14ac:dyDescent="0.3">
      <c r="A13224" s="1192" t="s">
        <v>4692</v>
      </c>
      <c r="B13224" s="1192" t="s">
        <v>5453</v>
      </c>
      <c r="E13224" s="1746" t="s">
        <v>2522</v>
      </c>
      <c r="F13224" s="1747"/>
      <c r="G13224" s="1747"/>
      <c r="H13224" s="1747"/>
      <c r="K13224" s="1192" t="s">
        <v>3901</v>
      </c>
      <c r="V13224" s="1192">
        <v>54</v>
      </c>
    </row>
    <row r="13225" spans="1:22" s="1192" customFormat="1" ht="14.4" x14ac:dyDescent="0.3">
      <c r="A13225" s="1192" t="s">
        <v>4692</v>
      </c>
      <c r="B13225" s="1192" t="s">
        <v>5453</v>
      </c>
      <c r="E13225" s="1743" t="s">
        <v>4273</v>
      </c>
      <c r="F13225" s="1743"/>
      <c r="G13225" s="1743"/>
      <c r="H13225" s="1743"/>
      <c r="K13225" s="1192" t="s">
        <v>3901</v>
      </c>
      <c r="V13225" s="1192">
        <v>991</v>
      </c>
    </row>
    <row r="13226" spans="1:22" s="1192" customFormat="1" ht="14.4" x14ac:dyDescent="0.3">
      <c r="A13226" s="1192" t="s">
        <v>4692</v>
      </c>
      <c r="B13226" s="1192" t="s">
        <v>5453</v>
      </c>
      <c r="E13226" s="1750" t="s">
        <v>2389</v>
      </c>
      <c r="F13226" s="1743"/>
      <c r="G13226" s="1743"/>
      <c r="H13226" s="1743"/>
      <c r="K13226" s="1192" t="s">
        <v>2412</v>
      </c>
      <c r="V13226" s="1192">
        <v>11</v>
      </c>
    </row>
    <row r="13227" spans="1:22" s="1192" customFormat="1" ht="14.4" x14ac:dyDescent="0.3">
      <c r="A13227" s="1192" t="s">
        <v>4692</v>
      </c>
      <c r="B13227" s="1192" t="s">
        <v>5453</v>
      </c>
      <c r="E13227" s="1743" t="s">
        <v>2391</v>
      </c>
      <c r="F13227" s="1743"/>
      <c r="G13227" s="1743"/>
      <c r="H13227" s="1743"/>
      <c r="K13227" s="1192" t="s">
        <v>3901</v>
      </c>
      <c r="V13227" s="1192">
        <v>280</v>
      </c>
    </row>
    <row r="13228" spans="1:22" s="1192" customFormat="1" ht="14.4" x14ac:dyDescent="0.3">
      <c r="A13228" s="1192" t="s">
        <v>4692</v>
      </c>
      <c r="B13228" s="1192" t="s">
        <v>5453</v>
      </c>
      <c r="E13228" s="1743" t="s">
        <v>2392</v>
      </c>
      <c r="F13228" s="1743"/>
      <c r="G13228" s="1743"/>
      <c r="H13228" s="1743"/>
      <c r="K13228" s="1192" t="s">
        <v>3901</v>
      </c>
      <c r="V13228" s="1192">
        <v>411</v>
      </c>
    </row>
    <row r="13229" spans="1:22" s="1192" customFormat="1" ht="14.4" x14ac:dyDescent="0.3">
      <c r="A13229" s="1192" t="s">
        <v>4692</v>
      </c>
      <c r="B13229" s="1192" t="s">
        <v>5453</v>
      </c>
      <c r="E13229" s="1743" t="s">
        <v>2508</v>
      </c>
      <c r="F13229" s="1743"/>
      <c r="G13229" s="1743"/>
      <c r="H13229" s="1743"/>
      <c r="K13229" s="1192" t="s">
        <v>3901</v>
      </c>
      <c r="V13229" s="1192">
        <v>386</v>
      </c>
    </row>
    <row r="13230" spans="1:22" s="1192" customFormat="1" ht="14.4" x14ac:dyDescent="0.3">
      <c r="A13230" s="1192" t="s">
        <v>4692</v>
      </c>
      <c r="B13230" s="1192" t="s">
        <v>5453</v>
      </c>
      <c r="E13230" s="1743" t="s">
        <v>4500</v>
      </c>
      <c r="F13230" s="1743"/>
      <c r="G13230" s="1743"/>
      <c r="H13230" s="1743"/>
      <c r="K13230" s="1192" t="s">
        <v>3901</v>
      </c>
      <c r="V13230" s="1192">
        <v>247</v>
      </c>
    </row>
    <row r="13231" spans="1:22" s="1192" customFormat="1" ht="14.4" x14ac:dyDescent="0.3">
      <c r="A13231" s="1192" t="s">
        <v>4692</v>
      </c>
      <c r="B13231" s="1192" t="s">
        <v>5453</v>
      </c>
      <c r="E13231" s="1750" t="s">
        <v>2394</v>
      </c>
      <c r="F13231" s="1743"/>
      <c r="G13231" s="1743"/>
      <c r="H13231" s="1743"/>
      <c r="K13231" s="1192" t="s">
        <v>2413</v>
      </c>
      <c r="V13231" s="1192">
        <v>46</v>
      </c>
    </row>
    <row r="13232" spans="1:22" s="1192" customFormat="1" ht="14.4" x14ac:dyDescent="0.3">
      <c r="A13232" s="1192" t="s">
        <v>4692</v>
      </c>
      <c r="B13232" s="1192" t="s">
        <v>5453</v>
      </c>
      <c r="E13232" s="1741" t="s">
        <v>7</v>
      </c>
      <c r="F13232" s="1741"/>
      <c r="G13232" s="1277" t="s">
        <v>19</v>
      </c>
      <c r="H13232" s="1218">
        <v>28.1</v>
      </c>
      <c r="K13232" s="1192" t="s">
        <v>3901</v>
      </c>
      <c r="L13232" s="1192" t="s">
        <v>430</v>
      </c>
      <c r="P13232" s="1192" t="s">
        <v>3902</v>
      </c>
      <c r="V13232" s="1192">
        <v>14</v>
      </c>
    </row>
    <row r="13233" spans="1:22" s="1192" customFormat="1" ht="14.4" x14ac:dyDescent="0.3">
      <c r="A13233" s="1192" t="s">
        <v>4692</v>
      </c>
      <c r="B13233" s="1192" t="s">
        <v>5453</v>
      </c>
      <c r="E13233" s="1741" t="s">
        <v>3900</v>
      </c>
      <c r="F13233" s="1741"/>
      <c r="G13233" s="1277" t="s">
        <v>19</v>
      </c>
      <c r="H13233" s="1218">
        <v>0.56999999999999995</v>
      </c>
      <c r="K13233" s="1192" t="s">
        <v>3901</v>
      </c>
      <c r="L13233" s="1192" t="s">
        <v>431</v>
      </c>
      <c r="P13233" s="1192" t="s">
        <v>3903</v>
      </c>
      <c r="T13233" s="1192">
        <v>44926</v>
      </c>
      <c r="V13233" s="1192">
        <v>64</v>
      </c>
    </row>
    <row r="13234" spans="1:22" s="1192" customFormat="1" ht="14.4" x14ac:dyDescent="0.3">
      <c r="A13234" s="1192" t="s">
        <v>4692</v>
      </c>
      <c r="B13234" s="1192" t="s">
        <v>5453</v>
      </c>
      <c r="E13234" s="1741" t="s">
        <v>80</v>
      </c>
      <c r="F13234" s="1741"/>
      <c r="G13234" s="1277" t="s">
        <v>20</v>
      </c>
      <c r="H13234" s="1219">
        <v>1.83E-2</v>
      </c>
      <c r="K13234" s="1192" t="s">
        <v>3901</v>
      </c>
      <c r="L13234" s="1192" t="s">
        <v>430</v>
      </c>
      <c r="P13234" s="1192" t="s">
        <v>3904</v>
      </c>
      <c r="V13234" s="1192">
        <v>28</v>
      </c>
    </row>
    <row r="13235" spans="1:22" s="1192" customFormat="1" ht="14.4" x14ac:dyDescent="0.3">
      <c r="A13235" s="1192" t="s">
        <v>4692</v>
      </c>
      <c r="B13235" s="1192" t="s">
        <v>5453</v>
      </c>
      <c r="E13235" s="1741" t="s">
        <v>6506</v>
      </c>
      <c r="F13235" s="1998"/>
      <c r="G13235" s="1277" t="s">
        <v>20</v>
      </c>
      <c r="H13235" s="1219">
        <v>-1.1999999999999999E-3</v>
      </c>
      <c r="K13235" s="1192" t="s">
        <v>3901</v>
      </c>
      <c r="L13235" s="1192" t="s">
        <v>431</v>
      </c>
      <c r="P13235" s="1192" t="s">
        <v>3700</v>
      </c>
      <c r="T13235" s="1192">
        <v>44316</v>
      </c>
      <c r="V13235" s="1192">
        <v>139</v>
      </c>
    </row>
    <row r="13236" spans="1:22" s="1192" customFormat="1" ht="14.4" x14ac:dyDescent="0.3">
      <c r="A13236" s="1192" t="s">
        <v>4692</v>
      </c>
      <c r="B13236" s="1192" t="s">
        <v>5453</v>
      </c>
      <c r="E13236" s="1741" t="s">
        <v>6508</v>
      </c>
      <c r="F13236" s="1998"/>
      <c r="G13236" s="1277" t="s">
        <v>20</v>
      </c>
      <c r="H13236" s="1219">
        <v>5.9999999999999995E-4</v>
      </c>
      <c r="K13236" s="1192" t="s">
        <v>3901</v>
      </c>
      <c r="L13236" s="1192" t="s">
        <v>431</v>
      </c>
      <c r="P13236" s="1192" t="s">
        <v>3911</v>
      </c>
      <c r="T13236" s="1192">
        <v>44316</v>
      </c>
      <c r="V13236" s="1192">
        <v>96</v>
      </c>
    </row>
    <row r="13237" spans="1:22" s="1192" customFormat="1" ht="14.4" x14ac:dyDescent="0.3">
      <c r="A13237" s="1192" t="s">
        <v>4692</v>
      </c>
      <c r="B13237" s="1192" t="s">
        <v>5453</v>
      </c>
      <c r="E13237" s="1741" t="s">
        <v>213</v>
      </c>
      <c r="F13237" s="1741"/>
      <c r="G13237" s="1277" t="s">
        <v>20</v>
      </c>
      <c r="H13237" s="1219">
        <v>6.1000000000000004E-3</v>
      </c>
      <c r="K13237" s="1192" t="s">
        <v>3901</v>
      </c>
      <c r="L13237" s="1192" t="s">
        <v>432</v>
      </c>
      <c r="P13237" s="1192" t="s">
        <v>3906</v>
      </c>
      <c r="V13237" s="1192">
        <v>47</v>
      </c>
    </row>
    <row r="13238" spans="1:22" s="1192" customFormat="1" ht="14.4" x14ac:dyDescent="0.3">
      <c r="A13238" s="1192" t="s">
        <v>4692</v>
      </c>
      <c r="B13238" s="1192" t="s">
        <v>5453</v>
      </c>
      <c r="E13238" s="1741" t="s">
        <v>209</v>
      </c>
      <c r="F13238" s="1741"/>
      <c r="G13238" s="1277" t="s">
        <v>20</v>
      </c>
      <c r="H13238" s="1219">
        <v>4.7000000000000002E-3</v>
      </c>
      <c r="K13238" s="1192" t="s">
        <v>3901</v>
      </c>
      <c r="L13238" s="1192" t="s">
        <v>432</v>
      </c>
      <c r="P13238" s="1192" t="s">
        <v>3907</v>
      </c>
      <c r="V13238" s="1192">
        <v>74</v>
      </c>
    </row>
    <row r="13239" spans="1:22" s="1192" customFormat="1" ht="14.4" x14ac:dyDescent="0.3">
      <c r="A13239" s="1192" t="s">
        <v>4692</v>
      </c>
      <c r="B13239" s="1192" t="s">
        <v>5453</v>
      </c>
      <c r="E13239" s="1750" t="s">
        <v>2405</v>
      </c>
      <c r="F13239" s="1741"/>
      <c r="G13239" s="1277"/>
      <c r="H13239" s="896"/>
      <c r="K13239" s="1192" t="s">
        <v>2418</v>
      </c>
      <c r="V13239" s="1192">
        <v>48</v>
      </c>
    </row>
    <row r="13240" spans="1:22" s="1192" customFormat="1" ht="14.4" x14ac:dyDescent="0.3">
      <c r="A13240" s="1192" t="s">
        <v>4692</v>
      </c>
      <c r="B13240" s="1192" t="s">
        <v>5453</v>
      </c>
      <c r="E13240" s="1741" t="s">
        <v>2033</v>
      </c>
      <c r="F13240" s="1741"/>
      <c r="G13240" s="1277" t="s">
        <v>20</v>
      </c>
      <c r="H13240" s="1219">
        <v>3.0000000000000001E-3</v>
      </c>
      <c r="K13240" s="1192" t="s">
        <v>3901</v>
      </c>
      <c r="L13240" s="1192" t="s">
        <v>2374</v>
      </c>
      <c r="P13240" s="1192" t="s">
        <v>3908</v>
      </c>
      <c r="V13240" s="1192">
        <v>55</v>
      </c>
    </row>
    <row r="13241" spans="1:22" s="1192" customFormat="1" ht="14.4" x14ac:dyDescent="0.3">
      <c r="A13241" s="1192" t="s">
        <v>4692</v>
      </c>
      <c r="B13241" s="1192" t="s">
        <v>5453</v>
      </c>
      <c r="E13241" s="1741" t="s">
        <v>2034</v>
      </c>
      <c r="F13241" s="1741"/>
      <c r="G13241" s="1277" t="s">
        <v>20</v>
      </c>
      <c r="H13241" s="1219">
        <v>4.0000000000000002E-4</v>
      </c>
      <c r="K13241" s="1192" t="s">
        <v>3901</v>
      </c>
      <c r="L13241" s="1192" t="s">
        <v>2374</v>
      </c>
      <c r="P13241" s="1192" t="s">
        <v>3908</v>
      </c>
      <c r="V13241" s="1192">
        <v>65</v>
      </c>
    </row>
    <row r="13242" spans="1:22" s="1192" customFormat="1" ht="14.4" x14ac:dyDescent="0.3">
      <c r="A13242" s="1192" t="s">
        <v>4692</v>
      </c>
      <c r="B13242" s="1192" t="s">
        <v>5453</v>
      </c>
      <c r="E13242" s="1741" t="s">
        <v>428</v>
      </c>
      <c r="F13242" s="1741"/>
      <c r="G13242" s="1277" t="s">
        <v>20</v>
      </c>
      <c r="H13242" s="1219">
        <v>5.0000000000000001E-4</v>
      </c>
      <c r="K13242" s="1192" t="s">
        <v>3901</v>
      </c>
      <c r="L13242" s="1192" t="s">
        <v>2374</v>
      </c>
      <c r="P13242" s="1192" t="s">
        <v>3909</v>
      </c>
      <c r="V13242" s="1192">
        <v>57</v>
      </c>
    </row>
    <row r="13243" spans="1:22" s="1192" customFormat="1" ht="14.4" x14ac:dyDescent="0.3">
      <c r="A13243" s="1192" t="s">
        <v>4692</v>
      </c>
      <c r="B13243" s="1192" t="s">
        <v>5453</v>
      </c>
      <c r="E13243" s="1741" t="s">
        <v>28</v>
      </c>
      <c r="F13243" s="1741"/>
      <c r="G13243" s="1277" t="s">
        <v>19</v>
      </c>
      <c r="H13243" s="1218">
        <v>0.25</v>
      </c>
      <c r="K13243" s="1192" t="s">
        <v>3901</v>
      </c>
      <c r="L13243" s="1192" t="s">
        <v>2374</v>
      </c>
      <c r="P13243" s="1192" t="s">
        <v>3910</v>
      </c>
      <c r="V13243" s="1192">
        <v>63</v>
      </c>
    </row>
    <row r="13244" spans="1:22" s="1192" customFormat="1" ht="17.399999999999999" x14ac:dyDescent="0.3">
      <c r="A13244" s="1192" t="s">
        <v>4692</v>
      </c>
      <c r="B13244" s="1192" t="s">
        <v>5453</v>
      </c>
      <c r="E13244" s="1746" t="s">
        <v>2524</v>
      </c>
      <c r="F13244" s="1747"/>
      <c r="G13244" s="1747"/>
      <c r="H13244" s="1747"/>
      <c r="K13244" s="1192" t="s">
        <v>3937</v>
      </c>
      <c r="V13244" s="1192">
        <v>51</v>
      </c>
    </row>
    <row r="13245" spans="1:22" s="1192" customFormat="1" ht="14.4" x14ac:dyDescent="0.3">
      <c r="A13245" s="1192" t="s">
        <v>4692</v>
      </c>
      <c r="B13245" s="1192" t="s">
        <v>5453</v>
      </c>
      <c r="E13245" s="1743" t="s">
        <v>4273</v>
      </c>
      <c r="F13245" s="1743"/>
      <c r="G13245" s="1743"/>
      <c r="H13245" s="1743"/>
      <c r="K13245" s="1192" t="s">
        <v>3937</v>
      </c>
      <c r="V13245" s="1192">
        <v>991</v>
      </c>
    </row>
    <row r="13246" spans="1:22" s="1192" customFormat="1" ht="14.4" x14ac:dyDescent="0.3">
      <c r="A13246" s="1192" t="s">
        <v>4692</v>
      </c>
      <c r="B13246" s="1192" t="s">
        <v>5453</v>
      </c>
      <c r="E13246" s="1750" t="s">
        <v>2389</v>
      </c>
      <c r="F13246" s="1743"/>
      <c r="G13246" s="1743"/>
      <c r="H13246" s="1743"/>
      <c r="K13246" s="1192" t="s">
        <v>2422</v>
      </c>
      <c r="V13246" s="1192">
        <v>11</v>
      </c>
    </row>
    <row r="13247" spans="1:22" s="1192" customFormat="1" ht="14.4" x14ac:dyDescent="0.3">
      <c r="A13247" s="1192" t="s">
        <v>4692</v>
      </c>
      <c r="B13247" s="1192" t="s">
        <v>5453</v>
      </c>
      <c r="E13247" s="1743" t="s">
        <v>2391</v>
      </c>
      <c r="F13247" s="1743"/>
      <c r="G13247" s="1743"/>
      <c r="H13247" s="1743"/>
      <c r="K13247" s="1192" t="s">
        <v>3937</v>
      </c>
      <c r="V13247" s="1192">
        <v>280</v>
      </c>
    </row>
    <row r="13248" spans="1:22" s="1192" customFormat="1" ht="14.4" x14ac:dyDescent="0.3">
      <c r="A13248" s="1192" t="s">
        <v>4692</v>
      </c>
      <c r="B13248" s="1192" t="s">
        <v>5453</v>
      </c>
      <c r="E13248" s="1743" t="s">
        <v>2392</v>
      </c>
      <c r="F13248" s="1743"/>
      <c r="G13248" s="1743"/>
      <c r="H13248" s="1743"/>
      <c r="K13248" s="1192" t="s">
        <v>3937</v>
      </c>
      <c r="V13248" s="1192">
        <v>411</v>
      </c>
    </row>
    <row r="13249" spans="1:22" s="1192" customFormat="1" ht="14.4" x14ac:dyDescent="0.3">
      <c r="A13249" s="1192" t="s">
        <v>4692</v>
      </c>
      <c r="B13249" s="1192" t="s">
        <v>5453</v>
      </c>
      <c r="E13249" s="1743" t="s">
        <v>2508</v>
      </c>
      <c r="F13249" s="1743"/>
      <c r="G13249" s="1743"/>
      <c r="H13249" s="1743"/>
      <c r="K13249" s="1192" t="s">
        <v>3937</v>
      </c>
      <c r="V13249" s="1192">
        <v>386</v>
      </c>
    </row>
    <row r="13250" spans="1:22" s="1192" customFormat="1" ht="14.4" x14ac:dyDescent="0.3">
      <c r="A13250" s="1192" t="s">
        <v>4692</v>
      </c>
      <c r="B13250" s="1192" t="s">
        <v>5453</v>
      </c>
      <c r="E13250" s="1743" t="s">
        <v>4503</v>
      </c>
      <c r="F13250" s="1743"/>
      <c r="G13250" s="1743"/>
      <c r="H13250" s="1743"/>
      <c r="K13250" s="1192" t="s">
        <v>3937</v>
      </c>
      <c r="V13250" s="1192">
        <v>677</v>
      </c>
    </row>
    <row r="13251" spans="1:22" s="1192" customFormat="1" ht="14.4" x14ac:dyDescent="0.3">
      <c r="A13251" s="1192" t="s">
        <v>4692</v>
      </c>
      <c r="B13251" s="1192" t="s">
        <v>5453</v>
      </c>
      <c r="E13251" s="1743" t="s">
        <v>4644</v>
      </c>
      <c r="F13251" s="1743"/>
      <c r="G13251" s="1743"/>
      <c r="H13251" s="1743"/>
      <c r="K13251" s="1192" t="s">
        <v>3937</v>
      </c>
      <c r="V13251" s="1192">
        <v>693</v>
      </c>
    </row>
    <row r="13252" spans="1:22" s="1192" customFormat="1" ht="14.4" x14ac:dyDescent="0.3">
      <c r="A13252" s="1192" t="s">
        <v>4692</v>
      </c>
      <c r="B13252" s="1192" t="s">
        <v>5453</v>
      </c>
      <c r="E13252" s="1743" t="s">
        <v>4500</v>
      </c>
      <c r="F13252" s="1743"/>
      <c r="G13252" s="1743"/>
      <c r="H13252" s="1743"/>
      <c r="K13252" s="1192" t="s">
        <v>3937</v>
      </c>
      <c r="V13252" s="1192">
        <v>247</v>
      </c>
    </row>
    <row r="13253" spans="1:22" s="1192" customFormat="1" ht="14.4" x14ac:dyDescent="0.3">
      <c r="A13253" s="1192" t="s">
        <v>4692</v>
      </c>
      <c r="B13253" s="1192" t="s">
        <v>5453</v>
      </c>
      <c r="E13253" s="1750" t="s">
        <v>2394</v>
      </c>
      <c r="F13253" s="1743"/>
      <c r="G13253" s="1743"/>
      <c r="H13253" s="1743"/>
      <c r="K13253" s="1192" t="s">
        <v>2423</v>
      </c>
      <c r="V13253" s="1192">
        <v>46</v>
      </c>
    </row>
    <row r="13254" spans="1:22" s="1192" customFormat="1" ht="14.4" x14ac:dyDescent="0.3">
      <c r="A13254" s="1192" t="s">
        <v>4692</v>
      </c>
      <c r="B13254" s="1192" t="s">
        <v>5453</v>
      </c>
      <c r="E13254" s="1741" t="s">
        <v>7</v>
      </c>
      <c r="F13254" s="1741"/>
      <c r="G13254" s="1277" t="s">
        <v>19</v>
      </c>
      <c r="H13254" s="1218">
        <v>211.47</v>
      </c>
      <c r="K13254" s="1192" t="s">
        <v>3937</v>
      </c>
      <c r="L13254" s="1192" t="s">
        <v>430</v>
      </c>
      <c r="P13254" s="1192" t="s">
        <v>3938</v>
      </c>
      <c r="V13254" s="1192">
        <v>14</v>
      </c>
    </row>
    <row r="13255" spans="1:22" s="1192" customFormat="1" ht="14.4" x14ac:dyDescent="0.3">
      <c r="A13255" s="1192" t="s">
        <v>4692</v>
      </c>
      <c r="B13255" s="1192" t="s">
        <v>5453</v>
      </c>
      <c r="E13255" s="1741" t="s">
        <v>80</v>
      </c>
      <c r="F13255" s="1741"/>
      <c r="G13255" s="1277" t="s">
        <v>29</v>
      </c>
      <c r="H13255" s="1219">
        <v>3.4382000000000001</v>
      </c>
      <c r="K13255" s="1192" t="s">
        <v>3937</v>
      </c>
      <c r="L13255" s="1192" t="s">
        <v>430</v>
      </c>
      <c r="P13255" s="1192" t="s">
        <v>3939</v>
      </c>
      <c r="V13255" s="1192">
        <v>28</v>
      </c>
    </row>
    <row r="13256" spans="1:22" s="1192" customFormat="1" ht="14.4" x14ac:dyDescent="0.3">
      <c r="A13256" s="1192" t="s">
        <v>4692</v>
      </c>
      <c r="B13256" s="1192" t="s">
        <v>5453</v>
      </c>
      <c r="E13256" s="1741" t="s">
        <v>6506</v>
      </c>
      <c r="F13256" s="1998"/>
      <c r="G13256" s="1277" t="s">
        <v>20</v>
      </c>
      <c r="H13256" s="1219">
        <v>-1.1999999999999999E-3</v>
      </c>
      <c r="K13256" s="1192" t="s">
        <v>3937</v>
      </c>
      <c r="L13256" s="1192" t="s">
        <v>431</v>
      </c>
      <c r="P13256" s="1192" t="s">
        <v>4089</v>
      </c>
      <c r="T13256" s="1192">
        <v>44316</v>
      </c>
      <c r="V13256" s="1192">
        <v>139</v>
      </c>
    </row>
    <row r="13257" spans="1:22" s="1192" customFormat="1" ht="14.4" x14ac:dyDescent="0.3">
      <c r="A13257" s="1192" t="s">
        <v>4692</v>
      </c>
      <c r="B13257" s="1192" t="s">
        <v>5453</v>
      </c>
      <c r="E13257" s="1741" t="s">
        <v>6508</v>
      </c>
      <c r="F13257" s="1998"/>
      <c r="G13257" s="1277" t="s">
        <v>29</v>
      </c>
      <c r="H13257" s="1219">
        <v>0.25190000000000001</v>
      </c>
      <c r="K13257" s="1192" t="s">
        <v>3937</v>
      </c>
      <c r="L13257" s="1192" t="s">
        <v>431</v>
      </c>
      <c r="P13257" s="1192" t="s">
        <v>4091</v>
      </c>
      <c r="T13257" s="1192">
        <v>44316</v>
      </c>
      <c r="V13257" s="1192">
        <v>96</v>
      </c>
    </row>
    <row r="13258" spans="1:22" s="1192" customFormat="1" ht="14.4" x14ac:dyDescent="0.3">
      <c r="A13258" s="1192" t="s">
        <v>4692</v>
      </c>
      <c r="B13258" s="1192" t="s">
        <v>5453</v>
      </c>
      <c r="E13258" s="1741" t="s">
        <v>213</v>
      </c>
      <c r="F13258" s="1741"/>
      <c r="G13258" s="1277" t="s">
        <v>29</v>
      </c>
      <c r="H13258" s="1219">
        <v>2.3984999999999999</v>
      </c>
      <c r="K13258" s="1192" t="s">
        <v>3937</v>
      </c>
      <c r="L13258" s="1192" t="s">
        <v>432</v>
      </c>
      <c r="P13258" s="1192" t="s">
        <v>3941</v>
      </c>
      <c r="V13258" s="1192">
        <v>47</v>
      </c>
    </row>
    <row r="13259" spans="1:22" s="1192" customFormat="1" ht="14.4" x14ac:dyDescent="0.3">
      <c r="A13259" s="1192" t="s">
        <v>4692</v>
      </c>
      <c r="B13259" s="1192" t="s">
        <v>5453</v>
      </c>
      <c r="E13259" s="1741" t="s">
        <v>2847</v>
      </c>
      <c r="F13259" s="1741"/>
      <c r="G13259" s="1277" t="s">
        <v>29</v>
      </c>
      <c r="H13259" s="1219">
        <v>1.7992999999999999</v>
      </c>
      <c r="K13259" s="1192" t="s">
        <v>3937</v>
      </c>
      <c r="L13259" s="1192" t="s">
        <v>432</v>
      </c>
      <c r="P13259" s="1192" t="s">
        <v>3942</v>
      </c>
      <c r="V13259" s="1192">
        <v>75</v>
      </c>
    </row>
    <row r="13260" spans="1:22" s="1192" customFormat="1" ht="14.4" x14ac:dyDescent="0.3">
      <c r="A13260" s="1192" t="s">
        <v>4692</v>
      </c>
      <c r="B13260" s="1192" t="s">
        <v>5453</v>
      </c>
      <c r="E13260" s="1741" t="s">
        <v>215</v>
      </c>
      <c r="F13260" s="1741"/>
      <c r="G13260" s="1277" t="s">
        <v>29</v>
      </c>
      <c r="H13260" s="1219">
        <v>2.5442999999999998</v>
      </c>
      <c r="K13260" s="1192" t="s">
        <v>3937</v>
      </c>
      <c r="L13260" s="1192" t="s">
        <v>432</v>
      </c>
      <c r="P13260" s="1192" t="s">
        <v>3941</v>
      </c>
      <c r="V13260" s="1192">
        <v>66</v>
      </c>
    </row>
    <row r="13261" spans="1:22" s="1192" customFormat="1" ht="14.4" x14ac:dyDescent="0.3">
      <c r="A13261" s="1192" t="s">
        <v>4692</v>
      </c>
      <c r="B13261" s="1192" t="s">
        <v>5453</v>
      </c>
      <c r="E13261" s="1741" t="s">
        <v>3703</v>
      </c>
      <c r="F13261" s="1741"/>
      <c r="G13261" s="1277" t="s">
        <v>29</v>
      </c>
      <c r="H13261" s="1219">
        <v>1.9888999999999999</v>
      </c>
      <c r="K13261" s="1192" t="s">
        <v>3937</v>
      </c>
      <c r="L13261" s="1192" t="s">
        <v>432</v>
      </c>
      <c r="P13261" s="1192" t="s">
        <v>3942</v>
      </c>
      <c r="V13261" s="1192">
        <v>94</v>
      </c>
    </row>
    <row r="13262" spans="1:22" s="1192" customFormat="1" ht="14.4" x14ac:dyDescent="0.3">
      <c r="A13262" s="1192" t="s">
        <v>4692</v>
      </c>
      <c r="B13262" s="1192" t="s">
        <v>5453</v>
      </c>
      <c r="E13262" s="1750" t="s">
        <v>2405</v>
      </c>
      <c r="F13262" s="1741"/>
      <c r="G13262" s="1277"/>
      <c r="H13262" s="896"/>
      <c r="K13262" s="1192" t="s">
        <v>2526</v>
      </c>
      <c r="V13262" s="1192">
        <v>48</v>
      </c>
    </row>
    <row r="13263" spans="1:22" s="1192" customFormat="1" ht="14.4" x14ac:dyDescent="0.3">
      <c r="A13263" s="1192" t="s">
        <v>4692</v>
      </c>
      <c r="B13263" s="1192" t="s">
        <v>5453</v>
      </c>
      <c r="E13263" s="1741" t="s">
        <v>2033</v>
      </c>
      <c r="F13263" s="1741"/>
      <c r="G13263" s="1277" t="s">
        <v>20</v>
      </c>
      <c r="H13263" s="1219">
        <v>3.0000000000000001E-3</v>
      </c>
      <c r="K13263" s="1192" t="s">
        <v>3937</v>
      </c>
      <c r="L13263" s="1192" t="s">
        <v>2374</v>
      </c>
      <c r="P13263" s="1192" t="s">
        <v>3943</v>
      </c>
      <c r="V13263" s="1192">
        <v>55</v>
      </c>
    </row>
    <row r="13264" spans="1:22" s="1192" customFormat="1" ht="14.4" x14ac:dyDescent="0.3">
      <c r="A13264" s="1192" t="s">
        <v>4692</v>
      </c>
      <c r="B13264" s="1192" t="s">
        <v>5453</v>
      </c>
      <c r="E13264" s="1741" t="s">
        <v>2034</v>
      </c>
      <c r="F13264" s="1741"/>
      <c r="G13264" s="1277" t="s">
        <v>20</v>
      </c>
      <c r="H13264" s="1219">
        <v>4.0000000000000002E-4</v>
      </c>
      <c r="K13264" s="1192" t="s">
        <v>3937</v>
      </c>
      <c r="L13264" s="1192" t="s">
        <v>2374</v>
      </c>
      <c r="P13264" s="1192" t="s">
        <v>3943</v>
      </c>
      <c r="V13264" s="1192">
        <v>65</v>
      </c>
    </row>
    <row r="13265" spans="1:22" s="1192" customFormat="1" ht="14.4" x14ac:dyDescent="0.3">
      <c r="A13265" s="1192" t="s">
        <v>4692</v>
      </c>
      <c r="B13265" s="1192" t="s">
        <v>5453</v>
      </c>
      <c r="E13265" s="1741" t="s">
        <v>428</v>
      </c>
      <c r="F13265" s="1741"/>
      <c r="G13265" s="1277" t="s">
        <v>20</v>
      </c>
      <c r="H13265" s="1219">
        <v>5.0000000000000001E-4</v>
      </c>
      <c r="K13265" s="1192" t="s">
        <v>3937</v>
      </c>
      <c r="L13265" s="1192" t="s">
        <v>2374</v>
      </c>
      <c r="P13265" s="1192" t="s">
        <v>3944</v>
      </c>
      <c r="V13265" s="1192">
        <v>57</v>
      </c>
    </row>
    <row r="13266" spans="1:22" s="1192" customFormat="1" ht="14.4" x14ac:dyDescent="0.3">
      <c r="A13266" s="1192" t="s">
        <v>4692</v>
      </c>
      <c r="B13266" s="1192" t="s">
        <v>5453</v>
      </c>
      <c r="E13266" s="1741" t="s">
        <v>28</v>
      </c>
      <c r="F13266" s="1741"/>
      <c r="G13266" s="1277" t="s">
        <v>19</v>
      </c>
      <c r="H13266" s="1218">
        <v>0.25</v>
      </c>
      <c r="K13266" s="1192" t="s">
        <v>3937</v>
      </c>
      <c r="L13266" s="1192" t="s">
        <v>2374</v>
      </c>
      <c r="P13266" s="1192" t="s">
        <v>3945</v>
      </c>
      <c r="V13266" s="1192">
        <v>63</v>
      </c>
    </row>
    <row r="13267" spans="1:22" s="1192" customFormat="1" ht="17.399999999999999" x14ac:dyDescent="0.3">
      <c r="A13267" s="1192" t="s">
        <v>4692</v>
      </c>
      <c r="B13267" s="1192" t="s">
        <v>5453</v>
      </c>
      <c r="E13267" s="1746" t="s">
        <v>3892</v>
      </c>
      <c r="F13267" s="1747"/>
      <c r="G13267" s="1747"/>
      <c r="H13267" s="1747"/>
      <c r="K13267" s="1192" t="s">
        <v>4274</v>
      </c>
      <c r="V13267" s="1192">
        <v>58</v>
      </c>
    </row>
    <row r="13268" spans="1:22" s="1192" customFormat="1" ht="14.4" x14ac:dyDescent="0.3">
      <c r="A13268" s="1192" t="s">
        <v>4692</v>
      </c>
      <c r="B13268" s="1192" t="s">
        <v>5453</v>
      </c>
      <c r="E13268" s="1743" t="s">
        <v>3660</v>
      </c>
      <c r="F13268" s="1743"/>
      <c r="G13268" s="1743"/>
      <c r="H13268" s="1743"/>
      <c r="K13268" s="1192" t="s">
        <v>4274</v>
      </c>
      <c r="V13268" s="1192">
        <v>357</v>
      </c>
    </row>
    <row r="13269" spans="1:22" s="1192" customFormat="1" ht="14.4" x14ac:dyDescent="0.3">
      <c r="A13269" s="1192" t="s">
        <v>4692</v>
      </c>
      <c r="B13269" s="1192" t="s">
        <v>5453</v>
      </c>
      <c r="E13269" s="1750" t="s">
        <v>2389</v>
      </c>
      <c r="F13269" s="1743"/>
      <c r="G13269" s="1743"/>
      <c r="H13269" s="1743"/>
      <c r="K13269" s="1192" t="s">
        <v>2529</v>
      </c>
      <c r="V13269" s="1192">
        <v>11</v>
      </c>
    </row>
    <row r="13270" spans="1:22" s="1192" customFormat="1" ht="14.4" x14ac:dyDescent="0.3">
      <c r="A13270" s="1192" t="s">
        <v>4692</v>
      </c>
      <c r="B13270" s="1192" t="s">
        <v>5453</v>
      </c>
      <c r="E13270" s="1743" t="s">
        <v>2391</v>
      </c>
      <c r="F13270" s="1743"/>
      <c r="G13270" s="1743"/>
      <c r="H13270" s="1743"/>
      <c r="K13270" s="1192" t="s">
        <v>4274</v>
      </c>
      <c r="V13270" s="1192">
        <v>280</v>
      </c>
    </row>
    <row r="13271" spans="1:22" s="1192" customFormat="1" ht="14.4" x14ac:dyDescent="0.3">
      <c r="A13271" s="1192" t="s">
        <v>4692</v>
      </c>
      <c r="B13271" s="1192" t="s">
        <v>5453</v>
      </c>
      <c r="E13271" s="1743" t="s">
        <v>2392</v>
      </c>
      <c r="F13271" s="1743"/>
      <c r="G13271" s="1743"/>
      <c r="H13271" s="1743"/>
      <c r="K13271" s="1192" t="s">
        <v>4274</v>
      </c>
      <c r="V13271" s="1192">
        <v>411</v>
      </c>
    </row>
    <row r="13272" spans="1:22" s="1192" customFormat="1" ht="14.4" x14ac:dyDescent="0.3">
      <c r="A13272" s="1192" t="s">
        <v>4692</v>
      </c>
      <c r="B13272" s="1192" t="s">
        <v>5453</v>
      </c>
      <c r="E13272" s="1743" t="s">
        <v>2508</v>
      </c>
      <c r="F13272" s="1743"/>
      <c r="G13272" s="1743"/>
      <c r="H13272" s="1743"/>
      <c r="K13272" s="1192" t="s">
        <v>4274</v>
      </c>
      <c r="V13272" s="1192">
        <v>386</v>
      </c>
    </row>
    <row r="13273" spans="1:22" s="1192" customFormat="1" ht="14.4" x14ac:dyDescent="0.3">
      <c r="A13273" s="1192" t="s">
        <v>4692</v>
      </c>
      <c r="B13273" s="1192" t="s">
        <v>5453</v>
      </c>
      <c r="E13273" s="1743" t="s">
        <v>4503</v>
      </c>
      <c r="F13273" s="1743"/>
      <c r="G13273" s="1743"/>
      <c r="H13273" s="1743"/>
      <c r="K13273" s="1192" t="s">
        <v>4274</v>
      </c>
      <c r="V13273" s="1192">
        <v>677</v>
      </c>
    </row>
    <row r="13274" spans="1:22" s="1192" customFormat="1" ht="14.4" x14ac:dyDescent="0.3">
      <c r="A13274" s="1192" t="s">
        <v>4692</v>
      </c>
      <c r="B13274" s="1192" t="s">
        <v>5453</v>
      </c>
      <c r="E13274" s="1743" t="s">
        <v>4644</v>
      </c>
      <c r="F13274" s="1743"/>
      <c r="G13274" s="1743"/>
      <c r="H13274" s="1743"/>
      <c r="K13274" s="1192" t="s">
        <v>4274</v>
      </c>
      <c r="V13274" s="1192">
        <v>693</v>
      </c>
    </row>
    <row r="13275" spans="1:22" s="1192" customFormat="1" ht="14.4" x14ac:dyDescent="0.3">
      <c r="A13275" s="1192" t="s">
        <v>4692</v>
      </c>
      <c r="B13275" s="1192" t="s">
        <v>5453</v>
      </c>
      <c r="E13275" s="1743" t="s">
        <v>4500</v>
      </c>
      <c r="F13275" s="1743"/>
      <c r="G13275" s="1743"/>
      <c r="H13275" s="1743"/>
      <c r="K13275" s="1192" t="s">
        <v>4274</v>
      </c>
      <c r="V13275" s="1192">
        <v>247</v>
      </c>
    </row>
    <row r="13276" spans="1:22" s="1192" customFormat="1" ht="14.4" x14ac:dyDescent="0.3">
      <c r="A13276" s="1192" t="s">
        <v>4692</v>
      </c>
      <c r="B13276" s="1192" t="s">
        <v>5453</v>
      </c>
      <c r="E13276" s="1750" t="s">
        <v>2394</v>
      </c>
      <c r="F13276" s="1743"/>
      <c r="G13276" s="1743"/>
      <c r="H13276" s="1743"/>
      <c r="K13276" s="1192" t="s">
        <v>2531</v>
      </c>
      <c r="V13276" s="1192">
        <v>46</v>
      </c>
    </row>
    <row r="13277" spans="1:22" s="1192" customFormat="1" ht="14.4" x14ac:dyDescent="0.3">
      <c r="A13277" s="1192" t="s">
        <v>4692</v>
      </c>
      <c r="B13277" s="1192" t="s">
        <v>5453</v>
      </c>
      <c r="E13277" s="1741" t="s">
        <v>7</v>
      </c>
      <c r="F13277" s="1741"/>
      <c r="G13277" s="1277" t="s">
        <v>19</v>
      </c>
      <c r="H13277" s="1218">
        <v>3025.62</v>
      </c>
      <c r="K13277" s="1192" t="s">
        <v>4274</v>
      </c>
      <c r="L13277" s="1192" t="s">
        <v>430</v>
      </c>
      <c r="P13277" s="1192" t="s">
        <v>4275</v>
      </c>
      <c r="V13277" s="1192">
        <v>14</v>
      </c>
    </row>
    <row r="13278" spans="1:22" s="1192" customFormat="1" ht="14.4" x14ac:dyDescent="0.3">
      <c r="A13278" s="1192" t="s">
        <v>4692</v>
      </c>
      <c r="B13278" s="1192" t="s">
        <v>5453</v>
      </c>
      <c r="E13278" s="1741" t="s">
        <v>80</v>
      </c>
      <c r="F13278" s="1741"/>
      <c r="G13278" s="1277" t="s">
        <v>29</v>
      </c>
      <c r="H13278" s="1219">
        <v>2.8978999999999999</v>
      </c>
      <c r="K13278" s="1192" t="s">
        <v>4274</v>
      </c>
      <c r="L13278" s="1192" t="s">
        <v>430</v>
      </c>
      <c r="P13278" s="1192" t="s">
        <v>4276</v>
      </c>
      <c r="V13278" s="1192">
        <v>28</v>
      </c>
    </row>
    <row r="13279" spans="1:22" s="1192" customFormat="1" ht="14.4" x14ac:dyDescent="0.3">
      <c r="A13279" s="1192" t="s">
        <v>4692</v>
      </c>
      <c r="B13279" s="1192" t="s">
        <v>5453</v>
      </c>
      <c r="E13279" s="1741" t="s">
        <v>6506</v>
      </c>
      <c r="F13279" s="1998"/>
      <c r="G13279" s="1277" t="s">
        <v>20</v>
      </c>
      <c r="H13279" s="1219">
        <v>-1.1999999999999999E-3</v>
      </c>
      <c r="K13279" s="1192" t="s">
        <v>4274</v>
      </c>
      <c r="L13279" s="1192" t="s">
        <v>431</v>
      </c>
      <c r="P13279" s="1192" t="s">
        <v>4277</v>
      </c>
      <c r="T13279" s="1192">
        <v>44316</v>
      </c>
      <c r="V13279" s="1192">
        <v>139</v>
      </c>
    </row>
    <row r="13280" spans="1:22" s="1192" customFormat="1" ht="14.4" x14ac:dyDescent="0.3">
      <c r="A13280" s="1192" t="s">
        <v>4692</v>
      </c>
      <c r="B13280" s="1192" t="s">
        <v>5453</v>
      </c>
      <c r="E13280" s="1741" t="s">
        <v>6508</v>
      </c>
      <c r="F13280" s="1998"/>
      <c r="G13280" s="1277" t="s">
        <v>29</v>
      </c>
      <c r="H13280" s="1219">
        <v>0.2036</v>
      </c>
      <c r="K13280" s="1192" t="s">
        <v>4274</v>
      </c>
      <c r="L13280" s="1192" t="s">
        <v>431</v>
      </c>
      <c r="P13280" s="1192" t="s">
        <v>4278</v>
      </c>
      <c r="T13280" s="1192">
        <v>44316</v>
      </c>
      <c r="V13280" s="1192">
        <v>96</v>
      </c>
    </row>
    <row r="13281" spans="1:22" s="1192" customFormat="1" ht="14.4" x14ac:dyDescent="0.3">
      <c r="A13281" s="1192" t="s">
        <v>4692</v>
      </c>
      <c r="B13281" s="1192" t="s">
        <v>5453</v>
      </c>
      <c r="E13281" s="1741" t="s">
        <v>213</v>
      </c>
      <c r="F13281" s="1741"/>
      <c r="G13281" s="1277" t="s">
        <v>29</v>
      </c>
      <c r="H13281" s="1219">
        <v>2.5442999999999998</v>
      </c>
      <c r="K13281" s="1192" t="s">
        <v>4274</v>
      </c>
      <c r="L13281" s="1192" t="s">
        <v>432</v>
      </c>
      <c r="P13281" s="1192" t="s">
        <v>4279</v>
      </c>
      <c r="V13281" s="1192">
        <v>47</v>
      </c>
    </row>
    <row r="13282" spans="1:22" s="1192" customFormat="1" ht="14.4" x14ac:dyDescent="0.3">
      <c r="A13282" s="1192" t="s">
        <v>4692</v>
      </c>
      <c r="B13282" s="1192" t="s">
        <v>5453</v>
      </c>
      <c r="E13282" s="1741" t="s">
        <v>2847</v>
      </c>
      <c r="F13282" s="1741"/>
      <c r="G13282" s="1277" t="s">
        <v>29</v>
      </c>
      <c r="H13282" s="1219">
        <v>1.9888999999999999</v>
      </c>
      <c r="K13282" s="1192" t="s">
        <v>4274</v>
      </c>
      <c r="L13282" s="1192" t="s">
        <v>432</v>
      </c>
      <c r="P13282" s="1192" t="s">
        <v>6682</v>
      </c>
      <c r="V13282" s="1192">
        <v>75</v>
      </c>
    </row>
    <row r="13283" spans="1:22" s="1192" customFormat="1" ht="14.4" x14ac:dyDescent="0.3">
      <c r="A13283" s="1192" t="s">
        <v>4692</v>
      </c>
      <c r="B13283" s="1192" t="s">
        <v>5453</v>
      </c>
      <c r="E13283" s="1750" t="s">
        <v>2405</v>
      </c>
      <c r="F13283" s="1741"/>
      <c r="G13283" s="1277"/>
      <c r="H13283" s="896"/>
      <c r="K13283" s="1192" t="s">
        <v>2532</v>
      </c>
      <c r="V13283" s="1192">
        <v>48</v>
      </c>
    </row>
    <row r="13284" spans="1:22" s="1192" customFormat="1" ht="14.4" x14ac:dyDescent="0.3">
      <c r="A13284" s="1192" t="s">
        <v>4692</v>
      </c>
      <c r="B13284" s="1192" t="s">
        <v>5453</v>
      </c>
      <c r="E13284" s="1741" t="s">
        <v>2033</v>
      </c>
      <c r="F13284" s="1741"/>
      <c r="G13284" s="1277" t="s">
        <v>20</v>
      </c>
      <c r="H13284" s="1219">
        <v>3.0000000000000001E-3</v>
      </c>
      <c r="K13284" s="1192" t="s">
        <v>4274</v>
      </c>
      <c r="L13284" s="1192" t="s">
        <v>2374</v>
      </c>
      <c r="P13284" s="1192" t="s">
        <v>4280</v>
      </c>
      <c r="V13284" s="1192">
        <v>55</v>
      </c>
    </row>
    <row r="13285" spans="1:22" s="1192" customFormat="1" ht="14.4" x14ac:dyDescent="0.3">
      <c r="A13285" s="1192" t="s">
        <v>4692</v>
      </c>
      <c r="B13285" s="1192" t="s">
        <v>5453</v>
      </c>
      <c r="E13285" s="1741" t="s">
        <v>2034</v>
      </c>
      <c r="F13285" s="1741"/>
      <c r="G13285" s="1277" t="s">
        <v>20</v>
      </c>
      <c r="H13285" s="1219">
        <v>4.0000000000000002E-4</v>
      </c>
      <c r="K13285" s="1192" t="s">
        <v>4274</v>
      </c>
      <c r="L13285" s="1192" t="s">
        <v>2374</v>
      </c>
      <c r="P13285" s="1192" t="s">
        <v>4280</v>
      </c>
      <c r="V13285" s="1192">
        <v>65</v>
      </c>
    </row>
    <row r="13286" spans="1:22" s="1192" customFormat="1" ht="14.4" x14ac:dyDescent="0.3">
      <c r="A13286" s="1192" t="s">
        <v>4692</v>
      </c>
      <c r="B13286" s="1192" t="s">
        <v>5453</v>
      </c>
      <c r="E13286" s="1741" t="s">
        <v>428</v>
      </c>
      <c r="F13286" s="1741"/>
      <c r="G13286" s="1277" t="s">
        <v>20</v>
      </c>
      <c r="H13286" s="1219">
        <v>5.0000000000000001E-4</v>
      </c>
      <c r="K13286" s="1192" t="s">
        <v>4274</v>
      </c>
      <c r="L13286" s="1192" t="s">
        <v>2374</v>
      </c>
      <c r="P13286" s="1192" t="s">
        <v>4281</v>
      </c>
      <c r="V13286" s="1192">
        <v>57</v>
      </c>
    </row>
    <row r="13287" spans="1:22" s="1192" customFormat="1" ht="14.4" x14ac:dyDescent="0.3">
      <c r="A13287" s="1192" t="s">
        <v>4692</v>
      </c>
      <c r="B13287" s="1192" t="s">
        <v>5453</v>
      </c>
      <c r="E13287" s="1741" t="s">
        <v>28</v>
      </c>
      <c r="F13287" s="1741"/>
      <c r="G13287" s="1277" t="s">
        <v>19</v>
      </c>
      <c r="H13287" s="1218">
        <v>0.25</v>
      </c>
      <c r="K13287" s="1192" t="s">
        <v>4274</v>
      </c>
      <c r="L13287" s="1192" t="s">
        <v>2374</v>
      </c>
      <c r="P13287" s="1192" t="s">
        <v>4282</v>
      </c>
      <c r="V13287" s="1192">
        <v>63</v>
      </c>
    </row>
    <row r="13288" spans="1:22" s="1192" customFormat="1" ht="17.399999999999999" x14ac:dyDescent="0.3">
      <c r="A13288" s="1192" t="s">
        <v>4692</v>
      </c>
      <c r="B13288" s="1192" t="s">
        <v>5453</v>
      </c>
      <c r="E13288" s="1746" t="s">
        <v>592</v>
      </c>
      <c r="F13288" s="1747"/>
      <c r="G13288" s="1747"/>
      <c r="H13288" s="1747"/>
      <c r="K13288" s="1192" t="s">
        <v>2726</v>
      </c>
      <c r="V13288" s="1192">
        <v>47</v>
      </c>
    </row>
    <row r="13289" spans="1:22" s="1192" customFormat="1" ht="14.4" x14ac:dyDescent="0.3">
      <c r="A13289" s="1192" t="s">
        <v>4692</v>
      </c>
      <c r="B13289" s="1192" t="s">
        <v>5453</v>
      </c>
      <c r="E13289" s="1743" t="s">
        <v>3661</v>
      </c>
      <c r="F13289" s="1743"/>
      <c r="G13289" s="1743"/>
      <c r="H13289" s="1743"/>
      <c r="K13289" s="1192" t="s">
        <v>2726</v>
      </c>
      <c r="V13289" s="1192">
        <v>582</v>
      </c>
    </row>
    <row r="13290" spans="1:22" s="1192" customFormat="1" ht="14.4" x14ac:dyDescent="0.3">
      <c r="A13290" s="1192" t="s">
        <v>4692</v>
      </c>
      <c r="B13290" s="1192" t="s">
        <v>5453</v>
      </c>
      <c r="E13290" s="1750" t="s">
        <v>2389</v>
      </c>
      <c r="F13290" s="1743"/>
      <c r="G13290" s="1743"/>
      <c r="H13290" s="1743"/>
      <c r="K13290" s="1192" t="s">
        <v>2424</v>
      </c>
      <c r="V13290" s="1192">
        <v>11</v>
      </c>
    </row>
    <row r="13291" spans="1:22" s="1192" customFormat="1" ht="14.4" x14ac:dyDescent="0.3">
      <c r="A13291" s="1192" t="s">
        <v>4692</v>
      </c>
      <c r="B13291" s="1192" t="s">
        <v>5453</v>
      </c>
      <c r="E13291" s="1743" t="s">
        <v>2391</v>
      </c>
      <c r="F13291" s="1743"/>
      <c r="G13291" s="1743"/>
      <c r="H13291" s="1743"/>
      <c r="K13291" s="1192" t="s">
        <v>2726</v>
      </c>
      <c r="V13291" s="1192">
        <v>280</v>
      </c>
    </row>
    <row r="13292" spans="1:22" s="1192" customFormat="1" ht="14.4" x14ac:dyDescent="0.3">
      <c r="A13292" s="1192" t="s">
        <v>4692</v>
      </c>
      <c r="B13292" s="1192" t="s">
        <v>5453</v>
      </c>
      <c r="E13292" s="1743" t="s">
        <v>2392</v>
      </c>
      <c r="F13292" s="1743"/>
      <c r="G13292" s="1743"/>
      <c r="H13292" s="1743"/>
      <c r="K13292" s="1192" t="s">
        <v>2726</v>
      </c>
      <c r="V13292" s="1192">
        <v>411</v>
      </c>
    </row>
    <row r="13293" spans="1:22" s="1192" customFormat="1" ht="14.4" x14ac:dyDescent="0.3">
      <c r="A13293" s="1192" t="s">
        <v>4692</v>
      </c>
      <c r="B13293" s="1192" t="s">
        <v>5453</v>
      </c>
      <c r="E13293" s="1743" t="s">
        <v>2508</v>
      </c>
      <c r="F13293" s="1743"/>
      <c r="G13293" s="1743"/>
      <c r="H13293" s="1743"/>
      <c r="K13293" s="1192" t="s">
        <v>2726</v>
      </c>
      <c r="V13293" s="1192">
        <v>386</v>
      </c>
    </row>
    <row r="13294" spans="1:22" s="1192" customFormat="1" ht="14.4" x14ac:dyDescent="0.3">
      <c r="A13294" s="1192" t="s">
        <v>4692</v>
      </c>
      <c r="B13294" s="1192" t="s">
        <v>5453</v>
      </c>
      <c r="E13294" s="1743" t="s">
        <v>4500</v>
      </c>
      <c r="F13294" s="1743"/>
      <c r="G13294" s="1743"/>
      <c r="H13294" s="1743"/>
      <c r="K13294" s="1192" t="s">
        <v>2726</v>
      </c>
      <c r="V13294" s="1192">
        <v>247</v>
      </c>
    </row>
    <row r="13295" spans="1:22" s="1192" customFormat="1" ht="14.4" x14ac:dyDescent="0.3">
      <c r="A13295" s="1192" t="s">
        <v>4692</v>
      </c>
      <c r="B13295" s="1192" t="s">
        <v>5453</v>
      </c>
      <c r="E13295" s="1750" t="s">
        <v>2394</v>
      </c>
      <c r="F13295" s="1743"/>
      <c r="G13295" s="1743"/>
      <c r="H13295" s="1743"/>
      <c r="K13295" s="1192" t="s">
        <v>2425</v>
      </c>
      <c r="V13295" s="1192">
        <v>46</v>
      </c>
    </row>
    <row r="13296" spans="1:22" s="1192" customFormat="1" ht="14.4" x14ac:dyDescent="0.3">
      <c r="A13296" s="1192" t="s">
        <v>4692</v>
      </c>
      <c r="B13296" s="1192" t="s">
        <v>5453</v>
      </c>
      <c r="E13296" s="1741" t="s">
        <v>8</v>
      </c>
      <c r="F13296" s="1741"/>
      <c r="G13296" s="1277" t="s">
        <v>19</v>
      </c>
      <c r="H13296" s="1218">
        <v>8.3699999999999992</v>
      </c>
      <c r="K13296" s="1192" t="s">
        <v>2726</v>
      </c>
      <c r="L13296" s="1192" t="s">
        <v>430</v>
      </c>
      <c r="P13296" s="1192" t="s">
        <v>2727</v>
      </c>
      <c r="V13296" s="1192">
        <v>31</v>
      </c>
    </row>
    <row r="13297" spans="1:22" s="1192" customFormat="1" ht="14.4" x14ac:dyDescent="0.3">
      <c r="A13297" s="1192" t="s">
        <v>4692</v>
      </c>
      <c r="B13297" s="1192" t="s">
        <v>5453</v>
      </c>
      <c r="E13297" s="1741" t="s">
        <v>80</v>
      </c>
      <c r="F13297" s="1741"/>
      <c r="G13297" s="1277" t="s">
        <v>20</v>
      </c>
      <c r="H13297" s="1219">
        <v>1.2200000000000001E-2</v>
      </c>
      <c r="K13297" s="1192" t="s">
        <v>2726</v>
      </c>
      <c r="L13297" s="1192" t="s">
        <v>430</v>
      </c>
      <c r="P13297" s="1192" t="s">
        <v>2728</v>
      </c>
      <c r="V13297" s="1192">
        <v>28</v>
      </c>
    </row>
    <row r="13298" spans="1:22" s="1192" customFormat="1" ht="14.4" x14ac:dyDescent="0.3">
      <c r="A13298" s="1192" t="s">
        <v>4692</v>
      </c>
      <c r="B13298" s="1192" t="s">
        <v>5453</v>
      </c>
      <c r="E13298" s="1741" t="s">
        <v>6506</v>
      </c>
      <c r="F13298" s="1998"/>
      <c r="G13298" s="1277" t="s">
        <v>20</v>
      </c>
      <c r="H13298" s="1219">
        <v>-1.1999999999999999E-3</v>
      </c>
      <c r="K13298" s="1192" t="s">
        <v>2726</v>
      </c>
      <c r="L13298" s="1192" t="s">
        <v>431</v>
      </c>
      <c r="P13298" s="1192" t="s">
        <v>2788</v>
      </c>
      <c r="T13298" s="1192">
        <v>44316</v>
      </c>
      <c r="V13298" s="1192">
        <v>139</v>
      </c>
    </row>
    <row r="13299" spans="1:22" s="1192" customFormat="1" ht="14.4" x14ac:dyDescent="0.3">
      <c r="A13299" s="1192" t="s">
        <v>4692</v>
      </c>
      <c r="B13299" s="1192" t="s">
        <v>5453</v>
      </c>
      <c r="E13299" s="1741" t="s">
        <v>6508</v>
      </c>
      <c r="F13299" s="1998"/>
      <c r="G13299" s="1277" t="s">
        <v>20</v>
      </c>
      <c r="H13299" s="1219">
        <v>5.9999999999999995E-4</v>
      </c>
      <c r="K13299" s="1192" t="s">
        <v>2726</v>
      </c>
      <c r="L13299" s="1192" t="s">
        <v>431</v>
      </c>
      <c r="P13299" s="1192" t="s">
        <v>2789</v>
      </c>
      <c r="T13299" s="1192">
        <v>44316</v>
      </c>
      <c r="V13299" s="1192">
        <v>96</v>
      </c>
    </row>
    <row r="13300" spans="1:22" s="1192" customFormat="1" ht="14.4" x14ac:dyDescent="0.3">
      <c r="A13300" s="1192" t="s">
        <v>4692</v>
      </c>
      <c r="B13300" s="1192" t="s">
        <v>5453</v>
      </c>
      <c r="E13300" s="1741" t="s">
        <v>213</v>
      </c>
      <c r="F13300" s="1741"/>
      <c r="G13300" s="1277" t="s">
        <v>20</v>
      </c>
      <c r="H13300" s="1219">
        <v>6.1000000000000004E-3</v>
      </c>
      <c r="K13300" s="1192" t="s">
        <v>2726</v>
      </c>
      <c r="L13300" s="1192" t="s">
        <v>432</v>
      </c>
      <c r="P13300" s="1192" t="s">
        <v>2731</v>
      </c>
      <c r="V13300" s="1192">
        <v>47</v>
      </c>
    </row>
    <row r="13301" spans="1:22" s="1192" customFormat="1" ht="14.4" x14ac:dyDescent="0.3">
      <c r="A13301" s="1192" t="s">
        <v>4692</v>
      </c>
      <c r="B13301" s="1192" t="s">
        <v>5453</v>
      </c>
      <c r="E13301" s="1741" t="s">
        <v>2847</v>
      </c>
      <c r="F13301" s="1741"/>
      <c r="G13301" s="1277" t="s">
        <v>20</v>
      </c>
      <c r="H13301" s="1219">
        <v>4.7000000000000002E-3</v>
      </c>
      <c r="K13301" s="1192" t="s">
        <v>2726</v>
      </c>
      <c r="L13301" s="1192" t="s">
        <v>432</v>
      </c>
      <c r="P13301" s="1192" t="s">
        <v>2732</v>
      </c>
      <c r="V13301" s="1192">
        <v>75</v>
      </c>
    </row>
    <row r="13302" spans="1:22" s="1192" customFormat="1" ht="14.4" x14ac:dyDescent="0.3">
      <c r="A13302" s="1192" t="s">
        <v>4692</v>
      </c>
      <c r="B13302" s="1192" t="s">
        <v>5453</v>
      </c>
      <c r="E13302" s="1750" t="s">
        <v>2405</v>
      </c>
      <c r="F13302" s="1741"/>
      <c r="G13302" s="1277"/>
      <c r="H13302" s="896"/>
      <c r="K13302" s="1192" t="s">
        <v>2427</v>
      </c>
      <c r="V13302" s="1192">
        <v>48</v>
      </c>
    </row>
    <row r="13303" spans="1:22" s="1192" customFormat="1" ht="14.4" x14ac:dyDescent="0.3">
      <c r="A13303" s="1192" t="s">
        <v>4692</v>
      </c>
      <c r="B13303" s="1192" t="s">
        <v>5453</v>
      </c>
      <c r="E13303" s="1741" t="s">
        <v>2033</v>
      </c>
      <c r="F13303" s="1741"/>
      <c r="G13303" s="1277" t="s">
        <v>20</v>
      </c>
      <c r="H13303" s="1219">
        <v>3.0000000000000001E-3</v>
      </c>
      <c r="K13303" s="1192" t="s">
        <v>2726</v>
      </c>
      <c r="L13303" s="1192" t="s">
        <v>2374</v>
      </c>
      <c r="P13303" s="1192" t="s">
        <v>2733</v>
      </c>
      <c r="V13303" s="1192">
        <v>55</v>
      </c>
    </row>
    <row r="13304" spans="1:22" s="1192" customFormat="1" ht="14.4" x14ac:dyDescent="0.3">
      <c r="A13304" s="1192" t="s">
        <v>4692</v>
      </c>
      <c r="B13304" s="1192" t="s">
        <v>5453</v>
      </c>
      <c r="E13304" s="1741" t="s">
        <v>2034</v>
      </c>
      <c r="F13304" s="1741"/>
      <c r="G13304" s="1277" t="s">
        <v>20</v>
      </c>
      <c r="H13304" s="1219">
        <v>4.0000000000000002E-4</v>
      </c>
      <c r="K13304" s="1192" t="s">
        <v>2726</v>
      </c>
      <c r="L13304" s="1192" t="s">
        <v>2374</v>
      </c>
      <c r="P13304" s="1192" t="s">
        <v>2733</v>
      </c>
      <c r="V13304" s="1192">
        <v>65</v>
      </c>
    </row>
    <row r="13305" spans="1:22" s="1192" customFormat="1" ht="14.4" x14ac:dyDescent="0.3">
      <c r="A13305" s="1192" t="s">
        <v>4692</v>
      </c>
      <c r="B13305" s="1192" t="s">
        <v>5453</v>
      </c>
      <c r="E13305" s="1741" t="s">
        <v>428</v>
      </c>
      <c r="F13305" s="1741"/>
      <c r="G13305" s="1277" t="s">
        <v>20</v>
      </c>
      <c r="H13305" s="1219">
        <v>5.0000000000000001E-4</v>
      </c>
      <c r="K13305" s="1192" t="s">
        <v>2726</v>
      </c>
      <c r="L13305" s="1192" t="s">
        <v>2374</v>
      </c>
      <c r="P13305" s="1192" t="s">
        <v>2734</v>
      </c>
      <c r="V13305" s="1192">
        <v>57</v>
      </c>
    </row>
    <row r="13306" spans="1:22" s="1192" customFormat="1" ht="14.4" x14ac:dyDescent="0.3">
      <c r="A13306" s="1192" t="s">
        <v>4692</v>
      </c>
      <c r="B13306" s="1192" t="s">
        <v>5453</v>
      </c>
      <c r="E13306" s="1741" t="s">
        <v>28</v>
      </c>
      <c r="F13306" s="1741"/>
      <c r="G13306" s="1277" t="s">
        <v>19</v>
      </c>
      <c r="H13306" s="1218">
        <v>0.25</v>
      </c>
      <c r="K13306" s="1192" t="s">
        <v>2726</v>
      </c>
      <c r="L13306" s="1192" t="s">
        <v>2374</v>
      </c>
      <c r="P13306" s="1192" t="s">
        <v>2735</v>
      </c>
      <c r="V13306" s="1192">
        <v>63</v>
      </c>
    </row>
    <row r="13307" spans="1:22" s="1192" customFormat="1" ht="17.399999999999999" x14ac:dyDescent="0.3">
      <c r="A13307" s="1192" t="s">
        <v>4692</v>
      </c>
      <c r="B13307" s="1192" t="s">
        <v>5453</v>
      </c>
      <c r="E13307" s="1746" t="s">
        <v>604</v>
      </c>
      <c r="F13307" s="1747"/>
      <c r="G13307" s="1747"/>
      <c r="H13307" s="1747"/>
      <c r="K13307" s="1192" t="s">
        <v>2736</v>
      </c>
      <c r="V13307" s="1192">
        <v>40</v>
      </c>
    </row>
    <row r="13308" spans="1:22" s="1192" customFormat="1" ht="14.4" x14ac:dyDescent="0.3">
      <c r="A13308" s="1192" t="s">
        <v>4692</v>
      </c>
      <c r="B13308" s="1192" t="s">
        <v>5453</v>
      </c>
      <c r="E13308" s="1743" t="s">
        <v>2654</v>
      </c>
      <c r="F13308" s="1743"/>
      <c r="G13308" s="1743"/>
      <c r="H13308" s="1743"/>
      <c r="K13308" s="1192" t="s">
        <v>2736</v>
      </c>
      <c r="V13308" s="1192">
        <v>188</v>
      </c>
    </row>
    <row r="13309" spans="1:22" s="1192" customFormat="1" ht="14.4" x14ac:dyDescent="0.3">
      <c r="A13309" s="1192" t="s">
        <v>4692</v>
      </c>
      <c r="B13309" s="1192" t="s">
        <v>5453</v>
      </c>
      <c r="E13309" s="1750" t="s">
        <v>2389</v>
      </c>
      <c r="F13309" s="1743"/>
      <c r="G13309" s="1743"/>
      <c r="H13309" s="1743"/>
      <c r="K13309" s="1192" t="s">
        <v>2430</v>
      </c>
      <c r="V13309" s="1192">
        <v>11</v>
      </c>
    </row>
    <row r="13310" spans="1:22" s="1192" customFormat="1" ht="14.4" x14ac:dyDescent="0.3">
      <c r="A13310" s="1192" t="s">
        <v>4692</v>
      </c>
      <c r="B13310" s="1192" t="s">
        <v>5453</v>
      </c>
      <c r="E13310" s="1743" t="s">
        <v>2391</v>
      </c>
      <c r="F13310" s="1743"/>
      <c r="G13310" s="1743"/>
      <c r="H13310" s="1743"/>
      <c r="K13310" s="1192" t="s">
        <v>2736</v>
      </c>
      <c r="V13310" s="1192">
        <v>280</v>
      </c>
    </row>
    <row r="13311" spans="1:22" s="1192" customFormat="1" ht="14.4" x14ac:dyDescent="0.3">
      <c r="A13311" s="1192" t="s">
        <v>4692</v>
      </c>
      <c r="B13311" s="1192" t="s">
        <v>5453</v>
      </c>
      <c r="E13311" s="1743" t="s">
        <v>2392</v>
      </c>
      <c r="F13311" s="1743"/>
      <c r="G13311" s="1743"/>
      <c r="H13311" s="1743"/>
      <c r="K13311" s="1192" t="s">
        <v>2736</v>
      </c>
      <c r="V13311" s="1192">
        <v>411</v>
      </c>
    </row>
    <row r="13312" spans="1:22" s="1192" customFormat="1" ht="14.4" x14ac:dyDescent="0.3">
      <c r="A13312" s="1192" t="s">
        <v>4692</v>
      </c>
      <c r="B13312" s="1192" t="s">
        <v>5453</v>
      </c>
      <c r="E13312" s="1743" t="s">
        <v>2508</v>
      </c>
      <c r="F13312" s="1743"/>
      <c r="G13312" s="1743"/>
      <c r="H13312" s="1743"/>
      <c r="K13312" s="1192" t="s">
        <v>2736</v>
      </c>
      <c r="V13312" s="1192">
        <v>386</v>
      </c>
    </row>
    <row r="13313" spans="1:22" s="1192" customFormat="1" ht="14.4" x14ac:dyDescent="0.3">
      <c r="A13313" s="1192" t="s">
        <v>4692</v>
      </c>
      <c r="B13313" s="1192" t="s">
        <v>5453</v>
      </c>
      <c r="E13313" s="1743" t="s">
        <v>4500</v>
      </c>
      <c r="F13313" s="1743"/>
      <c r="G13313" s="1743"/>
      <c r="H13313" s="1743"/>
      <c r="K13313" s="1192" t="s">
        <v>2736</v>
      </c>
      <c r="V13313" s="1192">
        <v>247</v>
      </c>
    </row>
    <row r="13314" spans="1:22" s="1192" customFormat="1" ht="14.4" x14ac:dyDescent="0.3">
      <c r="A13314" s="1192" t="s">
        <v>4692</v>
      </c>
      <c r="B13314" s="1192" t="s">
        <v>5453</v>
      </c>
      <c r="E13314" s="1750" t="s">
        <v>2394</v>
      </c>
      <c r="F13314" s="1743"/>
      <c r="G13314" s="1743"/>
      <c r="H13314" s="1743"/>
      <c r="K13314" s="1192" t="s">
        <v>2431</v>
      </c>
      <c r="V13314" s="1192">
        <v>46</v>
      </c>
    </row>
    <row r="13315" spans="1:22" s="1192" customFormat="1" ht="14.4" x14ac:dyDescent="0.3">
      <c r="A13315" s="1192" t="s">
        <v>4692</v>
      </c>
      <c r="B13315" s="1192" t="s">
        <v>5453</v>
      </c>
      <c r="E13315" s="1741" t="s">
        <v>8</v>
      </c>
      <c r="F13315" s="1741"/>
      <c r="G13315" s="1277" t="s">
        <v>19</v>
      </c>
      <c r="H13315" s="1218">
        <v>8.26</v>
      </c>
      <c r="K13315" s="1192" t="s">
        <v>2736</v>
      </c>
      <c r="L13315" s="1192" t="s">
        <v>430</v>
      </c>
      <c r="P13315" s="1192" t="s">
        <v>2737</v>
      </c>
      <c r="V13315" s="1192">
        <v>31</v>
      </c>
    </row>
    <row r="13316" spans="1:22" s="1192" customFormat="1" ht="14.4" x14ac:dyDescent="0.3">
      <c r="A13316" s="1192" t="s">
        <v>4692</v>
      </c>
      <c r="B13316" s="1192" t="s">
        <v>5453</v>
      </c>
      <c r="E13316" s="1741" t="s">
        <v>80</v>
      </c>
      <c r="F13316" s="1741"/>
      <c r="G13316" s="1277" t="s">
        <v>29</v>
      </c>
      <c r="H13316" s="1219">
        <v>6.6276999999999999</v>
      </c>
      <c r="K13316" s="1192" t="s">
        <v>2736</v>
      </c>
      <c r="L13316" s="1192" t="s">
        <v>430</v>
      </c>
      <c r="P13316" s="1192" t="s">
        <v>2738</v>
      </c>
      <c r="V13316" s="1192">
        <v>28</v>
      </c>
    </row>
    <row r="13317" spans="1:22" s="1192" customFormat="1" ht="14.4" x14ac:dyDescent="0.3">
      <c r="A13317" s="1192" t="s">
        <v>4692</v>
      </c>
      <c r="B13317" s="1192" t="s">
        <v>5453</v>
      </c>
      <c r="E13317" s="1741" t="s">
        <v>6506</v>
      </c>
      <c r="F13317" s="1998"/>
      <c r="G13317" s="1277" t="s">
        <v>20</v>
      </c>
      <c r="H13317" s="1219">
        <v>-1.1999999999999999E-3</v>
      </c>
      <c r="K13317" s="1192" t="s">
        <v>2736</v>
      </c>
      <c r="L13317" s="1192" t="s">
        <v>431</v>
      </c>
      <c r="P13317" s="1192" t="s">
        <v>3268</v>
      </c>
      <c r="T13317" s="1192">
        <v>44316</v>
      </c>
      <c r="V13317" s="1192">
        <v>139</v>
      </c>
    </row>
    <row r="13318" spans="1:22" s="1192" customFormat="1" ht="14.4" x14ac:dyDescent="0.3">
      <c r="A13318" s="1192" t="s">
        <v>4692</v>
      </c>
      <c r="B13318" s="1192" t="s">
        <v>5453</v>
      </c>
      <c r="E13318" s="1741" t="s">
        <v>6508</v>
      </c>
      <c r="F13318" s="1998"/>
      <c r="G13318" s="1277" t="s">
        <v>29</v>
      </c>
      <c r="H13318" s="1219">
        <v>0.2145</v>
      </c>
      <c r="K13318" s="1192" t="s">
        <v>2736</v>
      </c>
      <c r="L13318" s="1192" t="s">
        <v>431</v>
      </c>
      <c r="P13318" s="1192" t="s">
        <v>3034</v>
      </c>
      <c r="T13318" s="1192">
        <v>44316</v>
      </c>
      <c r="V13318" s="1192">
        <v>96</v>
      </c>
    </row>
    <row r="13319" spans="1:22" s="1192" customFormat="1" ht="14.4" x14ac:dyDescent="0.3">
      <c r="A13319" s="1192" t="s">
        <v>4692</v>
      </c>
      <c r="B13319" s="1192" t="s">
        <v>5453</v>
      </c>
      <c r="E13319" s="1741" t="s">
        <v>213</v>
      </c>
      <c r="F13319" s="1741"/>
      <c r="G13319" s="1277" t="s">
        <v>29</v>
      </c>
      <c r="H13319" s="1219">
        <v>1.8182</v>
      </c>
      <c r="K13319" s="1192" t="s">
        <v>2736</v>
      </c>
      <c r="L13319" s="1192" t="s">
        <v>432</v>
      </c>
      <c r="P13319" s="1192" t="s">
        <v>2741</v>
      </c>
      <c r="V13319" s="1192">
        <v>47</v>
      </c>
    </row>
    <row r="13320" spans="1:22" s="1192" customFormat="1" ht="14.4" x14ac:dyDescent="0.3">
      <c r="A13320" s="1192" t="s">
        <v>4692</v>
      </c>
      <c r="B13320" s="1192" t="s">
        <v>5453</v>
      </c>
      <c r="E13320" s="1741" t="s">
        <v>2847</v>
      </c>
      <c r="F13320" s="1741"/>
      <c r="G13320" s="1277" t="s">
        <v>29</v>
      </c>
      <c r="H13320" s="1219">
        <v>1.4202999999999999</v>
      </c>
      <c r="K13320" s="1192" t="s">
        <v>2736</v>
      </c>
      <c r="L13320" s="1192" t="s">
        <v>432</v>
      </c>
      <c r="P13320" s="1192" t="s">
        <v>2742</v>
      </c>
      <c r="V13320" s="1192">
        <v>75</v>
      </c>
    </row>
    <row r="13321" spans="1:22" s="1192" customFormat="1" ht="14.4" x14ac:dyDescent="0.3">
      <c r="A13321" s="1192" t="s">
        <v>4692</v>
      </c>
      <c r="B13321" s="1192" t="s">
        <v>5453</v>
      </c>
      <c r="E13321" s="1750" t="s">
        <v>2405</v>
      </c>
      <c r="F13321" s="1741"/>
      <c r="G13321" s="1277"/>
      <c r="H13321" s="896"/>
      <c r="K13321" s="1192" t="s">
        <v>2438</v>
      </c>
      <c r="V13321" s="1192">
        <v>48</v>
      </c>
    </row>
    <row r="13322" spans="1:22" s="1192" customFormat="1" ht="14.4" x14ac:dyDescent="0.3">
      <c r="A13322" s="1192" t="s">
        <v>4692</v>
      </c>
      <c r="B13322" s="1192" t="s">
        <v>5453</v>
      </c>
      <c r="E13322" s="1741" t="s">
        <v>2033</v>
      </c>
      <c r="F13322" s="1741"/>
      <c r="G13322" s="1277" t="s">
        <v>20</v>
      </c>
      <c r="H13322" s="1219">
        <v>3.0000000000000001E-3</v>
      </c>
      <c r="K13322" s="1192" t="s">
        <v>2736</v>
      </c>
      <c r="L13322" s="1192" t="s">
        <v>2374</v>
      </c>
      <c r="P13322" s="1192" t="s">
        <v>2743</v>
      </c>
      <c r="V13322" s="1192">
        <v>55</v>
      </c>
    </row>
    <row r="13323" spans="1:22" s="1192" customFormat="1" ht="14.4" x14ac:dyDescent="0.3">
      <c r="A13323" s="1192" t="s">
        <v>4692</v>
      </c>
      <c r="B13323" s="1192" t="s">
        <v>5453</v>
      </c>
      <c r="E13323" s="1741" t="s">
        <v>2034</v>
      </c>
      <c r="F13323" s="1741"/>
      <c r="G13323" s="1277" t="s">
        <v>20</v>
      </c>
      <c r="H13323" s="1219">
        <v>4.0000000000000002E-4</v>
      </c>
      <c r="K13323" s="1192" t="s">
        <v>2736</v>
      </c>
      <c r="L13323" s="1192" t="s">
        <v>2374</v>
      </c>
      <c r="P13323" s="1192" t="s">
        <v>2743</v>
      </c>
      <c r="V13323" s="1192">
        <v>65</v>
      </c>
    </row>
    <row r="13324" spans="1:22" s="1192" customFormat="1" ht="14.4" x14ac:dyDescent="0.3">
      <c r="A13324" s="1192" t="s">
        <v>4692</v>
      </c>
      <c r="B13324" s="1192" t="s">
        <v>5453</v>
      </c>
      <c r="E13324" s="1741" t="s">
        <v>428</v>
      </c>
      <c r="F13324" s="1741"/>
      <c r="G13324" s="1277" t="s">
        <v>20</v>
      </c>
      <c r="H13324" s="1219">
        <v>5.0000000000000001E-4</v>
      </c>
      <c r="K13324" s="1192" t="s">
        <v>2736</v>
      </c>
      <c r="L13324" s="1192" t="s">
        <v>2374</v>
      </c>
      <c r="P13324" s="1192" t="s">
        <v>2744</v>
      </c>
      <c r="V13324" s="1192">
        <v>57</v>
      </c>
    </row>
    <row r="13325" spans="1:22" s="1192" customFormat="1" ht="14.4" x14ac:dyDescent="0.3">
      <c r="A13325" s="1192" t="s">
        <v>4692</v>
      </c>
      <c r="B13325" s="1192" t="s">
        <v>5453</v>
      </c>
      <c r="E13325" s="1741" t="s">
        <v>28</v>
      </c>
      <c r="F13325" s="1741"/>
      <c r="G13325" s="1277" t="s">
        <v>19</v>
      </c>
      <c r="H13325" s="1218">
        <v>0.25</v>
      </c>
      <c r="K13325" s="1192" t="s">
        <v>2736</v>
      </c>
      <c r="L13325" s="1192" t="s">
        <v>2374</v>
      </c>
      <c r="P13325" s="1192" t="s">
        <v>2745</v>
      </c>
      <c r="V13325" s="1192">
        <v>63</v>
      </c>
    </row>
    <row r="13326" spans="1:22" s="1192" customFormat="1" ht="17.399999999999999" x14ac:dyDescent="0.3">
      <c r="A13326" s="1192" t="s">
        <v>4692</v>
      </c>
      <c r="B13326" s="1192" t="s">
        <v>5453</v>
      </c>
      <c r="E13326" s="1746" t="s">
        <v>590</v>
      </c>
      <c r="F13326" s="1747"/>
      <c r="G13326" s="1747"/>
      <c r="H13326" s="1747"/>
      <c r="K13326" s="1192" t="s">
        <v>2746</v>
      </c>
      <c r="V13326" s="1192">
        <v>38</v>
      </c>
    </row>
    <row r="13327" spans="1:22" s="1192" customFormat="1" ht="14.4" x14ac:dyDescent="0.3">
      <c r="A13327" s="1192" t="s">
        <v>4692</v>
      </c>
      <c r="B13327" s="1192" t="s">
        <v>5453</v>
      </c>
      <c r="E13327" s="1743" t="s">
        <v>3662</v>
      </c>
      <c r="F13327" s="1743"/>
      <c r="G13327" s="1743"/>
      <c r="H13327" s="1743"/>
      <c r="K13327" s="1192" t="s">
        <v>2746</v>
      </c>
      <c r="V13327" s="1192">
        <v>475</v>
      </c>
    </row>
    <row r="13328" spans="1:22" s="1192" customFormat="1" ht="14.4" x14ac:dyDescent="0.3">
      <c r="A13328" s="1192" t="s">
        <v>4692</v>
      </c>
      <c r="B13328" s="1192" t="s">
        <v>5453</v>
      </c>
      <c r="E13328" s="1750" t="s">
        <v>2389</v>
      </c>
      <c r="F13328" s="1743"/>
      <c r="G13328" s="1743"/>
      <c r="H13328" s="1743"/>
      <c r="K13328" s="1192" t="s">
        <v>2444</v>
      </c>
      <c r="V13328" s="1192">
        <v>11</v>
      </c>
    </row>
    <row r="13329" spans="1:22" s="1192" customFormat="1" ht="14.4" x14ac:dyDescent="0.3">
      <c r="A13329" s="1192" t="s">
        <v>4692</v>
      </c>
      <c r="B13329" s="1192" t="s">
        <v>5453</v>
      </c>
      <c r="E13329" s="1743" t="s">
        <v>2391</v>
      </c>
      <c r="F13329" s="1743"/>
      <c r="G13329" s="1743"/>
      <c r="H13329" s="1743"/>
      <c r="K13329" s="1192" t="s">
        <v>2746</v>
      </c>
      <c r="V13329" s="1192">
        <v>280</v>
      </c>
    </row>
    <row r="13330" spans="1:22" s="1192" customFormat="1" ht="14.4" x14ac:dyDescent="0.3">
      <c r="A13330" s="1192" t="s">
        <v>4692</v>
      </c>
      <c r="B13330" s="1192" t="s">
        <v>5453</v>
      </c>
      <c r="E13330" s="1743" t="s">
        <v>2392</v>
      </c>
      <c r="F13330" s="1743"/>
      <c r="G13330" s="1743"/>
      <c r="H13330" s="1743"/>
      <c r="K13330" s="1192" t="s">
        <v>2746</v>
      </c>
      <c r="V13330" s="1192">
        <v>411</v>
      </c>
    </row>
    <row r="13331" spans="1:22" s="1192" customFormat="1" ht="14.4" x14ac:dyDescent="0.3">
      <c r="A13331" s="1192" t="s">
        <v>4692</v>
      </c>
      <c r="B13331" s="1192" t="s">
        <v>5453</v>
      </c>
      <c r="E13331" s="1743" t="s">
        <v>2508</v>
      </c>
      <c r="F13331" s="1743"/>
      <c r="G13331" s="1743"/>
      <c r="H13331" s="1743"/>
      <c r="K13331" s="1192" t="s">
        <v>2746</v>
      </c>
      <c r="V13331" s="1192">
        <v>386</v>
      </c>
    </row>
    <row r="13332" spans="1:22" s="1192" customFormat="1" ht="14.4" x14ac:dyDescent="0.3">
      <c r="A13332" s="1192" t="s">
        <v>4692</v>
      </c>
      <c r="B13332" s="1192" t="s">
        <v>5453</v>
      </c>
      <c r="E13332" s="1743" t="s">
        <v>4500</v>
      </c>
      <c r="F13332" s="1743"/>
      <c r="G13332" s="1743"/>
      <c r="H13332" s="1743"/>
      <c r="K13332" s="1192" t="s">
        <v>2746</v>
      </c>
      <c r="V13332" s="1192">
        <v>247</v>
      </c>
    </row>
    <row r="13333" spans="1:22" s="1192" customFormat="1" ht="14.4" x14ac:dyDescent="0.3">
      <c r="A13333" s="1192" t="s">
        <v>4692</v>
      </c>
      <c r="B13333" s="1192" t="s">
        <v>5453</v>
      </c>
      <c r="E13333" s="1750" t="s">
        <v>2394</v>
      </c>
      <c r="F13333" s="1743"/>
      <c r="G13333" s="1743"/>
      <c r="H13333" s="1743"/>
      <c r="K13333" s="1192" t="s">
        <v>2446</v>
      </c>
      <c r="V13333" s="1192">
        <v>46</v>
      </c>
    </row>
    <row r="13334" spans="1:22" s="1192" customFormat="1" ht="14.4" x14ac:dyDescent="0.3">
      <c r="A13334" s="1192" t="s">
        <v>4692</v>
      </c>
      <c r="B13334" s="1192" t="s">
        <v>5453</v>
      </c>
      <c r="E13334" s="1741" t="s">
        <v>8</v>
      </c>
      <c r="F13334" s="1741"/>
      <c r="G13334" s="1277" t="s">
        <v>19</v>
      </c>
      <c r="H13334" s="1218">
        <v>1.1499999999999999</v>
      </c>
      <c r="K13334" s="1192" t="s">
        <v>2746</v>
      </c>
      <c r="L13334" s="1192" t="s">
        <v>430</v>
      </c>
      <c r="P13334" s="1192" t="s">
        <v>2747</v>
      </c>
      <c r="V13334" s="1192">
        <v>31</v>
      </c>
    </row>
    <row r="13335" spans="1:22" s="1192" customFormat="1" ht="14.4" x14ac:dyDescent="0.3">
      <c r="A13335" s="1192" t="s">
        <v>4692</v>
      </c>
      <c r="B13335" s="1192" t="s">
        <v>5453</v>
      </c>
      <c r="E13335" s="1741" t="s">
        <v>80</v>
      </c>
      <c r="F13335" s="1741"/>
      <c r="G13335" s="1277" t="s">
        <v>29</v>
      </c>
      <c r="H13335" s="1219">
        <v>6.9082999999999997</v>
      </c>
      <c r="K13335" s="1192" t="s">
        <v>2746</v>
      </c>
      <c r="L13335" s="1192" t="s">
        <v>430</v>
      </c>
      <c r="P13335" s="1192" t="s">
        <v>2748</v>
      </c>
      <c r="V13335" s="1192">
        <v>28</v>
      </c>
    </row>
    <row r="13336" spans="1:22" s="1192" customFormat="1" ht="14.4" x14ac:dyDescent="0.3">
      <c r="A13336" s="1192" t="s">
        <v>4692</v>
      </c>
      <c r="B13336" s="1192" t="s">
        <v>5453</v>
      </c>
      <c r="E13336" s="1741" t="s">
        <v>6506</v>
      </c>
      <c r="F13336" s="1998"/>
      <c r="G13336" s="1277" t="s">
        <v>20</v>
      </c>
      <c r="H13336" s="1219">
        <v>-1.1999999999999999E-3</v>
      </c>
      <c r="K13336" s="1192" t="s">
        <v>2746</v>
      </c>
      <c r="L13336" s="1192" t="s">
        <v>431</v>
      </c>
      <c r="P13336" s="1192" t="s">
        <v>3270</v>
      </c>
      <c r="T13336" s="1192">
        <v>44316</v>
      </c>
      <c r="V13336" s="1192">
        <v>139</v>
      </c>
    </row>
    <row r="13337" spans="1:22" s="1192" customFormat="1" ht="14.4" x14ac:dyDescent="0.3">
      <c r="A13337" s="1192" t="s">
        <v>4692</v>
      </c>
      <c r="B13337" s="1192" t="s">
        <v>5453</v>
      </c>
      <c r="E13337" s="1741" t="s">
        <v>6508</v>
      </c>
      <c r="F13337" s="1998"/>
      <c r="G13337" s="1277" t="s">
        <v>29</v>
      </c>
      <c r="H13337" s="1219">
        <v>0.22670000000000001</v>
      </c>
      <c r="K13337" s="1192" t="s">
        <v>2746</v>
      </c>
      <c r="L13337" s="1192" t="s">
        <v>431</v>
      </c>
      <c r="P13337" s="1192" t="s">
        <v>3036</v>
      </c>
      <c r="T13337" s="1192">
        <v>44316</v>
      </c>
      <c r="V13337" s="1192">
        <v>96</v>
      </c>
    </row>
    <row r="13338" spans="1:22" s="1192" customFormat="1" ht="14.4" x14ac:dyDescent="0.3">
      <c r="A13338" s="1192" t="s">
        <v>4692</v>
      </c>
      <c r="B13338" s="1192" t="s">
        <v>5453</v>
      </c>
      <c r="E13338" s="1741" t="s">
        <v>213</v>
      </c>
      <c r="F13338" s="1741"/>
      <c r="G13338" s="1277" t="s">
        <v>29</v>
      </c>
      <c r="H13338" s="1219">
        <v>1.8087</v>
      </c>
      <c r="K13338" s="1192" t="s">
        <v>2746</v>
      </c>
      <c r="L13338" s="1192" t="s">
        <v>432</v>
      </c>
      <c r="P13338" s="1192" t="s">
        <v>2751</v>
      </c>
      <c r="V13338" s="1192">
        <v>47</v>
      </c>
    </row>
    <row r="13339" spans="1:22" s="1192" customFormat="1" ht="14.4" x14ac:dyDescent="0.3">
      <c r="A13339" s="1192" t="s">
        <v>4692</v>
      </c>
      <c r="B13339" s="1192" t="s">
        <v>5453</v>
      </c>
      <c r="E13339" s="1741" t="s">
        <v>209</v>
      </c>
      <c r="F13339" s="1741"/>
      <c r="G13339" s="1277" t="s">
        <v>29</v>
      </c>
      <c r="H13339" s="1219">
        <v>1.3911</v>
      </c>
      <c r="K13339" s="1192" t="s">
        <v>2746</v>
      </c>
      <c r="L13339" s="1192" t="s">
        <v>432</v>
      </c>
      <c r="P13339" s="1192" t="s">
        <v>2752</v>
      </c>
      <c r="V13339" s="1192">
        <v>74</v>
      </c>
    </row>
    <row r="13340" spans="1:22" s="1192" customFormat="1" ht="14.4" x14ac:dyDescent="0.3">
      <c r="A13340" s="1192" t="s">
        <v>4692</v>
      </c>
      <c r="B13340" s="1192" t="s">
        <v>5453</v>
      </c>
      <c r="E13340" s="1750" t="s">
        <v>2405</v>
      </c>
      <c r="F13340" s="1741"/>
      <c r="G13340" s="1277"/>
      <c r="H13340" s="896"/>
      <c r="K13340" s="1192" t="s">
        <v>2565</v>
      </c>
      <c r="V13340" s="1192">
        <v>48</v>
      </c>
    </row>
    <row r="13341" spans="1:22" s="1192" customFormat="1" ht="14.4" x14ac:dyDescent="0.3">
      <c r="A13341" s="1192" t="s">
        <v>4692</v>
      </c>
      <c r="B13341" s="1192" t="s">
        <v>5453</v>
      </c>
      <c r="E13341" s="1741" t="s">
        <v>2033</v>
      </c>
      <c r="F13341" s="1741"/>
      <c r="G13341" s="1277" t="s">
        <v>20</v>
      </c>
      <c r="H13341" s="1219">
        <v>3.0000000000000001E-3</v>
      </c>
      <c r="K13341" s="1192" t="s">
        <v>2746</v>
      </c>
      <c r="L13341" s="1192" t="s">
        <v>2374</v>
      </c>
      <c r="P13341" s="1192" t="s">
        <v>2753</v>
      </c>
      <c r="V13341" s="1192">
        <v>55</v>
      </c>
    </row>
    <row r="13342" spans="1:22" s="1192" customFormat="1" ht="14.4" x14ac:dyDescent="0.3">
      <c r="A13342" s="1192" t="s">
        <v>4692</v>
      </c>
      <c r="B13342" s="1192" t="s">
        <v>5453</v>
      </c>
      <c r="E13342" s="1741" t="s">
        <v>2034</v>
      </c>
      <c r="F13342" s="1741"/>
      <c r="G13342" s="1277" t="s">
        <v>20</v>
      </c>
      <c r="H13342" s="1219">
        <v>4.0000000000000002E-4</v>
      </c>
      <c r="K13342" s="1192" t="s">
        <v>2746</v>
      </c>
      <c r="L13342" s="1192" t="s">
        <v>2374</v>
      </c>
      <c r="P13342" s="1192" t="s">
        <v>2753</v>
      </c>
      <c r="V13342" s="1192">
        <v>65</v>
      </c>
    </row>
    <row r="13343" spans="1:22" s="1192" customFormat="1" ht="14.4" x14ac:dyDescent="0.3">
      <c r="A13343" s="1192" t="s">
        <v>4692</v>
      </c>
      <c r="B13343" s="1192" t="s">
        <v>5453</v>
      </c>
      <c r="E13343" s="1741" t="s">
        <v>428</v>
      </c>
      <c r="F13343" s="1741"/>
      <c r="G13343" s="1277" t="s">
        <v>20</v>
      </c>
      <c r="H13343" s="1219">
        <v>5.0000000000000001E-4</v>
      </c>
      <c r="K13343" s="1192" t="s">
        <v>2746</v>
      </c>
      <c r="L13343" s="1192" t="s">
        <v>2374</v>
      </c>
      <c r="P13343" s="1192" t="s">
        <v>2754</v>
      </c>
      <c r="V13343" s="1192">
        <v>57</v>
      </c>
    </row>
    <row r="13344" spans="1:22" s="1192" customFormat="1" ht="14.4" x14ac:dyDescent="0.3">
      <c r="A13344" s="1192" t="s">
        <v>4692</v>
      </c>
      <c r="B13344" s="1192" t="s">
        <v>5453</v>
      </c>
      <c r="E13344" s="1741" t="s">
        <v>28</v>
      </c>
      <c r="F13344" s="1741"/>
      <c r="G13344" s="1277" t="s">
        <v>19</v>
      </c>
      <c r="H13344" s="1218">
        <v>0.25</v>
      </c>
      <c r="K13344" s="1192" t="s">
        <v>2746</v>
      </c>
      <c r="L13344" s="1192" t="s">
        <v>2374</v>
      </c>
      <c r="P13344" s="1192" t="s">
        <v>2755</v>
      </c>
      <c r="V13344" s="1192">
        <v>63</v>
      </c>
    </row>
    <row r="13345" spans="1:22" s="1192" customFormat="1" ht="17.399999999999999" x14ac:dyDescent="0.3">
      <c r="A13345" s="1192" t="s">
        <v>4692</v>
      </c>
      <c r="B13345" s="1192" t="s">
        <v>5453</v>
      </c>
      <c r="E13345" s="1746" t="s">
        <v>593</v>
      </c>
      <c r="F13345" s="1747"/>
      <c r="G13345" s="1747"/>
      <c r="H13345" s="1747"/>
      <c r="K13345" s="1192" t="s">
        <v>2756</v>
      </c>
      <c r="V13345" s="1192">
        <v>31</v>
      </c>
    </row>
    <row r="13346" spans="1:22" s="1192" customFormat="1" ht="14.4" x14ac:dyDescent="0.3">
      <c r="A13346" s="1192" t="s">
        <v>4692</v>
      </c>
      <c r="B13346" s="1192" t="s">
        <v>5453</v>
      </c>
      <c r="E13346" s="1743" t="s">
        <v>2652</v>
      </c>
      <c r="F13346" s="1743"/>
      <c r="G13346" s="1743"/>
      <c r="H13346" s="1743"/>
      <c r="K13346" s="1192" t="s">
        <v>2756</v>
      </c>
      <c r="V13346" s="1192">
        <v>285</v>
      </c>
    </row>
    <row r="13347" spans="1:22" s="1192" customFormat="1" ht="14.4" x14ac:dyDescent="0.3">
      <c r="A13347" s="1192" t="s">
        <v>4692</v>
      </c>
      <c r="B13347" s="1192" t="s">
        <v>5453</v>
      </c>
      <c r="E13347" s="1750" t="s">
        <v>2389</v>
      </c>
      <c r="F13347" s="1743"/>
      <c r="G13347" s="1743"/>
      <c r="H13347" s="1743"/>
      <c r="K13347" s="1192" t="s">
        <v>2571</v>
      </c>
      <c r="V13347" s="1192">
        <v>11</v>
      </c>
    </row>
    <row r="13348" spans="1:22" s="1192" customFormat="1" ht="14.4" x14ac:dyDescent="0.3">
      <c r="A13348" s="1192" t="s">
        <v>4692</v>
      </c>
      <c r="B13348" s="1192" t="s">
        <v>5453</v>
      </c>
      <c r="E13348" s="1743" t="s">
        <v>2391</v>
      </c>
      <c r="F13348" s="1743"/>
      <c r="G13348" s="1743"/>
      <c r="H13348" s="1743"/>
      <c r="K13348" s="1192" t="s">
        <v>2756</v>
      </c>
      <c r="V13348" s="1192">
        <v>280</v>
      </c>
    </row>
    <row r="13349" spans="1:22" s="1192" customFormat="1" ht="14.4" x14ac:dyDescent="0.3">
      <c r="A13349" s="1192" t="s">
        <v>4692</v>
      </c>
      <c r="B13349" s="1192" t="s">
        <v>5453</v>
      </c>
      <c r="E13349" s="1743" t="s">
        <v>2392</v>
      </c>
      <c r="F13349" s="1743"/>
      <c r="G13349" s="1743"/>
      <c r="H13349" s="1743"/>
      <c r="K13349" s="1192" t="s">
        <v>2756</v>
      </c>
      <c r="V13349" s="1192">
        <v>411</v>
      </c>
    </row>
    <row r="13350" spans="1:22" s="1192" customFormat="1" ht="14.4" x14ac:dyDescent="0.3">
      <c r="A13350" s="1192" t="s">
        <v>4692</v>
      </c>
      <c r="B13350" s="1192" t="s">
        <v>5453</v>
      </c>
      <c r="E13350" s="1743" t="s">
        <v>2445</v>
      </c>
      <c r="F13350" s="1743"/>
      <c r="G13350" s="1743"/>
      <c r="H13350" s="1743"/>
      <c r="K13350" s="1192" t="s">
        <v>2756</v>
      </c>
      <c r="V13350" s="1192">
        <v>211</v>
      </c>
    </row>
    <row r="13351" spans="1:22" s="1192" customFormat="1" ht="14.4" x14ac:dyDescent="0.3">
      <c r="A13351" s="1192" t="s">
        <v>4692</v>
      </c>
      <c r="B13351" s="1192" t="s">
        <v>5453</v>
      </c>
      <c r="E13351" s="1743" t="s">
        <v>4500</v>
      </c>
      <c r="F13351" s="1743"/>
      <c r="G13351" s="1743"/>
      <c r="H13351" s="1743"/>
      <c r="K13351" s="1192" t="s">
        <v>2756</v>
      </c>
      <c r="V13351" s="1192">
        <v>247</v>
      </c>
    </row>
    <row r="13352" spans="1:22" s="1192" customFormat="1" ht="14.4" x14ac:dyDescent="0.3">
      <c r="A13352" s="1192" t="s">
        <v>4692</v>
      </c>
      <c r="B13352" s="1192" t="s">
        <v>5453</v>
      </c>
      <c r="E13352" s="1750" t="s">
        <v>2394</v>
      </c>
      <c r="F13352" s="1743"/>
      <c r="G13352" s="1743"/>
      <c r="H13352" s="1743"/>
      <c r="K13352" s="1192" t="s">
        <v>2572</v>
      </c>
      <c r="V13352" s="1192">
        <v>46</v>
      </c>
    </row>
    <row r="13353" spans="1:22" s="1192" customFormat="1" ht="14.4" x14ac:dyDescent="0.3">
      <c r="A13353" s="1192" t="s">
        <v>4692</v>
      </c>
      <c r="B13353" s="1192" t="s">
        <v>5453</v>
      </c>
      <c r="E13353" s="1741" t="s">
        <v>7</v>
      </c>
      <c r="F13353" s="1741"/>
      <c r="G13353" s="1277" t="s">
        <v>19</v>
      </c>
      <c r="H13353" s="1218">
        <v>4.55</v>
      </c>
      <c r="K13353" s="1192" t="s">
        <v>2756</v>
      </c>
      <c r="L13353" s="1192" t="s">
        <v>430</v>
      </c>
      <c r="P13353" s="1192" t="s">
        <v>2757</v>
      </c>
      <c r="V13353" s="1192">
        <v>14</v>
      </c>
    </row>
    <row r="13354" spans="1:22" s="1192" customFormat="1" x14ac:dyDescent="0.35">
      <c r="A13354" s="1192" t="s">
        <v>4692</v>
      </c>
      <c r="B13354" s="1192" t="s">
        <v>5453</v>
      </c>
      <c r="E13354" s="1260" t="s">
        <v>81</v>
      </c>
      <c r="F13354" s="550"/>
      <c r="G13354" s="550"/>
      <c r="H13354" s="881"/>
      <c r="K13354" s="1192" t="s">
        <v>4697</v>
      </c>
      <c r="V13354" s="1192">
        <v>10</v>
      </c>
    </row>
    <row r="13355" spans="1:22" s="1192" customFormat="1" ht="14.4" x14ac:dyDescent="0.3">
      <c r="A13355" s="1192" t="s">
        <v>4692</v>
      </c>
      <c r="B13355" s="1192" t="s">
        <v>5453</v>
      </c>
      <c r="E13355" s="1741" t="s">
        <v>2449</v>
      </c>
      <c r="F13355" s="1741"/>
      <c r="G13355" s="1277" t="s">
        <v>29</v>
      </c>
      <c r="H13355" s="1219">
        <v>-0.6</v>
      </c>
      <c r="V13355" s="1192">
        <v>68</v>
      </c>
    </row>
    <row r="13356" spans="1:22" s="1192" customFormat="1" ht="14.4" x14ac:dyDescent="0.3">
      <c r="A13356" s="1192" t="s">
        <v>4692</v>
      </c>
      <c r="B13356" s="1192" t="s">
        <v>5453</v>
      </c>
      <c r="E13356" s="1741" t="s">
        <v>2450</v>
      </c>
      <c r="F13356" s="1741"/>
      <c r="G13356" s="1277" t="s">
        <v>82</v>
      </c>
      <c r="H13356" s="1218">
        <v>-1</v>
      </c>
      <c r="V13356" s="1192">
        <v>87</v>
      </c>
    </row>
    <row r="13357" spans="1:22" s="1192" customFormat="1" x14ac:dyDescent="0.35">
      <c r="A13357" s="1192" t="s">
        <v>4692</v>
      </c>
      <c r="B13357" s="1192" t="s">
        <v>5453</v>
      </c>
      <c r="E13357" s="1260" t="s">
        <v>83</v>
      </c>
      <c r="F13357" s="550"/>
      <c r="G13357" s="550"/>
      <c r="H13357" s="881"/>
      <c r="K13357" s="1192" t="s">
        <v>4698</v>
      </c>
      <c r="V13357" s="1192">
        <v>24</v>
      </c>
    </row>
    <row r="13358" spans="1:22" s="1192" customFormat="1" ht="14.4" x14ac:dyDescent="0.3">
      <c r="A13358" s="1192" t="s">
        <v>4692</v>
      </c>
      <c r="B13358" s="1192" t="s">
        <v>5453</v>
      </c>
      <c r="E13358" s="1743" t="s">
        <v>2391</v>
      </c>
      <c r="F13358" s="1743"/>
      <c r="G13358" s="1743"/>
      <c r="H13358" s="1743"/>
      <c r="V13358" s="1192">
        <v>280</v>
      </c>
    </row>
    <row r="13359" spans="1:22" s="1192" customFormat="1" ht="14.4" x14ac:dyDescent="0.3">
      <c r="A13359" s="1192" t="s">
        <v>4692</v>
      </c>
      <c r="B13359" s="1192" t="s">
        <v>5453</v>
      </c>
      <c r="E13359" s="1743" t="s">
        <v>2452</v>
      </c>
      <c r="F13359" s="1743"/>
      <c r="G13359" s="1743"/>
      <c r="H13359" s="1743"/>
      <c r="V13359" s="1192">
        <v>353</v>
      </c>
    </row>
    <row r="13360" spans="1:22" s="1192" customFormat="1" ht="14.4" x14ac:dyDescent="0.3">
      <c r="A13360" s="1192" t="s">
        <v>4692</v>
      </c>
      <c r="B13360" s="1192" t="s">
        <v>5453</v>
      </c>
      <c r="E13360" s="1743" t="s">
        <v>4500</v>
      </c>
      <c r="F13360" s="1743"/>
      <c r="G13360" s="1743"/>
      <c r="H13360" s="1743"/>
      <c r="V13360" s="1192">
        <v>247</v>
      </c>
    </row>
    <row r="13361" spans="1:22" s="1192" customFormat="1" ht="14.4" x14ac:dyDescent="0.3">
      <c r="A13361" s="1192" t="s">
        <v>4692</v>
      </c>
      <c r="B13361" s="1192" t="s">
        <v>5453</v>
      </c>
      <c r="E13361" s="1258" t="s">
        <v>2453</v>
      </c>
      <c r="F13361" s="3"/>
      <c r="G13361" s="3"/>
      <c r="H13361" s="897"/>
      <c r="K13361" s="1192" t="s">
        <v>4699</v>
      </c>
      <c r="V13361" s="1192">
        <v>23</v>
      </c>
    </row>
    <row r="13362" spans="1:22" s="1192" customFormat="1" ht="14.4" x14ac:dyDescent="0.3">
      <c r="A13362" s="1192" t="s">
        <v>4692</v>
      </c>
      <c r="B13362" s="1192" t="s">
        <v>5453</v>
      </c>
      <c r="E13362" s="1942" t="s">
        <v>2639</v>
      </c>
      <c r="F13362" s="1942"/>
      <c r="G13362" s="1277" t="s">
        <v>19</v>
      </c>
      <c r="H13362" s="1218">
        <v>15</v>
      </c>
      <c r="V13362" s="1192">
        <v>19</v>
      </c>
    </row>
    <row r="13363" spans="1:22" s="1192" customFormat="1" ht="14.4" x14ac:dyDescent="0.3">
      <c r="A13363" s="1192" t="s">
        <v>4692</v>
      </c>
      <c r="B13363" s="1192" t="s">
        <v>5453</v>
      </c>
      <c r="E13363" s="1942" t="s">
        <v>2456</v>
      </c>
      <c r="F13363" s="1942"/>
      <c r="G13363" s="1277" t="s">
        <v>19</v>
      </c>
      <c r="H13363" s="1218">
        <v>15</v>
      </c>
      <c r="V13363" s="1192">
        <v>20</v>
      </c>
    </row>
    <row r="13364" spans="1:22" s="1192" customFormat="1" ht="14.4" x14ac:dyDescent="0.3">
      <c r="A13364" s="1192" t="s">
        <v>4692</v>
      </c>
      <c r="B13364" s="1192" t="s">
        <v>5453</v>
      </c>
      <c r="E13364" s="1942" t="s">
        <v>3663</v>
      </c>
      <c r="F13364" s="1942"/>
      <c r="G13364" s="1277" t="s">
        <v>19</v>
      </c>
      <c r="H13364" s="1218">
        <v>15</v>
      </c>
      <c r="V13364" s="1192">
        <v>15</v>
      </c>
    </row>
    <row r="13365" spans="1:22" s="1192" customFormat="1" ht="14.4" x14ac:dyDescent="0.3">
      <c r="A13365" s="1192" t="s">
        <v>4692</v>
      </c>
      <c r="B13365" s="1192" t="s">
        <v>5453</v>
      </c>
      <c r="E13365" s="1942" t="s">
        <v>2463</v>
      </c>
      <c r="F13365" s="1942"/>
      <c r="G13365" s="1277" t="s">
        <v>19</v>
      </c>
      <c r="H13365" s="1218">
        <v>15</v>
      </c>
      <c r="V13365" s="1192">
        <v>15</v>
      </c>
    </row>
    <row r="13366" spans="1:22" s="1192" customFormat="1" ht="14.4" x14ac:dyDescent="0.3">
      <c r="A13366" s="1192" t="s">
        <v>4692</v>
      </c>
      <c r="B13366" s="1192" t="s">
        <v>5453</v>
      </c>
      <c r="E13366" s="1942" t="s">
        <v>119</v>
      </c>
      <c r="F13366" s="1942"/>
      <c r="G13366" s="1277" t="s">
        <v>19</v>
      </c>
      <c r="H13366" s="1218">
        <v>25</v>
      </c>
      <c r="V13366" s="1192">
        <v>35</v>
      </c>
    </row>
    <row r="13367" spans="1:22" s="1192" customFormat="1" ht="14.4" x14ac:dyDescent="0.3">
      <c r="A13367" s="1192" t="s">
        <v>4692</v>
      </c>
      <c r="B13367" s="1192" t="s">
        <v>5453</v>
      </c>
      <c r="E13367" s="1942" t="s">
        <v>2467</v>
      </c>
      <c r="F13367" s="1942"/>
      <c r="G13367" s="1277" t="s">
        <v>19</v>
      </c>
      <c r="H13367" s="1218">
        <v>15</v>
      </c>
      <c r="V13367" s="1192">
        <v>19</v>
      </c>
    </row>
    <row r="13368" spans="1:22" s="1192" customFormat="1" ht="14.4" x14ac:dyDescent="0.3">
      <c r="A13368" s="1192" t="s">
        <v>4692</v>
      </c>
      <c r="B13368" s="1192" t="s">
        <v>5453</v>
      </c>
      <c r="E13368" s="1942" t="s">
        <v>84</v>
      </c>
      <c r="F13368" s="1942"/>
      <c r="G13368" s="1277" t="s">
        <v>19</v>
      </c>
      <c r="H13368" s="1218">
        <v>30</v>
      </c>
      <c r="V13368" s="1192">
        <v>89</v>
      </c>
    </row>
    <row r="13369" spans="1:22" s="1192" customFormat="1" ht="14.4" x14ac:dyDescent="0.3">
      <c r="A13369" s="1192" t="s">
        <v>4692</v>
      </c>
      <c r="B13369" s="1192" t="s">
        <v>5453</v>
      </c>
      <c r="E13369" s="1942" t="s">
        <v>90</v>
      </c>
      <c r="F13369" s="1942"/>
      <c r="G13369" s="1277" t="s">
        <v>19</v>
      </c>
      <c r="H13369" s="1218">
        <v>30</v>
      </c>
      <c r="V13369" s="1192">
        <v>19</v>
      </c>
    </row>
    <row r="13370" spans="1:22" s="1192" customFormat="1" ht="14.4" x14ac:dyDescent="0.3">
      <c r="A13370" s="1192" t="s">
        <v>4692</v>
      </c>
      <c r="B13370" s="1192" t="s">
        <v>5453</v>
      </c>
      <c r="E13370" s="1942" t="s">
        <v>88</v>
      </c>
      <c r="F13370" s="1942"/>
      <c r="G13370" s="1277" t="s">
        <v>19</v>
      </c>
      <c r="H13370" s="1218">
        <v>30</v>
      </c>
      <c r="V13370" s="1192">
        <v>74</v>
      </c>
    </row>
    <row r="13371" spans="1:22" s="1192" customFormat="1" ht="26.4" x14ac:dyDescent="0.3">
      <c r="A13371" s="1192" t="s">
        <v>4692</v>
      </c>
      <c r="B13371" s="1192" t="s">
        <v>5453</v>
      </c>
      <c r="E13371" s="1258" t="s">
        <v>4736</v>
      </c>
      <c r="F13371" s="3"/>
      <c r="G13371" s="3"/>
      <c r="H13371" s="897"/>
      <c r="V13371" s="1192">
        <v>40</v>
      </c>
    </row>
    <row r="13372" spans="1:22" s="1192" customFormat="1" ht="14.4" x14ac:dyDescent="0.3">
      <c r="A13372" s="1192" t="s">
        <v>4692</v>
      </c>
      <c r="B13372" s="1192" t="s">
        <v>5453</v>
      </c>
      <c r="E13372" s="1942" t="s">
        <v>3918</v>
      </c>
      <c r="F13372" s="1942"/>
      <c r="G13372" s="1277"/>
      <c r="H13372" s="919"/>
      <c r="V13372" s="1192">
        <v>24</v>
      </c>
    </row>
    <row r="13373" spans="1:22" s="1192" customFormat="1" ht="14.4" x14ac:dyDescent="0.3">
      <c r="A13373" s="1192" t="s">
        <v>4692</v>
      </c>
      <c r="B13373" s="1192" t="s">
        <v>5453</v>
      </c>
      <c r="E13373" s="1942" t="s">
        <v>6195</v>
      </c>
      <c r="F13373" s="1942"/>
      <c r="G13373" s="1277" t="s">
        <v>82</v>
      </c>
      <c r="H13373" s="1218">
        <v>1.5</v>
      </c>
      <c r="V13373" s="1192">
        <v>74</v>
      </c>
    </row>
    <row r="13374" spans="1:22" s="1192" customFormat="1" ht="14.4" x14ac:dyDescent="0.3">
      <c r="A13374" s="1192" t="s">
        <v>4692</v>
      </c>
      <c r="B13374" s="1192" t="s">
        <v>5453</v>
      </c>
      <c r="E13374" s="1942" t="s">
        <v>6106</v>
      </c>
      <c r="F13374" s="1942"/>
      <c r="G13374" s="1277" t="s">
        <v>19</v>
      </c>
      <c r="H13374" s="1218">
        <v>65</v>
      </c>
      <c r="V13374" s="1192">
        <v>44</v>
      </c>
    </row>
    <row r="13375" spans="1:22" s="1192" customFormat="1" ht="14.4" x14ac:dyDescent="0.3">
      <c r="A13375" s="1192" t="s">
        <v>4692</v>
      </c>
      <c r="B13375" s="1192" t="s">
        <v>5453</v>
      </c>
      <c r="E13375" s="1942" t="s">
        <v>6107</v>
      </c>
      <c r="F13375" s="1942"/>
      <c r="G13375" s="1277" t="s">
        <v>19</v>
      </c>
      <c r="H13375" s="1218">
        <v>185</v>
      </c>
      <c r="V13375" s="1192">
        <v>43</v>
      </c>
    </row>
    <row r="13376" spans="1:22" s="1192" customFormat="1" ht="14.4" x14ac:dyDescent="0.3">
      <c r="A13376" s="1192" t="s">
        <v>4692</v>
      </c>
      <c r="B13376" s="1192" t="s">
        <v>5453</v>
      </c>
      <c r="E13376" s="1942" t="s">
        <v>6108</v>
      </c>
      <c r="F13376" s="1942"/>
      <c r="G13376" s="1277" t="s">
        <v>19</v>
      </c>
      <c r="H13376" s="1218">
        <v>185</v>
      </c>
      <c r="V13376" s="1192">
        <v>43</v>
      </c>
    </row>
    <row r="13377" spans="1:22" s="1192" customFormat="1" ht="14.4" x14ac:dyDescent="0.3">
      <c r="A13377" s="1192" t="s">
        <v>4692</v>
      </c>
      <c r="B13377" s="1192" t="s">
        <v>5453</v>
      </c>
      <c r="E13377" s="1942" t="s">
        <v>6115</v>
      </c>
      <c r="F13377" s="1942"/>
      <c r="G13377" s="1277" t="s">
        <v>19</v>
      </c>
      <c r="H13377" s="1218">
        <v>415</v>
      </c>
      <c r="V13377" s="1192">
        <v>42</v>
      </c>
    </row>
    <row r="13378" spans="1:22" s="1192" customFormat="1" ht="14.4" x14ac:dyDescent="0.3">
      <c r="A13378" s="1192" t="s">
        <v>4692</v>
      </c>
      <c r="B13378" s="1192" t="s">
        <v>5453</v>
      </c>
      <c r="E13378" s="1258" t="s">
        <v>2474</v>
      </c>
      <c r="F13378" s="3"/>
      <c r="G13378" s="3"/>
      <c r="H13378" s="897"/>
      <c r="V13378" s="1192">
        <v>5</v>
      </c>
    </row>
    <row r="13379" spans="1:22" s="1192" customFormat="1" ht="14.4" x14ac:dyDescent="0.3">
      <c r="A13379" s="1192" t="s">
        <v>4692</v>
      </c>
      <c r="B13379" s="1192" t="s">
        <v>5453</v>
      </c>
      <c r="E13379" s="1942" t="s">
        <v>3671</v>
      </c>
      <c r="F13379" s="1942"/>
      <c r="G13379" s="1277" t="s">
        <v>19</v>
      </c>
      <c r="H13379" s="1218">
        <v>30</v>
      </c>
      <c r="V13379" s="1192">
        <v>39</v>
      </c>
    </row>
    <row r="13380" spans="1:22" s="1192" customFormat="1" ht="14.4" x14ac:dyDescent="0.3">
      <c r="A13380" s="1192" t="s">
        <v>4692</v>
      </c>
      <c r="B13380" s="1192" t="s">
        <v>5453</v>
      </c>
      <c r="E13380" s="1942" t="s">
        <v>2478</v>
      </c>
      <c r="F13380" s="1942"/>
      <c r="G13380" s="1277" t="s">
        <v>19</v>
      </c>
      <c r="H13380" s="1218">
        <v>165</v>
      </c>
      <c r="V13380" s="1192">
        <v>34</v>
      </c>
    </row>
    <row r="13381" spans="1:22" s="1192" customFormat="1" ht="14.4" x14ac:dyDescent="0.3">
      <c r="A13381" s="1192" t="s">
        <v>4692</v>
      </c>
      <c r="B13381" s="1192" t="s">
        <v>5453</v>
      </c>
      <c r="E13381" s="1942" t="s">
        <v>2760</v>
      </c>
      <c r="F13381" s="1942"/>
      <c r="G13381" s="1277" t="s">
        <v>19</v>
      </c>
      <c r="H13381" s="1218">
        <v>44.5</v>
      </c>
      <c r="V13381" s="1192">
        <v>59</v>
      </c>
    </row>
    <row r="13382" spans="1:22" s="1192" customFormat="1" ht="14.4" x14ac:dyDescent="0.3">
      <c r="A13382" s="1192" t="s">
        <v>4692</v>
      </c>
      <c r="B13382" s="1192" t="s">
        <v>5453</v>
      </c>
      <c r="E13382" s="1942" t="s">
        <v>2476</v>
      </c>
      <c r="F13382" s="1942"/>
      <c r="G13382" s="1277"/>
      <c r="H13382" s="837"/>
      <c r="V13382" s="1192">
        <v>44</v>
      </c>
    </row>
    <row r="13383" spans="1:22" s="1192" customFormat="1" ht="34.799999999999997" x14ac:dyDescent="0.35">
      <c r="A13383" s="1192" t="s">
        <v>4692</v>
      </c>
      <c r="B13383" s="1192" t="s">
        <v>5453</v>
      </c>
      <c r="E13383" s="1260" t="s">
        <v>73</v>
      </c>
      <c r="F13383" s="550"/>
      <c r="G13383" s="550"/>
      <c r="H13383" s="881"/>
      <c r="K13383" s="1192" t="s">
        <v>4700</v>
      </c>
      <c r="V13383" s="1192">
        <v>38</v>
      </c>
    </row>
    <row r="13384" spans="1:22" s="1192" customFormat="1" ht="14.4" x14ac:dyDescent="0.3">
      <c r="A13384" s="1192" t="s">
        <v>4692</v>
      </c>
      <c r="B13384" s="1192" t="s">
        <v>5453</v>
      </c>
      <c r="E13384" s="1743" t="s">
        <v>2391</v>
      </c>
      <c r="F13384" s="1743"/>
      <c r="G13384" s="1743"/>
      <c r="H13384" s="1743"/>
      <c r="V13384" s="1192">
        <v>280</v>
      </c>
    </row>
    <row r="13385" spans="1:22" s="1192" customFormat="1" ht="14.4" x14ac:dyDescent="0.3">
      <c r="A13385" s="1192" t="s">
        <v>4692</v>
      </c>
      <c r="B13385" s="1192" t="s">
        <v>5453</v>
      </c>
      <c r="E13385" s="1743" t="s">
        <v>2392</v>
      </c>
      <c r="F13385" s="1743"/>
      <c r="G13385" s="1743"/>
      <c r="H13385" s="1743"/>
      <c r="V13385" s="1192">
        <v>411</v>
      </c>
    </row>
    <row r="13386" spans="1:22" s="1192" customFormat="1" ht="14.4" x14ac:dyDescent="0.3">
      <c r="A13386" s="1192" t="s">
        <v>4692</v>
      </c>
      <c r="B13386" s="1192" t="s">
        <v>5453</v>
      </c>
      <c r="E13386" s="1743" t="s">
        <v>2445</v>
      </c>
      <c r="F13386" s="1743"/>
      <c r="G13386" s="1743"/>
      <c r="H13386" s="1743"/>
      <c r="V13386" s="1192">
        <v>211</v>
      </c>
    </row>
    <row r="13387" spans="1:22" s="1192" customFormat="1" ht="14.4" x14ac:dyDescent="0.3">
      <c r="A13387" s="1192" t="s">
        <v>4692</v>
      </c>
      <c r="B13387" s="1192" t="s">
        <v>5453</v>
      </c>
      <c r="E13387" s="1743" t="s">
        <v>4500</v>
      </c>
      <c r="F13387" s="1743"/>
      <c r="G13387" s="1743"/>
      <c r="H13387" s="1743"/>
      <c r="V13387" s="1192">
        <v>247</v>
      </c>
    </row>
    <row r="13388" spans="1:22" s="1192" customFormat="1" ht="14.4" x14ac:dyDescent="0.3">
      <c r="A13388" s="1192" t="s">
        <v>4692</v>
      </c>
      <c r="B13388" s="1192" t="s">
        <v>5453</v>
      </c>
      <c r="E13388" s="1743" t="s">
        <v>2595</v>
      </c>
      <c r="F13388" s="1743"/>
      <c r="G13388" s="1743"/>
      <c r="H13388" s="1743"/>
      <c r="V13388" s="1192">
        <v>142</v>
      </c>
    </row>
    <row r="13389" spans="1:22" s="1192" customFormat="1" ht="14.4" x14ac:dyDescent="0.3">
      <c r="A13389" s="1192" t="s">
        <v>4692</v>
      </c>
      <c r="B13389" s="1192" t="s">
        <v>5453</v>
      </c>
      <c r="E13389" s="1741" t="s">
        <v>2485</v>
      </c>
      <c r="F13389" s="1741"/>
      <c r="G13389" s="360" t="s">
        <v>19</v>
      </c>
      <c r="H13389" s="1218">
        <v>102</v>
      </c>
      <c r="V13389" s="1192">
        <v>106</v>
      </c>
    </row>
    <row r="13390" spans="1:22" s="1192" customFormat="1" ht="14.4" x14ac:dyDescent="0.3">
      <c r="A13390" s="1192" t="s">
        <v>4692</v>
      </c>
      <c r="B13390" s="1192" t="s">
        <v>5453</v>
      </c>
      <c r="E13390" s="1741" t="s">
        <v>3919</v>
      </c>
      <c r="F13390" s="1741"/>
      <c r="G13390" s="360" t="s">
        <v>19</v>
      </c>
      <c r="H13390" s="1218">
        <v>40.799999999999997</v>
      </c>
      <c r="V13390" s="1192">
        <v>34</v>
      </c>
    </row>
    <row r="13391" spans="1:22" s="1192" customFormat="1" ht="14.4" x14ac:dyDescent="0.3">
      <c r="A13391" s="1192" t="s">
        <v>4692</v>
      </c>
      <c r="B13391" s="1192" t="s">
        <v>5453</v>
      </c>
      <c r="E13391" s="1741" t="s">
        <v>3920</v>
      </c>
      <c r="F13391" s="1741"/>
      <c r="G13391" s="360" t="s">
        <v>2488</v>
      </c>
      <c r="H13391" s="1218">
        <v>1.02</v>
      </c>
      <c r="V13391" s="1192">
        <v>51</v>
      </c>
    </row>
    <row r="13392" spans="1:22" s="1192" customFormat="1" ht="14.4" x14ac:dyDescent="0.3">
      <c r="A13392" s="1192" t="s">
        <v>4692</v>
      </c>
      <c r="B13392" s="1192" t="s">
        <v>5453</v>
      </c>
      <c r="E13392" s="1741" t="s">
        <v>2489</v>
      </c>
      <c r="F13392" s="1741"/>
      <c r="G13392" s="360" t="s">
        <v>2488</v>
      </c>
      <c r="H13392" s="1218">
        <v>0.61</v>
      </c>
      <c r="V13392" s="1192">
        <v>75</v>
      </c>
    </row>
    <row r="13393" spans="1:22" s="1192" customFormat="1" ht="14.4" x14ac:dyDescent="0.3">
      <c r="A13393" s="1192" t="s">
        <v>4692</v>
      </c>
      <c r="B13393" s="1192" t="s">
        <v>5453</v>
      </c>
      <c r="E13393" s="1741" t="s">
        <v>2490</v>
      </c>
      <c r="F13393" s="1741"/>
      <c r="G13393" s="360" t="s">
        <v>2488</v>
      </c>
      <c r="H13393" s="1218">
        <v>-0.61</v>
      </c>
      <c r="V13393" s="1192">
        <v>72</v>
      </c>
    </row>
    <row r="13394" spans="1:22" s="1192" customFormat="1" ht="14.4" x14ac:dyDescent="0.3">
      <c r="A13394" s="1192" t="s">
        <v>4692</v>
      </c>
      <c r="B13394" s="1192" t="s">
        <v>5453</v>
      </c>
      <c r="E13394" s="1741" t="s">
        <v>2596</v>
      </c>
      <c r="F13394" s="1741"/>
      <c r="G13394" s="360"/>
      <c r="H13394" s="837"/>
      <c r="V13394" s="1192">
        <v>34</v>
      </c>
    </row>
    <row r="13395" spans="1:22" s="1192" customFormat="1" ht="14.4" x14ac:dyDescent="0.3">
      <c r="A13395" s="1192" t="s">
        <v>4692</v>
      </c>
      <c r="B13395" s="1192" t="s">
        <v>5453</v>
      </c>
      <c r="E13395" s="1941" t="s">
        <v>2492</v>
      </c>
      <c r="F13395" s="1941"/>
      <c r="G13395" s="360" t="s">
        <v>19</v>
      </c>
      <c r="H13395" s="1218">
        <v>0.51</v>
      </c>
      <c r="V13395" s="1192">
        <v>57</v>
      </c>
    </row>
    <row r="13396" spans="1:22" s="1192" customFormat="1" ht="14.4" x14ac:dyDescent="0.3">
      <c r="A13396" s="1192" t="s">
        <v>4692</v>
      </c>
      <c r="B13396" s="1192" t="s">
        <v>5453</v>
      </c>
      <c r="E13396" s="1941" t="s">
        <v>2493</v>
      </c>
      <c r="F13396" s="1941"/>
      <c r="G13396" s="360" t="s">
        <v>19</v>
      </c>
      <c r="H13396" s="1218">
        <v>1.02</v>
      </c>
      <c r="V13396" s="1192">
        <v>60</v>
      </c>
    </row>
    <row r="13397" spans="1:22" s="1192" customFormat="1" ht="14.4" x14ac:dyDescent="0.3">
      <c r="A13397" s="1192" t="s">
        <v>4692</v>
      </c>
      <c r="B13397" s="1192" t="s">
        <v>5453</v>
      </c>
      <c r="E13397" s="1741" t="s">
        <v>2494</v>
      </c>
      <c r="F13397" s="1741"/>
      <c r="G13397" s="360"/>
      <c r="H13397" s="837"/>
      <c r="V13397" s="1192">
        <v>91</v>
      </c>
    </row>
    <row r="13398" spans="1:22" s="1192" customFormat="1" ht="14.4" x14ac:dyDescent="0.3">
      <c r="A13398" s="1192" t="s">
        <v>4692</v>
      </c>
      <c r="B13398" s="1192" t="s">
        <v>5453</v>
      </c>
      <c r="E13398" s="1741" t="s">
        <v>2495</v>
      </c>
      <c r="F13398" s="1741"/>
      <c r="G13398" s="360"/>
      <c r="H13398" s="837"/>
      <c r="V13398" s="1192">
        <v>96</v>
      </c>
    </row>
    <row r="13399" spans="1:22" s="1192" customFormat="1" ht="14.4" x14ac:dyDescent="0.3">
      <c r="A13399" s="1192" t="s">
        <v>4692</v>
      </c>
      <c r="B13399" s="1192" t="s">
        <v>5453</v>
      </c>
      <c r="E13399" s="1741" t="s">
        <v>2597</v>
      </c>
      <c r="F13399" s="1741"/>
      <c r="G13399" s="360"/>
      <c r="H13399" s="837"/>
      <c r="V13399" s="1192">
        <v>77</v>
      </c>
    </row>
    <row r="13400" spans="1:22" s="1192" customFormat="1" ht="14.4" x14ac:dyDescent="0.3">
      <c r="A13400" s="1192" t="s">
        <v>4692</v>
      </c>
      <c r="B13400" s="1192" t="s">
        <v>5453</v>
      </c>
      <c r="E13400" s="1941" t="s">
        <v>2497</v>
      </c>
      <c r="F13400" s="1941"/>
      <c r="G13400" s="360" t="s">
        <v>19</v>
      </c>
      <c r="H13400" s="837" t="s">
        <v>2498</v>
      </c>
      <c r="V13400" s="1192">
        <v>18</v>
      </c>
    </row>
    <row r="13401" spans="1:22" s="1192" customFormat="1" ht="14.4" x14ac:dyDescent="0.3">
      <c r="A13401" s="1192" t="s">
        <v>4692</v>
      </c>
      <c r="B13401" s="1192" t="s">
        <v>5453</v>
      </c>
      <c r="E13401" s="1941" t="s">
        <v>2499</v>
      </c>
      <c r="F13401" s="1941"/>
      <c r="G13401" s="360" t="s">
        <v>19</v>
      </c>
      <c r="H13401" s="1218">
        <v>4.08</v>
      </c>
      <c r="V13401" s="1192">
        <v>69</v>
      </c>
    </row>
    <row r="13402" spans="1:22" s="1192" customFormat="1" ht="14.4" x14ac:dyDescent="0.3">
      <c r="A13402" s="1192" t="s">
        <v>4692</v>
      </c>
      <c r="B13402" s="1192" t="s">
        <v>5453</v>
      </c>
      <c r="E13402" s="1741" t="s">
        <v>4608</v>
      </c>
      <c r="F13402" s="1741"/>
      <c r="G13402" s="360" t="s">
        <v>19</v>
      </c>
      <c r="H13402" s="1218">
        <v>2.04</v>
      </c>
      <c r="V13402" s="1192">
        <v>199</v>
      </c>
    </row>
    <row r="13403" spans="1:22" s="1192" customFormat="1" x14ac:dyDescent="0.35">
      <c r="A13403" s="1192" t="s">
        <v>4692</v>
      </c>
      <c r="B13403" s="1192" t="s">
        <v>5453</v>
      </c>
      <c r="E13403" s="1260" t="s">
        <v>143</v>
      </c>
      <c r="F13403" s="550"/>
      <c r="G13403" s="550"/>
      <c r="H13403" s="881"/>
      <c r="K13403" s="1192" t="s">
        <v>4701</v>
      </c>
      <c r="V13403" s="1192">
        <v>12</v>
      </c>
    </row>
    <row r="13404" spans="1:22" s="1192" customFormat="1" ht="14.4" x14ac:dyDescent="0.3">
      <c r="A13404" s="1192" t="s">
        <v>4692</v>
      </c>
      <c r="B13404" s="1192" t="s">
        <v>5453</v>
      </c>
      <c r="E13404" s="1741" t="s">
        <v>2501</v>
      </c>
      <c r="F13404" s="1741"/>
      <c r="G13404" s="1741"/>
      <c r="H13404" s="1741"/>
      <c r="V13404" s="1192">
        <v>203</v>
      </c>
    </row>
    <row r="13405" spans="1:22" s="1192" customFormat="1" ht="14.4" x14ac:dyDescent="0.3">
      <c r="A13405" s="1192" t="s">
        <v>4692</v>
      </c>
      <c r="B13405" s="1192" t="s">
        <v>5453</v>
      </c>
      <c r="E13405" s="1741" t="s">
        <v>2502</v>
      </c>
      <c r="F13405" s="1741"/>
      <c r="G13405" s="1277"/>
      <c r="H13405" s="837">
        <v>1.0394000000000001</v>
      </c>
      <c r="V13405" s="1192">
        <v>46</v>
      </c>
    </row>
    <row r="13406" spans="1:22" s="1192" customFormat="1" ht="14.4" x14ac:dyDescent="0.3">
      <c r="A13406" s="1192" t="s">
        <v>4692</v>
      </c>
      <c r="B13406" s="1192" t="s">
        <v>5453</v>
      </c>
      <c r="E13406" s="1741" t="s">
        <v>4283</v>
      </c>
      <c r="F13406" s="1741"/>
      <c r="G13406" s="1277"/>
      <c r="H13406" s="837">
        <v>1.0289999999999999</v>
      </c>
      <c r="J13406" s="1192" t="s">
        <v>5455</v>
      </c>
      <c r="V13406" s="1192">
        <v>44</v>
      </c>
    </row>
    <row r="13407" spans="1:22" s="1192" customFormat="1" ht="22.8" x14ac:dyDescent="0.3">
      <c r="A13407" s="1192" t="s">
        <v>191</v>
      </c>
      <c r="C13407" s="1192" t="s">
        <v>2378</v>
      </c>
      <c r="E13407" s="1752" t="s">
        <v>191</v>
      </c>
      <c r="F13407" s="1752"/>
      <c r="G13407" s="1752"/>
      <c r="H13407" s="1752"/>
      <c r="I13407" s="1192" t="s">
        <v>603</v>
      </c>
      <c r="J13407" s="1192" t="s">
        <v>3520</v>
      </c>
      <c r="K13407" s="1192" t="s">
        <v>191</v>
      </c>
      <c r="M13407" s="1192">
        <v>9</v>
      </c>
      <c r="V13407" s="1192">
        <v>22</v>
      </c>
    </row>
    <row r="13408" spans="1:22" s="1192" customFormat="1" ht="17.399999999999999" x14ac:dyDescent="0.3">
      <c r="A13408" s="1192" t="s">
        <v>191</v>
      </c>
      <c r="C13408" s="1192" t="s">
        <v>2380</v>
      </c>
      <c r="E13408" s="1753" t="s">
        <v>2381</v>
      </c>
      <c r="F13408" s="1753"/>
      <c r="G13408" s="1753"/>
      <c r="H13408" s="1753"/>
      <c r="V13408" s="1192">
        <v>27</v>
      </c>
    </row>
    <row r="13409" spans="1:22" s="1192" customFormat="1" ht="15.6" x14ac:dyDescent="0.3">
      <c r="A13409" s="1192" t="s">
        <v>191</v>
      </c>
      <c r="C13409" s="1192" t="s">
        <v>2382</v>
      </c>
      <c r="E13409" s="1754" t="s">
        <v>6482</v>
      </c>
      <c r="F13409" s="1754"/>
      <c r="G13409" s="1754"/>
      <c r="H13409" s="1754"/>
      <c r="S13409" s="1192">
        <v>43952</v>
      </c>
      <c r="V13409" s="1192">
        <v>45</v>
      </c>
    </row>
    <row r="13410" spans="1:22" s="1192" customFormat="1" ht="14.4" x14ac:dyDescent="0.3">
      <c r="A13410" s="1192" t="s">
        <v>191</v>
      </c>
      <c r="C13410" s="1192" t="s">
        <v>2383</v>
      </c>
      <c r="E13410" s="1755" t="s">
        <v>2384</v>
      </c>
      <c r="F13410" s="1755"/>
      <c r="G13410" s="1755"/>
      <c r="H13410" s="1755"/>
      <c r="V13410" s="1192">
        <v>52</v>
      </c>
    </row>
    <row r="13411" spans="1:22" s="1192" customFormat="1" ht="14.4" x14ac:dyDescent="0.3">
      <c r="A13411" s="1192" t="s">
        <v>191</v>
      </c>
      <c r="E13411" s="1755" t="s">
        <v>2385</v>
      </c>
      <c r="F13411" s="1755"/>
      <c r="G13411" s="1755"/>
      <c r="H13411" s="1755"/>
      <c r="V13411" s="1192">
        <v>53</v>
      </c>
    </row>
    <row r="13412" spans="1:22" s="1192" customFormat="1" ht="14.4" x14ac:dyDescent="0.3">
      <c r="A13412" s="1192" t="s">
        <v>191</v>
      </c>
      <c r="E13412" s="1772" t="s">
        <v>6683</v>
      </c>
      <c r="F13412" s="1772"/>
      <c r="G13412" s="1772"/>
      <c r="H13412" s="1772"/>
      <c r="K13412" s="1192" t="s">
        <v>6683</v>
      </c>
      <c r="V13412" s="1192">
        <v>12</v>
      </c>
    </row>
    <row r="13413" spans="1:22" s="1192" customFormat="1" ht="14.4" x14ac:dyDescent="0.3">
      <c r="A13413" s="1192" t="s">
        <v>191</v>
      </c>
      <c r="E13413" s="1746" t="s">
        <v>427</v>
      </c>
      <c r="F13413" s="1743"/>
      <c r="G13413" s="1743"/>
      <c r="H13413" s="1743"/>
      <c r="K13413" s="1192" t="s">
        <v>2506</v>
      </c>
      <c r="V13413" s="1192">
        <v>34</v>
      </c>
    </row>
    <row r="13414" spans="1:22" s="1192" customFormat="1" ht="14.4" x14ac:dyDescent="0.3">
      <c r="A13414" s="1192" t="s">
        <v>191</v>
      </c>
      <c r="E13414" s="1743" t="s">
        <v>3521</v>
      </c>
      <c r="F13414" s="1743"/>
      <c r="G13414" s="1743"/>
      <c r="H13414" s="1743"/>
      <c r="K13414" s="1192" t="s">
        <v>2506</v>
      </c>
      <c r="V13414" s="1192">
        <v>334</v>
      </c>
    </row>
    <row r="13415" spans="1:22" s="1192" customFormat="1" ht="14.4" x14ac:dyDescent="0.3">
      <c r="A13415" s="1192" t="s">
        <v>191</v>
      </c>
      <c r="E13415" s="1750" t="s">
        <v>2389</v>
      </c>
      <c r="F13415" s="1743"/>
      <c r="G13415" s="1743"/>
      <c r="H13415" s="1743"/>
      <c r="K13415" s="1192" t="s">
        <v>2390</v>
      </c>
      <c r="V13415" s="1192">
        <v>11</v>
      </c>
    </row>
    <row r="13416" spans="1:22" s="1192" customFormat="1" ht="14.4" x14ac:dyDescent="0.3">
      <c r="A13416" s="1192" t="s">
        <v>191</v>
      </c>
      <c r="E13416" s="1743" t="s">
        <v>2391</v>
      </c>
      <c r="F13416" s="1743"/>
      <c r="G13416" s="1743"/>
      <c r="H13416" s="1743"/>
      <c r="K13416" s="1192" t="s">
        <v>2506</v>
      </c>
      <c r="V13416" s="1192">
        <v>280</v>
      </c>
    </row>
    <row r="13417" spans="1:22" s="1192" customFormat="1" ht="14.4" x14ac:dyDescent="0.3">
      <c r="A13417" s="1192" t="s">
        <v>191</v>
      </c>
      <c r="E13417" s="1743" t="s">
        <v>2392</v>
      </c>
      <c r="F13417" s="1743"/>
      <c r="G13417" s="1743"/>
      <c r="H13417" s="1743"/>
      <c r="K13417" s="1192" t="s">
        <v>2506</v>
      </c>
      <c r="V13417" s="1192">
        <v>411</v>
      </c>
    </row>
    <row r="13418" spans="1:22" s="1192" customFormat="1" ht="14.4" x14ac:dyDescent="0.3">
      <c r="A13418" s="1192" t="s">
        <v>191</v>
      </c>
      <c r="E13418" s="1743" t="s">
        <v>2393</v>
      </c>
      <c r="F13418" s="1743"/>
      <c r="G13418" s="1743"/>
      <c r="H13418" s="1743"/>
      <c r="K13418" s="1192" t="s">
        <v>2506</v>
      </c>
      <c r="V13418" s="1192">
        <v>387</v>
      </c>
    </row>
    <row r="13419" spans="1:22" s="1192" customFormat="1" ht="14.4" x14ac:dyDescent="0.3">
      <c r="A13419" s="1192" t="s">
        <v>191</v>
      </c>
      <c r="E13419" s="1743" t="s">
        <v>4500</v>
      </c>
      <c r="F13419" s="1743"/>
      <c r="G13419" s="1743"/>
      <c r="H13419" s="1743"/>
      <c r="K13419" s="1192" t="s">
        <v>2506</v>
      </c>
      <c r="V13419" s="1192">
        <v>247</v>
      </c>
    </row>
    <row r="13420" spans="1:22" s="1192" customFormat="1" ht="14.4" x14ac:dyDescent="0.3">
      <c r="A13420" s="1192" t="s">
        <v>191</v>
      </c>
      <c r="E13420" s="1750" t="s">
        <v>2394</v>
      </c>
      <c r="F13420" s="1743"/>
      <c r="G13420" s="1743"/>
      <c r="H13420" s="1743"/>
      <c r="K13420" s="1192" t="s">
        <v>2395</v>
      </c>
      <c r="V13420" s="1192">
        <v>46</v>
      </c>
    </row>
    <row r="13421" spans="1:22" s="1192" customFormat="1" ht="14.4" x14ac:dyDescent="0.3">
      <c r="A13421" s="1192" t="s">
        <v>191</v>
      </c>
      <c r="E13421" s="1741" t="s">
        <v>7</v>
      </c>
      <c r="F13421" s="1741"/>
      <c r="G13421" s="1277" t="s">
        <v>19</v>
      </c>
      <c r="H13421" s="1218">
        <v>28.58</v>
      </c>
      <c r="K13421" s="1192" t="s">
        <v>2506</v>
      </c>
      <c r="L13421" s="1192" t="s">
        <v>430</v>
      </c>
      <c r="P13421" s="1192" t="s">
        <v>2510</v>
      </c>
      <c r="V13421" s="1192">
        <v>14</v>
      </c>
    </row>
    <row r="13422" spans="1:22" s="1192" customFormat="1" ht="14.4" x14ac:dyDescent="0.3">
      <c r="A13422" s="1192" t="s">
        <v>191</v>
      </c>
      <c r="E13422" s="1741" t="s">
        <v>3900</v>
      </c>
      <c r="F13422" s="1741"/>
      <c r="G13422" s="1277" t="s">
        <v>19</v>
      </c>
      <c r="H13422" s="1218">
        <v>0.56999999999999995</v>
      </c>
      <c r="K13422" s="1192" t="s">
        <v>2506</v>
      </c>
      <c r="L13422" s="1192" t="s">
        <v>431</v>
      </c>
      <c r="P13422" s="1192" t="s">
        <v>2511</v>
      </c>
      <c r="T13422" s="1192">
        <v>44926</v>
      </c>
      <c r="V13422" s="1192">
        <v>64</v>
      </c>
    </row>
    <row r="13423" spans="1:22" s="1192" customFormat="1" ht="14.4" x14ac:dyDescent="0.3">
      <c r="A13423" s="1192" t="s">
        <v>191</v>
      </c>
      <c r="E13423" s="1741" t="s">
        <v>213</v>
      </c>
      <c r="F13423" s="1741"/>
      <c r="G13423" s="1277" t="s">
        <v>20</v>
      </c>
      <c r="H13423" s="1219">
        <v>6.7999999999999996E-3</v>
      </c>
      <c r="K13423" s="1192" t="s">
        <v>2506</v>
      </c>
      <c r="L13423" s="1192" t="s">
        <v>432</v>
      </c>
      <c r="P13423" s="1192" t="s">
        <v>2517</v>
      </c>
      <c r="V13423" s="1192">
        <v>47</v>
      </c>
    </row>
    <row r="13424" spans="1:22" s="1192" customFormat="1" ht="14.4" x14ac:dyDescent="0.3">
      <c r="A13424" s="1192" t="s">
        <v>191</v>
      </c>
      <c r="E13424" s="1741" t="s">
        <v>209</v>
      </c>
      <c r="F13424" s="1741"/>
      <c r="G13424" s="1277" t="s">
        <v>20</v>
      </c>
      <c r="H13424" s="1219">
        <v>6.3E-3</v>
      </c>
      <c r="K13424" s="1192" t="s">
        <v>2506</v>
      </c>
      <c r="L13424" s="1192" t="s">
        <v>432</v>
      </c>
      <c r="P13424" s="1192" t="s">
        <v>2518</v>
      </c>
      <c r="V13424" s="1192">
        <v>74</v>
      </c>
    </row>
    <row r="13425" spans="1:22" s="1192" customFormat="1" ht="14.4" x14ac:dyDescent="0.3">
      <c r="A13425" s="1192" t="s">
        <v>191</v>
      </c>
      <c r="E13425" s="1750" t="s">
        <v>2405</v>
      </c>
      <c r="F13425" s="1741"/>
      <c r="G13425" s="1277"/>
      <c r="H13425" s="896"/>
      <c r="K13425" s="1192" t="s">
        <v>2406</v>
      </c>
      <c r="V13425" s="1192">
        <v>48</v>
      </c>
    </row>
    <row r="13426" spans="1:22" s="1192" customFormat="1" ht="14.4" x14ac:dyDescent="0.3">
      <c r="A13426" s="1192" t="s">
        <v>191</v>
      </c>
      <c r="E13426" s="1741" t="s">
        <v>2033</v>
      </c>
      <c r="F13426" s="1741"/>
      <c r="G13426" s="1277" t="s">
        <v>20</v>
      </c>
      <c r="H13426" s="1219">
        <v>3.0000000000000001E-3</v>
      </c>
      <c r="K13426" s="1192" t="s">
        <v>2506</v>
      </c>
      <c r="L13426" s="1192" t="s">
        <v>2374</v>
      </c>
      <c r="P13426" s="1192" t="s">
        <v>2519</v>
      </c>
      <c r="V13426" s="1192">
        <v>55</v>
      </c>
    </row>
    <row r="13427" spans="1:22" s="1192" customFormat="1" ht="14.4" x14ac:dyDescent="0.3">
      <c r="A13427" s="1192" t="s">
        <v>191</v>
      </c>
      <c r="E13427" s="1741" t="s">
        <v>2034</v>
      </c>
      <c r="F13427" s="1741"/>
      <c r="G13427" s="1277" t="s">
        <v>20</v>
      </c>
      <c r="H13427" s="1219">
        <v>4.0000000000000002E-4</v>
      </c>
      <c r="K13427" s="1192" t="s">
        <v>2506</v>
      </c>
      <c r="L13427" s="1192" t="s">
        <v>2374</v>
      </c>
      <c r="P13427" s="1192" t="s">
        <v>2519</v>
      </c>
      <c r="V13427" s="1192">
        <v>65</v>
      </c>
    </row>
    <row r="13428" spans="1:22" s="1192" customFormat="1" ht="14.4" x14ac:dyDescent="0.3">
      <c r="A13428" s="1192" t="s">
        <v>191</v>
      </c>
      <c r="E13428" s="1741" t="s">
        <v>428</v>
      </c>
      <c r="F13428" s="1741"/>
      <c r="G13428" s="1277" t="s">
        <v>20</v>
      </c>
      <c r="H13428" s="1219">
        <v>5.0000000000000001E-4</v>
      </c>
      <c r="K13428" s="1192" t="s">
        <v>2506</v>
      </c>
      <c r="L13428" s="1192" t="s">
        <v>2374</v>
      </c>
      <c r="P13428" s="1192" t="s">
        <v>2520</v>
      </c>
      <c r="V13428" s="1192">
        <v>57</v>
      </c>
    </row>
    <row r="13429" spans="1:22" s="1192" customFormat="1" ht="14.4" x14ac:dyDescent="0.3">
      <c r="A13429" s="1192" t="s">
        <v>191</v>
      </c>
      <c r="E13429" s="1741" t="s">
        <v>28</v>
      </c>
      <c r="F13429" s="1741"/>
      <c r="G13429" s="1277" t="s">
        <v>19</v>
      </c>
      <c r="H13429" s="1218">
        <v>0.25</v>
      </c>
      <c r="K13429" s="1192" t="s">
        <v>2506</v>
      </c>
      <c r="L13429" s="1192" t="s">
        <v>2374</v>
      </c>
      <c r="P13429" s="1192" t="s">
        <v>2521</v>
      </c>
      <c r="V13429" s="1192">
        <v>63</v>
      </c>
    </row>
    <row r="13430" spans="1:22" s="1192" customFormat="1" ht="17.399999999999999" x14ac:dyDescent="0.3">
      <c r="A13430" s="1192" t="s">
        <v>191</v>
      </c>
      <c r="E13430" s="1746" t="s">
        <v>2522</v>
      </c>
      <c r="F13430" s="1747"/>
      <c r="G13430" s="1747"/>
      <c r="H13430" s="1747"/>
      <c r="K13430" s="1192" t="s">
        <v>3901</v>
      </c>
      <c r="V13430" s="1192">
        <v>54</v>
      </c>
    </row>
    <row r="13431" spans="1:22" s="1192" customFormat="1" ht="14.4" x14ac:dyDescent="0.3">
      <c r="A13431" s="1192" t="s">
        <v>191</v>
      </c>
      <c r="E13431" s="1743" t="s">
        <v>3522</v>
      </c>
      <c r="F13431" s="1743"/>
      <c r="G13431" s="1743"/>
      <c r="H13431" s="1743"/>
      <c r="K13431" s="1192" t="s">
        <v>3901</v>
      </c>
      <c r="V13431" s="1192">
        <v>295</v>
      </c>
    </row>
    <row r="13432" spans="1:22" s="1192" customFormat="1" ht="14.4" x14ac:dyDescent="0.3">
      <c r="A13432" s="1192" t="s">
        <v>191</v>
      </c>
      <c r="E13432" s="1750" t="s">
        <v>2389</v>
      </c>
      <c r="F13432" s="1743"/>
      <c r="G13432" s="1743"/>
      <c r="H13432" s="1743"/>
      <c r="K13432" s="1192" t="s">
        <v>2412</v>
      </c>
      <c r="V13432" s="1192">
        <v>11</v>
      </c>
    </row>
    <row r="13433" spans="1:22" s="1192" customFormat="1" ht="14.4" x14ac:dyDescent="0.3">
      <c r="A13433" s="1192" t="s">
        <v>191</v>
      </c>
      <c r="E13433" s="1743" t="s">
        <v>2391</v>
      </c>
      <c r="F13433" s="1743"/>
      <c r="G13433" s="1743"/>
      <c r="H13433" s="1743"/>
      <c r="K13433" s="1192" t="s">
        <v>3901</v>
      </c>
      <c r="V13433" s="1192">
        <v>280</v>
      </c>
    </row>
    <row r="13434" spans="1:22" s="1192" customFormat="1" ht="14.4" x14ac:dyDescent="0.3">
      <c r="A13434" s="1192" t="s">
        <v>191</v>
      </c>
      <c r="E13434" s="1743" t="s">
        <v>2392</v>
      </c>
      <c r="F13434" s="1743"/>
      <c r="G13434" s="1743"/>
      <c r="H13434" s="1743"/>
      <c r="K13434" s="1192" t="s">
        <v>3901</v>
      </c>
      <c r="V13434" s="1192">
        <v>411</v>
      </c>
    </row>
    <row r="13435" spans="1:22" s="1192" customFormat="1" ht="14.4" x14ac:dyDescent="0.3">
      <c r="A13435" s="1192" t="s">
        <v>191</v>
      </c>
      <c r="E13435" s="1743" t="s">
        <v>2393</v>
      </c>
      <c r="F13435" s="1743"/>
      <c r="G13435" s="1743"/>
      <c r="H13435" s="1743"/>
      <c r="K13435" s="1192" t="s">
        <v>3901</v>
      </c>
      <c r="V13435" s="1192">
        <v>387</v>
      </c>
    </row>
    <row r="13436" spans="1:22" s="1192" customFormat="1" ht="14.4" x14ac:dyDescent="0.3">
      <c r="A13436" s="1192" t="s">
        <v>191</v>
      </c>
      <c r="E13436" s="1743" t="s">
        <v>4500</v>
      </c>
      <c r="F13436" s="1743"/>
      <c r="G13436" s="1743"/>
      <c r="H13436" s="1743"/>
      <c r="K13436" s="1192" t="s">
        <v>3901</v>
      </c>
      <c r="V13436" s="1192">
        <v>247</v>
      </c>
    </row>
    <row r="13437" spans="1:22" s="1192" customFormat="1" ht="14.4" x14ac:dyDescent="0.3">
      <c r="A13437" s="1192" t="s">
        <v>191</v>
      </c>
      <c r="E13437" s="1750" t="s">
        <v>2394</v>
      </c>
      <c r="F13437" s="1743"/>
      <c r="G13437" s="1743"/>
      <c r="H13437" s="1743"/>
      <c r="K13437" s="1192" t="s">
        <v>2413</v>
      </c>
      <c r="V13437" s="1192">
        <v>46</v>
      </c>
    </row>
    <row r="13438" spans="1:22" s="1192" customFormat="1" ht="14.4" x14ac:dyDescent="0.3">
      <c r="A13438" s="1192" t="s">
        <v>191</v>
      </c>
      <c r="E13438" s="1741" t="s">
        <v>7</v>
      </c>
      <c r="F13438" s="1741"/>
      <c r="G13438" s="1277" t="s">
        <v>19</v>
      </c>
      <c r="H13438" s="1218">
        <v>27.13</v>
      </c>
      <c r="K13438" s="1192" t="s">
        <v>3901</v>
      </c>
      <c r="L13438" s="1192" t="s">
        <v>430</v>
      </c>
      <c r="P13438" s="1192" t="s">
        <v>3902</v>
      </c>
      <c r="V13438" s="1192">
        <v>14</v>
      </c>
    </row>
    <row r="13439" spans="1:22" s="1192" customFormat="1" ht="14.4" x14ac:dyDescent="0.3">
      <c r="A13439" s="1192" t="s">
        <v>191</v>
      </c>
      <c r="E13439" s="1741" t="s">
        <v>3900</v>
      </c>
      <c r="F13439" s="1741"/>
      <c r="G13439" s="1277" t="s">
        <v>19</v>
      </c>
      <c r="H13439" s="1218">
        <v>0.56999999999999995</v>
      </c>
      <c r="K13439" s="1192" t="s">
        <v>3901</v>
      </c>
      <c r="L13439" s="1192" t="s">
        <v>431</v>
      </c>
      <c r="P13439" s="1192" t="s">
        <v>3903</v>
      </c>
      <c r="T13439" s="1192">
        <v>44926</v>
      </c>
      <c r="V13439" s="1192">
        <v>64</v>
      </c>
    </row>
    <row r="13440" spans="1:22" s="1192" customFormat="1" ht="14.4" x14ac:dyDescent="0.3">
      <c r="A13440" s="1192" t="s">
        <v>191</v>
      </c>
      <c r="E13440" s="1741" t="s">
        <v>80</v>
      </c>
      <c r="F13440" s="1741"/>
      <c r="G13440" s="1277" t="s">
        <v>20</v>
      </c>
      <c r="H13440" s="1219">
        <v>1.9E-2</v>
      </c>
      <c r="K13440" s="1192" t="s">
        <v>3901</v>
      </c>
      <c r="L13440" s="1192" t="s">
        <v>430</v>
      </c>
      <c r="P13440" s="1192" t="s">
        <v>3904</v>
      </c>
      <c r="V13440" s="1192">
        <v>28</v>
      </c>
    </row>
    <row r="13441" spans="1:22" s="1192" customFormat="1" ht="14.4" x14ac:dyDescent="0.3">
      <c r="A13441" s="1192" t="s">
        <v>191</v>
      </c>
      <c r="E13441" s="1741" t="s">
        <v>213</v>
      </c>
      <c r="F13441" s="1741"/>
      <c r="G13441" s="1277" t="s">
        <v>20</v>
      </c>
      <c r="H13441" s="1219">
        <v>6.1999999999999998E-3</v>
      </c>
      <c r="K13441" s="1192" t="s">
        <v>3901</v>
      </c>
      <c r="L13441" s="1192" t="s">
        <v>432</v>
      </c>
      <c r="P13441" s="1192" t="s">
        <v>3906</v>
      </c>
      <c r="V13441" s="1192">
        <v>47</v>
      </c>
    </row>
    <row r="13442" spans="1:22" s="1192" customFormat="1" ht="14.4" x14ac:dyDescent="0.3">
      <c r="A13442" s="1192" t="s">
        <v>191</v>
      </c>
      <c r="E13442" s="1741" t="s">
        <v>209</v>
      </c>
      <c r="F13442" s="1741"/>
      <c r="G13442" s="1277" t="s">
        <v>20</v>
      </c>
      <c r="H13442" s="1219">
        <v>5.7000000000000002E-3</v>
      </c>
      <c r="K13442" s="1192" t="s">
        <v>3901</v>
      </c>
      <c r="L13442" s="1192" t="s">
        <v>432</v>
      </c>
      <c r="P13442" s="1192" t="s">
        <v>3907</v>
      </c>
      <c r="V13442" s="1192">
        <v>74</v>
      </c>
    </row>
    <row r="13443" spans="1:22" s="1192" customFormat="1" ht="14.4" x14ac:dyDescent="0.3">
      <c r="A13443" s="1192" t="s">
        <v>191</v>
      </c>
      <c r="E13443" s="1750" t="s">
        <v>2405</v>
      </c>
      <c r="F13443" s="1741"/>
      <c r="G13443" s="1277"/>
      <c r="H13443" s="896"/>
      <c r="K13443" s="1192" t="s">
        <v>2418</v>
      </c>
      <c r="V13443" s="1192">
        <v>48</v>
      </c>
    </row>
    <row r="13444" spans="1:22" s="1192" customFormat="1" ht="14.4" x14ac:dyDescent="0.3">
      <c r="A13444" s="1192" t="s">
        <v>191</v>
      </c>
      <c r="E13444" s="1741" t="s">
        <v>2033</v>
      </c>
      <c r="F13444" s="1741"/>
      <c r="G13444" s="1277" t="s">
        <v>20</v>
      </c>
      <c r="H13444" s="1219">
        <v>3.0000000000000001E-3</v>
      </c>
      <c r="K13444" s="1192" t="s">
        <v>3901</v>
      </c>
      <c r="L13444" s="1192" t="s">
        <v>2374</v>
      </c>
      <c r="P13444" s="1192" t="s">
        <v>3908</v>
      </c>
      <c r="V13444" s="1192">
        <v>55</v>
      </c>
    </row>
    <row r="13445" spans="1:22" s="1192" customFormat="1" ht="14.4" x14ac:dyDescent="0.3">
      <c r="A13445" s="1192" t="s">
        <v>191</v>
      </c>
      <c r="E13445" s="1741" t="s">
        <v>2034</v>
      </c>
      <c r="F13445" s="1741"/>
      <c r="G13445" s="1277" t="s">
        <v>20</v>
      </c>
      <c r="H13445" s="1219">
        <v>4.0000000000000002E-4</v>
      </c>
      <c r="K13445" s="1192" t="s">
        <v>3901</v>
      </c>
      <c r="L13445" s="1192" t="s">
        <v>2374</v>
      </c>
      <c r="P13445" s="1192" t="s">
        <v>3908</v>
      </c>
      <c r="V13445" s="1192">
        <v>65</v>
      </c>
    </row>
    <row r="13446" spans="1:22" s="1192" customFormat="1" ht="14.4" x14ac:dyDescent="0.3">
      <c r="A13446" s="1192" t="s">
        <v>191</v>
      </c>
      <c r="E13446" s="1741" t="s">
        <v>428</v>
      </c>
      <c r="F13446" s="1741"/>
      <c r="G13446" s="1277" t="s">
        <v>20</v>
      </c>
      <c r="H13446" s="1219">
        <v>5.0000000000000001E-4</v>
      </c>
      <c r="K13446" s="1192" t="s">
        <v>3901</v>
      </c>
      <c r="L13446" s="1192" t="s">
        <v>2374</v>
      </c>
      <c r="P13446" s="1192" t="s">
        <v>3909</v>
      </c>
      <c r="V13446" s="1192">
        <v>57</v>
      </c>
    </row>
    <row r="13447" spans="1:22" s="1192" customFormat="1" ht="14.4" x14ac:dyDescent="0.3">
      <c r="A13447" s="1192" t="s">
        <v>191</v>
      </c>
      <c r="E13447" s="1741" t="s">
        <v>28</v>
      </c>
      <c r="F13447" s="1741"/>
      <c r="G13447" s="1277" t="s">
        <v>19</v>
      </c>
      <c r="H13447" s="1218">
        <v>0.25</v>
      </c>
      <c r="K13447" s="1192" t="s">
        <v>3901</v>
      </c>
      <c r="L13447" s="1192" t="s">
        <v>2374</v>
      </c>
      <c r="P13447" s="1192" t="s">
        <v>3910</v>
      </c>
      <c r="V13447" s="1192">
        <v>63</v>
      </c>
    </row>
    <row r="13448" spans="1:22" s="1192" customFormat="1" ht="17.399999999999999" x14ac:dyDescent="0.3">
      <c r="A13448" s="1192" t="s">
        <v>191</v>
      </c>
      <c r="E13448" s="1746" t="s">
        <v>2843</v>
      </c>
      <c r="F13448" s="1747"/>
      <c r="G13448" s="1747"/>
      <c r="H13448" s="1747"/>
      <c r="K13448" s="1192" t="s">
        <v>4018</v>
      </c>
      <c r="V13448" s="1192">
        <v>51</v>
      </c>
    </row>
    <row r="13449" spans="1:22" s="1192" customFormat="1" ht="14.4" x14ac:dyDescent="0.3">
      <c r="A13449" s="1192" t="s">
        <v>191</v>
      </c>
      <c r="E13449" s="1743" t="s">
        <v>3523</v>
      </c>
      <c r="F13449" s="1743"/>
      <c r="G13449" s="1743"/>
      <c r="H13449" s="1743"/>
      <c r="K13449" s="1192" t="s">
        <v>4018</v>
      </c>
      <c r="V13449" s="1192">
        <v>375</v>
      </c>
    </row>
    <row r="13450" spans="1:22" s="1192" customFormat="1" ht="14.4" x14ac:dyDescent="0.3">
      <c r="A13450" s="1192" t="s">
        <v>191</v>
      </c>
      <c r="E13450" s="1750" t="s">
        <v>2389</v>
      </c>
      <c r="F13450" s="1743"/>
      <c r="G13450" s="1743"/>
      <c r="H13450" s="1743"/>
      <c r="K13450" s="1192" t="s">
        <v>2422</v>
      </c>
      <c r="V13450" s="1192">
        <v>11</v>
      </c>
    </row>
    <row r="13451" spans="1:22" s="1192" customFormat="1" ht="14.4" x14ac:dyDescent="0.3">
      <c r="A13451" s="1192" t="s">
        <v>191</v>
      </c>
      <c r="E13451" s="1743" t="s">
        <v>2391</v>
      </c>
      <c r="F13451" s="1743"/>
      <c r="G13451" s="1743"/>
      <c r="H13451" s="1743"/>
      <c r="K13451" s="1192" t="s">
        <v>4018</v>
      </c>
      <c r="V13451" s="1192">
        <v>280</v>
      </c>
    </row>
    <row r="13452" spans="1:22" s="1192" customFormat="1" ht="14.4" x14ac:dyDescent="0.3">
      <c r="A13452" s="1192" t="s">
        <v>191</v>
      </c>
      <c r="E13452" s="1743" t="s">
        <v>2392</v>
      </c>
      <c r="F13452" s="1743"/>
      <c r="G13452" s="1743"/>
      <c r="H13452" s="1743"/>
      <c r="K13452" s="1192" t="s">
        <v>4018</v>
      </c>
      <c r="V13452" s="1192">
        <v>411</v>
      </c>
    </row>
    <row r="13453" spans="1:22" s="1192" customFormat="1" ht="14.4" x14ac:dyDescent="0.3">
      <c r="A13453" s="1192" t="s">
        <v>191</v>
      </c>
      <c r="E13453" s="1743" t="s">
        <v>2393</v>
      </c>
      <c r="F13453" s="1743"/>
      <c r="G13453" s="1743"/>
      <c r="H13453" s="1743"/>
      <c r="K13453" s="1192" t="s">
        <v>4018</v>
      </c>
      <c r="V13453" s="1192">
        <v>387</v>
      </c>
    </row>
    <row r="13454" spans="1:22" s="1192" customFormat="1" ht="14.4" x14ac:dyDescent="0.3">
      <c r="A13454" s="1192" t="s">
        <v>191</v>
      </c>
      <c r="E13454" s="1743" t="s">
        <v>6684</v>
      </c>
      <c r="F13454" s="1743"/>
      <c r="G13454" s="1743"/>
      <c r="H13454" s="1743"/>
      <c r="K13454" s="1192" t="s">
        <v>4018</v>
      </c>
      <c r="V13454" s="1192">
        <v>1372</v>
      </c>
    </row>
    <row r="13455" spans="1:22" s="1192" customFormat="1" ht="14.4" x14ac:dyDescent="0.3">
      <c r="A13455" s="1192" t="s">
        <v>191</v>
      </c>
      <c r="E13455" s="1743" t="s">
        <v>4500</v>
      </c>
      <c r="F13455" s="1743"/>
      <c r="G13455" s="1743"/>
      <c r="H13455" s="1743"/>
      <c r="K13455" s="1192" t="s">
        <v>4018</v>
      </c>
      <c r="V13455" s="1192">
        <v>247</v>
      </c>
    </row>
    <row r="13456" spans="1:22" s="1192" customFormat="1" ht="14.4" x14ac:dyDescent="0.3">
      <c r="A13456" s="1192" t="s">
        <v>191</v>
      </c>
      <c r="E13456" s="1750" t="s">
        <v>2394</v>
      </c>
      <c r="F13456" s="1743"/>
      <c r="G13456" s="1743"/>
      <c r="H13456" s="1743"/>
      <c r="K13456" s="1192" t="s">
        <v>2423</v>
      </c>
      <c r="V13456" s="1192">
        <v>46</v>
      </c>
    </row>
    <row r="13457" spans="1:22" s="1192" customFormat="1" ht="14.4" x14ac:dyDescent="0.3">
      <c r="A13457" s="1192" t="s">
        <v>191</v>
      </c>
      <c r="E13457" s="1741" t="s">
        <v>7</v>
      </c>
      <c r="F13457" s="1741"/>
      <c r="G13457" s="1277" t="s">
        <v>19</v>
      </c>
      <c r="H13457" s="1218">
        <v>141.11000000000001</v>
      </c>
      <c r="K13457" s="1192" t="s">
        <v>4018</v>
      </c>
      <c r="L13457" s="1192" t="s">
        <v>430</v>
      </c>
      <c r="P13457" s="1192" t="s">
        <v>4020</v>
      </c>
      <c r="V13457" s="1192">
        <v>14</v>
      </c>
    </row>
    <row r="13458" spans="1:22" s="1192" customFormat="1" ht="14.4" x14ac:dyDescent="0.3">
      <c r="A13458" s="1192" t="s">
        <v>191</v>
      </c>
      <c r="E13458" s="1741" t="s">
        <v>80</v>
      </c>
      <c r="F13458" s="1741"/>
      <c r="G13458" s="1277" t="s">
        <v>29</v>
      </c>
      <c r="H13458" s="1219">
        <v>2.1339999999999999</v>
      </c>
      <c r="K13458" s="1192" t="s">
        <v>4018</v>
      </c>
      <c r="L13458" s="1192" t="s">
        <v>430</v>
      </c>
      <c r="P13458" s="1192" t="s">
        <v>4021</v>
      </c>
      <c r="V13458" s="1192">
        <v>28</v>
      </c>
    </row>
    <row r="13459" spans="1:22" s="1192" customFormat="1" ht="14.4" x14ac:dyDescent="0.3">
      <c r="A13459" s="1192" t="s">
        <v>191</v>
      </c>
      <c r="E13459" s="1741" t="s">
        <v>213</v>
      </c>
      <c r="F13459" s="1741"/>
      <c r="G13459" s="1277" t="s">
        <v>29</v>
      </c>
      <c r="H13459" s="1219">
        <v>2.4047000000000001</v>
      </c>
      <c r="K13459" s="1192" t="s">
        <v>4018</v>
      </c>
      <c r="L13459" s="1192" t="s">
        <v>432</v>
      </c>
      <c r="P13459" s="1192" t="s">
        <v>4027</v>
      </c>
      <c r="V13459" s="1192">
        <v>47</v>
      </c>
    </row>
    <row r="13460" spans="1:22" s="1192" customFormat="1" ht="14.4" x14ac:dyDescent="0.3">
      <c r="A13460" s="1192" t="s">
        <v>191</v>
      </c>
      <c r="E13460" s="1741" t="s">
        <v>209</v>
      </c>
      <c r="F13460" s="1741"/>
      <c r="G13460" s="1277" t="s">
        <v>29</v>
      </c>
      <c r="H13460" s="1219">
        <v>2.1955</v>
      </c>
      <c r="K13460" s="1192" t="s">
        <v>4018</v>
      </c>
      <c r="L13460" s="1192" t="s">
        <v>432</v>
      </c>
      <c r="P13460" s="1192" t="s">
        <v>4028</v>
      </c>
      <c r="V13460" s="1192">
        <v>74</v>
      </c>
    </row>
    <row r="13461" spans="1:22" s="1192" customFormat="1" ht="14.4" x14ac:dyDescent="0.3">
      <c r="A13461" s="1192" t="s">
        <v>191</v>
      </c>
      <c r="E13461" s="1750" t="s">
        <v>2405</v>
      </c>
      <c r="F13461" s="1741"/>
      <c r="G13461" s="1277"/>
      <c r="H13461" s="896"/>
      <c r="K13461" s="1192" t="s">
        <v>2526</v>
      </c>
      <c r="V13461" s="1192">
        <v>48</v>
      </c>
    </row>
    <row r="13462" spans="1:22" s="1192" customFormat="1" ht="14.4" x14ac:dyDescent="0.3">
      <c r="A13462" s="1192" t="s">
        <v>191</v>
      </c>
      <c r="E13462" s="1741" t="s">
        <v>2033</v>
      </c>
      <c r="F13462" s="1741"/>
      <c r="G13462" s="1277" t="s">
        <v>20</v>
      </c>
      <c r="H13462" s="1219">
        <v>3.0000000000000001E-3</v>
      </c>
      <c r="K13462" s="1192" t="s">
        <v>4018</v>
      </c>
      <c r="L13462" s="1192" t="s">
        <v>2374</v>
      </c>
      <c r="P13462" s="1192" t="s">
        <v>4029</v>
      </c>
      <c r="V13462" s="1192">
        <v>55</v>
      </c>
    </row>
    <row r="13463" spans="1:22" s="1192" customFormat="1" ht="14.4" x14ac:dyDescent="0.3">
      <c r="A13463" s="1192" t="s">
        <v>191</v>
      </c>
      <c r="E13463" s="1741" t="s">
        <v>2034</v>
      </c>
      <c r="F13463" s="1741"/>
      <c r="G13463" s="1277" t="s">
        <v>20</v>
      </c>
      <c r="H13463" s="1219">
        <v>4.0000000000000002E-4</v>
      </c>
      <c r="K13463" s="1192" t="s">
        <v>4018</v>
      </c>
      <c r="L13463" s="1192" t="s">
        <v>2374</v>
      </c>
      <c r="P13463" s="1192" t="s">
        <v>4029</v>
      </c>
      <c r="V13463" s="1192">
        <v>65</v>
      </c>
    </row>
    <row r="13464" spans="1:22" s="1192" customFormat="1" ht="14.4" x14ac:dyDescent="0.3">
      <c r="A13464" s="1192" t="s">
        <v>191</v>
      </c>
      <c r="E13464" s="1741" t="s">
        <v>428</v>
      </c>
      <c r="F13464" s="1741"/>
      <c r="G13464" s="1277" t="s">
        <v>20</v>
      </c>
      <c r="H13464" s="1219">
        <v>5.0000000000000001E-4</v>
      </c>
      <c r="K13464" s="1192" t="s">
        <v>4018</v>
      </c>
      <c r="L13464" s="1192" t="s">
        <v>2374</v>
      </c>
      <c r="P13464" s="1192" t="s">
        <v>4030</v>
      </c>
      <c r="V13464" s="1192">
        <v>57</v>
      </c>
    </row>
    <row r="13465" spans="1:22" s="1192" customFormat="1" ht="14.4" x14ac:dyDescent="0.3">
      <c r="A13465" s="1192" t="s">
        <v>191</v>
      </c>
      <c r="E13465" s="1741" t="s">
        <v>28</v>
      </c>
      <c r="F13465" s="1741"/>
      <c r="G13465" s="1277" t="s">
        <v>19</v>
      </c>
      <c r="H13465" s="1218">
        <v>0.25</v>
      </c>
      <c r="K13465" s="1192" t="s">
        <v>4018</v>
      </c>
      <c r="L13465" s="1192" t="s">
        <v>2374</v>
      </c>
      <c r="P13465" s="1192" t="s">
        <v>4031</v>
      </c>
      <c r="V13465" s="1192">
        <v>63</v>
      </c>
    </row>
    <row r="13466" spans="1:22" s="1192" customFormat="1" ht="17.399999999999999" x14ac:dyDescent="0.3">
      <c r="A13466" s="1192" t="s">
        <v>191</v>
      </c>
      <c r="E13466" s="1746" t="s">
        <v>617</v>
      </c>
      <c r="F13466" s="1747"/>
      <c r="G13466" s="1747"/>
      <c r="H13466" s="1747"/>
      <c r="K13466" s="1192" t="s">
        <v>3524</v>
      </c>
      <c r="V13466" s="1192">
        <v>54</v>
      </c>
    </row>
    <row r="13467" spans="1:22" s="1192" customFormat="1" ht="14.4" x14ac:dyDescent="0.3">
      <c r="A13467" s="1192" t="s">
        <v>191</v>
      </c>
      <c r="E13467" s="1743" t="s">
        <v>3525</v>
      </c>
      <c r="F13467" s="1743"/>
      <c r="G13467" s="1743"/>
      <c r="H13467" s="1743"/>
      <c r="K13467" s="1192" t="s">
        <v>3524</v>
      </c>
      <c r="V13467" s="1192">
        <v>392</v>
      </c>
    </row>
    <row r="13468" spans="1:22" s="1192" customFormat="1" ht="14.4" x14ac:dyDescent="0.3">
      <c r="A13468" s="1192" t="s">
        <v>191</v>
      </c>
      <c r="E13468" s="1750" t="s">
        <v>2389</v>
      </c>
      <c r="F13468" s="1743"/>
      <c r="G13468" s="1743"/>
      <c r="H13468" s="1743"/>
      <c r="K13468" s="1192" t="s">
        <v>2529</v>
      </c>
      <c r="V13468" s="1192">
        <v>11</v>
      </c>
    </row>
    <row r="13469" spans="1:22" s="1192" customFormat="1" ht="14.4" x14ac:dyDescent="0.3">
      <c r="A13469" s="1192" t="s">
        <v>191</v>
      </c>
      <c r="E13469" s="1743" t="s">
        <v>2391</v>
      </c>
      <c r="F13469" s="1743"/>
      <c r="G13469" s="1743"/>
      <c r="H13469" s="1743"/>
      <c r="K13469" s="1192" t="s">
        <v>3524</v>
      </c>
      <c r="V13469" s="1192">
        <v>280</v>
      </c>
    </row>
    <row r="13470" spans="1:22" s="1192" customFormat="1" ht="14.4" x14ac:dyDescent="0.3">
      <c r="A13470" s="1192" t="s">
        <v>191</v>
      </c>
      <c r="E13470" s="1743" t="s">
        <v>2392</v>
      </c>
      <c r="F13470" s="1743"/>
      <c r="G13470" s="1743"/>
      <c r="H13470" s="1743"/>
      <c r="K13470" s="1192" t="s">
        <v>3524</v>
      </c>
      <c r="V13470" s="1192">
        <v>411</v>
      </c>
    </row>
    <row r="13471" spans="1:22" s="1192" customFormat="1" ht="14.4" x14ac:dyDescent="0.3">
      <c r="A13471" s="1192" t="s">
        <v>191</v>
      </c>
      <c r="E13471" s="1743" t="s">
        <v>2393</v>
      </c>
      <c r="F13471" s="1743"/>
      <c r="G13471" s="1743"/>
      <c r="H13471" s="1743"/>
      <c r="K13471" s="1192" t="s">
        <v>3524</v>
      </c>
      <c r="V13471" s="1192">
        <v>387</v>
      </c>
    </row>
    <row r="13472" spans="1:22" s="1192" customFormat="1" ht="14.4" x14ac:dyDescent="0.3">
      <c r="A13472" s="1192" t="s">
        <v>191</v>
      </c>
      <c r="E13472" s="1743" t="s">
        <v>4618</v>
      </c>
      <c r="F13472" s="1743"/>
      <c r="G13472" s="1743"/>
      <c r="H13472" s="1743"/>
      <c r="K13472" s="1192" t="s">
        <v>3524</v>
      </c>
      <c r="V13472" s="1192">
        <v>1404</v>
      </c>
    </row>
    <row r="13473" spans="1:22" s="1192" customFormat="1" ht="14.4" x14ac:dyDescent="0.3">
      <c r="A13473" s="1192" t="s">
        <v>191</v>
      </c>
      <c r="E13473" s="1743" t="s">
        <v>4500</v>
      </c>
      <c r="F13473" s="1743"/>
      <c r="G13473" s="1743"/>
      <c r="H13473" s="1743"/>
      <c r="K13473" s="1192" t="s">
        <v>3524</v>
      </c>
      <c r="V13473" s="1192">
        <v>247</v>
      </c>
    </row>
    <row r="13474" spans="1:22" s="1192" customFormat="1" ht="14.4" x14ac:dyDescent="0.3">
      <c r="A13474" s="1192" t="s">
        <v>191</v>
      </c>
      <c r="E13474" s="1750" t="s">
        <v>2394</v>
      </c>
      <c r="F13474" s="1743"/>
      <c r="G13474" s="1743"/>
      <c r="H13474" s="1743"/>
      <c r="K13474" s="1192" t="s">
        <v>2531</v>
      </c>
      <c r="V13474" s="1192">
        <v>46</v>
      </c>
    </row>
    <row r="13475" spans="1:22" s="1192" customFormat="1" ht="14.4" x14ac:dyDescent="0.3">
      <c r="A13475" s="1192" t="s">
        <v>191</v>
      </c>
      <c r="E13475" s="1741" t="s">
        <v>7</v>
      </c>
      <c r="F13475" s="1741"/>
      <c r="G13475" s="1277" t="s">
        <v>19</v>
      </c>
      <c r="H13475" s="1218">
        <v>1467.51</v>
      </c>
      <c r="K13475" s="1192" t="s">
        <v>3524</v>
      </c>
      <c r="L13475" s="1192" t="s">
        <v>430</v>
      </c>
      <c r="P13475" s="1192" t="s">
        <v>3526</v>
      </c>
      <c r="V13475" s="1192">
        <v>14</v>
      </c>
    </row>
    <row r="13476" spans="1:22" s="1192" customFormat="1" ht="14.4" x14ac:dyDescent="0.3">
      <c r="A13476" s="1192" t="s">
        <v>191</v>
      </c>
      <c r="E13476" s="1741" t="s">
        <v>80</v>
      </c>
      <c r="F13476" s="1741"/>
      <c r="G13476" s="1277" t="s">
        <v>29</v>
      </c>
      <c r="H13476" s="1219">
        <v>1.1062000000000001</v>
      </c>
      <c r="K13476" s="1192" t="s">
        <v>3524</v>
      </c>
      <c r="L13476" s="1192" t="s">
        <v>430</v>
      </c>
      <c r="P13476" s="1192" t="s">
        <v>3527</v>
      </c>
      <c r="V13476" s="1192">
        <v>28</v>
      </c>
    </row>
    <row r="13477" spans="1:22" s="1192" customFormat="1" ht="14.4" x14ac:dyDescent="0.3">
      <c r="A13477" s="1192" t="s">
        <v>191</v>
      </c>
      <c r="E13477" s="1741" t="s">
        <v>215</v>
      </c>
      <c r="F13477" s="1741"/>
      <c r="G13477" s="1277" t="s">
        <v>29</v>
      </c>
      <c r="H13477" s="1219">
        <v>3.1511</v>
      </c>
      <c r="K13477" s="1192" t="s">
        <v>3524</v>
      </c>
      <c r="L13477" s="1192" t="s">
        <v>432</v>
      </c>
      <c r="P13477" s="1192" t="s">
        <v>6685</v>
      </c>
      <c r="V13477" s="1192">
        <v>66</v>
      </c>
    </row>
    <row r="13478" spans="1:22" s="1192" customFormat="1" ht="14.4" x14ac:dyDescent="0.3">
      <c r="A13478" s="1192" t="s">
        <v>191</v>
      </c>
      <c r="E13478" s="1741" t="s">
        <v>211</v>
      </c>
      <c r="F13478" s="1741"/>
      <c r="G13478" s="1277" t="s">
        <v>29</v>
      </c>
      <c r="H13478" s="1219">
        <v>2.992</v>
      </c>
      <c r="K13478" s="1192" t="s">
        <v>3524</v>
      </c>
      <c r="L13478" s="1192" t="s">
        <v>432</v>
      </c>
      <c r="P13478" s="1192" t="s">
        <v>6686</v>
      </c>
      <c r="V13478" s="1192">
        <v>93</v>
      </c>
    </row>
    <row r="13479" spans="1:22" s="1192" customFormat="1" ht="14.4" x14ac:dyDescent="0.3">
      <c r="A13479" s="1192" t="s">
        <v>191</v>
      </c>
      <c r="E13479" s="1750" t="s">
        <v>2405</v>
      </c>
      <c r="F13479" s="1741"/>
      <c r="G13479" s="1277"/>
      <c r="H13479" s="896"/>
      <c r="K13479" s="1192" t="s">
        <v>2532</v>
      </c>
      <c r="V13479" s="1192">
        <v>48</v>
      </c>
    </row>
    <row r="13480" spans="1:22" s="1192" customFormat="1" ht="14.4" x14ac:dyDescent="0.3">
      <c r="A13480" s="1192" t="s">
        <v>191</v>
      </c>
      <c r="E13480" s="1741" t="s">
        <v>2033</v>
      </c>
      <c r="F13480" s="1741"/>
      <c r="G13480" s="1277" t="s">
        <v>20</v>
      </c>
      <c r="H13480" s="1219">
        <v>3.0000000000000001E-3</v>
      </c>
      <c r="K13480" s="1192" t="s">
        <v>3524</v>
      </c>
      <c r="L13480" s="1192" t="s">
        <v>2374</v>
      </c>
      <c r="P13480" s="1192" t="s">
        <v>3528</v>
      </c>
      <c r="V13480" s="1192">
        <v>55</v>
      </c>
    </row>
    <row r="13481" spans="1:22" s="1192" customFormat="1" ht="14.4" x14ac:dyDescent="0.3">
      <c r="A13481" s="1192" t="s">
        <v>191</v>
      </c>
      <c r="E13481" s="1741" t="s">
        <v>2034</v>
      </c>
      <c r="F13481" s="1741"/>
      <c r="G13481" s="1277" t="s">
        <v>20</v>
      </c>
      <c r="H13481" s="1219">
        <v>4.0000000000000002E-4</v>
      </c>
      <c r="K13481" s="1192" t="s">
        <v>3524</v>
      </c>
      <c r="L13481" s="1192" t="s">
        <v>2374</v>
      </c>
      <c r="P13481" s="1192" t="s">
        <v>3528</v>
      </c>
      <c r="V13481" s="1192">
        <v>65</v>
      </c>
    </row>
    <row r="13482" spans="1:22" s="1192" customFormat="1" ht="14.4" x14ac:dyDescent="0.3">
      <c r="A13482" s="1192" t="s">
        <v>191</v>
      </c>
      <c r="E13482" s="1741" t="s">
        <v>428</v>
      </c>
      <c r="F13482" s="1741"/>
      <c r="G13482" s="1277" t="s">
        <v>20</v>
      </c>
      <c r="H13482" s="1219">
        <v>5.0000000000000001E-4</v>
      </c>
      <c r="K13482" s="1192" t="s">
        <v>3524</v>
      </c>
      <c r="L13482" s="1192" t="s">
        <v>2374</v>
      </c>
      <c r="P13482" s="1192" t="s">
        <v>3529</v>
      </c>
      <c r="V13482" s="1192">
        <v>57</v>
      </c>
    </row>
    <row r="13483" spans="1:22" s="1192" customFormat="1" ht="14.4" x14ac:dyDescent="0.3">
      <c r="A13483" s="1192" t="s">
        <v>191</v>
      </c>
      <c r="E13483" s="1741" t="s">
        <v>28</v>
      </c>
      <c r="F13483" s="1741"/>
      <c r="G13483" s="1277" t="s">
        <v>19</v>
      </c>
      <c r="H13483" s="1218">
        <v>0.25</v>
      </c>
      <c r="K13483" s="1192" t="s">
        <v>3524</v>
      </c>
      <c r="L13483" s="1192" t="s">
        <v>2374</v>
      </c>
      <c r="P13483" s="1192" t="s">
        <v>3530</v>
      </c>
      <c r="V13483" s="1192">
        <v>63</v>
      </c>
    </row>
    <row r="13484" spans="1:22" s="1192" customFormat="1" ht="17.399999999999999" x14ac:dyDescent="0.3">
      <c r="A13484" s="1192" t="s">
        <v>191</v>
      </c>
      <c r="E13484" s="1746" t="s">
        <v>618</v>
      </c>
      <c r="F13484" s="1747"/>
      <c r="G13484" s="1747"/>
      <c r="H13484" s="1747"/>
      <c r="K13484" s="1192" t="s">
        <v>3531</v>
      </c>
      <c r="V13484" s="1192">
        <v>72</v>
      </c>
    </row>
    <row r="13485" spans="1:22" s="1192" customFormat="1" ht="14.4" x14ac:dyDescent="0.3">
      <c r="A13485" s="1192" t="s">
        <v>191</v>
      </c>
      <c r="E13485" s="1743" t="s">
        <v>3532</v>
      </c>
      <c r="F13485" s="1743"/>
      <c r="G13485" s="1743"/>
      <c r="H13485" s="1743"/>
      <c r="K13485" s="1192" t="s">
        <v>3531</v>
      </c>
      <c r="V13485" s="1192">
        <v>369</v>
      </c>
    </row>
    <row r="13486" spans="1:22" s="1192" customFormat="1" ht="14.4" x14ac:dyDescent="0.3">
      <c r="A13486" s="1192" t="s">
        <v>191</v>
      </c>
      <c r="E13486" s="1750" t="s">
        <v>2389</v>
      </c>
      <c r="F13486" s="1743"/>
      <c r="G13486" s="1743"/>
      <c r="H13486" s="1743"/>
      <c r="K13486" s="1192" t="s">
        <v>2424</v>
      </c>
      <c r="V13486" s="1192">
        <v>11</v>
      </c>
    </row>
    <row r="13487" spans="1:22" s="1192" customFormat="1" ht="14.4" x14ac:dyDescent="0.3">
      <c r="A13487" s="1192" t="s">
        <v>191</v>
      </c>
      <c r="E13487" s="1743" t="s">
        <v>2391</v>
      </c>
      <c r="F13487" s="1743"/>
      <c r="G13487" s="1743"/>
      <c r="H13487" s="1743"/>
      <c r="K13487" s="1192" t="s">
        <v>3531</v>
      </c>
      <c r="V13487" s="1192">
        <v>280</v>
      </c>
    </row>
    <row r="13488" spans="1:22" s="1192" customFormat="1" ht="14.4" x14ac:dyDescent="0.3">
      <c r="A13488" s="1192" t="s">
        <v>191</v>
      </c>
      <c r="E13488" s="1743" t="s">
        <v>2392</v>
      </c>
      <c r="F13488" s="1743"/>
      <c r="G13488" s="1743"/>
      <c r="H13488" s="1743"/>
      <c r="K13488" s="1192" t="s">
        <v>3531</v>
      </c>
      <c r="V13488" s="1192">
        <v>411</v>
      </c>
    </row>
    <row r="13489" spans="1:22" s="1192" customFormat="1" ht="14.4" x14ac:dyDescent="0.3">
      <c r="A13489" s="1192" t="s">
        <v>191</v>
      </c>
      <c r="E13489" s="1743" t="s">
        <v>2393</v>
      </c>
      <c r="F13489" s="1743"/>
      <c r="G13489" s="1743"/>
      <c r="H13489" s="1743"/>
      <c r="K13489" s="1192" t="s">
        <v>3531</v>
      </c>
      <c r="V13489" s="1192">
        <v>387</v>
      </c>
    </row>
    <row r="13490" spans="1:22" s="1192" customFormat="1" ht="14.4" x14ac:dyDescent="0.3">
      <c r="A13490" s="1192" t="s">
        <v>191</v>
      </c>
      <c r="E13490" s="1743" t="s">
        <v>4500</v>
      </c>
      <c r="F13490" s="1743"/>
      <c r="G13490" s="1743"/>
      <c r="H13490" s="1743"/>
      <c r="K13490" s="1192" t="s">
        <v>3531</v>
      </c>
      <c r="V13490" s="1192">
        <v>247</v>
      </c>
    </row>
    <row r="13491" spans="1:22" s="1192" customFormat="1" ht="14.4" x14ac:dyDescent="0.3">
      <c r="A13491" s="1192" t="s">
        <v>191</v>
      </c>
      <c r="E13491" s="1750" t="s">
        <v>2394</v>
      </c>
      <c r="F13491" s="1743"/>
      <c r="G13491" s="1743"/>
      <c r="H13491" s="1743"/>
      <c r="K13491" s="1192" t="s">
        <v>2425</v>
      </c>
      <c r="V13491" s="1192">
        <v>46</v>
      </c>
    </row>
    <row r="13492" spans="1:22" s="1192" customFormat="1" ht="14.4" x14ac:dyDescent="0.3">
      <c r="A13492" s="1192" t="s">
        <v>191</v>
      </c>
      <c r="E13492" s="1741" t="s">
        <v>7</v>
      </c>
      <c r="F13492" s="1741"/>
      <c r="G13492" s="1277" t="s">
        <v>19</v>
      </c>
      <c r="H13492" s="1218">
        <v>2066.0100000000002</v>
      </c>
      <c r="K13492" s="1192" t="s">
        <v>3531</v>
      </c>
      <c r="L13492" s="1192" t="s">
        <v>430</v>
      </c>
      <c r="P13492" s="1192" t="s">
        <v>3533</v>
      </c>
      <c r="V13492" s="1192">
        <v>14</v>
      </c>
    </row>
    <row r="13493" spans="1:22" s="1192" customFormat="1" ht="14.4" x14ac:dyDescent="0.3">
      <c r="A13493" s="1192" t="s">
        <v>191</v>
      </c>
      <c r="E13493" s="1741" t="s">
        <v>80</v>
      </c>
      <c r="F13493" s="1741"/>
      <c r="G13493" s="1277" t="s">
        <v>29</v>
      </c>
      <c r="H13493" s="1219">
        <v>1.9520999999999999</v>
      </c>
      <c r="K13493" s="1192" t="s">
        <v>3531</v>
      </c>
      <c r="L13493" s="1192" t="s">
        <v>430</v>
      </c>
      <c r="P13493" s="1192" t="s">
        <v>3534</v>
      </c>
      <c r="V13493" s="1192">
        <v>28</v>
      </c>
    </row>
    <row r="13494" spans="1:22" s="1192" customFormat="1" ht="14.4" x14ac:dyDescent="0.3">
      <c r="A13494" s="1192" t="s">
        <v>191</v>
      </c>
      <c r="E13494" s="1741" t="s">
        <v>215</v>
      </c>
      <c r="F13494" s="1741"/>
      <c r="G13494" s="1277" t="s">
        <v>29</v>
      </c>
      <c r="H13494" s="1219">
        <v>3.1511</v>
      </c>
      <c r="K13494" s="1192" t="s">
        <v>3531</v>
      </c>
      <c r="L13494" s="1192" t="s">
        <v>432</v>
      </c>
      <c r="P13494" s="1192" t="s">
        <v>6687</v>
      </c>
      <c r="V13494" s="1192">
        <v>66</v>
      </c>
    </row>
    <row r="13495" spans="1:22" s="1192" customFormat="1" ht="14.4" x14ac:dyDescent="0.3">
      <c r="A13495" s="1192" t="s">
        <v>191</v>
      </c>
      <c r="E13495" s="1741" t="s">
        <v>211</v>
      </c>
      <c r="F13495" s="1741"/>
      <c r="G13495" s="1277" t="s">
        <v>29</v>
      </c>
      <c r="H13495" s="1219">
        <v>2.992</v>
      </c>
      <c r="K13495" s="1192" t="s">
        <v>3531</v>
      </c>
      <c r="L13495" s="1192" t="s">
        <v>432</v>
      </c>
      <c r="P13495" s="1192" t="s">
        <v>6688</v>
      </c>
      <c r="V13495" s="1192">
        <v>93</v>
      </c>
    </row>
    <row r="13496" spans="1:22" s="1192" customFormat="1" ht="14.4" x14ac:dyDescent="0.3">
      <c r="A13496" s="1192" t="s">
        <v>191</v>
      </c>
      <c r="E13496" s="1750" t="s">
        <v>2405</v>
      </c>
      <c r="F13496" s="1741"/>
      <c r="G13496" s="1277"/>
      <c r="H13496" s="896"/>
      <c r="K13496" s="1192" t="s">
        <v>2427</v>
      </c>
      <c r="V13496" s="1192">
        <v>48</v>
      </c>
    </row>
    <row r="13497" spans="1:22" s="1192" customFormat="1" ht="14.4" x14ac:dyDescent="0.3">
      <c r="A13497" s="1192" t="s">
        <v>191</v>
      </c>
      <c r="E13497" s="1741" t="s">
        <v>2033</v>
      </c>
      <c r="F13497" s="1741"/>
      <c r="G13497" s="1277" t="s">
        <v>20</v>
      </c>
      <c r="H13497" s="1219">
        <v>3.0000000000000001E-3</v>
      </c>
      <c r="K13497" s="1192" t="s">
        <v>3531</v>
      </c>
      <c r="L13497" s="1192" t="s">
        <v>2374</v>
      </c>
      <c r="P13497" s="1192" t="s">
        <v>3535</v>
      </c>
      <c r="V13497" s="1192">
        <v>55</v>
      </c>
    </row>
    <row r="13498" spans="1:22" s="1192" customFormat="1" ht="14.4" x14ac:dyDescent="0.3">
      <c r="A13498" s="1192" t="s">
        <v>191</v>
      </c>
      <c r="E13498" s="1741" t="s">
        <v>2034</v>
      </c>
      <c r="F13498" s="1741"/>
      <c r="G13498" s="1277" t="s">
        <v>20</v>
      </c>
      <c r="H13498" s="1219">
        <v>4.0000000000000002E-4</v>
      </c>
      <c r="K13498" s="1192" t="s">
        <v>3531</v>
      </c>
      <c r="L13498" s="1192" t="s">
        <v>2374</v>
      </c>
      <c r="P13498" s="1192" t="s">
        <v>3535</v>
      </c>
      <c r="V13498" s="1192">
        <v>65</v>
      </c>
    </row>
    <row r="13499" spans="1:22" s="1192" customFormat="1" ht="14.4" x14ac:dyDescent="0.3">
      <c r="A13499" s="1192" t="s">
        <v>191</v>
      </c>
      <c r="E13499" s="1741" t="s">
        <v>428</v>
      </c>
      <c r="F13499" s="1741"/>
      <c r="G13499" s="1277" t="s">
        <v>20</v>
      </c>
      <c r="H13499" s="1219">
        <v>5.0000000000000001E-4</v>
      </c>
      <c r="K13499" s="1192" t="s">
        <v>3531</v>
      </c>
      <c r="L13499" s="1192" t="s">
        <v>2374</v>
      </c>
      <c r="P13499" s="1192" t="s">
        <v>3536</v>
      </c>
      <c r="V13499" s="1192">
        <v>57</v>
      </c>
    </row>
    <row r="13500" spans="1:22" s="1192" customFormat="1" ht="14.4" x14ac:dyDescent="0.3">
      <c r="A13500" s="1192" t="s">
        <v>191</v>
      </c>
      <c r="E13500" s="1741" t="s">
        <v>28</v>
      </c>
      <c r="F13500" s="1741"/>
      <c r="G13500" s="1277" t="s">
        <v>19</v>
      </c>
      <c r="H13500" s="1218">
        <v>0.25</v>
      </c>
      <c r="K13500" s="1192" t="s">
        <v>3531</v>
      </c>
      <c r="L13500" s="1192" t="s">
        <v>2374</v>
      </c>
      <c r="P13500" s="1192" t="s">
        <v>3537</v>
      </c>
      <c r="V13500" s="1192">
        <v>63</v>
      </c>
    </row>
    <row r="13501" spans="1:22" s="1192" customFormat="1" ht="17.399999999999999" x14ac:dyDescent="0.3">
      <c r="A13501" s="1192" t="s">
        <v>191</v>
      </c>
      <c r="E13501" s="1746" t="s">
        <v>592</v>
      </c>
      <c r="F13501" s="1747"/>
      <c r="G13501" s="1747"/>
      <c r="H13501" s="1747"/>
      <c r="K13501" s="1192" t="s">
        <v>2543</v>
      </c>
      <c r="V13501" s="1192">
        <v>47</v>
      </c>
    </row>
    <row r="13502" spans="1:22" s="1192" customFormat="1" ht="14.4" x14ac:dyDescent="0.3">
      <c r="A13502" s="1192" t="s">
        <v>191</v>
      </c>
      <c r="E13502" s="1743" t="s">
        <v>3538</v>
      </c>
      <c r="F13502" s="1743"/>
      <c r="G13502" s="1743"/>
      <c r="H13502" s="1743"/>
      <c r="K13502" s="1192" t="s">
        <v>2543</v>
      </c>
      <c r="V13502" s="1192">
        <v>682</v>
      </c>
    </row>
    <row r="13503" spans="1:22" s="1192" customFormat="1" ht="14.4" x14ac:dyDescent="0.3">
      <c r="A13503" s="1192" t="s">
        <v>191</v>
      </c>
      <c r="E13503" s="1750" t="s">
        <v>2389</v>
      </c>
      <c r="F13503" s="1743"/>
      <c r="G13503" s="1743"/>
      <c r="H13503" s="1743"/>
      <c r="K13503" s="1192" t="s">
        <v>2430</v>
      </c>
      <c r="V13503" s="1192">
        <v>11</v>
      </c>
    </row>
    <row r="13504" spans="1:22" s="1192" customFormat="1" ht="14.4" x14ac:dyDescent="0.3">
      <c r="A13504" s="1192" t="s">
        <v>191</v>
      </c>
      <c r="E13504" s="1743" t="s">
        <v>2391</v>
      </c>
      <c r="F13504" s="1743"/>
      <c r="G13504" s="1743"/>
      <c r="H13504" s="1743"/>
      <c r="K13504" s="1192" t="s">
        <v>2543</v>
      </c>
      <c r="V13504" s="1192">
        <v>280</v>
      </c>
    </row>
    <row r="13505" spans="1:22" s="1192" customFormat="1" ht="14.4" x14ac:dyDescent="0.3">
      <c r="A13505" s="1192" t="s">
        <v>191</v>
      </c>
      <c r="E13505" s="1743" t="s">
        <v>2392</v>
      </c>
      <c r="F13505" s="1743"/>
      <c r="G13505" s="1743"/>
      <c r="H13505" s="1743"/>
      <c r="K13505" s="1192" t="s">
        <v>2543</v>
      </c>
      <c r="V13505" s="1192">
        <v>411</v>
      </c>
    </row>
    <row r="13506" spans="1:22" s="1192" customFormat="1" ht="14.4" x14ac:dyDescent="0.3">
      <c r="A13506" s="1192" t="s">
        <v>191</v>
      </c>
      <c r="E13506" s="1743" t="s">
        <v>2393</v>
      </c>
      <c r="F13506" s="1743"/>
      <c r="G13506" s="1743"/>
      <c r="H13506" s="1743"/>
      <c r="K13506" s="1192" t="s">
        <v>2543</v>
      </c>
      <c r="V13506" s="1192">
        <v>387</v>
      </c>
    </row>
    <row r="13507" spans="1:22" s="1192" customFormat="1" ht="14.4" x14ac:dyDescent="0.3">
      <c r="A13507" s="1192" t="s">
        <v>191</v>
      </c>
      <c r="E13507" s="1743" t="s">
        <v>4500</v>
      </c>
      <c r="F13507" s="1743"/>
      <c r="G13507" s="1743"/>
      <c r="H13507" s="1743"/>
      <c r="K13507" s="1192" t="s">
        <v>2543</v>
      </c>
      <c r="V13507" s="1192">
        <v>247</v>
      </c>
    </row>
    <row r="13508" spans="1:22" s="1192" customFormat="1" ht="14.4" x14ac:dyDescent="0.3">
      <c r="A13508" s="1192" t="s">
        <v>191</v>
      </c>
      <c r="E13508" s="1750" t="s">
        <v>2394</v>
      </c>
      <c r="F13508" s="1743"/>
      <c r="G13508" s="1743"/>
      <c r="H13508" s="1743"/>
      <c r="K13508" s="1192" t="s">
        <v>2431</v>
      </c>
      <c r="V13508" s="1192">
        <v>46</v>
      </c>
    </row>
    <row r="13509" spans="1:22" s="1192" customFormat="1" ht="14.4" x14ac:dyDescent="0.3">
      <c r="A13509" s="1192" t="s">
        <v>191</v>
      </c>
      <c r="E13509" s="1741" t="s">
        <v>8</v>
      </c>
      <c r="F13509" s="1741"/>
      <c r="G13509" s="1277" t="s">
        <v>19</v>
      </c>
      <c r="H13509" s="1218">
        <v>7.53</v>
      </c>
      <c r="K13509" s="1192" t="s">
        <v>2543</v>
      </c>
      <c r="L13509" s="1192" t="s">
        <v>430</v>
      </c>
      <c r="P13509" s="1192" t="s">
        <v>2545</v>
      </c>
      <c r="V13509" s="1192">
        <v>31</v>
      </c>
    </row>
    <row r="13510" spans="1:22" s="1192" customFormat="1" ht="14.4" x14ac:dyDescent="0.3">
      <c r="A13510" s="1192" t="s">
        <v>191</v>
      </c>
      <c r="E13510" s="1741" t="s">
        <v>80</v>
      </c>
      <c r="F13510" s="1741"/>
      <c r="G13510" s="1277" t="s">
        <v>20</v>
      </c>
      <c r="H13510" s="1219">
        <v>1.32E-2</v>
      </c>
      <c r="K13510" s="1192" t="s">
        <v>2543</v>
      </c>
      <c r="L13510" s="1192" t="s">
        <v>430</v>
      </c>
      <c r="P13510" s="1192" t="s">
        <v>2546</v>
      </c>
      <c r="V13510" s="1192">
        <v>28</v>
      </c>
    </row>
    <row r="13511" spans="1:22" s="1192" customFormat="1" ht="14.4" x14ac:dyDescent="0.3">
      <c r="A13511" s="1192" t="s">
        <v>191</v>
      </c>
      <c r="E13511" s="1741" t="s">
        <v>213</v>
      </c>
      <c r="F13511" s="1741"/>
      <c r="G13511" s="1277" t="s">
        <v>20</v>
      </c>
      <c r="H13511" s="1219">
        <v>6.1999999999999998E-3</v>
      </c>
      <c r="K13511" s="1192" t="s">
        <v>2543</v>
      </c>
      <c r="L13511" s="1192" t="s">
        <v>432</v>
      </c>
      <c r="P13511" s="1192" t="s">
        <v>2550</v>
      </c>
      <c r="V13511" s="1192">
        <v>47</v>
      </c>
    </row>
    <row r="13512" spans="1:22" s="1192" customFormat="1" ht="14.4" x14ac:dyDescent="0.3">
      <c r="A13512" s="1192" t="s">
        <v>191</v>
      </c>
      <c r="E13512" s="1741" t="s">
        <v>209</v>
      </c>
      <c r="F13512" s="1741"/>
      <c r="G13512" s="1277" t="s">
        <v>20</v>
      </c>
      <c r="H13512" s="1219">
        <v>5.7000000000000002E-3</v>
      </c>
      <c r="K13512" s="1192" t="s">
        <v>2543</v>
      </c>
      <c r="L13512" s="1192" t="s">
        <v>432</v>
      </c>
      <c r="P13512" s="1192" t="s">
        <v>2551</v>
      </c>
      <c r="V13512" s="1192">
        <v>74</v>
      </c>
    </row>
    <row r="13513" spans="1:22" s="1192" customFormat="1" ht="14.4" x14ac:dyDescent="0.3">
      <c r="A13513" s="1192" t="s">
        <v>191</v>
      </c>
      <c r="E13513" s="1750" t="s">
        <v>2405</v>
      </c>
      <c r="F13513" s="1741"/>
      <c r="G13513" s="1277"/>
      <c r="H13513" s="896"/>
      <c r="K13513" s="1192" t="s">
        <v>2438</v>
      </c>
      <c r="V13513" s="1192">
        <v>48</v>
      </c>
    </row>
    <row r="13514" spans="1:22" s="1192" customFormat="1" ht="14.4" x14ac:dyDescent="0.3">
      <c r="A13514" s="1192" t="s">
        <v>191</v>
      </c>
      <c r="E13514" s="1741" t="s">
        <v>2033</v>
      </c>
      <c r="F13514" s="1741"/>
      <c r="G13514" s="1277" t="s">
        <v>20</v>
      </c>
      <c r="H13514" s="1219">
        <v>3.0000000000000001E-3</v>
      </c>
      <c r="K13514" s="1192" t="s">
        <v>2543</v>
      </c>
      <c r="L13514" s="1192" t="s">
        <v>2374</v>
      </c>
      <c r="P13514" s="1192" t="s">
        <v>2552</v>
      </c>
      <c r="V13514" s="1192">
        <v>55</v>
      </c>
    </row>
    <row r="13515" spans="1:22" s="1192" customFormat="1" ht="14.4" x14ac:dyDescent="0.3">
      <c r="A13515" s="1192" t="s">
        <v>191</v>
      </c>
      <c r="E13515" s="1741" t="s">
        <v>2034</v>
      </c>
      <c r="F13515" s="1741"/>
      <c r="G13515" s="1277" t="s">
        <v>20</v>
      </c>
      <c r="H13515" s="1219">
        <v>4.0000000000000002E-4</v>
      </c>
      <c r="K13515" s="1192" t="s">
        <v>2543</v>
      </c>
      <c r="L13515" s="1192" t="s">
        <v>2374</v>
      </c>
      <c r="P13515" s="1192" t="s">
        <v>2552</v>
      </c>
      <c r="V13515" s="1192">
        <v>65</v>
      </c>
    </row>
    <row r="13516" spans="1:22" s="1192" customFormat="1" ht="14.4" x14ac:dyDescent="0.3">
      <c r="A13516" s="1192" t="s">
        <v>191</v>
      </c>
      <c r="E13516" s="1741" t="s">
        <v>428</v>
      </c>
      <c r="F13516" s="1741"/>
      <c r="G13516" s="1277" t="s">
        <v>20</v>
      </c>
      <c r="H13516" s="1219">
        <v>5.0000000000000001E-4</v>
      </c>
      <c r="K13516" s="1192" t="s">
        <v>2543</v>
      </c>
      <c r="L13516" s="1192" t="s">
        <v>2374</v>
      </c>
      <c r="P13516" s="1192" t="s">
        <v>2553</v>
      </c>
      <c r="V13516" s="1192">
        <v>57</v>
      </c>
    </row>
    <row r="13517" spans="1:22" s="1192" customFormat="1" ht="14.4" x14ac:dyDescent="0.3">
      <c r="A13517" s="1192" t="s">
        <v>191</v>
      </c>
      <c r="E13517" s="1741" t="s">
        <v>28</v>
      </c>
      <c r="F13517" s="1741"/>
      <c r="G13517" s="1277" t="s">
        <v>19</v>
      </c>
      <c r="H13517" s="1218">
        <v>0.25</v>
      </c>
      <c r="K13517" s="1192" t="s">
        <v>2543</v>
      </c>
      <c r="L13517" s="1192" t="s">
        <v>2374</v>
      </c>
      <c r="P13517" s="1192" t="s">
        <v>2554</v>
      </c>
      <c r="V13517" s="1192">
        <v>63</v>
      </c>
    </row>
    <row r="13518" spans="1:22" s="1192" customFormat="1" ht="17.399999999999999" x14ac:dyDescent="0.3">
      <c r="A13518" s="1192" t="s">
        <v>191</v>
      </c>
      <c r="E13518" s="1746" t="s">
        <v>604</v>
      </c>
      <c r="F13518" s="1747"/>
      <c r="G13518" s="1747"/>
      <c r="H13518" s="1747"/>
      <c r="K13518" s="1192" t="s">
        <v>2555</v>
      </c>
      <c r="V13518" s="1192">
        <v>40</v>
      </c>
    </row>
    <row r="13519" spans="1:22" s="1192" customFormat="1" ht="14.4" x14ac:dyDescent="0.3">
      <c r="A13519" s="1192" t="s">
        <v>191</v>
      </c>
      <c r="E13519" s="1743" t="s">
        <v>3539</v>
      </c>
      <c r="F13519" s="1743"/>
      <c r="G13519" s="1743"/>
      <c r="H13519" s="1743"/>
      <c r="K13519" s="1192" t="s">
        <v>2555</v>
      </c>
      <c r="V13519" s="1192">
        <v>255</v>
      </c>
    </row>
    <row r="13520" spans="1:22" s="1192" customFormat="1" ht="14.4" x14ac:dyDescent="0.3">
      <c r="A13520" s="1192" t="s">
        <v>191</v>
      </c>
      <c r="E13520" s="1750" t="s">
        <v>2389</v>
      </c>
      <c r="F13520" s="1743"/>
      <c r="G13520" s="1743"/>
      <c r="H13520" s="1743"/>
      <c r="K13520" s="1192" t="s">
        <v>2444</v>
      </c>
      <c r="V13520" s="1192">
        <v>11</v>
      </c>
    </row>
    <row r="13521" spans="1:22" s="1192" customFormat="1" ht="14.4" x14ac:dyDescent="0.3">
      <c r="A13521" s="1192" t="s">
        <v>191</v>
      </c>
      <c r="E13521" s="1743" t="s">
        <v>2391</v>
      </c>
      <c r="F13521" s="1743"/>
      <c r="G13521" s="1743"/>
      <c r="H13521" s="1743"/>
      <c r="K13521" s="1192" t="s">
        <v>2555</v>
      </c>
      <c r="V13521" s="1192">
        <v>280</v>
      </c>
    </row>
    <row r="13522" spans="1:22" s="1192" customFormat="1" ht="14.4" x14ac:dyDescent="0.3">
      <c r="A13522" s="1192" t="s">
        <v>191</v>
      </c>
      <c r="E13522" s="1743" t="s">
        <v>2392</v>
      </c>
      <c r="F13522" s="1743"/>
      <c r="G13522" s="1743"/>
      <c r="H13522" s="1743"/>
      <c r="K13522" s="1192" t="s">
        <v>2555</v>
      </c>
      <c r="V13522" s="1192">
        <v>411</v>
      </c>
    </row>
    <row r="13523" spans="1:22" s="1192" customFormat="1" ht="14.4" x14ac:dyDescent="0.3">
      <c r="A13523" s="1192" t="s">
        <v>191</v>
      </c>
      <c r="E13523" s="1743" t="s">
        <v>2393</v>
      </c>
      <c r="F13523" s="1743"/>
      <c r="G13523" s="1743"/>
      <c r="H13523" s="1743"/>
      <c r="K13523" s="1192" t="s">
        <v>2555</v>
      </c>
      <c r="V13523" s="1192">
        <v>387</v>
      </c>
    </row>
    <row r="13524" spans="1:22" s="1192" customFormat="1" ht="14.4" x14ac:dyDescent="0.3">
      <c r="A13524" s="1192" t="s">
        <v>191</v>
      </c>
      <c r="E13524" s="1743" t="s">
        <v>4500</v>
      </c>
      <c r="F13524" s="1743"/>
      <c r="G13524" s="1743"/>
      <c r="H13524" s="1743"/>
      <c r="K13524" s="1192" t="s">
        <v>2555</v>
      </c>
      <c r="V13524" s="1192">
        <v>247</v>
      </c>
    </row>
    <row r="13525" spans="1:22" s="1192" customFormat="1" ht="14.4" x14ac:dyDescent="0.3">
      <c r="A13525" s="1192" t="s">
        <v>191</v>
      </c>
      <c r="E13525" s="1750" t="s">
        <v>2394</v>
      </c>
      <c r="F13525" s="1743"/>
      <c r="G13525" s="1743"/>
      <c r="H13525" s="1743"/>
      <c r="K13525" s="1192" t="s">
        <v>2446</v>
      </c>
      <c r="V13525" s="1192">
        <v>46</v>
      </c>
    </row>
    <row r="13526" spans="1:22" s="1192" customFormat="1" ht="14.4" x14ac:dyDescent="0.3">
      <c r="A13526" s="1192" t="s">
        <v>191</v>
      </c>
      <c r="E13526" s="1741" t="s">
        <v>8</v>
      </c>
      <c r="F13526" s="1741"/>
      <c r="G13526" s="1277" t="s">
        <v>19</v>
      </c>
      <c r="H13526" s="1218">
        <v>2.58</v>
      </c>
      <c r="K13526" s="1192" t="s">
        <v>2555</v>
      </c>
      <c r="L13526" s="1192" t="s">
        <v>430</v>
      </c>
      <c r="P13526" s="1192" t="s">
        <v>2557</v>
      </c>
      <c r="V13526" s="1192">
        <v>31</v>
      </c>
    </row>
    <row r="13527" spans="1:22" s="1192" customFormat="1" ht="14.4" x14ac:dyDescent="0.3">
      <c r="A13527" s="1192" t="s">
        <v>191</v>
      </c>
      <c r="E13527" s="1741" t="s">
        <v>80</v>
      </c>
      <c r="F13527" s="1741"/>
      <c r="G13527" s="1277" t="s">
        <v>29</v>
      </c>
      <c r="H13527" s="1219">
        <v>22.554200000000002</v>
      </c>
      <c r="K13527" s="1192" t="s">
        <v>2555</v>
      </c>
      <c r="L13527" s="1192" t="s">
        <v>430</v>
      </c>
      <c r="P13527" s="1192" t="s">
        <v>2558</v>
      </c>
      <c r="V13527" s="1192">
        <v>28</v>
      </c>
    </row>
    <row r="13528" spans="1:22" s="1192" customFormat="1" ht="14.4" x14ac:dyDescent="0.3">
      <c r="A13528" s="1192" t="s">
        <v>191</v>
      </c>
      <c r="E13528" s="1741" t="s">
        <v>213</v>
      </c>
      <c r="F13528" s="1741"/>
      <c r="G13528" s="1277" t="s">
        <v>29</v>
      </c>
      <c r="H13528" s="1219">
        <v>1.9806999999999999</v>
      </c>
      <c r="K13528" s="1192" t="s">
        <v>2555</v>
      </c>
      <c r="L13528" s="1192" t="s">
        <v>432</v>
      </c>
      <c r="P13528" s="1192" t="s">
        <v>2563</v>
      </c>
      <c r="V13528" s="1192">
        <v>47</v>
      </c>
    </row>
    <row r="13529" spans="1:22" s="1192" customFormat="1" ht="14.4" x14ac:dyDescent="0.3">
      <c r="A13529" s="1192" t="s">
        <v>191</v>
      </c>
      <c r="E13529" s="1741" t="s">
        <v>209</v>
      </c>
      <c r="F13529" s="1741"/>
      <c r="G13529" s="1277" t="s">
        <v>29</v>
      </c>
      <c r="H13529" s="1219">
        <v>1.8079000000000001</v>
      </c>
      <c r="K13529" s="1192" t="s">
        <v>2555</v>
      </c>
      <c r="L13529" s="1192" t="s">
        <v>432</v>
      </c>
      <c r="P13529" s="1192" t="s">
        <v>2564</v>
      </c>
      <c r="V13529" s="1192">
        <v>74</v>
      </c>
    </row>
    <row r="13530" spans="1:22" s="1192" customFormat="1" ht="14.4" x14ac:dyDescent="0.3">
      <c r="A13530" s="1192" t="s">
        <v>191</v>
      </c>
      <c r="E13530" s="1750" t="s">
        <v>2405</v>
      </c>
      <c r="F13530" s="1741"/>
      <c r="G13530" s="1277"/>
      <c r="H13530" s="896"/>
      <c r="K13530" s="1192" t="s">
        <v>2565</v>
      </c>
      <c r="V13530" s="1192">
        <v>48</v>
      </c>
    </row>
    <row r="13531" spans="1:22" s="1192" customFormat="1" ht="14.4" x14ac:dyDescent="0.3">
      <c r="A13531" s="1192" t="s">
        <v>191</v>
      </c>
      <c r="E13531" s="1741" t="s">
        <v>2033</v>
      </c>
      <c r="F13531" s="1741"/>
      <c r="G13531" s="1277" t="s">
        <v>20</v>
      </c>
      <c r="H13531" s="1219">
        <v>3.0000000000000001E-3</v>
      </c>
      <c r="K13531" s="1192" t="s">
        <v>2555</v>
      </c>
      <c r="L13531" s="1192" t="s">
        <v>2374</v>
      </c>
      <c r="P13531" s="1192" t="s">
        <v>2566</v>
      </c>
      <c r="V13531" s="1192">
        <v>55</v>
      </c>
    </row>
    <row r="13532" spans="1:22" s="1192" customFormat="1" ht="14.4" x14ac:dyDescent="0.3">
      <c r="A13532" s="1192" t="s">
        <v>191</v>
      </c>
      <c r="E13532" s="1741" t="s">
        <v>2034</v>
      </c>
      <c r="F13532" s="1741"/>
      <c r="G13532" s="1277" t="s">
        <v>20</v>
      </c>
      <c r="H13532" s="1219">
        <v>4.0000000000000002E-4</v>
      </c>
      <c r="K13532" s="1192" t="s">
        <v>2555</v>
      </c>
      <c r="L13532" s="1192" t="s">
        <v>2374</v>
      </c>
      <c r="P13532" s="1192" t="s">
        <v>2566</v>
      </c>
      <c r="V13532" s="1192">
        <v>65</v>
      </c>
    </row>
    <row r="13533" spans="1:22" s="1192" customFormat="1" ht="14.4" x14ac:dyDescent="0.3">
      <c r="A13533" s="1192" t="s">
        <v>191</v>
      </c>
      <c r="E13533" s="1741" t="s">
        <v>428</v>
      </c>
      <c r="F13533" s="1741"/>
      <c r="G13533" s="1277" t="s">
        <v>20</v>
      </c>
      <c r="H13533" s="1219">
        <v>5.0000000000000001E-4</v>
      </c>
      <c r="K13533" s="1192" t="s">
        <v>2555</v>
      </c>
      <c r="L13533" s="1192" t="s">
        <v>2374</v>
      </c>
      <c r="P13533" s="1192" t="s">
        <v>2567</v>
      </c>
      <c r="V13533" s="1192">
        <v>57</v>
      </c>
    </row>
    <row r="13534" spans="1:22" s="1192" customFormat="1" ht="14.4" x14ac:dyDescent="0.3">
      <c r="A13534" s="1192" t="s">
        <v>191</v>
      </c>
      <c r="E13534" s="1741" t="s">
        <v>28</v>
      </c>
      <c r="F13534" s="1741"/>
      <c r="G13534" s="1277" t="s">
        <v>19</v>
      </c>
      <c r="H13534" s="1218">
        <v>0.25</v>
      </c>
      <c r="K13534" s="1192" t="s">
        <v>2555</v>
      </c>
      <c r="L13534" s="1192" t="s">
        <v>2374</v>
      </c>
      <c r="P13534" s="1192" t="s">
        <v>2568</v>
      </c>
      <c r="V13534" s="1192">
        <v>63</v>
      </c>
    </row>
    <row r="13535" spans="1:22" s="1192" customFormat="1" ht="17.399999999999999" x14ac:dyDescent="0.3">
      <c r="A13535" s="1192" t="s">
        <v>191</v>
      </c>
      <c r="E13535" s="1746" t="s">
        <v>590</v>
      </c>
      <c r="F13535" s="1747"/>
      <c r="G13535" s="1747"/>
      <c r="H13535" s="1747"/>
      <c r="K13535" s="1192" t="s">
        <v>2569</v>
      </c>
      <c r="V13535" s="1192">
        <v>38</v>
      </c>
    </row>
    <row r="13536" spans="1:22" s="1192" customFormat="1" ht="14.4" x14ac:dyDescent="0.3">
      <c r="A13536" s="1192" t="s">
        <v>191</v>
      </c>
      <c r="E13536" s="1743" t="s">
        <v>3540</v>
      </c>
      <c r="F13536" s="1743"/>
      <c r="G13536" s="1743"/>
      <c r="H13536" s="1743"/>
      <c r="K13536" s="1192" t="s">
        <v>2569</v>
      </c>
      <c r="V13536" s="1192">
        <v>546</v>
      </c>
    </row>
    <row r="13537" spans="1:22" s="1192" customFormat="1" ht="14.4" x14ac:dyDescent="0.3">
      <c r="A13537" s="1192" t="s">
        <v>191</v>
      </c>
      <c r="E13537" s="1750" t="s">
        <v>2389</v>
      </c>
      <c r="F13537" s="1743"/>
      <c r="G13537" s="1743"/>
      <c r="H13537" s="1743"/>
      <c r="K13537" s="1192" t="s">
        <v>2571</v>
      </c>
      <c r="V13537" s="1192">
        <v>11</v>
      </c>
    </row>
    <row r="13538" spans="1:22" s="1192" customFormat="1" ht="14.4" x14ac:dyDescent="0.3">
      <c r="A13538" s="1192" t="s">
        <v>191</v>
      </c>
      <c r="E13538" s="1743" t="s">
        <v>2391</v>
      </c>
      <c r="F13538" s="1743"/>
      <c r="G13538" s="1743"/>
      <c r="H13538" s="1743"/>
      <c r="K13538" s="1192" t="s">
        <v>2569</v>
      </c>
      <c r="V13538" s="1192">
        <v>280</v>
      </c>
    </row>
    <row r="13539" spans="1:22" s="1192" customFormat="1" ht="14.4" x14ac:dyDescent="0.3">
      <c r="A13539" s="1192" t="s">
        <v>191</v>
      </c>
      <c r="E13539" s="1743" t="s">
        <v>2392</v>
      </c>
      <c r="F13539" s="1743"/>
      <c r="G13539" s="1743"/>
      <c r="H13539" s="1743"/>
      <c r="K13539" s="1192" t="s">
        <v>2569</v>
      </c>
      <c r="V13539" s="1192">
        <v>411</v>
      </c>
    </row>
    <row r="13540" spans="1:22" s="1192" customFormat="1" ht="14.4" x14ac:dyDescent="0.3">
      <c r="A13540" s="1192" t="s">
        <v>191</v>
      </c>
      <c r="E13540" s="1743" t="s">
        <v>2393</v>
      </c>
      <c r="F13540" s="1743"/>
      <c r="G13540" s="1743"/>
      <c r="H13540" s="1743"/>
      <c r="K13540" s="1192" t="s">
        <v>2569</v>
      </c>
      <c r="V13540" s="1192">
        <v>387</v>
      </c>
    </row>
    <row r="13541" spans="1:22" s="1192" customFormat="1" ht="14.4" x14ac:dyDescent="0.3">
      <c r="A13541" s="1192" t="s">
        <v>191</v>
      </c>
      <c r="E13541" s="1743" t="s">
        <v>4500</v>
      </c>
      <c r="F13541" s="1743"/>
      <c r="G13541" s="1743"/>
      <c r="H13541" s="1743"/>
      <c r="K13541" s="1192" t="s">
        <v>2569</v>
      </c>
      <c r="V13541" s="1192">
        <v>247</v>
      </c>
    </row>
    <row r="13542" spans="1:22" s="1192" customFormat="1" ht="14.4" x14ac:dyDescent="0.3">
      <c r="A13542" s="1192" t="s">
        <v>191</v>
      </c>
      <c r="E13542" s="1750" t="s">
        <v>2394</v>
      </c>
      <c r="F13542" s="1743"/>
      <c r="G13542" s="1743"/>
      <c r="H13542" s="1743"/>
      <c r="K13542" s="1192" t="s">
        <v>2572</v>
      </c>
      <c r="V13542" s="1192">
        <v>46</v>
      </c>
    </row>
    <row r="13543" spans="1:22" s="1192" customFormat="1" ht="14.4" x14ac:dyDescent="0.3">
      <c r="A13543" s="1192" t="s">
        <v>191</v>
      </c>
      <c r="E13543" s="1741" t="s">
        <v>9</v>
      </c>
      <c r="F13543" s="1741"/>
      <c r="G13543" s="1277" t="s">
        <v>19</v>
      </c>
      <c r="H13543" s="1218">
        <v>1830.42</v>
      </c>
      <c r="K13543" s="1192" t="s">
        <v>2569</v>
      </c>
      <c r="L13543" s="1192" t="s">
        <v>430</v>
      </c>
      <c r="P13543" s="1192" t="s">
        <v>2573</v>
      </c>
      <c r="V13543" s="1192">
        <v>29</v>
      </c>
    </row>
    <row r="13544" spans="1:22" s="1192" customFormat="1" ht="14.4" x14ac:dyDescent="0.3">
      <c r="A13544" s="1192" t="s">
        <v>191</v>
      </c>
      <c r="E13544" s="1741" t="s">
        <v>80</v>
      </c>
      <c r="F13544" s="1741"/>
      <c r="G13544" s="1277" t="s">
        <v>29</v>
      </c>
      <c r="H13544" s="1219">
        <v>8.7332999999999998</v>
      </c>
      <c r="K13544" s="1192" t="s">
        <v>2569</v>
      </c>
      <c r="L13544" s="1192" t="s">
        <v>430</v>
      </c>
      <c r="P13544" s="1192" t="s">
        <v>2574</v>
      </c>
      <c r="V13544" s="1192">
        <v>28</v>
      </c>
    </row>
    <row r="13545" spans="1:22" s="1192" customFormat="1" ht="14.4" x14ac:dyDescent="0.3">
      <c r="A13545" s="1192" t="s">
        <v>191</v>
      </c>
      <c r="E13545" s="1741" t="s">
        <v>213</v>
      </c>
      <c r="F13545" s="1741"/>
      <c r="G13545" s="1277" t="s">
        <v>29</v>
      </c>
      <c r="H13545" s="1219">
        <v>1.9749000000000001</v>
      </c>
      <c r="K13545" s="1192" t="s">
        <v>2569</v>
      </c>
      <c r="L13545" s="1192" t="s">
        <v>432</v>
      </c>
      <c r="P13545" s="1192" t="s">
        <v>2579</v>
      </c>
      <c r="V13545" s="1192">
        <v>47</v>
      </c>
    </row>
    <row r="13546" spans="1:22" s="1192" customFormat="1" ht="14.4" x14ac:dyDescent="0.3">
      <c r="A13546" s="1192" t="s">
        <v>191</v>
      </c>
      <c r="E13546" s="1741" t="s">
        <v>209</v>
      </c>
      <c r="F13546" s="1741"/>
      <c r="G13546" s="1277" t="s">
        <v>29</v>
      </c>
      <c r="H13546" s="1219">
        <v>1.8038000000000001</v>
      </c>
      <c r="K13546" s="1192" t="s">
        <v>2569</v>
      </c>
      <c r="L13546" s="1192" t="s">
        <v>432</v>
      </c>
      <c r="P13546" s="1192" t="s">
        <v>2580</v>
      </c>
      <c r="V13546" s="1192">
        <v>74</v>
      </c>
    </row>
    <row r="13547" spans="1:22" s="1192" customFormat="1" ht="14.4" x14ac:dyDescent="0.3">
      <c r="A13547" s="1192" t="s">
        <v>191</v>
      </c>
      <c r="E13547" s="1750" t="s">
        <v>2405</v>
      </c>
      <c r="F13547" s="1741"/>
      <c r="G13547" s="1277"/>
      <c r="H13547" s="896"/>
      <c r="K13547" s="1192" t="s">
        <v>2581</v>
      </c>
      <c r="V13547" s="1192">
        <v>48</v>
      </c>
    </row>
    <row r="13548" spans="1:22" s="1192" customFormat="1" ht="14.4" x14ac:dyDescent="0.3">
      <c r="A13548" s="1192" t="s">
        <v>191</v>
      </c>
      <c r="E13548" s="1741" t="s">
        <v>2033</v>
      </c>
      <c r="F13548" s="1741"/>
      <c r="G13548" s="1277" t="s">
        <v>20</v>
      </c>
      <c r="H13548" s="1219">
        <v>3.0000000000000001E-3</v>
      </c>
      <c r="K13548" s="1192" t="s">
        <v>2569</v>
      </c>
      <c r="L13548" s="1192" t="s">
        <v>2374</v>
      </c>
      <c r="P13548" s="1192" t="s">
        <v>2582</v>
      </c>
      <c r="V13548" s="1192">
        <v>55</v>
      </c>
    </row>
    <row r="13549" spans="1:22" s="1192" customFormat="1" ht="14.4" x14ac:dyDescent="0.3">
      <c r="A13549" s="1192" t="s">
        <v>191</v>
      </c>
      <c r="E13549" s="1741" t="s">
        <v>2034</v>
      </c>
      <c r="F13549" s="1741"/>
      <c r="G13549" s="1277" t="s">
        <v>20</v>
      </c>
      <c r="H13549" s="1219">
        <v>4.0000000000000002E-4</v>
      </c>
      <c r="K13549" s="1192" t="s">
        <v>2569</v>
      </c>
      <c r="L13549" s="1192" t="s">
        <v>2374</v>
      </c>
      <c r="P13549" s="1192" t="s">
        <v>2582</v>
      </c>
      <c r="V13549" s="1192">
        <v>65</v>
      </c>
    </row>
    <row r="13550" spans="1:22" s="1192" customFormat="1" ht="14.4" x14ac:dyDescent="0.3">
      <c r="A13550" s="1192" t="s">
        <v>191</v>
      </c>
      <c r="E13550" s="1741" t="s">
        <v>428</v>
      </c>
      <c r="F13550" s="1741"/>
      <c r="G13550" s="1277" t="s">
        <v>20</v>
      </c>
      <c r="H13550" s="1219">
        <v>5.0000000000000001E-4</v>
      </c>
      <c r="K13550" s="1192" t="s">
        <v>2569</v>
      </c>
      <c r="L13550" s="1192" t="s">
        <v>2374</v>
      </c>
      <c r="P13550" s="1192" t="s">
        <v>2583</v>
      </c>
      <c r="V13550" s="1192">
        <v>57</v>
      </c>
    </row>
    <row r="13551" spans="1:22" s="1192" customFormat="1" ht="14.4" x14ac:dyDescent="0.3">
      <c r="A13551" s="1192" t="s">
        <v>191</v>
      </c>
      <c r="E13551" s="1741" t="s">
        <v>28</v>
      </c>
      <c r="F13551" s="1741"/>
      <c r="G13551" s="1277" t="s">
        <v>19</v>
      </c>
      <c r="H13551" s="1218">
        <v>0.25</v>
      </c>
      <c r="K13551" s="1192" t="s">
        <v>2569</v>
      </c>
      <c r="L13551" s="1192" t="s">
        <v>2374</v>
      </c>
      <c r="P13551" s="1192" t="s">
        <v>2584</v>
      </c>
      <c r="V13551" s="1192">
        <v>63</v>
      </c>
    </row>
    <row r="13552" spans="1:22" s="1192" customFormat="1" ht="17.399999999999999" x14ac:dyDescent="0.3">
      <c r="A13552" s="1192" t="s">
        <v>191</v>
      </c>
      <c r="E13552" s="1746" t="s">
        <v>593</v>
      </c>
      <c r="F13552" s="1747"/>
      <c r="G13552" s="1747"/>
      <c r="H13552" s="1747"/>
      <c r="K13552" s="1192" t="s">
        <v>2585</v>
      </c>
      <c r="V13552" s="1192">
        <v>31</v>
      </c>
    </row>
    <row r="13553" spans="1:22" s="1192" customFormat="1" ht="14.4" x14ac:dyDescent="0.3">
      <c r="A13553" s="1192" t="s">
        <v>191</v>
      </c>
      <c r="E13553" s="1743" t="s">
        <v>3541</v>
      </c>
      <c r="F13553" s="1743"/>
      <c r="G13553" s="1743"/>
      <c r="H13553" s="1743"/>
      <c r="K13553" s="1192" t="s">
        <v>2585</v>
      </c>
      <c r="V13553" s="1192">
        <v>288</v>
      </c>
    </row>
    <row r="13554" spans="1:22" s="1192" customFormat="1" ht="14.4" x14ac:dyDescent="0.3">
      <c r="A13554" s="1192" t="s">
        <v>191</v>
      </c>
      <c r="E13554" s="1750" t="s">
        <v>2389</v>
      </c>
      <c r="F13554" s="1743"/>
      <c r="G13554" s="1743"/>
      <c r="H13554" s="1743"/>
      <c r="K13554" s="1192" t="s">
        <v>2586</v>
      </c>
      <c r="V13554" s="1192">
        <v>11</v>
      </c>
    </row>
    <row r="13555" spans="1:22" s="1192" customFormat="1" ht="14.4" x14ac:dyDescent="0.3">
      <c r="A13555" s="1192" t="s">
        <v>191</v>
      </c>
      <c r="E13555" s="1743" t="s">
        <v>2391</v>
      </c>
      <c r="F13555" s="1743"/>
      <c r="G13555" s="1743"/>
      <c r="H13555" s="1743"/>
      <c r="K13555" s="1192" t="s">
        <v>2585</v>
      </c>
      <c r="V13555" s="1192">
        <v>280</v>
      </c>
    </row>
    <row r="13556" spans="1:22" s="1192" customFormat="1" ht="14.4" x14ac:dyDescent="0.3">
      <c r="A13556" s="1192" t="s">
        <v>191</v>
      </c>
      <c r="E13556" s="1743" t="s">
        <v>2392</v>
      </c>
      <c r="F13556" s="1743"/>
      <c r="G13556" s="1743"/>
      <c r="H13556" s="1743"/>
      <c r="K13556" s="1192" t="s">
        <v>2585</v>
      </c>
      <c r="V13556" s="1192">
        <v>411</v>
      </c>
    </row>
    <row r="13557" spans="1:22" s="1192" customFormat="1" ht="14.4" x14ac:dyDescent="0.3">
      <c r="A13557" s="1192" t="s">
        <v>191</v>
      </c>
      <c r="E13557" s="1743" t="s">
        <v>2445</v>
      </c>
      <c r="F13557" s="1743"/>
      <c r="G13557" s="1743"/>
      <c r="H13557" s="1743"/>
      <c r="K13557" s="1192" t="s">
        <v>2585</v>
      </c>
      <c r="V13557" s="1192">
        <v>211</v>
      </c>
    </row>
    <row r="13558" spans="1:22" s="1192" customFormat="1" ht="14.4" x14ac:dyDescent="0.3">
      <c r="A13558" s="1192" t="s">
        <v>191</v>
      </c>
      <c r="E13558" s="1743" t="s">
        <v>4500</v>
      </c>
      <c r="F13558" s="1743"/>
      <c r="G13558" s="1743"/>
      <c r="H13558" s="1743"/>
      <c r="K13558" s="1192" t="s">
        <v>2585</v>
      </c>
      <c r="V13558" s="1192">
        <v>247</v>
      </c>
    </row>
    <row r="13559" spans="1:22" s="1192" customFormat="1" ht="14.4" x14ac:dyDescent="0.3">
      <c r="A13559" s="1192" t="s">
        <v>191</v>
      </c>
      <c r="E13559" s="1750" t="s">
        <v>2394</v>
      </c>
      <c r="F13559" s="1743"/>
      <c r="G13559" s="1743"/>
      <c r="H13559" s="1743"/>
      <c r="K13559" s="1192" t="s">
        <v>2587</v>
      </c>
      <c r="V13559" s="1192">
        <v>46</v>
      </c>
    </row>
    <row r="13560" spans="1:22" s="1192" customFormat="1" ht="14.4" x14ac:dyDescent="0.3">
      <c r="A13560" s="1192" t="s">
        <v>191</v>
      </c>
      <c r="E13560" s="1741" t="s">
        <v>7</v>
      </c>
      <c r="F13560" s="1741"/>
      <c r="G13560" s="1277" t="s">
        <v>19</v>
      </c>
      <c r="H13560" s="1218">
        <v>4.55</v>
      </c>
      <c r="K13560" s="1192" t="s">
        <v>2585</v>
      </c>
      <c r="L13560" s="1192" t="s">
        <v>430</v>
      </c>
      <c r="P13560" s="1192" t="s">
        <v>2588</v>
      </c>
      <c r="V13560" s="1192">
        <v>14</v>
      </c>
    </row>
    <row r="13561" spans="1:22" s="1192" customFormat="1" x14ac:dyDescent="0.35">
      <c r="A13561" s="1192" t="s">
        <v>191</v>
      </c>
      <c r="E13561" s="1260" t="s">
        <v>81</v>
      </c>
      <c r="F13561" s="550"/>
      <c r="G13561" s="550"/>
      <c r="H13561" s="881"/>
      <c r="K13561" s="1192" t="s">
        <v>3542</v>
      </c>
      <c r="V13561" s="1192">
        <v>10</v>
      </c>
    </row>
    <row r="13562" spans="1:22" s="1192" customFormat="1" ht="14.4" x14ac:dyDescent="0.3">
      <c r="A13562" s="1192" t="s">
        <v>191</v>
      </c>
      <c r="E13562" s="1741" t="s">
        <v>2449</v>
      </c>
      <c r="F13562" s="1741"/>
      <c r="G13562" s="1277" t="s">
        <v>29</v>
      </c>
      <c r="H13562" s="564">
        <v>-0.6</v>
      </c>
      <c r="V13562" s="1192">
        <v>68</v>
      </c>
    </row>
    <row r="13563" spans="1:22" s="1192" customFormat="1" ht="14.4" x14ac:dyDescent="0.3">
      <c r="A13563" s="1192" t="s">
        <v>191</v>
      </c>
      <c r="E13563" s="1741" t="s">
        <v>2450</v>
      </c>
      <c r="F13563" s="1741"/>
      <c r="G13563" s="1277" t="s">
        <v>82</v>
      </c>
      <c r="H13563" s="1218">
        <v>-1</v>
      </c>
      <c r="V13563" s="1192">
        <v>87</v>
      </c>
    </row>
    <row r="13564" spans="1:22" s="1192" customFormat="1" x14ac:dyDescent="0.35">
      <c r="A13564" s="1192" t="s">
        <v>191</v>
      </c>
      <c r="E13564" s="1260" t="s">
        <v>83</v>
      </c>
      <c r="F13564" s="550"/>
      <c r="G13564" s="550"/>
      <c r="H13564" s="881"/>
      <c r="K13564" s="1192" t="s">
        <v>3543</v>
      </c>
      <c r="V13564" s="1192">
        <v>24</v>
      </c>
    </row>
    <row r="13565" spans="1:22" s="1192" customFormat="1" ht="14.4" x14ac:dyDescent="0.3">
      <c r="A13565" s="1192" t="s">
        <v>191</v>
      </c>
      <c r="E13565" s="1743" t="s">
        <v>2391</v>
      </c>
      <c r="F13565" s="1743"/>
      <c r="G13565" s="1743"/>
      <c r="H13565" s="1743"/>
      <c r="V13565" s="1192">
        <v>280</v>
      </c>
    </row>
    <row r="13566" spans="1:22" s="1192" customFormat="1" ht="14.4" x14ac:dyDescent="0.3">
      <c r="A13566" s="1192" t="s">
        <v>191</v>
      </c>
      <c r="E13566" s="1743" t="s">
        <v>2452</v>
      </c>
      <c r="F13566" s="1743"/>
      <c r="G13566" s="1743"/>
      <c r="H13566" s="1743"/>
      <c r="V13566" s="1192">
        <v>353</v>
      </c>
    </row>
    <row r="13567" spans="1:22" s="1192" customFormat="1" ht="14.4" x14ac:dyDescent="0.3">
      <c r="A13567" s="1192" t="s">
        <v>191</v>
      </c>
      <c r="E13567" s="1743" t="s">
        <v>4500</v>
      </c>
      <c r="F13567" s="1743"/>
      <c r="G13567" s="1743"/>
      <c r="H13567" s="1743"/>
      <c r="V13567" s="1192">
        <v>247</v>
      </c>
    </row>
    <row r="13568" spans="1:22" s="1192" customFormat="1" ht="14.4" x14ac:dyDescent="0.3">
      <c r="A13568" s="1192" t="s">
        <v>191</v>
      </c>
      <c r="E13568" s="1258" t="s">
        <v>2453</v>
      </c>
      <c r="F13568" s="3"/>
      <c r="G13568" s="3"/>
      <c r="H13568" s="897"/>
      <c r="K13568" s="1192" t="s">
        <v>3544</v>
      </c>
      <c r="V13568" s="1192">
        <v>23</v>
      </c>
    </row>
    <row r="13569" spans="1:22" s="1192" customFormat="1" ht="14.4" x14ac:dyDescent="0.3">
      <c r="A13569" s="1192" t="s">
        <v>191</v>
      </c>
      <c r="E13569" s="1942" t="s">
        <v>119</v>
      </c>
      <c r="F13569" s="1942"/>
      <c r="G13569" s="1277" t="s">
        <v>19</v>
      </c>
      <c r="H13569" s="1218">
        <v>15</v>
      </c>
      <c r="V13569" s="1192">
        <v>35</v>
      </c>
    </row>
    <row r="13570" spans="1:22" s="1192" customFormat="1" ht="14.4" x14ac:dyDescent="0.3">
      <c r="A13570" s="1192" t="s">
        <v>191</v>
      </c>
      <c r="E13570" s="1942" t="s">
        <v>84</v>
      </c>
      <c r="F13570" s="1942"/>
      <c r="G13570" s="1277" t="s">
        <v>19</v>
      </c>
      <c r="H13570" s="1218">
        <v>30</v>
      </c>
      <c r="V13570" s="1192">
        <v>89</v>
      </c>
    </row>
    <row r="13571" spans="1:22" s="1192" customFormat="1" ht="26.4" x14ac:dyDescent="0.3">
      <c r="A13571" s="1192" t="s">
        <v>191</v>
      </c>
      <c r="E13571" s="1258" t="s">
        <v>4607</v>
      </c>
      <c r="F13571" s="3"/>
      <c r="G13571" s="3"/>
      <c r="H13571" s="897"/>
      <c r="V13571" s="1192">
        <v>39</v>
      </c>
    </row>
    <row r="13572" spans="1:22" s="1192" customFormat="1" ht="14.4" x14ac:dyDescent="0.3">
      <c r="A13572" s="1192" t="s">
        <v>191</v>
      </c>
      <c r="E13572" s="1942" t="s">
        <v>6689</v>
      </c>
      <c r="F13572" s="1942"/>
      <c r="G13572" s="1277" t="s">
        <v>82</v>
      </c>
      <c r="H13572" s="1218">
        <v>1.5</v>
      </c>
      <c r="V13572" s="1192">
        <v>100</v>
      </c>
    </row>
    <row r="13573" spans="1:22" s="1192" customFormat="1" ht="14.4" x14ac:dyDescent="0.3">
      <c r="A13573" s="1192" t="s">
        <v>191</v>
      </c>
      <c r="E13573" s="1942" t="s">
        <v>6192</v>
      </c>
      <c r="F13573" s="1942"/>
      <c r="G13573" s="1277" t="s">
        <v>19</v>
      </c>
      <c r="H13573" s="1218">
        <v>65</v>
      </c>
      <c r="V13573" s="1192">
        <v>41</v>
      </c>
    </row>
    <row r="13574" spans="1:22" s="1192" customFormat="1" ht="14.4" x14ac:dyDescent="0.3">
      <c r="A13574" s="1192" t="s">
        <v>191</v>
      </c>
      <c r="E13574" s="1942" t="s">
        <v>6193</v>
      </c>
      <c r="F13574" s="1942"/>
      <c r="G13574" s="1277" t="s">
        <v>19</v>
      </c>
      <c r="H13574" s="1218">
        <v>185</v>
      </c>
      <c r="V13574" s="1192">
        <v>40</v>
      </c>
    </row>
    <row r="13575" spans="1:22" s="1192" customFormat="1" ht="14.4" x14ac:dyDescent="0.3">
      <c r="A13575" s="1192" t="s">
        <v>191</v>
      </c>
      <c r="E13575" s="1942" t="s">
        <v>6690</v>
      </c>
      <c r="F13575" s="1942"/>
      <c r="G13575" s="1277" t="s">
        <v>19</v>
      </c>
      <c r="H13575" s="1218">
        <v>185</v>
      </c>
      <c r="V13575" s="1192">
        <v>40</v>
      </c>
    </row>
    <row r="13576" spans="1:22" s="1192" customFormat="1" ht="14.4" x14ac:dyDescent="0.3">
      <c r="A13576" s="1192" t="s">
        <v>191</v>
      </c>
      <c r="E13576" s="1258" t="s">
        <v>2474</v>
      </c>
      <c r="F13576" s="453"/>
      <c r="G13576" s="360"/>
      <c r="H13576" s="837"/>
      <c r="V13576" s="1192">
        <v>5</v>
      </c>
    </row>
    <row r="13577" spans="1:22" s="1192" customFormat="1" ht="14.4" x14ac:dyDescent="0.3">
      <c r="A13577" s="1192" t="s">
        <v>191</v>
      </c>
      <c r="E13577" s="1942" t="s">
        <v>90</v>
      </c>
      <c r="F13577" s="1942"/>
      <c r="G13577" s="1277" t="s">
        <v>19</v>
      </c>
      <c r="H13577" s="1218">
        <v>30</v>
      </c>
      <c r="V13577" s="1192">
        <v>19</v>
      </c>
    </row>
    <row r="13578" spans="1:22" s="1192" customFormat="1" ht="14.4" x14ac:dyDescent="0.3">
      <c r="A13578" s="1192" t="s">
        <v>191</v>
      </c>
      <c r="E13578" s="1942" t="s">
        <v>2478</v>
      </c>
      <c r="F13578" s="1942"/>
      <c r="G13578" s="1277" t="s">
        <v>19</v>
      </c>
      <c r="H13578" s="1218">
        <v>165</v>
      </c>
      <c r="V13578" s="1192">
        <v>34</v>
      </c>
    </row>
    <row r="13579" spans="1:22" s="1192" customFormat="1" ht="14.4" x14ac:dyDescent="0.3">
      <c r="A13579" s="1192" t="s">
        <v>191</v>
      </c>
      <c r="E13579" s="1942" t="s">
        <v>2768</v>
      </c>
      <c r="F13579" s="1942"/>
      <c r="G13579" s="1277" t="s">
        <v>19</v>
      </c>
      <c r="H13579" s="1218">
        <v>44.5</v>
      </c>
      <c r="V13579" s="1192">
        <v>104</v>
      </c>
    </row>
    <row r="13580" spans="1:22" s="1192" customFormat="1" ht="17.399999999999999" x14ac:dyDescent="0.3">
      <c r="A13580" s="1192" t="s">
        <v>191</v>
      </c>
      <c r="E13580" s="1746" t="s">
        <v>73</v>
      </c>
      <c r="F13580" s="1746"/>
      <c r="G13580" s="1746"/>
      <c r="H13580" s="1746"/>
      <c r="K13580" s="1192" t="s">
        <v>3545</v>
      </c>
      <c r="V13580" s="1192">
        <v>38</v>
      </c>
    </row>
    <row r="13581" spans="1:22" s="1192" customFormat="1" ht="14.4" x14ac:dyDescent="0.3">
      <c r="A13581" s="1192" t="s">
        <v>191</v>
      </c>
      <c r="E13581" s="1743" t="s">
        <v>2391</v>
      </c>
      <c r="F13581" s="1743"/>
      <c r="G13581" s="1743"/>
      <c r="H13581" s="1743"/>
      <c r="V13581" s="1192">
        <v>280</v>
      </c>
    </row>
    <row r="13582" spans="1:22" s="1192" customFormat="1" ht="14.4" x14ac:dyDescent="0.3">
      <c r="A13582" s="1192" t="s">
        <v>191</v>
      </c>
      <c r="E13582" s="1743" t="s">
        <v>2392</v>
      </c>
      <c r="F13582" s="1743"/>
      <c r="G13582" s="1743"/>
      <c r="H13582" s="1743"/>
      <c r="V13582" s="1192">
        <v>411</v>
      </c>
    </row>
    <row r="13583" spans="1:22" s="1192" customFormat="1" ht="14.4" x14ac:dyDescent="0.3">
      <c r="A13583" s="1192" t="s">
        <v>191</v>
      </c>
      <c r="E13583" s="1743" t="s">
        <v>2445</v>
      </c>
      <c r="F13583" s="1743"/>
      <c r="G13583" s="1743"/>
      <c r="H13583" s="1743"/>
      <c r="V13583" s="1192">
        <v>211</v>
      </c>
    </row>
    <row r="13584" spans="1:22" s="1192" customFormat="1" ht="14.4" x14ac:dyDescent="0.3">
      <c r="A13584" s="1192" t="s">
        <v>191</v>
      </c>
      <c r="E13584" s="1743" t="s">
        <v>4500</v>
      </c>
      <c r="F13584" s="1743"/>
      <c r="G13584" s="1743"/>
      <c r="H13584" s="1743"/>
      <c r="V13584" s="1192">
        <v>247</v>
      </c>
    </row>
    <row r="13585" spans="1:22" s="1192" customFormat="1" ht="14.4" x14ac:dyDescent="0.3">
      <c r="A13585" s="1192" t="s">
        <v>191</v>
      </c>
      <c r="E13585" s="1743" t="s">
        <v>2595</v>
      </c>
      <c r="F13585" s="1743"/>
      <c r="G13585" s="1743"/>
      <c r="H13585" s="1743"/>
      <c r="V13585" s="1192">
        <v>142</v>
      </c>
    </row>
    <row r="13586" spans="1:22" s="1192" customFormat="1" ht="14.4" x14ac:dyDescent="0.3">
      <c r="A13586" s="1192" t="s">
        <v>191</v>
      </c>
      <c r="E13586" s="1741" t="s">
        <v>2485</v>
      </c>
      <c r="F13586" s="1741"/>
      <c r="G13586" s="360" t="s">
        <v>19</v>
      </c>
      <c r="H13586" s="1218">
        <v>102</v>
      </c>
      <c r="V13586" s="1192">
        <v>106</v>
      </c>
    </row>
    <row r="13587" spans="1:22" s="1192" customFormat="1" ht="14.4" x14ac:dyDescent="0.3">
      <c r="A13587" s="1192" t="s">
        <v>191</v>
      </c>
      <c r="E13587" s="1741" t="s">
        <v>3919</v>
      </c>
      <c r="F13587" s="1741"/>
      <c r="G13587" s="360" t="s">
        <v>19</v>
      </c>
      <c r="H13587" s="1218">
        <v>40.799999999999997</v>
      </c>
      <c r="V13587" s="1192">
        <v>34</v>
      </c>
    </row>
    <row r="13588" spans="1:22" s="1192" customFormat="1" ht="14.4" x14ac:dyDescent="0.3">
      <c r="A13588" s="1192" t="s">
        <v>191</v>
      </c>
      <c r="E13588" s="1741" t="s">
        <v>3920</v>
      </c>
      <c r="F13588" s="1741"/>
      <c r="G13588" s="360" t="s">
        <v>2488</v>
      </c>
      <c r="H13588" s="1218">
        <v>1.02</v>
      </c>
      <c r="V13588" s="1192">
        <v>51</v>
      </c>
    </row>
    <row r="13589" spans="1:22" s="1192" customFormat="1" ht="14.4" x14ac:dyDescent="0.3">
      <c r="A13589" s="1192" t="s">
        <v>191</v>
      </c>
      <c r="E13589" s="1741" t="s">
        <v>2489</v>
      </c>
      <c r="F13589" s="1741"/>
      <c r="G13589" s="360" t="s">
        <v>2488</v>
      </c>
      <c r="H13589" s="1218">
        <v>0.61</v>
      </c>
      <c r="V13589" s="1192">
        <v>75</v>
      </c>
    </row>
    <row r="13590" spans="1:22" s="1192" customFormat="1" ht="14.4" x14ac:dyDescent="0.3">
      <c r="A13590" s="1192" t="s">
        <v>191</v>
      </c>
      <c r="E13590" s="1741" t="s">
        <v>2490</v>
      </c>
      <c r="F13590" s="1741"/>
      <c r="G13590" s="360" t="s">
        <v>2488</v>
      </c>
      <c r="H13590" s="511">
        <v>-0.61</v>
      </c>
      <c r="V13590" s="1192">
        <v>72</v>
      </c>
    </row>
    <row r="13591" spans="1:22" s="1192" customFormat="1" ht="14.4" x14ac:dyDescent="0.3">
      <c r="A13591" s="1192" t="s">
        <v>191</v>
      </c>
      <c r="E13591" s="1741" t="s">
        <v>2596</v>
      </c>
      <c r="F13591" s="1741"/>
      <c r="G13591" s="360"/>
      <c r="H13591" s="837"/>
      <c r="V13591" s="1192">
        <v>34</v>
      </c>
    </row>
    <row r="13592" spans="1:22" s="1192" customFormat="1" ht="14.4" x14ac:dyDescent="0.3">
      <c r="A13592" s="1192" t="s">
        <v>191</v>
      </c>
      <c r="E13592" s="1941" t="s">
        <v>2492</v>
      </c>
      <c r="F13592" s="1941"/>
      <c r="G13592" s="360" t="s">
        <v>19</v>
      </c>
      <c r="H13592" s="1218">
        <v>0.51</v>
      </c>
      <c r="V13592" s="1192">
        <v>57</v>
      </c>
    </row>
    <row r="13593" spans="1:22" s="1192" customFormat="1" ht="14.4" x14ac:dyDescent="0.3">
      <c r="A13593" s="1192" t="s">
        <v>191</v>
      </c>
      <c r="E13593" s="1941" t="s">
        <v>2493</v>
      </c>
      <c r="F13593" s="1941"/>
      <c r="G13593" s="360" t="s">
        <v>19</v>
      </c>
      <c r="H13593" s="1218">
        <v>1.02</v>
      </c>
      <c r="V13593" s="1192">
        <v>60</v>
      </c>
    </row>
    <row r="13594" spans="1:22" s="1192" customFormat="1" ht="14.4" x14ac:dyDescent="0.3">
      <c r="A13594" s="1192" t="s">
        <v>191</v>
      </c>
      <c r="E13594" s="1741" t="s">
        <v>2494</v>
      </c>
      <c r="F13594" s="1741"/>
      <c r="G13594" s="360"/>
      <c r="H13594" s="837"/>
      <c r="V13594" s="1192">
        <v>91</v>
      </c>
    </row>
    <row r="13595" spans="1:22" s="1192" customFormat="1" ht="14.4" x14ac:dyDescent="0.3">
      <c r="A13595" s="1192" t="s">
        <v>191</v>
      </c>
      <c r="E13595" s="1741" t="s">
        <v>2495</v>
      </c>
      <c r="F13595" s="1741"/>
      <c r="G13595" s="360"/>
      <c r="H13595" s="837"/>
      <c r="V13595" s="1192">
        <v>96</v>
      </c>
    </row>
    <row r="13596" spans="1:22" s="1192" customFormat="1" ht="14.4" x14ac:dyDescent="0.3">
      <c r="A13596" s="1192" t="s">
        <v>191</v>
      </c>
      <c r="E13596" s="1741" t="s">
        <v>2597</v>
      </c>
      <c r="F13596" s="1741"/>
      <c r="G13596" s="360"/>
      <c r="H13596" s="837"/>
      <c r="V13596" s="1192">
        <v>77</v>
      </c>
    </row>
    <row r="13597" spans="1:22" s="1192" customFormat="1" ht="14.4" x14ac:dyDescent="0.3">
      <c r="A13597" s="1192" t="s">
        <v>191</v>
      </c>
      <c r="E13597" s="1941" t="s">
        <v>2497</v>
      </c>
      <c r="F13597" s="1941"/>
      <c r="G13597" s="360" t="s">
        <v>19</v>
      </c>
      <c r="H13597" s="837" t="s">
        <v>2498</v>
      </c>
      <c r="V13597" s="1192">
        <v>18</v>
      </c>
    </row>
    <row r="13598" spans="1:22" s="1192" customFormat="1" ht="14.4" x14ac:dyDescent="0.3">
      <c r="A13598" s="1192" t="s">
        <v>191</v>
      </c>
      <c r="E13598" s="1941" t="s">
        <v>2499</v>
      </c>
      <c r="F13598" s="1941"/>
      <c r="G13598" s="360" t="s">
        <v>19</v>
      </c>
      <c r="H13598" s="1218">
        <v>4.08</v>
      </c>
      <c r="V13598" s="1192">
        <v>69</v>
      </c>
    </row>
    <row r="13599" spans="1:22" s="1192" customFormat="1" ht="14.4" x14ac:dyDescent="0.3">
      <c r="A13599" s="1192" t="s">
        <v>191</v>
      </c>
      <c r="E13599" s="1741" t="s">
        <v>4608</v>
      </c>
      <c r="F13599" s="1741"/>
      <c r="G13599" s="360" t="s">
        <v>19</v>
      </c>
      <c r="H13599" s="1218">
        <v>2.04</v>
      </c>
      <c r="V13599" s="1192">
        <v>199</v>
      </c>
    </row>
    <row r="13600" spans="1:22" s="1192" customFormat="1" x14ac:dyDescent="0.35">
      <c r="A13600" s="1192" t="s">
        <v>191</v>
      </c>
      <c r="E13600" s="1260" t="s">
        <v>143</v>
      </c>
      <c r="F13600" s="550"/>
      <c r="G13600" s="550"/>
      <c r="H13600" s="881"/>
      <c r="K13600" s="1192" t="s">
        <v>3546</v>
      </c>
      <c r="V13600" s="1192">
        <v>12</v>
      </c>
    </row>
    <row r="13601" spans="1:22" s="1192" customFormat="1" ht="14.4" x14ac:dyDescent="0.3">
      <c r="A13601" s="1192" t="s">
        <v>191</v>
      </c>
      <c r="E13601" s="1741" t="s">
        <v>2501</v>
      </c>
      <c r="F13601" s="1741"/>
      <c r="G13601" s="1741"/>
      <c r="H13601" s="1741"/>
      <c r="V13601" s="1192">
        <v>203</v>
      </c>
    </row>
    <row r="13602" spans="1:22" s="1192" customFormat="1" ht="14.4" x14ac:dyDescent="0.3">
      <c r="A13602" s="1192" t="s">
        <v>191</v>
      </c>
      <c r="E13602" s="1741" t="s">
        <v>2599</v>
      </c>
      <c r="F13602" s="1741"/>
      <c r="G13602" s="1277"/>
      <c r="H13602" s="837">
        <v>1.0333000000000001</v>
      </c>
      <c r="V13602" s="1192">
        <v>57</v>
      </c>
    </row>
    <row r="13603" spans="1:22" s="1192" customFormat="1" ht="14.4" x14ac:dyDescent="0.3">
      <c r="A13603" s="1192" t="s">
        <v>191</v>
      </c>
      <c r="E13603" s="1741" t="s">
        <v>2601</v>
      </c>
      <c r="F13603" s="1741"/>
      <c r="G13603" s="1277"/>
      <c r="H13603" s="837">
        <v>1.0233000000000001</v>
      </c>
      <c r="J13603" s="1192" t="s">
        <v>3547</v>
      </c>
      <c r="V13603" s="1192">
        <v>55</v>
      </c>
    </row>
    <row r="13604" spans="1:22" s="1192" customFormat="1" ht="22.8" x14ac:dyDescent="0.3">
      <c r="A13604" s="1192" t="s">
        <v>166</v>
      </c>
      <c r="C13604" s="1192" t="s">
        <v>2378</v>
      </c>
      <c r="E13604" s="1752" t="s">
        <v>166</v>
      </c>
      <c r="F13604" s="1752"/>
      <c r="G13604" s="1752"/>
      <c r="H13604" s="1752"/>
      <c r="I13604" s="1192" t="s">
        <v>603</v>
      </c>
      <c r="J13604" s="1192" t="s">
        <v>3507</v>
      </c>
      <c r="K13604" s="1192" t="s">
        <v>166</v>
      </c>
      <c r="M13604" s="1192">
        <v>6</v>
      </c>
      <c r="V13604" s="1192">
        <v>24</v>
      </c>
    </row>
    <row r="13605" spans="1:22" s="1192" customFormat="1" ht="17.399999999999999" x14ac:dyDescent="0.3">
      <c r="A13605" s="1192" t="s">
        <v>166</v>
      </c>
      <c r="C13605" s="1192" t="s">
        <v>2380</v>
      </c>
      <c r="E13605" s="1753" t="s">
        <v>2381</v>
      </c>
      <c r="F13605" s="1753"/>
      <c r="G13605" s="1753"/>
      <c r="H13605" s="1753"/>
      <c r="V13605" s="1192">
        <v>27</v>
      </c>
    </row>
    <row r="13606" spans="1:22" s="1192" customFormat="1" ht="15.6" x14ac:dyDescent="0.3">
      <c r="A13606" s="1192" t="s">
        <v>166</v>
      </c>
      <c r="C13606" s="1192" t="s">
        <v>2382</v>
      </c>
      <c r="E13606" s="1754" t="s">
        <v>6482</v>
      </c>
      <c r="F13606" s="1754"/>
      <c r="G13606" s="1754"/>
      <c r="H13606" s="1754"/>
      <c r="S13606" s="1192">
        <v>43952</v>
      </c>
      <c r="V13606" s="1192">
        <v>45</v>
      </c>
    </row>
    <row r="13607" spans="1:22" s="1192" customFormat="1" ht="14.4" x14ac:dyDescent="0.3">
      <c r="A13607" s="1192" t="s">
        <v>166</v>
      </c>
      <c r="C13607" s="1192" t="s">
        <v>2383</v>
      </c>
      <c r="E13607" s="1755" t="s">
        <v>2384</v>
      </c>
      <c r="F13607" s="1755"/>
      <c r="G13607" s="1755"/>
      <c r="H13607" s="1755"/>
      <c r="V13607" s="1192">
        <v>52</v>
      </c>
    </row>
    <row r="13608" spans="1:22" s="1192" customFormat="1" ht="14.4" x14ac:dyDescent="0.3">
      <c r="A13608" s="1192" t="s">
        <v>166</v>
      </c>
      <c r="E13608" s="1755" t="s">
        <v>2385</v>
      </c>
      <c r="F13608" s="1755"/>
      <c r="G13608" s="1755"/>
      <c r="H13608" s="1755"/>
      <c r="V13608" s="1192">
        <v>53</v>
      </c>
    </row>
    <row r="13609" spans="1:22" s="1192" customFormat="1" ht="14.4" x14ac:dyDescent="0.3">
      <c r="A13609" s="1192" t="s">
        <v>166</v>
      </c>
      <c r="E13609" s="1772" t="s">
        <v>6691</v>
      </c>
      <c r="F13609" s="1772"/>
      <c r="G13609" s="1772"/>
      <c r="H13609" s="1772"/>
      <c r="K13609" s="1192" t="s">
        <v>6691</v>
      </c>
      <c r="V13609" s="1192">
        <v>12</v>
      </c>
    </row>
    <row r="13610" spans="1:22" s="1192" customFormat="1" ht="14.4" x14ac:dyDescent="0.3">
      <c r="A13610" s="1192" t="s">
        <v>166</v>
      </c>
      <c r="E13610" s="1746" t="s">
        <v>427</v>
      </c>
      <c r="F13610" s="1743"/>
      <c r="G13610" s="1743"/>
      <c r="H13610" s="1743"/>
      <c r="K13610" s="1192" t="s">
        <v>2506</v>
      </c>
      <c r="V13610" s="1192">
        <v>34</v>
      </c>
    </row>
    <row r="13611" spans="1:22" s="1192" customFormat="1" ht="14.4" x14ac:dyDescent="0.3">
      <c r="A13611" s="1192" t="s">
        <v>166</v>
      </c>
      <c r="E13611" s="1743" t="s">
        <v>3508</v>
      </c>
      <c r="F13611" s="1743"/>
      <c r="G13611" s="1743"/>
      <c r="H13611" s="1743"/>
      <c r="K13611" s="1192" t="s">
        <v>2506</v>
      </c>
      <c r="V13611" s="1192">
        <v>665</v>
      </c>
    </row>
    <row r="13612" spans="1:22" s="1192" customFormat="1" ht="14.4" x14ac:dyDescent="0.3">
      <c r="A13612" s="1192" t="s">
        <v>166</v>
      </c>
      <c r="E13612" s="1750" t="s">
        <v>2389</v>
      </c>
      <c r="F13612" s="1743"/>
      <c r="G13612" s="1743"/>
      <c r="H13612" s="1743"/>
      <c r="K13612" s="1192" t="s">
        <v>2390</v>
      </c>
      <c r="V13612" s="1192">
        <v>11</v>
      </c>
    </row>
    <row r="13613" spans="1:22" s="1192" customFormat="1" ht="14.4" x14ac:dyDescent="0.3">
      <c r="A13613" s="1192" t="s">
        <v>166</v>
      </c>
      <c r="E13613" s="1743" t="s">
        <v>2391</v>
      </c>
      <c r="F13613" s="1743"/>
      <c r="G13613" s="1743"/>
      <c r="H13613" s="1743"/>
      <c r="K13613" s="1192" t="s">
        <v>2506</v>
      </c>
      <c r="V13613" s="1192">
        <v>280</v>
      </c>
    </row>
    <row r="13614" spans="1:22" s="1192" customFormat="1" ht="14.4" x14ac:dyDescent="0.3">
      <c r="A13614" s="1192" t="s">
        <v>166</v>
      </c>
      <c r="E13614" s="1743" t="s">
        <v>3161</v>
      </c>
      <c r="F13614" s="1743"/>
      <c r="G13614" s="1743"/>
      <c r="H13614" s="1743"/>
      <c r="K13614" s="1192" t="s">
        <v>2506</v>
      </c>
      <c r="V13614" s="1192">
        <v>411</v>
      </c>
    </row>
    <row r="13615" spans="1:22" s="1192" customFormat="1" ht="14.4" x14ac:dyDescent="0.3">
      <c r="A13615" s="1192" t="s">
        <v>166</v>
      </c>
      <c r="E13615" s="1743" t="s">
        <v>3509</v>
      </c>
      <c r="F13615" s="1743"/>
      <c r="G13615" s="1743"/>
      <c r="H13615" s="1743"/>
      <c r="K13615" s="1192" t="s">
        <v>2506</v>
      </c>
      <c r="V13615" s="1192">
        <v>385</v>
      </c>
    </row>
    <row r="13616" spans="1:22" s="1192" customFormat="1" ht="14.4" x14ac:dyDescent="0.3">
      <c r="A13616" s="1192" t="s">
        <v>166</v>
      </c>
      <c r="E13616" s="1743" t="s">
        <v>4755</v>
      </c>
      <c r="F13616" s="1743"/>
      <c r="G13616" s="1743"/>
      <c r="H13616" s="1743"/>
      <c r="K13616" s="1192" t="s">
        <v>2506</v>
      </c>
      <c r="V13616" s="1192">
        <v>238</v>
      </c>
    </row>
    <row r="13617" spans="1:22" s="1192" customFormat="1" ht="14.4" x14ac:dyDescent="0.3">
      <c r="A13617" s="1192" t="s">
        <v>166</v>
      </c>
      <c r="E13617" s="1750" t="s">
        <v>2394</v>
      </c>
      <c r="F13617" s="1743"/>
      <c r="G13617" s="1743"/>
      <c r="H13617" s="1743"/>
      <c r="K13617" s="1192" t="s">
        <v>2395</v>
      </c>
      <c r="V13617" s="1192">
        <v>46</v>
      </c>
    </row>
    <row r="13618" spans="1:22" s="1192" customFormat="1" ht="14.4" x14ac:dyDescent="0.3">
      <c r="A13618" s="1192" t="s">
        <v>166</v>
      </c>
      <c r="E13618" s="1741" t="s">
        <v>7</v>
      </c>
      <c r="F13618" s="1741"/>
      <c r="G13618" s="1277" t="s">
        <v>19</v>
      </c>
      <c r="H13618" s="1218">
        <v>23.41</v>
      </c>
      <c r="K13618" s="1192" t="s">
        <v>2506</v>
      </c>
      <c r="L13618" s="1192" t="s">
        <v>430</v>
      </c>
      <c r="P13618" s="1192" t="s">
        <v>2510</v>
      </c>
      <c r="V13618" s="1192">
        <v>14</v>
      </c>
    </row>
    <row r="13619" spans="1:22" s="1192" customFormat="1" ht="14.4" x14ac:dyDescent="0.3">
      <c r="A13619" s="1192" t="s">
        <v>166</v>
      </c>
      <c r="E13619" s="1741" t="s">
        <v>3900</v>
      </c>
      <c r="F13619" s="1741"/>
      <c r="G13619" s="1277" t="s">
        <v>19</v>
      </c>
      <c r="H13619" s="1218">
        <v>0.56999999999999995</v>
      </c>
      <c r="K13619" s="1192" t="s">
        <v>2506</v>
      </c>
      <c r="L13619" s="1192" t="s">
        <v>431</v>
      </c>
      <c r="P13619" s="1192" t="s">
        <v>2511</v>
      </c>
      <c r="T13619" s="1192">
        <v>44926</v>
      </c>
      <c r="V13619" s="1192">
        <v>64</v>
      </c>
    </row>
    <row r="13620" spans="1:22" s="1192" customFormat="1" ht="14.4" x14ac:dyDescent="0.3">
      <c r="A13620" s="1192" t="s">
        <v>166</v>
      </c>
      <c r="E13620" s="1741" t="s">
        <v>14</v>
      </c>
      <c r="F13620" s="1741"/>
      <c r="G13620" s="1277" t="s">
        <v>20</v>
      </c>
      <c r="H13620" s="1219">
        <v>2.3999999999999998E-3</v>
      </c>
      <c r="K13620" s="1192" t="s">
        <v>2506</v>
      </c>
      <c r="L13620" s="1192" t="s">
        <v>431</v>
      </c>
      <c r="P13620" s="1192" t="s">
        <v>2513</v>
      </c>
      <c r="V13620" s="1192">
        <v>24</v>
      </c>
    </row>
    <row r="13621" spans="1:22" s="1192" customFormat="1" ht="14.4" x14ac:dyDescent="0.3">
      <c r="A13621" s="1192" t="s">
        <v>166</v>
      </c>
      <c r="E13621" s="1741" t="s">
        <v>6692</v>
      </c>
      <c r="F13621" s="1741"/>
      <c r="G13621" s="1277" t="s">
        <v>20</v>
      </c>
      <c r="H13621" s="1219">
        <v>6.9999999999999999E-4</v>
      </c>
      <c r="K13621" s="1192" t="s">
        <v>2506</v>
      </c>
      <c r="L13621" s="1192" t="s">
        <v>431</v>
      </c>
      <c r="P13621" s="1192" t="s">
        <v>2516</v>
      </c>
      <c r="T13621" s="1192">
        <v>44316</v>
      </c>
      <c r="V13621" s="1192">
        <v>119</v>
      </c>
    </row>
    <row r="13622" spans="1:22" s="1192" customFormat="1" ht="14.4" x14ac:dyDescent="0.3">
      <c r="A13622" s="1192" t="s">
        <v>166</v>
      </c>
      <c r="E13622" s="1741" t="s">
        <v>6693</v>
      </c>
      <c r="F13622" s="1741"/>
      <c r="G13622" s="1277" t="s">
        <v>20</v>
      </c>
      <c r="H13622" s="1219">
        <v>-1.21E-2</v>
      </c>
      <c r="K13622" s="1192" t="s">
        <v>2506</v>
      </c>
      <c r="L13622" s="1192" t="s">
        <v>431</v>
      </c>
      <c r="P13622" s="1192" t="s">
        <v>2514</v>
      </c>
      <c r="T13622" s="1192">
        <v>44316</v>
      </c>
      <c r="V13622" s="1192">
        <v>156</v>
      </c>
    </row>
    <row r="13623" spans="1:22" s="1192" customFormat="1" ht="14.4" x14ac:dyDescent="0.3">
      <c r="A13623" s="1192" t="s">
        <v>166</v>
      </c>
      <c r="E13623" s="1741" t="s">
        <v>6694</v>
      </c>
      <c r="F13623" s="1998"/>
      <c r="G13623" s="1277" t="s">
        <v>20</v>
      </c>
      <c r="H13623" s="1219">
        <v>2.9999999999999997E-4</v>
      </c>
      <c r="K13623" s="1192" t="s">
        <v>2506</v>
      </c>
      <c r="L13623" s="1192" t="s">
        <v>430</v>
      </c>
      <c r="P13623" s="1192" t="s">
        <v>2515</v>
      </c>
      <c r="T13623" s="1192">
        <v>44316</v>
      </c>
      <c r="V13623" s="1192">
        <v>140</v>
      </c>
    </row>
    <row r="13624" spans="1:22" s="1192" customFormat="1" ht="14.4" x14ac:dyDescent="0.3">
      <c r="A13624" s="1192" t="s">
        <v>166</v>
      </c>
      <c r="E13624" s="1741" t="s">
        <v>213</v>
      </c>
      <c r="F13624" s="1741"/>
      <c r="G13624" s="1277" t="s">
        <v>20</v>
      </c>
      <c r="H13624" s="1219">
        <v>7.4000000000000003E-3</v>
      </c>
      <c r="K13624" s="1192" t="s">
        <v>2506</v>
      </c>
      <c r="L13624" s="1192" t="s">
        <v>432</v>
      </c>
      <c r="P13624" s="1192" t="s">
        <v>2517</v>
      </c>
      <c r="V13624" s="1192">
        <v>47</v>
      </c>
    </row>
    <row r="13625" spans="1:22" s="1192" customFormat="1" ht="14.4" x14ac:dyDescent="0.3">
      <c r="A13625" s="1192" t="s">
        <v>166</v>
      </c>
      <c r="E13625" s="1741" t="s">
        <v>209</v>
      </c>
      <c r="F13625" s="1741"/>
      <c r="G13625" s="1277" t="s">
        <v>20</v>
      </c>
      <c r="H13625" s="1219">
        <v>4.7999999999999996E-3</v>
      </c>
      <c r="K13625" s="1192" t="s">
        <v>2506</v>
      </c>
      <c r="L13625" s="1192" t="s">
        <v>432</v>
      </c>
      <c r="P13625" s="1192" t="s">
        <v>2518</v>
      </c>
      <c r="V13625" s="1192">
        <v>74</v>
      </c>
    </row>
    <row r="13626" spans="1:22" s="1192" customFormat="1" ht="14.4" x14ac:dyDescent="0.3">
      <c r="A13626" s="1192" t="s">
        <v>166</v>
      </c>
      <c r="E13626" s="1750" t="s">
        <v>2405</v>
      </c>
      <c r="F13626" s="1741"/>
      <c r="G13626" s="1277"/>
      <c r="H13626" s="896"/>
      <c r="K13626" s="1192" t="s">
        <v>2406</v>
      </c>
      <c r="V13626" s="1192">
        <v>48</v>
      </c>
    </row>
    <row r="13627" spans="1:22" s="1192" customFormat="1" ht="14.4" x14ac:dyDescent="0.3">
      <c r="A13627" s="1192" t="s">
        <v>166</v>
      </c>
      <c r="E13627" s="1741" t="s">
        <v>2033</v>
      </c>
      <c r="F13627" s="1741"/>
      <c r="G13627" s="1277" t="s">
        <v>20</v>
      </c>
      <c r="H13627" s="1219">
        <v>3.0000000000000001E-3</v>
      </c>
      <c r="K13627" s="1192" t="s">
        <v>2506</v>
      </c>
      <c r="L13627" s="1192" t="s">
        <v>2374</v>
      </c>
      <c r="P13627" s="1192" t="s">
        <v>2519</v>
      </c>
      <c r="V13627" s="1192">
        <v>55</v>
      </c>
    </row>
    <row r="13628" spans="1:22" s="1192" customFormat="1" ht="14.4" x14ac:dyDescent="0.3">
      <c r="A13628" s="1192" t="s">
        <v>166</v>
      </c>
      <c r="E13628" s="1741" t="s">
        <v>2034</v>
      </c>
      <c r="F13628" s="1741"/>
      <c r="G13628" s="1277" t="s">
        <v>20</v>
      </c>
      <c r="H13628" s="1219">
        <v>4.0000000000000002E-4</v>
      </c>
      <c r="K13628" s="1192" t="s">
        <v>2506</v>
      </c>
      <c r="L13628" s="1192" t="s">
        <v>2374</v>
      </c>
      <c r="P13628" s="1192" t="s">
        <v>2519</v>
      </c>
      <c r="V13628" s="1192">
        <v>65</v>
      </c>
    </row>
    <row r="13629" spans="1:22" s="1192" customFormat="1" ht="14.4" x14ac:dyDescent="0.3">
      <c r="A13629" s="1192" t="s">
        <v>166</v>
      </c>
      <c r="E13629" s="1741" t="s">
        <v>428</v>
      </c>
      <c r="F13629" s="1741"/>
      <c r="G13629" s="1277" t="s">
        <v>20</v>
      </c>
      <c r="H13629" s="1219">
        <v>5.0000000000000001E-4</v>
      </c>
      <c r="K13629" s="1192" t="s">
        <v>2506</v>
      </c>
      <c r="L13629" s="1192" t="s">
        <v>2374</v>
      </c>
      <c r="P13629" s="1192" t="s">
        <v>2520</v>
      </c>
      <c r="V13629" s="1192">
        <v>57</v>
      </c>
    </row>
    <row r="13630" spans="1:22" s="1192" customFormat="1" ht="14.4" x14ac:dyDescent="0.3">
      <c r="A13630" s="1192" t="s">
        <v>166</v>
      </c>
      <c r="E13630" s="1741" t="s">
        <v>28</v>
      </c>
      <c r="F13630" s="1741"/>
      <c r="G13630" s="1277" t="s">
        <v>19</v>
      </c>
      <c r="H13630" s="1218">
        <v>0.25</v>
      </c>
      <c r="K13630" s="1192" t="s">
        <v>2506</v>
      </c>
      <c r="L13630" s="1192" t="s">
        <v>2374</v>
      </c>
      <c r="P13630" s="1192" t="s">
        <v>2521</v>
      </c>
      <c r="V13630" s="1192">
        <v>63</v>
      </c>
    </row>
    <row r="13631" spans="1:22" s="1192" customFormat="1" ht="17.399999999999999" x14ac:dyDescent="0.3">
      <c r="A13631" s="1192" t="s">
        <v>166</v>
      </c>
      <c r="E13631" s="1746" t="s">
        <v>2522</v>
      </c>
      <c r="F13631" s="1747"/>
      <c r="G13631" s="1747"/>
      <c r="H13631" s="1747"/>
      <c r="K13631" s="1192" t="s">
        <v>3901</v>
      </c>
      <c r="V13631" s="1192">
        <v>54</v>
      </c>
    </row>
    <row r="13632" spans="1:22" s="1192" customFormat="1" ht="14.4" x14ac:dyDescent="0.3">
      <c r="A13632" s="1192" t="s">
        <v>166</v>
      </c>
      <c r="E13632" s="1743" t="s">
        <v>3159</v>
      </c>
      <c r="F13632" s="1743"/>
      <c r="G13632" s="1743"/>
      <c r="H13632" s="1743"/>
      <c r="K13632" s="1192" t="s">
        <v>3901</v>
      </c>
      <c r="V13632" s="1192">
        <v>331</v>
      </c>
    </row>
    <row r="13633" spans="1:22" s="1192" customFormat="1" ht="14.4" x14ac:dyDescent="0.3">
      <c r="A13633" s="1192" t="s">
        <v>166</v>
      </c>
      <c r="E13633" s="1750" t="s">
        <v>2389</v>
      </c>
      <c r="F13633" s="1743"/>
      <c r="G13633" s="1743"/>
      <c r="H13633" s="1743"/>
      <c r="K13633" s="1192" t="s">
        <v>2412</v>
      </c>
      <c r="V13633" s="1192">
        <v>11</v>
      </c>
    </row>
    <row r="13634" spans="1:22" s="1192" customFormat="1" ht="14.4" x14ac:dyDescent="0.3">
      <c r="A13634" s="1192" t="s">
        <v>166</v>
      </c>
      <c r="E13634" s="1743" t="s">
        <v>2391</v>
      </c>
      <c r="F13634" s="1743"/>
      <c r="G13634" s="1743"/>
      <c r="H13634" s="1743"/>
      <c r="K13634" s="1192" t="s">
        <v>3901</v>
      </c>
      <c r="V13634" s="1192">
        <v>280</v>
      </c>
    </row>
    <row r="13635" spans="1:22" s="1192" customFormat="1" ht="14.4" x14ac:dyDescent="0.3">
      <c r="A13635" s="1192" t="s">
        <v>166</v>
      </c>
      <c r="E13635" s="1743" t="s">
        <v>3161</v>
      </c>
      <c r="F13635" s="1743"/>
      <c r="G13635" s="1743"/>
      <c r="H13635" s="1743"/>
      <c r="K13635" s="1192" t="s">
        <v>3901</v>
      </c>
      <c r="V13635" s="1192">
        <v>411</v>
      </c>
    </row>
    <row r="13636" spans="1:22" s="1192" customFormat="1" ht="14.4" x14ac:dyDescent="0.3">
      <c r="A13636" s="1192" t="s">
        <v>166</v>
      </c>
      <c r="E13636" s="1743" t="s">
        <v>3510</v>
      </c>
      <c r="F13636" s="1743"/>
      <c r="G13636" s="1743"/>
      <c r="H13636" s="1743"/>
      <c r="K13636" s="1192" t="s">
        <v>3901</v>
      </c>
      <c r="V13636" s="1192">
        <v>386</v>
      </c>
    </row>
    <row r="13637" spans="1:22" s="1192" customFormat="1" ht="14.4" x14ac:dyDescent="0.3">
      <c r="A13637" s="1192" t="s">
        <v>166</v>
      </c>
      <c r="E13637" s="1743" t="s">
        <v>4755</v>
      </c>
      <c r="F13637" s="1743"/>
      <c r="G13637" s="1743"/>
      <c r="H13637" s="1743"/>
      <c r="K13637" s="1192" t="s">
        <v>3901</v>
      </c>
      <c r="V13637" s="1192">
        <v>238</v>
      </c>
    </row>
    <row r="13638" spans="1:22" s="1192" customFormat="1" ht="14.4" x14ac:dyDescent="0.3">
      <c r="A13638" s="1192" t="s">
        <v>166</v>
      </c>
      <c r="E13638" s="1750" t="s">
        <v>2394</v>
      </c>
      <c r="F13638" s="1743"/>
      <c r="G13638" s="1743"/>
      <c r="H13638" s="1743"/>
      <c r="K13638" s="1192" t="s">
        <v>2413</v>
      </c>
      <c r="V13638" s="1192">
        <v>46</v>
      </c>
    </row>
    <row r="13639" spans="1:22" s="1192" customFormat="1" ht="14.4" x14ac:dyDescent="0.3">
      <c r="A13639" s="1192" t="s">
        <v>166</v>
      </c>
      <c r="E13639" s="1741" t="s">
        <v>7</v>
      </c>
      <c r="F13639" s="1741"/>
      <c r="G13639" s="1277" t="s">
        <v>19</v>
      </c>
      <c r="H13639" s="1218">
        <v>15.76</v>
      </c>
      <c r="K13639" s="1192" t="s">
        <v>3901</v>
      </c>
      <c r="L13639" s="1192" t="s">
        <v>430</v>
      </c>
      <c r="P13639" s="1192" t="s">
        <v>3902</v>
      </c>
      <c r="V13639" s="1192">
        <v>14</v>
      </c>
    </row>
    <row r="13640" spans="1:22" s="1192" customFormat="1" ht="14.4" x14ac:dyDescent="0.3">
      <c r="A13640" s="1192" t="s">
        <v>166</v>
      </c>
      <c r="E13640" s="1741" t="s">
        <v>3900</v>
      </c>
      <c r="F13640" s="1741"/>
      <c r="G13640" s="1277" t="s">
        <v>19</v>
      </c>
      <c r="H13640" s="1218">
        <v>0.56999999999999995</v>
      </c>
      <c r="K13640" s="1192" t="s">
        <v>3901</v>
      </c>
      <c r="L13640" s="1192" t="s">
        <v>431</v>
      </c>
      <c r="P13640" s="1192" t="s">
        <v>3903</v>
      </c>
      <c r="T13640" s="1192">
        <v>44926</v>
      </c>
      <c r="V13640" s="1192">
        <v>64</v>
      </c>
    </row>
    <row r="13641" spans="1:22" s="1192" customFormat="1" ht="14.4" x14ac:dyDescent="0.3">
      <c r="A13641" s="1192" t="s">
        <v>166</v>
      </c>
      <c r="E13641" s="1741" t="s">
        <v>80</v>
      </c>
      <c r="F13641" s="1741"/>
      <c r="G13641" s="1277" t="s">
        <v>20</v>
      </c>
      <c r="H13641" s="1219">
        <v>1.5900000000000001E-2</v>
      </c>
      <c r="K13641" s="1192" t="s">
        <v>3901</v>
      </c>
      <c r="L13641" s="1192" t="s">
        <v>430</v>
      </c>
      <c r="P13641" s="1192" t="s">
        <v>3904</v>
      </c>
      <c r="V13641" s="1192">
        <v>28</v>
      </c>
    </row>
    <row r="13642" spans="1:22" s="1192" customFormat="1" ht="14.4" x14ac:dyDescent="0.3">
      <c r="A13642" s="1192" t="s">
        <v>166</v>
      </c>
      <c r="E13642" s="1741" t="s">
        <v>14</v>
      </c>
      <c r="F13642" s="1741"/>
      <c r="G13642" s="1277" t="s">
        <v>20</v>
      </c>
      <c r="H13642" s="1219">
        <v>2.0999999999999999E-3</v>
      </c>
      <c r="K13642" s="1192" t="s">
        <v>3901</v>
      </c>
      <c r="L13642" s="1192" t="s">
        <v>431</v>
      </c>
      <c r="P13642" s="1192" t="s">
        <v>3905</v>
      </c>
      <c r="V13642" s="1192">
        <v>24</v>
      </c>
    </row>
    <row r="13643" spans="1:22" s="1192" customFormat="1" ht="14.4" x14ac:dyDescent="0.3">
      <c r="A13643" s="1192" t="s">
        <v>166</v>
      </c>
      <c r="E13643" s="1741" t="s">
        <v>6695</v>
      </c>
      <c r="F13643" s="1741"/>
      <c r="G13643" s="1277" t="s">
        <v>20</v>
      </c>
      <c r="H13643" s="1219">
        <v>6.9999999999999999E-4</v>
      </c>
      <c r="K13643" s="1192" t="s">
        <v>3901</v>
      </c>
      <c r="L13643" s="1192" t="s">
        <v>431</v>
      </c>
      <c r="P13643" s="1192" t="s">
        <v>3911</v>
      </c>
      <c r="T13643" s="1192">
        <v>44316</v>
      </c>
      <c r="V13643" s="1192">
        <v>112</v>
      </c>
    </row>
    <row r="13644" spans="1:22" s="1192" customFormat="1" ht="14.4" x14ac:dyDescent="0.3">
      <c r="A13644" s="1192" t="s">
        <v>166</v>
      </c>
      <c r="E13644" s="1741" t="s">
        <v>6696</v>
      </c>
      <c r="F13644" s="1741"/>
      <c r="G13644" s="1277" t="s">
        <v>20</v>
      </c>
      <c r="H13644" s="1219">
        <v>-1.21E-2</v>
      </c>
      <c r="K13644" s="1192" t="s">
        <v>3901</v>
      </c>
      <c r="L13644" s="1192" t="s">
        <v>431</v>
      </c>
      <c r="P13644" s="1192" t="s">
        <v>3700</v>
      </c>
      <c r="T13644" s="1192">
        <v>44316</v>
      </c>
      <c r="V13644" s="1192">
        <v>157</v>
      </c>
    </row>
    <row r="13645" spans="1:22" s="1192" customFormat="1" ht="14.4" x14ac:dyDescent="0.3">
      <c r="A13645" s="1192" t="s">
        <v>166</v>
      </c>
      <c r="E13645" s="1741" t="s">
        <v>6588</v>
      </c>
      <c r="F13645" s="1998"/>
      <c r="G13645" s="1277" t="s">
        <v>20</v>
      </c>
      <c r="H13645" s="1219">
        <v>5.0000000000000001E-4</v>
      </c>
      <c r="K13645" s="1192" t="s">
        <v>3901</v>
      </c>
      <c r="L13645" s="1192" t="s">
        <v>430</v>
      </c>
      <c r="P13645" s="1192" t="s">
        <v>4000</v>
      </c>
      <c r="T13645" s="1192">
        <v>44316</v>
      </c>
      <c r="V13645" s="1192">
        <v>135</v>
      </c>
    </row>
    <row r="13646" spans="1:22" s="1192" customFormat="1" ht="14.4" x14ac:dyDescent="0.3">
      <c r="A13646" s="1192" t="s">
        <v>166</v>
      </c>
      <c r="E13646" s="1741" t="s">
        <v>213</v>
      </c>
      <c r="F13646" s="1741"/>
      <c r="G13646" s="1277" t="s">
        <v>20</v>
      </c>
      <c r="H13646" s="1219">
        <v>6.6E-3</v>
      </c>
      <c r="K13646" s="1192" t="s">
        <v>3901</v>
      </c>
      <c r="L13646" s="1192" t="s">
        <v>432</v>
      </c>
      <c r="P13646" s="1192" t="s">
        <v>3906</v>
      </c>
      <c r="V13646" s="1192">
        <v>47</v>
      </c>
    </row>
    <row r="13647" spans="1:22" s="1192" customFormat="1" ht="14.4" x14ac:dyDescent="0.3">
      <c r="A13647" s="1192" t="s">
        <v>166</v>
      </c>
      <c r="E13647" s="1741" t="s">
        <v>209</v>
      </c>
      <c r="F13647" s="1741"/>
      <c r="G13647" s="1277" t="s">
        <v>20</v>
      </c>
      <c r="H13647" s="1219">
        <v>4.1999999999999997E-3</v>
      </c>
      <c r="K13647" s="1192" t="s">
        <v>3901</v>
      </c>
      <c r="L13647" s="1192" t="s">
        <v>432</v>
      </c>
      <c r="P13647" s="1192" t="s">
        <v>3907</v>
      </c>
      <c r="V13647" s="1192">
        <v>74</v>
      </c>
    </row>
    <row r="13648" spans="1:22" s="1192" customFormat="1" ht="14.4" x14ac:dyDescent="0.3">
      <c r="A13648" s="1192" t="s">
        <v>166</v>
      </c>
      <c r="E13648" s="1750" t="s">
        <v>2405</v>
      </c>
      <c r="F13648" s="1741"/>
      <c r="G13648" s="1277"/>
      <c r="H13648" s="896"/>
      <c r="K13648" s="1192" t="s">
        <v>2418</v>
      </c>
      <c r="V13648" s="1192">
        <v>48</v>
      </c>
    </row>
    <row r="13649" spans="1:22" s="1192" customFormat="1" ht="14.4" x14ac:dyDescent="0.3">
      <c r="A13649" s="1192" t="s">
        <v>166</v>
      </c>
      <c r="E13649" s="1741" t="s">
        <v>2033</v>
      </c>
      <c r="F13649" s="1741"/>
      <c r="G13649" s="1277" t="s">
        <v>20</v>
      </c>
      <c r="H13649" s="1219">
        <v>3.0000000000000001E-3</v>
      </c>
      <c r="K13649" s="1192" t="s">
        <v>3901</v>
      </c>
      <c r="L13649" s="1192" t="s">
        <v>2374</v>
      </c>
      <c r="P13649" s="1192" t="s">
        <v>3908</v>
      </c>
      <c r="V13649" s="1192">
        <v>55</v>
      </c>
    </row>
    <row r="13650" spans="1:22" s="1192" customFormat="1" ht="14.4" x14ac:dyDescent="0.3">
      <c r="A13650" s="1192" t="s">
        <v>166</v>
      </c>
      <c r="E13650" s="1741" t="s">
        <v>2034</v>
      </c>
      <c r="F13650" s="1741"/>
      <c r="G13650" s="1277" t="s">
        <v>20</v>
      </c>
      <c r="H13650" s="1219">
        <v>4.0000000000000002E-4</v>
      </c>
      <c r="K13650" s="1192" t="s">
        <v>3901</v>
      </c>
      <c r="L13650" s="1192" t="s">
        <v>2374</v>
      </c>
      <c r="P13650" s="1192" t="s">
        <v>3908</v>
      </c>
      <c r="V13650" s="1192">
        <v>65</v>
      </c>
    </row>
    <row r="13651" spans="1:22" s="1192" customFormat="1" ht="14.4" x14ac:dyDescent="0.3">
      <c r="A13651" s="1192" t="s">
        <v>166</v>
      </c>
      <c r="E13651" s="1741" t="s">
        <v>428</v>
      </c>
      <c r="F13651" s="1741"/>
      <c r="G13651" s="1277" t="s">
        <v>20</v>
      </c>
      <c r="H13651" s="1219">
        <v>5.0000000000000001E-4</v>
      </c>
      <c r="K13651" s="1192" t="s">
        <v>3901</v>
      </c>
      <c r="L13651" s="1192" t="s">
        <v>2374</v>
      </c>
      <c r="P13651" s="1192" t="s">
        <v>3909</v>
      </c>
      <c r="V13651" s="1192">
        <v>57</v>
      </c>
    </row>
    <row r="13652" spans="1:22" s="1192" customFormat="1" ht="14.4" x14ac:dyDescent="0.3">
      <c r="A13652" s="1192" t="s">
        <v>166</v>
      </c>
      <c r="E13652" s="1741" t="s">
        <v>28</v>
      </c>
      <c r="F13652" s="1741"/>
      <c r="G13652" s="1277" t="s">
        <v>19</v>
      </c>
      <c r="H13652" s="1218">
        <v>0.25</v>
      </c>
      <c r="K13652" s="1192" t="s">
        <v>3901</v>
      </c>
      <c r="L13652" s="1192" t="s">
        <v>2374</v>
      </c>
      <c r="P13652" s="1192" t="s">
        <v>3910</v>
      </c>
      <c r="V13652" s="1192">
        <v>63</v>
      </c>
    </row>
    <row r="13653" spans="1:22" s="1192" customFormat="1" ht="17.399999999999999" x14ac:dyDescent="0.3">
      <c r="A13653" s="1192" t="s">
        <v>166</v>
      </c>
      <c r="E13653" s="1746" t="s">
        <v>591</v>
      </c>
      <c r="F13653" s="1747"/>
      <c r="G13653" s="1747"/>
      <c r="H13653" s="1747"/>
      <c r="K13653" s="1192" t="s">
        <v>4388</v>
      </c>
      <c r="V13653" s="1192">
        <v>53</v>
      </c>
    </row>
    <row r="13654" spans="1:22" s="1192" customFormat="1" ht="14.4" x14ac:dyDescent="0.3">
      <c r="A13654" s="1192" t="s">
        <v>166</v>
      </c>
      <c r="E13654" s="1743" t="s">
        <v>3160</v>
      </c>
      <c r="F13654" s="1743"/>
      <c r="G13654" s="1743"/>
      <c r="H13654" s="1743"/>
      <c r="K13654" s="1192" t="s">
        <v>4388</v>
      </c>
      <c r="V13654" s="1192">
        <v>356</v>
      </c>
    </row>
    <row r="13655" spans="1:22" s="1192" customFormat="1" ht="14.4" x14ac:dyDescent="0.3">
      <c r="A13655" s="1192" t="s">
        <v>166</v>
      </c>
      <c r="E13655" s="1750" t="s">
        <v>2389</v>
      </c>
      <c r="F13655" s="1743"/>
      <c r="G13655" s="1743"/>
      <c r="H13655" s="1743"/>
      <c r="K13655" s="1192" t="s">
        <v>2422</v>
      </c>
      <c r="V13655" s="1192">
        <v>11</v>
      </c>
    </row>
    <row r="13656" spans="1:22" s="1192" customFormat="1" ht="14.4" x14ac:dyDescent="0.3">
      <c r="A13656" s="1192" t="s">
        <v>166</v>
      </c>
      <c r="E13656" s="1743" t="s">
        <v>2391</v>
      </c>
      <c r="F13656" s="1743"/>
      <c r="G13656" s="1743"/>
      <c r="H13656" s="1743"/>
      <c r="K13656" s="1192" t="s">
        <v>4388</v>
      </c>
      <c r="V13656" s="1192">
        <v>280</v>
      </c>
    </row>
    <row r="13657" spans="1:22" s="1192" customFormat="1" ht="14.4" x14ac:dyDescent="0.3">
      <c r="A13657" s="1192" t="s">
        <v>166</v>
      </c>
      <c r="E13657" s="1743" t="s">
        <v>3161</v>
      </c>
      <c r="F13657" s="1743"/>
      <c r="G13657" s="1743"/>
      <c r="H13657" s="1743"/>
      <c r="K13657" s="1192" t="s">
        <v>4388</v>
      </c>
      <c r="V13657" s="1192">
        <v>411</v>
      </c>
    </row>
    <row r="13658" spans="1:22" s="1192" customFormat="1" ht="14.4" x14ac:dyDescent="0.3">
      <c r="A13658" s="1192" t="s">
        <v>166</v>
      </c>
      <c r="E13658" s="1743" t="s">
        <v>3510</v>
      </c>
      <c r="F13658" s="1743"/>
      <c r="G13658" s="1743"/>
      <c r="H13658" s="1743"/>
      <c r="K13658" s="1192" t="s">
        <v>4388</v>
      </c>
      <c r="V13658" s="1192">
        <v>386</v>
      </c>
    </row>
    <row r="13659" spans="1:22" s="1192" customFormat="1" ht="14.4" x14ac:dyDescent="0.3">
      <c r="A13659" s="1192" t="s">
        <v>166</v>
      </c>
      <c r="E13659" s="1743" t="s">
        <v>4632</v>
      </c>
      <c r="F13659" s="1743"/>
      <c r="G13659" s="1743"/>
      <c r="H13659" s="1743"/>
      <c r="K13659" s="1192" t="s">
        <v>4388</v>
      </c>
      <c r="V13659" s="1192">
        <v>680</v>
      </c>
    </row>
    <row r="13660" spans="1:22" s="1192" customFormat="1" ht="14.4" x14ac:dyDescent="0.3">
      <c r="A13660" s="1192" t="s">
        <v>166</v>
      </c>
      <c r="E13660" s="1743" t="s">
        <v>4644</v>
      </c>
      <c r="F13660" s="1743"/>
      <c r="G13660" s="1743"/>
      <c r="H13660" s="1743"/>
      <c r="K13660" s="1192" t="s">
        <v>4388</v>
      </c>
      <c r="V13660" s="1192">
        <v>693</v>
      </c>
    </row>
    <row r="13661" spans="1:22" s="1192" customFormat="1" ht="14.4" x14ac:dyDescent="0.3">
      <c r="A13661" s="1192" t="s">
        <v>166</v>
      </c>
      <c r="E13661" s="1743" t="s">
        <v>4755</v>
      </c>
      <c r="F13661" s="1743"/>
      <c r="G13661" s="1743"/>
      <c r="H13661" s="1743"/>
      <c r="K13661" s="1192" t="s">
        <v>4388</v>
      </c>
      <c r="V13661" s="1192">
        <v>238</v>
      </c>
    </row>
    <row r="13662" spans="1:22" s="1192" customFormat="1" ht="14.4" x14ac:dyDescent="0.3">
      <c r="A13662" s="1192" t="s">
        <v>166</v>
      </c>
      <c r="E13662" s="1750" t="s">
        <v>2394</v>
      </c>
      <c r="F13662" s="1743"/>
      <c r="G13662" s="1743"/>
      <c r="H13662" s="1743"/>
      <c r="K13662" s="1192" t="s">
        <v>2423</v>
      </c>
      <c r="V13662" s="1192">
        <v>46</v>
      </c>
    </row>
    <row r="13663" spans="1:22" s="1192" customFormat="1" ht="14.4" x14ac:dyDescent="0.3">
      <c r="A13663" s="1192" t="s">
        <v>166</v>
      </c>
      <c r="E13663" s="1741" t="s">
        <v>7</v>
      </c>
      <c r="F13663" s="1741"/>
      <c r="G13663" s="1277" t="s">
        <v>19</v>
      </c>
      <c r="H13663" s="1218">
        <v>36.06</v>
      </c>
      <c r="K13663" s="1192" t="s">
        <v>4388</v>
      </c>
      <c r="L13663" s="1192" t="s">
        <v>430</v>
      </c>
      <c r="P13663" s="1192" t="s">
        <v>4389</v>
      </c>
      <c r="V13663" s="1192">
        <v>14</v>
      </c>
    </row>
    <row r="13664" spans="1:22" s="1192" customFormat="1" ht="14.4" x14ac:dyDescent="0.3">
      <c r="A13664" s="1192" t="s">
        <v>166</v>
      </c>
      <c r="E13664" s="1741" t="s">
        <v>80</v>
      </c>
      <c r="F13664" s="1741"/>
      <c r="G13664" s="1277" t="s">
        <v>29</v>
      </c>
      <c r="H13664" s="1219">
        <v>5.4401999999999999</v>
      </c>
      <c r="K13664" s="1192" t="s">
        <v>4388</v>
      </c>
      <c r="L13664" s="1192" t="s">
        <v>430</v>
      </c>
      <c r="P13664" s="1192" t="s">
        <v>4390</v>
      </c>
      <c r="V13664" s="1192">
        <v>28</v>
      </c>
    </row>
    <row r="13665" spans="1:22" s="1192" customFormat="1" ht="14.4" x14ac:dyDescent="0.3">
      <c r="A13665" s="1192" t="s">
        <v>166</v>
      </c>
      <c r="E13665" s="1741" t="s">
        <v>14</v>
      </c>
      <c r="F13665" s="1741"/>
      <c r="G13665" s="1277" t="s">
        <v>29</v>
      </c>
      <c r="H13665" s="1219">
        <v>0.8246</v>
      </c>
      <c r="K13665" s="1192" t="s">
        <v>4388</v>
      </c>
      <c r="L13665" s="1192" t="s">
        <v>431</v>
      </c>
      <c r="P13665" s="1192" t="s">
        <v>4391</v>
      </c>
      <c r="V13665" s="1192">
        <v>24</v>
      </c>
    </row>
    <row r="13666" spans="1:22" s="1192" customFormat="1" ht="14.4" x14ac:dyDescent="0.3">
      <c r="A13666" s="1192" t="s">
        <v>166</v>
      </c>
      <c r="E13666" s="1741" t="s">
        <v>6695</v>
      </c>
      <c r="F13666" s="1741"/>
      <c r="G13666" s="1277" t="s">
        <v>29</v>
      </c>
      <c r="H13666" s="1219">
        <v>0.22339999999999999</v>
      </c>
      <c r="K13666" s="1192" t="s">
        <v>4388</v>
      </c>
      <c r="L13666" s="1192" t="s">
        <v>431</v>
      </c>
      <c r="P13666" s="1192" t="s">
        <v>4398</v>
      </c>
      <c r="T13666" s="1192">
        <v>44316</v>
      </c>
      <c r="V13666" s="1192">
        <v>112</v>
      </c>
    </row>
    <row r="13667" spans="1:22" s="1192" customFormat="1" ht="14.4" x14ac:dyDescent="0.3">
      <c r="A13667" s="1192" t="s">
        <v>166</v>
      </c>
      <c r="E13667" s="1741" t="s">
        <v>6693</v>
      </c>
      <c r="F13667" s="1741"/>
      <c r="G13667" s="1277" t="s">
        <v>20</v>
      </c>
      <c r="H13667" s="1219">
        <v>-1.21E-2</v>
      </c>
      <c r="K13667" s="1192" t="s">
        <v>4388</v>
      </c>
      <c r="L13667" s="1192" t="s">
        <v>431</v>
      </c>
      <c r="P13667" s="1192" t="s">
        <v>4397</v>
      </c>
      <c r="T13667" s="1192">
        <v>44316</v>
      </c>
      <c r="V13667" s="1192">
        <v>156</v>
      </c>
    </row>
    <row r="13668" spans="1:22" s="1192" customFormat="1" ht="14.4" x14ac:dyDescent="0.3">
      <c r="A13668" s="1192" t="s">
        <v>166</v>
      </c>
      <c r="E13668" s="1741" t="s">
        <v>6588</v>
      </c>
      <c r="F13668" s="1998"/>
      <c r="G13668" s="1277" t="s">
        <v>29</v>
      </c>
      <c r="H13668" s="1219">
        <v>0.32019999999999998</v>
      </c>
      <c r="K13668" s="1192" t="s">
        <v>4388</v>
      </c>
      <c r="L13668" s="1192" t="s">
        <v>430</v>
      </c>
      <c r="P13668" s="1192" t="s">
        <v>4400</v>
      </c>
      <c r="T13668" s="1192">
        <v>44316</v>
      </c>
      <c r="V13668" s="1192">
        <v>135</v>
      </c>
    </row>
    <row r="13669" spans="1:22" s="1192" customFormat="1" ht="14.4" x14ac:dyDescent="0.3">
      <c r="A13669" s="1192" t="s">
        <v>166</v>
      </c>
      <c r="E13669" s="1741" t="s">
        <v>6697</v>
      </c>
      <c r="F13669" s="1741"/>
      <c r="G13669" s="1277" t="s">
        <v>29</v>
      </c>
      <c r="H13669" s="1219">
        <v>0.3468</v>
      </c>
      <c r="K13669" s="1192" t="s">
        <v>4388</v>
      </c>
      <c r="L13669" s="1192" t="s">
        <v>431</v>
      </c>
      <c r="P13669" s="1192" t="s">
        <v>4398</v>
      </c>
      <c r="T13669" s="1192">
        <v>44316</v>
      </c>
      <c r="V13669" s="1192">
        <v>170</v>
      </c>
    </row>
    <row r="13670" spans="1:22" s="1192" customFormat="1" ht="14.4" x14ac:dyDescent="0.3">
      <c r="A13670" s="1192" t="s">
        <v>166</v>
      </c>
      <c r="E13670" s="1741" t="s">
        <v>213</v>
      </c>
      <c r="F13670" s="1741"/>
      <c r="G13670" s="1277" t="s">
        <v>29</v>
      </c>
      <c r="H13670" s="1219">
        <v>2.726</v>
      </c>
      <c r="K13670" s="1192" t="s">
        <v>4388</v>
      </c>
      <c r="L13670" s="1192" t="s">
        <v>432</v>
      </c>
      <c r="P13670" s="1192" t="s">
        <v>4392</v>
      </c>
      <c r="V13670" s="1192">
        <v>47</v>
      </c>
    </row>
    <row r="13671" spans="1:22" s="1192" customFormat="1" ht="14.4" x14ac:dyDescent="0.3">
      <c r="A13671" s="1192" t="s">
        <v>166</v>
      </c>
      <c r="E13671" s="1741" t="s">
        <v>209</v>
      </c>
      <c r="F13671" s="1741"/>
      <c r="G13671" s="1277" t="s">
        <v>29</v>
      </c>
      <c r="H13671" s="1219">
        <v>1.6293</v>
      </c>
      <c r="K13671" s="1192" t="s">
        <v>4388</v>
      </c>
      <c r="L13671" s="1192" t="s">
        <v>432</v>
      </c>
      <c r="P13671" s="1192" t="s">
        <v>4393</v>
      </c>
      <c r="V13671" s="1192">
        <v>74</v>
      </c>
    </row>
    <row r="13672" spans="1:22" s="1192" customFormat="1" ht="14.4" x14ac:dyDescent="0.3">
      <c r="A13672" s="1192" t="s">
        <v>166</v>
      </c>
      <c r="E13672" s="1750" t="s">
        <v>2405</v>
      </c>
      <c r="F13672" s="1741"/>
      <c r="G13672" s="1277"/>
      <c r="H13672" s="896"/>
      <c r="K13672" s="1192" t="s">
        <v>2526</v>
      </c>
      <c r="V13672" s="1192">
        <v>48</v>
      </c>
    </row>
    <row r="13673" spans="1:22" s="1192" customFormat="1" ht="14.4" x14ac:dyDescent="0.3">
      <c r="A13673" s="1192" t="s">
        <v>166</v>
      </c>
      <c r="E13673" s="1741" t="s">
        <v>2033</v>
      </c>
      <c r="F13673" s="1741"/>
      <c r="G13673" s="1277" t="s">
        <v>20</v>
      </c>
      <c r="H13673" s="1219">
        <v>3.0000000000000001E-3</v>
      </c>
      <c r="K13673" s="1192" t="s">
        <v>4388</v>
      </c>
      <c r="L13673" s="1192" t="s">
        <v>2374</v>
      </c>
      <c r="P13673" s="1192" t="s">
        <v>4394</v>
      </c>
      <c r="V13673" s="1192">
        <v>55</v>
      </c>
    </row>
    <row r="13674" spans="1:22" s="1192" customFormat="1" ht="14.4" x14ac:dyDescent="0.3">
      <c r="A13674" s="1192" t="s">
        <v>166</v>
      </c>
      <c r="E13674" s="1741" t="s">
        <v>2034</v>
      </c>
      <c r="F13674" s="1741"/>
      <c r="G13674" s="1277" t="s">
        <v>20</v>
      </c>
      <c r="H13674" s="1219">
        <v>4.0000000000000002E-4</v>
      </c>
      <c r="K13674" s="1192" t="s">
        <v>4388</v>
      </c>
      <c r="L13674" s="1192" t="s">
        <v>2374</v>
      </c>
      <c r="P13674" s="1192" t="s">
        <v>4394</v>
      </c>
      <c r="V13674" s="1192">
        <v>65</v>
      </c>
    </row>
    <row r="13675" spans="1:22" s="1192" customFormat="1" ht="14.4" x14ac:dyDescent="0.3">
      <c r="A13675" s="1192" t="s">
        <v>166</v>
      </c>
      <c r="E13675" s="1741" t="s">
        <v>428</v>
      </c>
      <c r="F13675" s="1741"/>
      <c r="G13675" s="1277" t="s">
        <v>20</v>
      </c>
      <c r="H13675" s="1219">
        <v>5.0000000000000001E-4</v>
      </c>
      <c r="K13675" s="1192" t="s">
        <v>4388</v>
      </c>
      <c r="L13675" s="1192" t="s">
        <v>2374</v>
      </c>
      <c r="P13675" s="1192" t="s">
        <v>4395</v>
      </c>
      <c r="V13675" s="1192">
        <v>57</v>
      </c>
    </row>
    <row r="13676" spans="1:22" s="1192" customFormat="1" ht="14.4" x14ac:dyDescent="0.3">
      <c r="A13676" s="1192" t="s">
        <v>166</v>
      </c>
      <c r="E13676" s="1741" t="s">
        <v>28</v>
      </c>
      <c r="F13676" s="1741"/>
      <c r="G13676" s="1277" t="s">
        <v>19</v>
      </c>
      <c r="H13676" s="1218">
        <v>0.25</v>
      </c>
      <c r="K13676" s="1192" t="s">
        <v>4388</v>
      </c>
      <c r="L13676" s="1192" t="s">
        <v>2374</v>
      </c>
      <c r="P13676" s="1192" t="s">
        <v>4396</v>
      </c>
      <c r="V13676" s="1192">
        <v>63</v>
      </c>
    </row>
    <row r="13677" spans="1:22" s="1192" customFormat="1" ht="17.399999999999999" x14ac:dyDescent="0.3">
      <c r="A13677" s="1192" t="s">
        <v>166</v>
      </c>
      <c r="E13677" s="1746" t="s">
        <v>592</v>
      </c>
      <c r="F13677" s="1747"/>
      <c r="G13677" s="1747"/>
      <c r="H13677" s="1747"/>
      <c r="K13677" s="1192" t="s">
        <v>2676</v>
      </c>
      <c r="V13677" s="1192">
        <v>47</v>
      </c>
    </row>
    <row r="13678" spans="1:22" s="1192" customFormat="1" ht="14.4" x14ac:dyDescent="0.3">
      <c r="A13678" s="1192" t="s">
        <v>166</v>
      </c>
      <c r="E13678" s="1743" t="s">
        <v>3511</v>
      </c>
      <c r="F13678" s="1743"/>
      <c r="G13678" s="1743"/>
      <c r="H13678" s="1743"/>
      <c r="K13678" s="1192" t="s">
        <v>2676</v>
      </c>
      <c r="V13678" s="1192">
        <v>621</v>
      </c>
    </row>
    <row r="13679" spans="1:22" s="1192" customFormat="1" ht="14.4" x14ac:dyDescent="0.3">
      <c r="A13679" s="1192" t="s">
        <v>166</v>
      </c>
      <c r="E13679" s="1750" t="s">
        <v>2389</v>
      </c>
      <c r="F13679" s="1743"/>
      <c r="G13679" s="1743"/>
      <c r="H13679" s="1743"/>
      <c r="K13679" s="1192" t="s">
        <v>2529</v>
      </c>
      <c r="V13679" s="1192">
        <v>11</v>
      </c>
    </row>
    <row r="13680" spans="1:22" s="1192" customFormat="1" ht="14.4" x14ac:dyDescent="0.3">
      <c r="A13680" s="1192" t="s">
        <v>166</v>
      </c>
      <c r="E13680" s="1743" t="s">
        <v>2391</v>
      </c>
      <c r="F13680" s="1743"/>
      <c r="G13680" s="1743"/>
      <c r="H13680" s="1743"/>
      <c r="K13680" s="1192" t="s">
        <v>2676</v>
      </c>
      <c r="V13680" s="1192">
        <v>280</v>
      </c>
    </row>
    <row r="13681" spans="1:22" s="1192" customFormat="1" ht="14.4" x14ac:dyDescent="0.3">
      <c r="A13681" s="1192" t="s">
        <v>166</v>
      </c>
      <c r="E13681" s="1743" t="s">
        <v>3161</v>
      </c>
      <c r="F13681" s="1743"/>
      <c r="G13681" s="1743"/>
      <c r="H13681" s="1743"/>
      <c r="K13681" s="1192" t="s">
        <v>2676</v>
      </c>
      <c r="V13681" s="1192">
        <v>411</v>
      </c>
    </row>
    <row r="13682" spans="1:22" s="1192" customFormat="1" ht="14.4" x14ac:dyDescent="0.3">
      <c r="A13682" s="1192" t="s">
        <v>166</v>
      </c>
      <c r="E13682" s="1743" t="s">
        <v>3510</v>
      </c>
      <c r="F13682" s="1743"/>
      <c r="G13682" s="1743"/>
      <c r="H13682" s="1743"/>
      <c r="K13682" s="1192" t="s">
        <v>2676</v>
      </c>
      <c r="V13682" s="1192">
        <v>386</v>
      </c>
    </row>
    <row r="13683" spans="1:22" s="1192" customFormat="1" ht="14.4" x14ac:dyDescent="0.3">
      <c r="A13683" s="1192" t="s">
        <v>166</v>
      </c>
      <c r="E13683" s="1743" t="s">
        <v>4755</v>
      </c>
      <c r="F13683" s="1743"/>
      <c r="G13683" s="1743"/>
      <c r="H13683" s="1743"/>
      <c r="K13683" s="1192" t="s">
        <v>2676</v>
      </c>
      <c r="V13683" s="1192">
        <v>238</v>
      </c>
    </row>
    <row r="13684" spans="1:22" s="1192" customFormat="1" ht="14.4" x14ac:dyDescent="0.3">
      <c r="A13684" s="1192" t="s">
        <v>166</v>
      </c>
      <c r="E13684" s="1750" t="s">
        <v>2394</v>
      </c>
      <c r="F13684" s="1743"/>
      <c r="G13684" s="1743"/>
      <c r="H13684" s="1743"/>
      <c r="K13684" s="1192" t="s">
        <v>2531</v>
      </c>
      <c r="V13684" s="1192">
        <v>46</v>
      </c>
    </row>
    <row r="13685" spans="1:22" s="1192" customFormat="1" ht="14.4" x14ac:dyDescent="0.3">
      <c r="A13685" s="1192" t="s">
        <v>166</v>
      </c>
      <c r="E13685" s="1741" t="s">
        <v>8</v>
      </c>
      <c r="F13685" s="1741"/>
      <c r="G13685" s="1277" t="s">
        <v>19</v>
      </c>
      <c r="H13685" s="1218">
        <v>4.54</v>
      </c>
      <c r="K13685" s="1192" t="s">
        <v>2676</v>
      </c>
      <c r="L13685" s="1192" t="s">
        <v>430</v>
      </c>
      <c r="P13685" s="1192" t="s">
        <v>2678</v>
      </c>
      <c r="V13685" s="1192">
        <v>31</v>
      </c>
    </row>
    <row r="13686" spans="1:22" s="1192" customFormat="1" ht="14.4" x14ac:dyDescent="0.3">
      <c r="A13686" s="1192" t="s">
        <v>166</v>
      </c>
      <c r="E13686" s="1741" t="s">
        <v>80</v>
      </c>
      <c r="F13686" s="1741"/>
      <c r="G13686" s="1277" t="s">
        <v>20</v>
      </c>
      <c r="H13686" s="1219">
        <v>9.1000000000000004E-3</v>
      </c>
      <c r="K13686" s="1192" t="s">
        <v>2676</v>
      </c>
      <c r="L13686" s="1192" t="s">
        <v>430</v>
      </c>
      <c r="P13686" s="1192" t="s">
        <v>2679</v>
      </c>
      <c r="V13686" s="1192">
        <v>28</v>
      </c>
    </row>
    <row r="13687" spans="1:22" s="1192" customFormat="1" ht="14.4" x14ac:dyDescent="0.3">
      <c r="A13687" s="1192" t="s">
        <v>166</v>
      </c>
      <c r="E13687" s="1741" t="s">
        <v>14</v>
      </c>
      <c r="F13687" s="1741"/>
      <c r="G13687" s="1277" t="s">
        <v>20</v>
      </c>
      <c r="H13687" s="1219">
        <v>2.0999999999999999E-3</v>
      </c>
      <c r="K13687" s="1192" t="s">
        <v>2676</v>
      </c>
      <c r="L13687" s="1192" t="s">
        <v>431</v>
      </c>
      <c r="P13687" s="1192" t="s">
        <v>2809</v>
      </c>
      <c r="V13687" s="1192">
        <v>24</v>
      </c>
    </row>
    <row r="13688" spans="1:22" s="1192" customFormat="1" ht="14.4" x14ac:dyDescent="0.3">
      <c r="A13688" s="1192" t="s">
        <v>166</v>
      </c>
      <c r="E13688" s="1741" t="s">
        <v>6695</v>
      </c>
      <c r="F13688" s="1741"/>
      <c r="G13688" s="1277" t="s">
        <v>20</v>
      </c>
      <c r="H13688" s="1219">
        <v>6.9999999999999999E-4</v>
      </c>
      <c r="K13688" s="1192" t="s">
        <v>2676</v>
      </c>
      <c r="L13688" s="1192" t="s">
        <v>431</v>
      </c>
      <c r="P13688" s="1192" t="s">
        <v>2681</v>
      </c>
      <c r="T13688" s="1192">
        <v>44316</v>
      </c>
      <c r="V13688" s="1192">
        <v>112</v>
      </c>
    </row>
    <row r="13689" spans="1:22" s="1192" customFormat="1" ht="14.4" x14ac:dyDescent="0.3">
      <c r="A13689" s="1192" t="s">
        <v>166</v>
      </c>
      <c r="E13689" s="1741" t="s">
        <v>213</v>
      </c>
      <c r="F13689" s="1741"/>
      <c r="G13689" s="1277" t="s">
        <v>20</v>
      </c>
      <c r="H13689" s="1219">
        <v>6.6E-3</v>
      </c>
      <c r="K13689" s="1192" t="s">
        <v>2676</v>
      </c>
      <c r="L13689" s="1192" t="s">
        <v>432</v>
      </c>
      <c r="P13689" s="1192" t="s">
        <v>2682</v>
      </c>
      <c r="V13689" s="1192">
        <v>47</v>
      </c>
    </row>
    <row r="13690" spans="1:22" s="1192" customFormat="1" ht="14.4" x14ac:dyDescent="0.3">
      <c r="A13690" s="1192" t="s">
        <v>166</v>
      </c>
      <c r="E13690" s="1741" t="s">
        <v>209</v>
      </c>
      <c r="F13690" s="1741"/>
      <c r="G13690" s="1277" t="s">
        <v>20</v>
      </c>
      <c r="H13690" s="1219">
        <v>4.1999999999999997E-3</v>
      </c>
      <c r="K13690" s="1192" t="s">
        <v>2676</v>
      </c>
      <c r="L13690" s="1192" t="s">
        <v>432</v>
      </c>
      <c r="P13690" s="1192" t="s">
        <v>2683</v>
      </c>
      <c r="V13690" s="1192">
        <v>74</v>
      </c>
    </row>
    <row r="13691" spans="1:22" s="1192" customFormat="1" ht="14.4" x14ac:dyDescent="0.3">
      <c r="A13691" s="1192" t="s">
        <v>166</v>
      </c>
      <c r="E13691" s="1750" t="s">
        <v>2405</v>
      </c>
      <c r="F13691" s="1741"/>
      <c r="G13691" s="1277"/>
      <c r="H13691" s="896"/>
      <c r="K13691" s="1192" t="s">
        <v>2532</v>
      </c>
      <c r="V13691" s="1192">
        <v>48</v>
      </c>
    </row>
    <row r="13692" spans="1:22" s="1192" customFormat="1" ht="14.4" x14ac:dyDescent="0.3">
      <c r="A13692" s="1192" t="s">
        <v>166</v>
      </c>
      <c r="E13692" s="1741" t="s">
        <v>2033</v>
      </c>
      <c r="F13692" s="1741"/>
      <c r="G13692" s="1277" t="s">
        <v>20</v>
      </c>
      <c r="H13692" s="1219">
        <v>3.0000000000000001E-3</v>
      </c>
      <c r="K13692" s="1192" t="s">
        <v>2676</v>
      </c>
      <c r="L13692" s="1192" t="s">
        <v>2374</v>
      </c>
      <c r="P13692" s="1192" t="s">
        <v>2684</v>
      </c>
      <c r="V13692" s="1192">
        <v>55</v>
      </c>
    </row>
    <row r="13693" spans="1:22" s="1192" customFormat="1" ht="14.4" x14ac:dyDescent="0.3">
      <c r="A13693" s="1192" t="s">
        <v>166</v>
      </c>
      <c r="E13693" s="1741" t="s">
        <v>2034</v>
      </c>
      <c r="F13693" s="1741"/>
      <c r="G13693" s="1277" t="s">
        <v>20</v>
      </c>
      <c r="H13693" s="1219">
        <v>4.0000000000000002E-4</v>
      </c>
      <c r="K13693" s="1192" t="s">
        <v>2676</v>
      </c>
      <c r="L13693" s="1192" t="s">
        <v>2374</v>
      </c>
      <c r="P13693" s="1192" t="s">
        <v>2684</v>
      </c>
      <c r="V13693" s="1192">
        <v>65</v>
      </c>
    </row>
    <row r="13694" spans="1:22" s="1192" customFormat="1" ht="14.4" x14ac:dyDescent="0.3">
      <c r="A13694" s="1192" t="s">
        <v>166</v>
      </c>
      <c r="E13694" s="1741" t="s">
        <v>428</v>
      </c>
      <c r="F13694" s="1741"/>
      <c r="G13694" s="1277" t="s">
        <v>20</v>
      </c>
      <c r="H13694" s="1219">
        <v>5.0000000000000001E-4</v>
      </c>
      <c r="K13694" s="1192" t="s">
        <v>2676</v>
      </c>
      <c r="L13694" s="1192" t="s">
        <v>2374</v>
      </c>
      <c r="P13694" s="1192" t="s">
        <v>2685</v>
      </c>
      <c r="V13694" s="1192">
        <v>57</v>
      </c>
    </row>
    <row r="13695" spans="1:22" s="1192" customFormat="1" ht="14.4" x14ac:dyDescent="0.3">
      <c r="A13695" s="1192" t="s">
        <v>166</v>
      </c>
      <c r="E13695" s="1741" t="s">
        <v>28</v>
      </c>
      <c r="F13695" s="1741"/>
      <c r="G13695" s="1277" t="s">
        <v>19</v>
      </c>
      <c r="H13695" s="1218">
        <v>0.25</v>
      </c>
      <c r="K13695" s="1192" t="s">
        <v>2676</v>
      </c>
      <c r="L13695" s="1192" t="s">
        <v>2374</v>
      </c>
      <c r="P13695" s="1192" t="s">
        <v>2686</v>
      </c>
      <c r="V13695" s="1192">
        <v>63</v>
      </c>
    </row>
    <row r="13696" spans="1:22" s="1192" customFormat="1" ht="17.399999999999999" x14ac:dyDescent="0.3">
      <c r="A13696" s="1192" t="s">
        <v>166</v>
      </c>
      <c r="E13696" s="1746" t="s">
        <v>590</v>
      </c>
      <c r="F13696" s="1747"/>
      <c r="G13696" s="1747"/>
      <c r="H13696" s="1747"/>
      <c r="K13696" s="1192" t="s">
        <v>2687</v>
      </c>
      <c r="V13696" s="1192">
        <v>38</v>
      </c>
    </row>
    <row r="13697" spans="1:22" s="1192" customFormat="1" ht="14.4" x14ac:dyDescent="0.3">
      <c r="A13697" s="1192" t="s">
        <v>166</v>
      </c>
      <c r="E13697" s="1743" t="s">
        <v>3512</v>
      </c>
      <c r="F13697" s="1743"/>
      <c r="G13697" s="1743"/>
      <c r="H13697" s="1743"/>
      <c r="K13697" s="1192" t="s">
        <v>2687</v>
      </c>
      <c r="V13697" s="1192">
        <v>552</v>
      </c>
    </row>
    <row r="13698" spans="1:22" s="1192" customFormat="1" ht="14.4" x14ac:dyDescent="0.3">
      <c r="A13698" s="1192" t="s">
        <v>166</v>
      </c>
      <c r="E13698" s="1750" t="s">
        <v>2389</v>
      </c>
      <c r="F13698" s="1743"/>
      <c r="G13698" s="1743"/>
      <c r="H13698" s="1743"/>
      <c r="K13698" s="1192" t="s">
        <v>2424</v>
      </c>
      <c r="V13698" s="1192">
        <v>11</v>
      </c>
    </row>
    <row r="13699" spans="1:22" s="1192" customFormat="1" ht="14.4" x14ac:dyDescent="0.3">
      <c r="A13699" s="1192" t="s">
        <v>166</v>
      </c>
      <c r="E13699" s="1743" t="s">
        <v>2391</v>
      </c>
      <c r="F13699" s="1743"/>
      <c r="G13699" s="1743"/>
      <c r="H13699" s="1743"/>
      <c r="K13699" s="1192" t="s">
        <v>2687</v>
      </c>
      <c r="V13699" s="1192">
        <v>280</v>
      </c>
    </row>
    <row r="13700" spans="1:22" s="1192" customFormat="1" ht="14.4" x14ac:dyDescent="0.3">
      <c r="A13700" s="1192" t="s">
        <v>166</v>
      </c>
      <c r="E13700" s="1743" t="s">
        <v>3161</v>
      </c>
      <c r="F13700" s="1743"/>
      <c r="G13700" s="1743"/>
      <c r="H13700" s="1743"/>
      <c r="K13700" s="1192" t="s">
        <v>2687</v>
      </c>
      <c r="V13700" s="1192">
        <v>411</v>
      </c>
    </row>
    <row r="13701" spans="1:22" s="1192" customFormat="1" ht="14.4" x14ac:dyDescent="0.3">
      <c r="A13701" s="1192" t="s">
        <v>166</v>
      </c>
      <c r="E13701" s="1743" t="s">
        <v>3510</v>
      </c>
      <c r="F13701" s="1743"/>
      <c r="G13701" s="1743"/>
      <c r="H13701" s="1743"/>
      <c r="K13701" s="1192" t="s">
        <v>2687</v>
      </c>
      <c r="V13701" s="1192">
        <v>386</v>
      </c>
    </row>
    <row r="13702" spans="1:22" s="1192" customFormat="1" ht="14.4" x14ac:dyDescent="0.3">
      <c r="A13702" s="1192" t="s">
        <v>166</v>
      </c>
      <c r="E13702" s="1743" t="s">
        <v>4755</v>
      </c>
      <c r="F13702" s="1743"/>
      <c r="G13702" s="1743"/>
      <c r="H13702" s="1743"/>
      <c r="K13702" s="1192" t="s">
        <v>2687</v>
      </c>
      <c r="V13702" s="1192">
        <v>238</v>
      </c>
    </row>
    <row r="13703" spans="1:22" s="1192" customFormat="1" ht="14.4" x14ac:dyDescent="0.3">
      <c r="A13703" s="1192" t="s">
        <v>166</v>
      </c>
      <c r="E13703" s="1750" t="s">
        <v>2394</v>
      </c>
      <c r="F13703" s="1743"/>
      <c r="G13703" s="1743"/>
      <c r="H13703" s="1743"/>
      <c r="K13703" s="1192" t="s">
        <v>2425</v>
      </c>
      <c r="V13703" s="1192">
        <v>46</v>
      </c>
    </row>
    <row r="13704" spans="1:22" s="1192" customFormat="1" ht="14.4" x14ac:dyDescent="0.3">
      <c r="A13704" s="1192" t="s">
        <v>166</v>
      </c>
      <c r="E13704" s="1741" t="s">
        <v>8</v>
      </c>
      <c r="F13704" s="1741"/>
      <c r="G13704" s="1277" t="s">
        <v>19</v>
      </c>
      <c r="H13704" s="1218">
        <v>1.67</v>
      </c>
      <c r="K13704" s="1192" t="s">
        <v>2687</v>
      </c>
      <c r="L13704" s="1192" t="s">
        <v>430</v>
      </c>
      <c r="P13704" s="1192" t="s">
        <v>2689</v>
      </c>
      <c r="V13704" s="1192">
        <v>31</v>
      </c>
    </row>
    <row r="13705" spans="1:22" s="1192" customFormat="1" ht="14.4" x14ac:dyDescent="0.3">
      <c r="A13705" s="1192" t="s">
        <v>166</v>
      </c>
      <c r="E13705" s="1741" t="s">
        <v>80</v>
      </c>
      <c r="F13705" s="1741"/>
      <c r="G13705" s="1277" t="s">
        <v>29</v>
      </c>
      <c r="H13705" s="1219">
        <v>1.0059</v>
      </c>
      <c r="K13705" s="1192" t="s">
        <v>2687</v>
      </c>
      <c r="L13705" s="1192" t="s">
        <v>430</v>
      </c>
      <c r="P13705" s="1192" t="s">
        <v>2690</v>
      </c>
      <c r="V13705" s="1192">
        <v>28</v>
      </c>
    </row>
    <row r="13706" spans="1:22" s="1192" customFormat="1" ht="14.4" x14ac:dyDescent="0.3">
      <c r="A13706" s="1192" t="s">
        <v>166</v>
      </c>
      <c r="E13706" s="1741" t="s">
        <v>14</v>
      </c>
      <c r="F13706" s="1741"/>
      <c r="G13706" s="1277" t="s">
        <v>29</v>
      </c>
      <c r="H13706" s="1219">
        <v>0.63970000000000005</v>
      </c>
      <c r="K13706" s="1192" t="s">
        <v>2687</v>
      </c>
      <c r="L13706" s="1192" t="s">
        <v>431</v>
      </c>
      <c r="P13706" s="1192" t="s">
        <v>2812</v>
      </c>
      <c r="V13706" s="1192">
        <v>24</v>
      </c>
    </row>
    <row r="13707" spans="1:22" s="1192" customFormat="1" ht="14.4" x14ac:dyDescent="0.3">
      <c r="A13707" s="1192" t="s">
        <v>166</v>
      </c>
      <c r="E13707" s="1741" t="s">
        <v>6695</v>
      </c>
      <c r="F13707" s="1741"/>
      <c r="G13707" s="1277" t="s">
        <v>29</v>
      </c>
      <c r="H13707" s="1219">
        <v>0.23250000000000001</v>
      </c>
      <c r="K13707" s="1192" t="s">
        <v>2687</v>
      </c>
      <c r="L13707" s="1192" t="s">
        <v>431</v>
      </c>
      <c r="P13707" s="1192" t="s">
        <v>2693</v>
      </c>
      <c r="T13707" s="1192">
        <v>44316</v>
      </c>
      <c r="V13707" s="1192">
        <v>112</v>
      </c>
    </row>
    <row r="13708" spans="1:22" s="1192" customFormat="1" ht="14.4" x14ac:dyDescent="0.3">
      <c r="A13708" s="1192" t="s">
        <v>166</v>
      </c>
      <c r="E13708" s="1741" t="s">
        <v>6696</v>
      </c>
      <c r="F13708" s="1741"/>
      <c r="G13708" s="1277" t="s">
        <v>20</v>
      </c>
      <c r="H13708" s="1219">
        <v>-1.21E-2</v>
      </c>
      <c r="K13708" s="1192" t="s">
        <v>2687</v>
      </c>
      <c r="L13708" s="1192" t="s">
        <v>431</v>
      </c>
      <c r="P13708" s="1192" t="s">
        <v>2691</v>
      </c>
      <c r="T13708" s="1192">
        <v>44316</v>
      </c>
      <c r="V13708" s="1192">
        <v>157</v>
      </c>
    </row>
    <row r="13709" spans="1:22" s="1192" customFormat="1" ht="14.4" x14ac:dyDescent="0.3">
      <c r="A13709" s="1192" t="s">
        <v>166</v>
      </c>
      <c r="E13709" s="1741" t="s">
        <v>6588</v>
      </c>
      <c r="F13709" s="1998"/>
      <c r="G13709" s="1277" t="s">
        <v>29</v>
      </c>
      <c r="H13709" s="1219">
        <v>-4.9099999999999998E-2</v>
      </c>
      <c r="K13709" s="1192" t="s">
        <v>2687</v>
      </c>
      <c r="L13709" s="1192" t="s">
        <v>430</v>
      </c>
      <c r="P13709" s="1192" t="s">
        <v>2692</v>
      </c>
      <c r="T13709" s="1192">
        <v>44316</v>
      </c>
      <c r="V13709" s="1192">
        <v>135</v>
      </c>
    </row>
    <row r="13710" spans="1:22" s="1192" customFormat="1" ht="14.4" x14ac:dyDescent="0.3">
      <c r="A13710" s="1192" t="s">
        <v>166</v>
      </c>
      <c r="E13710" s="1741" t="s">
        <v>213</v>
      </c>
      <c r="F13710" s="1741"/>
      <c r="G13710" s="1277" t="s">
        <v>29</v>
      </c>
      <c r="H13710" s="1219">
        <v>2.0560999999999998</v>
      </c>
      <c r="K13710" s="1192" t="s">
        <v>2687</v>
      </c>
      <c r="L13710" s="1192" t="s">
        <v>432</v>
      </c>
      <c r="P13710" s="1192" t="s">
        <v>2694</v>
      </c>
      <c r="V13710" s="1192">
        <v>47</v>
      </c>
    </row>
    <row r="13711" spans="1:22" s="1192" customFormat="1" ht="14.4" x14ac:dyDescent="0.3">
      <c r="A13711" s="1192" t="s">
        <v>166</v>
      </c>
      <c r="E13711" s="1741" t="s">
        <v>209</v>
      </c>
      <c r="F13711" s="1741"/>
      <c r="G13711" s="1277" t="s">
        <v>29</v>
      </c>
      <c r="H13711" s="1219">
        <v>1.2596000000000001</v>
      </c>
      <c r="K13711" s="1192" t="s">
        <v>2687</v>
      </c>
      <c r="L13711" s="1192" t="s">
        <v>432</v>
      </c>
      <c r="P13711" s="1192" t="s">
        <v>2813</v>
      </c>
      <c r="V13711" s="1192">
        <v>74</v>
      </c>
    </row>
    <row r="13712" spans="1:22" s="1192" customFormat="1" ht="14.4" x14ac:dyDescent="0.3">
      <c r="A13712" s="1192" t="s">
        <v>166</v>
      </c>
      <c r="E13712" s="1750" t="s">
        <v>2405</v>
      </c>
      <c r="F13712" s="1741"/>
      <c r="G13712" s="1277"/>
      <c r="H13712" s="896"/>
      <c r="K13712" s="1192" t="s">
        <v>2427</v>
      </c>
      <c r="V13712" s="1192">
        <v>48</v>
      </c>
    </row>
    <row r="13713" spans="1:22" s="1192" customFormat="1" ht="14.4" x14ac:dyDescent="0.3">
      <c r="A13713" s="1192" t="s">
        <v>166</v>
      </c>
      <c r="E13713" s="1741" t="s">
        <v>2033</v>
      </c>
      <c r="F13713" s="1741"/>
      <c r="G13713" s="1277" t="s">
        <v>20</v>
      </c>
      <c r="H13713" s="1219">
        <v>3.0000000000000001E-3</v>
      </c>
      <c r="K13713" s="1192" t="s">
        <v>2687</v>
      </c>
      <c r="L13713" s="1192" t="s">
        <v>2374</v>
      </c>
      <c r="P13713" s="1192" t="s">
        <v>2696</v>
      </c>
      <c r="V13713" s="1192">
        <v>55</v>
      </c>
    </row>
    <row r="13714" spans="1:22" s="1192" customFormat="1" ht="14.4" x14ac:dyDescent="0.3">
      <c r="A13714" s="1192" t="s">
        <v>166</v>
      </c>
      <c r="E13714" s="1741" t="s">
        <v>2034</v>
      </c>
      <c r="F13714" s="1741"/>
      <c r="G13714" s="1277" t="s">
        <v>20</v>
      </c>
      <c r="H13714" s="1219">
        <v>4.0000000000000002E-4</v>
      </c>
      <c r="K13714" s="1192" t="s">
        <v>2687</v>
      </c>
      <c r="L13714" s="1192" t="s">
        <v>2374</v>
      </c>
      <c r="P13714" s="1192" t="s">
        <v>2696</v>
      </c>
      <c r="V13714" s="1192">
        <v>65</v>
      </c>
    </row>
    <row r="13715" spans="1:22" s="1192" customFormat="1" ht="14.4" x14ac:dyDescent="0.3">
      <c r="A13715" s="1192" t="s">
        <v>166</v>
      </c>
      <c r="E13715" s="1741" t="s">
        <v>428</v>
      </c>
      <c r="F13715" s="1741"/>
      <c r="G13715" s="1277" t="s">
        <v>20</v>
      </c>
      <c r="H13715" s="1219">
        <v>5.0000000000000001E-4</v>
      </c>
      <c r="K13715" s="1192" t="s">
        <v>2687</v>
      </c>
      <c r="L13715" s="1192" t="s">
        <v>2374</v>
      </c>
      <c r="P13715" s="1192" t="s">
        <v>2697</v>
      </c>
      <c r="V13715" s="1192">
        <v>57</v>
      </c>
    </row>
    <row r="13716" spans="1:22" s="1192" customFormat="1" ht="14.4" x14ac:dyDescent="0.3">
      <c r="A13716" s="1192" t="s">
        <v>166</v>
      </c>
      <c r="E13716" s="1741" t="s">
        <v>28</v>
      </c>
      <c r="F13716" s="1741"/>
      <c r="G13716" s="1277" t="s">
        <v>19</v>
      </c>
      <c r="H13716" s="1218">
        <v>0.25</v>
      </c>
      <c r="K13716" s="1192" t="s">
        <v>2687</v>
      </c>
      <c r="L13716" s="1192" t="s">
        <v>2374</v>
      </c>
      <c r="P13716" s="1192" t="s">
        <v>2698</v>
      </c>
      <c r="V13716" s="1192">
        <v>63</v>
      </c>
    </row>
    <row r="13717" spans="1:22" s="1192" customFormat="1" ht="17.399999999999999" x14ac:dyDescent="0.3">
      <c r="A13717" s="1192" t="s">
        <v>166</v>
      </c>
      <c r="E13717" s="1746" t="s">
        <v>593</v>
      </c>
      <c r="F13717" s="1747"/>
      <c r="G13717" s="1747"/>
      <c r="H13717" s="1747"/>
      <c r="K13717" s="1192" t="s">
        <v>2651</v>
      </c>
      <c r="V13717" s="1192">
        <v>31</v>
      </c>
    </row>
    <row r="13718" spans="1:22" s="1192" customFormat="1" ht="14.4" x14ac:dyDescent="0.3">
      <c r="A13718" s="1192" t="s">
        <v>166</v>
      </c>
      <c r="E13718" s="1743" t="s">
        <v>2699</v>
      </c>
      <c r="F13718" s="1743"/>
      <c r="G13718" s="1743"/>
      <c r="H13718" s="1743"/>
      <c r="K13718" s="1192" t="s">
        <v>2651</v>
      </c>
      <c r="V13718" s="1192">
        <v>285</v>
      </c>
    </row>
    <row r="13719" spans="1:22" s="1192" customFormat="1" ht="14.4" x14ac:dyDescent="0.3">
      <c r="A13719" s="1192" t="s">
        <v>166</v>
      </c>
      <c r="E13719" s="1750" t="s">
        <v>2389</v>
      </c>
      <c r="F13719" s="1743"/>
      <c r="G13719" s="1743"/>
      <c r="H13719" s="1743"/>
      <c r="K13719" s="1192" t="s">
        <v>2430</v>
      </c>
      <c r="V13719" s="1192">
        <v>11</v>
      </c>
    </row>
    <row r="13720" spans="1:22" s="1192" customFormat="1" ht="14.4" x14ac:dyDescent="0.3">
      <c r="A13720" s="1192" t="s">
        <v>166</v>
      </c>
      <c r="E13720" s="1743" t="s">
        <v>2391</v>
      </c>
      <c r="F13720" s="1743"/>
      <c r="G13720" s="1743"/>
      <c r="H13720" s="1743"/>
      <c r="K13720" s="1192" t="s">
        <v>2651</v>
      </c>
      <c r="V13720" s="1192">
        <v>280</v>
      </c>
    </row>
    <row r="13721" spans="1:22" s="1192" customFormat="1" ht="14.4" x14ac:dyDescent="0.3">
      <c r="A13721" s="1192" t="s">
        <v>166</v>
      </c>
      <c r="E13721" s="1743" t="s">
        <v>3161</v>
      </c>
      <c r="F13721" s="1743"/>
      <c r="G13721" s="1743"/>
      <c r="H13721" s="1743"/>
      <c r="K13721" s="1192" t="s">
        <v>2651</v>
      </c>
      <c r="V13721" s="1192">
        <v>411</v>
      </c>
    </row>
    <row r="13722" spans="1:22" s="1192" customFormat="1" ht="14.4" x14ac:dyDescent="0.3">
      <c r="A13722" s="1192" t="s">
        <v>166</v>
      </c>
      <c r="E13722" s="1743" t="s">
        <v>3513</v>
      </c>
      <c r="F13722" s="1743"/>
      <c r="G13722" s="1743"/>
      <c r="H13722" s="1743"/>
      <c r="K13722" s="1192" t="s">
        <v>2651</v>
      </c>
      <c r="V13722" s="1192">
        <v>212</v>
      </c>
    </row>
    <row r="13723" spans="1:22" s="1192" customFormat="1" ht="14.4" x14ac:dyDescent="0.3">
      <c r="A13723" s="1192" t="s">
        <v>166</v>
      </c>
      <c r="E13723" s="1743" t="s">
        <v>4755</v>
      </c>
      <c r="F13723" s="1743"/>
      <c r="G13723" s="1743"/>
      <c r="H13723" s="1743"/>
      <c r="K13723" s="1192" t="s">
        <v>2651</v>
      </c>
      <c r="V13723" s="1192">
        <v>238</v>
      </c>
    </row>
    <row r="13724" spans="1:22" s="1192" customFormat="1" ht="14.4" x14ac:dyDescent="0.3">
      <c r="A13724" s="1192" t="s">
        <v>166</v>
      </c>
      <c r="E13724" s="1750" t="s">
        <v>2394</v>
      </c>
      <c r="F13724" s="1743"/>
      <c r="G13724" s="1743"/>
      <c r="H13724" s="1743"/>
      <c r="K13724" s="1192" t="s">
        <v>2431</v>
      </c>
      <c r="V13724" s="1192">
        <v>46</v>
      </c>
    </row>
    <row r="13725" spans="1:22" s="1192" customFormat="1" ht="14.4" x14ac:dyDescent="0.3">
      <c r="A13725" s="1192" t="s">
        <v>166</v>
      </c>
      <c r="E13725" s="1741" t="s">
        <v>7</v>
      </c>
      <c r="F13725" s="1741"/>
      <c r="G13725" s="1277" t="s">
        <v>19</v>
      </c>
      <c r="H13725" s="1218">
        <v>10</v>
      </c>
      <c r="K13725" s="1192" t="s">
        <v>2651</v>
      </c>
      <c r="L13725" s="1192" t="s">
        <v>430</v>
      </c>
      <c r="P13725" s="1192" t="s">
        <v>2653</v>
      </c>
      <c r="V13725" s="1192">
        <v>14</v>
      </c>
    </row>
    <row r="13726" spans="1:22" s="1192" customFormat="1" x14ac:dyDescent="0.35">
      <c r="A13726" s="1192" t="s">
        <v>166</v>
      </c>
      <c r="E13726" s="1746" t="s">
        <v>81</v>
      </c>
      <c r="F13726" s="1999"/>
      <c r="G13726" s="598"/>
      <c r="H13726" s="958"/>
      <c r="K13726" s="1192" t="s">
        <v>3514</v>
      </c>
      <c r="V13726" s="1192">
        <v>10</v>
      </c>
    </row>
    <row r="13727" spans="1:22" s="1192" customFormat="1" ht="14.4" x14ac:dyDescent="0.3">
      <c r="A13727" s="1192" t="s">
        <v>166</v>
      </c>
      <c r="E13727" s="1741" t="s">
        <v>2449</v>
      </c>
      <c r="F13727" s="1741"/>
      <c r="G13727" s="1277" t="s">
        <v>29</v>
      </c>
      <c r="H13727" s="564">
        <v>-0.6</v>
      </c>
      <c r="V13727" s="1192">
        <v>68</v>
      </c>
    </row>
    <row r="13728" spans="1:22" s="1192" customFormat="1" ht="14.4" x14ac:dyDescent="0.3">
      <c r="A13728" s="1192" t="s">
        <v>166</v>
      </c>
      <c r="E13728" s="1741" t="s">
        <v>2450</v>
      </c>
      <c r="F13728" s="1741"/>
      <c r="G13728" s="1277" t="s">
        <v>82</v>
      </c>
      <c r="H13728" s="579">
        <v>-1</v>
      </c>
      <c r="V13728" s="1192">
        <v>87</v>
      </c>
    </row>
    <row r="13729" spans="1:22" s="1192" customFormat="1" x14ac:dyDescent="0.35">
      <c r="A13729" s="1192" t="s">
        <v>166</v>
      </c>
      <c r="E13729" s="1746" t="s">
        <v>83</v>
      </c>
      <c r="F13729" s="1999"/>
      <c r="G13729" s="598"/>
      <c r="H13729" s="958"/>
      <c r="K13729" s="1192" t="s">
        <v>3515</v>
      </c>
      <c r="V13729" s="1192">
        <v>24</v>
      </c>
    </row>
    <row r="13730" spans="1:22" s="1192" customFormat="1" ht="14.4" x14ac:dyDescent="0.3">
      <c r="A13730" s="1192" t="s">
        <v>166</v>
      </c>
      <c r="E13730" s="1743" t="s">
        <v>2391</v>
      </c>
      <c r="F13730" s="1743"/>
      <c r="G13730" s="1743"/>
      <c r="H13730" s="1743"/>
      <c r="V13730" s="1192">
        <v>280</v>
      </c>
    </row>
    <row r="13731" spans="1:22" s="1192" customFormat="1" ht="14.4" x14ac:dyDescent="0.3">
      <c r="A13731" s="1192" t="s">
        <v>166</v>
      </c>
      <c r="E13731" s="1743" t="s">
        <v>3238</v>
      </c>
      <c r="F13731" s="1743"/>
      <c r="G13731" s="1743"/>
      <c r="H13731" s="1743"/>
      <c r="V13731" s="1192">
        <v>355</v>
      </c>
    </row>
    <row r="13732" spans="1:22" s="1192" customFormat="1" ht="14.4" x14ac:dyDescent="0.3">
      <c r="A13732" s="1192" t="s">
        <v>166</v>
      </c>
      <c r="E13732" s="1743" t="s">
        <v>4755</v>
      </c>
      <c r="F13732" s="1743"/>
      <c r="G13732" s="1743"/>
      <c r="H13732" s="1743"/>
      <c r="V13732" s="1192">
        <v>238</v>
      </c>
    </row>
    <row r="13733" spans="1:22" s="1192" customFormat="1" ht="14.4" x14ac:dyDescent="0.3">
      <c r="A13733" s="1192" t="s">
        <v>166</v>
      </c>
      <c r="E13733" s="1750" t="s">
        <v>2453</v>
      </c>
      <c r="F13733" s="1998"/>
      <c r="G13733" s="359"/>
      <c r="H13733" s="959"/>
      <c r="K13733" s="1192" t="s">
        <v>3516</v>
      </c>
      <c r="V13733" s="1192">
        <v>23</v>
      </c>
    </row>
    <row r="13734" spans="1:22" s="1192" customFormat="1" ht="14.4" x14ac:dyDescent="0.3">
      <c r="A13734" s="1192" t="s">
        <v>166</v>
      </c>
      <c r="E13734" s="1942" t="s">
        <v>4662</v>
      </c>
      <c r="F13734" s="1942"/>
      <c r="G13734" s="1277" t="s">
        <v>19</v>
      </c>
      <c r="H13734" s="1218">
        <v>15</v>
      </c>
      <c r="V13734" s="1192">
        <v>27</v>
      </c>
    </row>
    <row r="13735" spans="1:22" s="1192" customFormat="1" ht="14.4" x14ac:dyDescent="0.3">
      <c r="A13735" s="1192" t="s">
        <v>166</v>
      </c>
      <c r="E13735" s="1942" t="s">
        <v>4663</v>
      </c>
      <c r="F13735" s="1942"/>
      <c r="G13735" s="1277" t="s">
        <v>19</v>
      </c>
      <c r="H13735" s="1218">
        <v>15</v>
      </c>
      <c r="V13735" s="1192">
        <v>28</v>
      </c>
    </row>
    <row r="13736" spans="1:22" s="1192" customFormat="1" ht="14.4" x14ac:dyDescent="0.3">
      <c r="A13736" s="1192" t="s">
        <v>166</v>
      </c>
      <c r="E13736" s="1942" t="s">
        <v>4664</v>
      </c>
      <c r="F13736" s="1942"/>
      <c r="G13736" s="1277" t="s">
        <v>19</v>
      </c>
      <c r="H13736" s="1218">
        <v>15</v>
      </c>
      <c r="V13736" s="1192">
        <v>45</v>
      </c>
    </row>
    <row r="13737" spans="1:22" s="1192" customFormat="1" ht="14.4" x14ac:dyDescent="0.3">
      <c r="A13737" s="1192" t="s">
        <v>166</v>
      </c>
      <c r="E13737" s="1942" t="s">
        <v>4215</v>
      </c>
      <c r="F13737" s="1942"/>
      <c r="G13737" s="1277" t="s">
        <v>19</v>
      </c>
      <c r="H13737" s="1218">
        <v>15</v>
      </c>
      <c r="V13737" s="1192">
        <v>23</v>
      </c>
    </row>
    <row r="13738" spans="1:22" s="1192" customFormat="1" ht="14.4" x14ac:dyDescent="0.3">
      <c r="A13738" s="1192" t="s">
        <v>166</v>
      </c>
      <c r="E13738" s="1942" t="s">
        <v>4566</v>
      </c>
      <c r="F13738" s="1942"/>
      <c r="G13738" s="1277" t="s">
        <v>19</v>
      </c>
      <c r="H13738" s="1218">
        <v>15</v>
      </c>
      <c r="V13738" s="1192">
        <v>25</v>
      </c>
    </row>
    <row r="13739" spans="1:22" s="1192" customFormat="1" ht="14.4" x14ac:dyDescent="0.3">
      <c r="A13739" s="1192" t="s">
        <v>166</v>
      </c>
      <c r="E13739" s="1942" t="s">
        <v>4665</v>
      </c>
      <c r="F13739" s="1942"/>
      <c r="G13739" s="1277" t="s">
        <v>19</v>
      </c>
      <c r="H13739" s="1218">
        <v>15</v>
      </c>
      <c r="V13739" s="1192">
        <v>23</v>
      </c>
    </row>
    <row r="13740" spans="1:22" s="1192" customFormat="1" ht="14.4" x14ac:dyDescent="0.3">
      <c r="A13740" s="1192" t="s">
        <v>166</v>
      </c>
      <c r="E13740" s="1942" t="s">
        <v>4216</v>
      </c>
      <c r="F13740" s="1942"/>
      <c r="G13740" s="1277" t="s">
        <v>19</v>
      </c>
      <c r="H13740" s="1218">
        <v>15</v>
      </c>
      <c r="V13740" s="1192">
        <v>64</v>
      </c>
    </row>
    <row r="13741" spans="1:22" s="1192" customFormat="1" ht="14.4" x14ac:dyDescent="0.3">
      <c r="A13741" s="1192" t="s">
        <v>166</v>
      </c>
      <c r="E13741" s="1942" t="s">
        <v>2663</v>
      </c>
      <c r="F13741" s="1942"/>
      <c r="G13741" s="1277" t="s">
        <v>19</v>
      </c>
      <c r="H13741" s="1218">
        <v>15</v>
      </c>
      <c r="V13741" s="1192">
        <v>43</v>
      </c>
    </row>
    <row r="13742" spans="1:22" s="1192" customFormat="1" ht="14.4" x14ac:dyDescent="0.3">
      <c r="A13742" s="1192" t="s">
        <v>166</v>
      </c>
      <c r="E13742" s="1942" t="s">
        <v>4666</v>
      </c>
      <c r="F13742" s="1942"/>
      <c r="G13742" s="1277" t="s">
        <v>19</v>
      </c>
      <c r="H13742" s="1218">
        <v>15</v>
      </c>
      <c r="V13742" s="1192">
        <v>27</v>
      </c>
    </row>
    <row r="13743" spans="1:22" s="1192" customFormat="1" ht="14.4" x14ac:dyDescent="0.3">
      <c r="A13743" s="1192" t="s">
        <v>166</v>
      </c>
      <c r="E13743" s="1942" t="s">
        <v>2664</v>
      </c>
      <c r="F13743" s="1942"/>
      <c r="G13743" s="1277" t="s">
        <v>19</v>
      </c>
      <c r="H13743" s="1218">
        <v>30</v>
      </c>
      <c r="V13743" s="1192">
        <v>97</v>
      </c>
    </row>
    <row r="13744" spans="1:22" s="1192" customFormat="1" ht="14.4" x14ac:dyDescent="0.3">
      <c r="A13744" s="1192" t="s">
        <v>166</v>
      </c>
      <c r="E13744" s="1942" t="s">
        <v>4667</v>
      </c>
      <c r="F13744" s="1942"/>
      <c r="G13744" s="1277" t="s">
        <v>19</v>
      </c>
      <c r="H13744" s="1218">
        <v>30</v>
      </c>
      <c r="V13744" s="1192">
        <v>27</v>
      </c>
    </row>
    <row r="13745" spans="1:22" s="1192" customFormat="1" ht="14.4" x14ac:dyDescent="0.3">
      <c r="A13745" s="1192" t="s">
        <v>166</v>
      </c>
      <c r="E13745" s="1942" t="s">
        <v>2665</v>
      </c>
      <c r="F13745" s="1942"/>
      <c r="G13745" s="1277" t="s">
        <v>19</v>
      </c>
      <c r="H13745" s="1218">
        <v>30</v>
      </c>
      <c r="V13745" s="1192">
        <v>82</v>
      </c>
    </row>
    <row r="13746" spans="1:22" s="1192" customFormat="1" ht="14.4" x14ac:dyDescent="0.3">
      <c r="A13746" s="1192" t="s">
        <v>166</v>
      </c>
      <c r="E13746" s="1750" t="s">
        <v>2468</v>
      </c>
      <c r="F13746" s="1998"/>
      <c r="G13746" s="359"/>
      <c r="H13746" s="959"/>
      <c r="K13746" s="1192" t="s">
        <v>6698</v>
      </c>
      <c r="V13746" s="1192">
        <v>22</v>
      </c>
    </row>
    <row r="13747" spans="1:22" s="1192" customFormat="1" ht="14.4" x14ac:dyDescent="0.3">
      <c r="A13747" s="1192" t="s">
        <v>166</v>
      </c>
      <c r="E13747" s="1942" t="s">
        <v>6425</v>
      </c>
      <c r="F13747" s="1942"/>
      <c r="G13747" s="1277" t="s">
        <v>82</v>
      </c>
      <c r="H13747" s="1218">
        <v>1.5</v>
      </c>
      <c r="V13747" s="1192">
        <v>115</v>
      </c>
    </row>
    <row r="13748" spans="1:22" s="1192" customFormat="1" ht="14.4" x14ac:dyDescent="0.3">
      <c r="A13748" s="1192" t="s">
        <v>166</v>
      </c>
      <c r="E13748" s="1942" t="s">
        <v>6426</v>
      </c>
      <c r="F13748" s="1942"/>
      <c r="G13748" s="1277" t="s">
        <v>19</v>
      </c>
      <c r="H13748" s="1218">
        <v>65</v>
      </c>
      <c r="V13748" s="1192">
        <v>52</v>
      </c>
    </row>
    <row r="13749" spans="1:22" s="1192" customFormat="1" ht="14.4" x14ac:dyDescent="0.3">
      <c r="A13749" s="1192" t="s">
        <v>166</v>
      </c>
      <c r="E13749" s="1942" t="s">
        <v>6427</v>
      </c>
      <c r="F13749" s="1942"/>
      <c r="G13749" s="1277" t="s">
        <v>19</v>
      </c>
      <c r="H13749" s="1218">
        <v>185</v>
      </c>
      <c r="V13749" s="1192">
        <v>51</v>
      </c>
    </row>
    <row r="13750" spans="1:22" s="1192" customFormat="1" ht="14.4" x14ac:dyDescent="0.3">
      <c r="A13750" s="1192" t="s">
        <v>166</v>
      </c>
      <c r="E13750" s="1942" t="s">
        <v>6428</v>
      </c>
      <c r="F13750" s="1942"/>
      <c r="G13750" s="1277" t="s">
        <v>19</v>
      </c>
      <c r="H13750" s="1218">
        <v>185</v>
      </c>
      <c r="V13750" s="1192">
        <v>51</v>
      </c>
    </row>
    <row r="13751" spans="1:22" s="1192" customFormat="1" ht="14.4" x14ac:dyDescent="0.3">
      <c r="A13751" s="1192" t="s">
        <v>166</v>
      </c>
      <c r="E13751" s="1942" t="s">
        <v>6429</v>
      </c>
      <c r="F13751" s="1942"/>
      <c r="G13751" s="1277" t="s">
        <v>19</v>
      </c>
      <c r="H13751" s="1218">
        <v>415</v>
      </c>
      <c r="V13751" s="1192">
        <v>50</v>
      </c>
    </row>
    <row r="13752" spans="1:22" s="1192" customFormat="1" ht="14.4" x14ac:dyDescent="0.3">
      <c r="A13752" s="1192" t="s">
        <v>166</v>
      </c>
      <c r="E13752" s="1750" t="s">
        <v>2474</v>
      </c>
      <c r="F13752" s="1998"/>
      <c r="G13752" s="359"/>
      <c r="H13752" s="959"/>
      <c r="V13752" s="1192">
        <v>5</v>
      </c>
    </row>
    <row r="13753" spans="1:22" s="1192" customFormat="1" ht="14.4" x14ac:dyDescent="0.3">
      <c r="A13753" s="1192" t="s">
        <v>166</v>
      </c>
      <c r="E13753" s="1942" t="s">
        <v>4668</v>
      </c>
      <c r="F13753" s="1942"/>
      <c r="G13753" s="1277" t="s">
        <v>19</v>
      </c>
      <c r="H13753" s="1218">
        <v>30</v>
      </c>
      <c r="V13753" s="1192">
        <v>47</v>
      </c>
    </row>
    <row r="13754" spans="1:22" s="1192" customFormat="1" ht="14.4" x14ac:dyDescent="0.3">
      <c r="A13754" s="1192" t="s">
        <v>166</v>
      </c>
      <c r="E13754" s="1942" t="s">
        <v>4669</v>
      </c>
      <c r="F13754" s="1942"/>
      <c r="G13754" s="1277" t="s">
        <v>19</v>
      </c>
      <c r="H13754" s="1218">
        <v>165</v>
      </c>
      <c r="V13754" s="1192">
        <v>42</v>
      </c>
    </row>
    <row r="13755" spans="1:22" s="1192" customFormat="1" ht="14.4" x14ac:dyDescent="0.3">
      <c r="A13755" s="1192" t="s">
        <v>166</v>
      </c>
      <c r="E13755" s="1942" t="s">
        <v>4672</v>
      </c>
      <c r="F13755" s="1942"/>
      <c r="G13755" s="1277" t="s">
        <v>19</v>
      </c>
      <c r="H13755" s="1218">
        <v>44.5</v>
      </c>
      <c r="V13755" s="1192">
        <v>67</v>
      </c>
    </row>
    <row r="13756" spans="1:22" s="1192" customFormat="1" ht="14.4" x14ac:dyDescent="0.3">
      <c r="A13756" s="1192" t="s">
        <v>166</v>
      </c>
      <c r="E13756" s="1942" t="s">
        <v>4715</v>
      </c>
      <c r="F13756" s="1942"/>
      <c r="G13756" s="1277"/>
      <c r="H13756" s="837"/>
      <c r="V13756" s="1192">
        <v>52</v>
      </c>
    </row>
    <row r="13757" spans="1:22" s="1192" customFormat="1" x14ac:dyDescent="0.35">
      <c r="A13757" s="1192" t="s">
        <v>166</v>
      </c>
      <c r="E13757" s="1746" t="s">
        <v>73</v>
      </c>
      <c r="F13757" s="1999"/>
      <c r="G13757" s="598"/>
      <c r="H13757" s="958"/>
      <c r="K13757" s="1192" t="s">
        <v>3517</v>
      </c>
      <c r="V13757" s="1192">
        <v>38</v>
      </c>
    </row>
    <row r="13758" spans="1:22" s="1192" customFormat="1" ht="14.4" x14ac:dyDescent="0.3">
      <c r="A13758" s="1192" t="s">
        <v>166</v>
      </c>
      <c r="E13758" s="1743" t="s">
        <v>3244</v>
      </c>
      <c r="F13758" s="1743"/>
      <c r="G13758" s="1743"/>
      <c r="H13758" s="1743"/>
      <c r="V13758" s="1192">
        <v>281</v>
      </c>
    </row>
    <row r="13759" spans="1:22" s="1192" customFormat="1" ht="14.4" x14ac:dyDescent="0.3">
      <c r="A13759" s="1192" t="s">
        <v>166</v>
      </c>
      <c r="E13759" s="1743" t="s">
        <v>3245</v>
      </c>
      <c r="F13759" s="1743"/>
      <c r="G13759" s="1743"/>
      <c r="H13759" s="1743"/>
      <c r="V13759" s="1192">
        <v>414</v>
      </c>
    </row>
    <row r="13760" spans="1:22" s="1192" customFormat="1" ht="14.4" x14ac:dyDescent="0.3">
      <c r="A13760" s="1192" t="s">
        <v>166</v>
      </c>
      <c r="E13760" s="1743" t="s">
        <v>2445</v>
      </c>
      <c r="F13760" s="1743"/>
      <c r="G13760" s="1743"/>
      <c r="H13760" s="1743"/>
      <c r="V13760" s="1192">
        <v>211</v>
      </c>
    </row>
    <row r="13761" spans="1:22" s="1192" customFormat="1" ht="14.4" x14ac:dyDescent="0.3">
      <c r="A13761" s="1192" t="s">
        <v>166</v>
      </c>
      <c r="E13761" s="1743" t="s">
        <v>4755</v>
      </c>
      <c r="F13761" s="1743"/>
      <c r="G13761" s="1743"/>
      <c r="H13761" s="1743"/>
      <c r="V13761" s="1192">
        <v>238</v>
      </c>
    </row>
    <row r="13762" spans="1:22" s="1192" customFormat="1" ht="14.4" x14ac:dyDescent="0.3">
      <c r="A13762" s="1192" t="s">
        <v>166</v>
      </c>
      <c r="E13762" s="1743" t="s">
        <v>2595</v>
      </c>
      <c r="F13762" s="1743"/>
      <c r="G13762" s="1743"/>
      <c r="H13762" s="1743"/>
      <c r="V13762" s="1192">
        <v>142</v>
      </c>
    </row>
    <row r="13763" spans="1:22" s="1192" customFormat="1" ht="14.4" x14ac:dyDescent="0.3">
      <c r="A13763" s="1192" t="s">
        <v>166</v>
      </c>
      <c r="E13763" s="1741" t="s">
        <v>2485</v>
      </c>
      <c r="F13763" s="1741"/>
      <c r="G13763" s="1280" t="s">
        <v>19</v>
      </c>
      <c r="H13763" s="509">
        <v>102</v>
      </c>
      <c r="V13763" s="1192">
        <v>106</v>
      </c>
    </row>
    <row r="13764" spans="1:22" s="1192" customFormat="1" ht="14.4" x14ac:dyDescent="0.3">
      <c r="A13764" s="1192" t="s">
        <v>166</v>
      </c>
      <c r="E13764" s="1741" t="s">
        <v>3919</v>
      </c>
      <c r="F13764" s="1741"/>
      <c r="G13764" s="1280" t="s">
        <v>19</v>
      </c>
      <c r="H13764" s="509">
        <v>40.799999999999997</v>
      </c>
      <c r="V13764" s="1192">
        <v>34</v>
      </c>
    </row>
    <row r="13765" spans="1:22" s="1192" customFormat="1" ht="14.4" x14ac:dyDescent="0.3">
      <c r="A13765" s="1192" t="s">
        <v>166</v>
      </c>
      <c r="E13765" s="1741" t="s">
        <v>3920</v>
      </c>
      <c r="F13765" s="1741"/>
      <c r="G13765" s="1280" t="s">
        <v>2488</v>
      </c>
      <c r="H13765" s="509">
        <v>1.02</v>
      </c>
      <c r="V13765" s="1192">
        <v>51</v>
      </c>
    </row>
    <row r="13766" spans="1:22" s="1192" customFormat="1" ht="14.4" x14ac:dyDescent="0.3">
      <c r="A13766" s="1192" t="s">
        <v>166</v>
      </c>
      <c r="E13766" s="1741" t="s">
        <v>2489</v>
      </c>
      <c r="F13766" s="1741"/>
      <c r="G13766" s="1280" t="s">
        <v>2488</v>
      </c>
      <c r="H13766" s="509">
        <v>0.61</v>
      </c>
      <c r="V13766" s="1192">
        <v>75</v>
      </c>
    </row>
    <row r="13767" spans="1:22" s="1192" customFormat="1" ht="14.4" x14ac:dyDescent="0.3">
      <c r="A13767" s="1192" t="s">
        <v>166</v>
      </c>
      <c r="E13767" s="1741" t="s">
        <v>2490</v>
      </c>
      <c r="F13767" s="1741"/>
      <c r="G13767" s="1280" t="s">
        <v>2488</v>
      </c>
      <c r="H13767" s="509">
        <v>-0.61</v>
      </c>
      <c r="V13767" s="1192">
        <v>72</v>
      </c>
    </row>
    <row r="13768" spans="1:22" s="1192" customFormat="1" ht="14.4" x14ac:dyDescent="0.3">
      <c r="A13768" s="1192" t="s">
        <v>166</v>
      </c>
      <c r="E13768" s="1741" t="s">
        <v>4757</v>
      </c>
      <c r="F13768" s="1741"/>
      <c r="G13768" s="1280"/>
      <c r="H13768" s="840"/>
      <c r="V13768" s="1192">
        <v>58</v>
      </c>
    </row>
    <row r="13769" spans="1:22" s="1192" customFormat="1" ht="14.4" x14ac:dyDescent="0.3">
      <c r="A13769" s="1192" t="s">
        <v>166</v>
      </c>
      <c r="E13769" s="1941" t="s">
        <v>6699</v>
      </c>
      <c r="F13769" s="1941"/>
      <c r="G13769" s="1280" t="s">
        <v>19</v>
      </c>
      <c r="H13769" s="509">
        <v>0.51</v>
      </c>
      <c r="V13769" s="1192">
        <v>61</v>
      </c>
    </row>
    <row r="13770" spans="1:22" s="1192" customFormat="1" ht="14.4" x14ac:dyDescent="0.3">
      <c r="A13770" s="1192" t="s">
        <v>166</v>
      </c>
      <c r="E13770" s="1941" t="s">
        <v>6700</v>
      </c>
      <c r="F13770" s="1941"/>
      <c r="G13770" s="1280" t="s">
        <v>19</v>
      </c>
      <c r="H13770" s="509">
        <v>1.02</v>
      </c>
      <c r="V13770" s="1192">
        <v>64</v>
      </c>
    </row>
    <row r="13771" spans="1:22" s="1192" customFormat="1" ht="14.4" x14ac:dyDescent="0.3">
      <c r="A13771" s="1192" t="s">
        <v>166</v>
      </c>
      <c r="E13771" s="1741" t="s">
        <v>6701</v>
      </c>
      <c r="F13771" s="1741"/>
      <c r="G13771" s="1280"/>
      <c r="H13771" s="840"/>
      <c r="V13771" s="1192">
        <v>267</v>
      </c>
    </row>
    <row r="13772" spans="1:22" s="1192" customFormat="1" ht="14.4" x14ac:dyDescent="0.3">
      <c r="A13772" s="1192" t="s">
        <v>166</v>
      </c>
      <c r="E13772" s="1941" t="s">
        <v>4271</v>
      </c>
      <c r="F13772" s="1941"/>
      <c r="G13772" s="1280" t="s">
        <v>19</v>
      </c>
      <c r="H13772" s="840" t="s">
        <v>2498</v>
      </c>
      <c r="V13772" s="1192">
        <v>23</v>
      </c>
    </row>
    <row r="13773" spans="1:22" s="1192" customFormat="1" ht="14.4" x14ac:dyDescent="0.3">
      <c r="A13773" s="1192" t="s">
        <v>166</v>
      </c>
      <c r="E13773" s="1941" t="s">
        <v>4272</v>
      </c>
      <c r="F13773" s="1941"/>
      <c r="G13773" s="1280" t="s">
        <v>19</v>
      </c>
      <c r="H13773" s="509">
        <v>4.08</v>
      </c>
      <c r="V13773" s="1192">
        <v>74</v>
      </c>
    </row>
    <row r="13774" spans="1:22" s="1192" customFormat="1" ht="14.4" x14ac:dyDescent="0.3">
      <c r="A13774" s="1192" t="s">
        <v>166</v>
      </c>
      <c r="E13774" s="1741" t="s">
        <v>4608</v>
      </c>
      <c r="F13774" s="1741"/>
      <c r="G13774" s="452" t="s">
        <v>19</v>
      </c>
      <c r="H13774" s="1218">
        <v>2.04</v>
      </c>
      <c r="V13774" s="1192">
        <v>199</v>
      </c>
    </row>
    <row r="13775" spans="1:22" s="1192" customFormat="1" x14ac:dyDescent="0.3">
      <c r="A13775" s="1192" t="s">
        <v>166</v>
      </c>
      <c r="E13775" s="1746" t="s">
        <v>143</v>
      </c>
      <c r="F13775" s="1999"/>
      <c r="G13775" s="823"/>
      <c r="H13775" s="956"/>
      <c r="K13775" s="1192" t="s">
        <v>3518</v>
      </c>
      <c r="V13775" s="1192">
        <v>12</v>
      </c>
    </row>
    <row r="13776" spans="1:22" s="1192" customFormat="1" ht="14.4" x14ac:dyDescent="0.3">
      <c r="A13776" s="1192" t="s">
        <v>166</v>
      </c>
      <c r="E13776" s="1741" t="s">
        <v>2501</v>
      </c>
      <c r="F13776" s="1741"/>
      <c r="G13776" s="1741"/>
      <c r="H13776" s="1741"/>
      <c r="V13776" s="1192">
        <v>203</v>
      </c>
    </row>
    <row r="13777" spans="1:22" s="1192" customFormat="1" ht="14.4" x14ac:dyDescent="0.3">
      <c r="A13777" s="1192" t="s">
        <v>166</v>
      </c>
      <c r="E13777" s="1741" t="s">
        <v>2599</v>
      </c>
      <c r="F13777" s="1741"/>
      <c r="G13777" s="1277"/>
      <c r="H13777" s="837">
        <v>1.0802</v>
      </c>
      <c r="V13777" s="1192">
        <v>57</v>
      </c>
    </row>
    <row r="13778" spans="1:22" s="1192" customFormat="1" ht="14.4" x14ac:dyDescent="0.3">
      <c r="A13778" s="1192" t="s">
        <v>166</v>
      </c>
      <c r="E13778" s="1741" t="s">
        <v>2601</v>
      </c>
      <c r="F13778" s="1741"/>
      <c r="G13778" s="1277"/>
      <c r="H13778" s="837">
        <v>1.0702</v>
      </c>
      <c r="J13778" s="1192" t="s">
        <v>3519</v>
      </c>
      <c r="V13778" s="1192">
        <v>55</v>
      </c>
    </row>
    <row r="13779" spans="1:22" s="1192" customFormat="1" ht="22.8" x14ac:dyDescent="0.3">
      <c r="A13779" s="1192" t="s">
        <v>206</v>
      </c>
      <c r="C13779" s="1192" t="s">
        <v>2378</v>
      </c>
      <c r="E13779" s="2116" t="s">
        <v>206</v>
      </c>
      <c r="F13779" s="2116"/>
      <c r="G13779" s="2116"/>
      <c r="H13779" s="2116"/>
      <c r="I13779" s="1192" t="s">
        <v>603</v>
      </c>
      <c r="J13779" s="1192" t="s">
        <v>3600</v>
      </c>
      <c r="K13779" s="1192" t="s">
        <v>206</v>
      </c>
      <c r="M13779" s="1192">
        <v>8</v>
      </c>
      <c r="V13779" s="1192">
        <v>27</v>
      </c>
    </row>
    <row r="13780" spans="1:22" s="1192" customFormat="1" ht="17.399999999999999" x14ac:dyDescent="0.3">
      <c r="A13780" s="1192" t="s">
        <v>206</v>
      </c>
      <c r="C13780" s="1192" t="s">
        <v>2380</v>
      </c>
      <c r="E13780" s="2047" t="s">
        <v>2381</v>
      </c>
      <c r="F13780" s="2047"/>
      <c r="G13780" s="2047"/>
      <c r="H13780" s="2047"/>
      <c r="V13780" s="1192">
        <v>27</v>
      </c>
    </row>
    <row r="13781" spans="1:22" s="1192" customFormat="1" ht="15.6" x14ac:dyDescent="0.3">
      <c r="A13781" s="1192" t="s">
        <v>206</v>
      </c>
      <c r="C13781" s="1192" t="s">
        <v>2382</v>
      </c>
      <c r="E13781" s="2048" t="s">
        <v>6482</v>
      </c>
      <c r="F13781" s="2048"/>
      <c r="G13781" s="2048"/>
      <c r="H13781" s="2048"/>
      <c r="S13781" s="1192">
        <v>43952</v>
      </c>
      <c r="V13781" s="1192">
        <v>45</v>
      </c>
    </row>
    <row r="13782" spans="1:22" s="1192" customFormat="1" ht="14.4" x14ac:dyDescent="0.3">
      <c r="A13782" s="1192" t="s">
        <v>206</v>
      </c>
      <c r="C13782" s="1192" t="s">
        <v>2383</v>
      </c>
      <c r="E13782" s="2049" t="s">
        <v>2384</v>
      </c>
      <c r="F13782" s="2049"/>
      <c r="G13782" s="2049"/>
      <c r="H13782" s="2049"/>
      <c r="V13782" s="1192">
        <v>52</v>
      </c>
    </row>
    <row r="13783" spans="1:22" s="1192" customFormat="1" ht="14.4" x14ac:dyDescent="0.3">
      <c r="A13783" s="1192" t="s">
        <v>206</v>
      </c>
      <c r="E13783" s="2049" t="s">
        <v>2385</v>
      </c>
      <c r="F13783" s="2049"/>
      <c r="G13783" s="2049"/>
      <c r="H13783" s="2049"/>
      <c r="V13783" s="1192">
        <v>53</v>
      </c>
    </row>
    <row r="13784" spans="1:22" s="1192" customFormat="1" ht="14.4" x14ac:dyDescent="0.3">
      <c r="A13784" s="1192" t="s">
        <v>206</v>
      </c>
      <c r="E13784" s="2050" t="s">
        <v>6702</v>
      </c>
      <c r="F13784" s="2050"/>
      <c r="G13784" s="2050"/>
      <c r="H13784" s="2050"/>
      <c r="K13784" s="1192" t="s">
        <v>6702</v>
      </c>
      <c r="V13784" s="1192">
        <v>12</v>
      </c>
    </row>
    <row r="13785" spans="1:22" s="1192" customFormat="1" ht="14.4" x14ac:dyDescent="0.3">
      <c r="A13785" s="1192" t="s">
        <v>206</v>
      </c>
      <c r="E13785" s="2051" t="s">
        <v>427</v>
      </c>
      <c r="F13785" s="2052"/>
      <c r="G13785" s="2052"/>
      <c r="H13785" s="2052"/>
      <c r="K13785" s="1192" t="s">
        <v>2506</v>
      </c>
      <c r="V13785" s="1192">
        <v>34</v>
      </c>
    </row>
    <row r="13786" spans="1:22" s="1192" customFormat="1" ht="14.4" x14ac:dyDescent="0.3">
      <c r="A13786" s="1192" t="s">
        <v>206</v>
      </c>
      <c r="E13786" s="2191" t="s">
        <v>3601</v>
      </c>
      <c r="F13786" s="2191"/>
      <c r="G13786" s="2191"/>
      <c r="H13786" s="2191"/>
      <c r="K13786" s="1192" t="s">
        <v>2506</v>
      </c>
      <c r="V13786" s="1192">
        <v>373</v>
      </c>
    </row>
    <row r="13787" spans="1:22" s="1192" customFormat="1" ht="14.4" x14ac:dyDescent="0.3">
      <c r="A13787" s="1192" t="s">
        <v>206</v>
      </c>
      <c r="E13787" s="2054" t="s">
        <v>2389</v>
      </c>
      <c r="F13787" s="1743"/>
      <c r="G13787" s="1743"/>
      <c r="H13787" s="1743"/>
      <c r="K13787" s="1192" t="s">
        <v>2390</v>
      </c>
      <c r="V13787" s="1192">
        <v>11</v>
      </c>
    </row>
    <row r="13788" spans="1:22" s="1192" customFormat="1" ht="14.4" x14ac:dyDescent="0.3">
      <c r="A13788" s="1192" t="s">
        <v>206</v>
      </c>
      <c r="E13788" s="2192" t="s">
        <v>2391</v>
      </c>
      <c r="F13788" s="2192"/>
      <c r="G13788" s="2192"/>
      <c r="H13788" s="2192"/>
      <c r="K13788" s="1192" t="s">
        <v>2506</v>
      </c>
      <c r="V13788" s="1192">
        <v>280</v>
      </c>
    </row>
    <row r="13789" spans="1:22" s="1192" customFormat="1" ht="14.4" x14ac:dyDescent="0.3">
      <c r="A13789" s="1192" t="s">
        <v>206</v>
      </c>
      <c r="E13789" s="2263" t="s">
        <v>2392</v>
      </c>
      <c r="F13789" s="2263"/>
      <c r="G13789" s="2263"/>
      <c r="H13789" s="2263"/>
      <c r="K13789" s="1192" t="s">
        <v>2506</v>
      </c>
      <c r="V13789" s="1192">
        <v>411</v>
      </c>
    </row>
    <row r="13790" spans="1:22" s="1192" customFormat="1" ht="14.4" x14ac:dyDescent="0.3">
      <c r="A13790" s="1192" t="s">
        <v>206</v>
      </c>
      <c r="E13790" s="2261" t="s">
        <v>2508</v>
      </c>
      <c r="F13790" s="2261"/>
      <c r="G13790" s="2261"/>
      <c r="H13790" s="2261"/>
      <c r="K13790" s="1192" t="s">
        <v>2506</v>
      </c>
      <c r="V13790" s="1192">
        <v>386</v>
      </c>
    </row>
    <row r="13791" spans="1:22" s="1192" customFormat="1" ht="14.4" x14ac:dyDescent="0.3">
      <c r="A13791" s="1192" t="s">
        <v>206</v>
      </c>
      <c r="E13791" s="2262" t="s">
        <v>2986</v>
      </c>
      <c r="F13791" s="2262"/>
      <c r="G13791" s="2262"/>
      <c r="H13791" s="2262"/>
      <c r="K13791" s="1192" t="s">
        <v>2506</v>
      </c>
      <c r="V13791" s="1192">
        <v>246</v>
      </c>
    </row>
    <row r="13792" spans="1:22" s="1192" customFormat="1" ht="14.4" x14ac:dyDescent="0.3">
      <c r="A13792" s="1192" t="s">
        <v>206</v>
      </c>
      <c r="E13792" s="2054" t="s">
        <v>2394</v>
      </c>
      <c r="F13792" s="1743"/>
      <c r="G13792" s="1743"/>
      <c r="H13792" s="1743"/>
      <c r="K13792" s="1192" t="s">
        <v>2395</v>
      </c>
      <c r="V13792" s="1192">
        <v>46</v>
      </c>
    </row>
    <row r="13793" spans="1:22" s="1192" customFormat="1" ht="14.4" x14ac:dyDescent="0.3">
      <c r="A13793" s="1192" t="s">
        <v>206</v>
      </c>
      <c r="E13793" s="2007" t="s">
        <v>348</v>
      </c>
      <c r="F13793" s="2007"/>
      <c r="G13793" s="1273" t="s">
        <v>19</v>
      </c>
      <c r="H13793" s="1218">
        <v>36.39</v>
      </c>
      <c r="K13793" s="1192" t="s">
        <v>2506</v>
      </c>
      <c r="L13793" s="1192" t="s">
        <v>430</v>
      </c>
      <c r="P13793" s="1192" t="s">
        <v>2510</v>
      </c>
      <c r="V13793" s="1192">
        <v>22</v>
      </c>
    </row>
    <row r="13794" spans="1:22" s="1192" customFormat="1" ht="14.4" x14ac:dyDescent="0.3">
      <c r="A13794" s="1192" t="s">
        <v>206</v>
      </c>
      <c r="E13794" s="2007" t="s">
        <v>4289</v>
      </c>
      <c r="F13794" s="1741"/>
      <c r="G13794" s="1273" t="s">
        <v>19</v>
      </c>
      <c r="H13794" s="1218">
        <v>1.47</v>
      </c>
      <c r="K13794" s="1192" t="s">
        <v>2506</v>
      </c>
      <c r="L13794" s="1192" t="s">
        <v>430</v>
      </c>
      <c r="P13794" s="1192" t="s">
        <v>6284</v>
      </c>
      <c r="V13794" s="1192">
        <v>146</v>
      </c>
    </row>
    <row r="13795" spans="1:22" s="1192" customFormat="1" ht="14.4" x14ac:dyDescent="0.3">
      <c r="A13795" s="1192" t="s">
        <v>206</v>
      </c>
      <c r="E13795" s="2007" t="s">
        <v>3900</v>
      </c>
      <c r="F13795" s="2007"/>
      <c r="G13795" s="1273" t="s">
        <v>19</v>
      </c>
      <c r="H13795" s="577">
        <v>0.56999999999999995</v>
      </c>
      <c r="K13795" s="1192" t="s">
        <v>2506</v>
      </c>
      <c r="L13795" s="1192" t="s">
        <v>431</v>
      </c>
      <c r="P13795" s="1192" t="s">
        <v>2511</v>
      </c>
      <c r="T13795" s="1192">
        <v>44926</v>
      </c>
      <c r="V13795" s="1192">
        <v>64</v>
      </c>
    </row>
    <row r="13796" spans="1:22" s="1192" customFormat="1" ht="14.4" x14ac:dyDescent="0.3">
      <c r="A13796" s="1192" t="s">
        <v>206</v>
      </c>
      <c r="E13796" s="2007" t="s">
        <v>14</v>
      </c>
      <c r="F13796" s="2007"/>
      <c r="G13796" s="1273" t="s">
        <v>20</v>
      </c>
      <c r="H13796" s="562">
        <v>2.8999999999999998E-3</v>
      </c>
      <c r="K13796" s="1192" t="s">
        <v>2506</v>
      </c>
      <c r="L13796" s="1192" t="s">
        <v>431</v>
      </c>
      <c r="P13796" s="1192" t="s">
        <v>2513</v>
      </c>
      <c r="V13796" s="1192">
        <v>24</v>
      </c>
    </row>
    <row r="13797" spans="1:22" s="1192" customFormat="1" ht="14.4" x14ac:dyDescent="0.3">
      <c r="A13797" s="1192" t="s">
        <v>206</v>
      </c>
      <c r="E13797" s="2007" t="s">
        <v>213</v>
      </c>
      <c r="F13797" s="2007"/>
      <c r="G13797" s="1273" t="s">
        <v>20</v>
      </c>
      <c r="H13797" s="1219">
        <v>6.7999999999999996E-3</v>
      </c>
      <c r="K13797" s="1192" t="s">
        <v>2506</v>
      </c>
      <c r="L13797" s="1192" t="s">
        <v>432</v>
      </c>
      <c r="P13797" s="1192" t="s">
        <v>2517</v>
      </c>
      <c r="V13797" s="1192">
        <v>47</v>
      </c>
    </row>
    <row r="13798" spans="1:22" s="1192" customFormat="1" ht="14.4" x14ac:dyDescent="0.3">
      <c r="A13798" s="1192" t="s">
        <v>206</v>
      </c>
      <c r="E13798" s="2007" t="s">
        <v>209</v>
      </c>
      <c r="F13798" s="2007"/>
      <c r="G13798" s="1273" t="s">
        <v>20</v>
      </c>
      <c r="H13798" s="1219">
        <v>5.7000000000000002E-3</v>
      </c>
      <c r="K13798" s="1192" t="s">
        <v>2506</v>
      </c>
      <c r="L13798" s="1192" t="s">
        <v>432</v>
      </c>
      <c r="P13798" s="1192" t="s">
        <v>2518</v>
      </c>
      <c r="V13798" s="1192">
        <v>74</v>
      </c>
    </row>
    <row r="13799" spans="1:22" s="1192" customFormat="1" ht="14.4" x14ac:dyDescent="0.3">
      <c r="A13799" s="1192" t="s">
        <v>206</v>
      </c>
      <c r="E13799" s="2054" t="s">
        <v>2405</v>
      </c>
      <c r="F13799" s="1741"/>
      <c r="G13799" s="1741"/>
      <c r="H13799" s="1741"/>
      <c r="K13799" s="1192" t="s">
        <v>2406</v>
      </c>
      <c r="V13799" s="1192">
        <v>48</v>
      </c>
    </row>
    <row r="13800" spans="1:22" s="1192" customFormat="1" ht="14.4" x14ac:dyDescent="0.3">
      <c r="A13800" s="1192" t="s">
        <v>206</v>
      </c>
      <c r="E13800" s="2007" t="s">
        <v>2033</v>
      </c>
      <c r="F13800" s="2007"/>
      <c r="G13800" s="578" t="s">
        <v>20</v>
      </c>
      <c r="H13800" s="564">
        <v>3.0000000000000001E-3</v>
      </c>
      <c r="K13800" s="1192" t="s">
        <v>2506</v>
      </c>
      <c r="L13800" s="1192" t="s">
        <v>2374</v>
      </c>
      <c r="P13800" s="1192" t="s">
        <v>2519</v>
      </c>
      <c r="V13800" s="1192">
        <v>55</v>
      </c>
    </row>
    <row r="13801" spans="1:22" s="1192" customFormat="1" ht="14.4" x14ac:dyDescent="0.3">
      <c r="A13801" s="1192" t="s">
        <v>206</v>
      </c>
      <c r="E13801" s="2007" t="s">
        <v>2034</v>
      </c>
      <c r="F13801" s="2007"/>
      <c r="G13801" s="578" t="s">
        <v>20</v>
      </c>
      <c r="H13801" s="564">
        <v>4.0000000000000002E-4</v>
      </c>
      <c r="K13801" s="1192" t="s">
        <v>2506</v>
      </c>
      <c r="L13801" s="1192" t="s">
        <v>2374</v>
      </c>
      <c r="P13801" s="1192" t="s">
        <v>2519</v>
      </c>
      <c r="V13801" s="1192">
        <v>65</v>
      </c>
    </row>
    <row r="13802" spans="1:22" s="1192" customFormat="1" ht="14.4" x14ac:dyDescent="0.3">
      <c r="A13802" s="1192" t="s">
        <v>206</v>
      </c>
      <c r="E13802" s="2007" t="s">
        <v>428</v>
      </c>
      <c r="F13802" s="2007"/>
      <c r="G13802" s="578" t="s">
        <v>20</v>
      </c>
      <c r="H13802" s="564">
        <v>5.0000000000000001E-4</v>
      </c>
      <c r="K13802" s="1192" t="s">
        <v>2506</v>
      </c>
      <c r="L13802" s="1192" t="s">
        <v>2374</v>
      </c>
      <c r="P13802" s="1192" t="s">
        <v>2520</v>
      </c>
      <c r="V13802" s="1192">
        <v>57</v>
      </c>
    </row>
    <row r="13803" spans="1:22" s="1192" customFormat="1" ht="14.4" x14ac:dyDescent="0.3">
      <c r="A13803" s="1192" t="s">
        <v>206</v>
      </c>
      <c r="E13803" s="2007" t="s">
        <v>28</v>
      </c>
      <c r="F13803" s="2007"/>
      <c r="G13803" s="578" t="s">
        <v>19</v>
      </c>
      <c r="H13803" s="579">
        <v>0.25</v>
      </c>
      <c r="K13803" s="1192" t="s">
        <v>2506</v>
      </c>
      <c r="L13803" s="1192" t="s">
        <v>2374</v>
      </c>
      <c r="P13803" s="1192" t="s">
        <v>2521</v>
      </c>
      <c r="V13803" s="1192">
        <v>63</v>
      </c>
    </row>
    <row r="13804" spans="1:22" s="1192" customFormat="1" ht="17.399999999999999" x14ac:dyDescent="0.3">
      <c r="A13804" s="1192" t="s">
        <v>206</v>
      </c>
      <c r="E13804" s="2051" t="s">
        <v>2522</v>
      </c>
      <c r="F13804" s="2051"/>
      <c r="G13804" s="2051"/>
      <c r="H13804" s="2057"/>
      <c r="K13804" s="1192" t="s">
        <v>3901</v>
      </c>
      <c r="V13804" s="1192">
        <v>54</v>
      </c>
    </row>
    <row r="13805" spans="1:22" s="1192" customFormat="1" ht="14.4" x14ac:dyDescent="0.3">
      <c r="A13805" s="1192" t="s">
        <v>206</v>
      </c>
      <c r="E13805" s="2192" t="s">
        <v>3602</v>
      </c>
      <c r="F13805" s="2192"/>
      <c r="G13805" s="2192"/>
      <c r="H13805" s="2192"/>
      <c r="K13805" s="1192" t="s">
        <v>3901</v>
      </c>
      <c r="V13805" s="1192">
        <v>445</v>
      </c>
    </row>
    <row r="13806" spans="1:22" s="1192" customFormat="1" ht="14.4" x14ac:dyDescent="0.3">
      <c r="A13806" s="1192" t="s">
        <v>206</v>
      </c>
      <c r="E13806" s="2054" t="s">
        <v>2389</v>
      </c>
      <c r="F13806" s="1743"/>
      <c r="G13806" s="1743"/>
      <c r="H13806" s="1743"/>
      <c r="K13806" s="1192" t="s">
        <v>2412</v>
      </c>
      <c r="V13806" s="1192">
        <v>11</v>
      </c>
    </row>
    <row r="13807" spans="1:22" s="1192" customFormat="1" ht="14.4" x14ac:dyDescent="0.3">
      <c r="A13807" s="1192" t="s">
        <v>206</v>
      </c>
      <c r="E13807" s="2192" t="s">
        <v>2391</v>
      </c>
      <c r="F13807" s="2192"/>
      <c r="G13807" s="2192"/>
      <c r="H13807" s="2192"/>
      <c r="K13807" s="1192" t="s">
        <v>3901</v>
      </c>
      <c r="V13807" s="1192">
        <v>280</v>
      </c>
    </row>
    <row r="13808" spans="1:22" s="1192" customFormat="1" ht="14.4" x14ac:dyDescent="0.3">
      <c r="A13808" s="1192" t="s">
        <v>206</v>
      </c>
      <c r="E13808" s="2263" t="s">
        <v>2392</v>
      </c>
      <c r="F13808" s="2263"/>
      <c r="G13808" s="2263"/>
      <c r="H13808" s="2263"/>
      <c r="K13808" s="1192" t="s">
        <v>3901</v>
      </c>
      <c r="V13808" s="1192">
        <v>411</v>
      </c>
    </row>
    <row r="13809" spans="1:22" s="1192" customFormat="1" ht="14.4" x14ac:dyDescent="0.3">
      <c r="A13809" s="1192" t="s">
        <v>206</v>
      </c>
      <c r="E13809" s="2261" t="s">
        <v>2508</v>
      </c>
      <c r="F13809" s="2261"/>
      <c r="G13809" s="2261"/>
      <c r="H13809" s="2261"/>
      <c r="K13809" s="1192" t="s">
        <v>3901</v>
      </c>
      <c r="V13809" s="1192">
        <v>386</v>
      </c>
    </row>
    <row r="13810" spans="1:22" s="1192" customFormat="1" ht="14.4" x14ac:dyDescent="0.3">
      <c r="A13810" s="1192" t="s">
        <v>206</v>
      </c>
      <c r="E13810" s="2262" t="s">
        <v>2986</v>
      </c>
      <c r="F13810" s="2262"/>
      <c r="G13810" s="2262"/>
      <c r="H13810" s="2262"/>
      <c r="K13810" s="1192" t="s">
        <v>3901</v>
      </c>
      <c r="V13810" s="1192">
        <v>246</v>
      </c>
    </row>
    <row r="13811" spans="1:22" s="1192" customFormat="1" ht="14.4" x14ac:dyDescent="0.3">
      <c r="A13811" s="1192" t="s">
        <v>206</v>
      </c>
      <c r="E13811" s="2054" t="s">
        <v>2394</v>
      </c>
      <c r="F13811" s="1743"/>
      <c r="G13811" s="1743"/>
      <c r="H13811" s="1743"/>
      <c r="K13811" s="1192" t="s">
        <v>2413</v>
      </c>
      <c r="V13811" s="1192">
        <v>46</v>
      </c>
    </row>
    <row r="13812" spans="1:22" s="1192" customFormat="1" ht="14.4" x14ac:dyDescent="0.3">
      <c r="A13812" s="1192" t="s">
        <v>206</v>
      </c>
      <c r="E13812" s="2007" t="s">
        <v>348</v>
      </c>
      <c r="F13812" s="2007"/>
      <c r="G13812" s="1273" t="s">
        <v>19</v>
      </c>
      <c r="H13812" s="1218">
        <v>43.75</v>
      </c>
      <c r="K13812" s="1192" t="s">
        <v>3901</v>
      </c>
      <c r="L13812" s="1192" t="s">
        <v>430</v>
      </c>
      <c r="P13812" s="1192" t="s">
        <v>3902</v>
      </c>
      <c r="V13812" s="1192">
        <v>22</v>
      </c>
    </row>
    <row r="13813" spans="1:22" s="1192" customFormat="1" ht="14.4" x14ac:dyDescent="0.3">
      <c r="A13813" s="1192" t="s">
        <v>206</v>
      </c>
      <c r="E13813" s="2007" t="s">
        <v>4289</v>
      </c>
      <c r="F13813" s="1741"/>
      <c r="G13813" s="1273" t="s">
        <v>19</v>
      </c>
      <c r="H13813" s="1218">
        <v>1.77</v>
      </c>
      <c r="K13813" s="1192" t="s">
        <v>3901</v>
      </c>
      <c r="L13813" s="1192" t="s">
        <v>430</v>
      </c>
      <c r="P13813" s="1192" t="s">
        <v>6703</v>
      </c>
      <c r="V13813" s="1192">
        <v>146</v>
      </c>
    </row>
    <row r="13814" spans="1:22" s="1192" customFormat="1" ht="14.4" x14ac:dyDescent="0.3">
      <c r="A13814" s="1192" t="s">
        <v>206</v>
      </c>
      <c r="E13814" s="2007" t="s">
        <v>3900</v>
      </c>
      <c r="F13814" s="2007"/>
      <c r="G13814" s="1273" t="s">
        <v>19</v>
      </c>
      <c r="H13814" s="577">
        <v>0.56999999999999995</v>
      </c>
      <c r="K13814" s="1192" t="s">
        <v>3901</v>
      </c>
      <c r="L13814" s="1192" t="s">
        <v>431</v>
      </c>
      <c r="P13814" s="1192" t="s">
        <v>3903</v>
      </c>
      <c r="T13814" s="1192">
        <v>44926</v>
      </c>
      <c r="V13814" s="1192">
        <v>64</v>
      </c>
    </row>
    <row r="13815" spans="1:22" s="1192" customFormat="1" ht="14.4" x14ac:dyDescent="0.3">
      <c r="A13815" s="1192" t="s">
        <v>206</v>
      </c>
      <c r="E13815" s="2007" t="s">
        <v>2426</v>
      </c>
      <c r="F13815" s="2007"/>
      <c r="G13815" s="1273" t="s">
        <v>20</v>
      </c>
      <c r="H13815" s="1219">
        <v>1.8800000000000001E-2</v>
      </c>
      <c r="K13815" s="1192" t="s">
        <v>3901</v>
      </c>
      <c r="L13815" s="1192" t="s">
        <v>430</v>
      </c>
      <c r="P13815" s="1192" t="s">
        <v>3904</v>
      </c>
      <c r="V13815" s="1192">
        <v>29</v>
      </c>
    </row>
    <row r="13816" spans="1:22" s="1192" customFormat="1" ht="14.4" x14ac:dyDescent="0.3">
      <c r="A13816" s="1192" t="s">
        <v>206</v>
      </c>
      <c r="E13816" s="2007" t="s">
        <v>14</v>
      </c>
      <c r="F13816" s="2007"/>
      <c r="G13816" s="1273" t="s">
        <v>20</v>
      </c>
      <c r="H13816" s="562">
        <v>2.5000000000000001E-3</v>
      </c>
      <c r="K13816" s="1192" t="s">
        <v>3901</v>
      </c>
      <c r="L13816" s="1192" t="s">
        <v>431</v>
      </c>
      <c r="P13816" s="1192" t="s">
        <v>3905</v>
      </c>
      <c r="V13816" s="1192">
        <v>24</v>
      </c>
    </row>
    <row r="13817" spans="1:22" s="1192" customFormat="1" ht="14.4" x14ac:dyDescent="0.3">
      <c r="A13817" s="1192" t="s">
        <v>206</v>
      </c>
      <c r="E13817" s="2007" t="s">
        <v>4290</v>
      </c>
      <c r="F13817" s="1741"/>
      <c r="G13817" s="1273" t="s">
        <v>20</v>
      </c>
      <c r="H13817" s="562">
        <v>8.0000000000000004E-4</v>
      </c>
      <c r="K13817" s="1192" t="s">
        <v>3901</v>
      </c>
      <c r="L13817" s="1192" t="s">
        <v>430</v>
      </c>
      <c r="P13817" s="1192" t="s">
        <v>6704</v>
      </c>
      <c r="V13817" s="1192">
        <v>145</v>
      </c>
    </row>
    <row r="13818" spans="1:22" s="1192" customFormat="1" ht="14.4" x14ac:dyDescent="0.3">
      <c r="A13818" s="1192" t="s">
        <v>206</v>
      </c>
      <c r="E13818" s="2007" t="s">
        <v>213</v>
      </c>
      <c r="F13818" s="2007"/>
      <c r="G13818" s="1273" t="s">
        <v>20</v>
      </c>
      <c r="H13818" s="1219">
        <v>6.3E-3</v>
      </c>
      <c r="K13818" s="1192" t="s">
        <v>3901</v>
      </c>
      <c r="L13818" s="1192" t="s">
        <v>432</v>
      </c>
      <c r="P13818" s="1192" t="s">
        <v>3906</v>
      </c>
      <c r="V13818" s="1192">
        <v>47</v>
      </c>
    </row>
    <row r="13819" spans="1:22" s="1192" customFormat="1" ht="14.4" x14ac:dyDescent="0.3">
      <c r="A13819" s="1192" t="s">
        <v>206</v>
      </c>
      <c r="E13819" s="2007" t="s">
        <v>209</v>
      </c>
      <c r="F13819" s="2007"/>
      <c r="G13819" s="1273" t="s">
        <v>20</v>
      </c>
      <c r="H13819" s="1219">
        <v>4.7000000000000002E-3</v>
      </c>
      <c r="K13819" s="1192" t="s">
        <v>3901</v>
      </c>
      <c r="L13819" s="1192" t="s">
        <v>432</v>
      </c>
      <c r="P13819" s="1192" t="s">
        <v>3907</v>
      </c>
      <c r="V13819" s="1192">
        <v>74</v>
      </c>
    </row>
    <row r="13820" spans="1:22" s="1192" customFormat="1" ht="14.4" x14ac:dyDescent="0.3">
      <c r="A13820" s="1192" t="s">
        <v>206</v>
      </c>
      <c r="E13820" s="2054" t="s">
        <v>2405</v>
      </c>
      <c r="F13820" s="1741"/>
      <c r="G13820" s="1741"/>
      <c r="H13820" s="1741"/>
      <c r="K13820" s="1192" t="s">
        <v>2418</v>
      </c>
      <c r="V13820" s="1192">
        <v>48</v>
      </c>
    </row>
    <row r="13821" spans="1:22" s="1192" customFormat="1" ht="14.4" x14ac:dyDescent="0.3">
      <c r="A13821" s="1192" t="s">
        <v>206</v>
      </c>
      <c r="E13821" s="2007" t="s">
        <v>2033</v>
      </c>
      <c r="F13821" s="2007"/>
      <c r="G13821" s="578" t="s">
        <v>20</v>
      </c>
      <c r="H13821" s="564">
        <v>3.0000000000000001E-3</v>
      </c>
      <c r="K13821" s="1192" t="s">
        <v>3901</v>
      </c>
      <c r="L13821" s="1192" t="s">
        <v>2374</v>
      </c>
      <c r="P13821" s="1192" t="s">
        <v>3908</v>
      </c>
      <c r="V13821" s="1192">
        <v>55</v>
      </c>
    </row>
    <row r="13822" spans="1:22" s="1192" customFormat="1" ht="14.4" x14ac:dyDescent="0.3">
      <c r="A13822" s="1192" t="s">
        <v>206</v>
      </c>
      <c r="E13822" s="2007" t="s">
        <v>2034</v>
      </c>
      <c r="F13822" s="2007"/>
      <c r="G13822" s="578" t="s">
        <v>20</v>
      </c>
      <c r="H13822" s="564">
        <v>4.0000000000000002E-4</v>
      </c>
      <c r="K13822" s="1192" t="s">
        <v>3901</v>
      </c>
      <c r="L13822" s="1192" t="s">
        <v>2374</v>
      </c>
      <c r="P13822" s="1192" t="s">
        <v>3908</v>
      </c>
      <c r="V13822" s="1192">
        <v>65</v>
      </c>
    </row>
    <row r="13823" spans="1:22" s="1192" customFormat="1" ht="14.4" x14ac:dyDescent="0.3">
      <c r="A13823" s="1192" t="s">
        <v>206</v>
      </c>
      <c r="E13823" s="2007" t="s">
        <v>428</v>
      </c>
      <c r="F13823" s="2007"/>
      <c r="G13823" s="578" t="s">
        <v>20</v>
      </c>
      <c r="H13823" s="564">
        <v>5.0000000000000001E-4</v>
      </c>
      <c r="K13823" s="1192" t="s">
        <v>3901</v>
      </c>
      <c r="L13823" s="1192" t="s">
        <v>2374</v>
      </c>
      <c r="P13823" s="1192" t="s">
        <v>3909</v>
      </c>
      <c r="V13823" s="1192">
        <v>57</v>
      </c>
    </row>
    <row r="13824" spans="1:22" s="1192" customFormat="1" ht="14.4" x14ac:dyDescent="0.3">
      <c r="A13824" s="1192" t="s">
        <v>206</v>
      </c>
      <c r="E13824" s="2007" t="s">
        <v>28</v>
      </c>
      <c r="F13824" s="2007"/>
      <c r="G13824" s="578" t="s">
        <v>19</v>
      </c>
      <c r="H13824" s="579">
        <v>0.25</v>
      </c>
      <c r="K13824" s="1192" t="s">
        <v>3901</v>
      </c>
      <c r="L13824" s="1192" t="s">
        <v>2374</v>
      </c>
      <c r="P13824" s="1192" t="s">
        <v>3910</v>
      </c>
      <c r="V13824" s="1192">
        <v>63</v>
      </c>
    </row>
    <row r="13825" spans="1:22" s="1192" customFormat="1" ht="17.399999999999999" x14ac:dyDescent="0.3">
      <c r="A13825" s="1192" t="s">
        <v>206</v>
      </c>
      <c r="E13825" s="2051" t="s">
        <v>2524</v>
      </c>
      <c r="F13825" s="2051"/>
      <c r="G13825" s="2051"/>
      <c r="H13825" s="2057"/>
      <c r="K13825" s="1192" t="s">
        <v>3937</v>
      </c>
      <c r="V13825" s="1192">
        <v>51</v>
      </c>
    </row>
    <row r="13826" spans="1:22" s="1192" customFormat="1" ht="14.4" x14ac:dyDescent="0.3">
      <c r="A13826" s="1192" t="s">
        <v>206</v>
      </c>
      <c r="E13826" s="2192" t="s">
        <v>3603</v>
      </c>
      <c r="F13826" s="2192"/>
      <c r="G13826" s="2192"/>
      <c r="H13826" s="2192"/>
      <c r="K13826" s="1192" t="s">
        <v>3937</v>
      </c>
      <c r="V13826" s="1192">
        <v>373</v>
      </c>
    </row>
    <row r="13827" spans="1:22" s="1192" customFormat="1" ht="14.4" x14ac:dyDescent="0.3">
      <c r="A13827" s="1192" t="s">
        <v>206</v>
      </c>
      <c r="E13827" s="2054" t="s">
        <v>2389</v>
      </c>
      <c r="F13827" s="1743"/>
      <c r="G13827" s="1743"/>
      <c r="H13827" s="1743"/>
      <c r="K13827" s="1192" t="s">
        <v>2422</v>
      </c>
      <c r="V13827" s="1192">
        <v>11</v>
      </c>
    </row>
    <row r="13828" spans="1:22" s="1192" customFormat="1" ht="14.4" x14ac:dyDescent="0.3">
      <c r="A13828" s="1192" t="s">
        <v>206</v>
      </c>
      <c r="E13828" s="2192" t="s">
        <v>2391</v>
      </c>
      <c r="F13828" s="2192"/>
      <c r="G13828" s="2192"/>
      <c r="H13828" s="2192"/>
      <c r="K13828" s="1192" t="s">
        <v>3937</v>
      </c>
      <c r="V13828" s="1192">
        <v>280</v>
      </c>
    </row>
    <row r="13829" spans="1:22" s="1192" customFormat="1" ht="14.4" x14ac:dyDescent="0.3">
      <c r="A13829" s="1192" t="s">
        <v>206</v>
      </c>
      <c r="E13829" s="2263" t="s">
        <v>2392</v>
      </c>
      <c r="F13829" s="2263"/>
      <c r="G13829" s="2263"/>
      <c r="H13829" s="2263"/>
      <c r="K13829" s="1192" t="s">
        <v>3937</v>
      </c>
      <c r="V13829" s="1192">
        <v>411</v>
      </c>
    </row>
    <row r="13830" spans="1:22" s="1192" customFormat="1" ht="14.4" x14ac:dyDescent="0.3">
      <c r="A13830" s="1192" t="s">
        <v>206</v>
      </c>
      <c r="E13830" s="2261" t="s">
        <v>2508</v>
      </c>
      <c r="F13830" s="2261"/>
      <c r="G13830" s="2261"/>
      <c r="H13830" s="2261"/>
      <c r="K13830" s="1192" t="s">
        <v>3937</v>
      </c>
      <c r="V13830" s="1192">
        <v>386</v>
      </c>
    </row>
    <row r="13831" spans="1:22" s="1192" customFormat="1" ht="14.4" x14ac:dyDescent="0.3">
      <c r="A13831" s="1192" t="s">
        <v>206</v>
      </c>
      <c r="E13831" s="1743" t="s">
        <v>4632</v>
      </c>
      <c r="F13831" s="1743"/>
      <c r="G13831" s="1743"/>
      <c r="H13831" s="1743"/>
      <c r="K13831" s="1192" t="s">
        <v>3937</v>
      </c>
      <c r="V13831" s="1192">
        <v>680</v>
      </c>
    </row>
    <row r="13832" spans="1:22" s="1192" customFormat="1" ht="14.4" x14ac:dyDescent="0.3">
      <c r="A13832" s="1192" t="s">
        <v>206</v>
      </c>
      <c r="E13832" s="1743" t="s">
        <v>4504</v>
      </c>
      <c r="F13832" s="1743"/>
      <c r="G13832" s="1743"/>
      <c r="H13832" s="1743"/>
      <c r="K13832" s="1192" t="s">
        <v>3937</v>
      </c>
      <c r="V13832" s="1192">
        <v>725</v>
      </c>
    </row>
    <row r="13833" spans="1:22" s="1192" customFormat="1" ht="14.4" x14ac:dyDescent="0.3">
      <c r="A13833" s="1192" t="s">
        <v>206</v>
      </c>
      <c r="E13833" s="2262" t="s">
        <v>2986</v>
      </c>
      <c r="F13833" s="2262"/>
      <c r="G13833" s="2262"/>
      <c r="H13833" s="2262"/>
      <c r="K13833" s="1192" t="s">
        <v>3937</v>
      </c>
      <c r="V13833" s="1192">
        <v>246</v>
      </c>
    </row>
    <row r="13834" spans="1:22" s="1192" customFormat="1" ht="14.4" x14ac:dyDescent="0.3">
      <c r="A13834" s="1192" t="s">
        <v>206</v>
      </c>
      <c r="E13834" s="2054" t="s">
        <v>2394</v>
      </c>
      <c r="F13834" s="1743"/>
      <c r="G13834" s="1743"/>
      <c r="H13834" s="1743"/>
      <c r="K13834" s="1192" t="s">
        <v>2423</v>
      </c>
      <c r="V13834" s="1192">
        <v>46</v>
      </c>
    </row>
    <row r="13835" spans="1:22" s="1192" customFormat="1" ht="14.4" x14ac:dyDescent="0.3">
      <c r="A13835" s="1192" t="s">
        <v>206</v>
      </c>
      <c r="E13835" s="2007" t="s">
        <v>348</v>
      </c>
      <c r="F13835" s="2007"/>
      <c r="G13835" s="1273" t="s">
        <v>19</v>
      </c>
      <c r="H13835" s="1218">
        <v>289.38</v>
      </c>
      <c r="K13835" s="1192" t="s">
        <v>3937</v>
      </c>
      <c r="L13835" s="1192" t="s">
        <v>430</v>
      </c>
      <c r="P13835" s="1192" t="s">
        <v>3938</v>
      </c>
      <c r="V13835" s="1192">
        <v>22</v>
      </c>
    </row>
    <row r="13836" spans="1:22" s="1192" customFormat="1" ht="14.4" x14ac:dyDescent="0.3">
      <c r="A13836" s="1192" t="s">
        <v>206</v>
      </c>
      <c r="E13836" s="2007" t="s">
        <v>4289</v>
      </c>
      <c r="F13836" s="1741"/>
      <c r="G13836" s="1273" t="s">
        <v>19</v>
      </c>
      <c r="H13836" s="1218">
        <v>11.73</v>
      </c>
      <c r="K13836" s="1192" t="s">
        <v>3937</v>
      </c>
      <c r="L13836" s="1192" t="s">
        <v>430</v>
      </c>
      <c r="P13836" s="1192" t="s">
        <v>6705</v>
      </c>
      <c r="V13836" s="1192">
        <v>146</v>
      </c>
    </row>
    <row r="13837" spans="1:22" s="1192" customFormat="1" ht="14.4" x14ac:dyDescent="0.3">
      <c r="A13837" s="1192" t="s">
        <v>206</v>
      </c>
      <c r="E13837" s="2007" t="s">
        <v>2426</v>
      </c>
      <c r="F13837" s="2007"/>
      <c r="G13837" s="1273" t="s">
        <v>29</v>
      </c>
      <c r="H13837" s="1219">
        <v>2.76</v>
      </c>
      <c r="K13837" s="1192" t="s">
        <v>3937</v>
      </c>
      <c r="L13837" s="1192" t="s">
        <v>430</v>
      </c>
      <c r="P13837" s="1192" t="s">
        <v>3939</v>
      </c>
      <c r="V13837" s="1192">
        <v>29</v>
      </c>
    </row>
    <row r="13838" spans="1:22" s="1192" customFormat="1" ht="14.4" x14ac:dyDescent="0.3">
      <c r="A13838" s="1192" t="s">
        <v>206</v>
      </c>
      <c r="E13838" s="2007" t="s">
        <v>14</v>
      </c>
      <c r="F13838" s="2007"/>
      <c r="G13838" s="1273" t="s">
        <v>29</v>
      </c>
      <c r="H13838" s="562">
        <v>0.99519999999999997</v>
      </c>
      <c r="K13838" s="1192" t="s">
        <v>3937</v>
      </c>
      <c r="L13838" s="1192" t="s">
        <v>431</v>
      </c>
      <c r="P13838" s="1192" t="s">
        <v>3940</v>
      </c>
      <c r="V13838" s="1192">
        <v>24</v>
      </c>
    </row>
    <row r="13839" spans="1:22" s="1192" customFormat="1" ht="14.4" x14ac:dyDescent="0.3">
      <c r="A13839" s="1192" t="s">
        <v>206</v>
      </c>
      <c r="E13839" s="2007" t="s">
        <v>4290</v>
      </c>
      <c r="F13839" s="1741"/>
      <c r="G13839" s="1273" t="s">
        <v>29</v>
      </c>
      <c r="H13839" s="562">
        <v>0.1118</v>
      </c>
      <c r="K13839" s="1192" t="s">
        <v>3937</v>
      </c>
      <c r="L13839" s="1192" t="s">
        <v>430</v>
      </c>
      <c r="P13839" s="1192" t="s">
        <v>6706</v>
      </c>
      <c r="V13839" s="1192">
        <v>145</v>
      </c>
    </row>
    <row r="13840" spans="1:22" s="1192" customFormat="1" ht="14.4" x14ac:dyDescent="0.3">
      <c r="A13840" s="1192" t="s">
        <v>206</v>
      </c>
      <c r="E13840" s="2007" t="s">
        <v>213</v>
      </c>
      <c r="F13840" s="2007"/>
      <c r="G13840" s="1273" t="s">
        <v>29</v>
      </c>
      <c r="H13840" s="1219">
        <v>2.633</v>
      </c>
      <c r="K13840" s="1192" t="s">
        <v>3937</v>
      </c>
      <c r="L13840" s="1192" t="s">
        <v>432</v>
      </c>
      <c r="P13840" s="1192" t="s">
        <v>3941</v>
      </c>
      <c r="V13840" s="1192">
        <v>47</v>
      </c>
    </row>
    <row r="13841" spans="1:22" s="1192" customFormat="1" ht="14.4" x14ac:dyDescent="0.3">
      <c r="A13841" s="1192" t="s">
        <v>206</v>
      </c>
      <c r="E13841" s="2007" t="s">
        <v>209</v>
      </c>
      <c r="F13841" s="2007"/>
      <c r="G13841" s="1273" t="s">
        <v>29</v>
      </c>
      <c r="H13841" s="1219">
        <v>1.9271</v>
      </c>
      <c r="K13841" s="1192" t="s">
        <v>3937</v>
      </c>
      <c r="L13841" s="1192" t="s">
        <v>432</v>
      </c>
      <c r="P13841" s="1192" t="s">
        <v>3942</v>
      </c>
      <c r="V13841" s="1192">
        <v>74</v>
      </c>
    </row>
    <row r="13842" spans="1:22" s="1192" customFormat="1" ht="14.4" x14ac:dyDescent="0.3">
      <c r="A13842" s="1192" t="s">
        <v>206</v>
      </c>
      <c r="E13842" s="2054" t="s">
        <v>2405</v>
      </c>
      <c r="F13842" s="1741"/>
      <c r="G13842" s="1741"/>
      <c r="H13842" s="1741"/>
      <c r="K13842" s="1192" t="s">
        <v>2526</v>
      </c>
      <c r="V13842" s="1192">
        <v>48</v>
      </c>
    </row>
    <row r="13843" spans="1:22" s="1192" customFormat="1" ht="14.4" x14ac:dyDescent="0.3">
      <c r="A13843" s="1192" t="s">
        <v>206</v>
      </c>
      <c r="E13843" s="2007" t="s">
        <v>2033</v>
      </c>
      <c r="F13843" s="2007"/>
      <c r="G13843" s="578" t="s">
        <v>20</v>
      </c>
      <c r="H13843" s="564">
        <v>3.0000000000000001E-3</v>
      </c>
      <c r="K13843" s="1192" t="s">
        <v>3937</v>
      </c>
      <c r="L13843" s="1192" t="s">
        <v>2374</v>
      </c>
      <c r="P13843" s="1192" t="s">
        <v>3943</v>
      </c>
      <c r="V13843" s="1192">
        <v>55</v>
      </c>
    </row>
    <row r="13844" spans="1:22" s="1192" customFormat="1" ht="14.4" x14ac:dyDescent="0.3">
      <c r="A13844" s="1192" t="s">
        <v>206</v>
      </c>
      <c r="E13844" s="2007" t="s">
        <v>2034</v>
      </c>
      <c r="F13844" s="2007"/>
      <c r="G13844" s="578" t="s">
        <v>20</v>
      </c>
      <c r="H13844" s="564">
        <v>4.0000000000000002E-4</v>
      </c>
      <c r="K13844" s="1192" t="s">
        <v>3937</v>
      </c>
      <c r="L13844" s="1192" t="s">
        <v>2374</v>
      </c>
      <c r="P13844" s="1192" t="s">
        <v>3943</v>
      </c>
      <c r="V13844" s="1192">
        <v>65</v>
      </c>
    </row>
    <row r="13845" spans="1:22" s="1192" customFormat="1" ht="14.4" x14ac:dyDescent="0.3">
      <c r="A13845" s="1192" t="s">
        <v>206</v>
      </c>
      <c r="E13845" s="2007" t="s">
        <v>428</v>
      </c>
      <c r="F13845" s="2007"/>
      <c r="G13845" s="578" t="s">
        <v>20</v>
      </c>
      <c r="H13845" s="564">
        <v>5.0000000000000001E-4</v>
      </c>
      <c r="K13845" s="1192" t="s">
        <v>3937</v>
      </c>
      <c r="L13845" s="1192" t="s">
        <v>2374</v>
      </c>
      <c r="P13845" s="1192" t="s">
        <v>3944</v>
      </c>
      <c r="V13845" s="1192">
        <v>57</v>
      </c>
    </row>
    <row r="13846" spans="1:22" s="1192" customFormat="1" ht="14.4" x14ac:dyDescent="0.3">
      <c r="A13846" s="1192" t="s">
        <v>206</v>
      </c>
      <c r="E13846" s="2007" t="s">
        <v>28</v>
      </c>
      <c r="F13846" s="2007"/>
      <c r="G13846" s="578" t="s">
        <v>19</v>
      </c>
      <c r="H13846" s="579">
        <v>0.25</v>
      </c>
      <c r="K13846" s="1192" t="s">
        <v>3937</v>
      </c>
      <c r="L13846" s="1192" t="s">
        <v>2374</v>
      </c>
      <c r="P13846" s="1192" t="s">
        <v>3945</v>
      </c>
      <c r="V13846" s="1192">
        <v>63</v>
      </c>
    </row>
    <row r="13847" spans="1:22" s="1192" customFormat="1" ht="17.399999999999999" x14ac:dyDescent="0.3">
      <c r="A13847" s="1192" t="s">
        <v>206</v>
      </c>
      <c r="E13847" s="2051" t="s">
        <v>2527</v>
      </c>
      <c r="F13847" s="2051"/>
      <c r="G13847" s="2051"/>
      <c r="H13847" s="2057"/>
      <c r="K13847" s="1192" t="s">
        <v>3946</v>
      </c>
      <c r="V13847" s="1192">
        <v>56</v>
      </c>
    </row>
    <row r="13848" spans="1:22" s="1192" customFormat="1" ht="14.4" x14ac:dyDescent="0.3">
      <c r="A13848" s="1192" t="s">
        <v>206</v>
      </c>
      <c r="E13848" s="2192" t="s">
        <v>3604</v>
      </c>
      <c r="F13848" s="2192"/>
      <c r="G13848" s="2192"/>
      <c r="H13848" s="2192"/>
      <c r="K13848" s="1192" t="s">
        <v>3946</v>
      </c>
      <c r="V13848" s="1192">
        <v>388</v>
      </c>
    </row>
    <row r="13849" spans="1:22" s="1192" customFormat="1" ht="14.4" x14ac:dyDescent="0.3">
      <c r="A13849" s="1192" t="s">
        <v>206</v>
      </c>
      <c r="E13849" s="2111" t="s">
        <v>2389</v>
      </c>
      <c r="F13849" s="1988"/>
      <c r="G13849" s="1988"/>
      <c r="H13849" s="1988"/>
      <c r="K13849" s="1192" t="s">
        <v>2529</v>
      </c>
      <c r="V13849" s="1192">
        <v>11</v>
      </c>
    </row>
    <row r="13850" spans="1:22" s="1192" customFormat="1" ht="14.4" x14ac:dyDescent="0.3">
      <c r="A13850" s="1192" t="s">
        <v>206</v>
      </c>
      <c r="E13850" s="2192" t="s">
        <v>2391</v>
      </c>
      <c r="F13850" s="2192"/>
      <c r="G13850" s="2192"/>
      <c r="H13850" s="2192"/>
      <c r="K13850" s="1192" t="s">
        <v>3946</v>
      </c>
      <c r="V13850" s="1192">
        <v>280</v>
      </c>
    </row>
    <row r="13851" spans="1:22" s="1192" customFormat="1" ht="14.4" x14ac:dyDescent="0.3">
      <c r="A13851" s="1192" t="s">
        <v>206</v>
      </c>
      <c r="E13851" s="2263" t="s">
        <v>2392</v>
      </c>
      <c r="F13851" s="2263"/>
      <c r="G13851" s="2263"/>
      <c r="H13851" s="2263"/>
      <c r="K13851" s="1192" t="s">
        <v>3946</v>
      </c>
      <c r="V13851" s="1192">
        <v>411</v>
      </c>
    </row>
    <row r="13852" spans="1:22" s="1192" customFormat="1" ht="14.4" x14ac:dyDescent="0.3">
      <c r="A13852" s="1192" t="s">
        <v>206</v>
      </c>
      <c r="E13852" s="2261" t="s">
        <v>2508</v>
      </c>
      <c r="F13852" s="2261"/>
      <c r="G13852" s="2261"/>
      <c r="H13852" s="2261"/>
      <c r="K13852" s="1192" t="s">
        <v>3946</v>
      </c>
      <c r="V13852" s="1192">
        <v>386</v>
      </c>
    </row>
    <row r="13853" spans="1:22" s="1192" customFormat="1" ht="14.4" x14ac:dyDescent="0.3">
      <c r="A13853" s="1192" t="s">
        <v>206</v>
      </c>
      <c r="E13853" s="1743" t="s">
        <v>4632</v>
      </c>
      <c r="F13853" s="1743"/>
      <c r="G13853" s="1743"/>
      <c r="H13853" s="1743"/>
      <c r="K13853" s="1192" t="s">
        <v>3946</v>
      </c>
      <c r="V13853" s="1192">
        <v>680</v>
      </c>
    </row>
    <row r="13854" spans="1:22" s="1192" customFormat="1" ht="14.4" x14ac:dyDescent="0.3">
      <c r="A13854" s="1192" t="s">
        <v>206</v>
      </c>
      <c r="E13854" s="1743" t="s">
        <v>4504</v>
      </c>
      <c r="F13854" s="1743"/>
      <c r="G13854" s="1743"/>
      <c r="H13854" s="1743"/>
      <c r="K13854" s="1192" t="s">
        <v>3946</v>
      </c>
      <c r="V13854" s="1192">
        <v>725</v>
      </c>
    </row>
    <row r="13855" spans="1:22" s="1192" customFormat="1" ht="14.4" x14ac:dyDescent="0.3">
      <c r="A13855" s="1192" t="s">
        <v>206</v>
      </c>
      <c r="E13855" s="2262" t="s">
        <v>2986</v>
      </c>
      <c r="F13855" s="2262"/>
      <c r="G13855" s="2262"/>
      <c r="H13855" s="2262"/>
      <c r="K13855" s="1192" t="s">
        <v>3946</v>
      </c>
      <c r="V13855" s="1192">
        <v>246</v>
      </c>
    </row>
    <row r="13856" spans="1:22" s="1192" customFormat="1" ht="14.4" x14ac:dyDescent="0.3">
      <c r="A13856" s="1192" t="s">
        <v>206</v>
      </c>
      <c r="E13856" s="2111" t="s">
        <v>2394</v>
      </c>
      <c r="F13856" s="1988"/>
      <c r="G13856" s="1988"/>
      <c r="H13856" s="1988"/>
      <c r="K13856" s="1192" t="s">
        <v>2531</v>
      </c>
      <c r="V13856" s="1192">
        <v>46</v>
      </c>
    </row>
    <row r="13857" spans="1:22" s="1192" customFormat="1" ht="14.4" x14ac:dyDescent="0.3">
      <c r="A13857" s="1192" t="s">
        <v>206</v>
      </c>
      <c r="E13857" s="2007" t="s">
        <v>348</v>
      </c>
      <c r="F13857" s="2007"/>
      <c r="G13857" s="1273" t="s">
        <v>19</v>
      </c>
      <c r="H13857" s="1218">
        <v>2365.1</v>
      </c>
      <c r="K13857" s="1192" t="s">
        <v>3946</v>
      </c>
      <c r="L13857" s="1192" t="s">
        <v>430</v>
      </c>
      <c r="P13857" s="1192" t="s">
        <v>3947</v>
      </c>
      <c r="V13857" s="1192">
        <v>22</v>
      </c>
    </row>
    <row r="13858" spans="1:22" s="1192" customFormat="1" ht="14.4" x14ac:dyDescent="0.3">
      <c r="A13858" s="1192" t="s">
        <v>206</v>
      </c>
      <c r="E13858" s="2007" t="s">
        <v>4289</v>
      </c>
      <c r="F13858" s="1741"/>
      <c r="G13858" s="1273" t="s">
        <v>19</v>
      </c>
      <c r="H13858" s="1218">
        <v>95.84</v>
      </c>
      <c r="K13858" s="1192" t="s">
        <v>3946</v>
      </c>
      <c r="L13858" s="1192" t="s">
        <v>430</v>
      </c>
      <c r="P13858" s="1192" t="s">
        <v>6707</v>
      </c>
      <c r="V13858" s="1192">
        <v>146</v>
      </c>
    </row>
    <row r="13859" spans="1:22" s="1192" customFormat="1" ht="14.4" x14ac:dyDescent="0.3">
      <c r="A13859" s="1192" t="s">
        <v>206</v>
      </c>
      <c r="E13859" s="2007" t="s">
        <v>2426</v>
      </c>
      <c r="F13859" s="2007"/>
      <c r="G13859" s="1273" t="s">
        <v>29</v>
      </c>
      <c r="H13859" s="1219">
        <v>3.1993999999999998</v>
      </c>
      <c r="K13859" s="1192" t="s">
        <v>3946</v>
      </c>
      <c r="L13859" s="1192" t="s">
        <v>430</v>
      </c>
      <c r="P13859" s="1192" t="s">
        <v>3948</v>
      </c>
      <c r="V13859" s="1192">
        <v>29</v>
      </c>
    </row>
    <row r="13860" spans="1:22" s="1192" customFormat="1" ht="14.4" x14ac:dyDescent="0.3">
      <c r="A13860" s="1192" t="s">
        <v>206</v>
      </c>
      <c r="E13860" s="2007" t="s">
        <v>14</v>
      </c>
      <c r="F13860" s="2007"/>
      <c r="G13860" s="1273" t="s">
        <v>29</v>
      </c>
      <c r="H13860" s="562">
        <v>1.0911</v>
      </c>
      <c r="K13860" s="1192" t="s">
        <v>3946</v>
      </c>
      <c r="L13860" s="1192" t="s">
        <v>431</v>
      </c>
      <c r="P13860" s="1192" t="s">
        <v>3949</v>
      </c>
      <c r="V13860" s="1192">
        <v>24</v>
      </c>
    </row>
    <row r="13861" spans="1:22" s="1192" customFormat="1" ht="14.4" x14ac:dyDescent="0.3">
      <c r="A13861" s="1192" t="s">
        <v>206</v>
      </c>
      <c r="E13861" s="2007" t="s">
        <v>4289</v>
      </c>
      <c r="F13861" s="1741"/>
      <c r="G13861" s="1273" t="s">
        <v>29</v>
      </c>
      <c r="H13861" s="562">
        <v>0.12970000000000001</v>
      </c>
      <c r="K13861" s="1192" t="s">
        <v>3946</v>
      </c>
      <c r="L13861" s="1192" t="s">
        <v>430</v>
      </c>
      <c r="P13861" s="1192" t="s">
        <v>4754</v>
      </c>
      <c r="V13861" s="1192">
        <v>146</v>
      </c>
    </row>
    <row r="13862" spans="1:22" s="1192" customFormat="1" ht="14.4" x14ac:dyDescent="0.3">
      <c r="A13862" s="1192" t="s">
        <v>206</v>
      </c>
      <c r="E13862" s="2007" t="s">
        <v>213</v>
      </c>
      <c r="F13862" s="2007"/>
      <c r="G13862" s="1273" t="s">
        <v>29</v>
      </c>
      <c r="H13862" s="1219">
        <v>2.7966000000000002</v>
      </c>
      <c r="K13862" s="1192" t="s">
        <v>3946</v>
      </c>
      <c r="L13862" s="1192" t="s">
        <v>432</v>
      </c>
      <c r="P13862" s="1192" t="s">
        <v>3950</v>
      </c>
      <c r="V13862" s="1192">
        <v>47</v>
      </c>
    </row>
    <row r="13863" spans="1:22" s="1192" customFormat="1" ht="14.4" x14ac:dyDescent="0.3">
      <c r="A13863" s="1192" t="s">
        <v>206</v>
      </c>
      <c r="E13863" s="2007" t="s">
        <v>209</v>
      </c>
      <c r="F13863" s="2007"/>
      <c r="G13863" s="1273" t="s">
        <v>29</v>
      </c>
      <c r="H13863" s="1219">
        <v>2.1128</v>
      </c>
      <c r="K13863" s="1192" t="s">
        <v>3946</v>
      </c>
      <c r="L13863" s="1192" t="s">
        <v>432</v>
      </c>
      <c r="P13863" s="1192" t="s">
        <v>3951</v>
      </c>
      <c r="V13863" s="1192">
        <v>74</v>
      </c>
    </row>
    <row r="13864" spans="1:22" s="1192" customFormat="1" ht="14.4" x14ac:dyDescent="0.3">
      <c r="A13864" s="1192" t="s">
        <v>206</v>
      </c>
      <c r="E13864" s="2054" t="s">
        <v>2405</v>
      </c>
      <c r="F13864" s="1741"/>
      <c r="G13864" s="1273"/>
      <c r="H13864" s="867"/>
      <c r="K13864" s="1192" t="s">
        <v>2532</v>
      </c>
      <c r="V13864" s="1192">
        <v>48</v>
      </c>
    </row>
    <row r="13865" spans="1:22" s="1192" customFormat="1" ht="14.4" x14ac:dyDescent="0.3">
      <c r="A13865" s="1192" t="s">
        <v>206</v>
      </c>
      <c r="E13865" s="2007" t="s">
        <v>2033</v>
      </c>
      <c r="F13865" s="2007"/>
      <c r="G13865" s="578" t="s">
        <v>20</v>
      </c>
      <c r="H13865" s="564">
        <v>3.0000000000000001E-3</v>
      </c>
      <c r="K13865" s="1192" t="s">
        <v>3946</v>
      </c>
      <c r="L13865" s="1192" t="s">
        <v>2374</v>
      </c>
      <c r="P13865" s="1192" t="s">
        <v>3952</v>
      </c>
      <c r="V13865" s="1192">
        <v>55</v>
      </c>
    </row>
    <row r="13866" spans="1:22" s="1192" customFormat="1" ht="14.4" x14ac:dyDescent="0.3">
      <c r="A13866" s="1192" t="s">
        <v>206</v>
      </c>
      <c r="E13866" s="2007" t="s">
        <v>2034</v>
      </c>
      <c r="F13866" s="2007"/>
      <c r="G13866" s="578" t="s">
        <v>20</v>
      </c>
      <c r="H13866" s="564">
        <v>4.0000000000000002E-4</v>
      </c>
      <c r="K13866" s="1192" t="s">
        <v>3946</v>
      </c>
      <c r="L13866" s="1192" t="s">
        <v>2374</v>
      </c>
      <c r="P13866" s="1192" t="s">
        <v>3952</v>
      </c>
      <c r="V13866" s="1192">
        <v>65</v>
      </c>
    </row>
    <row r="13867" spans="1:22" s="1192" customFormat="1" ht="14.4" x14ac:dyDescent="0.3">
      <c r="A13867" s="1192" t="s">
        <v>206</v>
      </c>
      <c r="E13867" s="2007" t="s">
        <v>428</v>
      </c>
      <c r="F13867" s="2007"/>
      <c r="G13867" s="578" t="s">
        <v>20</v>
      </c>
      <c r="H13867" s="564">
        <v>5.0000000000000001E-4</v>
      </c>
      <c r="K13867" s="1192" t="s">
        <v>3946</v>
      </c>
      <c r="L13867" s="1192" t="s">
        <v>2374</v>
      </c>
      <c r="P13867" s="1192" t="s">
        <v>3953</v>
      </c>
      <c r="V13867" s="1192">
        <v>57</v>
      </c>
    </row>
    <row r="13868" spans="1:22" s="1192" customFormat="1" ht="14.4" x14ac:dyDescent="0.3">
      <c r="A13868" s="1192" t="s">
        <v>206</v>
      </c>
      <c r="E13868" s="2007" t="s">
        <v>28</v>
      </c>
      <c r="F13868" s="2007"/>
      <c r="G13868" s="578" t="s">
        <v>19</v>
      </c>
      <c r="H13868" s="579">
        <v>0.25</v>
      </c>
      <c r="K13868" s="1192" t="s">
        <v>3946</v>
      </c>
      <c r="L13868" s="1192" t="s">
        <v>2374</v>
      </c>
      <c r="P13868" s="1192" t="s">
        <v>3954</v>
      </c>
      <c r="V13868" s="1192">
        <v>63</v>
      </c>
    </row>
    <row r="13869" spans="1:22" s="1192" customFormat="1" ht="17.399999999999999" x14ac:dyDescent="0.3">
      <c r="A13869" s="1192" t="s">
        <v>206</v>
      </c>
      <c r="E13869" s="2051" t="s">
        <v>592</v>
      </c>
      <c r="F13869" s="2051"/>
      <c r="G13869" s="2051"/>
      <c r="H13869" s="2057"/>
      <c r="K13869" s="1192" t="s">
        <v>2726</v>
      </c>
      <c r="V13869" s="1192">
        <v>47</v>
      </c>
    </row>
    <row r="13870" spans="1:22" s="1192" customFormat="1" ht="14.4" x14ac:dyDescent="0.3">
      <c r="A13870" s="1192" t="s">
        <v>206</v>
      </c>
      <c r="E13870" s="2192" t="s">
        <v>3605</v>
      </c>
      <c r="F13870" s="2192"/>
      <c r="G13870" s="2192"/>
      <c r="H13870" s="2192"/>
      <c r="K13870" s="1192" t="s">
        <v>2726</v>
      </c>
      <c r="V13870" s="1192">
        <v>721</v>
      </c>
    </row>
    <row r="13871" spans="1:22" s="1192" customFormat="1" ht="14.4" x14ac:dyDescent="0.3">
      <c r="A13871" s="1192" t="s">
        <v>206</v>
      </c>
      <c r="E13871" s="2111" t="s">
        <v>2389</v>
      </c>
      <c r="F13871" s="1988"/>
      <c r="G13871" s="1988"/>
      <c r="H13871" s="1988"/>
      <c r="K13871" s="1192" t="s">
        <v>2424</v>
      </c>
      <c r="V13871" s="1192">
        <v>11</v>
      </c>
    </row>
    <row r="13872" spans="1:22" s="1192" customFormat="1" ht="14.4" x14ac:dyDescent="0.3">
      <c r="A13872" s="1192" t="s">
        <v>206</v>
      </c>
      <c r="E13872" s="2192" t="s">
        <v>2391</v>
      </c>
      <c r="F13872" s="2192"/>
      <c r="G13872" s="2192"/>
      <c r="H13872" s="2192"/>
      <c r="K13872" s="1192" t="s">
        <v>2726</v>
      </c>
      <c r="V13872" s="1192">
        <v>280</v>
      </c>
    </row>
    <row r="13873" spans="1:22" s="1192" customFormat="1" ht="14.4" x14ac:dyDescent="0.3">
      <c r="A13873" s="1192" t="s">
        <v>206</v>
      </c>
      <c r="E13873" s="2263" t="s">
        <v>2392</v>
      </c>
      <c r="F13873" s="2263"/>
      <c r="G13873" s="2263"/>
      <c r="H13873" s="2263"/>
      <c r="K13873" s="1192" t="s">
        <v>2726</v>
      </c>
      <c r="V13873" s="1192">
        <v>411</v>
      </c>
    </row>
    <row r="13874" spans="1:22" s="1192" customFormat="1" ht="14.4" x14ac:dyDescent="0.3">
      <c r="A13874" s="1192" t="s">
        <v>206</v>
      </c>
      <c r="E13874" s="2261" t="s">
        <v>2508</v>
      </c>
      <c r="F13874" s="2261"/>
      <c r="G13874" s="2261"/>
      <c r="H13874" s="2261"/>
      <c r="K13874" s="1192" t="s">
        <v>2726</v>
      </c>
      <c r="V13874" s="1192">
        <v>386</v>
      </c>
    </row>
    <row r="13875" spans="1:22" s="1192" customFormat="1" ht="14.4" x14ac:dyDescent="0.3">
      <c r="A13875" s="1192" t="s">
        <v>206</v>
      </c>
      <c r="E13875" s="2262" t="s">
        <v>2986</v>
      </c>
      <c r="F13875" s="2262"/>
      <c r="G13875" s="2262"/>
      <c r="H13875" s="2262"/>
      <c r="K13875" s="1192" t="s">
        <v>2726</v>
      </c>
      <c r="V13875" s="1192">
        <v>246</v>
      </c>
    </row>
    <row r="13876" spans="1:22" s="1192" customFormat="1" ht="14.4" x14ac:dyDescent="0.3">
      <c r="A13876" s="1192" t="s">
        <v>206</v>
      </c>
      <c r="E13876" s="2111" t="s">
        <v>2394</v>
      </c>
      <c r="F13876" s="1988"/>
      <c r="G13876" s="1988"/>
      <c r="H13876" s="1988"/>
      <c r="K13876" s="1192" t="s">
        <v>2425</v>
      </c>
      <c r="V13876" s="1192">
        <v>46</v>
      </c>
    </row>
    <row r="13877" spans="1:22" s="1192" customFormat="1" ht="14.4" x14ac:dyDescent="0.3">
      <c r="A13877" s="1192" t="s">
        <v>206</v>
      </c>
      <c r="E13877" s="2007" t="s">
        <v>348</v>
      </c>
      <c r="F13877" s="2007"/>
      <c r="G13877" s="1273" t="s">
        <v>19</v>
      </c>
      <c r="H13877" s="1218">
        <v>29.71</v>
      </c>
      <c r="K13877" s="1192" t="s">
        <v>2726</v>
      </c>
      <c r="L13877" s="1192" t="s">
        <v>430</v>
      </c>
      <c r="P13877" s="1192" t="s">
        <v>2727</v>
      </c>
      <c r="V13877" s="1192">
        <v>22</v>
      </c>
    </row>
    <row r="13878" spans="1:22" s="1192" customFormat="1" ht="14.4" x14ac:dyDescent="0.3">
      <c r="A13878" s="1192" t="s">
        <v>206</v>
      </c>
      <c r="E13878" s="2007" t="s">
        <v>4289</v>
      </c>
      <c r="F13878" s="1741"/>
      <c r="G13878" s="1273" t="s">
        <v>19</v>
      </c>
      <c r="H13878" s="1218">
        <v>1.2</v>
      </c>
      <c r="K13878" s="1192" t="s">
        <v>2726</v>
      </c>
      <c r="L13878" s="1192" t="s">
        <v>430</v>
      </c>
      <c r="P13878" s="1192" t="s">
        <v>6708</v>
      </c>
      <c r="V13878" s="1192">
        <v>146</v>
      </c>
    </row>
    <row r="13879" spans="1:22" s="1192" customFormat="1" ht="14.4" x14ac:dyDescent="0.3">
      <c r="A13879" s="1192" t="s">
        <v>206</v>
      </c>
      <c r="E13879" s="2007" t="s">
        <v>2426</v>
      </c>
      <c r="F13879" s="2007"/>
      <c r="G13879" s="1273" t="s">
        <v>20</v>
      </c>
      <c r="H13879" s="1219">
        <v>1.6299999999999999E-2</v>
      </c>
      <c r="K13879" s="1192" t="s">
        <v>2726</v>
      </c>
      <c r="L13879" s="1192" t="s">
        <v>430</v>
      </c>
      <c r="P13879" s="1192" t="s">
        <v>2728</v>
      </c>
      <c r="V13879" s="1192">
        <v>29</v>
      </c>
    </row>
    <row r="13880" spans="1:22" s="1192" customFormat="1" ht="14.4" x14ac:dyDescent="0.3">
      <c r="A13880" s="1192" t="s">
        <v>206</v>
      </c>
      <c r="E13880" s="2007" t="s">
        <v>14</v>
      </c>
      <c r="F13880" s="2007"/>
      <c r="G13880" s="1273" t="s">
        <v>20</v>
      </c>
      <c r="H13880" s="562">
        <v>2.5000000000000001E-3</v>
      </c>
      <c r="K13880" s="1192" t="s">
        <v>2726</v>
      </c>
      <c r="L13880" s="1192" t="s">
        <v>431</v>
      </c>
      <c r="P13880" s="1192" t="s">
        <v>2729</v>
      </c>
      <c r="V13880" s="1192">
        <v>24</v>
      </c>
    </row>
    <row r="13881" spans="1:22" s="1192" customFormat="1" ht="14.4" x14ac:dyDescent="0.3">
      <c r="A13881" s="1192" t="s">
        <v>206</v>
      </c>
      <c r="E13881" s="2007" t="s">
        <v>4290</v>
      </c>
      <c r="F13881" s="1741"/>
      <c r="G13881" s="1273" t="s">
        <v>20</v>
      </c>
      <c r="H13881" s="562">
        <v>6.9999999999999999E-4</v>
      </c>
      <c r="K13881" s="1192" t="s">
        <v>2726</v>
      </c>
      <c r="L13881" s="1192" t="s">
        <v>430</v>
      </c>
      <c r="P13881" s="1192" t="s">
        <v>6709</v>
      </c>
      <c r="V13881" s="1192">
        <v>145</v>
      </c>
    </row>
    <row r="13882" spans="1:22" s="1192" customFormat="1" ht="14.4" x14ac:dyDescent="0.3">
      <c r="A13882" s="1192" t="s">
        <v>206</v>
      </c>
      <c r="E13882" s="2007" t="s">
        <v>213</v>
      </c>
      <c r="F13882" s="2007"/>
      <c r="G13882" s="1273" t="s">
        <v>20</v>
      </c>
      <c r="H13882" s="1219">
        <v>6.3E-3</v>
      </c>
      <c r="K13882" s="1192" t="s">
        <v>2726</v>
      </c>
      <c r="L13882" s="1192" t="s">
        <v>432</v>
      </c>
      <c r="P13882" s="1192" t="s">
        <v>2731</v>
      </c>
      <c r="V13882" s="1192">
        <v>47</v>
      </c>
    </row>
    <row r="13883" spans="1:22" s="1192" customFormat="1" ht="14.4" x14ac:dyDescent="0.3">
      <c r="A13883" s="1192" t="s">
        <v>206</v>
      </c>
      <c r="E13883" s="2007" t="s">
        <v>209</v>
      </c>
      <c r="F13883" s="2007"/>
      <c r="G13883" s="1273" t="s">
        <v>20</v>
      </c>
      <c r="H13883" s="1219">
        <v>4.7000000000000002E-3</v>
      </c>
      <c r="K13883" s="1192" t="s">
        <v>2726</v>
      </c>
      <c r="L13883" s="1192" t="s">
        <v>432</v>
      </c>
      <c r="P13883" s="1192" t="s">
        <v>2732</v>
      </c>
      <c r="V13883" s="1192">
        <v>74</v>
      </c>
    </row>
    <row r="13884" spans="1:22" s="1192" customFormat="1" ht="14.4" x14ac:dyDescent="0.3">
      <c r="A13884" s="1192" t="s">
        <v>206</v>
      </c>
      <c r="E13884" s="2054" t="s">
        <v>2405</v>
      </c>
      <c r="F13884" s="1741"/>
      <c r="G13884" s="1273"/>
      <c r="H13884" s="867"/>
      <c r="K13884" s="1192" t="s">
        <v>2427</v>
      </c>
      <c r="V13884" s="1192">
        <v>48</v>
      </c>
    </row>
    <row r="13885" spans="1:22" s="1192" customFormat="1" ht="14.4" x14ac:dyDescent="0.3">
      <c r="A13885" s="1192" t="s">
        <v>206</v>
      </c>
      <c r="E13885" s="2007" t="s">
        <v>2033</v>
      </c>
      <c r="F13885" s="2007"/>
      <c r="G13885" s="578" t="s">
        <v>20</v>
      </c>
      <c r="H13885" s="564">
        <v>3.0000000000000001E-3</v>
      </c>
      <c r="K13885" s="1192" t="s">
        <v>2726</v>
      </c>
      <c r="L13885" s="1192" t="s">
        <v>2374</v>
      </c>
      <c r="P13885" s="1192" t="s">
        <v>2733</v>
      </c>
      <c r="V13885" s="1192">
        <v>55</v>
      </c>
    </row>
    <row r="13886" spans="1:22" s="1192" customFormat="1" ht="14.4" x14ac:dyDescent="0.3">
      <c r="A13886" s="1192" t="s">
        <v>206</v>
      </c>
      <c r="E13886" s="2007" t="s">
        <v>2034</v>
      </c>
      <c r="F13886" s="2007"/>
      <c r="G13886" s="578" t="s">
        <v>20</v>
      </c>
      <c r="H13886" s="564">
        <v>4.0000000000000002E-4</v>
      </c>
      <c r="K13886" s="1192" t="s">
        <v>2726</v>
      </c>
      <c r="L13886" s="1192" t="s">
        <v>2374</v>
      </c>
      <c r="P13886" s="1192" t="s">
        <v>2733</v>
      </c>
      <c r="V13886" s="1192">
        <v>65</v>
      </c>
    </row>
    <row r="13887" spans="1:22" s="1192" customFormat="1" ht="14.4" x14ac:dyDescent="0.3">
      <c r="A13887" s="1192" t="s">
        <v>206</v>
      </c>
      <c r="E13887" s="2007" t="s">
        <v>428</v>
      </c>
      <c r="F13887" s="2007"/>
      <c r="G13887" s="578" t="s">
        <v>20</v>
      </c>
      <c r="H13887" s="564">
        <v>5.0000000000000001E-4</v>
      </c>
      <c r="K13887" s="1192" t="s">
        <v>2726</v>
      </c>
      <c r="L13887" s="1192" t="s">
        <v>2374</v>
      </c>
      <c r="P13887" s="1192" t="s">
        <v>2734</v>
      </c>
      <c r="V13887" s="1192">
        <v>57</v>
      </c>
    </row>
    <row r="13888" spans="1:22" s="1192" customFormat="1" ht="14.4" x14ac:dyDescent="0.3">
      <c r="A13888" s="1192" t="s">
        <v>206</v>
      </c>
      <c r="E13888" s="2007" t="s">
        <v>28</v>
      </c>
      <c r="F13888" s="2007"/>
      <c r="G13888" s="578" t="s">
        <v>19</v>
      </c>
      <c r="H13888" s="579">
        <v>0.25</v>
      </c>
      <c r="K13888" s="1192" t="s">
        <v>2726</v>
      </c>
      <c r="L13888" s="1192" t="s">
        <v>2374</v>
      </c>
      <c r="P13888" s="1192" t="s">
        <v>2735</v>
      </c>
      <c r="V13888" s="1192">
        <v>63</v>
      </c>
    </row>
    <row r="13889" spans="1:22" s="1192" customFormat="1" ht="17.399999999999999" x14ac:dyDescent="0.3">
      <c r="A13889" s="1192" t="s">
        <v>206</v>
      </c>
      <c r="E13889" s="2051" t="s">
        <v>604</v>
      </c>
      <c r="F13889" s="2051"/>
      <c r="G13889" s="2051"/>
      <c r="H13889" s="2057"/>
      <c r="K13889" s="1192" t="s">
        <v>2736</v>
      </c>
      <c r="V13889" s="1192">
        <v>40</v>
      </c>
    </row>
    <row r="13890" spans="1:22" s="1192" customFormat="1" ht="14.4" x14ac:dyDescent="0.3">
      <c r="A13890" s="1192" t="s">
        <v>206</v>
      </c>
      <c r="E13890" s="2192" t="s">
        <v>3606</v>
      </c>
      <c r="F13890" s="2192"/>
      <c r="G13890" s="2192"/>
      <c r="H13890" s="2192"/>
      <c r="K13890" s="1192" t="s">
        <v>2736</v>
      </c>
      <c r="V13890" s="1192">
        <v>246</v>
      </c>
    </row>
    <row r="13891" spans="1:22" s="1192" customFormat="1" ht="14.4" x14ac:dyDescent="0.3">
      <c r="A13891" s="1192" t="s">
        <v>206</v>
      </c>
      <c r="E13891" s="2111" t="s">
        <v>2389</v>
      </c>
      <c r="F13891" s="1988"/>
      <c r="G13891" s="1988"/>
      <c r="H13891" s="1988"/>
      <c r="K13891" s="1192" t="s">
        <v>2430</v>
      </c>
      <c r="V13891" s="1192">
        <v>11</v>
      </c>
    </row>
    <row r="13892" spans="1:22" s="1192" customFormat="1" ht="14.4" x14ac:dyDescent="0.3">
      <c r="A13892" s="1192" t="s">
        <v>206</v>
      </c>
      <c r="E13892" s="2192" t="s">
        <v>2391</v>
      </c>
      <c r="F13892" s="2192"/>
      <c r="G13892" s="2192"/>
      <c r="H13892" s="2192"/>
      <c r="K13892" s="1192" t="s">
        <v>2736</v>
      </c>
      <c r="V13892" s="1192">
        <v>280</v>
      </c>
    </row>
    <row r="13893" spans="1:22" s="1192" customFormat="1" ht="14.4" x14ac:dyDescent="0.3">
      <c r="A13893" s="1192" t="s">
        <v>206</v>
      </c>
      <c r="E13893" s="2263" t="s">
        <v>2392</v>
      </c>
      <c r="F13893" s="2263"/>
      <c r="G13893" s="2263"/>
      <c r="H13893" s="2263"/>
      <c r="K13893" s="1192" t="s">
        <v>2736</v>
      </c>
      <c r="V13893" s="1192">
        <v>411</v>
      </c>
    </row>
    <row r="13894" spans="1:22" s="1192" customFormat="1" ht="14.4" x14ac:dyDescent="0.3">
      <c r="A13894" s="1192" t="s">
        <v>206</v>
      </c>
      <c r="E13894" s="2261" t="s">
        <v>2508</v>
      </c>
      <c r="F13894" s="2261"/>
      <c r="G13894" s="2261"/>
      <c r="H13894" s="2261"/>
      <c r="K13894" s="1192" t="s">
        <v>2736</v>
      </c>
      <c r="V13894" s="1192">
        <v>386</v>
      </c>
    </row>
    <row r="13895" spans="1:22" s="1192" customFormat="1" ht="14.4" x14ac:dyDescent="0.3">
      <c r="A13895" s="1192" t="s">
        <v>206</v>
      </c>
      <c r="E13895" s="2262" t="s">
        <v>2986</v>
      </c>
      <c r="F13895" s="2262"/>
      <c r="G13895" s="2262"/>
      <c r="H13895" s="2262"/>
      <c r="K13895" s="1192" t="s">
        <v>2736</v>
      </c>
      <c r="V13895" s="1192">
        <v>246</v>
      </c>
    </row>
    <row r="13896" spans="1:22" s="1192" customFormat="1" ht="14.4" x14ac:dyDescent="0.3">
      <c r="A13896" s="1192" t="s">
        <v>206</v>
      </c>
      <c r="E13896" s="2111" t="s">
        <v>2394</v>
      </c>
      <c r="F13896" s="1988"/>
      <c r="G13896" s="1988"/>
      <c r="H13896" s="1988"/>
      <c r="K13896" s="1192" t="s">
        <v>2431</v>
      </c>
      <c r="V13896" s="1192">
        <v>46</v>
      </c>
    </row>
    <row r="13897" spans="1:22" s="1192" customFormat="1" ht="14.4" x14ac:dyDescent="0.3">
      <c r="A13897" s="1192" t="s">
        <v>206</v>
      </c>
      <c r="E13897" s="2007" t="s">
        <v>3607</v>
      </c>
      <c r="F13897" s="2007"/>
      <c r="G13897" s="1273" t="s">
        <v>19</v>
      </c>
      <c r="H13897" s="1218">
        <v>7.75</v>
      </c>
      <c r="K13897" s="1192" t="s">
        <v>2736</v>
      </c>
      <c r="L13897" s="1192" t="s">
        <v>430</v>
      </c>
      <c r="P13897" s="1192" t="s">
        <v>2737</v>
      </c>
      <c r="V13897" s="1192">
        <v>39</v>
      </c>
    </row>
    <row r="13898" spans="1:22" s="1192" customFormat="1" ht="14.4" x14ac:dyDescent="0.3">
      <c r="A13898" s="1192" t="s">
        <v>206</v>
      </c>
      <c r="E13898" s="2007" t="s">
        <v>4289</v>
      </c>
      <c r="F13898" s="1741"/>
      <c r="G13898" s="1273" t="s">
        <v>19</v>
      </c>
      <c r="H13898" s="1218">
        <v>0.31</v>
      </c>
      <c r="K13898" s="1192" t="s">
        <v>2736</v>
      </c>
      <c r="L13898" s="1192" t="s">
        <v>430</v>
      </c>
      <c r="P13898" s="1192" t="s">
        <v>6710</v>
      </c>
      <c r="V13898" s="1192">
        <v>146</v>
      </c>
    </row>
    <row r="13899" spans="1:22" s="1192" customFormat="1" ht="14.4" x14ac:dyDescent="0.3">
      <c r="A13899" s="1192" t="s">
        <v>206</v>
      </c>
      <c r="E13899" s="2007" t="s">
        <v>2426</v>
      </c>
      <c r="F13899" s="2007"/>
      <c r="G13899" s="1273" t="s">
        <v>29</v>
      </c>
      <c r="H13899" s="1219">
        <v>28.637899999999998</v>
      </c>
      <c r="K13899" s="1192" t="s">
        <v>2736</v>
      </c>
      <c r="L13899" s="1192" t="s">
        <v>430</v>
      </c>
      <c r="P13899" s="1192" t="s">
        <v>2738</v>
      </c>
      <c r="V13899" s="1192">
        <v>29</v>
      </c>
    </row>
    <row r="13900" spans="1:22" s="1192" customFormat="1" ht="14.4" x14ac:dyDescent="0.3">
      <c r="A13900" s="1192" t="s">
        <v>206</v>
      </c>
      <c r="E13900" s="2007" t="s">
        <v>14</v>
      </c>
      <c r="F13900" s="2007"/>
      <c r="G13900" s="1273" t="s">
        <v>29</v>
      </c>
      <c r="H13900" s="562">
        <v>0.78559999999999997</v>
      </c>
      <c r="K13900" s="1192" t="s">
        <v>2736</v>
      </c>
      <c r="L13900" s="1192" t="s">
        <v>431</v>
      </c>
      <c r="P13900" s="1192" t="s">
        <v>2739</v>
      </c>
      <c r="V13900" s="1192">
        <v>24</v>
      </c>
    </row>
    <row r="13901" spans="1:22" s="1192" customFormat="1" ht="14.4" x14ac:dyDescent="0.3">
      <c r="A13901" s="1192" t="s">
        <v>206</v>
      </c>
      <c r="E13901" s="2007" t="s">
        <v>4289</v>
      </c>
      <c r="F13901" s="1741"/>
      <c r="G13901" s="1273" t="s">
        <v>29</v>
      </c>
      <c r="H13901" s="562">
        <v>1.1605000000000001</v>
      </c>
      <c r="K13901" s="1192" t="s">
        <v>2736</v>
      </c>
      <c r="L13901" s="1192" t="s">
        <v>430</v>
      </c>
      <c r="P13901" s="1192" t="s">
        <v>6711</v>
      </c>
      <c r="V13901" s="1192">
        <v>146</v>
      </c>
    </row>
    <row r="13902" spans="1:22" s="1192" customFormat="1" ht="14.4" x14ac:dyDescent="0.3">
      <c r="A13902" s="1192" t="s">
        <v>206</v>
      </c>
      <c r="E13902" s="2007" t="s">
        <v>213</v>
      </c>
      <c r="F13902" s="2007"/>
      <c r="G13902" s="1273" t="s">
        <v>29</v>
      </c>
      <c r="H13902" s="1219">
        <v>1.9957</v>
      </c>
      <c r="K13902" s="1192" t="s">
        <v>2736</v>
      </c>
      <c r="L13902" s="1192" t="s">
        <v>432</v>
      </c>
      <c r="P13902" s="1192" t="s">
        <v>2741</v>
      </c>
      <c r="V13902" s="1192">
        <v>47</v>
      </c>
    </row>
    <row r="13903" spans="1:22" s="1192" customFormat="1" ht="14.4" x14ac:dyDescent="0.3">
      <c r="A13903" s="1192" t="s">
        <v>206</v>
      </c>
      <c r="E13903" s="2007" t="s">
        <v>209</v>
      </c>
      <c r="F13903" s="2007"/>
      <c r="G13903" s="1273" t="s">
        <v>29</v>
      </c>
      <c r="H13903" s="1219">
        <v>1.5209999999999999</v>
      </c>
      <c r="K13903" s="1192" t="s">
        <v>2736</v>
      </c>
      <c r="L13903" s="1192" t="s">
        <v>432</v>
      </c>
      <c r="P13903" s="1192" t="s">
        <v>2742</v>
      </c>
      <c r="V13903" s="1192">
        <v>74</v>
      </c>
    </row>
    <row r="13904" spans="1:22" s="1192" customFormat="1" ht="14.4" x14ac:dyDescent="0.3">
      <c r="A13904" s="1192" t="s">
        <v>206</v>
      </c>
      <c r="E13904" s="2054" t="s">
        <v>2405</v>
      </c>
      <c r="F13904" s="1741"/>
      <c r="G13904" s="1273"/>
      <c r="H13904" s="867"/>
      <c r="K13904" s="1192" t="s">
        <v>2438</v>
      </c>
      <c r="V13904" s="1192">
        <v>48</v>
      </c>
    </row>
    <row r="13905" spans="1:22" s="1192" customFormat="1" ht="14.4" x14ac:dyDescent="0.3">
      <c r="A13905" s="1192" t="s">
        <v>206</v>
      </c>
      <c r="E13905" s="2007" t="s">
        <v>2033</v>
      </c>
      <c r="F13905" s="2007"/>
      <c r="G13905" s="578" t="s">
        <v>20</v>
      </c>
      <c r="H13905" s="564">
        <v>3.0000000000000001E-3</v>
      </c>
      <c r="K13905" s="1192" t="s">
        <v>2736</v>
      </c>
      <c r="L13905" s="1192" t="s">
        <v>2374</v>
      </c>
      <c r="P13905" s="1192" t="s">
        <v>2743</v>
      </c>
      <c r="V13905" s="1192">
        <v>55</v>
      </c>
    </row>
    <row r="13906" spans="1:22" s="1192" customFormat="1" ht="14.4" x14ac:dyDescent="0.3">
      <c r="A13906" s="1192" t="s">
        <v>206</v>
      </c>
      <c r="E13906" s="2007" t="s">
        <v>2034</v>
      </c>
      <c r="F13906" s="2007"/>
      <c r="G13906" s="578" t="s">
        <v>20</v>
      </c>
      <c r="H13906" s="564">
        <v>4.0000000000000002E-4</v>
      </c>
      <c r="K13906" s="1192" t="s">
        <v>2736</v>
      </c>
      <c r="L13906" s="1192" t="s">
        <v>2374</v>
      </c>
      <c r="P13906" s="1192" t="s">
        <v>2743</v>
      </c>
      <c r="V13906" s="1192">
        <v>65</v>
      </c>
    </row>
    <row r="13907" spans="1:22" s="1192" customFormat="1" ht="14.4" x14ac:dyDescent="0.3">
      <c r="A13907" s="1192" t="s">
        <v>206</v>
      </c>
      <c r="E13907" s="2007" t="s">
        <v>428</v>
      </c>
      <c r="F13907" s="2007"/>
      <c r="G13907" s="578" t="s">
        <v>20</v>
      </c>
      <c r="H13907" s="564">
        <v>5.0000000000000001E-4</v>
      </c>
      <c r="K13907" s="1192" t="s">
        <v>2736</v>
      </c>
      <c r="L13907" s="1192" t="s">
        <v>2374</v>
      </c>
      <c r="P13907" s="1192" t="s">
        <v>2744</v>
      </c>
      <c r="V13907" s="1192">
        <v>57</v>
      </c>
    </row>
    <row r="13908" spans="1:22" s="1192" customFormat="1" ht="14.4" x14ac:dyDescent="0.3">
      <c r="A13908" s="1192" t="s">
        <v>206</v>
      </c>
      <c r="E13908" s="2007" t="s">
        <v>28</v>
      </c>
      <c r="F13908" s="2007"/>
      <c r="G13908" s="578" t="s">
        <v>19</v>
      </c>
      <c r="H13908" s="579">
        <v>0.25</v>
      </c>
      <c r="K13908" s="1192" t="s">
        <v>2736</v>
      </c>
      <c r="L13908" s="1192" t="s">
        <v>2374</v>
      </c>
      <c r="P13908" s="1192" t="s">
        <v>2745</v>
      </c>
      <c r="V13908" s="1192">
        <v>63</v>
      </c>
    </row>
    <row r="13909" spans="1:22" s="1192" customFormat="1" ht="17.399999999999999" x14ac:dyDescent="0.3">
      <c r="A13909" s="1192" t="s">
        <v>206</v>
      </c>
      <c r="E13909" s="2051" t="s">
        <v>590</v>
      </c>
      <c r="F13909" s="2051"/>
      <c r="G13909" s="2051"/>
      <c r="H13909" s="2057"/>
      <c r="K13909" s="1192" t="s">
        <v>2746</v>
      </c>
      <c r="V13909" s="1192">
        <v>38</v>
      </c>
    </row>
    <row r="13910" spans="1:22" s="1192" customFormat="1" ht="14.4" x14ac:dyDescent="0.3">
      <c r="A13910" s="1192" t="s">
        <v>206</v>
      </c>
      <c r="E13910" s="2192" t="s">
        <v>3608</v>
      </c>
      <c r="F13910" s="2192"/>
      <c r="G13910" s="2192"/>
      <c r="H13910" s="2192"/>
      <c r="K13910" s="1192" t="s">
        <v>2746</v>
      </c>
      <c r="V13910" s="1192">
        <v>488</v>
      </c>
    </row>
    <row r="13911" spans="1:22" s="1192" customFormat="1" ht="14.4" x14ac:dyDescent="0.3">
      <c r="A13911" s="1192" t="s">
        <v>206</v>
      </c>
      <c r="E13911" s="2111" t="s">
        <v>2389</v>
      </c>
      <c r="F13911" s="1988"/>
      <c r="G13911" s="1988"/>
      <c r="H13911" s="1988"/>
      <c r="K13911" s="1192" t="s">
        <v>2444</v>
      </c>
      <c r="V13911" s="1192">
        <v>11</v>
      </c>
    </row>
    <row r="13912" spans="1:22" s="1192" customFormat="1" ht="14.4" x14ac:dyDescent="0.3">
      <c r="A13912" s="1192" t="s">
        <v>206</v>
      </c>
      <c r="E13912" s="2192" t="s">
        <v>2391</v>
      </c>
      <c r="F13912" s="2192"/>
      <c r="G13912" s="2192"/>
      <c r="H13912" s="2192"/>
      <c r="K13912" s="1192" t="s">
        <v>2746</v>
      </c>
      <c r="V13912" s="1192">
        <v>280</v>
      </c>
    </row>
    <row r="13913" spans="1:22" s="1192" customFormat="1" ht="14.4" x14ac:dyDescent="0.3">
      <c r="A13913" s="1192" t="s">
        <v>206</v>
      </c>
      <c r="E13913" s="2263" t="s">
        <v>2392</v>
      </c>
      <c r="F13913" s="2263"/>
      <c r="G13913" s="2263"/>
      <c r="H13913" s="2263"/>
      <c r="K13913" s="1192" t="s">
        <v>2746</v>
      </c>
      <c r="V13913" s="1192">
        <v>411</v>
      </c>
    </row>
    <row r="13914" spans="1:22" s="1192" customFormat="1" ht="14.4" x14ac:dyDescent="0.3">
      <c r="A13914" s="1192" t="s">
        <v>206</v>
      </c>
      <c r="E13914" s="2261" t="s">
        <v>2508</v>
      </c>
      <c r="F13914" s="2261"/>
      <c r="G13914" s="2261"/>
      <c r="H13914" s="2261"/>
      <c r="K13914" s="1192" t="s">
        <v>2746</v>
      </c>
      <c r="V13914" s="1192">
        <v>386</v>
      </c>
    </row>
    <row r="13915" spans="1:22" s="1192" customFormat="1" ht="14.4" x14ac:dyDescent="0.3">
      <c r="A13915" s="1192" t="s">
        <v>206</v>
      </c>
      <c r="E13915" s="2262" t="s">
        <v>2986</v>
      </c>
      <c r="F13915" s="2262"/>
      <c r="G13915" s="2262"/>
      <c r="H13915" s="2262"/>
      <c r="K13915" s="1192" t="s">
        <v>2746</v>
      </c>
      <c r="V13915" s="1192">
        <v>246</v>
      </c>
    </row>
    <row r="13916" spans="1:22" s="1192" customFormat="1" ht="14.4" x14ac:dyDescent="0.3">
      <c r="A13916" s="1192" t="s">
        <v>206</v>
      </c>
      <c r="E13916" s="2111" t="s">
        <v>2394</v>
      </c>
      <c r="F13916" s="1988"/>
      <c r="G13916" s="1988"/>
      <c r="H13916" s="1988"/>
      <c r="K13916" s="1192" t="s">
        <v>2446</v>
      </c>
      <c r="V13916" s="1192">
        <v>46</v>
      </c>
    </row>
    <row r="13917" spans="1:22" s="1192" customFormat="1" ht="14.4" x14ac:dyDescent="0.3">
      <c r="A13917" s="1192" t="s">
        <v>206</v>
      </c>
      <c r="E13917" s="2007" t="s">
        <v>3607</v>
      </c>
      <c r="F13917" s="2007"/>
      <c r="G13917" s="1273" t="s">
        <v>19</v>
      </c>
      <c r="H13917" s="1218">
        <v>1.68</v>
      </c>
      <c r="K13917" s="1192" t="s">
        <v>2746</v>
      </c>
      <c r="L13917" s="1192" t="s">
        <v>430</v>
      </c>
      <c r="P13917" s="1192" t="s">
        <v>2747</v>
      </c>
      <c r="V13917" s="1192">
        <v>39</v>
      </c>
    </row>
    <row r="13918" spans="1:22" s="1192" customFormat="1" ht="14.4" x14ac:dyDescent="0.3">
      <c r="A13918" s="1192" t="s">
        <v>206</v>
      </c>
      <c r="E13918" s="2007" t="s">
        <v>4289</v>
      </c>
      <c r="F13918" s="1741"/>
      <c r="G13918" s="1273" t="s">
        <v>19</v>
      </c>
      <c r="H13918" s="1218">
        <v>7.0000000000000007E-2</v>
      </c>
      <c r="K13918" s="1192" t="s">
        <v>2746</v>
      </c>
      <c r="L13918" s="1192" t="s">
        <v>430</v>
      </c>
      <c r="P13918" s="1192" t="s">
        <v>6712</v>
      </c>
      <c r="V13918" s="1192">
        <v>146</v>
      </c>
    </row>
    <row r="13919" spans="1:22" s="1192" customFormat="1" ht="14.4" x14ac:dyDescent="0.3">
      <c r="A13919" s="1192" t="s">
        <v>206</v>
      </c>
      <c r="E13919" s="2007" t="s">
        <v>2426</v>
      </c>
      <c r="F13919" s="2007"/>
      <c r="G13919" s="1273" t="s">
        <v>29</v>
      </c>
      <c r="H13919" s="1219">
        <v>1.8527</v>
      </c>
      <c r="K13919" s="1192" t="s">
        <v>2746</v>
      </c>
      <c r="L13919" s="1192" t="s">
        <v>430</v>
      </c>
      <c r="P13919" s="1192" t="s">
        <v>2748</v>
      </c>
      <c r="V13919" s="1192">
        <v>29</v>
      </c>
    </row>
    <row r="13920" spans="1:22" s="1192" customFormat="1" ht="14.4" x14ac:dyDescent="0.3">
      <c r="A13920" s="1192" t="s">
        <v>206</v>
      </c>
      <c r="E13920" s="2007" t="s">
        <v>14</v>
      </c>
      <c r="F13920" s="2007"/>
      <c r="G13920" s="1273" t="s">
        <v>29</v>
      </c>
      <c r="H13920" s="562">
        <v>0.76949999999999996</v>
      </c>
      <c r="K13920" s="1192" t="s">
        <v>2746</v>
      </c>
      <c r="L13920" s="1192" t="s">
        <v>431</v>
      </c>
      <c r="P13920" s="1192" t="s">
        <v>2749</v>
      </c>
      <c r="V13920" s="1192">
        <v>24</v>
      </c>
    </row>
    <row r="13921" spans="1:22" s="1192" customFormat="1" ht="14.4" x14ac:dyDescent="0.3">
      <c r="A13921" s="1192" t="s">
        <v>206</v>
      </c>
      <c r="E13921" s="2007" t="s">
        <v>4290</v>
      </c>
      <c r="F13921" s="1741"/>
      <c r="G13921" s="1273" t="s">
        <v>29</v>
      </c>
      <c r="H13921" s="562">
        <v>7.51E-2</v>
      </c>
      <c r="K13921" s="1192" t="s">
        <v>2746</v>
      </c>
      <c r="L13921" s="1192" t="s">
        <v>430</v>
      </c>
      <c r="P13921" s="1192" t="s">
        <v>6713</v>
      </c>
      <c r="V13921" s="1192">
        <v>145</v>
      </c>
    </row>
    <row r="13922" spans="1:22" s="1192" customFormat="1" ht="14.4" x14ac:dyDescent="0.3">
      <c r="A13922" s="1192" t="s">
        <v>206</v>
      </c>
      <c r="E13922" s="2007" t="s">
        <v>213</v>
      </c>
      <c r="F13922" s="2007"/>
      <c r="G13922" s="1273" t="s">
        <v>29</v>
      </c>
      <c r="H13922" s="1219">
        <v>1.9856</v>
      </c>
      <c r="K13922" s="1192" t="s">
        <v>2746</v>
      </c>
      <c r="L13922" s="1192" t="s">
        <v>432</v>
      </c>
      <c r="P13922" s="1192" t="s">
        <v>2751</v>
      </c>
      <c r="V13922" s="1192">
        <v>47</v>
      </c>
    </row>
    <row r="13923" spans="1:22" s="1192" customFormat="1" ht="14.4" x14ac:dyDescent="0.3">
      <c r="A13923" s="1192" t="s">
        <v>206</v>
      </c>
      <c r="E13923" s="2007" t="s">
        <v>209</v>
      </c>
      <c r="F13923" s="2007"/>
      <c r="G13923" s="1273" t="s">
        <v>29</v>
      </c>
      <c r="H13923" s="1219">
        <v>1.4901</v>
      </c>
      <c r="K13923" s="1192" t="s">
        <v>2746</v>
      </c>
      <c r="L13923" s="1192" t="s">
        <v>432</v>
      </c>
      <c r="P13923" s="1192" t="s">
        <v>2752</v>
      </c>
      <c r="V13923" s="1192">
        <v>74</v>
      </c>
    </row>
    <row r="13924" spans="1:22" s="1192" customFormat="1" ht="14.4" x14ac:dyDescent="0.3">
      <c r="A13924" s="1192" t="s">
        <v>206</v>
      </c>
      <c r="E13924" s="2054" t="s">
        <v>2405</v>
      </c>
      <c r="F13924" s="1741"/>
      <c r="G13924" s="1273"/>
      <c r="H13924" s="867"/>
      <c r="K13924" s="1192" t="s">
        <v>2565</v>
      </c>
      <c r="V13924" s="1192">
        <v>48</v>
      </c>
    </row>
    <row r="13925" spans="1:22" s="1192" customFormat="1" ht="14.4" x14ac:dyDescent="0.3">
      <c r="A13925" s="1192" t="s">
        <v>206</v>
      </c>
      <c r="E13925" s="2007" t="s">
        <v>2033</v>
      </c>
      <c r="F13925" s="2007"/>
      <c r="G13925" s="578" t="s">
        <v>20</v>
      </c>
      <c r="H13925" s="564">
        <v>3.0000000000000001E-3</v>
      </c>
      <c r="K13925" s="1192" t="s">
        <v>2746</v>
      </c>
      <c r="L13925" s="1192" t="s">
        <v>2374</v>
      </c>
      <c r="P13925" s="1192" t="s">
        <v>2753</v>
      </c>
      <c r="V13925" s="1192">
        <v>55</v>
      </c>
    </row>
    <row r="13926" spans="1:22" s="1192" customFormat="1" ht="14.4" x14ac:dyDescent="0.3">
      <c r="A13926" s="1192" t="s">
        <v>206</v>
      </c>
      <c r="E13926" s="2007" t="s">
        <v>2034</v>
      </c>
      <c r="F13926" s="2007"/>
      <c r="G13926" s="578" t="s">
        <v>20</v>
      </c>
      <c r="H13926" s="564">
        <v>4.0000000000000002E-4</v>
      </c>
      <c r="K13926" s="1192" t="s">
        <v>2746</v>
      </c>
      <c r="L13926" s="1192" t="s">
        <v>2374</v>
      </c>
      <c r="P13926" s="1192" t="s">
        <v>2753</v>
      </c>
      <c r="V13926" s="1192">
        <v>65</v>
      </c>
    </row>
    <row r="13927" spans="1:22" s="1192" customFormat="1" ht="14.4" x14ac:dyDescent="0.3">
      <c r="A13927" s="1192" t="s">
        <v>206</v>
      </c>
      <c r="E13927" s="2007" t="s">
        <v>428</v>
      </c>
      <c r="F13927" s="2007"/>
      <c r="G13927" s="578" t="s">
        <v>20</v>
      </c>
      <c r="H13927" s="564">
        <v>5.0000000000000001E-4</v>
      </c>
      <c r="K13927" s="1192" t="s">
        <v>2746</v>
      </c>
      <c r="L13927" s="1192" t="s">
        <v>2374</v>
      </c>
      <c r="P13927" s="1192" t="s">
        <v>2754</v>
      </c>
      <c r="V13927" s="1192">
        <v>57</v>
      </c>
    </row>
    <row r="13928" spans="1:22" s="1192" customFormat="1" ht="14.4" x14ac:dyDescent="0.3">
      <c r="A13928" s="1192" t="s">
        <v>206</v>
      </c>
      <c r="E13928" s="2007" t="s">
        <v>28</v>
      </c>
      <c r="F13928" s="2007"/>
      <c r="G13928" s="578" t="s">
        <v>19</v>
      </c>
      <c r="H13928" s="579">
        <v>0.25</v>
      </c>
      <c r="K13928" s="1192" t="s">
        <v>2746</v>
      </c>
      <c r="L13928" s="1192" t="s">
        <v>2374</v>
      </c>
      <c r="P13928" s="1192" t="s">
        <v>2755</v>
      </c>
      <c r="V13928" s="1192">
        <v>63</v>
      </c>
    </row>
    <row r="13929" spans="1:22" s="1192" customFormat="1" ht="17.399999999999999" x14ac:dyDescent="0.3">
      <c r="A13929" s="1192" t="s">
        <v>206</v>
      </c>
      <c r="E13929" s="2264" t="s">
        <v>593</v>
      </c>
      <c r="F13929" s="1987"/>
      <c r="G13929" s="1987"/>
      <c r="H13929" s="1987"/>
      <c r="K13929" s="1192" t="s">
        <v>2756</v>
      </c>
      <c r="V13929" s="1192">
        <v>31</v>
      </c>
    </row>
    <row r="13930" spans="1:22" s="1192" customFormat="1" ht="14.4" x14ac:dyDescent="0.3">
      <c r="A13930" s="1192" t="s">
        <v>206</v>
      </c>
      <c r="E13930" s="2192" t="s">
        <v>2699</v>
      </c>
      <c r="F13930" s="2192"/>
      <c r="G13930" s="2192"/>
      <c r="H13930" s="2192"/>
      <c r="K13930" s="1192" t="s">
        <v>2756</v>
      </c>
      <c r="V13930" s="1192">
        <v>285</v>
      </c>
    </row>
    <row r="13931" spans="1:22" s="1192" customFormat="1" ht="14.4" x14ac:dyDescent="0.3">
      <c r="A13931" s="1192" t="s">
        <v>206</v>
      </c>
      <c r="E13931" s="2111" t="s">
        <v>2389</v>
      </c>
      <c r="F13931" s="1988"/>
      <c r="G13931" s="1988"/>
      <c r="H13931" s="1988"/>
      <c r="K13931" s="1192" t="s">
        <v>2571</v>
      </c>
      <c r="V13931" s="1192">
        <v>11</v>
      </c>
    </row>
    <row r="13932" spans="1:22" s="1192" customFormat="1" ht="14.4" x14ac:dyDescent="0.3">
      <c r="A13932" s="1192" t="s">
        <v>206</v>
      </c>
      <c r="E13932" s="2192" t="s">
        <v>2391</v>
      </c>
      <c r="F13932" s="2192"/>
      <c r="G13932" s="2192"/>
      <c r="H13932" s="2192"/>
      <c r="K13932" s="1192" t="s">
        <v>2756</v>
      </c>
      <c r="V13932" s="1192">
        <v>280</v>
      </c>
    </row>
    <row r="13933" spans="1:22" s="1192" customFormat="1" ht="14.4" x14ac:dyDescent="0.3">
      <c r="A13933" s="1192" t="s">
        <v>206</v>
      </c>
      <c r="E13933" s="2192" t="s">
        <v>3161</v>
      </c>
      <c r="F13933" s="2192"/>
      <c r="G13933" s="2192"/>
      <c r="H13933" s="2192"/>
      <c r="K13933" s="1192" t="s">
        <v>2756</v>
      </c>
      <c r="V13933" s="1192">
        <v>411</v>
      </c>
    </row>
    <row r="13934" spans="1:22" s="1192" customFormat="1" ht="14.4" x14ac:dyDescent="0.3">
      <c r="A13934" s="1192" t="s">
        <v>206</v>
      </c>
      <c r="E13934" s="2192" t="s">
        <v>3513</v>
      </c>
      <c r="F13934" s="2192"/>
      <c r="G13934" s="2192"/>
      <c r="H13934" s="2192"/>
      <c r="K13934" s="1192" t="s">
        <v>2756</v>
      </c>
      <c r="V13934" s="1192">
        <v>212</v>
      </c>
    </row>
    <row r="13935" spans="1:22" s="1192" customFormat="1" ht="14.4" x14ac:dyDescent="0.3">
      <c r="A13935" s="1192" t="s">
        <v>206</v>
      </c>
      <c r="E13935" s="2192" t="s">
        <v>4755</v>
      </c>
      <c r="F13935" s="2192"/>
      <c r="G13935" s="2192"/>
      <c r="H13935" s="2192"/>
      <c r="K13935" s="1192" t="s">
        <v>2756</v>
      </c>
      <c r="V13935" s="1192">
        <v>238</v>
      </c>
    </row>
    <row r="13936" spans="1:22" s="1192" customFormat="1" ht="14.4" x14ac:dyDescent="0.3">
      <c r="A13936" s="1192" t="s">
        <v>206</v>
      </c>
      <c r="E13936" s="2265" t="s">
        <v>2394</v>
      </c>
      <c r="F13936" s="1988"/>
      <c r="G13936" s="1988"/>
      <c r="H13936" s="1988"/>
      <c r="K13936" s="1192" t="s">
        <v>2572</v>
      </c>
      <c r="V13936" s="1192">
        <v>46</v>
      </c>
    </row>
    <row r="13937" spans="1:22" s="1192" customFormat="1" ht="14.4" x14ac:dyDescent="0.3">
      <c r="A13937" s="1192" t="s">
        <v>206</v>
      </c>
      <c r="E13937" s="2007" t="s">
        <v>348</v>
      </c>
      <c r="F13937" s="2007"/>
      <c r="G13937" s="1273" t="s">
        <v>19</v>
      </c>
      <c r="H13937" s="577">
        <v>15.69</v>
      </c>
      <c r="K13937" s="1192" t="s">
        <v>2756</v>
      </c>
      <c r="L13937" s="1192" t="s">
        <v>430</v>
      </c>
      <c r="P13937" s="1192" t="s">
        <v>2757</v>
      </c>
      <c r="V13937" s="1192">
        <v>22</v>
      </c>
    </row>
    <row r="13938" spans="1:22" s="1192" customFormat="1" ht="17.399999999999999" x14ac:dyDescent="0.3">
      <c r="A13938" s="1192" t="s">
        <v>206</v>
      </c>
      <c r="E13938" s="1285" t="s">
        <v>81</v>
      </c>
      <c r="F13938" s="581"/>
      <c r="G13938" s="581"/>
      <c r="H13938" s="900"/>
      <c r="K13938" s="1192" t="s">
        <v>3609</v>
      </c>
      <c r="V13938" s="1192">
        <v>10</v>
      </c>
    </row>
    <row r="13939" spans="1:22" s="1192" customFormat="1" ht="14.4" x14ac:dyDescent="0.3">
      <c r="A13939" s="1192" t="s">
        <v>206</v>
      </c>
      <c r="E13939" s="2007" t="s">
        <v>2449</v>
      </c>
      <c r="F13939" s="2007"/>
      <c r="G13939" s="582" t="s">
        <v>29</v>
      </c>
      <c r="H13939" s="564">
        <v>-0.6</v>
      </c>
      <c r="V13939" s="1192">
        <v>68</v>
      </c>
    </row>
    <row r="13940" spans="1:22" s="1192" customFormat="1" ht="14.4" x14ac:dyDescent="0.3">
      <c r="A13940" s="1192" t="s">
        <v>206</v>
      </c>
      <c r="E13940" s="2007" t="s">
        <v>2450</v>
      </c>
      <c r="F13940" s="2007"/>
      <c r="G13940" s="582" t="s">
        <v>82</v>
      </c>
      <c r="H13940" s="577">
        <v>-1</v>
      </c>
      <c r="V13940" s="1192">
        <v>87</v>
      </c>
    </row>
    <row r="13941" spans="1:22" s="1192" customFormat="1" ht="17.399999999999999" x14ac:dyDescent="0.3">
      <c r="A13941" s="1192" t="s">
        <v>206</v>
      </c>
      <c r="E13941" s="1285" t="s">
        <v>83</v>
      </c>
      <c r="F13941" s="581"/>
      <c r="G13941" s="581"/>
      <c r="H13941" s="952"/>
      <c r="K13941" s="1192" t="s">
        <v>3610</v>
      </c>
      <c r="V13941" s="1192">
        <v>24</v>
      </c>
    </row>
    <row r="13942" spans="1:22" s="1192" customFormat="1" ht="14.4" x14ac:dyDescent="0.3">
      <c r="A13942" s="1192" t="s">
        <v>206</v>
      </c>
      <c r="E13942" s="2105" t="s">
        <v>2389</v>
      </c>
      <c r="F13942" s="1743"/>
      <c r="G13942" s="1743"/>
      <c r="H13942" s="1743"/>
      <c r="V13942" s="1192">
        <v>11</v>
      </c>
    </row>
    <row r="13943" spans="1:22" s="1192" customFormat="1" ht="14.4" x14ac:dyDescent="0.3">
      <c r="A13943" s="1192" t="s">
        <v>206</v>
      </c>
      <c r="E13943" s="2106" t="s">
        <v>2391</v>
      </c>
      <c r="F13943" s="2106"/>
      <c r="G13943" s="2106"/>
      <c r="H13943" s="2107"/>
      <c r="V13943" s="1192">
        <v>280</v>
      </c>
    </row>
    <row r="13944" spans="1:22" s="1192" customFormat="1" ht="14.4" x14ac:dyDescent="0.3">
      <c r="A13944" s="1192" t="s">
        <v>206</v>
      </c>
      <c r="E13944" s="2106" t="s">
        <v>2452</v>
      </c>
      <c r="F13944" s="2106"/>
      <c r="G13944" s="2106"/>
      <c r="H13944" s="2107"/>
      <c r="V13944" s="1192">
        <v>353</v>
      </c>
    </row>
    <row r="13945" spans="1:22" s="1192" customFormat="1" ht="14.4" x14ac:dyDescent="0.3">
      <c r="A13945" s="1192" t="s">
        <v>206</v>
      </c>
      <c r="E13945" s="2106" t="s">
        <v>2986</v>
      </c>
      <c r="F13945" s="2106"/>
      <c r="G13945" s="2106"/>
      <c r="H13945" s="2107"/>
      <c r="V13945" s="1192">
        <v>246</v>
      </c>
    </row>
    <row r="13946" spans="1:22" s="1192" customFormat="1" ht="14.4" x14ac:dyDescent="0.3">
      <c r="A13946" s="1192" t="s">
        <v>206</v>
      </c>
      <c r="E13946" s="1299" t="s">
        <v>2453</v>
      </c>
      <c r="F13946" s="587"/>
      <c r="G13946" s="587"/>
      <c r="H13946" s="909"/>
      <c r="K13946" s="1192" t="s">
        <v>3611</v>
      </c>
      <c r="V13946" s="1192">
        <v>23</v>
      </c>
    </row>
    <row r="13947" spans="1:22" s="1192" customFormat="1" ht="14.4" x14ac:dyDescent="0.3">
      <c r="A13947" s="1192" t="s">
        <v>206</v>
      </c>
      <c r="E13947" s="2031" t="s">
        <v>2462</v>
      </c>
      <c r="F13947" s="1942"/>
      <c r="G13947" s="1273" t="s">
        <v>19</v>
      </c>
      <c r="H13947" s="577">
        <v>15</v>
      </c>
      <c r="V13947" s="1192">
        <v>19</v>
      </c>
    </row>
    <row r="13948" spans="1:22" s="1192" customFormat="1" ht="14.4" x14ac:dyDescent="0.3">
      <c r="A13948" s="1192" t="s">
        <v>206</v>
      </c>
      <c r="E13948" s="2031" t="s">
        <v>2463</v>
      </c>
      <c r="F13948" s="1942"/>
      <c r="G13948" s="1273" t="s">
        <v>19</v>
      </c>
      <c r="H13948" s="577">
        <v>15</v>
      </c>
      <c r="V13948" s="1192">
        <v>15</v>
      </c>
    </row>
    <row r="13949" spans="1:22" s="1192" customFormat="1" ht="14.4" x14ac:dyDescent="0.3">
      <c r="A13949" s="1192" t="s">
        <v>206</v>
      </c>
      <c r="E13949" s="2031" t="s">
        <v>119</v>
      </c>
      <c r="F13949" s="1942"/>
      <c r="G13949" s="1273" t="s">
        <v>19</v>
      </c>
      <c r="H13949" s="577">
        <v>15</v>
      </c>
      <c r="V13949" s="1192">
        <v>35</v>
      </c>
    </row>
    <row r="13950" spans="1:22" s="1192" customFormat="1" ht="14.4" x14ac:dyDescent="0.3">
      <c r="A13950" s="1192" t="s">
        <v>206</v>
      </c>
      <c r="E13950" s="2031" t="s">
        <v>2467</v>
      </c>
      <c r="F13950" s="1942"/>
      <c r="G13950" s="1273" t="s">
        <v>19</v>
      </c>
      <c r="H13950" s="577">
        <v>15</v>
      </c>
      <c r="V13950" s="1192">
        <v>19</v>
      </c>
    </row>
    <row r="13951" spans="1:22" s="1192" customFormat="1" ht="14.4" x14ac:dyDescent="0.3">
      <c r="A13951" s="1192" t="s">
        <v>206</v>
      </c>
      <c r="E13951" s="2031" t="s">
        <v>84</v>
      </c>
      <c r="F13951" s="1942"/>
      <c r="G13951" s="1273" t="s">
        <v>19</v>
      </c>
      <c r="H13951" s="577">
        <v>30</v>
      </c>
      <c r="V13951" s="1192">
        <v>89</v>
      </c>
    </row>
    <row r="13952" spans="1:22" s="1192" customFormat="1" ht="14.4" x14ac:dyDescent="0.3">
      <c r="A13952" s="1192" t="s">
        <v>206</v>
      </c>
      <c r="E13952" s="2031" t="s">
        <v>90</v>
      </c>
      <c r="F13952" s="1942"/>
      <c r="G13952" s="1273" t="s">
        <v>19</v>
      </c>
      <c r="H13952" s="577">
        <v>30</v>
      </c>
      <c r="V13952" s="1192">
        <v>19</v>
      </c>
    </row>
    <row r="13953" spans="1:22" s="1192" customFormat="1" ht="14.4" x14ac:dyDescent="0.3">
      <c r="A13953" s="1192" t="s">
        <v>206</v>
      </c>
      <c r="E13953" s="2031" t="s">
        <v>88</v>
      </c>
      <c r="F13953" s="1942"/>
      <c r="G13953" s="1273" t="s">
        <v>19</v>
      </c>
      <c r="H13953" s="577">
        <v>30</v>
      </c>
      <c r="V13953" s="1192">
        <v>74</v>
      </c>
    </row>
    <row r="13954" spans="1:22" s="1192" customFormat="1" ht="14.4" x14ac:dyDescent="0.3">
      <c r="A13954" s="1192" t="s">
        <v>206</v>
      </c>
      <c r="E13954" s="1299" t="s">
        <v>4607</v>
      </c>
      <c r="F13954" s="587"/>
      <c r="G13954" s="587"/>
      <c r="H13954" s="915"/>
      <c r="V13954" s="1192">
        <v>39</v>
      </c>
    </row>
    <row r="13955" spans="1:22" s="1192" customFormat="1" ht="14.4" x14ac:dyDescent="0.3">
      <c r="A13955" s="1192" t="s">
        <v>206</v>
      </c>
      <c r="E13955" s="2031" t="s">
        <v>3918</v>
      </c>
      <c r="F13955" s="2031"/>
      <c r="G13955" s="1273"/>
      <c r="H13955" s="906"/>
      <c r="V13955" s="1192">
        <v>24</v>
      </c>
    </row>
    <row r="13956" spans="1:22" s="1192" customFormat="1" ht="14.4" x14ac:dyDescent="0.3">
      <c r="A13956" s="1192" t="s">
        <v>206</v>
      </c>
      <c r="E13956" s="2031" t="s">
        <v>6195</v>
      </c>
      <c r="F13956" s="2031"/>
      <c r="G13956" s="1273" t="s">
        <v>82</v>
      </c>
      <c r="H13956" s="577">
        <v>1.5</v>
      </c>
      <c r="V13956" s="1192">
        <v>74</v>
      </c>
    </row>
    <row r="13957" spans="1:22" s="1192" customFormat="1" ht="14.4" x14ac:dyDescent="0.3">
      <c r="A13957" s="1192" t="s">
        <v>206</v>
      </c>
      <c r="E13957" s="2031" t="s">
        <v>6106</v>
      </c>
      <c r="F13957" s="2031"/>
      <c r="G13957" s="1273" t="s">
        <v>19</v>
      </c>
      <c r="H13957" s="577">
        <v>65</v>
      </c>
      <c r="V13957" s="1192">
        <v>44</v>
      </c>
    </row>
    <row r="13958" spans="1:22" s="1192" customFormat="1" ht="14.4" x14ac:dyDescent="0.3">
      <c r="A13958" s="1192" t="s">
        <v>206</v>
      </c>
      <c r="E13958" s="2031" t="s">
        <v>6107</v>
      </c>
      <c r="F13958" s="2031"/>
      <c r="G13958" s="1273" t="s">
        <v>19</v>
      </c>
      <c r="H13958" s="577">
        <v>185</v>
      </c>
      <c r="V13958" s="1192">
        <v>43</v>
      </c>
    </row>
    <row r="13959" spans="1:22" s="1192" customFormat="1" ht="14.4" x14ac:dyDescent="0.3">
      <c r="A13959" s="1192" t="s">
        <v>206</v>
      </c>
      <c r="E13959" s="2031" t="s">
        <v>6108</v>
      </c>
      <c r="F13959" s="2031"/>
      <c r="G13959" s="1273" t="s">
        <v>19</v>
      </c>
      <c r="H13959" s="577">
        <v>185</v>
      </c>
      <c r="V13959" s="1192">
        <v>43</v>
      </c>
    </row>
    <row r="13960" spans="1:22" s="1192" customFormat="1" ht="14.4" x14ac:dyDescent="0.3">
      <c r="A13960" s="1192" t="s">
        <v>206</v>
      </c>
      <c r="E13960" s="2031" t="s">
        <v>6115</v>
      </c>
      <c r="F13960" s="2031"/>
      <c r="G13960" s="1273" t="s">
        <v>19</v>
      </c>
      <c r="H13960" s="577">
        <v>415</v>
      </c>
      <c r="V13960" s="1192">
        <v>42</v>
      </c>
    </row>
    <row r="13961" spans="1:22" s="1192" customFormat="1" ht="14.4" x14ac:dyDescent="0.3">
      <c r="A13961" s="1192" t="s">
        <v>206</v>
      </c>
      <c r="E13961" s="1352" t="s">
        <v>2474</v>
      </c>
      <c r="F13961" s="1267"/>
      <c r="G13961" s="601"/>
      <c r="H13961" s="907"/>
      <c r="V13961" s="1192">
        <v>5</v>
      </c>
    </row>
    <row r="13962" spans="1:22" s="1192" customFormat="1" ht="14.4" x14ac:dyDescent="0.3">
      <c r="A13962" s="1192" t="s">
        <v>206</v>
      </c>
      <c r="E13962" s="2031" t="s">
        <v>3399</v>
      </c>
      <c r="F13962" s="2031"/>
      <c r="G13962" s="1273" t="s">
        <v>19</v>
      </c>
      <c r="H13962" s="577">
        <v>50</v>
      </c>
      <c r="V13962" s="1192">
        <v>50</v>
      </c>
    </row>
    <row r="13963" spans="1:22" s="1192" customFormat="1" ht="14.4" x14ac:dyDescent="0.3">
      <c r="A13963" s="1192" t="s">
        <v>206</v>
      </c>
      <c r="E13963" s="2031" t="s">
        <v>2477</v>
      </c>
      <c r="F13963" s="2031"/>
      <c r="G13963" s="1273" t="s">
        <v>19</v>
      </c>
      <c r="H13963" s="577">
        <v>30</v>
      </c>
      <c r="V13963" s="1192">
        <v>39</v>
      </c>
    </row>
    <row r="13964" spans="1:22" s="1192" customFormat="1" ht="14.4" x14ac:dyDescent="0.3">
      <c r="A13964" s="1192" t="s">
        <v>206</v>
      </c>
      <c r="E13964" s="2031" t="s">
        <v>2841</v>
      </c>
      <c r="F13964" s="2031"/>
      <c r="G13964" s="1273" t="s">
        <v>19</v>
      </c>
      <c r="H13964" s="577">
        <v>165</v>
      </c>
      <c r="V13964" s="1192">
        <v>61</v>
      </c>
    </row>
    <row r="13965" spans="1:22" s="1192" customFormat="1" ht="14.4" x14ac:dyDescent="0.3">
      <c r="A13965" s="1192" t="s">
        <v>206</v>
      </c>
      <c r="E13965" s="2031" t="s">
        <v>2703</v>
      </c>
      <c r="F13965" s="2031"/>
      <c r="G13965" s="1273" t="s">
        <v>19</v>
      </c>
      <c r="H13965" s="577">
        <v>500</v>
      </c>
      <c r="V13965" s="1192">
        <v>64</v>
      </c>
    </row>
    <row r="13966" spans="1:22" s="1192" customFormat="1" ht="14.4" x14ac:dyDescent="0.3">
      <c r="A13966" s="1192" t="s">
        <v>206</v>
      </c>
      <c r="E13966" s="2031" t="s">
        <v>2760</v>
      </c>
      <c r="F13966" s="2031"/>
      <c r="G13966" s="1273" t="s">
        <v>19</v>
      </c>
      <c r="H13966" s="577">
        <v>44.5</v>
      </c>
      <c r="V13966" s="1192">
        <v>59</v>
      </c>
    </row>
    <row r="13967" spans="1:22" s="1192" customFormat="1" ht="14.4" x14ac:dyDescent="0.3">
      <c r="A13967" s="1192" t="s">
        <v>206</v>
      </c>
      <c r="E13967" s="2031" t="s">
        <v>2476</v>
      </c>
      <c r="F13967" s="1942"/>
      <c r="G13967" s="1273"/>
      <c r="H13967" s="906"/>
      <c r="V13967" s="1192">
        <v>44</v>
      </c>
    </row>
    <row r="13968" spans="1:22" s="1192" customFormat="1" ht="17.399999999999999" x14ac:dyDescent="0.3">
      <c r="A13968" s="1192" t="s">
        <v>206</v>
      </c>
      <c r="E13968" s="1285" t="s">
        <v>73</v>
      </c>
      <c r="F13968" s="581"/>
      <c r="G13968" s="581"/>
      <c r="H13968" s="952"/>
      <c r="K13968" s="1192" t="s">
        <v>3612</v>
      </c>
      <c r="V13968" s="1192">
        <v>38</v>
      </c>
    </row>
    <row r="13969" spans="1:22" s="1192" customFormat="1" ht="14.4" x14ac:dyDescent="0.3">
      <c r="A13969" s="1192" t="s">
        <v>206</v>
      </c>
      <c r="E13969" s="2106" t="s">
        <v>2391</v>
      </c>
      <c r="F13969" s="2106"/>
      <c r="G13969" s="2106"/>
      <c r="H13969" s="2107"/>
      <c r="V13969" s="1192">
        <v>280</v>
      </c>
    </row>
    <row r="13970" spans="1:22" s="1192" customFormat="1" ht="14.4" x14ac:dyDescent="0.3">
      <c r="A13970" s="1192" t="s">
        <v>206</v>
      </c>
      <c r="E13970" s="2106" t="s">
        <v>2392</v>
      </c>
      <c r="F13970" s="2106"/>
      <c r="G13970" s="2106"/>
      <c r="H13970" s="2107"/>
      <c r="V13970" s="1192">
        <v>411</v>
      </c>
    </row>
    <row r="13971" spans="1:22" s="1192" customFormat="1" ht="14.4" x14ac:dyDescent="0.3">
      <c r="A13971" s="1192" t="s">
        <v>206</v>
      </c>
      <c r="E13971" s="2106" t="s">
        <v>2445</v>
      </c>
      <c r="F13971" s="2106"/>
      <c r="G13971" s="2106"/>
      <c r="H13971" s="2107"/>
      <c r="V13971" s="1192">
        <v>211</v>
      </c>
    </row>
    <row r="13972" spans="1:22" s="1192" customFormat="1" ht="14.4" x14ac:dyDescent="0.3">
      <c r="A13972" s="1192" t="s">
        <v>206</v>
      </c>
      <c r="E13972" s="2106" t="s">
        <v>2986</v>
      </c>
      <c r="F13972" s="2106"/>
      <c r="G13972" s="2106"/>
      <c r="H13972" s="2107"/>
      <c r="V13972" s="1192">
        <v>246</v>
      </c>
    </row>
    <row r="13973" spans="1:22" s="1192" customFormat="1" ht="14.4" x14ac:dyDescent="0.3">
      <c r="A13973" s="1192" t="s">
        <v>206</v>
      </c>
      <c r="E13973" s="2106" t="s">
        <v>2595</v>
      </c>
      <c r="F13973" s="2106"/>
      <c r="G13973" s="2106"/>
      <c r="H13973" s="2107"/>
      <c r="V13973" s="1192">
        <v>142</v>
      </c>
    </row>
    <row r="13974" spans="1:22" s="1192" customFormat="1" ht="14.4" x14ac:dyDescent="0.3">
      <c r="A13974" s="1192" t="s">
        <v>206</v>
      </c>
      <c r="E13974" s="2007" t="s">
        <v>2485</v>
      </c>
      <c r="F13974" s="2007"/>
      <c r="G13974" s="569" t="s">
        <v>19</v>
      </c>
      <c r="H13974" s="570">
        <v>102</v>
      </c>
      <c r="V13974" s="1192">
        <v>106</v>
      </c>
    </row>
    <row r="13975" spans="1:22" s="1192" customFormat="1" ht="14.4" x14ac:dyDescent="0.3">
      <c r="A13975" s="1192" t="s">
        <v>206</v>
      </c>
      <c r="E13975" s="2007" t="s">
        <v>3919</v>
      </c>
      <c r="F13975" s="2007"/>
      <c r="G13975" s="569" t="s">
        <v>19</v>
      </c>
      <c r="H13975" s="570">
        <v>40.799999999999997</v>
      </c>
      <c r="V13975" s="1192">
        <v>34</v>
      </c>
    </row>
    <row r="13976" spans="1:22" s="1192" customFormat="1" ht="14.4" x14ac:dyDescent="0.3">
      <c r="A13976" s="1192" t="s">
        <v>206</v>
      </c>
      <c r="E13976" s="2007" t="s">
        <v>3920</v>
      </c>
      <c r="F13976" s="2007"/>
      <c r="G13976" s="569" t="s">
        <v>2488</v>
      </c>
      <c r="H13976" s="570">
        <v>1.02</v>
      </c>
      <c r="V13976" s="1192">
        <v>51</v>
      </c>
    </row>
    <row r="13977" spans="1:22" s="1192" customFormat="1" ht="14.4" x14ac:dyDescent="0.3">
      <c r="A13977" s="1192" t="s">
        <v>206</v>
      </c>
      <c r="E13977" s="2007" t="s">
        <v>2489</v>
      </c>
      <c r="F13977" s="2007"/>
      <c r="G13977" s="569" t="s">
        <v>2488</v>
      </c>
      <c r="H13977" s="570">
        <v>0.61</v>
      </c>
      <c r="V13977" s="1192">
        <v>75</v>
      </c>
    </row>
    <row r="13978" spans="1:22" s="1192" customFormat="1" ht="14.4" x14ac:dyDescent="0.3">
      <c r="A13978" s="1192" t="s">
        <v>206</v>
      </c>
      <c r="E13978" s="2007" t="s">
        <v>2490</v>
      </c>
      <c r="F13978" s="2007"/>
      <c r="G13978" s="569" t="s">
        <v>2488</v>
      </c>
      <c r="H13978" s="570">
        <v>-0.61</v>
      </c>
      <c r="V13978" s="1192">
        <v>72</v>
      </c>
    </row>
    <row r="13979" spans="1:22" s="1192" customFormat="1" ht="14.4" x14ac:dyDescent="0.3">
      <c r="A13979" s="1192" t="s">
        <v>206</v>
      </c>
      <c r="E13979" s="2007" t="s">
        <v>2491</v>
      </c>
      <c r="F13979" s="2007"/>
      <c r="G13979" s="593"/>
      <c r="H13979" s="875"/>
      <c r="V13979" s="1192">
        <v>35</v>
      </c>
    </row>
    <row r="13980" spans="1:22" s="1192" customFormat="1" ht="14.4" x14ac:dyDescent="0.3">
      <c r="A13980" s="1192" t="s">
        <v>206</v>
      </c>
      <c r="E13980" s="2119" t="s">
        <v>2492</v>
      </c>
      <c r="F13980" s="2119"/>
      <c r="G13980" s="569" t="s">
        <v>19</v>
      </c>
      <c r="H13980" s="570">
        <v>0.51</v>
      </c>
      <c r="V13980" s="1192">
        <v>57</v>
      </c>
    </row>
    <row r="13981" spans="1:22" s="1192" customFormat="1" ht="14.4" x14ac:dyDescent="0.3">
      <c r="A13981" s="1192" t="s">
        <v>206</v>
      </c>
      <c r="E13981" s="2119" t="s">
        <v>2493</v>
      </c>
      <c r="F13981" s="2119"/>
      <c r="G13981" s="569" t="s">
        <v>19</v>
      </c>
      <c r="H13981" s="570">
        <v>1.02</v>
      </c>
      <c r="V13981" s="1192">
        <v>60</v>
      </c>
    </row>
    <row r="13982" spans="1:22" s="1192" customFormat="1" ht="14.4" x14ac:dyDescent="0.3">
      <c r="A13982" s="1192" t="s">
        <v>206</v>
      </c>
      <c r="E13982" s="2007" t="s">
        <v>2494</v>
      </c>
      <c r="F13982" s="2007"/>
      <c r="G13982" s="593"/>
      <c r="H13982" s="875"/>
      <c r="V13982" s="1192">
        <v>91</v>
      </c>
    </row>
    <row r="13983" spans="1:22" s="1192" customFormat="1" ht="14.4" x14ac:dyDescent="0.3">
      <c r="A13983" s="1192" t="s">
        <v>206</v>
      </c>
      <c r="E13983" s="2007" t="s">
        <v>2495</v>
      </c>
      <c r="F13983" s="2007"/>
      <c r="G13983" s="593"/>
      <c r="H13983" s="875"/>
      <c r="V13983" s="1192">
        <v>96</v>
      </c>
    </row>
    <row r="13984" spans="1:22" s="1192" customFormat="1" ht="14.4" x14ac:dyDescent="0.3">
      <c r="A13984" s="1192" t="s">
        <v>206</v>
      </c>
      <c r="E13984" s="2007" t="s">
        <v>2496</v>
      </c>
      <c r="F13984" s="2007"/>
      <c r="G13984" s="593"/>
      <c r="H13984" s="875"/>
      <c r="V13984" s="1192">
        <v>78</v>
      </c>
    </row>
    <row r="13985" spans="1:22" s="1192" customFormat="1" ht="14.4" x14ac:dyDescent="0.3">
      <c r="A13985" s="1192" t="s">
        <v>206</v>
      </c>
      <c r="E13985" s="2119" t="s">
        <v>2497</v>
      </c>
      <c r="F13985" s="2119"/>
      <c r="G13985" s="569" t="s">
        <v>19</v>
      </c>
      <c r="H13985" s="876" t="s">
        <v>2498</v>
      </c>
      <c r="V13985" s="1192">
        <v>18</v>
      </c>
    </row>
    <row r="13986" spans="1:22" s="1192" customFormat="1" ht="14.4" x14ac:dyDescent="0.3">
      <c r="A13986" s="1192" t="s">
        <v>206</v>
      </c>
      <c r="E13986" s="2119" t="s">
        <v>2499</v>
      </c>
      <c r="F13986" s="2119"/>
      <c r="G13986" s="569" t="s">
        <v>19</v>
      </c>
      <c r="H13986" s="570">
        <v>4.08</v>
      </c>
      <c r="V13986" s="1192">
        <v>69</v>
      </c>
    </row>
    <row r="13987" spans="1:22" s="1192" customFormat="1" ht="14.4" x14ac:dyDescent="0.3">
      <c r="A13987" s="1192" t="s">
        <v>206</v>
      </c>
      <c r="E13987" s="2007" t="s">
        <v>4608</v>
      </c>
      <c r="F13987" s="2007"/>
      <c r="G13987" s="957" t="s">
        <v>19</v>
      </c>
      <c r="H13987" s="583">
        <v>2.04</v>
      </c>
      <c r="V13987" s="1192">
        <v>199</v>
      </c>
    </row>
    <row r="13988" spans="1:22" s="1192" customFormat="1" ht="17.399999999999999" x14ac:dyDescent="0.3">
      <c r="A13988" s="1192" t="s">
        <v>206</v>
      </c>
      <c r="E13988" s="1285" t="s">
        <v>143</v>
      </c>
      <c r="F13988" s="581"/>
      <c r="G13988" s="581"/>
      <c r="H13988" s="952"/>
      <c r="K13988" s="1192" t="s">
        <v>3613</v>
      </c>
      <c r="V13988" s="1192">
        <v>12</v>
      </c>
    </row>
    <row r="13989" spans="1:22" s="1192" customFormat="1" ht="14.4" x14ac:dyDescent="0.3">
      <c r="A13989" s="1192" t="s">
        <v>206</v>
      </c>
      <c r="E13989" s="2007" t="s">
        <v>2501</v>
      </c>
      <c r="F13989" s="2007"/>
      <c r="G13989" s="2007"/>
      <c r="H13989" s="2174"/>
      <c r="V13989" s="1192">
        <v>203</v>
      </c>
    </row>
    <row r="13990" spans="1:22" s="1192" customFormat="1" ht="14.4" x14ac:dyDescent="0.3">
      <c r="A13990" s="1192" t="s">
        <v>206</v>
      </c>
      <c r="E13990" s="2007" t="s">
        <v>2599</v>
      </c>
      <c r="F13990" s="2007"/>
      <c r="G13990" s="578"/>
      <c r="H13990" s="906">
        <v>1.0656000000000001</v>
      </c>
      <c r="V13990" s="1192">
        <v>57</v>
      </c>
    </row>
    <row r="13991" spans="1:22" s="1192" customFormat="1" ht="14.4" x14ac:dyDescent="0.3">
      <c r="A13991" s="1192" t="s">
        <v>206</v>
      </c>
      <c r="E13991" s="2007" t="s">
        <v>2601</v>
      </c>
      <c r="F13991" s="2007"/>
      <c r="G13991" s="578"/>
      <c r="H13991" s="906">
        <v>1.0548999999999999</v>
      </c>
      <c r="J13991" s="1192" t="s">
        <v>3614</v>
      </c>
      <c r="V13991" s="1192">
        <v>55</v>
      </c>
    </row>
    <row r="13992" spans="1:22" s="1192" customFormat="1" ht="22.8" x14ac:dyDescent="0.3">
      <c r="A13992" s="1192" t="s">
        <v>165</v>
      </c>
      <c r="C13992" s="1192" t="s">
        <v>2378</v>
      </c>
      <c r="E13992" s="2271" t="s">
        <v>165</v>
      </c>
      <c r="F13992" s="2271"/>
      <c r="G13992" s="2271"/>
      <c r="H13992" s="2271"/>
      <c r="I13992" s="1192" t="s">
        <v>603</v>
      </c>
      <c r="J13992" s="1192" t="s">
        <v>3548</v>
      </c>
      <c r="K13992" s="1192" t="s">
        <v>165</v>
      </c>
      <c r="M13992" s="1192">
        <v>10</v>
      </c>
      <c r="V13992" s="1192">
        <v>37</v>
      </c>
    </row>
    <row r="13993" spans="1:22" s="1192" customFormat="1" ht="17.399999999999999" x14ac:dyDescent="0.3">
      <c r="A13993" s="1192" t="s">
        <v>165</v>
      </c>
      <c r="C13993" s="1192" t="s">
        <v>2380</v>
      </c>
      <c r="E13993" s="2272" t="s">
        <v>2381</v>
      </c>
      <c r="F13993" s="2272"/>
      <c r="G13993" s="2272"/>
      <c r="H13993" s="2272"/>
      <c r="V13993" s="1192">
        <v>27</v>
      </c>
    </row>
    <row r="13994" spans="1:22" s="1192" customFormat="1" ht="15.6" x14ac:dyDescent="0.3">
      <c r="A13994" s="1192" t="s">
        <v>165</v>
      </c>
      <c r="C13994" s="1192" t="s">
        <v>2382</v>
      </c>
      <c r="E13994" s="2193" t="s">
        <v>6714</v>
      </c>
      <c r="F13994" s="2193"/>
      <c r="G13994" s="2193"/>
      <c r="H13994" s="2193"/>
      <c r="R13994" s="1192">
        <v>43831</v>
      </c>
      <c r="V13994" s="1192">
        <v>30</v>
      </c>
    </row>
    <row r="13995" spans="1:22" s="1192" customFormat="1" ht="15.6" x14ac:dyDescent="0.3">
      <c r="A13995" s="1192" t="s">
        <v>165</v>
      </c>
      <c r="C13995" s="1192" t="s">
        <v>2383</v>
      </c>
      <c r="E13995" s="2193" t="s">
        <v>6715</v>
      </c>
      <c r="F13995" s="2193"/>
      <c r="G13995" s="2193"/>
      <c r="H13995" s="2193"/>
      <c r="S13995" s="1192">
        <v>43891</v>
      </c>
      <c r="V13995" s="1192">
        <v>33</v>
      </c>
    </row>
    <row r="13996" spans="1:22" s="1192" customFormat="1" ht="14.4" x14ac:dyDescent="0.3">
      <c r="A13996" s="1192" t="s">
        <v>165</v>
      </c>
      <c r="E13996" s="2194" t="s">
        <v>2384</v>
      </c>
      <c r="F13996" s="2194"/>
      <c r="G13996" s="2194"/>
      <c r="H13996" s="2194"/>
      <c r="V13996" s="1192">
        <v>52</v>
      </c>
    </row>
    <row r="13997" spans="1:22" s="1192" customFormat="1" ht="14.4" x14ac:dyDescent="0.3">
      <c r="A13997" s="1192" t="s">
        <v>165</v>
      </c>
      <c r="E13997" s="2194" t="s">
        <v>2385</v>
      </c>
      <c r="F13997" s="2194"/>
      <c r="G13997" s="2194"/>
      <c r="H13997" s="2194"/>
      <c r="V13997" s="1192">
        <v>53</v>
      </c>
    </row>
    <row r="13998" spans="1:22" s="1192" customFormat="1" ht="14.4" x14ac:dyDescent="0.3">
      <c r="A13998" s="1192" t="s">
        <v>165</v>
      </c>
      <c r="E13998" s="2266" t="s">
        <v>6716</v>
      </c>
      <c r="F13998" s="2266"/>
      <c r="G13998" s="2266"/>
      <c r="H13998" s="2266"/>
      <c r="K13998" s="1192" t="s">
        <v>6716</v>
      </c>
      <c r="V13998" s="1192">
        <v>12</v>
      </c>
    </row>
    <row r="13999" spans="1:22" s="1192" customFormat="1" ht="17.399999999999999" x14ac:dyDescent="0.3">
      <c r="A13999" s="1192" t="s">
        <v>165</v>
      </c>
      <c r="E13999" s="2186" t="s">
        <v>427</v>
      </c>
      <c r="F13999" s="2267"/>
      <c r="G13999" s="2267"/>
      <c r="H13999" s="2267"/>
      <c r="K13999" s="1192" t="s">
        <v>2506</v>
      </c>
      <c r="V13999" s="1192">
        <v>34</v>
      </c>
    </row>
    <row r="14000" spans="1:22" s="1192" customFormat="1" ht="14.4" x14ac:dyDescent="0.3">
      <c r="A14000" s="1192" t="s">
        <v>165</v>
      </c>
      <c r="E14000" s="2188" t="s">
        <v>6717</v>
      </c>
      <c r="F14000" s="2188"/>
      <c r="G14000" s="2188"/>
      <c r="H14000" s="2188"/>
      <c r="K14000" s="1192" t="s">
        <v>2506</v>
      </c>
      <c r="V14000" s="1192">
        <v>739</v>
      </c>
    </row>
    <row r="14001" spans="1:22" s="1192" customFormat="1" ht="14.4" x14ac:dyDescent="0.3">
      <c r="A14001" s="1192" t="s">
        <v>165</v>
      </c>
      <c r="E14001" s="2189" t="s">
        <v>2389</v>
      </c>
      <c r="F14001" s="2190"/>
      <c r="G14001" s="2190"/>
      <c r="H14001" s="2190"/>
      <c r="K14001" s="1192" t="s">
        <v>2390</v>
      </c>
      <c r="V14001" s="1192">
        <v>11</v>
      </c>
    </row>
    <row r="14002" spans="1:22" s="1192" customFormat="1" ht="14.4" x14ac:dyDescent="0.3">
      <c r="A14002" s="1192" t="s">
        <v>165</v>
      </c>
      <c r="E14002" s="2188" t="s">
        <v>2889</v>
      </c>
      <c r="F14002" s="2188"/>
      <c r="G14002" s="2188"/>
      <c r="H14002" s="2188"/>
      <c r="K14002" s="1192" t="s">
        <v>2506</v>
      </c>
      <c r="V14002" s="1192">
        <v>282</v>
      </c>
    </row>
    <row r="14003" spans="1:22" s="1192" customFormat="1" ht="14.4" x14ac:dyDescent="0.3">
      <c r="A14003" s="1192" t="s">
        <v>165</v>
      </c>
      <c r="E14003" s="2188" t="s">
        <v>2890</v>
      </c>
      <c r="F14003" s="2188"/>
      <c r="G14003" s="2188"/>
      <c r="H14003" s="2188"/>
      <c r="K14003" s="1192" t="s">
        <v>2506</v>
      </c>
      <c r="V14003" s="1192">
        <v>413</v>
      </c>
    </row>
    <row r="14004" spans="1:22" s="1192" customFormat="1" ht="14.4" x14ac:dyDescent="0.3">
      <c r="A14004" s="1192" t="s">
        <v>165</v>
      </c>
      <c r="E14004" s="2188" t="s">
        <v>2891</v>
      </c>
      <c r="F14004" s="2188"/>
      <c r="G14004" s="2188"/>
      <c r="H14004" s="2188"/>
      <c r="K14004" s="1192" t="s">
        <v>2506</v>
      </c>
      <c r="V14004" s="1192">
        <v>389</v>
      </c>
    </row>
    <row r="14005" spans="1:22" s="1192" customFormat="1" ht="14.4" x14ac:dyDescent="0.3">
      <c r="A14005" s="1192" t="s">
        <v>165</v>
      </c>
      <c r="E14005" s="2188" t="s">
        <v>2892</v>
      </c>
      <c r="F14005" s="2188"/>
      <c r="G14005" s="2188"/>
      <c r="H14005" s="2188"/>
      <c r="K14005" s="1192" t="s">
        <v>2506</v>
      </c>
      <c r="V14005" s="1192">
        <v>276</v>
      </c>
    </row>
    <row r="14006" spans="1:22" s="1192" customFormat="1" ht="14.4" x14ac:dyDescent="0.3">
      <c r="A14006" s="1192" t="s">
        <v>165</v>
      </c>
      <c r="E14006" s="2184" t="s">
        <v>2394</v>
      </c>
      <c r="F14006" s="2185"/>
      <c r="G14006" s="2185"/>
      <c r="H14006" s="2185"/>
      <c r="K14006" s="1192" t="s">
        <v>2395</v>
      </c>
      <c r="V14006" s="1192">
        <v>46</v>
      </c>
    </row>
    <row r="14007" spans="1:22" s="1192" customFormat="1" ht="14.4" x14ac:dyDescent="0.3">
      <c r="A14007" s="1192" t="s">
        <v>165</v>
      </c>
      <c r="E14007" s="2195" t="s">
        <v>7</v>
      </c>
      <c r="F14007" s="2195"/>
      <c r="G14007" s="1353" t="s">
        <v>19</v>
      </c>
      <c r="H14007" s="570">
        <v>38.340000000000003</v>
      </c>
      <c r="K14007" s="1192" t="s">
        <v>2506</v>
      </c>
      <c r="L14007" s="1192" t="s">
        <v>430</v>
      </c>
      <c r="P14007" s="1192" t="s">
        <v>2510</v>
      </c>
      <c r="V14007" s="1192">
        <v>14</v>
      </c>
    </row>
    <row r="14008" spans="1:22" s="1192" customFormat="1" ht="14.4" x14ac:dyDescent="0.3">
      <c r="A14008" s="1192" t="s">
        <v>165</v>
      </c>
      <c r="E14008" s="2195" t="s">
        <v>4012</v>
      </c>
      <c r="F14008" s="2195"/>
      <c r="G14008" s="1353" t="s">
        <v>19</v>
      </c>
      <c r="H14008" s="570">
        <v>0.56000000000000005</v>
      </c>
      <c r="K14008" s="1192" t="s">
        <v>2506</v>
      </c>
      <c r="L14008" s="1192" t="s">
        <v>431</v>
      </c>
      <c r="P14008" s="1192" t="s">
        <v>2511</v>
      </c>
      <c r="T14008" s="1192">
        <v>44926</v>
      </c>
      <c r="V14008" s="1192">
        <v>79</v>
      </c>
    </row>
    <row r="14009" spans="1:22" s="1192" customFormat="1" ht="14.4" x14ac:dyDescent="0.3">
      <c r="A14009" s="1192" t="s">
        <v>165</v>
      </c>
      <c r="E14009" s="2195" t="s">
        <v>6718</v>
      </c>
      <c r="F14009" s="2195"/>
      <c r="G14009" s="1353" t="s">
        <v>19</v>
      </c>
      <c r="H14009" s="570">
        <v>0.45</v>
      </c>
      <c r="K14009" s="1192" t="s">
        <v>2506</v>
      </c>
      <c r="L14009" s="1192" t="s">
        <v>430</v>
      </c>
      <c r="P14009" s="1192" t="s">
        <v>4502</v>
      </c>
      <c r="T14009" s="1192">
        <v>44196</v>
      </c>
      <c r="V14009" s="1192">
        <v>104</v>
      </c>
    </row>
    <row r="14010" spans="1:22" s="1192" customFormat="1" ht="14.4" x14ac:dyDescent="0.3">
      <c r="A14010" s="1192" t="s">
        <v>165</v>
      </c>
      <c r="E14010" s="2195" t="s">
        <v>6719</v>
      </c>
      <c r="F14010" s="2195"/>
      <c r="G14010" s="1353" t="s">
        <v>19</v>
      </c>
      <c r="H14010" s="570">
        <v>0.41</v>
      </c>
      <c r="K14010" s="1192" t="s">
        <v>2506</v>
      </c>
      <c r="L14010" s="1192" t="s">
        <v>430</v>
      </c>
      <c r="P14010" s="1192" t="s">
        <v>3686</v>
      </c>
      <c r="T14010" s="1192">
        <v>44196</v>
      </c>
      <c r="V14010" s="1192">
        <v>87</v>
      </c>
    </row>
    <row r="14011" spans="1:22" s="1192" customFormat="1" ht="14.4" x14ac:dyDescent="0.3">
      <c r="A14011" s="1192" t="s">
        <v>165</v>
      </c>
      <c r="E14011" s="2195" t="s">
        <v>6720</v>
      </c>
      <c r="F14011" s="2195"/>
      <c r="G14011" s="1353" t="s">
        <v>19</v>
      </c>
      <c r="H14011" s="570">
        <v>0.48</v>
      </c>
      <c r="K14011" s="1192" t="s">
        <v>2506</v>
      </c>
      <c r="L14011" s="1192" t="s">
        <v>430</v>
      </c>
      <c r="P14011" s="1192" t="s">
        <v>3957</v>
      </c>
      <c r="T14011" s="1192">
        <v>44926</v>
      </c>
      <c r="V14011" s="1192">
        <v>95</v>
      </c>
    </row>
    <row r="14012" spans="1:22" s="1192" customFormat="1" ht="14.4" x14ac:dyDescent="0.3">
      <c r="A14012" s="1192" t="s">
        <v>165</v>
      </c>
      <c r="E14012" s="2195" t="s">
        <v>6721</v>
      </c>
      <c r="F14012" s="2195"/>
      <c r="G14012" s="1353" t="s">
        <v>19</v>
      </c>
      <c r="H14012" s="570">
        <v>-2.13</v>
      </c>
      <c r="K14012" s="1192" t="s">
        <v>2506</v>
      </c>
      <c r="L14012" s="1192" t="s">
        <v>430</v>
      </c>
      <c r="P14012" s="1192" t="s">
        <v>6722</v>
      </c>
      <c r="T14012" s="1192">
        <v>44561</v>
      </c>
      <c r="V14012" s="1192">
        <v>102</v>
      </c>
    </row>
    <row r="14013" spans="1:22" s="1192" customFormat="1" ht="14.4" x14ac:dyDescent="0.3">
      <c r="A14013" s="1192" t="s">
        <v>165</v>
      </c>
      <c r="E14013" s="2195" t="s">
        <v>6723</v>
      </c>
      <c r="F14013" s="2195"/>
      <c r="G14013" s="1353" t="s">
        <v>19</v>
      </c>
      <c r="H14013" s="570">
        <v>-0.34</v>
      </c>
      <c r="K14013" s="1192" t="s">
        <v>2506</v>
      </c>
      <c r="L14013" s="1192" t="s">
        <v>430</v>
      </c>
      <c r="P14013" s="1192" t="s">
        <v>4629</v>
      </c>
      <c r="T14013" s="1192">
        <v>44561</v>
      </c>
      <c r="V14013" s="1192">
        <v>91</v>
      </c>
    </row>
    <row r="14014" spans="1:22" s="1192" customFormat="1" ht="14.4" x14ac:dyDescent="0.3">
      <c r="A14014" s="1192" t="s">
        <v>165</v>
      </c>
      <c r="E14014" s="2195" t="s">
        <v>6724</v>
      </c>
      <c r="F14014" s="2195"/>
      <c r="G14014" s="1353" t="s">
        <v>19</v>
      </c>
      <c r="H14014" s="570">
        <v>-0.1</v>
      </c>
      <c r="K14014" s="1192" t="s">
        <v>2506</v>
      </c>
      <c r="L14014" s="1192" t="s">
        <v>430</v>
      </c>
      <c r="P14014" s="1192" t="s">
        <v>6513</v>
      </c>
      <c r="T14014" s="1192">
        <v>44196</v>
      </c>
      <c r="V14014" s="1192">
        <v>107</v>
      </c>
    </row>
    <row r="14015" spans="1:22" s="1192" customFormat="1" ht="14.4" x14ac:dyDescent="0.3">
      <c r="A14015" s="1192" t="s">
        <v>165</v>
      </c>
      <c r="E14015" s="2195" t="s">
        <v>6725</v>
      </c>
      <c r="F14015" s="2195"/>
      <c r="G14015" s="1353" t="s">
        <v>19</v>
      </c>
      <c r="H14015" s="570">
        <v>-0.2</v>
      </c>
      <c r="K14015" s="1192" t="s">
        <v>2506</v>
      </c>
      <c r="L14015" s="1192" t="s">
        <v>430</v>
      </c>
      <c r="P14015" s="1192" t="s">
        <v>6432</v>
      </c>
      <c r="T14015" s="1192">
        <v>44196</v>
      </c>
      <c r="V14015" s="1192">
        <v>106</v>
      </c>
    </row>
    <row r="14016" spans="1:22" s="1192" customFormat="1" ht="14.4" x14ac:dyDescent="0.3">
      <c r="A14016" s="1192" t="s">
        <v>165</v>
      </c>
      <c r="E14016" s="2195" t="s">
        <v>6726</v>
      </c>
      <c r="F14016" s="2195"/>
      <c r="G14016" s="1353" t="s">
        <v>19</v>
      </c>
      <c r="H14016" s="570">
        <v>-0.26</v>
      </c>
      <c r="K14016" s="1192" t="s">
        <v>2506</v>
      </c>
      <c r="L14016" s="1192" t="s">
        <v>430</v>
      </c>
      <c r="P14016" s="1192" t="s">
        <v>4552</v>
      </c>
      <c r="T14016" s="1192">
        <v>44561</v>
      </c>
      <c r="V14016" s="1192">
        <v>84</v>
      </c>
    </row>
    <row r="14017" spans="1:22" s="1192" customFormat="1" ht="53.4" x14ac:dyDescent="0.3">
      <c r="A14017" s="1192" t="s">
        <v>165</v>
      </c>
      <c r="E14017" s="1355" t="s">
        <v>6727</v>
      </c>
      <c r="F14017" s="1356"/>
      <c r="G14017" s="1353" t="s">
        <v>20</v>
      </c>
      <c r="H14017" s="564">
        <v>3.3E-4</v>
      </c>
      <c r="K14017" s="1192" t="s">
        <v>2506</v>
      </c>
      <c r="L14017" s="1192" t="s">
        <v>431</v>
      </c>
      <c r="P14017" s="1192" t="s">
        <v>2516</v>
      </c>
      <c r="T14017" s="1192">
        <v>44561</v>
      </c>
      <c r="V14017" s="1192">
        <v>123</v>
      </c>
    </row>
    <row r="14018" spans="1:22" s="1192" customFormat="1" ht="66.599999999999994" x14ac:dyDescent="0.3">
      <c r="A14018" s="1192" t="s">
        <v>165</v>
      </c>
      <c r="E14018" s="1356" t="s">
        <v>6728</v>
      </c>
      <c r="F14018" s="1356"/>
      <c r="G14018" s="1353" t="s">
        <v>20</v>
      </c>
      <c r="H14018" s="1461">
        <v>-2.0000000000000002E-5</v>
      </c>
      <c r="K14018" s="1192" t="s">
        <v>2506</v>
      </c>
      <c r="L14018" s="1192" t="s">
        <v>431</v>
      </c>
      <c r="P14018" s="1192" t="s">
        <v>3897</v>
      </c>
      <c r="T14018" s="1192">
        <v>44561</v>
      </c>
      <c r="V14018" s="1192">
        <v>169</v>
      </c>
    </row>
    <row r="14019" spans="1:22" s="1192" customFormat="1" ht="66.599999999999994" x14ac:dyDescent="0.3">
      <c r="A14019" s="1192" t="s">
        <v>165</v>
      </c>
      <c r="E14019" s="1356" t="s">
        <v>6729</v>
      </c>
      <c r="F14019" s="1356"/>
      <c r="G14019" s="1353" t="s">
        <v>20</v>
      </c>
      <c r="H14019" s="564">
        <v>-1.5900000000000001E-3</v>
      </c>
      <c r="K14019" s="1192" t="s">
        <v>2506</v>
      </c>
      <c r="L14019" s="1192" t="s">
        <v>431</v>
      </c>
      <c r="P14019" s="1192" t="s">
        <v>2514</v>
      </c>
      <c r="T14019" s="1192">
        <v>44561</v>
      </c>
      <c r="V14019" s="1192">
        <v>162</v>
      </c>
    </row>
    <row r="14020" spans="1:22" s="1192" customFormat="1" ht="14.4" x14ac:dyDescent="0.3">
      <c r="A14020" s="1192" t="s">
        <v>165</v>
      </c>
      <c r="E14020" s="2195" t="s">
        <v>213</v>
      </c>
      <c r="F14020" s="2195"/>
      <c r="G14020" s="1353" t="s">
        <v>20</v>
      </c>
      <c r="H14020" s="564">
        <v>9.0600000000000003E-3</v>
      </c>
      <c r="K14020" s="1192" t="s">
        <v>2506</v>
      </c>
      <c r="L14020" s="1192" t="s">
        <v>432</v>
      </c>
      <c r="P14020" s="1192" t="s">
        <v>2517</v>
      </c>
      <c r="V14020" s="1192">
        <v>47</v>
      </c>
    </row>
    <row r="14021" spans="1:22" s="1192" customFormat="1" ht="14.4" x14ac:dyDescent="0.3">
      <c r="A14021" s="1192" t="s">
        <v>165</v>
      </c>
      <c r="E14021" s="2195" t="s">
        <v>209</v>
      </c>
      <c r="F14021" s="2195"/>
      <c r="G14021" s="1353" t="s">
        <v>20</v>
      </c>
      <c r="H14021" s="1354">
        <v>7.3699999999999998E-3</v>
      </c>
      <c r="K14021" s="1192" t="s">
        <v>2506</v>
      </c>
      <c r="L14021" s="1192" t="s">
        <v>432</v>
      </c>
      <c r="P14021" s="1192" t="s">
        <v>2518</v>
      </c>
      <c r="V14021" s="1192">
        <v>74</v>
      </c>
    </row>
    <row r="14022" spans="1:22" s="1192" customFormat="1" ht="14.4" x14ac:dyDescent="0.3">
      <c r="A14022" s="1192" t="s">
        <v>165</v>
      </c>
      <c r="E14022" s="2268" t="s">
        <v>2405</v>
      </c>
      <c r="F14022" s="2269"/>
      <c r="G14022" s="1357"/>
      <c r="H14022" s="1358"/>
      <c r="K14022" s="1192" t="s">
        <v>2406</v>
      </c>
      <c r="V14022" s="1192">
        <v>48</v>
      </c>
    </row>
    <row r="14023" spans="1:22" s="1192" customFormat="1" ht="14.4" x14ac:dyDescent="0.3">
      <c r="A14023" s="1192" t="s">
        <v>165</v>
      </c>
      <c r="E14023" s="2195" t="s">
        <v>2033</v>
      </c>
      <c r="F14023" s="2195"/>
      <c r="G14023" s="1353" t="s">
        <v>20</v>
      </c>
      <c r="H14023" s="564">
        <v>3.0000000000000001E-3</v>
      </c>
      <c r="K14023" s="1192" t="s">
        <v>2506</v>
      </c>
      <c r="L14023" s="1192" t="s">
        <v>2374</v>
      </c>
      <c r="P14023" s="1192" t="s">
        <v>2519</v>
      </c>
      <c r="V14023" s="1192">
        <v>55</v>
      </c>
    </row>
    <row r="14024" spans="1:22" s="1192" customFormat="1" ht="14.4" x14ac:dyDescent="0.3">
      <c r="A14024" s="1192" t="s">
        <v>165</v>
      </c>
      <c r="E14024" s="2195" t="s">
        <v>2034</v>
      </c>
      <c r="F14024" s="2195"/>
      <c r="G14024" s="1353" t="s">
        <v>20</v>
      </c>
      <c r="H14024" s="1354">
        <v>4.0000000000000002E-4</v>
      </c>
      <c r="K14024" s="1192" t="s">
        <v>2506</v>
      </c>
      <c r="L14024" s="1192" t="s">
        <v>2374</v>
      </c>
      <c r="P14024" s="1192" t="s">
        <v>2519</v>
      </c>
      <c r="V14024" s="1192">
        <v>65</v>
      </c>
    </row>
    <row r="14025" spans="1:22" s="1192" customFormat="1" ht="14.4" x14ac:dyDescent="0.3">
      <c r="A14025" s="1192" t="s">
        <v>165</v>
      </c>
      <c r="E14025" s="2195" t="s">
        <v>428</v>
      </c>
      <c r="F14025" s="2195"/>
      <c r="G14025" s="1353" t="s">
        <v>20</v>
      </c>
      <c r="H14025" s="1354">
        <v>5.0000000000000001E-4</v>
      </c>
      <c r="K14025" s="1192" t="s">
        <v>2506</v>
      </c>
      <c r="L14025" s="1192" t="s">
        <v>2374</v>
      </c>
      <c r="P14025" s="1192" t="s">
        <v>2520</v>
      </c>
      <c r="V14025" s="1192">
        <v>57</v>
      </c>
    </row>
    <row r="14026" spans="1:22" s="1192" customFormat="1" ht="14.4" x14ac:dyDescent="0.3">
      <c r="A14026" s="1192" t="s">
        <v>165</v>
      </c>
      <c r="E14026" s="2015" t="s">
        <v>28</v>
      </c>
      <c r="F14026" s="2015"/>
      <c r="G14026" s="1359" t="s">
        <v>19</v>
      </c>
      <c r="H14026" s="1360">
        <v>0.25</v>
      </c>
      <c r="K14026" s="1192" t="s">
        <v>2506</v>
      </c>
      <c r="L14026" s="1192" t="s">
        <v>2374</v>
      </c>
      <c r="P14026" s="1192" t="s">
        <v>2521</v>
      </c>
      <c r="V14026" s="1192">
        <v>63</v>
      </c>
    </row>
    <row r="14027" spans="1:22" s="1192" customFormat="1" ht="17.399999999999999" x14ac:dyDescent="0.3">
      <c r="A14027" s="1192" t="s">
        <v>165</v>
      </c>
      <c r="E14027" s="2273" t="s">
        <v>1948</v>
      </c>
      <c r="F14027" s="2186"/>
      <c r="G14027" s="2186"/>
      <c r="H14027" s="2186"/>
      <c r="K14027" s="1192" t="s">
        <v>3549</v>
      </c>
      <c r="V14027" s="1192">
        <v>64</v>
      </c>
    </row>
    <row r="14028" spans="1:22" s="1192" customFormat="1" ht="14.4" x14ac:dyDescent="0.3">
      <c r="A14028" s="1192" t="s">
        <v>165</v>
      </c>
      <c r="E14028" s="2188" t="s">
        <v>3550</v>
      </c>
      <c r="F14028" s="2188"/>
      <c r="G14028" s="2188"/>
      <c r="H14028" s="2188"/>
      <c r="K14028" s="1192" t="s">
        <v>3549</v>
      </c>
      <c r="V14028" s="1192">
        <v>645</v>
      </c>
    </row>
    <row r="14029" spans="1:22" s="1192" customFormat="1" ht="14.4" x14ac:dyDescent="0.3">
      <c r="A14029" s="1192" t="s">
        <v>165</v>
      </c>
      <c r="E14029" s="2189" t="s">
        <v>2389</v>
      </c>
      <c r="F14029" s="2190"/>
      <c r="G14029" s="2190"/>
      <c r="H14029" s="2190"/>
      <c r="K14029" s="1192" t="s">
        <v>2412</v>
      </c>
      <c r="V14029" s="1192">
        <v>11</v>
      </c>
    </row>
    <row r="14030" spans="1:22" s="1192" customFormat="1" ht="14.4" x14ac:dyDescent="0.3">
      <c r="A14030" s="1192" t="s">
        <v>165</v>
      </c>
      <c r="E14030" s="2188" t="s">
        <v>2391</v>
      </c>
      <c r="F14030" s="2188"/>
      <c r="G14030" s="2188"/>
      <c r="H14030" s="2188"/>
      <c r="K14030" s="1192" t="s">
        <v>3549</v>
      </c>
      <c r="V14030" s="1192">
        <v>280</v>
      </c>
    </row>
    <row r="14031" spans="1:22" s="1192" customFormat="1" ht="14.4" x14ac:dyDescent="0.3">
      <c r="A14031" s="1192" t="s">
        <v>165</v>
      </c>
      <c r="E14031" s="2188" t="s">
        <v>2392</v>
      </c>
      <c r="F14031" s="2188"/>
      <c r="G14031" s="2188"/>
      <c r="H14031" s="2188"/>
      <c r="K14031" s="1192" t="s">
        <v>3549</v>
      </c>
      <c r="V14031" s="1192">
        <v>411</v>
      </c>
    </row>
    <row r="14032" spans="1:22" s="1192" customFormat="1" ht="14.4" x14ac:dyDescent="0.3">
      <c r="A14032" s="1192" t="s">
        <v>165</v>
      </c>
      <c r="E14032" s="2188" t="s">
        <v>2393</v>
      </c>
      <c r="F14032" s="2188"/>
      <c r="G14032" s="2188"/>
      <c r="H14032" s="2188"/>
      <c r="K14032" s="1192" t="s">
        <v>3549</v>
      </c>
      <c r="V14032" s="1192">
        <v>387</v>
      </c>
    </row>
    <row r="14033" spans="1:22" s="1192" customFormat="1" ht="14.4" x14ac:dyDescent="0.3">
      <c r="A14033" s="1192" t="s">
        <v>165</v>
      </c>
      <c r="E14033" s="2188" t="s">
        <v>2661</v>
      </c>
      <c r="F14033" s="2188"/>
      <c r="G14033" s="2188"/>
      <c r="H14033" s="2188"/>
      <c r="K14033" s="1192" t="s">
        <v>3549</v>
      </c>
      <c r="V14033" s="1192">
        <v>274</v>
      </c>
    </row>
    <row r="14034" spans="1:22" s="1192" customFormat="1" ht="14.4" x14ac:dyDescent="0.3">
      <c r="A14034" s="1192" t="s">
        <v>165</v>
      </c>
      <c r="E14034" s="2184" t="s">
        <v>2394</v>
      </c>
      <c r="F14034" s="2185"/>
      <c r="G14034" s="2185"/>
      <c r="H14034" s="2185"/>
      <c r="K14034" s="1192" t="s">
        <v>2413</v>
      </c>
      <c r="V14034" s="1192">
        <v>46</v>
      </c>
    </row>
    <row r="14035" spans="1:22" s="1192" customFormat="1" ht="14.4" x14ac:dyDescent="0.3">
      <c r="A14035" s="1192" t="s">
        <v>165</v>
      </c>
      <c r="E14035" s="2015" t="s">
        <v>7</v>
      </c>
      <c r="F14035" s="2015"/>
      <c r="G14035" s="1359" t="s">
        <v>19</v>
      </c>
      <c r="H14035" s="1361">
        <v>31.46</v>
      </c>
      <c r="K14035" s="1192" t="s">
        <v>3549</v>
      </c>
      <c r="L14035" s="1192" t="s">
        <v>430</v>
      </c>
      <c r="P14035" s="1192" t="s">
        <v>3551</v>
      </c>
      <c r="V14035" s="1192">
        <v>14</v>
      </c>
    </row>
    <row r="14036" spans="1:22" s="1192" customFormat="1" ht="14.4" x14ac:dyDescent="0.3">
      <c r="A14036" s="1192" t="s">
        <v>165</v>
      </c>
      <c r="E14036" s="2015" t="s">
        <v>4012</v>
      </c>
      <c r="F14036" s="2015"/>
      <c r="G14036" s="1359" t="s">
        <v>19</v>
      </c>
      <c r="H14036" s="570">
        <v>0.56000000000000005</v>
      </c>
      <c r="K14036" s="1192" t="s">
        <v>3549</v>
      </c>
      <c r="L14036" s="1192" t="s">
        <v>431</v>
      </c>
      <c r="P14036" s="1192" t="s">
        <v>3552</v>
      </c>
      <c r="T14036" s="1192">
        <v>44926</v>
      </c>
      <c r="V14036" s="1192">
        <v>79</v>
      </c>
    </row>
    <row r="14037" spans="1:22" s="1192" customFormat="1" ht="14.4" x14ac:dyDescent="0.3">
      <c r="A14037" s="1192" t="s">
        <v>165</v>
      </c>
      <c r="E14037" s="2015" t="s">
        <v>6718</v>
      </c>
      <c r="F14037" s="2015"/>
      <c r="G14037" s="1359" t="s">
        <v>19</v>
      </c>
      <c r="H14037" s="570">
        <v>0.3</v>
      </c>
      <c r="K14037" s="1192" t="s">
        <v>3549</v>
      </c>
      <c r="L14037" s="1192" t="s">
        <v>430</v>
      </c>
      <c r="P14037" s="1192" t="s">
        <v>6730</v>
      </c>
      <c r="T14037" s="1192">
        <v>44196</v>
      </c>
      <c r="V14037" s="1192">
        <v>104</v>
      </c>
    </row>
    <row r="14038" spans="1:22" s="1192" customFormat="1" ht="14.4" x14ac:dyDescent="0.3">
      <c r="A14038" s="1192" t="s">
        <v>165</v>
      </c>
      <c r="E14038" s="2015" t="s">
        <v>6719</v>
      </c>
      <c r="F14038" s="2015"/>
      <c r="G14038" s="1359" t="s">
        <v>19</v>
      </c>
      <c r="H14038" s="570">
        <v>0.27</v>
      </c>
      <c r="K14038" s="1192" t="s">
        <v>3549</v>
      </c>
      <c r="L14038" s="1192" t="s">
        <v>430</v>
      </c>
      <c r="P14038" s="1192" t="s">
        <v>6731</v>
      </c>
      <c r="T14038" s="1192">
        <v>44196</v>
      </c>
      <c r="V14038" s="1192">
        <v>87</v>
      </c>
    </row>
    <row r="14039" spans="1:22" s="1192" customFormat="1" ht="14.4" x14ac:dyDescent="0.3">
      <c r="A14039" s="1192" t="s">
        <v>165</v>
      </c>
      <c r="E14039" s="2015" t="s">
        <v>6721</v>
      </c>
      <c r="F14039" s="2015"/>
      <c r="G14039" s="1359" t="s">
        <v>19</v>
      </c>
      <c r="H14039" s="570">
        <v>-1.43</v>
      </c>
      <c r="K14039" s="1192" t="s">
        <v>3549</v>
      </c>
      <c r="L14039" s="1192" t="s">
        <v>430</v>
      </c>
      <c r="P14039" s="1192" t="s">
        <v>6732</v>
      </c>
      <c r="T14039" s="1192">
        <v>44561</v>
      </c>
      <c r="V14039" s="1192">
        <v>102</v>
      </c>
    </row>
    <row r="14040" spans="1:22" s="1192" customFormat="1" ht="14.4" x14ac:dyDescent="0.3">
      <c r="A14040" s="1192" t="s">
        <v>165</v>
      </c>
      <c r="E14040" s="2015" t="s">
        <v>6723</v>
      </c>
      <c r="F14040" s="2015"/>
      <c r="G14040" s="1359" t="s">
        <v>19</v>
      </c>
      <c r="H14040" s="570">
        <v>-0.23</v>
      </c>
      <c r="K14040" s="1192" t="s">
        <v>3549</v>
      </c>
      <c r="L14040" s="1192" t="s">
        <v>430</v>
      </c>
      <c r="P14040" s="1192" t="s">
        <v>6733</v>
      </c>
      <c r="T14040" s="1192">
        <v>44561</v>
      </c>
      <c r="V14040" s="1192">
        <v>91</v>
      </c>
    </row>
    <row r="14041" spans="1:22" s="1192" customFormat="1" ht="14.4" x14ac:dyDescent="0.3">
      <c r="A14041" s="1192" t="s">
        <v>165</v>
      </c>
      <c r="E14041" s="2015" t="s">
        <v>6724</v>
      </c>
      <c r="F14041" s="2015"/>
      <c r="G14041" s="1359" t="s">
        <v>19</v>
      </c>
      <c r="H14041" s="570">
        <v>-7.0000000000000007E-2</v>
      </c>
      <c r="K14041" s="1192" t="s">
        <v>3549</v>
      </c>
      <c r="L14041" s="1192" t="s">
        <v>430</v>
      </c>
      <c r="P14041" s="1192" t="s">
        <v>6734</v>
      </c>
      <c r="T14041" s="1192">
        <v>44196</v>
      </c>
      <c r="V14041" s="1192">
        <v>107</v>
      </c>
    </row>
    <row r="14042" spans="1:22" s="1192" customFormat="1" ht="14.4" x14ac:dyDescent="0.3">
      <c r="A14042" s="1192" t="s">
        <v>165</v>
      </c>
      <c r="E14042" s="2015" t="s">
        <v>6725</v>
      </c>
      <c r="F14042" s="2015"/>
      <c r="G14042" s="1359" t="s">
        <v>19</v>
      </c>
      <c r="H14042" s="570">
        <v>-0.14000000000000001</v>
      </c>
      <c r="K14042" s="1192" t="s">
        <v>3549</v>
      </c>
      <c r="L14042" s="1192" t="s">
        <v>430</v>
      </c>
      <c r="P14042" s="1192" t="s">
        <v>6735</v>
      </c>
      <c r="T14042" s="1192">
        <v>44196</v>
      </c>
      <c r="V14042" s="1192">
        <v>106</v>
      </c>
    </row>
    <row r="14043" spans="1:22" s="1192" customFormat="1" ht="14.4" x14ac:dyDescent="0.3">
      <c r="A14043" s="1192" t="s">
        <v>165</v>
      </c>
      <c r="E14043" s="2015" t="s">
        <v>6726</v>
      </c>
      <c r="F14043" s="2015"/>
      <c r="G14043" s="1359" t="s">
        <v>19</v>
      </c>
      <c r="H14043" s="570">
        <v>-0.15</v>
      </c>
      <c r="K14043" s="1192" t="s">
        <v>3549</v>
      </c>
      <c r="L14043" s="1192" t="s">
        <v>430</v>
      </c>
      <c r="P14043" s="1192" t="s">
        <v>6736</v>
      </c>
      <c r="T14043" s="1192">
        <v>44561</v>
      </c>
      <c r="V14043" s="1192">
        <v>84</v>
      </c>
    </row>
    <row r="14044" spans="1:22" s="1192" customFormat="1" ht="53.4" x14ac:dyDescent="0.3">
      <c r="A14044" s="1192" t="s">
        <v>165</v>
      </c>
      <c r="E14044" s="1362" t="s">
        <v>6737</v>
      </c>
      <c r="F14044" s="1363"/>
      <c r="G14044" s="1359" t="s">
        <v>20</v>
      </c>
      <c r="H14044" s="1461">
        <v>2.5000000000000001E-4</v>
      </c>
      <c r="K14044" s="1192" t="s">
        <v>3549</v>
      </c>
      <c r="L14044" s="1192" t="s">
        <v>431</v>
      </c>
      <c r="P14044" s="1192" t="s">
        <v>3553</v>
      </c>
      <c r="T14044" s="1192">
        <v>44561</v>
      </c>
      <c r="V14044" s="1192">
        <v>125</v>
      </c>
    </row>
    <row r="14045" spans="1:22" s="1192" customFormat="1" ht="66.599999999999994" x14ac:dyDescent="0.3">
      <c r="A14045" s="1192" t="s">
        <v>165</v>
      </c>
      <c r="E14045" s="1363" t="s">
        <v>6728</v>
      </c>
      <c r="F14045" s="1363"/>
      <c r="G14045" s="1359" t="s">
        <v>20</v>
      </c>
      <c r="H14045" s="1461">
        <v>-2.0000000000000002E-5</v>
      </c>
      <c r="K14045" s="1192" t="s">
        <v>3549</v>
      </c>
      <c r="L14045" s="1192" t="s">
        <v>431</v>
      </c>
      <c r="P14045" s="1192" t="s">
        <v>4240</v>
      </c>
      <c r="T14045" s="1192">
        <v>44561</v>
      </c>
      <c r="V14045" s="1192">
        <v>169</v>
      </c>
    </row>
    <row r="14046" spans="1:22" s="1192" customFormat="1" ht="66.599999999999994" x14ac:dyDescent="0.3">
      <c r="A14046" s="1192" t="s">
        <v>165</v>
      </c>
      <c r="E14046" s="1363" t="s">
        <v>6729</v>
      </c>
      <c r="F14046" s="1363"/>
      <c r="G14046" s="1359" t="s">
        <v>20</v>
      </c>
      <c r="H14046" s="1461">
        <v>-1.5900000000000001E-3</v>
      </c>
      <c r="K14046" s="1192" t="s">
        <v>3549</v>
      </c>
      <c r="L14046" s="1192" t="s">
        <v>431</v>
      </c>
      <c r="P14046" s="1192" t="s">
        <v>4239</v>
      </c>
      <c r="T14046" s="1192">
        <v>44561</v>
      </c>
      <c r="V14046" s="1192">
        <v>162</v>
      </c>
    </row>
    <row r="14047" spans="1:22" s="1192" customFormat="1" ht="14.4" x14ac:dyDescent="0.3">
      <c r="A14047" s="1192" t="s">
        <v>165</v>
      </c>
      <c r="E14047" s="2015" t="s">
        <v>213</v>
      </c>
      <c r="F14047" s="2015"/>
      <c r="G14047" s="1359" t="s">
        <v>20</v>
      </c>
      <c r="H14047" s="1461">
        <v>9.0600000000000003E-3</v>
      </c>
      <c r="K14047" s="1192" t="s">
        <v>3549</v>
      </c>
      <c r="L14047" s="1192" t="s">
        <v>432</v>
      </c>
      <c r="P14047" s="1192" t="s">
        <v>3554</v>
      </c>
      <c r="V14047" s="1192">
        <v>47</v>
      </c>
    </row>
    <row r="14048" spans="1:22" s="1192" customFormat="1" ht="14.4" x14ac:dyDescent="0.3">
      <c r="A14048" s="1192" t="s">
        <v>165</v>
      </c>
      <c r="E14048" s="2015" t="s">
        <v>209</v>
      </c>
      <c r="F14048" s="2015"/>
      <c r="G14048" s="1359" t="s">
        <v>20</v>
      </c>
      <c r="H14048" s="1461">
        <v>7.3699999999999998E-3</v>
      </c>
      <c r="K14048" s="1192" t="s">
        <v>3549</v>
      </c>
      <c r="L14048" s="1192" t="s">
        <v>432</v>
      </c>
      <c r="P14048" s="1192" t="s">
        <v>3555</v>
      </c>
      <c r="V14048" s="1192">
        <v>74</v>
      </c>
    </row>
    <row r="14049" spans="1:22" s="1192" customFormat="1" ht="14.4" x14ac:dyDescent="0.3">
      <c r="A14049" s="1192" t="s">
        <v>165</v>
      </c>
      <c r="E14049" s="2270" t="s">
        <v>2405</v>
      </c>
      <c r="F14049" s="2270"/>
      <c r="G14049" s="1359"/>
      <c r="H14049" s="1364"/>
      <c r="K14049" s="1192" t="s">
        <v>2418</v>
      </c>
      <c r="V14049" s="1192">
        <v>48</v>
      </c>
    </row>
    <row r="14050" spans="1:22" s="1192" customFormat="1" ht="14.4" x14ac:dyDescent="0.3">
      <c r="A14050" s="1192" t="s">
        <v>165</v>
      </c>
      <c r="E14050" s="2015" t="s">
        <v>2033</v>
      </c>
      <c r="F14050" s="2015"/>
      <c r="G14050" s="1359" t="s">
        <v>20</v>
      </c>
      <c r="H14050" s="1219">
        <v>3.0000000000000001E-3</v>
      </c>
      <c r="K14050" s="1192" t="s">
        <v>3549</v>
      </c>
      <c r="L14050" s="1192" t="s">
        <v>2374</v>
      </c>
      <c r="P14050" s="1192" t="s">
        <v>3556</v>
      </c>
      <c r="V14050" s="1192">
        <v>55</v>
      </c>
    </row>
    <row r="14051" spans="1:22" s="1192" customFormat="1" ht="14.4" x14ac:dyDescent="0.3">
      <c r="A14051" s="1192" t="s">
        <v>165</v>
      </c>
      <c r="E14051" s="2015" t="s">
        <v>2034</v>
      </c>
      <c r="F14051" s="2015"/>
      <c r="G14051" s="1359" t="s">
        <v>20</v>
      </c>
      <c r="H14051" s="1354">
        <v>4.0000000000000002E-4</v>
      </c>
      <c r="K14051" s="1192" t="s">
        <v>3549</v>
      </c>
      <c r="L14051" s="1192" t="s">
        <v>2374</v>
      </c>
      <c r="P14051" s="1192" t="s">
        <v>3556</v>
      </c>
      <c r="V14051" s="1192">
        <v>65</v>
      </c>
    </row>
    <row r="14052" spans="1:22" s="1192" customFormat="1" ht="14.4" x14ac:dyDescent="0.3">
      <c r="A14052" s="1192" t="s">
        <v>165</v>
      </c>
      <c r="E14052" s="2015" t="s">
        <v>428</v>
      </c>
      <c r="F14052" s="2015"/>
      <c r="G14052" s="1359" t="s">
        <v>20</v>
      </c>
      <c r="H14052" s="1354">
        <v>5.0000000000000001E-4</v>
      </c>
      <c r="K14052" s="1192" t="s">
        <v>3549</v>
      </c>
      <c r="L14052" s="1192" t="s">
        <v>2374</v>
      </c>
      <c r="P14052" s="1192" t="s">
        <v>4241</v>
      </c>
      <c r="V14052" s="1192">
        <v>57</v>
      </c>
    </row>
    <row r="14053" spans="1:22" s="1192" customFormat="1" ht="14.4" x14ac:dyDescent="0.3">
      <c r="A14053" s="1192" t="s">
        <v>165</v>
      </c>
      <c r="E14053" s="2015" t="s">
        <v>28</v>
      </c>
      <c r="F14053" s="2015"/>
      <c r="G14053" s="1359" t="s">
        <v>19</v>
      </c>
      <c r="H14053" s="1360">
        <v>0.25</v>
      </c>
      <c r="K14053" s="1192" t="s">
        <v>3549</v>
      </c>
      <c r="L14053" s="1192" t="s">
        <v>2374</v>
      </c>
      <c r="P14053" s="1192" t="s">
        <v>4242</v>
      </c>
      <c r="V14053" s="1192">
        <v>63</v>
      </c>
    </row>
    <row r="14054" spans="1:22" s="1192" customFormat="1" ht="17.399999999999999" x14ac:dyDescent="0.3">
      <c r="A14054" s="1192" t="s">
        <v>165</v>
      </c>
      <c r="E14054" s="2186" t="s">
        <v>2522</v>
      </c>
      <c r="F14054" s="2186"/>
      <c r="G14054" s="2186"/>
      <c r="H14054" s="2186"/>
      <c r="K14054" s="1192" t="s">
        <v>4070</v>
      </c>
      <c r="V14054" s="1192">
        <v>54</v>
      </c>
    </row>
    <row r="14055" spans="1:22" s="1192" customFormat="1" ht="14.4" x14ac:dyDescent="0.3">
      <c r="A14055" s="1192" t="s">
        <v>165</v>
      </c>
      <c r="E14055" s="2188" t="s">
        <v>2893</v>
      </c>
      <c r="F14055" s="2188"/>
      <c r="G14055" s="2188"/>
      <c r="H14055" s="2188"/>
      <c r="K14055" s="1192" t="s">
        <v>4070</v>
      </c>
      <c r="V14055" s="1192">
        <v>291</v>
      </c>
    </row>
    <row r="14056" spans="1:22" s="1192" customFormat="1" ht="14.4" x14ac:dyDescent="0.3">
      <c r="A14056" s="1192" t="s">
        <v>165</v>
      </c>
      <c r="E14056" s="2189" t="s">
        <v>2389</v>
      </c>
      <c r="F14056" s="2190"/>
      <c r="G14056" s="2190"/>
      <c r="H14056" s="2190"/>
      <c r="K14056" s="1192" t="s">
        <v>2422</v>
      </c>
      <c r="V14056" s="1192">
        <v>11</v>
      </c>
    </row>
    <row r="14057" spans="1:22" s="1192" customFormat="1" ht="14.4" x14ac:dyDescent="0.3">
      <c r="A14057" s="1192" t="s">
        <v>165</v>
      </c>
      <c r="E14057" s="2188" t="s">
        <v>2391</v>
      </c>
      <c r="F14057" s="2188"/>
      <c r="G14057" s="2188"/>
      <c r="H14057" s="2188"/>
      <c r="K14057" s="1192" t="s">
        <v>4070</v>
      </c>
      <c r="V14057" s="1192">
        <v>280</v>
      </c>
    </row>
    <row r="14058" spans="1:22" s="1192" customFormat="1" ht="14.4" x14ac:dyDescent="0.3">
      <c r="A14058" s="1192" t="s">
        <v>165</v>
      </c>
      <c r="E14058" s="2188" t="s">
        <v>2392</v>
      </c>
      <c r="F14058" s="2188"/>
      <c r="G14058" s="2188"/>
      <c r="H14058" s="2188"/>
      <c r="K14058" s="1192" t="s">
        <v>4070</v>
      </c>
      <c r="V14058" s="1192">
        <v>411</v>
      </c>
    </row>
    <row r="14059" spans="1:22" s="1192" customFormat="1" ht="14.4" x14ac:dyDescent="0.3">
      <c r="A14059" s="1192" t="s">
        <v>165</v>
      </c>
      <c r="E14059" s="2188" t="s">
        <v>2393</v>
      </c>
      <c r="F14059" s="2188"/>
      <c r="G14059" s="2188"/>
      <c r="H14059" s="2188"/>
      <c r="K14059" s="1192" t="s">
        <v>4070</v>
      </c>
      <c r="V14059" s="1192">
        <v>387</v>
      </c>
    </row>
    <row r="14060" spans="1:22" s="1192" customFormat="1" ht="14.4" x14ac:dyDescent="0.3">
      <c r="A14060" s="1192" t="s">
        <v>165</v>
      </c>
      <c r="E14060" s="2188" t="s">
        <v>2661</v>
      </c>
      <c r="F14060" s="2188"/>
      <c r="G14060" s="2188"/>
      <c r="H14060" s="2188"/>
      <c r="K14060" s="1192" t="s">
        <v>4070</v>
      </c>
      <c r="V14060" s="1192">
        <v>274</v>
      </c>
    </row>
    <row r="14061" spans="1:22" s="1192" customFormat="1" ht="14.4" x14ac:dyDescent="0.3">
      <c r="A14061" s="1192" t="s">
        <v>165</v>
      </c>
      <c r="E14061" s="2013" t="s">
        <v>2394</v>
      </c>
      <c r="F14061" s="2014"/>
      <c r="G14061" s="2014"/>
      <c r="H14061" s="2014"/>
      <c r="K14061" s="1192" t="s">
        <v>2423</v>
      </c>
      <c r="V14061" s="1192">
        <v>46</v>
      </c>
    </row>
    <row r="14062" spans="1:22" s="1192" customFormat="1" ht="14.4" x14ac:dyDescent="0.3">
      <c r="A14062" s="1192" t="s">
        <v>165</v>
      </c>
      <c r="E14062" s="2015" t="s">
        <v>7</v>
      </c>
      <c r="F14062" s="2015"/>
      <c r="G14062" s="1359" t="s">
        <v>19</v>
      </c>
      <c r="H14062" s="1361">
        <v>36.979999999999997</v>
      </c>
      <c r="K14062" s="1192" t="s">
        <v>4070</v>
      </c>
      <c r="L14062" s="1192" t="s">
        <v>430</v>
      </c>
      <c r="P14062" s="1192" t="s">
        <v>4071</v>
      </c>
      <c r="V14062" s="1192">
        <v>14</v>
      </c>
    </row>
    <row r="14063" spans="1:22" s="1192" customFormat="1" ht="14.4" x14ac:dyDescent="0.3">
      <c r="A14063" s="1192" t="s">
        <v>165</v>
      </c>
      <c r="E14063" s="2015" t="s">
        <v>4012</v>
      </c>
      <c r="F14063" s="2015"/>
      <c r="G14063" s="1359" t="s">
        <v>19</v>
      </c>
      <c r="H14063" s="1361">
        <v>0.56000000000000005</v>
      </c>
      <c r="K14063" s="1192" t="s">
        <v>4070</v>
      </c>
      <c r="L14063" s="1192" t="s">
        <v>431</v>
      </c>
      <c r="P14063" s="1192" t="s">
        <v>4072</v>
      </c>
      <c r="T14063" s="1192">
        <v>44926</v>
      </c>
      <c r="V14063" s="1192">
        <v>79</v>
      </c>
    </row>
    <row r="14064" spans="1:22" s="1192" customFormat="1" ht="14.4" x14ac:dyDescent="0.3">
      <c r="A14064" s="1192" t="s">
        <v>165</v>
      </c>
      <c r="E14064" s="2015" t="s">
        <v>6726</v>
      </c>
      <c r="F14064" s="2015"/>
      <c r="G14064" s="1359" t="s">
        <v>19</v>
      </c>
      <c r="H14064" s="1361">
        <v>0.11</v>
      </c>
      <c r="K14064" s="1192" t="s">
        <v>4070</v>
      </c>
      <c r="L14064" s="1192" t="s">
        <v>430</v>
      </c>
      <c r="P14064" s="1192" t="s">
        <v>6738</v>
      </c>
      <c r="T14064" s="1192">
        <v>44561</v>
      </c>
      <c r="V14064" s="1192">
        <v>84</v>
      </c>
    </row>
    <row r="14065" spans="1:22" s="1192" customFormat="1" ht="14.4" x14ac:dyDescent="0.3">
      <c r="A14065" s="1192" t="s">
        <v>165</v>
      </c>
      <c r="E14065" s="2015" t="s">
        <v>80</v>
      </c>
      <c r="F14065" s="2015"/>
      <c r="G14065" s="1359" t="s">
        <v>20</v>
      </c>
      <c r="H14065" s="1461">
        <v>3.4209999999999997E-2</v>
      </c>
      <c r="K14065" s="1192" t="s">
        <v>4070</v>
      </c>
      <c r="L14065" s="1192" t="s">
        <v>430</v>
      </c>
      <c r="P14065" s="1192" t="s">
        <v>4073</v>
      </c>
      <c r="V14065" s="1192">
        <v>28</v>
      </c>
    </row>
    <row r="14066" spans="1:22" s="1192" customFormat="1" ht="14.4" x14ac:dyDescent="0.3">
      <c r="A14066" s="1192" t="s">
        <v>165</v>
      </c>
      <c r="E14066" s="2015" t="s">
        <v>6718</v>
      </c>
      <c r="F14066" s="2015"/>
      <c r="G14066" s="1359" t="s">
        <v>20</v>
      </c>
      <c r="H14066" s="1461">
        <v>5.2999999999999998E-4</v>
      </c>
      <c r="K14066" s="1192" t="s">
        <v>4070</v>
      </c>
      <c r="L14066" s="1192" t="s">
        <v>430</v>
      </c>
      <c r="P14066" s="1192" t="s">
        <v>6739</v>
      </c>
      <c r="T14066" s="1192">
        <v>44196</v>
      </c>
      <c r="V14066" s="1192">
        <v>104</v>
      </c>
    </row>
    <row r="14067" spans="1:22" s="1192" customFormat="1" ht="14.4" x14ac:dyDescent="0.3">
      <c r="A14067" s="1192" t="s">
        <v>165</v>
      </c>
      <c r="E14067" s="2015" t="s">
        <v>6719</v>
      </c>
      <c r="F14067" s="2015"/>
      <c r="G14067" s="1359" t="s">
        <v>20</v>
      </c>
      <c r="H14067" s="1461">
        <v>4.8000000000000001E-4</v>
      </c>
      <c r="K14067" s="1192" t="s">
        <v>4070</v>
      </c>
      <c r="L14067" s="1192" t="s">
        <v>430</v>
      </c>
      <c r="P14067" s="1192" t="s">
        <v>6740</v>
      </c>
      <c r="T14067" s="1192">
        <v>44196</v>
      </c>
      <c r="V14067" s="1192">
        <v>87</v>
      </c>
    </row>
    <row r="14068" spans="1:22" s="1192" customFormat="1" ht="14.4" x14ac:dyDescent="0.3">
      <c r="A14068" s="1192" t="s">
        <v>165</v>
      </c>
      <c r="E14068" s="2015" t="s">
        <v>6720</v>
      </c>
      <c r="F14068" s="2015"/>
      <c r="G14068" s="1359" t="s">
        <v>20</v>
      </c>
      <c r="H14068" s="1461">
        <v>1.8000000000000001E-4</v>
      </c>
      <c r="K14068" s="1192" t="s">
        <v>4070</v>
      </c>
      <c r="L14068" s="1192" t="s">
        <v>430</v>
      </c>
      <c r="P14068" s="1192" t="s">
        <v>6741</v>
      </c>
      <c r="T14068" s="1192">
        <v>44926</v>
      </c>
      <c r="V14068" s="1192">
        <v>95</v>
      </c>
    </row>
    <row r="14069" spans="1:22" s="1192" customFormat="1" ht="14.4" x14ac:dyDescent="0.3">
      <c r="A14069" s="1192" t="s">
        <v>165</v>
      </c>
      <c r="E14069" s="2015" t="s">
        <v>6721</v>
      </c>
      <c r="F14069" s="2015"/>
      <c r="G14069" s="1359" t="s">
        <v>20</v>
      </c>
      <c r="H14069" s="1461">
        <v>-2.48E-3</v>
      </c>
      <c r="K14069" s="1192" t="s">
        <v>4070</v>
      </c>
      <c r="L14069" s="1192" t="s">
        <v>430</v>
      </c>
      <c r="P14069" s="1192" t="s">
        <v>6742</v>
      </c>
      <c r="T14069" s="1192">
        <v>44561</v>
      </c>
      <c r="V14069" s="1192">
        <v>102</v>
      </c>
    </row>
    <row r="14070" spans="1:22" s="1192" customFormat="1" ht="14.4" x14ac:dyDescent="0.3">
      <c r="A14070" s="1192" t="s">
        <v>165</v>
      </c>
      <c r="E14070" s="2015" t="s">
        <v>6723</v>
      </c>
      <c r="F14070" s="2015"/>
      <c r="G14070" s="1359" t="s">
        <v>20</v>
      </c>
      <c r="H14070" s="1461">
        <v>-4.0000000000000002E-4</v>
      </c>
      <c r="K14070" s="1192" t="s">
        <v>4070</v>
      </c>
      <c r="L14070" s="1192" t="s">
        <v>430</v>
      </c>
      <c r="P14070" s="1192" t="s">
        <v>6743</v>
      </c>
      <c r="T14070" s="1192">
        <v>44561</v>
      </c>
      <c r="V14070" s="1192">
        <v>91</v>
      </c>
    </row>
    <row r="14071" spans="1:22" s="1192" customFormat="1" ht="14.4" x14ac:dyDescent="0.3">
      <c r="A14071" s="1192" t="s">
        <v>165</v>
      </c>
      <c r="E14071" s="2015" t="s">
        <v>6724</v>
      </c>
      <c r="F14071" s="2015"/>
      <c r="G14071" s="1359" t="s">
        <v>20</v>
      </c>
      <c r="H14071" s="1461">
        <v>-1.2E-4</v>
      </c>
      <c r="K14071" s="1192" t="s">
        <v>4070</v>
      </c>
      <c r="L14071" s="1192" t="s">
        <v>430</v>
      </c>
      <c r="P14071" s="1192" t="s">
        <v>6744</v>
      </c>
      <c r="T14071" s="1192">
        <v>44196</v>
      </c>
      <c r="V14071" s="1192">
        <v>107</v>
      </c>
    </row>
    <row r="14072" spans="1:22" s="1192" customFormat="1" ht="14.4" x14ac:dyDescent="0.3">
      <c r="A14072" s="1192" t="s">
        <v>165</v>
      </c>
      <c r="E14072" s="2015" t="s">
        <v>6725</v>
      </c>
      <c r="F14072" s="2015"/>
      <c r="G14072" s="1359" t="s">
        <v>20</v>
      </c>
      <c r="H14072" s="1461">
        <v>-2.3000000000000001E-4</v>
      </c>
      <c r="K14072" s="1192" t="s">
        <v>4070</v>
      </c>
      <c r="L14072" s="1192" t="s">
        <v>430</v>
      </c>
      <c r="P14072" s="1192" t="s">
        <v>6745</v>
      </c>
      <c r="T14072" s="1192">
        <v>44196</v>
      </c>
      <c r="V14072" s="1192">
        <v>106</v>
      </c>
    </row>
    <row r="14073" spans="1:22" s="1192" customFormat="1" ht="14.4" x14ac:dyDescent="0.3">
      <c r="A14073" s="1192" t="s">
        <v>165</v>
      </c>
      <c r="E14073" s="2015" t="s">
        <v>6726</v>
      </c>
      <c r="F14073" s="2015"/>
      <c r="G14073" s="1359" t="s">
        <v>20</v>
      </c>
      <c r="H14073" s="1354">
        <v>1E-4</v>
      </c>
      <c r="K14073" s="1192" t="s">
        <v>4070</v>
      </c>
      <c r="L14073" s="1192" t="s">
        <v>430</v>
      </c>
      <c r="P14073" s="1192" t="s">
        <v>6746</v>
      </c>
      <c r="T14073" s="1192">
        <v>44561</v>
      </c>
      <c r="V14073" s="1192">
        <v>84</v>
      </c>
    </row>
    <row r="14074" spans="1:22" s="1192" customFormat="1" ht="53.4" x14ac:dyDescent="0.3">
      <c r="A14074" s="1192" t="s">
        <v>165</v>
      </c>
      <c r="E14074" s="1362" t="s">
        <v>6747</v>
      </c>
      <c r="F14074" s="1363"/>
      <c r="G14074" s="1359" t="s">
        <v>20</v>
      </c>
      <c r="H14074" s="1461">
        <v>3.8000000000000002E-4</v>
      </c>
      <c r="K14074" s="1192" t="s">
        <v>4070</v>
      </c>
      <c r="L14074" s="1192" t="s">
        <v>431</v>
      </c>
      <c r="P14074" s="1192" t="s">
        <v>4076</v>
      </c>
      <c r="T14074" s="1192">
        <v>44561</v>
      </c>
      <c r="V14074" s="1192">
        <v>125</v>
      </c>
    </row>
    <row r="14075" spans="1:22" s="1192" customFormat="1" ht="66.599999999999994" x14ac:dyDescent="0.3">
      <c r="A14075" s="1192" t="s">
        <v>165</v>
      </c>
      <c r="E14075" s="1363" t="s">
        <v>6728</v>
      </c>
      <c r="F14075" s="1363"/>
      <c r="G14075" s="1359" t="s">
        <v>20</v>
      </c>
      <c r="H14075" s="1461">
        <v>-2.0000000000000002E-5</v>
      </c>
      <c r="K14075" s="1192" t="s">
        <v>4070</v>
      </c>
      <c r="L14075" s="1192" t="s">
        <v>431</v>
      </c>
      <c r="P14075" s="1192" t="s">
        <v>4077</v>
      </c>
      <c r="T14075" s="1192">
        <v>44561</v>
      </c>
      <c r="V14075" s="1192">
        <v>169</v>
      </c>
    </row>
    <row r="14076" spans="1:22" s="1192" customFormat="1" ht="66.599999999999994" x14ac:dyDescent="0.3">
      <c r="A14076" s="1192" t="s">
        <v>165</v>
      </c>
      <c r="E14076" s="1363" t="s">
        <v>6729</v>
      </c>
      <c r="F14076" s="1363"/>
      <c r="G14076" s="1359" t="s">
        <v>20</v>
      </c>
      <c r="H14076" s="1461">
        <v>-1.5900000000000001E-3</v>
      </c>
      <c r="K14076" s="1192" t="s">
        <v>4070</v>
      </c>
      <c r="L14076" s="1192" t="s">
        <v>431</v>
      </c>
      <c r="P14076" s="1192" t="s">
        <v>4075</v>
      </c>
      <c r="T14076" s="1192">
        <v>44561</v>
      </c>
      <c r="V14076" s="1192">
        <v>162</v>
      </c>
    </row>
    <row r="14077" spans="1:22" s="1192" customFormat="1" ht="14.4" x14ac:dyDescent="0.3">
      <c r="A14077" s="1192" t="s">
        <v>165</v>
      </c>
      <c r="E14077" s="2015" t="s">
        <v>213</v>
      </c>
      <c r="F14077" s="2015"/>
      <c r="G14077" s="1359" t="s">
        <v>20</v>
      </c>
      <c r="H14077" s="1461">
        <v>8.8199999999999997E-3</v>
      </c>
      <c r="K14077" s="1192" t="s">
        <v>4070</v>
      </c>
      <c r="L14077" s="1192" t="s">
        <v>432</v>
      </c>
      <c r="P14077" s="1192" t="s">
        <v>4078</v>
      </c>
      <c r="V14077" s="1192">
        <v>47</v>
      </c>
    </row>
    <row r="14078" spans="1:22" s="1192" customFormat="1" ht="14.4" x14ac:dyDescent="0.3">
      <c r="A14078" s="1192" t="s">
        <v>165</v>
      </c>
      <c r="E14078" s="2015" t="s">
        <v>209</v>
      </c>
      <c r="F14078" s="2015"/>
      <c r="G14078" s="1359" t="s">
        <v>20</v>
      </c>
      <c r="H14078" s="1461">
        <v>6.5900000000000004E-3</v>
      </c>
      <c r="K14078" s="1192" t="s">
        <v>4070</v>
      </c>
      <c r="L14078" s="1192" t="s">
        <v>432</v>
      </c>
      <c r="P14078" s="1192" t="s">
        <v>4079</v>
      </c>
      <c r="V14078" s="1192">
        <v>74</v>
      </c>
    </row>
    <row r="14079" spans="1:22" s="1192" customFormat="1" ht="14.4" x14ac:dyDescent="0.3">
      <c r="A14079" s="1192" t="s">
        <v>165</v>
      </c>
      <c r="E14079" s="2184" t="s">
        <v>2405</v>
      </c>
      <c r="F14079" s="2185"/>
      <c r="G14079" s="1359"/>
      <c r="H14079" s="1364"/>
      <c r="K14079" s="1192" t="s">
        <v>2526</v>
      </c>
      <c r="V14079" s="1192">
        <v>48</v>
      </c>
    </row>
    <row r="14080" spans="1:22" s="1192" customFormat="1" ht="14.4" x14ac:dyDescent="0.3">
      <c r="A14080" s="1192" t="s">
        <v>165</v>
      </c>
      <c r="E14080" s="2015" t="s">
        <v>2033</v>
      </c>
      <c r="F14080" s="2015"/>
      <c r="G14080" s="1359" t="s">
        <v>20</v>
      </c>
      <c r="H14080" s="1219">
        <v>3.0000000000000001E-3</v>
      </c>
      <c r="K14080" s="1192" t="s">
        <v>4070</v>
      </c>
      <c r="L14080" s="1192" t="s">
        <v>2374</v>
      </c>
      <c r="P14080" s="1192" t="s">
        <v>4080</v>
      </c>
      <c r="V14080" s="1192">
        <v>55</v>
      </c>
    </row>
    <row r="14081" spans="1:22" s="1192" customFormat="1" ht="14.4" x14ac:dyDescent="0.3">
      <c r="A14081" s="1192" t="s">
        <v>165</v>
      </c>
      <c r="E14081" s="2015" t="s">
        <v>2034</v>
      </c>
      <c r="F14081" s="2015"/>
      <c r="G14081" s="1359" t="s">
        <v>20</v>
      </c>
      <c r="H14081" s="1354">
        <v>4.0000000000000002E-4</v>
      </c>
      <c r="K14081" s="1192" t="s">
        <v>4070</v>
      </c>
      <c r="L14081" s="1192" t="s">
        <v>2374</v>
      </c>
      <c r="P14081" s="1192" t="s">
        <v>4080</v>
      </c>
      <c r="V14081" s="1192">
        <v>65</v>
      </c>
    </row>
    <row r="14082" spans="1:22" s="1192" customFormat="1" ht="14.4" x14ac:dyDescent="0.3">
      <c r="A14082" s="1192" t="s">
        <v>165</v>
      </c>
      <c r="E14082" s="2015" t="s">
        <v>428</v>
      </c>
      <c r="F14082" s="2015"/>
      <c r="G14082" s="1359" t="s">
        <v>20</v>
      </c>
      <c r="H14082" s="1354">
        <v>5.0000000000000001E-4</v>
      </c>
      <c r="K14082" s="1192" t="s">
        <v>4070</v>
      </c>
      <c r="L14082" s="1192" t="s">
        <v>2374</v>
      </c>
      <c r="P14082" s="1192" t="s">
        <v>4081</v>
      </c>
      <c r="V14082" s="1192">
        <v>57</v>
      </c>
    </row>
    <row r="14083" spans="1:22" s="1192" customFormat="1" ht="14.4" x14ac:dyDescent="0.3">
      <c r="A14083" s="1192" t="s">
        <v>165</v>
      </c>
      <c r="E14083" s="2015" t="s">
        <v>28</v>
      </c>
      <c r="F14083" s="2015"/>
      <c r="G14083" s="1359" t="s">
        <v>19</v>
      </c>
      <c r="H14083" s="1360">
        <v>0.25</v>
      </c>
      <c r="K14083" s="1192" t="s">
        <v>4070</v>
      </c>
      <c r="L14083" s="1192" t="s">
        <v>2374</v>
      </c>
      <c r="P14083" s="1192" t="s">
        <v>4082</v>
      </c>
      <c r="V14083" s="1192">
        <v>63</v>
      </c>
    </row>
    <row r="14084" spans="1:22" s="1192" customFormat="1" ht="17.399999999999999" x14ac:dyDescent="0.3">
      <c r="A14084" s="1192" t="s">
        <v>165</v>
      </c>
      <c r="E14084" s="2186" t="s">
        <v>2524</v>
      </c>
      <c r="F14084" s="2186"/>
      <c r="G14084" s="2186"/>
      <c r="H14084" s="2186"/>
      <c r="K14084" s="1192" t="s">
        <v>4243</v>
      </c>
      <c r="V14084" s="1192">
        <v>51</v>
      </c>
    </row>
    <row r="14085" spans="1:22" s="1192" customFormat="1" ht="14.4" x14ac:dyDescent="0.3">
      <c r="A14085" s="1192" t="s">
        <v>165</v>
      </c>
      <c r="E14085" s="2188" t="s">
        <v>3557</v>
      </c>
      <c r="F14085" s="2188"/>
      <c r="G14085" s="2188"/>
      <c r="H14085" s="2188"/>
      <c r="K14085" s="1192" t="s">
        <v>4243</v>
      </c>
      <c r="V14085" s="1192">
        <v>526</v>
      </c>
    </row>
    <row r="14086" spans="1:22" s="1192" customFormat="1" ht="14.4" x14ac:dyDescent="0.3">
      <c r="A14086" s="1192" t="s">
        <v>165</v>
      </c>
      <c r="E14086" s="2189" t="s">
        <v>2389</v>
      </c>
      <c r="F14086" s="2190"/>
      <c r="G14086" s="2190"/>
      <c r="H14086" s="2190"/>
      <c r="K14086" s="1192" t="s">
        <v>2529</v>
      </c>
      <c r="V14086" s="1192">
        <v>11</v>
      </c>
    </row>
    <row r="14087" spans="1:22" s="1192" customFormat="1" ht="14.4" x14ac:dyDescent="0.3">
      <c r="A14087" s="1192" t="s">
        <v>165</v>
      </c>
      <c r="E14087" s="2188" t="s">
        <v>2391</v>
      </c>
      <c r="F14087" s="2188"/>
      <c r="G14087" s="2188"/>
      <c r="H14087" s="2188"/>
      <c r="K14087" s="1192" t="s">
        <v>4243</v>
      </c>
      <c r="V14087" s="1192">
        <v>280</v>
      </c>
    </row>
    <row r="14088" spans="1:22" s="1192" customFormat="1" ht="14.4" x14ac:dyDescent="0.3">
      <c r="A14088" s="1192" t="s">
        <v>165</v>
      </c>
      <c r="E14088" s="2188" t="s">
        <v>2392</v>
      </c>
      <c r="F14088" s="2188"/>
      <c r="G14088" s="2188"/>
      <c r="H14088" s="2188"/>
      <c r="K14088" s="1192" t="s">
        <v>4243</v>
      </c>
      <c r="V14088" s="1192">
        <v>411</v>
      </c>
    </row>
    <row r="14089" spans="1:22" s="1192" customFormat="1" ht="14.4" x14ac:dyDescent="0.3">
      <c r="A14089" s="1192" t="s">
        <v>165</v>
      </c>
      <c r="E14089" s="2188" t="s">
        <v>2393</v>
      </c>
      <c r="F14089" s="2188"/>
      <c r="G14089" s="2188"/>
      <c r="H14089" s="2188"/>
      <c r="K14089" s="1192" t="s">
        <v>4243</v>
      </c>
      <c r="V14089" s="1192">
        <v>387</v>
      </c>
    </row>
    <row r="14090" spans="1:22" s="1192" customFormat="1" ht="14.4" x14ac:dyDescent="0.3">
      <c r="A14090" s="1192" t="s">
        <v>165</v>
      </c>
      <c r="E14090" s="2188" t="s">
        <v>2530</v>
      </c>
      <c r="F14090" s="2188"/>
      <c r="G14090" s="2188"/>
      <c r="H14090" s="2188"/>
      <c r="K14090" s="1192" t="s">
        <v>4243</v>
      </c>
      <c r="V14090" s="1192">
        <v>610</v>
      </c>
    </row>
    <row r="14091" spans="1:22" s="1192" customFormat="1" ht="14.4" x14ac:dyDescent="0.3">
      <c r="A14091" s="1192" t="s">
        <v>165</v>
      </c>
      <c r="E14091" s="2188" t="s">
        <v>3558</v>
      </c>
      <c r="F14091" s="2188"/>
      <c r="G14091" s="2188"/>
      <c r="H14091" s="2188"/>
      <c r="K14091" s="1192" t="s">
        <v>4243</v>
      </c>
      <c r="V14091" s="1192">
        <v>636</v>
      </c>
    </row>
    <row r="14092" spans="1:22" s="1192" customFormat="1" ht="14.4" x14ac:dyDescent="0.3">
      <c r="A14092" s="1192" t="s">
        <v>165</v>
      </c>
      <c r="E14092" s="2188" t="s">
        <v>2661</v>
      </c>
      <c r="F14092" s="2188"/>
      <c r="G14092" s="2188"/>
      <c r="H14092" s="2188"/>
      <c r="K14092" s="1192" t="s">
        <v>4243</v>
      </c>
      <c r="V14092" s="1192">
        <v>274</v>
      </c>
    </row>
    <row r="14093" spans="1:22" s="1192" customFormat="1" ht="14.4" x14ac:dyDescent="0.3">
      <c r="A14093" s="1192" t="s">
        <v>165</v>
      </c>
      <c r="E14093" s="2013" t="s">
        <v>2394</v>
      </c>
      <c r="F14093" s="2014"/>
      <c r="G14093" s="2014"/>
      <c r="H14093" s="2014"/>
      <c r="K14093" s="1192" t="s">
        <v>2531</v>
      </c>
      <c r="V14093" s="1192">
        <v>46</v>
      </c>
    </row>
    <row r="14094" spans="1:22" s="1192" customFormat="1" ht="14.4" x14ac:dyDescent="0.3">
      <c r="A14094" s="1192" t="s">
        <v>165</v>
      </c>
      <c r="E14094" s="2015" t="s">
        <v>7</v>
      </c>
      <c r="F14094" s="2015"/>
      <c r="G14094" s="1359" t="s">
        <v>19</v>
      </c>
      <c r="H14094" s="1361">
        <v>49.14</v>
      </c>
      <c r="K14094" s="1192" t="s">
        <v>4243</v>
      </c>
      <c r="L14094" s="1192" t="s">
        <v>430</v>
      </c>
      <c r="P14094" s="1192" t="s">
        <v>4244</v>
      </c>
      <c r="V14094" s="1192">
        <v>14</v>
      </c>
    </row>
    <row r="14095" spans="1:22" s="1192" customFormat="1" ht="14.4" x14ac:dyDescent="0.3">
      <c r="A14095" s="1192" t="s">
        <v>165</v>
      </c>
      <c r="E14095" s="2015" t="s">
        <v>6726</v>
      </c>
      <c r="F14095" s="2015"/>
      <c r="G14095" s="1359" t="s">
        <v>19</v>
      </c>
      <c r="H14095" s="509">
        <v>-0.21</v>
      </c>
      <c r="K14095" s="1192" t="s">
        <v>4243</v>
      </c>
      <c r="L14095" s="1192" t="s">
        <v>430</v>
      </c>
      <c r="P14095" s="1192" t="s">
        <v>6748</v>
      </c>
      <c r="T14095" s="1192">
        <v>44561</v>
      </c>
      <c r="V14095" s="1192">
        <v>84</v>
      </c>
    </row>
    <row r="14096" spans="1:22" s="1192" customFormat="1" ht="14.4" x14ac:dyDescent="0.3">
      <c r="A14096" s="1192" t="s">
        <v>165</v>
      </c>
      <c r="E14096" s="2015" t="s">
        <v>80</v>
      </c>
      <c r="F14096" s="2015"/>
      <c r="G14096" s="1359" t="s">
        <v>21</v>
      </c>
      <c r="H14096" s="1219">
        <v>7.8921999999999999</v>
      </c>
      <c r="K14096" s="1192" t="s">
        <v>4243</v>
      </c>
      <c r="L14096" s="1192" t="s">
        <v>430</v>
      </c>
      <c r="P14096" s="1192" t="s">
        <v>4245</v>
      </c>
      <c r="V14096" s="1192">
        <v>28</v>
      </c>
    </row>
    <row r="14097" spans="1:22" s="1192" customFormat="1" ht="14.4" x14ac:dyDescent="0.3">
      <c r="A14097" s="1192" t="s">
        <v>165</v>
      </c>
      <c r="E14097" s="2015" t="s">
        <v>6718</v>
      </c>
      <c r="F14097" s="2015"/>
      <c r="G14097" s="1359" t="s">
        <v>21</v>
      </c>
      <c r="H14097" s="1360">
        <v>9.1399999999999995E-2</v>
      </c>
      <c r="K14097" s="1192" t="s">
        <v>4243</v>
      </c>
      <c r="L14097" s="1192" t="s">
        <v>430</v>
      </c>
      <c r="P14097" s="1192" t="s">
        <v>6749</v>
      </c>
      <c r="T14097" s="1192">
        <v>44196</v>
      </c>
      <c r="V14097" s="1192">
        <v>104</v>
      </c>
    </row>
    <row r="14098" spans="1:22" s="1192" customFormat="1" ht="14.4" x14ac:dyDescent="0.3">
      <c r="A14098" s="1192" t="s">
        <v>165</v>
      </c>
      <c r="E14098" s="2015" t="s">
        <v>6719</v>
      </c>
      <c r="F14098" s="2015"/>
      <c r="G14098" s="1359" t="s">
        <v>21</v>
      </c>
      <c r="H14098" s="1360">
        <v>8.2699999999999996E-2</v>
      </c>
      <c r="K14098" s="1192" t="s">
        <v>4243</v>
      </c>
      <c r="L14098" s="1192" t="s">
        <v>430</v>
      </c>
      <c r="P14098" s="1192" t="s">
        <v>6750</v>
      </c>
      <c r="T14098" s="1192">
        <v>44196</v>
      </c>
      <c r="V14098" s="1192">
        <v>87</v>
      </c>
    </row>
    <row r="14099" spans="1:22" s="1192" customFormat="1" ht="14.4" x14ac:dyDescent="0.3">
      <c r="A14099" s="1192" t="s">
        <v>165</v>
      </c>
      <c r="E14099" s="2015" t="s">
        <v>6721</v>
      </c>
      <c r="F14099" s="2015"/>
      <c r="G14099" s="1359" t="s">
        <v>21</v>
      </c>
      <c r="H14099" s="1219">
        <v>-0.4304</v>
      </c>
      <c r="K14099" s="1192" t="s">
        <v>4243</v>
      </c>
      <c r="L14099" s="1192" t="s">
        <v>430</v>
      </c>
      <c r="P14099" s="1192" t="s">
        <v>6751</v>
      </c>
      <c r="T14099" s="1192">
        <v>44561</v>
      </c>
      <c r="V14099" s="1192">
        <v>102</v>
      </c>
    </row>
    <row r="14100" spans="1:22" s="1192" customFormat="1" ht="14.4" x14ac:dyDescent="0.3">
      <c r="A14100" s="1192" t="s">
        <v>165</v>
      </c>
      <c r="E14100" s="2015" t="s">
        <v>6723</v>
      </c>
      <c r="F14100" s="2015"/>
      <c r="G14100" s="1359" t="s">
        <v>21</v>
      </c>
      <c r="H14100" s="1219">
        <v>-6.9000000000000006E-2</v>
      </c>
      <c r="K14100" s="1192" t="s">
        <v>4243</v>
      </c>
      <c r="L14100" s="1192" t="s">
        <v>430</v>
      </c>
      <c r="P14100" s="1192" t="s">
        <v>6752</v>
      </c>
      <c r="T14100" s="1192">
        <v>44561</v>
      </c>
      <c r="V14100" s="1192">
        <v>91</v>
      </c>
    </row>
    <row r="14101" spans="1:22" s="1192" customFormat="1" ht="14.4" x14ac:dyDescent="0.3">
      <c r="A14101" s="1192" t="s">
        <v>165</v>
      </c>
      <c r="E14101" s="2015" t="s">
        <v>6724</v>
      </c>
      <c r="F14101" s="2015"/>
      <c r="G14101" s="1359" t="s">
        <v>21</v>
      </c>
      <c r="H14101" s="509">
        <v>-0.02</v>
      </c>
      <c r="K14101" s="1192" t="s">
        <v>4243</v>
      </c>
      <c r="L14101" s="1192" t="s">
        <v>430</v>
      </c>
      <c r="P14101" s="1192" t="s">
        <v>6753</v>
      </c>
      <c r="T14101" s="1192">
        <v>44196</v>
      </c>
      <c r="V14101" s="1192">
        <v>107</v>
      </c>
    </row>
    <row r="14102" spans="1:22" s="1192" customFormat="1" ht="14.4" x14ac:dyDescent="0.3">
      <c r="A14102" s="1192" t="s">
        <v>165</v>
      </c>
      <c r="E14102" s="2015" t="s">
        <v>6725</v>
      </c>
      <c r="F14102" s="2015"/>
      <c r="G14102" s="1359" t="s">
        <v>21</v>
      </c>
      <c r="H14102" s="1219">
        <v>-4.07E-2</v>
      </c>
      <c r="K14102" s="1192" t="s">
        <v>4243</v>
      </c>
      <c r="L14102" s="1192" t="s">
        <v>430</v>
      </c>
      <c r="P14102" s="1192" t="s">
        <v>6754</v>
      </c>
      <c r="T14102" s="1192">
        <v>44196</v>
      </c>
      <c r="V14102" s="1192">
        <v>106</v>
      </c>
    </row>
    <row r="14103" spans="1:22" s="1192" customFormat="1" ht="14.4" x14ac:dyDescent="0.3">
      <c r="A14103" s="1192" t="s">
        <v>165</v>
      </c>
      <c r="E14103" s="2015" t="s">
        <v>6726</v>
      </c>
      <c r="F14103" s="2015"/>
      <c r="G14103" s="1359" t="s">
        <v>21</v>
      </c>
      <c r="H14103" s="1219">
        <v>-1.89E-2</v>
      </c>
      <c r="K14103" s="1192" t="s">
        <v>4243</v>
      </c>
      <c r="L14103" s="1192" t="s">
        <v>430</v>
      </c>
      <c r="P14103" s="1192" t="s">
        <v>6755</v>
      </c>
      <c r="T14103" s="1192">
        <v>44561</v>
      </c>
      <c r="V14103" s="1192">
        <v>84</v>
      </c>
    </row>
    <row r="14104" spans="1:22" s="1192" customFormat="1" ht="66.599999999999994" x14ac:dyDescent="0.3">
      <c r="A14104" s="1192" t="s">
        <v>165</v>
      </c>
      <c r="E14104" s="1365" t="s">
        <v>6756</v>
      </c>
      <c r="F14104" s="1363"/>
      <c r="G14104" s="1359" t="s">
        <v>21</v>
      </c>
      <c r="H14104" s="1219">
        <v>-8.9399999999999993E-2</v>
      </c>
      <c r="K14104" s="1192" t="s">
        <v>4243</v>
      </c>
      <c r="L14104" s="1192" t="s">
        <v>431</v>
      </c>
      <c r="P14104" s="1192" t="s">
        <v>4248</v>
      </c>
      <c r="T14104" s="1192">
        <v>44561</v>
      </c>
      <c r="V14104" s="1192">
        <v>179</v>
      </c>
    </row>
    <row r="14105" spans="1:22" s="1192" customFormat="1" ht="53.4" x14ac:dyDescent="0.3">
      <c r="A14105" s="1192" t="s">
        <v>165</v>
      </c>
      <c r="E14105" s="1362" t="s">
        <v>6757</v>
      </c>
      <c r="F14105" s="1363"/>
      <c r="G14105" s="1359" t="s">
        <v>21</v>
      </c>
      <c r="H14105" s="1219">
        <v>0.2422</v>
      </c>
      <c r="K14105" s="1192" t="s">
        <v>4243</v>
      </c>
      <c r="L14105" s="1192" t="s">
        <v>431</v>
      </c>
      <c r="P14105" s="1192" t="s">
        <v>4248</v>
      </c>
      <c r="T14105" s="1192">
        <v>44561</v>
      </c>
      <c r="V14105" s="1192">
        <v>124</v>
      </c>
    </row>
    <row r="14106" spans="1:22" s="1192" customFormat="1" ht="66.599999999999994" x14ac:dyDescent="0.3">
      <c r="A14106" s="1192" t="s">
        <v>165</v>
      </c>
      <c r="E14106" s="1363" t="s">
        <v>6758</v>
      </c>
      <c r="F14106" s="1363"/>
      <c r="G14106" s="1359" t="s">
        <v>21</v>
      </c>
      <c r="H14106" s="1219">
        <v>-6.7000000000000002E-3</v>
      </c>
      <c r="K14106" s="1192" t="s">
        <v>4243</v>
      </c>
      <c r="L14106" s="1192" t="s">
        <v>431</v>
      </c>
      <c r="P14106" s="1192" t="s">
        <v>4246</v>
      </c>
      <c r="T14106" s="1192">
        <v>44561</v>
      </c>
      <c r="V14106" s="1192">
        <v>168</v>
      </c>
    </row>
    <row r="14107" spans="1:22" s="1192" customFormat="1" ht="66.599999999999994" x14ac:dyDescent="0.3">
      <c r="A14107" s="1192" t="s">
        <v>165</v>
      </c>
      <c r="E14107" s="1363" t="s">
        <v>6729</v>
      </c>
      <c r="F14107" s="1363"/>
      <c r="G14107" s="1359" t="s">
        <v>20</v>
      </c>
      <c r="H14107" s="1461">
        <v>-1.5900000000000001E-3</v>
      </c>
      <c r="K14107" s="1192" t="s">
        <v>4243</v>
      </c>
      <c r="L14107" s="1192" t="s">
        <v>431</v>
      </c>
      <c r="P14107" s="1192" t="s">
        <v>4247</v>
      </c>
      <c r="T14107" s="1192">
        <v>44561</v>
      </c>
      <c r="V14107" s="1192">
        <v>162</v>
      </c>
    </row>
    <row r="14108" spans="1:22" s="1192" customFormat="1" ht="14.4" x14ac:dyDescent="0.3">
      <c r="A14108" s="1192" t="s">
        <v>165</v>
      </c>
      <c r="E14108" s="2015" t="s">
        <v>213</v>
      </c>
      <c r="F14108" s="2015"/>
      <c r="G14108" s="1359" t="s">
        <v>29</v>
      </c>
      <c r="H14108" s="1219">
        <v>2.9842</v>
      </c>
      <c r="K14108" s="1192" t="s">
        <v>4243</v>
      </c>
      <c r="L14108" s="1192" t="s">
        <v>432</v>
      </c>
      <c r="P14108" s="1192" t="s">
        <v>4249</v>
      </c>
      <c r="V14108" s="1192">
        <v>47</v>
      </c>
    </row>
    <row r="14109" spans="1:22" s="1192" customFormat="1" ht="14.4" x14ac:dyDescent="0.3">
      <c r="A14109" s="1192" t="s">
        <v>165</v>
      </c>
      <c r="E14109" s="2015" t="s">
        <v>209</v>
      </c>
      <c r="F14109" s="2015"/>
      <c r="G14109" s="1359" t="s">
        <v>29</v>
      </c>
      <c r="H14109" s="1219">
        <v>2.3822000000000001</v>
      </c>
      <c r="K14109" s="1192" t="s">
        <v>4243</v>
      </c>
      <c r="L14109" s="1192" t="s">
        <v>432</v>
      </c>
      <c r="P14109" s="1192" t="s">
        <v>4250</v>
      </c>
      <c r="V14109" s="1192">
        <v>74</v>
      </c>
    </row>
    <row r="14110" spans="1:22" s="1192" customFormat="1" ht="14.4" x14ac:dyDescent="0.3">
      <c r="A14110" s="1192" t="s">
        <v>165</v>
      </c>
      <c r="E14110" s="2184" t="s">
        <v>2405</v>
      </c>
      <c r="F14110" s="2185"/>
      <c r="G14110" s="1359"/>
      <c r="H14110" s="1364"/>
      <c r="K14110" s="1192" t="s">
        <v>2532</v>
      </c>
      <c r="V14110" s="1192">
        <v>48</v>
      </c>
    </row>
    <row r="14111" spans="1:22" s="1192" customFormat="1" ht="14.4" x14ac:dyDescent="0.3">
      <c r="A14111" s="1192" t="s">
        <v>165</v>
      </c>
      <c r="E14111" s="2015" t="s">
        <v>2033</v>
      </c>
      <c r="F14111" s="2015"/>
      <c r="G14111" s="1359" t="s">
        <v>20</v>
      </c>
      <c r="H14111" s="1219">
        <v>3.0000000000000001E-3</v>
      </c>
      <c r="K14111" s="1192" t="s">
        <v>4243</v>
      </c>
      <c r="L14111" s="1192" t="s">
        <v>2374</v>
      </c>
      <c r="P14111" s="1192" t="s">
        <v>4251</v>
      </c>
      <c r="V14111" s="1192">
        <v>55</v>
      </c>
    </row>
    <row r="14112" spans="1:22" s="1192" customFormat="1" ht="14.4" x14ac:dyDescent="0.3">
      <c r="A14112" s="1192" t="s">
        <v>165</v>
      </c>
      <c r="E14112" s="2015" t="s">
        <v>2034</v>
      </c>
      <c r="F14112" s="2015"/>
      <c r="G14112" s="1359" t="s">
        <v>20</v>
      </c>
      <c r="H14112" s="1354">
        <v>4.0000000000000002E-4</v>
      </c>
      <c r="K14112" s="1192" t="s">
        <v>4243</v>
      </c>
      <c r="L14112" s="1192" t="s">
        <v>2374</v>
      </c>
      <c r="P14112" s="1192" t="s">
        <v>4251</v>
      </c>
      <c r="V14112" s="1192">
        <v>65</v>
      </c>
    </row>
    <row r="14113" spans="1:22" s="1192" customFormat="1" ht="14.4" x14ac:dyDescent="0.3">
      <c r="A14113" s="1192" t="s">
        <v>165</v>
      </c>
      <c r="E14113" s="2015" t="s">
        <v>428</v>
      </c>
      <c r="F14113" s="2015"/>
      <c r="G14113" s="1359" t="s">
        <v>20</v>
      </c>
      <c r="H14113" s="1354">
        <v>5.0000000000000001E-4</v>
      </c>
      <c r="K14113" s="1192" t="s">
        <v>4243</v>
      </c>
      <c r="L14113" s="1192" t="s">
        <v>2374</v>
      </c>
      <c r="P14113" s="1192" t="s">
        <v>4252</v>
      </c>
      <c r="V14113" s="1192">
        <v>57</v>
      </c>
    </row>
    <row r="14114" spans="1:22" s="1192" customFormat="1" ht="14.4" x14ac:dyDescent="0.3">
      <c r="A14114" s="1192" t="s">
        <v>165</v>
      </c>
      <c r="E14114" s="2015" t="s">
        <v>28</v>
      </c>
      <c r="F14114" s="2015"/>
      <c r="G14114" s="1359" t="s">
        <v>19</v>
      </c>
      <c r="H14114" s="509">
        <v>0.25</v>
      </c>
      <c r="K14114" s="1192" t="s">
        <v>4243</v>
      </c>
      <c r="L14114" s="1192" t="s">
        <v>2374</v>
      </c>
      <c r="P14114" s="1192" t="s">
        <v>4253</v>
      </c>
      <c r="V14114" s="1192">
        <v>63</v>
      </c>
    </row>
    <row r="14115" spans="1:22" s="1192" customFormat="1" ht="17.399999999999999" x14ac:dyDescent="0.3">
      <c r="A14115" s="1192" t="s">
        <v>165</v>
      </c>
      <c r="E14115" s="2186" t="s">
        <v>2527</v>
      </c>
      <c r="F14115" s="2186"/>
      <c r="G14115" s="2186"/>
      <c r="H14115" s="2186"/>
      <c r="K14115" s="1192" t="s">
        <v>4254</v>
      </c>
      <c r="V14115" s="1192">
        <v>56</v>
      </c>
    </row>
    <row r="14116" spans="1:22" s="1192" customFormat="1" ht="14.4" x14ac:dyDescent="0.3">
      <c r="A14116" s="1192" t="s">
        <v>165</v>
      </c>
      <c r="E14116" s="2188" t="s">
        <v>3559</v>
      </c>
      <c r="F14116" s="2188"/>
      <c r="G14116" s="2188"/>
      <c r="H14116" s="2188"/>
      <c r="K14116" s="1192" t="s">
        <v>4254</v>
      </c>
      <c r="V14116" s="1192">
        <v>543</v>
      </c>
    </row>
    <row r="14117" spans="1:22" s="1192" customFormat="1" ht="14.4" x14ac:dyDescent="0.3">
      <c r="A14117" s="1192" t="s">
        <v>165</v>
      </c>
      <c r="E14117" s="2189" t="s">
        <v>2389</v>
      </c>
      <c r="F14117" s="2190"/>
      <c r="G14117" s="2190"/>
      <c r="H14117" s="2190"/>
      <c r="K14117" s="1192" t="s">
        <v>2424</v>
      </c>
      <c r="V14117" s="1192">
        <v>11</v>
      </c>
    </row>
    <row r="14118" spans="1:22" s="1192" customFormat="1" ht="14.4" x14ac:dyDescent="0.3">
      <c r="A14118" s="1192" t="s">
        <v>165</v>
      </c>
      <c r="E14118" s="2188" t="s">
        <v>2391</v>
      </c>
      <c r="F14118" s="2188"/>
      <c r="G14118" s="2188"/>
      <c r="H14118" s="2188"/>
      <c r="K14118" s="1192" t="s">
        <v>4254</v>
      </c>
      <c r="V14118" s="1192">
        <v>280</v>
      </c>
    </row>
    <row r="14119" spans="1:22" s="1192" customFormat="1" ht="14.4" x14ac:dyDescent="0.3">
      <c r="A14119" s="1192" t="s">
        <v>165</v>
      </c>
      <c r="E14119" s="2188" t="s">
        <v>2392</v>
      </c>
      <c r="F14119" s="2188"/>
      <c r="G14119" s="2188"/>
      <c r="H14119" s="2188"/>
      <c r="K14119" s="1192" t="s">
        <v>4254</v>
      </c>
      <c r="V14119" s="1192">
        <v>411</v>
      </c>
    </row>
    <row r="14120" spans="1:22" s="1192" customFormat="1" ht="14.4" x14ac:dyDescent="0.3">
      <c r="A14120" s="1192" t="s">
        <v>165</v>
      </c>
      <c r="E14120" s="2188" t="s">
        <v>2393</v>
      </c>
      <c r="F14120" s="2188"/>
      <c r="G14120" s="2188"/>
      <c r="H14120" s="2188"/>
      <c r="K14120" s="1192" t="s">
        <v>4254</v>
      </c>
      <c r="V14120" s="1192">
        <v>387</v>
      </c>
    </row>
    <row r="14121" spans="1:22" s="1192" customFormat="1" ht="14.4" x14ac:dyDescent="0.3">
      <c r="A14121" s="1192" t="s">
        <v>165</v>
      </c>
      <c r="E14121" s="2188" t="s">
        <v>2530</v>
      </c>
      <c r="F14121" s="2188"/>
      <c r="G14121" s="2188"/>
      <c r="H14121" s="2188"/>
      <c r="K14121" s="1192" t="s">
        <v>4254</v>
      </c>
      <c r="V14121" s="1192">
        <v>610</v>
      </c>
    </row>
    <row r="14122" spans="1:22" s="1192" customFormat="1" ht="14.4" x14ac:dyDescent="0.3">
      <c r="A14122" s="1192" t="s">
        <v>165</v>
      </c>
      <c r="E14122" s="2188" t="s">
        <v>3558</v>
      </c>
      <c r="F14122" s="2188"/>
      <c r="G14122" s="2188"/>
      <c r="H14122" s="2188"/>
      <c r="K14122" s="1192" t="s">
        <v>4254</v>
      </c>
      <c r="V14122" s="1192">
        <v>636</v>
      </c>
    </row>
    <row r="14123" spans="1:22" s="1192" customFormat="1" ht="14.4" x14ac:dyDescent="0.3">
      <c r="A14123" s="1192" t="s">
        <v>165</v>
      </c>
      <c r="E14123" s="2188" t="s">
        <v>2661</v>
      </c>
      <c r="F14123" s="2188"/>
      <c r="G14123" s="2188"/>
      <c r="H14123" s="2188"/>
      <c r="K14123" s="1192" t="s">
        <v>4254</v>
      </c>
      <c r="V14123" s="1192">
        <v>274</v>
      </c>
    </row>
    <row r="14124" spans="1:22" s="1192" customFormat="1" ht="14.4" x14ac:dyDescent="0.3">
      <c r="A14124" s="1192" t="s">
        <v>165</v>
      </c>
      <c r="E14124" s="2013" t="s">
        <v>2394</v>
      </c>
      <c r="F14124" s="2014"/>
      <c r="G14124" s="2014"/>
      <c r="H14124" s="2014"/>
      <c r="K14124" s="1192" t="s">
        <v>2425</v>
      </c>
      <c r="V14124" s="1192">
        <v>46</v>
      </c>
    </row>
    <row r="14125" spans="1:22" s="1192" customFormat="1" ht="14.4" x14ac:dyDescent="0.3">
      <c r="A14125" s="1192" t="s">
        <v>165</v>
      </c>
      <c r="E14125" s="2015" t="s">
        <v>7</v>
      </c>
      <c r="F14125" s="2015"/>
      <c r="G14125" s="1359" t="s">
        <v>19</v>
      </c>
      <c r="H14125" s="509">
        <v>926</v>
      </c>
      <c r="K14125" s="1192" t="s">
        <v>4254</v>
      </c>
      <c r="L14125" s="1192" t="s">
        <v>430</v>
      </c>
      <c r="P14125" s="1192" t="s">
        <v>4255</v>
      </c>
      <c r="V14125" s="1192">
        <v>14</v>
      </c>
    </row>
    <row r="14126" spans="1:22" s="1192" customFormat="1" ht="14.4" x14ac:dyDescent="0.3">
      <c r="A14126" s="1192" t="s">
        <v>165</v>
      </c>
      <c r="E14126" s="2015" t="s">
        <v>6726</v>
      </c>
      <c r="F14126" s="2015"/>
      <c r="G14126" s="1359" t="s">
        <v>19</v>
      </c>
      <c r="H14126" s="509">
        <v>-5.18</v>
      </c>
      <c r="K14126" s="1192" t="s">
        <v>4254</v>
      </c>
      <c r="L14126" s="1192" t="s">
        <v>430</v>
      </c>
      <c r="P14126" s="1192" t="s">
        <v>6759</v>
      </c>
      <c r="T14126" s="1192">
        <v>44561</v>
      </c>
      <c r="V14126" s="1192">
        <v>84</v>
      </c>
    </row>
    <row r="14127" spans="1:22" s="1192" customFormat="1" ht="14.4" x14ac:dyDescent="0.3">
      <c r="A14127" s="1192" t="s">
        <v>165</v>
      </c>
      <c r="E14127" s="2015" t="s">
        <v>80</v>
      </c>
      <c r="F14127" s="2015"/>
      <c r="G14127" s="1359" t="s">
        <v>21</v>
      </c>
      <c r="H14127" s="1361">
        <v>6.5218999999999996</v>
      </c>
      <c r="K14127" s="1192" t="s">
        <v>4254</v>
      </c>
      <c r="L14127" s="1192" t="s">
        <v>430</v>
      </c>
      <c r="P14127" s="1192" t="s">
        <v>4256</v>
      </c>
      <c r="V14127" s="1192">
        <v>28</v>
      </c>
    </row>
    <row r="14128" spans="1:22" s="1192" customFormat="1" ht="14.4" x14ac:dyDescent="0.3">
      <c r="A14128" s="1192" t="s">
        <v>165</v>
      </c>
      <c r="E14128" s="2015" t="s">
        <v>6718</v>
      </c>
      <c r="F14128" s="2015"/>
      <c r="G14128" s="1359" t="s">
        <v>21</v>
      </c>
      <c r="H14128" s="1361">
        <v>6.8900000000000003E-2</v>
      </c>
      <c r="K14128" s="1192" t="s">
        <v>4254</v>
      </c>
      <c r="L14128" s="1192" t="s">
        <v>430</v>
      </c>
      <c r="P14128" s="1192" t="s">
        <v>6760</v>
      </c>
      <c r="T14128" s="1192">
        <v>44196</v>
      </c>
      <c r="V14128" s="1192">
        <v>104</v>
      </c>
    </row>
    <row r="14129" spans="1:22" s="1192" customFormat="1" ht="14.4" x14ac:dyDescent="0.3">
      <c r="A14129" s="1192" t="s">
        <v>165</v>
      </c>
      <c r="E14129" s="2015" t="s">
        <v>6719</v>
      </c>
      <c r="F14129" s="2015"/>
      <c r="G14129" s="1359" t="s">
        <v>21</v>
      </c>
      <c r="H14129" s="1361">
        <v>6.2399999999999997E-2</v>
      </c>
      <c r="K14129" s="1192" t="s">
        <v>4254</v>
      </c>
      <c r="L14129" s="1192" t="s">
        <v>430</v>
      </c>
      <c r="P14129" s="1192" t="s">
        <v>6761</v>
      </c>
      <c r="T14129" s="1192">
        <v>44196</v>
      </c>
      <c r="V14129" s="1192">
        <v>87</v>
      </c>
    </row>
    <row r="14130" spans="1:22" s="1192" customFormat="1" ht="14.4" x14ac:dyDescent="0.3">
      <c r="A14130" s="1192" t="s">
        <v>165</v>
      </c>
      <c r="E14130" s="2015" t="s">
        <v>6721</v>
      </c>
      <c r="F14130" s="2015"/>
      <c r="G14130" s="1359" t="s">
        <v>21</v>
      </c>
      <c r="H14130" s="1219">
        <v>-0.32440000000000002</v>
      </c>
      <c r="K14130" s="1192" t="s">
        <v>4254</v>
      </c>
      <c r="L14130" s="1192" t="s">
        <v>430</v>
      </c>
      <c r="P14130" s="1192" t="s">
        <v>6762</v>
      </c>
      <c r="T14130" s="1192">
        <v>44561</v>
      </c>
      <c r="V14130" s="1192">
        <v>102</v>
      </c>
    </row>
    <row r="14131" spans="1:22" s="1192" customFormat="1" ht="14.4" x14ac:dyDescent="0.3">
      <c r="A14131" s="1192" t="s">
        <v>165</v>
      </c>
      <c r="E14131" s="2015" t="s">
        <v>6723</v>
      </c>
      <c r="F14131" s="2015"/>
      <c r="G14131" s="1359" t="s">
        <v>21</v>
      </c>
      <c r="H14131" s="1219">
        <v>-5.1999999999999998E-2</v>
      </c>
      <c r="K14131" s="1192" t="s">
        <v>4254</v>
      </c>
      <c r="L14131" s="1192" t="s">
        <v>430</v>
      </c>
      <c r="P14131" s="1192" t="s">
        <v>6763</v>
      </c>
      <c r="T14131" s="1192">
        <v>44561</v>
      </c>
      <c r="V14131" s="1192">
        <v>91</v>
      </c>
    </row>
    <row r="14132" spans="1:22" s="1192" customFormat="1" ht="14.4" x14ac:dyDescent="0.3">
      <c r="A14132" s="1192" t="s">
        <v>165</v>
      </c>
      <c r="E14132" s="2015" t="s">
        <v>6724</v>
      </c>
      <c r="F14132" s="2015"/>
      <c r="G14132" s="1359" t="s">
        <v>21</v>
      </c>
      <c r="H14132" s="1219">
        <v>-1.5100000000000001E-2</v>
      </c>
      <c r="K14132" s="1192" t="s">
        <v>4254</v>
      </c>
      <c r="L14132" s="1192" t="s">
        <v>430</v>
      </c>
      <c r="P14132" s="1192" t="s">
        <v>6764</v>
      </c>
      <c r="T14132" s="1192">
        <v>44196</v>
      </c>
      <c r="V14132" s="1192">
        <v>107</v>
      </c>
    </row>
    <row r="14133" spans="1:22" s="1192" customFormat="1" ht="14.4" x14ac:dyDescent="0.3">
      <c r="A14133" s="1192" t="s">
        <v>165</v>
      </c>
      <c r="E14133" s="2015" t="s">
        <v>6725</v>
      </c>
      <c r="F14133" s="2015"/>
      <c r="G14133" s="1359" t="s">
        <v>21</v>
      </c>
      <c r="H14133" s="1219">
        <v>-3.0700000000000002E-2</v>
      </c>
      <c r="K14133" s="1192" t="s">
        <v>4254</v>
      </c>
      <c r="L14133" s="1192" t="s">
        <v>430</v>
      </c>
      <c r="P14133" s="1192" t="s">
        <v>6765</v>
      </c>
      <c r="T14133" s="1192">
        <v>44196</v>
      </c>
      <c r="V14133" s="1192">
        <v>106</v>
      </c>
    </row>
    <row r="14134" spans="1:22" s="1192" customFormat="1" ht="14.4" x14ac:dyDescent="0.3">
      <c r="A14134" s="1192" t="s">
        <v>165</v>
      </c>
      <c r="E14134" s="2015" t="s">
        <v>6726</v>
      </c>
      <c r="F14134" s="2015"/>
      <c r="G14134" s="1359" t="s">
        <v>21</v>
      </c>
      <c r="H14134" s="1360">
        <v>1.24E-2</v>
      </c>
      <c r="K14134" s="1192" t="s">
        <v>4254</v>
      </c>
      <c r="L14134" s="1192" t="s">
        <v>430</v>
      </c>
      <c r="P14134" s="1192" t="s">
        <v>6766</v>
      </c>
      <c r="T14134" s="1192">
        <v>44561</v>
      </c>
      <c r="V14134" s="1192">
        <v>84</v>
      </c>
    </row>
    <row r="14135" spans="1:22" s="1192" customFormat="1" ht="66.599999999999994" x14ac:dyDescent="0.3">
      <c r="A14135" s="1192" t="s">
        <v>165</v>
      </c>
      <c r="E14135" s="1365" t="s">
        <v>6756</v>
      </c>
      <c r="F14135" s="1363"/>
      <c r="G14135" s="1359" t="s">
        <v>21</v>
      </c>
      <c r="H14135" s="1219">
        <v>-0.10199999999999999</v>
      </c>
      <c r="K14135" s="1192" t="s">
        <v>4254</v>
      </c>
      <c r="L14135" s="1192" t="s">
        <v>431</v>
      </c>
      <c r="P14135" s="1192" t="s">
        <v>4259</v>
      </c>
      <c r="T14135" s="1192">
        <v>44561</v>
      </c>
      <c r="V14135" s="1192">
        <v>179</v>
      </c>
    </row>
    <row r="14136" spans="1:22" s="1192" customFormat="1" ht="53.4" x14ac:dyDescent="0.3">
      <c r="A14136" s="1192" t="s">
        <v>165</v>
      </c>
      <c r="E14136" s="1362" t="s">
        <v>6767</v>
      </c>
      <c r="F14136" s="1363"/>
      <c r="G14136" s="1359" t="s">
        <v>21</v>
      </c>
      <c r="H14136" s="1361">
        <v>0.2757</v>
      </c>
      <c r="K14136" s="1192" t="s">
        <v>4254</v>
      </c>
      <c r="L14136" s="1192" t="s">
        <v>431</v>
      </c>
      <c r="P14136" s="1192" t="s">
        <v>4259</v>
      </c>
      <c r="T14136" s="1192">
        <v>44561</v>
      </c>
      <c r="V14136" s="1192">
        <v>124</v>
      </c>
    </row>
    <row r="14137" spans="1:22" s="1192" customFormat="1" ht="66.599999999999994" x14ac:dyDescent="0.3">
      <c r="A14137" s="1192" t="s">
        <v>165</v>
      </c>
      <c r="E14137" s="1363" t="s">
        <v>6758</v>
      </c>
      <c r="F14137" s="1363"/>
      <c r="G14137" s="1359" t="s">
        <v>21</v>
      </c>
      <c r="H14137" s="1219">
        <v>-6.4999999999999997E-3</v>
      </c>
      <c r="K14137" s="1192" t="s">
        <v>4254</v>
      </c>
      <c r="L14137" s="1192" t="s">
        <v>431</v>
      </c>
      <c r="P14137" s="1192" t="s">
        <v>4257</v>
      </c>
      <c r="T14137" s="1192">
        <v>44561</v>
      </c>
      <c r="V14137" s="1192">
        <v>168</v>
      </c>
    </row>
    <row r="14138" spans="1:22" s="1192" customFormat="1" ht="66.599999999999994" x14ac:dyDescent="0.3">
      <c r="A14138" s="1192" t="s">
        <v>165</v>
      </c>
      <c r="E14138" s="1363" t="s">
        <v>6729</v>
      </c>
      <c r="F14138" s="1363"/>
      <c r="G14138" s="1359" t="s">
        <v>20</v>
      </c>
      <c r="H14138" s="1461">
        <v>-1.5900000000000001E-3</v>
      </c>
      <c r="K14138" s="1192" t="s">
        <v>4254</v>
      </c>
      <c r="L14138" s="1192" t="s">
        <v>431</v>
      </c>
      <c r="P14138" s="1192" t="s">
        <v>4258</v>
      </c>
      <c r="T14138" s="1192">
        <v>44561</v>
      </c>
      <c r="V14138" s="1192">
        <v>162</v>
      </c>
    </row>
    <row r="14139" spans="1:22" s="1192" customFormat="1" ht="14.4" x14ac:dyDescent="0.3">
      <c r="A14139" s="1192" t="s">
        <v>165</v>
      </c>
      <c r="E14139" s="2015" t="s">
        <v>213</v>
      </c>
      <c r="F14139" s="2015"/>
      <c r="G14139" s="1359" t="s">
        <v>29</v>
      </c>
      <c r="H14139" s="1219">
        <v>2.8833000000000002</v>
      </c>
      <c r="K14139" s="1192" t="s">
        <v>4254</v>
      </c>
      <c r="L14139" s="1192" t="s">
        <v>432</v>
      </c>
      <c r="P14139" s="1192" t="s">
        <v>4260</v>
      </c>
      <c r="V14139" s="1192">
        <v>47</v>
      </c>
    </row>
    <row r="14140" spans="1:22" s="1192" customFormat="1" ht="14.4" x14ac:dyDescent="0.3">
      <c r="A14140" s="1192" t="s">
        <v>165</v>
      </c>
      <c r="E14140" s="2015" t="s">
        <v>209</v>
      </c>
      <c r="F14140" s="2015"/>
      <c r="G14140" s="1359" t="s">
        <v>29</v>
      </c>
      <c r="H14140" s="1219">
        <v>2.3797000000000001</v>
      </c>
      <c r="K14140" s="1192" t="s">
        <v>4254</v>
      </c>
      <c r="L14140" s="1192" t="s">
        <v>432</v>
      </c>
      <c r="P14140" s="1192" t="s">
        <v>4261</v>
      </c>
      <c r="V14140" s="1192">
        <v>74</v>
      </c>
    </row>
    <row r="14141" spans="1:22" s="1192" customFormat="1" ht="14.4" x14ac:dyDescent="0.3">
      <c r="A14141" s="1192" t="s">
        <v>165</v>
      </c>
      <c r="E14141" s="2184" t="s">
        <v>2405</v>
      </c>
      <c r="F14141" s="2185"/>
      <c r="G14141" s="1359"/>
      <c r="H14141" s="1366"/>
      <c r="K14141" s="1192" t="s">
        <v>2427</v>
      </c>
      <c r="V14141" s="1192">
        <v>48</v>
      </c>
    </row>
    <row r="14142" spans="1:22" s="1192" customFormat="1" ht="14.4" x14ac:dyDescent="0.3">
      <c r="A14142" s="1192" t="s">
        <v>165</v>
      </c>
      <c r="E14142" s="2015" t="s">
        <v>2033</v>
      </c>
      <c r="F14142" s="2015"/>
      <c r="G14142" s="1359" t="s">
        <v>20</v>
      </c>
      <c r="H14142" s="1219">
        <v>3.0000000000000001E-3</v>
      </c>
      <c r="K14142" s="1192" t="s">
        <v>4254</v>
      </c>
      <c r="L14142" s="1192" t="s">
        <v>2374</v>
      </c>
      <c r="P14142" s="1192" t="s">
        <v>4262</v>
      </c>
      <c r="V14142" s="1192">
        <v>55</v>
      </c>
    </row>
    <row r="14143" spans="1:22" s="1192" customFormat="1" ht="14.4" x14ac:dyDescent="0.3">
      <c r="A14143" s="1192" t="s">
        <v>165</v>
      </c>
      <c r="E14143" s="2015" t="s">
        <v>2034</v>
      </c>
      <c r="F14143" s="2015"/>
      <c r="G14143" s="1359" t="s">
        <v>20</v>
      </c>
      <c r="H14143" s="1354">
        <v>4.0000000000000002E-4</v>
      </c>
      <c r="K14143" s="1192" t="s">
        <v>4254</v>
      </c>
      <c r="L14143" s="1192" t="s">
        <v>2374</v>
      </c>
      <c r="P14143" s="1192" t="s">
        <v>4262</v>
      </c>
      <c r="V14143" s="1192">
        <v>65</v>
      </c>
    </row>
    <row r="14144" spans="1:22" s="1192" customFormat="1" ht="14.4" x14ac:dyDescent="0.3">
      <c r="A14144" s="1192" t="s">
        <v>165</v>
      </c>
      <c r="E14144" s="2015" t="s">
        <v>428</v>
      </c>
      <c r="F14144" s="2015"/>
      <c r="G14144" s="1359" t="s">
        <v>20</v>
      </c>
      <c r="H14144" s="1354">
        <v>5.0000000000000001E-4</v>
      </c>
      <c r="K14144" s="1192" t="s">
        <v>4254</v>
      </c>
      <c r="L14144" s="1192" t="s">
        <v>2374</v>
      </c>
      <c r="P14144" s="1192" t="s">
        <v>4263</v>
      </c>
      <c r="V14144" s="1192">
        <v>57</v>
      </c>
    </row>
    <row r="14145" spans="1:22" s="1192" customFormat="1" ht="14.4" x14ac:dyDescent="0.3">
      <c r="A14145" s="1192" t="s">
        <v>165</v>
      </c>
      <c r="E14145" s="2015" t="s">
        <v>28</v>
      </c>
      <c r="F14145" s="2015"/>
      <c r="G14145" s="1359" t="s">
        <v>19</v>
      </c>
      <c r="H14145" s="1360">
        <v>0.25</v>
      </c>
      <c r="K14145" s="1192" t="s">
        <v>4254</v>
      </c>
      <c r="L14145" s="1192" t="s">
        <v>2374</v>
      </c>
      <c r="P14145" s="1192" t="s">
        <v>4264</v>
      </c>
      <c r="V14145" s="1192">
        <v>63</v>
      </c>
    </row>
    <row r="14146" spans="1:22" s="1192" customFormat="1" ht="17.399999999999999" x14ac:dyDescent="0.3">
      <c r="A14146" s="1192" t="s">
        <v>165</v>
      </c>
      <c r="E14146" s="2186" t="s">
        <v>596</v>
      </c>
      <c r="F14146" s="2187"/>
      <c r="G14146" s="2187"/>
      <c r="H14146" s="2187"/>
      <c r="K14146" s="1192" t="s">
        <v>2608</v>
      </c>
      <c r="V14146" s="1192">
        <v>32</v>
      </c>
    </row>
    <row r="14147" spans="1:22" s="1192" customFormat="1" ht="14.4" x14ac:dyDescent="0.3">
      <c r="A14147" s="1192" t="s">
        <v>165</v>
      </c>
      <c r="E14147" s="2188" t="s">
        <v>3560</v>
      </c>
      <c r="F14147" s="2188"/>
      <c r="G14147" s="2188"/>
      <c r="H14147" s="2188"/>
      <c r="K14147" s="1192" t="s">
        <v>2608</v>
      </c>
      <c r="V14147" s="1192">
        <v>352</v>
      </c>
    </row>
    <row r="14148" spans="1:22" s="1192" customFormat="1" ht="14.4" x14ac:dyDescent="0.3">
      <c r="A14148" s="1192" t="s">
        <v>165</v>
      </c>
      <c r="E14148" s="2189" t="s">
        <v>2389</v>
      </c>
      <c r="F14148" s="2190"/>
      <c r="G14148" s="2190"/>
      <c r="H14148" s="2190"/>
      <c r="K14148" s="1192" t="s">
        <v>2430</v>
      </c>
      <c r="V14148" s="1192">
        <v>11</v>
      </c>
    </row>
    <row r="14149" spans="1:22" s="1192" customFormat="1" ht="14.4" x14ac:dyDescent="0.3">
      <c r="A14149" s="1192" t="s">
        <v>165</v>
      </c>
      <c r="E14149" s="2188" t="s">
        <v>2391</v>
      </c>
      <c r="F14149" s="2188"/>
      <c r="G14149" s="2188"/>
      <c r="H14149" s="2188"/>
      <c r="K14149" s="1192" t="s">
        <v>2608</v>
      </c>
      <c r="V14149" s="1192">
        <v>280</v>
      </c>
    </row>
    <row r="14150" spans="1:22" s="1192" customFormat="1" ht="14.4" x14ac:dyDescent="0.3">
      <c r="A14150" s="1192" t="s">
        <v>165</v>
      </c>
      <c r="E14150" s="2188" t="s">
        <v>2392</v>
      </c>
      <c r="F14150" s="2188"/>
      <c r="G14150" s="2188"/>
      <c r="H14150" s="2188"/>
      <c r="K14150" s="1192" t="s">
        <v>2608</v>
      </c>
      <c r="V14150" s="1192">
        <v>411</v>
      </c>
    </row>
    <row r="14151" spans="1:22" s="1192" customFormat="1" ht="14.4" x14ac:dyDescent="0.3">
      <c r="A14151" s="1192" t="s">
        <v>165</v>
      </c>
      <c r="E14151" s="2188" t="s">
        <v>2393</v>
      </c>
      <c r="F14151" s="2188"/>
      <c r="G14151" s="2188"/>
      <c r="H14151" s="2188"/>
      <c r="K14151" s="1192" t="s">
        <v>2608</v>
      </c>
      <c r="V14151" s="1192">
        <v>387</v>
      </c>
    </row>
    <row r="14152" spans="1:22" s="1192" customFormat="1" ht="14.4" x14ac:dyDescent="0.3">
      <c r="A14152" s="1192" t="s">
        <v>165</v>
      </c>
      <c r="E14152" s="2188" t="s">
        <v>2530</v>
      </c>
      <c r="F14152" s="2188"/>
      <c r="G14152" s="2188"/>
      <c r="H14152" s="2188"/>
      <c r="K14152" s="1192" t="s">
        <v>2608</v>
      </c>
      <c r="V14152" s="1192">
        <v>610</v>
      </c>
    </row>
    <row r="14153" spans="1:22" s="1192" customFormat="1" ht="14.4" x14ac:dyDescent="0.3">
      <c r="A14153" s="1192" t="s">
        <v>165</v>
      </c>
      <c r="E14153" s="2188" t="s">
        <v>3558</v>
      </c>
      <c r="F14153" s="2188"/>
      <c r="G14153" s="2188"/>
      <c r="H14153" s="2188"/>
      <c r="K14153" s="1192" t="s">
        <v>2608</v>
      </c>
      <c r="V14153" s="1192">
        <v>636</v>
      </c>
    </row>
    <row r="14154" spans="1:22" s="1192" customFormat="1" ht="14.4" x14ac:dyDescent="0.3">
      <c r="A14154" s="1192" t="s">
        <v>165</v>
      </c>
      <c r="E14154" s="2188" t="s">
        <v>2661</v>
      </c>
      <c r="F14154" s="2188"/>
      <c r="G14154" s="2188"/>
      <c r="H14154" s="2188"/>
      <c r="K14154" s="1192" t="s">
        <v>2608</v>
      </c>
      <c r="V14154" s="1192">
        <v>274</v>
      </c>
    </row>
    <row r="14155" spans="1:22" s="1192" customFormat="1" ht="14.4" x14ac:dyDescent="0.3">
      <c r="A14155" s="1192" t="s">
        <v>165</v>
      </c>
      <c r="E14155" s="2013" t="s">
        <v>2394</v>
      </c>
      <c r="F14155" s="2014"/>
      <c r="G14155" s="2014"/>
      <c r="H14155" s="2014"/>
      <c r="K14155" s="1192" t="s">
        <v>2431</v>
      </c>
      <c r="V14155" s="1192">
        <v>46</v>
      </c>
    </row>
    <row r="14156" spans="1:22" s="1192" customFormat="1" ht="14.4" x14ac:dyDescent="0.3">
      <c r="A14156" s="1192" t="s">
        <v>165</v>
      </c>
      <c r="E14156" s="2015" t="s">
        <v>7</v>
      </c>
      <c r="F14156" s="2015"/>
      <c r="G14156" s="1359" t="s">
        <v>19</v>
      </c>
      <c r="H14156" s="1361">
        <v>4099.1400000000003</v>
      </c>
      <c r="K14156" s="1192" t="s">
        <v>2608</v>
      </c>
      <c r="L14156" s="1192" t="s">
        <v>430</v>
      </c>
      <c r="P14156" s="1192" t="s">
        <v>2609</v>
      </c>
      <c r="V14156" s="1192">
        <v>14</v>
      </c>
    </row>
    <row r="14157" spans="1:22" s="1192" customFormat="1" ht="14.4" x14ac:dyDescent="0.3">
      <c r="A14157" s="1192" t="s">
        <v>165</v>
      </c>
      <c r="E14157" s="2015" t="s">
        <v>6726</v>
      </c>
      <c r="F14157" s="2015"/>
      <c r="G14157" s="1359" t="s">
        <v>19</v>
      </c>
      <c r="H14157" s="509">
        <v>-21.8</v>
      </c>
      <c r="K14157" s="1192" t="s">
        <v>2608</v>
      </c>
      <c r="L14157" s="1192" t="s">
        <v>430</v>
      </c>
      <c r="P14157" s="1192" t="s">
        <v>6768</v>
      </c>
      <c r="T14157" s="1192">
        <v>44561</v>
      </c>
      <c r="V14157" s="1192">
        <v>84</v>
      </c>
    </row>
    <row r="14158" spans="1:22" s="1192" customFormat="1" ht="14.4" x14ac:dyDescent="0.3">
      <c r="A14158" s="1192" t="s">
        <v>165</v>
      </c>
      <c r="E14158" s="2015" t="s">
        <v>80</v>
      </c>
      <c r="F14158" s="2015"/>
      <c r="G14158" s="1359" t="s">
        <v>21</v>
      </c>
      <c r="H14158" s="1361">
        <v>7.0664999999999996</v>
      </c>
      <c r="K14158" s="1192" t="s">
        <v>2608</v>
      </c>
      <c r="L14158" s="1192" t="s">
        <v>430</v>
      </c>
      <c r="P14158" s="1192" t="s">
        <v>2610</v>
      </c>
      <c r="V14158" s="1192">
        <v>28</v>
      </c>
    </row>
    <row r="14159" spans="1:22" s="1192" customFormat="1" ht="14.4" x14ac:dyDescent="0.3">
      <c r="A14159" s="1192" t="s">
        <v>165</v>
      </c>
      <c r="E14159" s="2015" t="s">
        <v>6718</v>
      </c>
      <c r="F14159" s="2015"/>
      <c r="G14159" s="1359" t="s">
        <v>21</v>
      </c>
      <c r="H14159" s="1361">
        <v>8.1299999999999997E-2</v>
      </c>
      <c r="K14159" s="1192" t="s">
        <v>2608</v>
      </c>
      <c r="L14159" s="1192" t="s">
        <v>430</v>
      </c>
      <c r="P14159" s="1192" t="s">
        <v>6769</v>
      </c>
      <c r="T14159" s="1192">
        <v>44196</v>
      </c>
      <c r="V14159" s="1192">
        <v>104</v>
      </c>
    </row>
    <row r="14160" spans="1:22" s="1192" customFormat="1" ht="14.4" x14ac:dyDescent="0.3">
      <c r="A14160" s="1192" t="s">
        <v>165</v>
      </c>
      <c r="E14160" s="2015" t="s">
        <v>6719</v>
      </c>
      <c r="F14160" s="2015"/>
      <c r="G14160" s="1359" t="s">
        <v>21</v>
      </c>
      <c r="H14160" s="1361">
        <v>7.3599999999999999E-2</v>
      </c>
      <c r="K14160" s="1192" t="s">
        <v>2608</v>
      </c>
      <c r="L14160" s="1192" t="s">
        <v>430</v>
      </c>
      <c r="P14160" s="1192" t="s">
        <v>6770</v>
      </c>
      <c r="T14160" s="1192">
        <v>44196</v>
      </c>
      <c r="V14160" s="1192">
        <v>87</v>
      </c>
    </row>
    <row r="14161" spans="1:22" s="1192" customFormat="1" ht="14.4" x14ac:dyDescent="0.3">
      <c r="A14161" s="1192" t="s">
        <v>165</v>
      </c>
      <c r="E14161" s="2015" t="s">
        <v>6721</v>
      </c>
      <c r="F14161" s="2015"/>
      <c r="G14161" s="1359" t="s">
        <v>21</v>
      </c>
      <c r="H14161" s="1219">
        <v>-0.38269999999999998</v>
      </c>
      <c r="K14161" s="1192" t="s">
        <v>2608</v>
      </c>
      <c r="L14161" s="1192" t="s">
        <v>430</v>
      </c>
      <c r="P14161" s="1192" t="s">
        <v>6771</v>
      </c>
      <c r="T14161" s="1192">
        <v>44561</v>
      </c>
      <c r="V14161" s="1192">
        <v>102</v>
      </c>
    </row>
    <row r="14162" spans="1:22" s="1192" customFormat="1" ht="14.4" x14ac:dyDescent="0.3">
      <c r="A14162" s="1192" t="s">
        <v>165</v>
      </c>
      <c r="E14162" s="2015" t="s">
        <v>6723</v>
      </c>
      <c r="F14162" s="2015"/>
      <c r="G14162" s="1359" t="s">
        <v>21</v>
      </c>
      <c r="H14162" s="1219">
        <v>-6.13E-2</v>
      </c>
      <c r="K14162" s="1192" t="s">
        <v>2608</v>
      </c>
      <c r="L14162" s="1192" t="s">
        <v>430</v>
      </c>
      <c r="P14162" s="1192" t="s">
        <v>6772</v>
      </c>
      <c r="T14162" s="1192">
        <v>44561</v>
      </c>
      <c r="V14162" s="1192">
        <v>91</v>
      </c>
    </row>
    <row r="14163" spans="1:22" s="1192" customFormat="1" ht="14.4" x14ac:dyDescent="0.3">
      <c r="A14163" s="1192" t="s">
        <v>165</v>
      </c>
      <c r="E14163" s="2015" t="s">
        <v>6724</v>
      </c>
      <c r="F14163" s="2015"/>
      <c r="G14163" s="1359" t="s">
        <v>21</v>
      </c>
      <c r="H14163" s="1219">
        <v>-1.78E-2</v>
      </c>
      <c r="K14163" s="1192" t="s">
        <v>2608</v>
      </c>
      <c r="L14163" s="1192" t="s">
        <v>430</v>
      </c>
      <c r="P14163" s="1192" t="s">
        <v>6773</v>
      </c>
      <c r="T14163" s="1192">
        <v>44196</v>
      </c>
      <c r="V14163" s="1192">
        <v>107</v>
      </c>
    </row>
    <row r="14164" spans="1:22" s="1192" customFormat="1" ht="14.4" x14ac:dyDescent="0.3">
      <c r="A14164" s="1192" t="s">
        <v>165</v>
      </c>
      <c r="E14164" s="2015" t="s">
        <v>6725</v>
      </c>
      <c r="F14164" s="2015"/>
      <c r="G14164" s="1359" t="s">
        <v>21</v>
      </c>
      <c r="H14164" s="1219">
        <v>-3.6200000000000003E-2</v>
      </c>
      <c r="K14164" s="1192" t="s">
        <v>2608</v>
      </c>
      <c r="L14164" s="1192" t="s">
        <v>430</v>
      </c>
      <c r="P14164" s="1192" t="s">
        <v>6774</v>
      </c>
      <c r="T14164" s="1192">
        <v>44196</v>
      </c>
      <c r="V14164" s="1192">
        <v>106</v>
      </c>
    </row>
    <row r="14165" spans="1:22" s="1192" customFormat="1" ht="14.4" x14ac:dyDescent="0.3">
      <c r="A14165" s="1192" t="s">
        <v>165</v>
      </c>
      <c r="E14165" s="2015" t="s">
        <v>6726</v>
      </c>
      <c r="F14165" s="2015"/>
      <c r="G14165" s="1359" t="s">
        <v>21</v>
      </c>
      <c r="H14165" s="1360">
        <v>1.95E-2</v>
      </c>
      <c r="K14165" s="1192" t="s">
        <v>2608</v>
      </c>
      <c r="L14165" s="1192" t="s">
        <v>430</v>
      </c>
      <c r="P14165" s="1192" t="s">
        <v>6775</v>
      </c>
      <c r="T14165" s="1192">
        <v>44561</v>
      </c>
      <c r="V14165" s="1192">
        <v>84</v>
      </c>
    </row>
    <row r="14166" spans="1:22" s="1192" customFormat="1" ht="66.599999999999994" x14ac:dyDescent="0.3">
      <c r="A14166" s="1192" t="s">
        <v>165</v>
      </c>
      <c r="E14166" s="1365" t="s">
        <v>6756</v>
      </c>
      <c r="F14166" s="1363"/>
      <c r="G14166" s="1359" t="s">
        <v>21</v>
      </c>
      <c r="H14166" s="1219">
        <v>-0.10639999999999999</v>
      </c>
      <c r="K14166" s="1192" t="s">
        <v>2608</v>
      </c>
      <c r="L14166" s="1192" t="s">
        <v>431</v>
      </c>
      <c r="P14166" s="1192" t="s">
        <v>2612</v>
      </c>
      <c r="T14166" s="1192">
        <v>44561</v>
      </c>
      <c r="V14166" s="1192">
        <v>179</v>
      </c>
    </row>
    <row r="14167" spans="1:22" s="1192" customFormat="1" ht="53.4" x14ac:dyDescent="0.3">
      <c r="A14167" s="1192" t="s">
        <v>165</v>
      </c>
      <c r="E14167" s="1362" t="s">
        <v>6757</v>
      </c>
      <c r="F14167" s="1363"/>
      <c r="G14167" s="1359" t="s">
        <v>21</v>
      </c>
      <c r="H14167" s="1361">
        <v>0.29389999999999999</v>
      </c>
      <c r="K14167" s="1192" t="s">
        <v>2608</v>
      </c>
      <c r="L14167" s="1192" t="s">
        <v>431</v>
      </c>
      <c r="P14167" s="1192" t="s">
        <v>2612</v>
      </c>
      <c r="T14167" s="1192">
        <v>44561</v>
      </c>
      <c r="V14167" s="1192">
        <v>124</v>
      </c>
    </row>
    <row r="14168" spans="1:22" s="1192" customFormat="1" ht="66.599999999999994" x14ac:dyDescent="0.3">
      <c r="A14168" s="1192" t="s">
        <v>165</v>
      </c>
      <c r="E14168" s="1363" t="s">
        <v>6758</v>
      </c>
      <c r="F14168" s="1363"/>
      <c r="G14168" s="1359" t="s">
        <v>21</v>
      </c>
      <c r="H14168" s="1219">
        <v>-4.5999999999999999E-3</v>
      </c>
      <c r="K14168" s="1192" t="s">
        <v>2608</v>
      </c>
      <c r="L14168" s="1192" t="s">
        <v>431</v>
      </c>
      <c r="P14168" s="1192" t="s">
        <v>4265</v>
      </c>
      <c r="T14168" s="1192">
        <v>44561</v>
      </c>
      <c r="V14168" s="1192">
        <v>168</v>
      </c>
    </row>
    <row r="14169" spans="1:22" s="1192" customFormat="1" ht="66.599999999999994" x14ac:dyDescent="0.3">
      <c r="A14169" s="1192" t="s">
        <v>165</v>
      </c>
      <c r="E14169" s="1363" t="s">
        <v>6729</v>
      </c>
      <c r="F14169" s="1363"/>
      <c r="G14169" s="1359" t="s">
        <v>20</v>
      </c>
      <c r="H14169" s="1461">
        <v>-1.5900000000000001E-3</v>
      </c>
      <c r="K14169" s="1192" t="s">
        <v>2608</v>
      </c>
      <c r="L14169" s="1192" t="s">
        <v>431</v>
      </c>
      <c r="P14169" s="1192" t="s">
        <v>2611</v>
      </c>
      <c r="T14169" s="1192">
        <v>44561</v>
      </c>
      <c r="V14169" s="1192">
        <v>162</v>
      </c>
    </row>
    <row r="14170" spans="1:22" s="1192" customFormat="1" ht="14.4" x14ac:dyDescent="0.3">
      <c r="A14170" s="1192" t="s">
        <v>165</v>
      </c>
      <c r="E14170" s="2015" t="s">
        <v>213</v>
      </c>
      <c r="F14170" s="2015"/>
      <c r="G14170" s="1359" t="s">
        <v>29</v>
      </c>
      <c r="H14170" s="1361">
        <v>3.2867999999999999</v>
      </c>
      <c r="K14170" s="1192" t="s">
        <v>2608</v>
      </c>
      <c r="L14170" s="1192" t="s">
        <v>432</v>
      </c>
      <c r="P14170" s="1192" t="s">
        <v>2613</v>
      </c>
      <c r="V14170" s="1192">
        <v>47</v>
      </c>
    </row>
    <row r="14171" spans="1:22" s="1192" customFormat="1" ht="14.4" x14ac:dyDescent="0.3">
      <c r="A14171" s="1192" t="s">
        <v>165</v>
      </c>
      <c r="E14171" s="2015" t="s">
        <v>209</v>
      </c>
      <c r="F14171" s="2015"/>
      <c r="G14171" s="1359" t="s">
        <v>29</v>
      </c>
      <c r="H14171" s="1361">
        <v>2.6438999999999999</v>
      </c>
      <c r="K14171" s="1192" t="s">
        <v>2608</v>
      </c>
      <c r="L14171" s="1192" t="s">
        <v>432</v>
      </c>
      <c r="P14171" s="1192" t="s">
        <v>2614</v>
      </c>
      <c r="V14171" s="1192">
        <v>74</v>
      </c>
    </row>
    <row r="14172" spans="1:22" s="1192" customFormat="1" ht="14.4" x14ac:dyDescent="0.3">
      <c r="A14172" s="1192" t="s">
        <v>165</v>
      </c>
      <c r="E14172" s="2184" t="s">
        <v>2405</v>
      </c>
      <c r="F14172" s="2185"/>
      <c r="G14172" s="1137"/>
      <c r="H14172" s="1364"/>
      <c r="K14172" s="1192" t="s">
        <v>2438</v>
      </c>
      <c r="V14172" s="1192">
        <v>48</v>
      </c>
    </row>
    <row r="14173" spans="1:22" s="1192" customFormat="1" ht="14.4" x14ac:dyDescent="0.3">
      <c r="A14173" s="1192" t="s">
        <v>165</v>
      </c>
      <c r="E14173" s="2015" t="s">
        <v>2033</v>
      </c>
      <c r="F14173" s="2015"/>
      <c r="G14173" s="1359" t="s">
        <v>20</v>
      </c>
      <c r="H14173" s="1219">
        <v>3.0000000000000001E-3</v>
      </c>
      <c r="K14173" s="1192" t="s">
        <v>2608</v>
      </c>
      <c r="L14173" s="1192" t="s">
        <v>2374</v>
      </c>
      <c r="P14173" s="1192" t="s">
        <v>2615</v>
      </c>
      <c r="V14173" s="1192">
        <v>55</v>
      </c>
    </row>
    <row r="14174" spans="1:22" s="1192" customFormat="1" ht="14.4" x14ac:dyDescent="0.3">
      <c r="A14174" s="1192" t="s">
        <v>165</v>
      </c>
      <c r="E14174" s="2015" t="s">
        <v>2034</v>
      </c>
      <c r="F14174" s="2015"/>
      <c r="G14174" s="1359" t="s">
        <v>20</v>
      </c>
      <c r="H14174" s="1360">
        <v>4.0000000000000002E-4</v>
      </c>
      <c r="K14174" s="1192" t="s">
        <v>2608</v>
      </c>
      <c r="L14174" s="1192" t="s">
        <v>2374</v>
      </c>
      <c r="P14174" s="1192" t="s">
        <v>2615</v>
      </c>
      <c r="V14174" s="1192">
        <v>65</v>
      </c>
    </row>
    <row r="14175" spans="1:22" s="1192" customFormat="1" ht="14.4" x14ac:dyDescent="0.3">
      <c r="A14175" s="1192" t="s">
        <v>165</v>
      </c>
      <c r="E14175" s="2015" t="s">
        <v>428</v>
      </c>
      <c r="F14175" s="2015"/>
      <c r="G14175" s="1359" t="s">
        <v>20</v>
      </c>
      <c r="H14175" s="1360">
        <v>5.0000000000000001E-4</v>
      </c>
      <c r="K14175" s="1192" t="s">
        <v>2608</v>
      </c>
      <c r="L14175" s="1192" t="s">
        <v>2374</v>
      </c>
      <c r="P14175" s="1192" t="s">
        <v>2616</v>
      </c>
      <c r="V14175" s="1192">
        <v>57</v>
      </c>
    </row>
    <row r="14176" spans="1:22" s="1192" customFormat="1" ht="14.4" x14ac:dyDescent="0.3">
      <c r="A14176" s="1192" t="s">
        <v>165</v>
      </c>
      <c r="E14176" s="2015" t="s">
        <v>28</v>
      </c>
      <c r="F14176" s="2015"/>
      <c r="G14176" s="1359" t="s">
        <v>19</v>
      </c>
      <c r="H14176" s="1360">
        <v>0.25</v>
      </c>
      <c r="K14176" s="1192" t="s">
        <v>2608</v>
      </c>
      <c r="L14176" s="1192" t="s">
        <v>2374</v>
      </c>
      <c r="P14176" s="1192" t="s">
        <v>2617</v>
      </c>
      <c r="V14176" s="1192">
        <v>63</v>
      </c>
    </row>
    <row r="14177" spans="1:22" s="1192" customFormat="1" ht="17.399999999999999" x14ac:dyDescent="0.3">
      <c r="A14177" s="1192" t="s">
        <v>165</v>
      </c>
      <c r="E14177" s="2186" t="s">
        <v>606</v>
      </c>
      <c r="F14177" s="2187"/>
      <c r="G14177" s="2187"/>
      <c r="H14177" s="2187"/>
      <c r="K14177" s="1192" t="s">
        <v>3203</v>
      </c>
      <c r="V14177" s="1192">
        <v>36</v>
      </c>
    </row>
    <row r="14178" spans="1:22" s="1192" customFormat="1" ht="14.4" x14ac:dyDescent="0.3">
      <c r="A14178" s="1192" t="s">
        <v>165</v>
      </c>
      <c r="E14178" s="2188" t="s">
        <v>3561</v>
      </c>
      <c r="F14178" s="2188"/>
      <c r="G14178" s="2188"/>
      <c r="H14178" s="2188"/>
      <c r="K14178" s="1192" t="s">
        <v>3203</v>
      </c>
      <c r="V14178" s="1192">
        <v>211</v>
      </c>
    </row>
    <row r="14179" spans="1:22" s="1192" customFormat="1" ht="14.4" x14ac:dyDescent="0.3">
      <c r="A14179" s="1192" t="s">
        <v>165</v>
      </c>
      <c r="E14179" s="2189" t="s">
        <v>2389</v>
      </c>
      <c r="F14179" s="2190"/>
      <c r="G14179" s="2190"/>
      <c r="H14179" s="2190"/>
      <c r="K14179" s="1192" t="s">
        <v>2444</v>
      </c>
      <c r="V14179" s="1192">
        <v>11</v>
      </c>
    </row>
    <row r="14180" spans="1:22" s="1192" customFormat="1" ht="14.4" x14ac:dyDescent="0.3">
      <c r="A14180" s="1192" t="s">
        <v>165</v>
      </c>
      <c r="E14180" s="2188" t="s">
        <v>2391</v>
      </c>
      <c r="F14180" s="2188"/>
      <c r="G14180" s="2188"/>
      <c r="H14180" s="2188"/>
      <c r="K14180" s="1192" t="s">
        <v>3203</v>
      </c>
      <c r="V14180" s="1192">
        <v>280</v>
      </c>
    </row>
    <row r="14181" spans="1:22" s="1192" customFormat="1" ht="14.4" x14ac:dyDescent="0.3">
      <c r="A14181" s="1192" t="s">
        <v>165</v>
      </c>
      <c r="E14181" s="2188" t="s">
        <v>2392</v>
      </c>
      <c r="F14181" s="2188"/>
      <c r="G14181" s="2188"/>
      <c r="H14181" s="2188"/>
      <c r="K14181" s="1192" t="s">
        <v>3203</v>
      </c>
      <c r="V14181" s="1192">
        <v>411</v>
      </c>
    </row>
    <row r="14182" spans="1:22" s="1192" customFormat="1" ht="14.4" x14ac:dyDescent="0.3">
      <c r="A14182" s="1192" t="s">
        <v>165</v>
      </c>
      <c r="E14182" s="2188" t="s">
        <v>2445</v>
      </c>
      <c r="F14182" s="2188"/>
      <c r="G14182" s="2188"/>
      <c r="H14182" s="2188"/>
      <c r="K14182" s="1192" t="s">
        <v>3203</v>
      </c>
      <c r="V14182" s="1192">
        <v>211</v>
      </c>
    </row>
    <row r="14183" spans="1:22" s="1192" customFormat="1" ht="14.4" x14ac:dyDescent="0.3">
      <c r="A14183" s="1192" t="s">
        <v>165</v>
      </c>
      <c r="E14183" s="2188" t="s">
        <v>2661</v>
      </c>
      <c r="F14183" s="2188"/>
      <c r="G14183" s="2188"/>
      <c r="H14183" s="2188"/>
      <c r="K14183" s="1192" t="s">
        <v>3203</v>
      </c>
      <c r="V14183" s="1192">
        <v>274</v>
      </c>
    </row>
    <row r="14184" spans="1:22" s="1192" customFormat="1" ht="14.4" x14ac:dyDescent="0.3">
      <c r="A14184" s="1192" t="s">
        <v>165</v>
      </c>
      <c r="E14184" s="2013" t="s">
        <v>3071</v>
      </c>
      <c r="F14184" s="2014"/>
      <c r="G14184" s="2014"/>
      <c r="H14184" s="2014"/>
      <c r="K14184" s="1192" t="s">
        <v>2446</v>
      </c>
      <c r="V14184" s="1192">
        <v>77</v>
      </c>
    </row>
    <row r="14185" spans="1:22" s="1192" customFormat="1" ht="14.4" x14ac:dyDescent="0.3">
      <c r="A14185" s="1192" t="s">
        <v>165</v>
      </c>
      <c r="E14185" s="2185" t="s">
        <v>3562</v>
      </c>
      <c r="F14185" s="2185"/>
      <c r="G14185" s="2185"/>
      <c r="H14185" s="2185"/>
      <c r="K14185" s="1192" t="s">
        <v>3203</v>
      </c>
      <c r="V14185" s="1192">
        <v>160</v>
      </c>
    </row>
    <row r="14186" spans="1:22" s="1192" customFormat="1" ht="14.4" x14ac:dyDescent="0.3">
      <c r="A14186" s="1192" t="s">
        <v>165</v>
      </c>
      <c r="E14186" s="2015" t="s">
        <v>7</v>
      </c>
      <c r="F14186" s="2015"/>
      <c r="G14186" s="1359" t="s">
        <v>19</v>
      </c>
      <c r="H14186" s="1361">
        <v>239.74</v>
      </c>
      <c r="K14186" s="1192" t="s">
        <v>3203</v>
      </c>
      <c r="L14186" s="1192" t="s">
        <v>430</v>
      </c>
      <c r="P14186" s="1192" t="s">
        <v>4171</v>
      </c>
      <c r="V14186" s="1192">
        <v>14</v>
      </c>
    </row>
    <row r="14187" spans="1:22" s="1192" customFormat="1" ht="14.4" x14ac:dyDescent="0.3">
      <c r="A14187" s="1192" t="s">
        <v>165</v>
      </c>
      <c r="E14187" s="2015" t="s">
        <v>80</v>
      </c>
      <c r="F14187" s="2015"/>
      <c r="G14187" s="1359"/>
      <c r="H14187" s="1367"/>
      <c r="K14187" s="1192" t="s">
        <v>3203</v>
      </c>
      <c r="V14187" s="1192">
        <v>28</v>
      </c>
    </row>
    <row r="14188" spans="1:22" s="1192" customFormat="1" ht="14.4" x14ac:dyDescent="0.3">
      <c r="A14188" s="1192" t="s">
        <v>165</v>
      </c>
      <c r="E14188" s="2274" t="s">
        <v>3563</v>
      </c>
      <c r="F14188" s="2274"/>
      <c r="G14188" s="1359" t="s">
        <v>21</v>
      </c>
      <c r="H14188" s="1361">
        <v>7.8921999999999999</v>
      </c>
      <c r="K14188" s="1192" t="s">
        <v>3203</v>
      </c>
      <c r="L14188" s="1192" t="s">
        <v>430</v>
      </c>
      <c r="P14188" s="1192" t="s">
        <v>3206</v>
      </c>
      <c r="V14188" s="1192">
        <v>54</v>
      </c>
    </row>
    <row r="14189" spans="1:22" s="1192" customFormat="1" ht="14.4" x14ac:dyDescent="0.3">
      <c r="A14189" s="1192" t="s">
        <v>165</v>
      </c>
      <c r="E14189" s="2274" t="s">
        <v>3564</v>
      </c>
      <c r="F14189" s="2274"/>
      <c r="G14189" s="1359" t="s">
        <v>21</v>
      </c>
      <c r="H14189" s="1361">
        <v>6.5218999999999996</v>
      </c>
      <c r="K14189" s="1192" t="s">
        <v>3203</v>
      </c>
      <c r="L14189" s="1192" t="s">
        <v>430</v>
      </c>
      <c r="P14189" s="1192" t="s">
        <v>3206</v>
      </c>
      <c r="V14189" s="1192">
        <v>59</v>
      </c>
    </row>
    <row r="14190" spans="1:22" s="1192" customFormat="1" ht="14.4" x14ac:dyDescent="0.3">
      <c r="A14190" s="1192" t="s">
        <v>165</v>
      </c>
      <c r="E14190" s="2274" t="s">
        <v>3565</v>
      </c>
      <c r="F14190" s="2274"/>
      <c r="G14190" s="1359" t="s">
        <v>21</v>
      </c>
      <c r="H14190" s="1361">
        <v>7.0664999999999996</v>
      </c>
      <c r="K14190" s="1192" t="s">
        <v>3203</v>
      </c>
      <c r="L14190" s="1192" t="s">
        <v>430</v>
      </c>
      <c r="P14190" s="1192" t="s">
        <v>3206</v>
      </c>
      <c r="V14190" s="1192">
        <v>36</v>
      </c>
    </row>
    <row r="14191" spans="1:22" s="1192" customFormat="1" ht="17.399999999999999" x14ac:dyDescent="0.3">
      <c r="A14191" s="1192" t="s">
        <v>165</v>
      </c>
      <c r="E14191" s="2186" t="s">
        <v>592</v>
      </c>
      <c r="F14191" s="2187"/>
      <c r="G14191" s="2187"/>
      <c r="H14191" s="2187"/>
      <c r="K14191" s="1192" t="s">
        <v>2851</v>
      </c>
      <c r="V14191" s="1192">
        <v>47</v>
      </c>
    </row>
    <row r="14192" spans="1:22" s="1192" customFormat="1" ht="14.4" x14ac:dyDescent="0.3">
      <c r="A14192" s="1192" t="s">
        <v>165</v>
      </c>
      <c r="E14192" s="2188" t="s">
        <v>3566</v>
      </c>
      <c r="F14192" s="2188"/>
      <c r="G14192" s="2188"/>
      <c r="H14192" s="2188"/>
      <c r="K14192" s="1192" t="s">
        <v>2851</v>
      </c>
      <c r="V14192" s="1192">
        <v>729</v>
      </c>
    </row>
    <row r="14193" spans="1:22" s="1192" customFormat="1" ht="14.4" x14ac:dyDescent="0.3">
      <c r="A14193" s="1192" t="s">
        <v>165</v>
      </c>
      <c r="E14193" s="2189" t="s">
        <v>2389</v>
      </c>
      <c r="F14193" s="2190"/>
      <c r="G14193" s="2190"/>
      <c r="H14193" s="2190"/>
      <c r="K14193" s="1192" t="s">
        <v>2571</v>
      </c>
      <c r="V14193" s="1192">
        <v>11</v>
      </c>
    </row>
    <row r="14194" spans="1:22" s="1192" customFormat="1" ht="14.4" x14ac:dyDescent="0.3">
      <c r="A14194" s="1192" t="s">
        <v>165</v>
      </c>
      <c r="E14194" s="2188" t="s">
        <v>2391</v>
      </c>
      <c r="F14194" s="2188"/>
      <c r="G14194" s="2188"/>
      <c r="H14194" s="2188"/>
      <c r="K14194" s="1192" t="s">
        <v>2851</v>
      </c>
      <c r="V14194" s="1192">
        <v>280</v>
      </c>
    </row>
    <row r="14195" spans="1:22" s="1192" customFormat="1" ht="14.4" x14ac:dyDescent="0.3">
      <c r="A14195" s="1192" t="s">
        <v>165</v>
      </c>
      <c r="E14195" s="2188" t="s">
        <v>2392</v>
      </c>
      <c r="F14195" s="2188"/>
      <c r="G14195" s="2188"/>
      <c r="H14195" s="2188"/>
      <c r="K14195" s="1192" t="s">
        <v>2851</v>
      </c>
      <c r="V14195" s="1192">
        <v>411</v>
      </c>
    </row>
    <row r="14196" spans="1:22" s="1192" customFormat="1" ht="14.4" x14ac:dyDescent="0.3">
      <c r="A14196" s="1192" t="s">
        <v>165</v>
      </c>
      <c r="E14196" s="2188" t="s">
        <v>2393</v>
      </c>
      <c r="F14196" s="2188"/>
      <c r="G14196" s="2188"/>
      <c r="H14196" s="2188"/>
      <c r="K14196" s="1192" t="s">
        <v>2851</v>
      </c>
      <c r="V14196" s="1192">
        <v>387</v>
      </c>
    </row>
    <row r="14197" spans="1:22" s="1192" customFormat="1" ht="14.4" x14ac:dyDescent="0.3">
      <c r="A14197" s="1192" t="s">
        <v>165</v>
      </c>
      <c r="E14197" s="2188" t="s">
        <v>2661</v>
      </c>
      <c r="F14197" s="2188"/>
      <c r="G14197" s="2188"/>
      <c r="H14197" s="2188"/>
      <c r="K14197" s="1192" t="s">
        <v>2851</v>
      </c>
      <c r="V14197" s="1192">
        <v>274</v>
      </c>
    </row>
    <row r="14198" spans="1:22" s="1192" customFormat="1" ht="14.4" x14ac:dyDescent="0.3">
      <c r="A14198" s="1192" t="s">
        <v>165</v>
      </c>
      <c r="E14198" s="2013" t="s">
        <v>2394</v>
      </c>
      <c r="F14198" s="2014"/>
      <c r="G14198" s="2014"/>
      <c r="H14198" s="2014"/>
      <c r="K14198" s="1192" t="s">
        <v>2572</v>
      </c>
      <c r="V14198" s="1192">
        <v>46</v>
      </c>
    </row>
    <row r="14199" spans="1:22" s="1192" customFormat="1" ht="14.4" x14ac:dyDescent="0.3">
      <c r="A14199" s="1192" t="s">
        <v>165</v>
      </c>
      <c r="E14199" s="2015" t="s">
        <v>7</v>
      </c>
      <c r="F14199" s="2015"/>
      <c r="G14199" s="1359" t="s">
        <v>19</v>
      </c>
      <c r="H14199" s="1361">
        <v>6.06</v>
      </c>
      <c r="K14199" s="1192" t="s">
        <v>2851</v>
      </c>
      <c r="L14199" s="1192" t="s">
        <v>430</v>
      </c>
      <c r="P14199" s="1192" t="s">
        <v>2852</v>
      </c>
      <c r="V14199" s="1192">
        <v>14</v>
      </c>
    </row>
    <row r="14200" spans="1:22" s="1192" customFormat="1" ht="14.4" x14ac:dyDescent="0.3">
      <c r="A14200" s="1192" t="s">
        <v>165</v>
      </c>
      <c r="E14200" s="2015" t="s">
        <v>3567</v>
      </c>
      <c r="F14200" s="2015"/>
      <c r="G14200" s="1359" t="s">
        <v>19</v>
      </c>
      <c r="H14200" s="1361">
        <v>0.63</v>
      </c>
      <c r="K14200" s="1192" t="s">
        <v>2851</v>
      </c>
      <c r="L14200" s="1192" t="s">
        <v>430</v>
      </c>
      <c r="P14200" s="1192" t="s">
        <v>4266</v>
      </c>
      <c r="V14200" s="1192">
        <v>34</v>
      </c>
    </row>
    <row r="14201" spans="1:22" s="1192" customFormat="1" ht="14.4" x14ac:dyDescent="0.3">
      <c r="A14201" s="1192" t="s">
        <v>165</v>
      </c>
      <c r="E14201" s="2015" t="s">
        <v>6726</v>
      </c>
      <c r="F14201" s="2015"/>
      <c r="G14201" s="1359" t="s">
        <v>19</v>
      </c>
      <c r="H14201" s="509">
        <v>-0.1</v>
      </c>
      <c r="K14201" s="1192" t="s">
        <v>2851</v>
      </c>
      <c r="L14201" s="1192" t="s">
        <v>430</v>
      </c>
      <c r="P14201" s="1192" t="s">
        <v>6776</v>
      </c>
      <c r="T14201" s="1192">
        <v>44561</v>
      </c>
      <c r="V14201" s="1192">
        <v>84</v>
      </c>
    </row>
    <row r="14202" spans="1:22" s="1192" customFormat="1" ht="14.4" x14ac:dyDescent="0.3">
      <c r="A14202" s="1192" t="s">
        <v>165</v>
      </c>
      <c r="E14202" s="2015" t="s">
        <v>6777</v>
      </c>
      <c r="F14202" s="2015"/>
      <c r="G14202" s="1359" t="s">
        <v>19</v>
      </c>
      <c r="H14202" s="509">
        <v>-0.01</v>
      </c>
      <c r="K14202" s="1192" t="s">
        <v>2851</v>
      </c>
      <c r="L14202" s="1192" t="s">
        <v>430</v>
      </c>
      <c r="P14202" s="1192" t="s">
        <v>6778</v>
      </c>
      <c r="T14202" s="1192">
        <v>44561</v>
      </c>
      <c r="V14202" s="1192">
        <v>101</v>
      </c>
    </row>
    <row r="14203" spans="1:22" s="1192" customFormat="1" ht="14.4" x14ac:dyDescent="0.3">
      <c r="A14203" s="1192" t="s">
        <v>165</v>
      </c>
      <c r="E14203" s="2015" t="s">
        <v>80</v>
      </c>
      <c r="F14203" s="2015"/>
      <c r="G14203" s="1359" t="s">
        <v>20</v>
      </c>
      <c r="H14203" s="1461">
        <v>7.6179999999999998E-2</v>
      </c>
      <c r="K14203" s="1192" t="s">
        <v>2851</v>
      </c>
      <c r="L14203" s="1192" t="s">
        <v>430</v>
      </c>
      <c r="P14203" s="1192" t="s">
        <v>2853</v>
      </c>
      <c r="V14203" s="1192">
        <v>28</v>
      </c>
    </row>
    <row r="14204" spans="1:22" s="1192" customFormat="1" ht="14.4" x14ac:dyDescent="0.3">
      <c r="A14204" s="1192" t="s">
        <v>165</v>
      </c>
      <c r="E14204" s="2015" t="s">
        <v>6718</v>
      </c>
      <c r="F14204" s="2015"/>
      <c r="G14204" s="1359" t="s">
        <v>20</v>
      </c>
      <c r="H14204" s="1461">
        <v>1.07E-3</v>
      </c>
      <c r="K14204" s="1192" t="s">
        <v>2851</v>
      </c>
      <c r="L14204" s="1192" t="s">
        <v>430</v>
      </c>
      <c r="P14204" s="1192" t="s">
        <v>6779</v>
      </c>
      <c r="T14204" s="1192">
        <v>44196</v>
      </c>
      <c r="V14204" s="1192">
        <v>104</v>
      </c>
    </row>
    <row r="14205" spans="1:22" s="1192" customFormat="1" ht="14.4" x14ac:dyDescent="0.3">
      <c r="A14205" s="1192" t="s">
        <v>165</v>
      </c>
      <c r="E14205" s="2015" t="s">
        <v>6719</v>
      </c>
      <c r="F14205" s="2015"/>
      <c r="G14205" s="1359" t="s">
        <v>20</v>
      </c>
      <c r="H14205" s="1461">
        <v>9.7000000000000005E-4</v>
      </c>
      <c r="K14205" s="1192" t="s">
        <v>2851</v>
      </c>
      <c r="L14205" s="1192" t="s">
        <v>430</v>
      </c>
      <c r="P14205" s="1192" t="s">
        <v>6780</v>
      </c>
      <c r="T14205" s="1192">
        <v>44196</v>
      </c>
      <c r="V14205" s="1192">
        <v>87</v>
      </c>
    </row>
    <row r="14206" spans="1:22" s="1192" customFormat="1" ht="14.4" x14ac:dyDescent="0.3">
      <c r="A14206" s="1192" t="s">
        <v>165</v>
      </c>
      <c r="E14206" s="2015" t="s">
        <v>6721</v>
      </c>
      <c r="F14206" s="2015"/>
      <c r="G14206" s="1359" t="s">
        <v>20</v>
      </c>
      <c r="H14206" s="1461">
        <v>-5.0499999999999998E-3</v>
      </c>
      <c r="K14206" s="1192" t="s">
        <v>2851</v>
      </c>
      <c r="L14206" s="1192" t="s">
        <v>430</v>
      </c>
      <c r="P14206" s="1192" t="s">
        <v>6781</v>
      </c>
      <c r="T14206" s="1192">
        <v>44561</v>
      </c>
      <c r="V14206" s="1192">
        <v>102</v>
      </c>
    </row>
    <row r="14207" spans="1:22" s="1192" customFormat="1" ht="14.4" x14ac:dyDescent="0.3">
      <c r="A14207" s="1192" t="s">
        <v>165</v>
      </c>
      <c r="E14207" s="2015" t="s">
        <v>6723</v>
      </c>
      <c r="F14207" s="2015"/>
      <c r="G14207" s="1359" t="s">
        <v>20</v>
      </c>
      <c r="H14207" s="1461">
        <v>-8.0999999999999996E-4</v>
      </c>
      <c r="K14207" s="1192" t="s">
        <v>2851</v>
      </c>
      <c r="L14207" s="1192" t="s">
        <v>430</v>
      </c>
      <c r="P14207" s="1192" t="s">
        <v>6782</v>
      </c>
      <c r="T14207" s="1192">
        <v>44561</v>
      </c>
      <c r="V14207" s="1192">
        <v>91</v>
      </c>
    </row>
    <row r="14208" spans="1:22" s="1192" customFormat="1" ht="14.4" x14ac:dyDescent="0.3">
      <c r="A14208" s="1192" t="s">
        <v>165</v>
      </c>
      <c r="E14208" s="2015" t="s">
        <v>6724</v>
      </c>
      <c r="F14208" s="2015"/>
      <c r="G14208" s="1359" t="s">
        <v>20</v>
      </c>
      <c r="H14208" s="1461">
        <v>-2.4000000000000001E-4</v>
      </c>
      <c r="K14208" s="1192" t="s">
        <v>2851</v>
      </c>
      <c r="L14208" s="1192" t="s">
        <v>430</v>
      </c>
      <c r="P14208" s="1192" t="s">
        <v>6783</v>
      </c>
      <c r="T14208" s="1192">
        <v>44196</v>
      </c>
      <c r="V14208" s="1192">
        <v>107</v>
      </c>
    </row>
    <row r="14209" spans="1:22" s="1192" customFormat="1" ht="14.4" x14ac:dyDescent="0.3">
      <c r="A14209" s="1192" t="s">
        <v>165</v>
      </c>
      <c r="E14209" s="2015" t="s">
        <v>6725</v>
      </c>
      <c r="F14209" s="2015"/>
      <c r="G14209" s="1359" t="s">
        <v>20</v>
      </c>
      <c r="H14209" s="1461">
        <v>-4.8000000000000001E-4</v>
      </c>
      <c r="K14209" s="1192" t="s">
        <v>2851</v>
      </c>
      <c r="L14209" s="1192" t="s">
        <v>430</v>
      </c>
      <c r="P14209" s="1192" t="s">
        <v>6784</v>
      </c>
      <c r="T14209" s="1192">
        <v>44196</v>
      </c>
      <c r="V14209" s="1192">
        <v>106</v>
      </c>
    </row>
    <row r="14210" spans="1:22" s="1192" customFormat="1" ht="14.4" x14ac:dyDescent="0.3">
      <c r="A14210" s="1192" t="s">
        <v>165</v>
      </c>
      <c r="E14210" s="2015" t="s">
        <v>6726</v>
      </c>
      <c r="F14210" s="2015"/>
      <c r="G14210" s="1359" t="s">
        <v>20</v>
      </c>
      <c r="H14210" s="1461">
        <v>-1.2099999999999999E-3</v>
      </c>
      <c r="K14210" s="1192" t="s">
        <v>2851</v>
      </c>
      <c r="L14210" s="1192" t="s">
        <v>430</v>
      </c>
      <c r="P14210" s="1192" t="s">
        <v>6785</v>
      </c>
      <c r="T14210" s="1192">
        <v>44561</v>
      </c>
      <c r="V14210" s="1192">
        <v>84</v>
      </c>
    </row>
    <row r="14211" spans="1:22" s="1192" customFormat="1" ht="53.4" x14ac:dyDescent="0.3">
      <c r="A14211" s="1192" t="s">
        <v>165</v>
      </c>
      <c r="E14211" s="1362" t="s">
        <v>6737</v>
      </c>
      <c r="F14211" s="1363"/>
      <c r="G14211" s="1359" t="s">
        <v>20</v>
      </c>
      <c r="H14211" s="1361">
        <v>4.0000000000000002E-4</v>
      </c>
      <c r="K14211" s="1192" t="s">
        <v>2851</v>
      </c>
      <c r="L14211" s="1192" t="s">
        <v>431</v>
      </c>
      <c r="P14211" s="1192" t="s">
        <v>2855</v>
      </c>
      <c r="T14211" s="1192">
        <v>44561</v>
      </c>
      <c r="V14211" s="1192">
        <v>125</v>
      </c>
    </row>
    <row r="14212" spans="1:22" s="1192" customFormat="1" ht="66.599999999999994" x14ac:dyDescent="0.3">
      <c r="A14212" s="1192" t="s">
        <v>165</v>
      </c>
      <c r="E14212" s="1363" t="s">
        <v>6728</v>
      </c>
      <c r="F14212" s="1363"/>
      <c r="G14212" s="1359" t="s">
        <v>20</v>
      </c>
      <c r="H14212" s="1461">
        <v>-2.0000000000000002E-5</v>
      </c>
      <c r="K14212" s="1192" t="s">
        <v>2851</v>
      </c>
      <c r="L14212" s="1192" t="s">
        <v>431</v>
      </c>
      <c r="P14212" s="1192" t="s">
        <v>4064</v>
      </c>
      <c r="T14212" s="1192">
        <v>44561</v>
      </c>
      <c r="V14212" s="1192">
        <v>169</v>
      </c>
    </row>
    <row r="14213" spans="1:22" s="1192" customFormat="1" ht="66.599999999999994" x14ac:dyDescent="0.3">
      <c r="A14213" s="1192" t="s">
        <v>165</v>
      </c>
      <c r="E14213" s="1363" t="s">
        <v>6729</v>
      </c>
      <c r="F14213" s="1363"/>
      <c r="G14213" s="1359" t="s">
        <v>20</v>
      </c>
      <c r="H14213" s="1461">
        <v>-1.5900000000000001E-3</v>
      </c>
      <c r="K14213" s="1192" t="s">
        <v>2851</v>
      </c>
      <c r="L14213" s="1192" t="s">
        <v>431</v>
      </c>
      <c r="P14213" s="1192" t="s">
        <v>2854</v>
      </c>
      <c r="T14213" s="1192">
        <v>44561</v>
      </c>
      <c r="V14213" s="1192">
        <v>162</v>
      </c>
    </row>
    <row r="14214" spans="1:22" s="1192" customFormat="1" ht="14.4" x14ac:dyDescent="0.3">
      <c r="A14214" s="1192" t="s">
        <v>165</v>
      </c>
      <c r="E14214" s="2015" t="s">
        <v>213</v>
      </c>
      <c r="F14214" s="2015"/>
      <c r="G14214" s="1359" t="s">
        <v>20</v>
      </c>
      <c r="H14214" s="1361">
        <v>5.4900000000000001E-3</v>
      </c>
      <c r="K14214" s="1192" t="s">
        <v>2851</v>
      </c>
      <c r="L14214" s="1192" t="s">
        <v>432</v>
      </c>
      <c r="P14214" s="1192" t="s">
        <v>2856</v>
      </c>
      <c r="V14214" s="1192">
        <v>47</v>
      </c>
    </row>
    <row r="14215" spans="1:22" s="1192" customFormat="1" ht="14.4" x14ac:dyDescent="0.3">
      <c r="A14215" s="1192" t="s">
        <v>165</v>
      </c>
      <c r="E14215" s="2015" t="s">
        <v>209</v>
      </c>
      <c r="F14215" s="2015"/>
      <c r="G14215" s="1359" t="s">
        <v>20</v>
      </c>
      <c r="H14215" s="1361">
        <v>4.6499999999999996E-3</v>
      </c>
      <c r="K14215" s="1192" t="s">
        <v>2851</v>
      </c>
      <c r="L14215" s="1192" t="s">
        <v>432</v>
      </c>
      <c r="P14215" s="1192" t="s">
        <v>2857</v>
      </c>
      <c r="V14215" s="1192">
        <v>74</v>
      </c>
    </row>
    <row r="14216" spans="1:22" s="1192" customFormat="1" ht="14.4" x14ac:dyDescent="0.3">
      <c r="A14216" s="1192" t="s">
        <v>165</v>
      </c>
      <c r="E14216" s="2270" t="s">
        <v>2405</v>
      </c>
      <c r="F14216" s="2015"/>
      <c r="G14216" s="1359"/>
      <c r="H14216" s="1366"/>
      <c r="K14216" s="1192" t="s">
        <v>2581</v>
      </c>
      <c r="V14216" s="1192">
        <v>48</v>
      </c>
    </row>
    <row r="14217" spans="1:22" s="1192" customFormat="1" ht="14.4" x14ac:dyDescent="0.3">
      <c r="A14217" s="1192" t="s">
        <v>165</v>
      </c>
      <c r="E14217" s="2015" t="s">
        <v>2033</v>
      </c>
      <c r="F14217" s="2015"/>
      <c r="G14217" s="1359" t="s">
        <v>20</v>
      </c>
      <c r="H14217" s="1219">
        <v>3.0000000000000001E-3</v>
      </c>
      <c r="K14217" s="1192" t="s">
        <v>2851</v>
      </c>
      <c r="L14217" s="1192" t="s">
        <v>2374</v>
      </c>
      <c r="P14217" s="1192" t="s">
        <v>2858</v>
      </c>
      <c r="V14217" s="1192">
        <v>55</v>
      </c>
    </row>
    <row r="14218" spans="1:22" s="1192" customFormat="1" ht="14.4" x14ac:dyDescent="0.3">
      <c r="A14218" s="1192" t="s">
        <v>165</v>
      </c>
      <c r="E14218" s="2015" t="s">
        <v>2034</v>
      </c>
      <c r="F14218" s="2015"/>
      <c r="G14218" s="1359" t="s">
        <v>20</v>
      </c>
      <c r="H14218" s="1360">
        <v>4.0000000000000002E-4</v>
      </c>
      <c r="K14218" s="1192" t="s">
        <v>2851</v>
      </c>
      <c r="L14218" s="1192" t="s">
        <v>2374</v>
      </c>
      <c r="P14218" s="1192" t="s">
        <v>2858</v>
      </c>
      <c r="V14218" s="1192">
        <v>65</v>
      </c>
    </row>
    <row r="14219" spans="1:22" s="1192" customFormat="1" ht="14.4" x14ac:dyDescent="0.3">
      <c r="A14219" s="1192" t="s">
        <v>165</v>
      </c>
      <c r="E14219" s="2015" t="s">
        <v>428</v>
      </c>
      <c r="F14219" s="2015"/>
      <c r="G14219" s="1359" t="s">
        <v>20</v>
      </c>
      <c r="H14219" s="1360">
        <v>5.0000000000000001E-4</v>
      </c>
      <c r="K14219" s="1192" t="s">
        <v>2851</v>
      </c>
      <c r="L14219" s="1192" t="s">
        <v>2374</v>
      </c>
      <c r="P14219" s="1192" t="s">
        <v>2859</v>
      </c>
      <c r="V14219" s="1192">
        <v>57</v>
      </c>
    </row>
    <row r="14220" spans="1:22" s="1192" customFormat="1" ht="14.4" x14ac:dyDescent="0.3">
      <c r="A14220" s="1192" t="s">
        <v>165</v>
      </c>
      <c r="E14220" s="2015" t="s">
        <v>28</v>
      </c>
      <c r="F14220" s="2015"/>
      <c r="G14220" s="1359" t="s">
        <v>19</v>
      </c>
      <c r="H14220" s="1360">
        <v>0.25</v>
      </c>
      <c r="K14220" s="1192" t="s">
        <v>2851</v>
      </c>
      <c r="L14220" s="1192" t="s">
        <v>2374</v>
      </c>
      <c r="P14220" s="1192" t="s">
        <v>2860</v>
      </c>
      <c r="V14220" s="1192">
        <v>63</v>
      </c>
    </row>
    <row r="14221" spans="1:22" s="1192" customFormat="1" ht="17.399999999999999" x14ac:dyDescent="0.3">
      <c r="A14221" s="1192" t="s">
        <v>165</v>
      </c>
      <c r="E14221" s="2273" t="s">
        <v>590</v>
      </c>
      <c r="F14221" s="2187"/>
      <c r="G14221" s="2187"/>
      <c r="H14221" s="2187"/>
      <c r="K14221" s="1192" t="s">
        <v>2861</v>
      </c>
      <c r="V14221" s="1192">
        <v>38</v>
      </c>
    </row>
    <row r="14222" spans="1:22" s="1192" customFormat="1" ht="14.4" x14ac:dyDescent="0.3">
      <c r="A14222" s="1192" t="s">
        <v>165</v>
      </c>
      <c r="E14222" s="2188" t="s">
        <v>2898</v>
      </c>
      <c r="F14222" s="2188"/>
      <c r="G14222" s="2188"/>
      <c r="H14222" s="2188"/>
      <c r="K14222" s="1192" t="s">
        <v>2861</v>
      </c>
      <c r="V14222" s="1192">
        <v>526</v>
      </c>
    </row>
    <row r="14223" spans="1:22" s="1192" customFormat="1" ht="14.4" x14ac:dyDescent="0.3">
      <c r="A14223" s="1192" t="s">
        <v>165</v>
      </c>
      <c r="E14223" s="2189" t="s">
        <v>2389</v>
      </c>
      <c r="F14223" s="2190"/>
      <c r="G14223" s="2190"/>
      <c r="H14223" s="2190"/>
      <c r="K14223" s="1192" t="s">
        <v>2586</v>
      </c>
      <c r="V14223" s="1192">
        <v>11</v>
      </c>
    </row>
    <row r="14224" spans="1:22" s="1192" customFormat="1" ht="14.4" x14ac:dyDescent="0.3">
      <c r="A14224" s="1192" t="s">
        <v>165</v>
      </c>
      <c r="E14224" s="2188" t="s">
        <v>2391</v>
      </c>
      <c r="F14224" s="2188"/>
      <c r="G14224" s="2188"/>
      <c r="H14224" s="2188"/>
      <c r="K14224" s="1192" t="s">
        <v>2861</v>
      </c>
      <c r="V14224" s="1192">
        <v>280</v>
      </c>
    </row>
    <row r="14225" spans="1:22" s="1192" customFormat="1" ht="14.4" x14ac:dyDescent="0.3">
      <c r="A14225" s="1192" t="s">
        <v>165</v>
      </c>
      <c r="E14225" s="2188" t="s">
        <v>2392</v>
      </c>
      <c r="F14225" s="2188"/>
      <c r="G14225" s="2188"/>
      <c r="H14225" s="2188"/>
      <c r="K14225" s="1192" t="s">
        <v>2861</v>
      </c>
      <c r="V14225" s="1192">
        <v>411</v>
      </c>
    </row>
    <row r="14226" spans="1:22" s="1192" customFormat="1" ht="14.4" x14ac:dyDescent="0.3">
      <c r="A14226" s="1192" t="s">
        <v>165</v>
      </c>
      <c r="E14226" s="2188" t="s">
        <v>2393</v>
      </c>
      <c r="F14226" s="2188"/>
      <c r="G14226" s="2188"/>
      <c r="H14226" s="2188"/>
      <c r="K14226" s="1192" t="s">
        <v>2861</v>
      </c>
      <c r="V14226" s="1192">
        <v>387</v>
      </c>
    </row>
    <row r="14227" spans="1:22" s="1192" customFormat="1" ht="14.4" x14ac:dyDescent="0.3">
      <c r="A14227" s="1192" t="s">
        <v>165</v>
      </c>
      <c r="E14227" s="2188" t="s">
        <v>2661</v>
      </c>
      <c r="F14227" s="2188"/>
      <c r="G14227" s="2188"/>
      <c r="H14227" s="2188"/>
      <c r="K14227" s="1192" t="s">
        <v>2861</v>
      </c>
      <c r="V14227" s="1192">
        <v>274</v>
      </c>
    </row>
    <row r="14228" spans="1:22" s="1192" customFormat="1" ht="14.4" x14ac:dyDescent="0.3">
      <c r="A14228" s="1192" t="s">
        <v>165</v>
      </c>
      <c r="E14228" s="2013" t="s">
        <v>2394</v>
      </c>
      <c r="F14228" s="2014"/>
      <c r="G14228" s="2014"/>
      <c r="H14228" s="2014"/>
      <c r="K14228" s="1192" t="s">
        <v>2587</v>
      </c>
      <c r="V14228" s="1192">
        <v>46</v>
      </c>
    </row>
    <row r="14229" spans="1:22" s="1192" customFormat="1" ht="14.4" x14ac:dyDescent="0.3">
      <c r="A14229" s="1192" t="s">
        <v>165</v>
      </c>
      <c r="E14229" s="2015" t="s">
        <v>3068</v>
      </c>
      <c r="F14229" s="2015"/>
      <c r="G14229" s="1359" t="s">
        <v>19</v>
      </c>
      <c r="H14229" s="1361">
        <v>1.56</v>
      </c>
      <c r="K14229" s="1192" t="s">
        <v>2861</v>
      </c>
      <c r="L14229" s="1192" t="s">
        <v>430</v>
      </c>
      <c r="P14229" s="1192" t="s">
        <v>2863</v>
      </c>
      <c r="V14229" s="1192">
        <v>27</v>
      </c>
    </row>
    <row r="14230" spans="1:22" s="1192" customFormat="1" ht="14.4" x14ac:dyDescent="0.3">
      <c r="A14230" s="1192" t="s">
        <v>165</v>
      </c>
      <c r="E14230" s="2015" t="s">
        <v>80</v>
      </c>
      <c r="F14230" s="2015"/>
      <c r="G14230" s="1359" t="s">
        <v>21</v>
      </c>
      <c r="H14230" s="1361">
        <v>34.795200000000001</v>
      </c>
      <c r="K14230" s="1192" t="s">
        <v>2861</v>
      </c>
      <c r="L14230" s="1192" t="s">
        <v>430</v>
      </c>
      <c r="P14230" s="1192" t="s">
        <v>2864</v>
      </c>
      <c r="V14230" s="1192">
        <v>28</v>
      </c>
    </row>
    <row r="14231" spans="1:22" s="1192" customFormat="1" ht="14.4" x14ac:dyDescent="0.3">
      <c r="A14231" s="1192" t="s">
        <v>165</v>
      </c>
      <c r="E14231" s="2015" t="s">
        <v>6718</v>
      </c>
      <c r="F14231" s="2015"/>
      <c r="G14231" s="1359" t="s">
        <v>21</v>
      </c>
      <c r="H14231" s="1361">
        <v>0.51170000000000004</v>
      </c>
      <c r="K14231" s="1192" t="s">
        <v>2861</v>
      </c>
      <c r="L14231" s="1192" t="s">
        <v>430</v>
      </c>
      <c r="P14231" s="1192" t="s">
        <v>6786</v>
      </c>
      <c r="T14231" s="1192">
        <v>44196</v>
      </c>
      <c r="V14231" s="1192">
        <v>104</v>
      </c>
    </row>
    <row r="14232" spans="1:22" s="1192" customFormat="1" ht="14.4" x14ac:dyDescent="0.3">
      <c r="A14232" s="1192" t="s">
        <v>165</v>
      </c>
      <c r="E14232" s="2015" t="s">
        <v>6719</v>
      </c>
      <c r="F14232" s="2015"/>
      <c r="G14232" s="1359" t="s">
        <v>21</v>
      </c>
      <c r="H14232" s="1361">
        <v>0.4632</v>
      </c>
      <c r="K14232" s="1192" t="s">
        <v>2861</v>
      </c>
      <c r="L14232" s="1192" t="s">
        <v>430</v>
      </c>
      <c r="P14232" s="1192" t="s">
        <v>6787</v>
      </c>
      <c r="T14232" s="1192">
        <v>44196</v>
      </c>
      <c r="V14232" s="1192">
        <v>87</v>
      </c>
    </row>
    <row r="14233" spans="1:22" s="1192" customFormat="1" ht="14.4" x14ac:dyDescent="0.3">
      <c r="A14233" s="1192" t="s">
        <v>165</v>
      </c>
      <c r="E14233" s="2015" t="s">
        <v>6721</v>
      </c>
      <c r="F14233" s="2015"/>
      <c r="G14233" s="1359" t="s">
        <v>21</v>
      </c>
      <c r="H14233" s="1219">
        <v>-2.4094000000000002</v>
      </c>
      <c r="K14233" s="1192" t="s">
        <v>2861</v>
      </c>
      <c r="L14233" s="1192" t="s">
        <v>430</v>
      </c>
      <c r="P14233" s="1192" t="s">
        <v>6788</v>
      </c>
      <c r="T14233" s="1192">
        <v>44561</v>
      </c>
      <c r="V14233" s="1192">
        <v>102</v>
      </c>
    </row>
    <row r="14234" spans="1:22" s="1192" customFormat="1" ht="14.4" x14ac:dyDescent="0.3">
      <c r="A14234" s="1192" t="s">
        <v>165</v>
      </c>
      <c r="E14234" s="2015" t="s">
        <v>6723</v>
      </c>
      <c r="F14234" s="2015"/>
      <c r="G14234" s="1359" t="s">
        <v>21</v>
      </c>
      <c r="H14234" s="1219">
        <v>-0.38600000000000001</v>
      </c>
      <c r="K14234" s="1192" t="s">
        <v>2861</v>
      </c>
      <c r="L14234" s="1192" t="s">
        <v>430</v>
      </c>
      <c r="P14234" s="1192" t="s">
        <v>6789</v>
      </c>
      <c r="T14234" s="1192">
        <v>44561</v>
      </c>
      <c r="V14234" s="1192">
        <v>91</v>
      </c>
    </row>
    <row r="14235" spans="1:22" s="1192" customFormat="1" ht="14.4" x14ac:dyDescent="0.3">
      <c r="A14235" s="1192" t="s">
        <v>165</v>
      </c>
      <c r="E14235" s="2015" t="s">
        <v>6724</v>
      </c>
      <c r="F14235" s="2015"/>
      <c r="G14235" s="1359" t="s">
        <v>21</v>
      </c>
      <c r="H14235" s="1219">
        <v>-0.112</v>
      </c>
      <c r="K14235" s="1192" t="s">
        <v>2861</v>
      </c>
      <c r="L14235" s="1192" t="s">
        <v>430</v>
      </c>
      <c r="P14235" s="1192" t="s">
        <v>6790</v>
      </c>
      <c r="T14235" s="1192">
        <v>44196</v>
      </c>
      <c r="V14235" s="1192">
        <v>107</v>
      </c>
    </row>
    <row r="14236" spans="1:22" s="1192" customFormat="1" ht="14.4" x14ac:dyDescent="0.3">
      <c r="A14236" s="1192" t="s">
        <v>165</v>
      </c>
      <c r="E14236" s="2015" t="s">
        <v>6725</v>
      </c>
      <c r="F14236" s="2015"/>
      <c r="G14236" s="1359" t="s">
        <v>21</v>
      </c>
      <c r="H14236" s="1219">
        <v>-0.2281</v>
      </c>
      <c r="K14236" s="1192" t="s">
        <v>2861</v>
      </c>
      <c r="L14236" s="1192" t="s">
        <v>430</v>
      </c>
      <c r="P14236" s="1192" t="s">
        <v>6791</v>
      </c>
      <c r="T14236" s="1192">
        <v>44196</v>
      </c>
      <c r="V14236" s="1192">
        <v>106</v>
      </c>
    </row>
    <row r="14237" spans="1:22" s="1192" customFormat="1" ht="14.4" x14ac:dyDescent="0.3">
      <c r="A14237" s="1192" t="s">
        <v>165</v>
      </c>
      <c r="E14237" s="2015" t="s">
        <v>6726</v>
      </c>
      <c r="F14237" s="2015"/>
      <c r="G14237" s="1359" t="s">
        <v>21</v>
      </c>
      <c r="H14237" s="1219">
        <v>-8.7900000000000006E-2</v>
      </c>
      <c r="K14237" s="1192" t="s">
        <v>2861</v>
      </c>
      <c r="L14237" s="1192" t="s">
        <v>430</v>
      </c>
      <c r="P14237" s="1192" t="s">
        <v>6792</v>
      </c>
      <c r="T14237" s="1192">
        <v>44561</v>
      </c>
      <c r="V14237" s="1192">
        <v>84</v>
      </c>
    </row>
    <row r="14238" spans="1:22" s="1192" customFormat="1" ht="53.4" x14ac:dyDescent="0.3">
      <c r="A14238" s="1192" t="s">
        <v>165</v>
      </c>
      <c r="E14238" s="1362" t="s">
        <v>6737</v>
      </c>
      <c r="F14238" s="1363"/>
      <c r="G14238" s="1359" t="s">
        <v>21</v>
      </c>
      <c r="H14238" s="1360">
        <v>0.14019999999999999</v>
      </c>
      <c r="K14238" s="1192" t="s">
        <v>2861</v>
      </c>
      <c r="L14238" s="1192" t="s">
        <v>431</v>
      </c>
      <c r="P14238" s="1192" t="s">
        <v>2867</v>
      </c>
      <c r="T14238" s="1192">
        <v>44561</v>
      </c>
      <c r="V14238" s="1192">
        <v>125</v>
      </c>
    </row>
    <row r="14239" spans="1:22" s="1192" customFormat="1" ht="66.599999999999994" x14ac:dyDescent="0.3">
      <c r="A14239" s="1192" t="s">
        <v>165</v>
      </c>
      <c r="E14239" s="1363" t="s">
        <v>6728</v>
      </c>
      <c r="F14239" s="1363"/>
      <c r="G14239" s="1359" t="s">
        <v>21</v>
      </c>
      <c r="H14239" s="1219">
        <v>-6.1999999999999998E-3</v>
      </c>
      <c r="K14239" s="1192" t="s">
        <v>2861</v>
      </c>
      <c r="L14239" s="1192" t="s">
        <v>431</v>
      </c>
      <c r="P14239" s="1192" t="s">
        <v>4084</v>
      </c>
      <c r="T14239" s="1192">
        <v>44561</v>
      </c>
      <c r="V14239" s="1192">
        <v>169</v>
      </c>
    </row>
    <row r="14240" spans="1:22" s="1192" customFormat="1" ht="66.599999999999994" x14ac:dyDescent="0.3">
      <c r="A14240" s="1192" t="s">
        <v>165</v>
      </c>
      <c r="E14240" s="1363" t="s">
        <v>6729</v>
      </c>
      <c r="F14240" s="1363"/>
      <c r="G14240" s="1359" t="s">
        <v>20</v>
      </c>
      <c r="H14240" s="1461">
        <v>-1.5900000000000001E-3</v>
      </c>
      <c r="K14240" s="1192" t="s">
        <v>2861</v>
      </c>
      <c r="L14240" s="1192" t="s">
        <v>431</v>
      </c>
      <c r="P14240" s="1192" t="s">
        <v>2866</v>
      </c>
      <c r="T14240" s="1192">
        <v>44561</v>
      </c>
      <c r="V14240" s="1192">
        <v>162</v>
      </c>
    </row>
    <row r="14241" spans="1:22" s="1192" customFormat="1" ht="14.4" x14ac:dyDescent="0.3">
      <c r="A14241" s="1192" t="s">
        <v>165</v>
      </c>
      <c r="E14241" s="2015" t="s">
        <v>213</v>
      </c>
      <c r="F14241" s="2015"/>
      <c r="G14241" s="1359" t="s">
        <v>29</v>
      </c>
      <c r="H14241" s="1361">
        <v>2.6543000000000001</v>
      </c>
      <c r="K14241" s="1192" t="s">
        <v>2861</v>
      </c>
      <c r="L14241" s="1192" t="s">
        <v>432</v>
      </c>
      <c r="P14241" s="1192" t="s">
        <v>2868</v>
      </c>
      <c r="V14241" s="1192">
        <v>47</v>
      </c>
    </row>
    <row r="14242" spans="1:22" s="1192" customFormat="1" ht="14.4" x14ac:dyDescent="0.3">
      <c r="A14242" s="1192" t="s">
        <v>165</v>
      </c>
      <c r="E14242" s="2015" t="s">
        <v>209</v>
      </c>
      <c r="F14242" s="2015"/>
      <c r="G14242" s="1359" t="s">
        <v>29</v>
      </c>
      <c r="H14242" s="1361">
        <v>2.8403</v>
      </c>
      <c r="K14242" s="1192" t="s">
        <v>2861</v>
      </c>
      <c r="L14242" s="1192" t="s">
        <v>432</v>
      </c>
      <c r="P14242" s="1192" t="s">
        <v>2869</v>
      </c>
      <c r="V14242" s="1192">
        <v>74</v>
      </c>
    </row>
    <row r="14243" spans="1:22" s="1192" customFormat="1" ht="14.4" x14ac:dyDescent="0.3">
      <c r="A14243" s="1192" t="s">
        <v>165</v>
      </c>
      <c r="E14243" s="2184" t="s">
        <v>2405</v>
      </c>
      <c r="F14243" s="2185"/>
      <c r="G14243" s="1137"/>
      <c r="H14243" s="1364"/>
      <c r="K14243" s="1192" t="s">
        <v>2657</v>
      </c>
      <c r="V14243" s="1192">
        <v>48</v>
      </c>
    </row>
    <row r="14244" spans="1:22" s="1192" customFormat="1" ht="14.4" x14ac:dyDescent="0.3">
      <c r="A14244" s="1192" t="s">
        <v>165</v>
      </c>
      <c r="E14244" s="2015" t="s">
        <v>2033</v>
      </c>
      <c r="F14244" s="2015"/>
      <c r="G14244" s="1359" t="s">
        <v>20</v>
      </c>
      <c r="H14244" s="1219">
        <v>3.0000000000000001E-3</v>
      </c>
      <c r="K14244" s="1192" t="s">
        <v>2861</v>
      </c>
      <c r="L14244" s="1192" t="s">
        <v>2374</v>
      </c>
      <c r="P14244" s="1192" t="s">
        <v>2870</v>
      </c>
      <c r="V14244" s="1192">
        <v>55</v>
      </c>
    </row>
    <row r="14245" spans="1:22" s="1192" customFormat="1" ht="14.4" x14ac:dyDescent="0.3">
      <c r="A14245" s="1192" t="s">
        <v>165</v>
      </c>
      <c r="E14245" s="2015" t="s">
        <v>2034</v>
      </c>
      <c r="F14245" s="2015"/>
      <c r="G14245" s="1359" t="s">
        <v>20</v>
      </c>
      <c r="H14245" s="1360">
        <v>4.0000000000000002E-4</v>
      </c>
      <c r="K14245" s="1192" t="s">
        <v>2861</v>
      </c>
      <c r="L14245" s="1192" t="s">
        <v>2374</v>
      </c>
      <c r="P14245" s="1192" t="s">
        <v>2870</v>
      </c>
      <c r="V14245" s="1192">
        <v>65</v>
      </c>
    </row>
    <row r="14246" spans="1:22" s="1192" customFormat="1" ht="14.4" x14ac:dyDescent="0.3">
      <c r="A14246" s="1192" t="s">
        <v>165</v>
      </c>
      <c r="E14246" s="2015" t="s">
        <v>428</v>
      </c>
      <c r="F14246" s="2015"/>
      <c r="G14246" s="1359" t="s">
        <v>20</v>
      </c>
      <c r="H14246" s="1360">
        <v>5.0000000000000001E-4</v>
      </c>
      <c r="K14246" s="1192" t="s">
        <v>2861</v>
      </c>
      <c r="L14246" s="1192" t="s">
        <v>2374</v>
      </c>
      <c r="P14246" s="1192" t="s">
        <v>2871</v>
      </c>
      <c r="V14246" s="1192">
        <v>57</v>
      </c>
    </row>
    <row r="14247" spans="1:22" s="1192" customFormat="1" ht="14.4" x14ac:dyDescent="0.3">
      <c r="A14247" s="1192" t="s">
        <v>165</v>
      </c>
      <c r="E14247" s="2015" t="s">
        <v>28</v>
      </c>
      <c r="F14247" s="2015"/>
      <c r="G14247" s="1359" t="s">
        <v>19</v>
      </c>
      <c r="H14247" s="1360">
        <v>0.25</v>
      </c>
      <c r="K14247" s="1192" t="s">
        <v>2861</v>
      </c>
      <c r="L14247" s="1192" t="s">
        <v>2374</v>
      </c>
      <c r="P14247" s="1192" t="s">
        <v>2872</v>
      </c>
      <c r="V14247" s="1192">
        <v>63</v>
      </c>
    </row>
    <row r="14248" spans="1:22" s="1192" customFormat="1" ht="17.399999999999999" x14ac:dyDescent="0.3">
      <c r="A14248" s="1192" t="s">
        <v>165</v>
      </c>
      <c r="E14248" s="2186" t="s">
        <v>593</v>
      </c>
      <c r="F14248" s="2187"/>
      <c r="G14248" s="2187"/>
      <c r="H14248" s="2187"/>
      <c r="K14248" s="1192" t="s">
        <v>2873</v>
      </c>
      <c r="V14248" s="1192">
        <v>31</v>
      </c>
    </row>
    <row r="14249" spans="1:22" s="1192" customFormat="1" ht="14.4" x14ac:dyDescent="0.3">
      <c r="A14249" s="1192" t="s">
        <v>165</v>
      </c>
      <c r="E14249" s="2188" t="s">
        <v>3568</v>
      </c>
      <c r="F14249" s="2188"/>
      <c r="G14249" s="2188"/>
      <c r="H14249" s="2188"/>
      <c r="K14249" s="1192" t="s">
        <v>2873</v>
      </c>
      <c r="V14249" s="1192">
        <v>282</v>
      </c>
    </row>
    <row r="14250" spans="1:22" s="1192" customFormat="1" ht="14.4" x14ac:dyDescent="0.3">
      <c r="A14250" s="1192" t="s">
        <v>165</v>
      </c>
      <c r="E14250" s="2189" t="s">
        <v>2389</v>
      </c>
      <c r="F14250" s="2190"/>
      <c r="G14250" s="2190"/>
      <c r="H14250" s="2190"/>
      <c r="K14250" s="1192" t="s">
        <v>2629</v>
      </c>
      <c r="V14250" s="1192">
        <v>11</v>
      </c>
    </row>
    <row r="14251" spans="1:22" s="1192" customFormat="1" ht="14.4" x14ac:dyDescent="0.3">
      <c r="A14251" s="1192" t="s">
        <v>165</v>
      </c>
      <c r="E14251" s="2188" t="s">
        <v>2391</v>
      </c>
      <c r="F14251" s="2188"/>
      <c r="G14251" s="2188"/>
      <c r="H14251" s="2188"/>
      <c r="K14251" s="1192" t="s">
        <v>2873</v>
      </c>
      <c r="V14251" s="1192">
        <v>280</v>
      </c>
    </row>
    <row r="14252" spans="1:22" s="1192" customFormat="1" ht="14.4" x14ac:dyDescent="0.3">
      <c r="A14252" s="1192" t="s">
        <v>165</v>
      </c>
      <c r="E14252" s="2188" t="s">
        <v>2392</v>
      </c>
      <c r="F14252" s="2188"/>
      <c r="G14252" s="2188"/>
      <c r="H14252" s="2188"/>
      <c r="K14252" s="1192" t="s">
        <v>2873</v>
      </c>
      <c r="V14252" s="1192">
        <v>411</v>
      </c>
    </row>
    <row r="14253" spans="1:22" s="1192" customFormat="1" ht="14.4" x14ac:dyDescent="0.3">
      <c r="A14253" s="1192" t="s">
        <v>165</v>
      </c>
      <c r="E14253" s="2188" t="s">
        <v>2445</v>
      </c>
      <c r="F14253" s="2188"/>
      <c r="G14253" s="2188"/>
      <c r="H14253" s="2188"/>
      <c r="K14253" s="1192" t="s">
        <v>2873</v>
      </c>
      <c r="V14253" s="1192">
        <v>211</v>
      </c>
    </row>
    <row r="14254" spans="1:22" s="1192" customFormat="1" ht="14.4" x14ac:dyDescent="0.3">
      <c r="A14254" s="1192" t="s">
        <v>165</v>
      </c>
      <c r="E14254" s="2188" t="s">
        <v>2661</v>
      </c>
      <c r="F14254" s="2188"/>
      <c r="G14254" s="2188"/>
      <c r="H14254" s="2188"/>
      <c r="K14254" s="1192" t="s">
        <v>2873</v>
      </c>
      <c r="V14254" s="1192">
        <v>274</v>
      </c>
    </row>
    <row r="14255" spans="1:22" s="1192" customFormat="1" ht="14.4" x14ac:dyDescent="0.3">
      <c r="A14255" s="1192" t="s">
        <v>165</v>
      </c>
      <c r="E14255" s="2013" t="s">
        <v>2394</v>
      </c>
      <c r="F14255" s="2014"/>
      <c r="G14255" s="2014"/>
      <c r="H14255" s="2014"/>
      <c r="K14255" s="1192" t="s">
        <v>2630</v>
      </c>
      <c r="V14255" s="1192">
        <v>46</v>
      </c>
    </row>
    <row r="14256" spans="1:22" s="1192" customFormat="1" ht="14.4" x14ac:dyDescent="0.3">
      <c r="A14256" s="1192" t="s">
        <v>165</v>
      </c>
      <c r="E14256" s="2015" t="s">
        <v>7</v>
      </c>
      <c r="F14256" s="2015"/>
      <c r="G14256" s="1359" t="s">
        <v>19</v>
      </c>
      <c r="H14256" s="1361">
        <v>5.33</v>
      </c>
      <c r="K14256" s="1192" t="s">
        <v>2873</v>
      </c>
      <c r="L14256" s="1192" t="s">
        <v>430</v>
      </c>
      <c r="P14256" s="1192" t="s">
        <v>2874</v>
      </c>
      <c r="V14256" s="1192">
        <v>14</v>
      </c>
    </row>
    <row r="14257" spans="1:22" s="1192" customFormat="1" x14ac:dyDescent="0.35">
      <c r="A14257" s="1192" t="s">
        <v>165</v>
      </c>
      <c r="E14257" s="1368" t="s">
        <v>81</v>
      </c>
      <c r="F14257" s="1369"/>
      <c r="G14257" s="1369"/>
      <c r="H14257" s="1370"/>
      <c r="K14257" s="1192" t="s">
        <v>3569</v>
      </c>
      <c r="V14257" s="1192">
        <v>10</v>
      </c>
    </row>
    <row r="14258" spans="1:22" s="1192" customFormat="1" ht="14.4" x14ac:dyDescent="0.3">
      <c r="A14258" s="1192" t="s">
        <v>165</v>
      </c>
      <c r="E14258" s="2015" t="s">
        <v>2900</v>
      </c>
      <c r="F14258" s="2015"/>
      <c r="G14258" s="1359" t="s">
        <v>21</v>
      </c>
      <c r="H14258" s="509">
        <v>-0.62</v>
      </c>
      <c r="V14258" s="1192">
        <v>35</v>
      </c>
    </row>
    <row r="14259" spans="1:22" s="1192" customFormat="1" ht="14.4" x14ac:dyDescent="0.3">
      <c r="A14259" s="1192" t="s">
        <v>165</v>
      </c>
      <c r="E14259" s="2015" t="s">
        <v>2450</v>
      </c>
      <c r="F14259" s="2015"/>
      <c r="G14259" s="1359" t="s">
        <v>82</v>
      </c>
      <c r="H14259" s="509">
        <v>-1</v>
      </c>
      <c r="V14259" s="1192">
        <v>87</v>
      </c>
    </row>
    <row r="14260" spans="1:22" s="1192" customFormat="1" x14ac:dyDescent="0.35">
      <c r="A14260" s="1192" t="s">
        <v>165</v>
      </c>
      <c r="E14260" s="1368" t="s">
        <v>83</v>
      </c>
      <c r="F14260" s="1369"/>
      <c r="G14260" s="1369"/>
      <c r="H14260" s="1370"/>
      <c r="K14260" s="1192" t="s">
        <v>3570</v>
      </c>
      <c r="V14260" s="1192">
        <v>24</v>
      </c>
    </row>
    <row r="14261" spans="1:22" s="1192" customFormat="1" ht="14.4" x14ac:dyDescent="0.3">
      <c r="A14261" s="1192" t="s">
        <v>165</v>
      </c>
      <c r="E14261" s="2275" t="s">
        <v>2389</v>
      </c>
      <c r="F14261" s="2188"/>
      <c r="G14261" s="2188"/>
      <c r="H14261" s="2188"/>
      <c r="V14261" s="1192">
        <v>11</v>
      </c>
    </row>
    <row r="14262" spans="1:22" s="1192" customFormat="1" ht="14.4" x14ac:dyDescent="0.3">
      <c r="A14262" s="1192" t="s">
        <v>165</v>
      </c>
      <c r="E14262" s="2188" t="s">
        <v>2391</v>
      </c>
      <c r="F14262" s="2188"/>
      <c r="G14262" s="2188"/>
      <c r="H14262" s="2188"/>
      <c r="V14262" s="1192">
        <v>280</v>
      </c>
    </row>
    <row r="14263" spans="1:22" s="1192" customFormat="1" ht="14.4" x14ac:dyDescent="0.3">
      <c r="A14263" s="1192" t="s">
        <v>165</v>
      </c>
      <c r="E14263" s="2188" t="s">
        <v>2452</v>
      </c>
      <c r="F14263" s="2188"/>
      <c r="G14263" s="2188"/>
      <c r="H14263" s="2188"/>
      <c r="V14263" s="1192">
        <v>353</v>
      </c>
    </row>
    <row r="14264" spans="1:22" s="1192" customFormat="1" ht="14.4" x14ac:dyDescent="0.3">
      <c r="A14264" s="1192" t="s">
        <v>165</v>
      </c>
      <c r="E14264" s="2276" t="s">
        <v>2661</v>
      </c>
      <c r="F14264" s="2276"/>
      <c r="G14264" s="2276"/>
      <c r="H14264" s="2276"/>
      <c r="V14264" s="1192">
        <v>274</v>
      </c>
    </row>
    <row r="14265" spans="1:22" s="1192" customFormat="1" ht="14.4" x14ac:dyDescent="0.3">
      <c r="A14265" s="1192" t="s">
        <v>165</v>
      </c>
      <c r="E14265" s="1371" t="s">
        <v>2453</v>
      </c>
      <c r="F14265" s="1"/>
      <c r="G14265" s="1"/>
      <c r="H14265" s="1372"/>
      <c r="K14265" s="1192" t="s">
        <v>3571</v>
      </c>
      <c r="V14265" s="1192">
        <v>23</v>
      </c>
    </row>
    <row r="14266" spans="1:22" s="1192" customFormat="1" ht="14.4" x14ac:dyDescent="0.3">
      <c r="A14266" s="1192" t="s">
        <v>165</v>
      </c>
      <c r="E14266" s="2277" t="s">
        <v>2463</v>
      </c>
      <c r="F14266" s="2277"/>
      <c r="G14266" s="1359" t="s">
        <v>19</v>
      </c>
      <c r="H14266" s="509">
        <v>25</v>
      </c>
      <c r="V14266" s="1192">
        <v>15</v>
      </c>
    </row>
    <row r="14267" spans="1:22" s="1192" customFormat="1" ht="14.4" x14ac:dyDescent="0.3">
      <c r="A14267" s="1192" t="s">
        <v>165</v>
      </c>
      <c r="E14267" s="2277" t="s">
        <v>2458</v>
      </c>
      <c r="F14267" s="2277"/>
      <c r="G14267" s="1359" t="s">
        <v>19</v>
      </c>
      <c r="H14267" s="509">
        <v>25</v>
      </c>
      <c r="V14267" s="1192">
        <v>39</v>
      </c>
    </row>
    <row r="14268" spans="1:22" s="1192" customFormat="1" ht="14.4" x14ac:dyDescent="0.3">
      <c r="A14268" s="1192" t="s">
        <v>165</v>
      </c>
      <c r="E14268" s="2277" t="s">
        <v>4267</v>
      </c>
      <c r="F14268" s="2277"/>
      <c r="G14268" s="1359" t="s">
        <v>19</v>
      </c>
      <c r="H14268" s="509">
        <v>25</v>
      </c>
      <c r="V14268" s="1192">
        <v>47</v>
      </c>
    </row>
    <row r="14269" spans="1:22" s="1192" customFormat="1" ht="14.4" x14ac:dyDescent="0.3">
      <c r="A14269" s="1192" t="s">
        <v>165</v>
      </c>
      <c r="E14269" s="2277" t="s">
        <v>3663</v>
      </c>
      <c r="F14269" s="2277"/>
      <c r="G14269" s="1359" t="s">
        <v>19</v>
      </c>
      <c r="H14269" s="509">
        <v>25</v>
      </c>
      <c r="V14269" s="1192">
        <v>15</v>
      </c>
    </row>
    <row r="14270" spans="1:22" s="1192" customFormat="1" ht="14.4" x14ac:dyDescent="0.3">
      <c r="A14270" s="1192" t="s">
        <v>165</v>
      </c>
      <c r="E14270" s="2277" t="s">
        <v>2461</v>
      </c>
      <c r="F14270" s="2277"/>
      <c r="G14270" s="1359" t="s">
        <v>19</v>
      </c>
      <c r="H14270" s="509">
        <v>25</v>
      </c>
      <c r="V14270" s="1192">
        <v>17</v>
      </c>
    </row>
    <row r="14271" spans="1:22" s="1192" customFormat="1" ht="14.4" x14ac:dyDescent="0.3">
      <c r="A14271" s="1192" t="s">
        <v>165</v>
      </c>
      <c r="E14271" s="2277" t="s">
        <v>84</v>
      </c>
      <c r="F14271" s="2277"/>
      <c r="G14271" s="1359" t="s">
        <v>19</v>
      </c>
      <c r="H14271" s="509">
        <v>35</v>
      </c>
      <c r="V14271" s="1192">
        <v>89</v>
      </c>
    </row>
    <row r="14272" spans="1:22" s="1192" customFormat="1" ht="14.4" x14ac:dyDescent="0.3">
      <c r="A14272" s="1192" t="s">
        <v>165</v>
      </c>
      <c r="E14272" s="2277" t="s">
        <v>119</v>
      </c>
      <c r="F14272" s="2277"/>
      <c r="G14272" s="1359" t="s">
        <v>19</v>
      </c>
      <c r="H14272" s="509">
        <v>25</v>
      </c>
      <c r="V14272" s="1192">
        <v>35</v>
      </c>
    </row>
    <row r="14273" spans="1:22" s="1192" customFormat="1" ht="14.4" x14ac:dyDescent="0.3">
      <c r="A14273" s="1192" t="s">
        <v>165</v>
      </c>
      <c r="E14273" s="2277" t="s">
        <v>90</v>
      </c>
      <c r="F14273" s="2277"/>
      <c r="G14273" s="1359" t="s">
        <v>19</v>
      </c>
      <c r="H14273" s="509">
        <v>55</v>
      </c>
      <c r="V14273" s="1192">
        <v>19</v>
      </c>
    </row>
    <row r="14274" spans="1:22" s="1192" customFormat="1" ht="14.4" x14ac:dyDescent="0.3">
      <c r="A14274" s="1192" t="s">
        <v>165</v>
      </c>
      <c r="E14274" s="2277" t="s">
        <v>88</v>
      </c>
      <c r="F14274" s="2277"/>
      <c r="G14274" s="1359" t="s">
        <v>19</v>
      </c>
      <c r="H14274" s="509">
        <v>55</v>
      </c>
      <c r="V14274" s="1192">
        <v>74</v>
      </c>
    </row>
    <row r="14275" spans="1:22" s="1192" customFormat="1" ht="14.4" x14ac:dyDescent="0.3">
      <c r="A14275" s="1192" t="s">
        <v>165</v>
      </c>
      <c r="E14275" s="1371" t="s">
        <v>2468</v>
      </c>
      <c r="F14275" s="1"/>
      <c r="G14275" s="1"/>
      <c r="H14275" s="1372"/>
      <c r="K14275" s="1192" t="s">
        <v>3572</v>
      </c>
      <c r="V14275" s="1192">
        <v>22</v>
      </c>
    </row>
    <row r="14276" spans="1:22" s="1192" customFormat="1" ht="14.4" x14ac:dyDescent="0.3">
      <c r="A14276" s="1192" t="s">
        <v>165</v>
      </c>
      <c r="E14276" s="2277" t="s">
        <v>3918</v>
      </c>
      <c r="F14276" s="2277"/>
      <c r="G14276" s="1356" t="s">
        <v>82</v>
      </c>
      <c r="H14276" s="509">
        <v>1.5</v>
      </c>
      <c r="V14276" s="1192">
        <v>24</v>
      </c>
    </row>
    <row r="14277" spans="1:22" s="1192" customFormat="1" ht="14.4" x14ac:dyDescent="0.3">
      <c r="A14277" s="1192" t="s">
        <v>165</v>
      </c>
      <c r="E14277" s="2277" t="s">
        <v>3664</v>
      </c>
      <c r="F14277" s="2277"/>
      <c r="G14277" s="1356" t="s">
        <v>82</v>
      </c>
      <c r="H14277" s="509">
        <v>19.559999999999999</v>
      </c>
      <c r="V14277" s="1192">
        <v>24</v>
      </c>
    </row>
    <row r="14278" spans="1:22" s="1192" customFormat="1" ht="14.4" x14ac:dyDescent="0.3">
      <c r="A14278" s="1192" t="s">
        <v>165</v>
      </c>
      <c r="E14278" s="2277" t="s">
        <v>3665</v>
      </c>
      <c r="F14278" s="2277"/>
      <c r="G14278" s="1359" t="s">
        <v>19</v>
      </c>
      <c r="H14278" s="509">
        <v>120</v>
      </c>
      <c r="V14278" s="1192">
        <v>52</v>
      </c>
    </row>
    <row r="14279" spans="1:22" s="1192" customFormat="1" ht="14.4" x14ac:dyDescent="0.3">
      <c r="A14279" s="1192" t="s">
        <v>165</v>
      </c>
      <c r="E14279" s="2277" t="s">
        <v>3666</v>
      </c>
      <c r="F14279" s="2277"/>
      <c r="G14279" s="1373" t="s">
        <v>19</v>
      </c>
      <c r="H14279" s="509">
        <v>400</v>
      </c>
      <c r="V14279" s="1192">
        <v>51</v>
      </c>
    </row>
    <row r="14280" spans="1:22" s="1192" customFormat="1" ht="14.4" x14ac:dyDescent="0.3">
      <c r="A14280" s="1192" t="s">
        <v>165</v>
      </c>
      <c r="E14280" s="2277" t="s">
        <v>3667</v>
      </c>
      <c r="F14280" s="2277"/>
      <c r="G14280" s="1359" t="s">
        <v>19</v>
      </c>
      <c r="H14280" s="509">
        <v>300</v>
      </c>
      <c r="V14280" s="1192">
        <v>51</v>
      </c>
    </row>
    <row r="14281" spans="1:22" s="1192" customFormat="1" ht="14.4" x14ac:dyDescent="0.3">
      <c r="A14281" s="1192" t="s">
        <v>165</v>
      </c>
      <c r="E14281" s="2277" t="s">
        <v>3668</v>
      </c>
      <c r="F14281" s="2277"/>
      <c r="G14281" s="1359" t="s">
        <v>19</v>
      </c>
      <c r="H14281" s="509">
        <v>820</v>
      </c>
      <c r="V14281" s="1192">
        <v>50</v>
      </c>
    </row>
    <row r="14282" spans="1:22" s="1192" customFormat="1" ht="14.4" x14ac:dyDescent="0.3">
      <c r="A14282" s="1192" t="s">
        <v>165</v>
      </c>
      <c r="E14282" s="1374" t="s">
        <v>2474</v>
      </c>
      <c r="F14282" s="1"/>
      <c r="G14282" s="1375"/>
      <c r="H14282" s="1376"/>
      <c r="V14282" s="1192">
        <v>5</v>
      </c>
    </row>
    <row r="14283" spans="1:22" s="1192" customFormat="1" ht="14.4" x14ac:dyDescent="0.3">
      <c r="A14283" s="1192" t="s">
        <v>165</v>
      </c>
      <c r="E14283" s="2277" t="s">
        <v>3665</v>
      </c>
      <c r="F14283" s="2277"/>
      <c r="G14283" s="1359" t="s">
        <v>19</v>
      </c>
      <c r="H14283" s="509">
        <v>120</v>
      </c>
      <c r="V14283" s="1192">
        <v>52</v>
      </c>
    </row>
    <row r="14284" spans="1:22" s="1192" customFormat="1" ht="14.4" x14ac:dyDescent="0.3">
      <c r="A14284" s="1192" t="s">
        <v>165</v>
      </c>
      <c r="E14284" s="2277" t="s">
        <v>3666</v>
      </c>
      <c r="F14284" s="2277"/>
      <c r="G14284" s="1359" t="s">
        <v>19</v>
      </c>
      <c r="H14284" s="509">
        <v>400</v>
      </c>
      <c r="V14284" s="1192">
        <v>51</v>
      </c>
    </row>
    <row r="14285" spans="1:22" s="1192" customFormat="1" ht="14.4" x14ac:dyDescent="0.3">
      <c r="A14285" s="1192" t="s">
        <v>165</v>
      </c>
      <c r="E14285" s="2277" t="s">
        <v>3667</v>
      </c>
      <c r="F14285" s="2277"/>
      <c r="G14285" s="1359" t="s">
        <v>19</v>
      </c>
      <c r="H14285" s="509">
        <v>300</v>
      </c>
      <c r="V14285" s="1192">
        <v>51</v>
      </c>
    </row>
    <row r="14286" spans="1:22" s="1192" customFormat="1" ht="14.4" x14ac:dyDescent="0.3">
      <c r="A14286" s="1192" t="s">
        <v>165</v>
      </c>
      <c r="E14286" s="2277" t="s">
        <v>3668</v>
      </c>
      <c r="F14286" s="2277"/>
      <c r="G14286" s="1359" t="s">
        <v>19</v>
      </c>
      <c r="H14286" s="509">
        <v>820</v>
      </c>
      <c r="V14286" s="1192">
        <v>50</v>
      </c>
    </row>
    <row r="14287" spans="1:22" s="1192" customFormat="1" ht="14.4" x14ac:dyDescent="0.3">
      <c r="A14287" s="1192" t="s">
        <v>165</v>
      </c>
      <c r="E14287" s="2277" t="s">
        <v>3041</v>
      </c>
      <c r="F14287" s="2277"/>
      <c r="G14287" s="1359" t="s">
        <v>19</v>
      </c>
      <c r="H14287" s="509">
        <v>2040</v>
      </c>
      <c r="V14287" s="1192">
        <v>62</v>
      </c>
    </row>
    <row r="14288" spans="1:22" s="1192" customFormat="1" ht="14.4" x14ac:dyDescent="0.3">
      <c r="A14288" s="1192" t="s">
        <v>165</v>
      </c>
      <c r="E14288" s="2277" t="s">
        <v>4268</v>
      </c>
      <c r="F14288" s="2277"/>
      <c r="G14288" s="1359" t="s">
        <v>19</v>
      </c>
      <c r="H14288" s="509">
        <v>44.5</v>
      </c>
      <c r="V14288" s="1192">
        <v>84</v>
      </c>
    </row>
    <row r="14289" spans="1:22" s="1192" customFormat="1" x14ac:dyDescent="0.35">
      <c r="A14289" s="1192" t="s">
        <v>165</v>
      </c>
      <c r="E14289" s="1368" t="s">
        <v>73</v>
      </c>
      <c r="F14289" s="1369"/>
      <c r="G14289" s="1369"/>
      <c r="H14289" s="1370"/>
      <c r="K14289" s="1192" t="s">
        <v>3573</v>
      </c>
      <c r="V14289" s="1192">
        <v>38</v>
      </c>
    </row>
    <row r="14290" spans="1:22" s="1192" customFormat="1" ht="14.4" x14ac:dyDescent="0.3">
      <c r="A14290" s="1192" t="s">
        <v>165</v>
      </c>
      <c r="E14290" s="2278" t="s">
        <v>2389</v>
      </c>
      <c r="F14290" s="2279"/>
      <c r="G14290" s="2279"/>
      <c r="H14290" s="2279"/>
      <c r="K14290" s="1192" t="s">
        <v>2629</v>
      </c>
      <c r="V14290" s="1192">
        <v>11</v>
      </c>
    </row>
    <row r="14291" spans="1:22" s="1192" customFormat="1" ht="14.4" x14ac:dyDescent="0.3">
      <c r="A14291" s="1192" t="s">
        <v>165</v>
      </c>
      <c r="E14291" s="2188" t="s">
        <v>2391</v>
      </c>
      <c r="F14291" s="2188"/>
      <c r="G14291" s="2188"/>
      <c r="H14291" s="2188"/>
      <c r="V14291" s="1192">
        <v>280</v>
      </c>
    </row>
    <row r="14292" spans="1:22" s="1192" customFormat="1" ht="14.4" x14ac:dyDescent="0.3">
      <c r="A14292" s="1192" t="s">
        <v>165</v>
      </c>
      <c r="E14292" s="2188" t="s">
        <v>2392</v>
      </c>
      <c r="F14292" s="2188"/>
      <c r="G14292" s="2188"/>
      <c r="H14292" s="2188"/>
      <c r="V14292" s="1192">
        <v>411</v>
      </c>
    </row>
    <row r="14293" spans="1:22" s="1192" customFormat="1" ht="14.4" x14ac:dyDescent="0.3">
      <c r="A14293" s="1192" t="s">
        <v>165</v>
      </c>
      <c r="E14293" s="2188" t="s">
        <v>2445</v>
      </c>
      <c r="F14293" s="2188"/>
      <c r="G14293" s="2188"/>
      <c r="H14293" s="2188"/>
      <c r="V14293" s="1192">
        <v>211</v>
      </c>
    </row>
    <row r="14294" spans="1:22" s="1192" customFormat="1" ht="14.4" x14ac:dyDescent="0.3">
      <c r="A14294" s="1192" t="s">
        <v>165</v>
      </c>
      <c r="E14294" s="2188" t="s">
        <v>2661</v>
      </c>
      <c r="F14294" s="2188"/>
      <c r="G14294" s="2188"/>
      <c r="H14294" s="2188"/>
      <c r="V14294" s="1192">
        <v>274</v>
      </c>
    </row>
    <row r="14295" spans="1:22" s="1192" customFormat="1" ht="14.4" x14ac:dyDescent="0.3">
      <c r="A14295" s="1192" t="s">
        <v>165</v>
      </c>
      <c r="E14295" s="2185" t="s">
        <v>3574</v>
      </c>
      <c r="F14295" s="2185"/>
      <c r="G14295" s="2185"/>
      <c r="H14295" s="2185"/>
      <c r="V14295" s="1192">
        <v>201</v>
      </c>
    </row>
    <row r="14296" spans="1:22" s="1192" customFormat="1" ht="14.4" x14ac:dyDescent="0.3">
      <c r="A14296" s="1192" t="s">
        <v>165</v>
      </c>
      <c r="E14296" s="2015" t="s">
        <v>2485</v>
      </c>
      <c r="F14296" s="2015"/>
      <c r="G14296" s="1377" t="s">
        <v>19</v>
      </c>
      <c r="H14296" s="509">
        <v>102</v>
      </c>
      <c r="V14296" s="1192">
        <v>106</v>
      </c>
    </row>
    <row r="14297" spans="1:22" s="1192" customFormat="1" ht="14.4" x14ac:dyDescent="0.3">
      <c r="A14297" s="1192" t="s">
        <v>165</v>
      </c>
      <c r="E14297" s="2015" t="s">
        <v>2486</v>
      </c>
      <c r="F14297" s="2015"/>
      <c r="G14297" s="1377" t="s">
        <v>19</v>
      </c>
      <c r="H14297" s="509">
        <v>40.799999999999997</v>
      </c>
      <c r="V14297" s="1192">
        <v>34</v>
      </c>
    </row>
    <row r="14298" spans="1:22" s="1192" customFormat="1" ht="14.4" x14ac:dyDescent="0.3">
      <c r="A14298" s="1192" t="s">
        <v>165</v>
      </c>
      <c r="E14298" s="2015" t="s">
        <v>2487</v>
      </c>
      <c r="F14298" s="2015"/>
      <c r="G14298" s="1377" t="s">
        <v>2488</v>
      </c>
      <c r="H14298" s="509">
        <v>1.02</v>
      </c>
      <c r="V14298" s="1192">
        <v>51</v>
      </c>
    </row>
    <row r="14299" spans="1:22" s="1192" customFormat="1" ht="14.4" x14ac:dyDescent="0.3">
      <c r="A14299" s="1192" t="s">
        <v>165</v>
      </c>
      <c r="E14299" s="2015" t="s">
        <v>2489</v>
      </c>
      <c r="F14299" s="2015"/>
      <c r="G14299" s="1377" t="s">
        <v>2488</v>
      </c>
      <c r="H14299" s="509">
        <v>0.61</v>
      </c>
      <c r="V14299" s="1192">
        <v>75</v>
      </c>
    </row>
    <row r="14300" spans="1:22" s="1192" customFormat="1" ht="14.4" x14ac:dyDescent="0.3">
      <c r="A14300" s="1192" t="s">
        <v>165</v>
      </c>
      <c r="E14300" s="2015" t="s">
        <v>2490</v>
      </c>
      <c r="F14300" s="2015"/>
      <c r="G14300" s="1377" t="s">
        <v>2488</v>
      </c>
      <c r="H14300" s="509">
        <v>-0.61</v>
      </c>
      <c r="V14300" s="1192">
        <v>72</v>
      </c>
    </row>
    <row r="14301" spans="1:22" s="1192" customFormat="1" ht="14.4" x14ac:dyDescent="0.3">
      <c r="A14301" s="1192" t="s">
        <v>165</v>
      </c>
      <c r="E14301" s="2015" t="s">
        <v>2596</v>
      </c>
      <c r="F14301" s="2015"/>
      <c r="G14301" s="1145"/>
      <c r="H14301" s="1379"/>
      <c r="V14301" s="1192">
        <v>34</v>
      </c>
    </row>
    <row r="14302" spans="1:22" s="1192" customFormat="1" ht="14.4" x14ac:dyDescent="0.3">
      <c r="A14302" s="1192" t="s">
        <v>165</v>
      </c>
      <c r="E14302" s="2015" t="s">
        <v>4269</v>
      </c>
      <c r="F14302" s="2015"/>
      <c r="G14302" s="1377" t="s">
        <v>19</v>
      </c>
      <c r="H14302" s="1378">
        <v>0.51</v>
      </c>
      <c r="V14302" s="1192">
        <v>62</v>
      </c>
    </row>
    <row r="14303" spans="1:22" s="1192" customFormat="1" ht="14.4" x14ac:dyDescent="0.3">
      <c r="A14303" s="1192" t="s">
        <v>165</v>
      </c>
      <c r="E14303" s="2015" t="s">
        <v>4270</v>
      </c>
      <c r="F14303" s="2015"/>
      <c r="G14303" s="1377" t="s">
        <v>19</v>
      </c>
      <c r="H14303" s="1378">
        <v>1.02</v>
      </c>
      <c r="V14303" s="1192">
        <v>65</v>
      </c>
    </row>
    <row r="14304" spans="1:22" s="1192" customFormat="1" ht="14.4" x14ac:dyDescent="0.3">
      <c r="A14304" s="1192" t="s">
        <v>165</v>
      </c>
      <c r="E14304" s="2015" t="s">
        <v>2494</v>
      </c>
      <c r="F14304" s="2015"/>
      <c r="G14304" s="1377"/>
      <c r="H14304" s="1378"/>
      <c r="V14304" s="1192">
        <v>91</v>
      </c>
    </row>
    <row r="14305" spans="1:22" s="1192" customFormat="1" ht="14.4" x14ac:dyDescent="0.3">
      <c r="A14305" s="1192" t="s">
        <v>165</v>
      </c>
      <c r="E14305" s="2015" t="s">
        <v>2495</v>
      </c>
      <c r="F14305" s="2015"/>
      <c r="G14305" s="1377"/>
      <c r="H14305" s="1378"/>
      <c r="V14305" s="1192">
        <v>96</v>
      </c>
    </row>
    <row r="14306" spans="1:22" s="1192" customFormat="1" ht="14.4" x14ac:dyDescent="0.3">
      <c r="A14306" s="1192" t="s">
        <v>165</v>
      </c>
      <c r="E14306" s="2015" t="s">
        <v>2597</v>
      </c>
      <c r="F14306" s="2015"/>
      <c r="G14306" s="1377"/>
      <c r="H14306" s="1378"/>
      <c r="V14306" s="1192">
        <v>77</v>
      </c>
    </row>
    <row r="14307" spans="1:22" s="1192" customFormat="1" ht="14.4" x14ac:dyDescent="0.3">
      <c r="A14307" s="1192" t="s">
        <v>165</v>
      </c>
      <c r="E14307" s="2015" t="s">
        <v>4271</v>
      </c>
      <c r="F14307" s="2015"/>
      <c r="G14307" s="1145"/>
      <c r="H14307" s="1380" t="s">
        <v>2498</v>
      </c>
      <c r="V14307" s="1192">
        <v>23</v>
      </c>
    </row>
    <row r="14308" spans="1:22" s="1192" customFormat="1" ht="14.4" x14ac:dyDescent="0.3">
      <c r="A14308" s="1192" t="s">
        <v>165</v>
      </c>
      <c r="E14308" s="2280" t="s">
        <v>4272</v>
      </c>
      <c r="F14308" s="2280"/>
      <c r="G14308" s="1377" t="s">
        <v>19</v>
      </c>
      <c r="H14308" s="1378">
        <v>4.08</v>
      </c>
      <c r="V14308" s="1192">
        <v>74</v>
      </c>
    </row>
    <row r="14309" spans="1:22" s="1192" customFormat="1" x14ac:dyDescent="0.35">
      <c r="A14309" s="1192" t="s">
        <v>165</v>
      </c>
      <c r="E14309" s="1368" t="s">
        <v>143</v>
      </c>
      <c r="F14309" s="1369"/>
      <c r="G14309" s="1369"/>
      <c r="H14309" s="1370"/>
      <c r="K14309" s="1192" t="s">
        <v>3575</v>
      </c>
      <c r="V14309" s="1192">
        <v>12</v>
      </c>
    </row>
    <row r="14310" spans="1:22" s="1192" customFormat="1" ht="14.4" x14ac:dyDescent="0.3">
      <c r="A14310" s="1192" t="s">
        <v>165</v>
      </c>
      <c r="E14310" s="2188" t="s">
        <v>2501</v>
      </c>
      <c r="F14310" s="2188"/>
      <c r="G14310" s="2188"/>
      <c r="H14310" s="2188"/>
      <c r="V14310" s="1192">
        <v>203</v>
      </c>
    </row>
    <row r="14311" spans="1:22" s="1192" customFormat="1" ht="14.4" x14ac:dyDescent="0.3">
      <c r="A14311" s="1192" t="s">
        <v>165</v>
      </c>
      <c r="E14311" s="2015" t="s">
        <v>2599</v>
      </c>
      <c r="F14311" s="2015"/>
      <c r="G14311" s="1359"/>
      <c r="H14311" s="1361">
        <v>1.0295000000000001</v>
      </c>
      <c r="V14311" s="1192">
        <v>57</v>
      </c>
    </row>
    <row r="14312" spans="1:22" s="1192" customFormat="1" ht="14.4" x14ac:dyDescent="0.3">
      <c r="A14312" s="1192" t="s">
        <v>165</v>
      </c>
      <c r="E14312" s="2015" t="s">
        <v>2600</v>
      </c>
      <c r="F14312" s="2015"/>
      <c r="G14312" s="1359"/>
      <c r="H14312" s="1361">
        <v>1.0172000000000001</v>
      </c>
      <c r="V14312" s="1192">
        <v>57</v>
      </c>
    </row>
    <row r="14313" spans="1:22" s="1192" customFormat="1" ht="14.4" x14ac:dyDescent="0.3">
      <c r="A14313" s="1192" t="s">
        <v>165</v>
      </c>
      <c r="E14313" s="2015" t="s">
        <v>2601</v>
      </c>
      <c r="F14313" s="2015"/>
      <c r="G14313" s="1359"/>
      <c r="H14313" s="1361">
        <v>1.0192000000000001</v>
      </c>
      <c r="V14313" s="1192">
        <v>55</v>
      </c>
    </row>
    <row r="14314" spans="1:22" s="1192" customFormat="1" ht="14.4" x14ac:dyDescent="0.3">
      <c r="A14314" s="1192" t="s">
        <v>165</v>
      </c>
      <c r="E14314" s="2015" t="s">
        <v>2602</v>
      </c>
      <c r="F14314" s="2015"/>
      <c r="G14314" s="1359"/>
      <c r="H14314" s="1361">
        <v>1.0069999999999999</v>
      </c>
      <c r="J14314" s="1192" t="s">
        <v>3576</v>
      </c>
      <c r="V14314" s="1192">
        <v>55</v>
      </c>
    </row>
    <row r="14315" spans="1:22" s="1192" customFormat="1" ht="22.8" x14ac:dyDescent="0.3">
      <c r="A14315" s="1192" t="s">
        <v>160</v>
      </c>
      <c r="C14315" s="1192" t="s">
        <v>2378</v>
      </c>
      <c r="E14315" s="1752" t="s">
        <v>160</v>
      </c>
      <c r="F14315" s="1752"/>
      <c r="G14315" s="1752"/>
      <c r="H14315" s="1752"/>
      <c r="I14315" s="1192" t="s">
        <v>603</v>
      </c>
      <c r="J14315" s="1192" t="s">
        <v>2909</v>
      </c>
      <c r="K14315" s="1192" t="s">
        <v>160</v>
      </c>
      <c r="M14315" s="1192">
        <v>7</v>
      </c>
      <c r="V14315" s="1192">
        <v>26</v>
      </c>
    </row>
    <row r="14316" spans="1:22" s="1192" customFormat="1" ht="17.399999999999999" x14ac:dyDescent="0.3">
      <c r="A14316" s="1192" t="s">
        <v>160</v>
      </c>
      <c r="C14316" s="1192" t="s">
        <v>2380</v>
      </c>
      <c r="E14316" s="1753" t="s">
        <v>2381</v>
      </c>
      <c r="F14316" s="1753"/>
      <c r="G14316" s="1753"/>
      <c r="H14316" s="1753"/>
      <c r="V14316" s="1192">
        <v>27</v>
      </c>
    </row>
    <row r="14317" spans="1:22" s="1192" customFormat="1" ht="15.6" x14ac:dyDescent="0.3">
      <c r="A14317" s="1192" t="s">
        <v>160</v>
      </c>
      <c r="C14317" s="1192" t="s">
        <v>2382</v>
      </c>
      <c r="E14317" s="1754" t="s">
        <v>6793</v>
      </c>
      <c r="F14317" s="1754"/>
      <c r="G14317" s="1754"/>
      <c r="H14317" s="1754"/>
      <c r="V14317" s="1192">
        <v>21</v>
      </c>
    </row>
    <row r="14318" spans="1:22" s="1192" customFormat="1" ht="15.6" x14ac:dyDescent="0.3">
      <c r="A14318" s="1192" t="s">
        <v>160</v>
      </c>
      <c r="C14318" s="1192" t="s">
        <v>2383</v>
      </c>
      <c r="E14318" s="1754" t="s">
        <v>6794</v>
      </c>
      <c r="F14318" s="1754"/>
      <c r="G14318" s="1754"/>
      <c r="H14318" s="1754"/>
      <c r="S14318" s="1192">
        <v>44136</v>
      </c>
      <c r="V14318" s="1192">
        <v>63</v>
      </c>
    </row>
    <row r="14319" spans="1:22" s="1192" customFormat="1" ht="14.4" x14ac:dyDescent="0.3">
      <c r="A14319" s="1192" t="s">
        <v>160</v>
      </c>
      <c r="E14319" s="2251" t="s">
        <v>2384</v>
      </c>
      <c r="F14319" s="2251"/>
      <c r="G14319" s="2251"/>
      <c r="H14319" s="2251"/>
      <c r="V14319" s="1192">
        <v>52</v>
      </c>
    </row>
    <row r="14320" spans="1:22" s="1192" customFormat="1" ht="14.4" x14ac:dyDescent="0.3">
      <c r="A14320" s="1192" t="s">
        <v>160</v>
      </c>
      <c r="E14320" s="2251" t="s">
        <v>2385</v>
      </c>
      <c r="F14320" s="2251"/>
      <c r="G14320" s="2251"/>
      <c r="H14320" s="2251"/>
      <c r="V14320" s="1192">
        <v>53</v>
      </c>
    </row>
    <row r="14321" spans="1:22" s="1192" customFormat="1" ht="14.4" x14ac:dyDescent="0.3">
      <c r="A14321" s="1192" t="s">
        <v>160</v>
      </c>
      <c r="E14321" s="2281" t="s">
        <v>6795</v>
      </c>
      <c r="F14321" s="2281"/>
      <c r="G14321" s="2281"/>
      <c r="H14321" s="2281"/>
      <c r="K14321" s="1192" t="s">
        <v>6795</v>
      </c>
      <c r="V14321" s="1192">
        <v>12</v>
      </c>
    </row>
    <row r="14322" spans="1:22" s="1192" customFormat="1" ht="14.4" x14ac:dyDescent="0.3">
      <c r="A14322" s="1192" t="s">
        <v>160</v>
      </c>
      <c r="E14322" s="1746" t="s">
        <v>427</v>
      </c>
      <c r="F14322" s="1988"/>
      <c r="G14322" s="1988"/>
      <c r="H14322" s="1988"/>
      <c r="K14322" s="1192" t="s">
        <v>2506</v>
      </c>
      <c r="V14322" s="1192">
        <v>34</v>
      </c>
    </row>
    <row r="14323" spans="1:22" s="1192" customFormat="1" ht="14.4" x14ac:dyDescent="0.3">
      <c r="A14323" s="1192" t="s">
        <v>160</v>
      </c>
      <c r="E14323" s="1743" t="s">
        <v>4681</v>
      </c>
      <c r="F14323" s="1743"/>
      <c r="G14323" s="1743"/>
      <c r="H14323" s="1743"/>
      <c r="K14323" s="1192" t="s">
        <v>2506</v>
      </c>
      <c r="V14323" s="1192">
        <v>995</v>
      </c>
    </row>
    <row r="14324" spans="1:22" s="1192" customFormat="1" ht="14.4" x14ac:dyDescent="0.3">
      <c r="A14324" s="1192" t="s">
        <v>160</v>
      </c>
      <c r="E14324" s="2009" t="s">
        <v>2389</v>
      </c>
      <c r="F14324" s="2010"/>
      <c r="G14324" s="2010"/>
      <c r="H14324" s="2010"/>
      <c r="K14324" s="1192" t="s">
        <v>2390</v>
      </c>
      <c r="V14324" s="1192">
        <v>11</v>
      </c>
    </row>
    <row r="14325" spans="1:22" s="1192" customFormat="1" ht="14.4" x14ac:dyDescent="0.3">
      <c r="A14325" s="1192" t="s">
        <v>160</v>
      </c>
      <c r="E14325" s="1743" t="s">
        <v>2391</v>
      </c>
      <c r="F14325" s="1743"/>
      <c r="G14325" s="1743"/>
      <c r="H14325" s="1743"/>
      <c r="K14325" s="1192" t="s">
        <v>2506</v>
      </c>
      <c r="V14325" s="1192">
        <v>280</v>
      </c>
    </row>
    <row r="14326" spans="1:22" s="1192" customFormat="1" ht="14.4" x14ac:dyDescent="0.3">
      <c r="A14326" s="1192" t="s">
        <v>160</v>
      </c>
      <c r="E14326" s="1743" t="s">
        <v>2392</v>
      </c>
      <c r="F14326" s="1743"/>
      <c r="G14326" s="1743"/>
      <c r="H14326" s="1743"/>
      <c r="K14326" s="1192" t="s">
        <v>2506</v>
      </c>
      <c r="V14326" s="1192">
        <v>411</v>
      </c>
    </row>
    <row r="14327" spans="1:22" s="1192" customFormat="1" ht="14.4" x14ac:dyDescent="0.3">
      <c r="A14327" s="1192" t="s">
        <v>160</v>
      </c>
      <c r="E14327" s="1743" t="s">
        <v>2508</v>
      </c>
      <c r="F14327" s="1743"/>
      <c r="G14327" s="1743"/>
      <c r="H14327" s="1743"/>
      <c r="K14327" s="1192" t="s">
        <v>2506</v>
      </c>
      <c r="V14327" s="1192">
        <v>386</v>
      </c>
    </row>
    <row r="14328" spans="1:22" s="1192" customFormat="1" ht="14.4" x14ac:dyDescent="0.3">
      <c r="A14328" s="1192" t="s">
        <v>160</v>
      </c>
      <c r="E14328" s="1743" t="s">
        <v>4500</v>
      </c>
      <c r="F14328" s="1743"/>
      <c r="G14328" s="1743"/>
      <c r="H14328" s="1743"/>
      <c r="K14328" s="1192" t="s">
        <v>2506</v>
      </c>
      <c r="V14328" s="1192">
        <v>247</v>
      </c>
    </row>
    <row r="14329" spans="1:22" s="1192" customFormat="1" ht="14.4" x14ac:dyDescent="0.3">
      <c r="A14329" s="1192" t="s">
        <v>160</v>
      </c>
      <c r="E14329" s="1748" t="s">
        <v>2394</v>
      </c>
      <c r="F14329" s="1749"/>
      <c r="G14329" s="1749"/>
      <c r="H14329" s="1749"/>
      <c r="K14329" s="1192" t="s">
        <v>2395</v>
      </c>
      <c r="V14329" s="1192">
        <v>46</v>
      </c>
    </row>
    <row r="14330" spans="1:22" s="1192" customFormat="1" ht="14.4" x14ac:dyDescent="0.3">
      <c r="A14330" s="1192" t="s">
        <v>160</v>
      </c>
      <c r="E14330" s="2011" t="s">
        <v>7</v>
      </c>
      <c r="F14330" s="2011"/>
      <c r="G14330" s="843" t="s">
        <v>19</v>
      </c>
      <c r="H14330" s="509">
        <v>29.31</v>
      </c>
      <c r="K14330" s="1192" t="s">
        <v>2506</v>
      </c>
      <c r="L14330" s="1192" t="s">
        <v>430</v>
      </c>
      <c r="P14330" s="1192" t="s">
        <v>2510</v>
      </c>
      <c r="V14330" s="1192">
        <v>14</v>
      </c>
    </row>
    <row r="14331" spans="1:22" s="1192" customFormat="1" ht="14.4" x14ac:dyDescent="0.3">
      <c r="A14331" s="1192" t="s">
        <v>160</v>
      </c>
      <c r="E14331" s="1740" t="s">
        <v>6796</v>
      </c>
      <c r="F14331" s="1740"/>
      <c r="G14331" s="1277" t="s">
        <v>19</v>
      </c>
      <c r="H14331" s="1218">
        <v>-0.25</v>
      </c>
      <c r="K14331" s="1192" t="s">
        <v>2506</v>
      </c>
      <c r="L14331" s="1192" t="s">
        <v>430</v>
      </c>
      <c r="P14331" s="1192" t="s">
        <v>4452</v>
      </c>
      <c r="T14331" s="1192">
        <v>44316</v>
      </c>
      <c r="V14331" s="1192">
        <v>140</v>
      </c>
    </row>
    <row r="14332" spans="1:22" s="1192" customFormat="1" ht="14.4" x14ac:dyDescent="0.3">
      <c r="A14332" s="1192" t="s">
        <v>160</v>
      </c>
      <c r="E14332" s="2011" t="s">
        <v>6797</v>
      </c>
      <c r="F14332" s="2011"/>
      <c r="G14332" s="1277" t="s">
        <v>19</v>
      </c>
      <c r="H14332" s="1218">
        <v>0.68</v>
      </c>
      <c r="K14332" s="1192" t="s">
        <v>2506</v>
      </c>
      <c r="L14332" s="1192" t="s">
        <v>430</v>
      </c>
      <c r="P14332" s="1192" t="s">
        <v>4502</v>
      </c>
      <c r="T14332" s="1192">
        <v>45777</v>
      </c>
      <c r="V14332" s="1192">
        <v>119</v>
      </c>
    </row>
    <row r="14333" spans="1:22" s="1192" customFormat="1" ht="14.4" x14ac:dyDescent="0.3">
      <c r="A14333" s="1192" t="s">
        <v>160</v>
      </c>
      <c r="E14333" s="2011" t="s">
        <v>3900</v>
      </c>
      <c r="F14333" s="2011"/>
      <c r="G14333" s="843" t="s">
        <v>19</v>
      </c>
      <c r="H14333" s="509">
        <v>0.56999999999999995</v>
      </c>
      <c r="K14333" s="1192" t="s">
        <v>2506</v>
      </c>
      <c r="L14333" s="1192" t="s">
        <v>431</v>
      </c>
      <c r="P14333" s="1192" t="s">
        <v>2511</v>
      </c>
      <c r="T14333" s="1192">
        <v>44926</v>
      </c>
      <c r="V14333" s="1192">
        <v>64</v>
      </c>
    </row>
    <row r="14334" spans="1:22" s="1192" customFormat="1" ht="14.4" x14ac:dyDescent="0.3">
      <c r="A14334" s="1192" t="s">
        <v>160</v>
      </c>
      <c r="E14334" s="2011" t="s">
        <v>14</v>
      </c>
      <c r="F14334" s="2011"/>
      <c r="G14334" s="843" t="s">
        <v>20</v>
      </c>
      <c r="H14334" s="514">
        <v>4.0000000000000002E-4</v>
      </c>
      <c r="K14334" s="1192" t="s">
        <v>2506</v>
      </c>
      <c r="L14334" s="1192" t="s">
        <v>431</v>
      </c>
      <c r="P14334" s="1192" t="s">
        <v>2513</v>
      </c>
      <c r="V14334" s="1192">
        <v>24</v>
      </c>
    </row>
    <row r="14335" spans="1:22" s="1192" customFormat="1" ht="14.4" x14ac:dyDescent="0.3">
      <c r="A14335" s="1192" t="s">
        <v>160</v>
      </c>
      <c r="E14335" s="2011" t="s">
        <v>6798</v>
      </c>
      <c r="F14335" s="2011"/>
      <c r="G14335" s="1277" t="s">
        <v>20</v>
      </c>
      <c r="H14335" s="1219">
        <v>-1.8E-3</v>
      </c>
      <c r="K14335" s="1192" t="s">
        <v>2506</v>
      </c>
      <c r="L14335" s="1192" t="s">
        <v>431</v>
      </c>
      <c r="P14335" s="1192" t="s">
        <v>2516</v>
      </c>
      <c r="T14335" s="1192">
        <v>44316</v>
      </c>
      <c r="V14335" s="1192">
        <v>132</v>
      </c>
    </row>
    <row r="14336" spans="1:22" s="1192" customFormat="1" ht="14.4" x14ac:dyDescent="0.3">
      <c r="A14336" s="1192" t="s">
        <v>160</v>
      </c>
      <c r="E14336" s="2011" t="s">
        <v>6799</v>
      </c>
      <c r="F14336" s="2011"/>
      <c r="G14336" s="1277" t="s">
        <v>20</v>
      </c>
      <c r="H14336" s="1219">
        <v>-3.8999999999999998E-3</v>
      </c>
      <c r="K14336" s="1192" t="s">
        <v>2506</v>
      </c>
      <c r="L14336" s="1192" t="s">
        <v>431</v>
      </c>
      <c r="P14336" s="1192" t="s">
        <v>2514</v>
      </c>
      <c r="V14336" s="1192">
        <v>172</v>
      </c>
    </row>
    <row r="14337" spans="1:22" s="1192" customFormat="1" ht="14.4" x14ac:dyDescent="0.3">
      <c r="A14337" s="1192" t="s">
        <v>160</v>
      </c>
      <c r="E14337" s="2011" t="s">
        <v>6800</v>
      </c>
      <c r="F14337" s="2011"/>
      <c r="G14337" s="1277" t="s">
        <v>20</v>
      </c>
      <c r="H14337" s="1219">
        <v>2.9999999999999997E-4</v>
      </c>
      <c r="K14337" s="1192" t="s">
        <v>2506</v>
      </c>
      <c r="L14337" s="1192" t="s">
        <v>430</v>
      </c>
      <c r="P14337" s="1192" t="s">
        <v>4589</v>
      </c>
      <c r="T14337" s="1192">
        <v>44316</v>
      </c>
      <c r="V14337" s="1192">
        <v>119</v>
      </c>
    </row>
    <row r="14338" spans="1:22" s="1192" customFormat="1" ht="14.4" x14ac:dyDescent="0.3">
      <c r="A14338" s="1192" t="s">
        <v>160</v>
      </c>
      <c r="E14338" s="2011" t="s">
        <v>213</v>
      </c>
      <c r="F14338" s="2011"/>
      <c r="G14338" s="843" t="s">
        <v>20</v>
      </c>
      <c r="H14338" s="514">
        <v>6.1999999999999998E-3</v>
      </c>
      <c r="K14338" s="1192" t="s">
        <v>2506</v>
      </c>
      <c r="L14338" s="1192" t="s">
        <v>432</v>
      </c>
      <c r="P14338" s="1192" t="s">
        <v>2517</v>
      </c>
      <c r="V14338" s="1192">
        <v>47</v>
      </c>
    </row>
    <row r="14339" spans="1:22" s="1192" customFormat="1" ht="14.4" x14ac:dyDescent="0.3">
      <c r="A14339" s="1192" t="s">
        <v>160</v>
      </c>
      <c r="E14339" s="2011" t="s">
        <v>209</v>
      </c>
      <c r="F14339" s="2011"/>
      <c r="G14339" s="843" t="s">
        <v>20</v>
      </c>
      <c r="H14339" s="514">
        <v>5.0000000000000001E-3</v>
      </c>
      <c r="K14339" s="1192" t="s">
        <v>2506</v>
      </c>
      <c r="L14339" s="1192" t="s">
        <v>432</v>
      </c>
      <c r="P14339" s="1192" t="s">
        <v>2518</v>
      </c>
      <c r="V14339" s="1192">
        <v>74</v>
      </c>
    </row>
    <row r="14340" spans="1:22" s="1192" customFormat="1" ht="14.4" x14ac:dyDescent="0.3">
      <c r="A14340" s="1192" t="s">
        <v>160</v>
      </c>
      <c r="E14340" s="1748" t="s">
        <v>2405</v>
      </c>
      <c r="F14340" s="1740"/>
      <c r="G14340" s="1277"/>
      <c r="H14340" s="896"/>
      <c r="K14340" s="1192" t="s">
        <v>2406</v>
      </c>
      <c r="V14340" s="1192">
        <v>48</v>
      </c>
    </row>
    <row r="14341" spans="1:22" s="1192" customFormat="1" ht="14.4" x14ac:dyDescent="0.3">
      <c r="A14341" s="1192" t="s">
        <v>160</v>
      </c>
      <c r="E14341" s="2012" t="s">
        <v>2033</v>
      </c>
      <c r="F14341" s="2011"/>
      <c r="G14341" s="843" t="s">
        <v>20</v>
      </c>
      <c r="H14341" s="514">
        <v>3.0000000000000001E-3</v>
      </c>
      <c r="K14341" s="1192" t="s">
        <v>2506</v>
      </c>
      <c r="L14341" s="1192" t="s">
        <v>2374</v>
      </c>
      <c r="P14341" s="1192" t="s">
        <v>2519</v>
      </c>
      <c r="V14341" s="1192">
        <v>55</v>
      </c>
    </row>
    <row r="14342" spans="1:22" s="1192" customFormat="1" ht="14.4" x14ac:dyDescent="0.3">
      <c r="A14342" s="1192" t="s">
        <v>160</v>
      </c>
      <c r="E14342" s="2012" t="s">
        <v>2034</v>
      </c>
      <c r="F14342" s="2011"/>
      <c r="G14342" s="843" t="s">
        <v>20</v>
      </c>
      <c r="H14342" s="514">
        <v>4.0000000000000002E-4</v>
      </c>
      <c r="K14342" s="1192" t="s">
        <v>2506</v>
      </c>
      <c r="L14342" s="1192" t="s">
        <v>2374</v>
      </c>
      <c r="P14342" s="1192" t="s">
        <v>2519</v>
      </c>
      <c r="V14342" s="1192">
        <v>65</v>
      </c>
    </row>
    <row r="14343" spans="1:22" s="1192" customFormat="1" ht="14.4" x14ac:dyDescent="0.3">
      <c r="A14343" s="1192" t="s">
        <v>160</v>
      </c>
      <c r="E14343" s="2012" t="s">
        <v>428</v>
      </c>
      <c r="F14343" s="2011"/>
      <c r="G14343" s="843" t="s">
        <v>20</v>
      </c>
      <c r="H14343" s="514">
        <v>5.0000000000000001E-4</v>
      </c>
      <c r="K14343" s="1192" t="s">
        <v>2506</v>
      </c>
      <c r="L14343" s="1192" t="s">
        <v>2374</v>
      </c>
      <c r="P14343" s="1192" t="s">
        <v>2520</v>
      </c>
      <c r="V14343" s="1192">
        <v>57</v>
      </c>
    </row>
    <row r="14344" spans="1:22" s="1192" customFormat="1" ht="14.4" x14ac:dyDescent="0.3">
      <c r="A14344" s="1192" t="s">
        <v>160</v>
      </c>
      <c r="E14344" s="2011" t="s">
        <v>28</v>
      </c>
      <c r="F14344" s="2011"/>
      <c r="G14344" s="843" t="s">
        <v>19</v>
      </c>
      <c r="H14344" s="509">
        <v>0.25</v>
      </c>
      <c r="K14344" s="1192" t="s">
        <v>2506</v>
      </c>
      <c r="L14344" s="1192" t="s">
        <v>2374</v>
      </c>
      <c r="P14344" s="1192" t="s">
        <v>2521</v>
      </c>
      <c r="V14344" s="1192">
        <v>63</v>
      </c>
    </row>
    <row r="14345" spans="1:22" s="1192" customFormat="1" ht="17.399999999999999" x14ac:dyDescent="0.3">
      <c r="A14345" s="1192" t="s">
        <v>160</v>
      </c>
      <c r="E14345" s="1746" t="s">
        <v>2522</v>
      </c>
      <c r="F14345" s="1987"/>
      <c r="G14345" s="1987"/>
      <c r="H14345" s="1987"/>
      <c r="K14345" s="1192" t="s">
        <v>3901</v>
      </c>
      <c r="V14345" s="1192">
        <v>54</v>
      </c>
    </row>
    <row r="14346" spans="1:22" s="1192" customFormat="1" ht="14.4" x14ac:dyDescent="0.3">
      <c r="A14346" s="1192" t="s">
        <v>160</v>
      </c>
      <c r="E14346" s="1743" t="s">
        <v>2910</v>
      </c>
      <c r="F14346" s="1743"/>
      <c r="G14346" s="1743"/>
      <c r="H14346" s="1743"/>
      <c r="K14346" s="1192" t="s">
        <v>3901</v>
      </c>
      <c r="V14346" s="1192">
        <v>949</v>
      </c>
    </row>
    <row r="14347" spans="1:22" s="1192" customFormat="1" ht="14.4" x14ac:dyDescent="0.3">
      <c r="A14347" s="1192" t="s">
        <v>160</v>
      </c>
      <c r="E14347" s="2009" t="s">
        <v>2389</v>
      </c>
      <c r="F14347" s="2010"/>
      <c r="G14347" s="2010"/>
      <c r="H14347" s="2010"/>
      <c r="K14347" s="1192" t="s">
        <v>2412</v>
      </c>
      <c r="V14347" s="1192">
        <v>11</v>
      </c>
    </row>
    <row r="14348" spans="1:22" s="1192" customFormat="1" ht="14.4" x14ac:dyDescent="0.3">
      <c r="A14348" s="1192" t="s">
        <v>160</v>
      </c>
      <c r="E14348" s="1743" t="s">
        <v>2391</v>
      </c>
      <c r="F14348" s="1743"/>
      <c r="G14348" s="1743"/>
      <c r="H14348" s="1743"/>
      <c r="K14348" s="1192" t="s">
        <v>3901</v>
      </c>
      <c r="V14348" s="1192">
        <v>280</v>
      </c>
    </row>
    <row r="14349" spans="1:22" s="1192" customFormat="1" ht="14.4" x14ac:dyDescent="0.3">
      <c r="A14349" s="1192" t="s">
        <v>160</v>
      </c>
      <c r="E14349" s="1743" t="s">
        <v>2392</v>
      </c>
      <c r="F14349" s="1743"/>
      <c r="G14349" s="1743"/>
      <c r="H14349" s="1743"/>
      <c r="K14349" s="1192" t="s">
        <v>3901</v>
      </c>
      <c r="V14349" s="1192">
        <v>411</v>
      </c>
    </row>
    <row r="14350" spans="1:22" s="1192" customFormat="1" ht="14.4" x14ac:dyDescent="0.3">
      <c r="A14350" s="1192" t="s">
        <v>160</v>
      </c>
      <c r="E14350" s="1743" t="s">
        <v>2508</v>
      </c>
      <c r="F14350" s="1743"/>
      <c r="G14350" s="1743"/>
      <c r="H14350" s="1743"/>
      <c r="K14350" s="1192" t="s">
        <v>3901</v>
      </c>
      <c r="V14350" s="1192">
        <v>386</v>
      </c>
    </row>
    <row r="14351" spans="1:22" s="1192" customFormat="1" ht="14.4" x14ac:dyDescent="0.3">
      <c r="A14351" s="1192" t="s">
        <v>160</v>
      </c>
      <c r="E14351" s="1743" t="s">
        <v>4500</v>
      </c>
      <c r="F14351" s="1743"/>
      <c r="G14351" s="1743"/>
      <c r="H14351" s="1743"/>
      <c r="K14351" s="1192" t="s">
        <v>3901</v>
      </c>
      <c r="V14351" s="1192">
        <v>247</v>
      </c>
    </row>
    <row r="14352" spans="1:22" s="1192" customFormat="1" ht="14.4" x14ac:dyDescent="0.3">
      <c r="A14352" s="1192" t="s">
        <v>160</v>
      </c>
      <c r="E14352" s="1748" t="s">
        <v>2394</v>
      </c>
      <c r="F14352" s="1749"/>
      <c r="G14352" s="1749"/>
      <c r="H14352" s="1749"/>
      <c r="K14352" s="1192" t="s">
        <v>2413</v>
      </c>
      <c r="V14352" s="1192">
        <v>46</v>
      </c>
    </row>
    <row r="14353" spans="1:22" s="1192" customFormat="1" ht="14.4" x14ac:dyDescent="0.3">
      <c r="A14353" s="1192" t="s">
        <v>160</v>
      </c>
      <c r="E14353" s="2011" t="s">
        <v>7</v>
      </c>
      <c r="F14353" s="2011"/>
      <c r="G14353" s="843" t="s">
        <v>19</v>
      </c>
      <c r="H14353" s="509">
        <v>22.42</v>
      </c>
      <c r="K14353" s="1192" t="s">
        <v>3901</v>
      </c>
      <c r="L14353" s="1192" t="s">
        <v>430</v>
      </c>
      <c r="P14353" s="1192" t="s">
        <v>3902</v>
      </c>
      <c r="V14353" s="1192">
        <v>14</v>
      </c>
    </row>
    <row r="14354" spans="1:22" s="1192" customFormat="1" ht="14.4" x14ac:dyDescent="0.3">
      <c r="A14354" s="1192" t="s">
        <v>160</v>
      </c>
      <c r="E14354" s="2011" t="s">
        <v>3900</v>
      </c>
      <c r="F14354" s="2011"/>
      <c r="G14354" s="843" t="s">
        <v>19</v>
      </c>
      <c r="H14354" s="509">
        <v>0.56999999999999995</v>
      </c>
      <c r="K14354" s="1192" t="s">
        <v>3901</v>
      </c>
      <c r="L14354" s="1192" t="s">
        <v>431</v>
      </c>
      <c r="P14354" s="1192" t="s">
        <v>3903</v>
      </c>
      <c r="T14354" s="1192">
        <v>44926</v>
      </c>
      <c r="V14354" s="1192">
        <v>64</v>
      </c>
    </row>
    <row r="14355" spans="1:22" s="1192" customFormat="1" ht="14.4" x14ac:dyDescent="0.3">
      <c r="A14355" s="1192" t="s">
        <v>160</v>
      </c>
      <c r="E14355" s="2011" t="s">
        <v>80</v>
      </c>
      <c r="F14355" s="2011"/>
      <c r="G14355" s="843" t="s">
        <v>20</v>
      </c>
      <c r="H14355" s="514">
        <v>2.1600000000000001E-2</v>
      </c>
      <c r="K14355" s="1192" t="s">
        <v>3901</v>
      </c>
      <c r="L14355" s="1192" t="s">
        <v>430</v>
      </c>
      <c r="P14355" s="1192" t="s">
        <v>3904</v>
      </c>
      <c r="V14355" s="1192">
        <v>28</v>
      </c>
    </row>
    <row r="14356" spans="1:22" s="1192" customFormat="1" ht="14.4" x14ac:dyDescent="0.3">
      <c r="A14356" s="1192" t="s">
        <v>160</v>
      </c>
      <c r="E14356" s="2011" t="s">
        <v>14</v>
      </c>
      <c r="F14356" s="2011"/>
      <c r="G14356" s="843" t="s">
        <v>20</v>
      </c>
      <c r="H14356" s="514">
        <v>2.9999999999999997E-4</v>
      </c>
      <c r="K14356" s="1192" t="s">
        <v>3901</v>
      </c>
      <c r="L14356" s="1192" t="s">
        <v>431</v>
      </c>
      <c r="P14356" s="1192" t="s">
        <v>3905</v>
      </c>
      <c r="V14356" s="1192">
        <v>24</v>
      </c>
    </row>
    <row r="14357" spans="1:22" s="1192" customFormat="1" ht="14.4" x14ac:dyDescent="0.3">
      <c r="A14357" s="1192" t="s">
        <v>160</v>
      </c>
      <c r="E14357" s="2011" t="s">
        <v>6797</v>
      </c>
      <c r="F14357" s="2011"/>
      <c r="G14357" s="1277" t="s">
        <v>20</v>
      </c>
      <c r="H14357" s="1219">
        <v>1E-3</v>
      </c>
      <c r="K14357" s="1192" t="s">
        <v>3901</v>
      </c>
      <c r="L14357" s="1192" t="s">
        <v>430</v>
      </c>
      <c r="P14357" s="1192" t="s">
        <v>6801</v>
      </c>
      <c r="T14357" s="1192">
        <v>45777</v>
      </c>
      <c r="V14357" s="1192">
        <v>119</v>
      </c>
    </row>
    <row r="14358" spans="1:22" s="1192" customFormat="1" ht="14.4" x14ac:dyDescent="0.3">
      <c r="A14358" s="1192" t="s">
        <v>160</v>
      </c>
      <c r="E14358" s="2011" t="s">
        <v>6802</v>
      </c>
      <c r="F14358" s="2011"/>
      <c r="G14358" s="1277" t="s">
        <v>20</v>
      </c>
      <c r="H14358" s="1219">
        <v>-1.5E-3</v>
      </c>
      <c r="K14358" s="1192" t="s">
        <v>3901</v>
      </c>
      <c r="L14358" s="1192" t="s">
        <v>431</v>
      </c>
      <c r="P14358" s="1192" t="s">
        <v>3911</v>
      </c>
      <c r="T14358" s="1192">
        <v>44316</v>
      </c>
      <c r="V14358" s="1192">
        <v>133</v>
      </c>
    </row>
    <row r="14359" spans="1:22" s="1192" customFormat="1" ht="14.4" x14ac:dyDescent="0.3">
      <c r="A14359" s="1192" t="s">
        <v>160</v>
      </c>
      <c r="E14359" s="2011" t="s">
        <v>6803</v>
      </c>
      <c r="F14359" s="2011"/>
      <c r="G14359" s="1277" t="s">
        <v>20</v>
      </c>
      <c r="H14359" s="1219">
        <v>-3.8999999999999998E-3</v>
      </c>
      <c r="K14359" s="1192" t="s">
        <v>3901</v>
      </c>
      <c r="L14359" s="1192" t="s">
        <v>431</v>
      </c>
      <c r="P14359" s="1192" t="s">
        <v>3700</v>
      </c>
      <c r="T14359" s="1192">
        <v>44316</v>
      </c>
      <c r="V14359" s="1192">
        <v>172</v>
      </c>
    </row>
    <row r="14360" spans="1:22" s="1192" customFormat="1" ht="14.4" x14ac:dyDescent="0.3">
      <c r="A14360" s="1192" t="s">
        <v>160</v>
      </c>
      <c r="E14360" s="2011" t="s">
        <v>6800</v>
      </c>
      <c r="F14360" s="2011"/>
      <c r="G14360" s="1277" t="s">
        <v>20</v>
      </c>
      <c r="H14360" s="1219">
        <v>5.9999999999999995E-4</v>
      </c>
      <c r="K14360" s="1192" t="s">
        <v>3901</v>
      </c>
      <c r="L14360" s="1192" t="s">
        <v>430</v>
      </c>
      <c r="P14360" s="1192" t="s">
        <v>6804</v>
      </c>
      <c r="T14360" s="1192">
        <v>44316</v>
      </c>
      <c r="V14360" s="1192">
        <v>119</v>
      </c>
    </row>
    <row r="14361" spans="1:22" s="1192" customFormat="1" ht="14.4" x14ac:dyDescent="0.3">
      <c r="A14361" s="1192" t="s">
        <v>160</v>
      </c>
      <c r="E14361" s="2011" t="s">
        <v>6805</v>
      </c>
      <c r="F14361" s="2011"/>
      <c r="G14361" s="1277" t="s">
        <v>20</v>
      </c>
      <c r="H14361" s="1219">
        <v>-2.0000000000000001E-4</v>
      </c>
      <c r="K14361" s="1192" t="s">
        <v>3901</v>
      </c>
      <c r="L14361" s="1192" t="s">
        <v>430</v>
      </c>
      <c r="P14361" s="1192" t="s">
        <v>3911</v>
      </c>
      <c r="T14361" s="1192">
        <v>44316</v>
      </c>
      <c r="V14361" s="1192">
        <v>141</v>
      </c>
    </row>
    <row r="14362" spans="1:22" s="1192" customFormat="1" ht="14.4" x14ac:dyDescent="0.3">
      <c r="A14362" s="1192" t="s">
        <v>160</v>
      </c>
      <c r="E14362" s="2011" t="s">
        <v>213</v>
      </c>
      <c r="F14362" s="2011"/>
      <c r="G14362" s="843" t="s">
        <v>20</v>
      </c>
      <c r="H14362" s="514">
        <v>4.7000000000000002E-3</v>
      </c>
      <c r="K14362" s="1192" t="s">
        <v>3901</v>
      </c>
      <c r="L14362" s="1192" t="s">
        <v>432</v>
      </c>
      <c r="P14362" s="1192" t="s">
        <v>3906</v>
      </c>
      <c r="V14362" s="1192">
        <v>47</v>
      </c>
    </row>
    <row r="14363" spans="1:22" s="1192" customFormat="1" ht="14.4" x14ac:dyDescent="0.3">
      <c r="A14363" s="1192" t="s">
        <v>160</v>
      </c>
      <c r="E14363" s="2011" t="s">
        <v>209</v>
      </c>
      <c r="F14363" s="2011"/>
      <c r="G14363" s="843" t="s">
        <v>20</v>
      </c>
      <c r="H14363" s="514">
        <v>3.5999999999999999E-3</v>
      </c>
      <c r="K14363" s="1192" t="s">
        <v>3901</v>
      </c>
      <c r="L14363" s="1192" t="s">
        <v>432</v>
      </c>
      <c r="P14363" s="1192" t="s">
        <v>3907</v>
      </c>
      <c r="V14363" s="1192">
        <v>74</v>
      </c>
    </row>
    <row r="14364" spans="1:22" s="1192" customFormat="1" ht="14.4" x14ac:dyDescent="0.3">
      <c r="A14364" s="1192" t="s">
        <v>160</v>
      </c>
      <c r="E14364" s="1748" t="s">
        <v>2405</v>
      </c>
      <c r="F14364" s="1740"/>
      <c r="G14364" s="1277"/>
      <c r="H14364" s="896"/>
      <c r="K14364" s="1192" t="s">
        <v>2418</v>
      </c>
      <c r="V14364" s="1192">
        <v>48</v>
      </c>
    </row>
    <row r="14365" spans="1:22" s="1192" customFormat="1" ht="14.4" x14ac:dyDescent="0.3">
      <c r="A14365" s="1192" t="s">
        <v>160</v>
      </c>
      <c r="E14365" s="2011" t="s">
        <v>2033</v>
      </c>
      <c r="F14365" s="2011"/>
      <c r="G14365" s="843" t="s">
        <v>20</v>
      </c>
      <c r="H14365" s="514">
        <v>3.0000000000000001E-3</v>
      </c>
      <c r="K14365" s="1192" t="s">
        <v>3901</v>
      </c>
      <c r="L14365" s="1192" t="s">
        <v>2374</v>
      </c>
      <c r="P14365" s="1192" t="s">
        <v>3908</v>
      </c>
      <c r="V14365" s="1192">
        <v>55</v>
      </c>
    </row>
    <row r="14366" spans="1:22" s="1192" customFormat="1" ht="14.4" x14ac:dyDescent="0.3">
      <c r="A14366" s="1192" t="s">
        <v>160</v>
      </c>
      <c r="E14366" s="2011" t="s">
        <v>2034</v>
      </c>
      <c r="F14366" s="2011"/>
      <c r="G14366" s="843" t="s">
        <v>20</v>
      </c>
      <c r="H14366" s="514">
        <v>4.0000000000000002E-4</v>
      </c>
      <c r="K14366" s="1192" t="s">
        <v>3901</v>
      </c>
      <c r="L14366" s="1192" t="s">
        <v>2374</v>
      </c>
      <c r="P14366" s="1192" t="s">
        <v>3908</v>
      </c>
      <c r="V14366" s="1192">
        <v>65</v>
      </c>
    </row>
    <row r="14367" spans="1:22" s="1192" customFormat="1" ht="14.4" x14ac:dyDescent="0.3">
      <c r="A14367" s="1192" t="s">
        <v>160</v>
      </c>
      <c r="E14367" s="2011" t="s">
        <v>428</v>
      </c>
      <c r="F14367" s="2011"/>
      <c r="G14367" s="843" t="s">
        <v>20</v>
      </c>
      <c r="H14367" s="514">
        <v>5.0000000000000001E-4</v>
      </c>
      <c r="K14367" s="1192" t="s">
        <v>3901</v>
      </c>
      <c r="L14367" s="1192" t="s">
        <v>2374</v>
      </c>
      <c r="P14367" s="1192" t="s">
        <v>3909</v>
      </c>
      <c r="V14367" s="1192">
        <v>57</v>
      </c>
    </row>
    <row r="14368" spans="1:22" s="1192" customFormat="1" ht="14.4" x14ac:dyDescent="0.3">
      <c r="A14368" s="1192" t="s">
        <v>160</v>
      </c>
      <c r="E14368" s="2011" t="s">
        <v>28</v>
      </c>
      <c r="F14368" s="2011"/>
      <c r="G14368" s="843" t="s">
        <v>19</v>
      </c>
      <c r="H14368" s="509">
        <v>0.25</v>
      </c>
      <c r="K14368" s="1192" t="s">
        <v>3901</v>
      </c>
      <c r="L14368" s="1192" t="s">
        <v>2374</v>
      </c>
      <c r="P14368" s="1192" t="s">
        <v>3910</v>
      </c>
      <c r="V14368" s="1192">
        <v>63</v>
      </c>
    </row>
    <row r="14369" spans="1:22" s="1192" customFormat="1" ht="17.399999999999999" x14ac:dyDescent="0.3">
      <c r="A14369" s="1192" t="s">
        <v>160</v>
      </c>
      <c r="E14369" s="1746" t="s">
        <v>591</v>
      </c>
      <c r="F14369" s="1987"/>
      <c r="G14369" s="1987"/>
      <c r="H14369" s="1987"/>
      <c r="K14369" s="1192" t="s">
        <v>4388</v>
      </c>
      <c r="V14369" s="1192">
        <v>53</v>
      </c>
    </row>
    <row r="14370" spans="1:22" s="1192" customFormat="1" ht="14.4" x14ac:dyDescent="0.3">
      <c r="A14370" s="1192" t="s">
        <v>160</v>
      </c>
      <c r="E14370" s="1743" t="s">
        <v>2911</v>
      </c>
      <c r="F14370" s="1743"/>
      <c r="G14370" s="1743"/>
      <c r="H14370" s="1743"/>
      <c r="K14370" s="1192" t="s">
        <v>4388</v>
      </c>
      <c r="V14370" s="1192">
        <v>572</v>
      </c>
    </row>
    <row r="14371" spans="1:22" s="1192" customFormat="1" ht="14.4" x14ac:dyDescent="0.3">
      <c r="A14371" s="1192" t="s">
        <v>160</v>
      </c>
      <c r="E14371" s="2009" t="s">
        <v>2389</v>
      </c>
      <c r="F14371" s="2010"/>
      <c r="G14371" s="2010"/>
      <c r="H14371" s="2010"/>
      <c r="K14371" s="1192" t="s">
        <v>2422</v>
      </c>
      <c r="V14371" s="1192">
        <v>11</v>
      </c>
    </row>
    <row r="14372" spans="1:22" s="1192" customFormat="1" ht="14.4" x14ac:dyDescent="0.3">
      <c r="A14372" s="1192" t="s">
        <v>160</v>
      </c>
      <c r="E14372" s="1743" t="s">
        <v>2391</v>
      </c>
      <c r="F14372" s="1743"/>
      <c r="G14372" s="1743"/>
      <c r="H14372" s="1743"/>
      <c r="K14372" s="1192" t="s">
        <v>4388</v>
      </c>
      <c r="V14372" s="1192">
        <v>280</v>
      </c>
    </row>
    <row r="14373" spans="1:22" s="1192" customFormat="1" ht="14.4" x14ac:dyDescent="0.3">
      <c r="A14373" s="1192" t="s">
        <v>160</v>
      </c>
      <c r="E14373" s="1743" t="s">
        <v>2392</v>
      </c>
      <c r="F14373" s="1743"/>
      <c r="G14373" s="1743"/>
      <c r="H14373" s="1743"/>
      <c r="K14373" s="1192" t="s">
        <v>4388</v>
      </c>
      <c r="V14373" s="1192">
        <v>411</v>
      </c>
    </row>
    <row r="14374" spans="1:22" s="1192" customFormat="1" ht="14.4" x14ac:dyDescent="0.3">
      <c r="A14374" s="1192" t="s">
        <v>160</v>
      </c>
      <c r="E14374" s="1743" t="s">
        <v>2508</v>
      </c>
      <c r="F14374" s="1743"/>
      <c r="G14374" s="1743"/>
      <c r="H14374" s="1743"/>
      <c r="K14374" s="1192" t="s">
        <v>4388</v>
      </c>
      <c r="V14374" s="1192">
        <v>386</v>
      </c>
    </row>
    <row r="14375" spans="1:22" s="1192" customFormat="1" ht="14.4" x14ac:dyDescent="0.3">
      <c r="A14375" s="1192" t="s">
        <v>160</v>
      </c>
      <c r="E14375" s="1743" t="s">
        <v>4632</v>
      </c>
      <c r="F14375" s="1743"/>
      <c r="G14375" s="1743"/>
      <c r="H14375" s="1743"/>
      <c r="K14375" s="1192" t="s">
        <v>4388</v>
      </c>
      <c r="V14375" s="1192">
        <v>680</v>
      </c>
    </row>
    <row r="14376" spans="1:22" s="1192" customFormat="1" ht="14.4" x14ac:dyDescent="0.3">
      <c r="A14376" s="1192" t="s">
        <v>160</v>
      </c>
      <c r="E14376" s="1743" t="s">
        <v>4644</v>
      </c>
      <c r="F14376" s="1743"/>
      <c r="G14376" s="1743"/>
      <c r="H14376" s="1743"/>
      <c r="K14376" s="1192" t="s">
        <v>4388</v>
      </c>
      <c r="V14376" s="1192">
        <v>693</v>
      </c>
    </row>
    <row r="14377" spans="1:22" s="1192" customFormat="1" ht="14.4" x14ac:dyDescent="0.3">
      <c r="A14377" s="1192" t="s">
        <v>160</v>
      </c>
      <c r="E14377" s="1743" t="s">
        <v>4500</v>
      </c>
      <c r="F14377" s="1743"/>
      <c r="G14377" s="1743"/>
      <c r="H14377" s="1743"/>
      <c r="K14377" s="1192" t="s">
        <v>4388</v>
      </c>
      <c r="V14377" s="1192">
        <v>247</v>
      </c>
    </row>
    <row r="14378" spans="1:22" s="1192" customFormat="1" ht="14.4" x14ac:dyDescent="0.3">
      <c r="A14378" s="1192" t="s">
        <v>160</v>
      </c>
      <c r="E14378" s="1748" t="s">
        <v>2394</v>
      </c>
      <c r="F14378" s="1749"/>
      <c r="G14378" s="1749"/>
      <c r="H14378" s="1749"/>
      <c r="K14378" s="1192" t="s">
        <v>2423</v>
      </c>
      <c r="V14378" s="1192">
        <v>46</v>
      </c>
    </row>
    <row r="14379" spans="1:22" s="1192" customFormat="1" ht="14.4" x14ac:dyDescent="0.3">
      <c r="A14379" s="1192" t="s">
        <v>160</v>
      </c>
      <c r="E14379" s="2011" t="s">
        <v>7</v>
      </c>
      <c r="F14379" s="2011"/>
      <c r="G14379" s="843" t="s">
        <v>19</v>
      </c>
      <c r="H14379" s="509">
        <v>171.02</v>
      </c>
      <c r="K14379" s="1192" t="s">
        <v>4388</v>
      </c>
      <c r="L14379" s="1192" t="s">
        <v>430</v>
      </c>
      <c r="P14379" s="1192" t="s">
        <v>4389</v>
      </c>
      <c r="V14379" s="1192">
        <v>14</v>
      </c>
    </row>
    <row r="14380" spans="1:22" s="1192" customFormat="1" ht="14.4" x14ac:dyDescent="0.3">
      <c r="A14380" s="1192" t="s">
        <v>160</v>
      </c>
      <c r="E14380" s="2011" t="s">
        <v>80</v>
      </c>
      <c r="F14380" s="2011"/>
      <c r="G14380" s="843" t="s">
        <v>29</v>
      </c>
      <c r="H14380" s="514">
        <v>4.9071999999999996</v>
      </c>
      <c r="K14380" s="1192" t="s">
        <v>4388</v>
      </c>
      <c r="L14380" s="1192" t="s">
        <v>430</v>
      </c>
      <c r="P14380" s="1192" t="s">
        <v>4390</v>
      </c>
      <c r="V14380" s="1192">
        <v>28</v>
      </c>
    </row>
    <row r="14381" spans="1:22" s="1192" customFormat="1" ht="14.4" x14ac:dyDescent="0.3">
      <c r="A14381" s="1192" t="s">
        <v>160</v>
      </c>
      <c r="E14381" s="2011" t="s">
        <v>14</v>
      </c>
      <c r="F14381" s="2011"/>
      <c r="G14381" s="843" t="s">
        <v>29</v>
      </c>
      <c r="H14381" s="514">
        <v>0.2117</v>
      </c>
      <c r="K14381" s="1192" t="s">
        <v>4388</v>
      </c>
      <c r="L14381" s="1192" t="s">
        <v>431</v>
      </c>
      <c r="P14381" s="1192" t="s">
        <v>4391</v>
      </c>
      <c r="V14381" s="1192">
        <v>24</v>
      </c>
    </row>
    <row r="14382" spans="1:22" s="1192" customFormat="1" ht="14.4" x14ac:dyDescent="0.3">
      <c r="A14382" s="1192" t="s">
        <v>160</v>
      </c>
      <c r="E14382" s="2011" t="s">
        <v>6797</v>
      </c>
      <c r="F14382" s="2011"/>
      <c r="G14382" s="1277" t="s">
        <v>29</v>
      </c>
      <c r="H14382" s="1219">
        <v>0.38219999999999998</v>
      </c>
      <c r="K14382" s="1192" t="s">
        <v>4388</v>
      </c>
      <c r="L14382" s="1192" t="s">
        <v>430</v>
      </c>
      <c r="P14382" s="1192" t="s">
        <v>6806</v>
      </c>
      <c r="T14382" s="1192">
        <v>45777</v>
      </c>
      <c r="V14382" s="1192">
        <v>119</v>
      </c>
    </row>
    <row r="14383" spans="1:22" s="1192" customFormat="1" ht="14.4" x14ac:dyDescent="0.3">
      <c r="A14383" s="1192" t="s">
        <v>160</v>
      </c>
      <c r="E14383" s="2011" t="s">
        <v>6807</v>
      </c>
      <c r="F14383" s="2011"/>
      <c r="G14383" s="1277" t="s">
        <v>29</v>
      </c>
      <c r="H14383" s="1219">
        <v>-0.60729999999999995</v>
      </c>
      <c r="K14383" s="1192" t="s">
        <v>4388</v>
      </c>
      <c r="L14383" s="1192" t="s">
        <v>431</v>
      </c>
      <c r="P14383" s="1192" t="s">
        <v>4398</v>
      </c>
      <c r="T14383" s="1192">
        <v>44316</v>
      </c>
      <c r="V14383" s="1192">
        <v>190</v>
      </c>
    </row>
    <row r="14384" spans="1:22" s="1192" customFormat="1" ht="14.4" x14ac:dyDescent="0.3">
      <c r="A14384" s="1192" t="s">
        <v>160</v>
      </c>
      <c r="E14384" s="2011" t="s">
        <v>6802</v>
      </c>
      <c r="F14384" s="2011"/>
      <c r="G14384" s="1277" t="s">
        <v>29</v>
      </c>
      <c r="H14384" s="1219">
        <v>1.8100000000000002E-2</v>
      </c>
      <c r="K14384" s="1192" t="s">
        <v>4388</v>
      </c>
      <c r="L14384" s="1192" t="s">
        <v>431</v>
      </c>
      <c r="P14384" s="1192" t="s">
        <v>4398</v>
      </c>
      <c r="T14384" s="1192">
        <v>44316</v>
      </c>
      <c r="V14384" s="1192">
        <v>133</v>
      </c>
    </row>
    <row r="14385" spans="1:22" s="1192" customFormat="1" ht="14.4" x14ac:dyDescent="0.3">
      <c r="A14385" s="1192" t="s">
        <v>160</v>
      </c>
      <c r="E14385" s="2011" t="s">
        <v>6803</v>
      </c>
      <c r="F14385" s="2011"/>
      <c r="G14385" s="1277" t="s">
        <v>20</v>
      </c>
      <c r="H14385" s="1219">
        <v>-3.8999999999999998E-3</v>
      </c>
      <c r="K14385" s="1192" t="s">
        <v>4388</v>
      </c>
      <c r="L14385" s="1192" t="s">
        <v>431</v>
      </c>
      <c r="P14385" s="1192" t="s">
        <v>4397</v>
      </c>
      <c r="T14385" s="1192">
        <v>44316</v>
      </c>
      <c r="V14385" s="1192">
        <v>172</v>
      </c>
    </row>
    <row r="14386" spans="1:22" s="1192" customFormat="1" ht="14.4" x14ac:dyDescent="0.3">
      <c r="A14386" s="1192" t="s">
        <v>160</v>
      </c>
      <c r="E14386" s="2011" t="s">
        <v>6800</v>
      </c>
      <c r="F14386" s="2011"/>
      <c r="G14386" s="1277" t="s">
        <v>29</v>
      </c>
      <c r="H14386" s="1219">
        <v>0.17150000000000001</v>
      </c>
      <c r="K14386" s="1192" t="s">
        <v>4388</v>
      </c>
      <c r="L14386" s="1192" t="s">
        <v>430</v>
      </c>
      <c r="P14386" s="1192" t="s">
        <v>6808</v>
      </c>
      <c r="T14386" s="1192">
        <v>44316</v>
      </c>
      <c r="V14386" s="1192">
        <v>119</v>
      </c>
    </row>
    <row r="14387" spans="1:22" s="1192" customFormat="1" ht="14.4" x14ac:dyDescent="0.3">
      <c r="A14387" s="1192" t="s">
        <v>160</v>
      </c>
      <c r="E14387" s="2011" t="s">
        <v>6805</v>
      </c>
      <c r="F14387" s="2011"/>
      <c r="G14387" s="1277" t="s">
        <v>29</v>
      </c>
      <c r="H14387" s="1219">
        <v>-0.25440000000000002</v>
      </c>
      <c r="K14387" s="1192" t="s">
        <v>4388</v>
      </c>
      <c r="L14387" s="1192" t="s">
        <v>430</v>
      </c>
      <c r="P14387" s="1192" t="s">
        <v>4398</v>
      </c>
      <c r="T14387" s="1192">
        <v>44316</v>
      </c>
      <c r="V14387" s="1192">
        <v>141</v>
      </c>
    </row>
    <row r="14388" spans="1:22" s="1192" customFormat="1" ht="14.4" x14ac:dyDescent="0.3">
      <c r="A14388" s="1192" t="s">
        <v>160</v>
      </c>
      <c r="E14388" s="2011" t="s">
        <v>213</v>
      </c>
      <c r="F14388" s="2011"/>
      <c r="G14388" s="843" t="s">
        <v>29</v>
      </c>
      <c r="H14388" s="514">
        <v>3.4948999999999999</v>
      </c>
      <c r="K14388" s="1192" t="s">
        <v>4388</v>
      </c>
      <c r="L14388" s="1192" t="s">
        <v>432</v>
      </c>
      <c r="P14388" s="1192" t="s">
        <v>4392</v>
      </c>
      <c r="V14388" s="1192">
        <v>47</v>
      </c>
    </row>
    <row r="14389" spans="1:22" s="1192" customFormat="1" ht="14.4" x14ac:dyDescent="0.3">
      <c r="A14389" s="1192" t="s">
        <v>160</v>
      </c>
      <c r="E14389" s="2011" t="s">
        <v>209</v>
      </c>
      <c r="F14389" s="2011"/>
      <c r="G14389" s="843" t="s">
        <v>29</v>
      </c>
      <c r="H14389" s="514">
        <v>2.7023999999999999</v>
      </c>
      <c r="K14389" s="1192" t="s">
        <v>4388</v>
      </c>
      <c r="L14389" s="1192" t="s">
        <v>432</v>
      </c>
      <c r="P14389" s="1192" t="s">
        <v>4393</v>
      </c>
      <c r="V14389" s="1192">
        <v>74</v>
      </c>
    </row>
    <row r="14390" spans="1:22" s="1192" customFormat="1" ht="14.4" x14ac:dyDescent="0.3">
      <c r="A14390" s="1192" t="s">
        <v>160</v>
      </c>
      <c r="E14390" s="1748" t="s">
        <v>2405</v>
      </c>
      <c r="F14390" s="1740"/>
      <c r="G14390" s="1277"/>
      <c r="H14390" s="896"/>
      <c r="K14390" s="1192" t="s">
        <v>2526</v>
      </c>
      <c r="V14390" s="1192">
        <v>48</v>
      </c>
    </row>
    <row r="14391" spans="1:22" s="1192" customFormat="1" ht="14.4" x14ac:dyDescent="0.3">
      <c r="A14391" s="1192" t="s">
        <v>160</v>
      </c>
      <c r="E14391" s="2012" t="s">
        <v>2033</v>
      </c>
      <c r="F14391" s="2011"/>
      <c r="G14391" s="843" t="s">
        <v>20</v>
      </c>
      <c r="H14391" s="514">
        <v>3.0000000000000001E-3</v>
      </c>
      <c r="K14391" s="1192" t="s">
        <v>4388</v>
      </c>
      <c r="L14391" s="1192" t="s">
        <v>2374</v>
      </c>
      <c r="P14391" s="1192" t="s">
        <v>4394</v>
      </c>
      <c r="V14391" s="1192">
        <v>55</v>
      </c>
    </row>
    <row r="14392" spans="1:22" s="1192" customFormat="1" ht="14.4" x14ac:dyDescent="0.3">
      <c r="A14392" s="1192" t="s">
        <v>160</v>
      </c>
      <c r="E14392" s="2012" t="s">
        <v>2034</v>
      </c>
      <c r="F14392" s="2011"/>
      <c r="G14392" s="843" t="s">
        <v>20</v>
      </c>
      <c r="H14392" s="514">
        <v>4.0000000000000002E-4</v>
      </c>
      <c r="K14392" s="1192" t="s">
        <v>4388</v>
      </c>
      <c r="L14392" s="1192" t="s">
        <v>2374</v>
      </c>
      <c r="P14392" s="1192" t="s">
        <v>4394</v>
      </c>
      <c r="V14392" s="1192">
        <v>65</v>
      </c>
    </row>
    <row r="14393" spans="1:22" s="1192" customFormat="1" ht="14.4" x14ac:dyDescent="0.3">
      <c r="A14393" s="1192" t="s">
        <v>160</v>
      </c>
      <c r="E14393" s="2012" t="s">
        <v>428</v>
      </c>
      <c r="F14393" s="2011"/>
      <c r="G14393" s="843" t="s">
        <v>20</v>
      </c>
      <c r="H14393" s="514">
        <v>5.0000000000000001E-4</v>
      </c>
      <c r="K14393" s="1192" t="s">
        <v>4388</v>
      </c>
      <c r="L14393" s="1192" t="s">
        <v>2374</v>
      </c>
      <c r="P14393" s="1192" t="s">
        <v>4395</v>
      </c>
      <c r="V14393" s="1192">
        <v>57</v>
      </c>
    </row>
    <row r="14394" spans="1:22" s="1192" customFormat="1" ht="14.4" x14ac:dyDescent="0.3">
      <c r="A14394" s="1192" t="s">
        <v>160</v>
      </c>
      <c r="E14394" s="2011" t="s">
        <v>28</v>
      </c>
      <c r="F14394" s="2011"/>
      <c r="G14394" s="843" t="s">
        <v>19</v>
      </c>
      <c r="H14394" s="509">
        <v>0.25</v>
      </c>
      <c r="K14394" s="1192" t="s">
        <v>4388</v>
      </c>
      <c r="L14394" s="1192" t="s">
        <v>2374</v>
      </c>
      <c r="P14394" s="1192" t="s">
        <v>4396</v>
      </c>
      <c r="V14394" s="1192">
        <v>63</v>
      </c>
    </row>
    <row r="14395" spans="1:22" s="1192" customFormat="1" ht="17.399999999999999" x14ac:dyDescent="0.3">
      <c r="A14395" s="1192" t="s">
        <v>160</v>
      </c>
      <c r="E14395" s="1746" t="s">
        <v>592</v>
      </c>
      <c r="F14395" s="1987"/>
      <c r="G14395" s="1987"/>
      <c r="H14395" s="1987"/>
      <c r="K14395" s="1192" t="s">
        <v>2676</v>
      </c>
      <c r="V14395" s="1192">
        <v>47</v>
      </c>
    </row>
    <row r="14396" spans="1:22" s="1192" customFormat="1" ht="14.4" x14ac:dyDescent="0.3">
      <c r="A14396" s="1192" t="s">
        <v>160</v>
      </c>
      <c r="E14396" s="1743" t="s">
        <v>2912</v>
      </c>
      <c r="F14396" s="1743"/>
      <c r="G14396" s="1743"/>
      <c r="H14396" s="1743"/>
      <c r="K14396" s="1192" t="s">
        <v>2676</v>
      </c>
      <c r="V14396" s="1192">
        <v>681</v>
      </c>
    </row>
    <row r="14397" spans="1:22" s="1192" customFormat="1" ht="14.4" x14ac:dyDescent="0.3">
      <c r="A14397" s="1192" t="s">
        <v>160</v>
      </c>
      <c r="E14397" s="2009" t="s">
        <v>2389</v>
      </c>
      <c r="F14397" s="2010"/>
      <c r="G14397" s="2010"/>
      <c r="H14397" s="2010"/>
      <c r="K14397" s="1192" t="s">
        <v>2529</v>
      </c>
      <c r="V14397" s="1192">
        <v>11</v>
      </c>
    </row>
    <row r="14398" spans="1:22" s="1192" customFormat="1" ht="14.4" x14ac:dyDescent="0.3">
      <c r="A14398" s="1192" t="s">
        <v>160</v>
      </c>
      <c r="E14398" s="1743" t="s">
        <v>2391</v>
      </c>
      <c r="F14398" s="1743"/>
      <c r="G14398" s="1743"/>
      <c r="H14398" s="1743"/>
      <c r="K14398" s="1192" t="s">
        <v>2676</v>
      </c>
      <c r="V14398" s="1192">
        <v>280</v>
      </c>
    </row>
    <row r="14399" spans="1:22" s="1192" customFormat="1" ht="14.4" x14ac:dyDescent="0.3">
      <c r="A14399" s="1192" t="s">
        <v>160</v>
      </c>
      <c r="E14399" s="1743" t="s">
        <v>2392</v>
      </c>
      <c r="F14399" s="1743"/>
      <c r="G14399" s="1743"/>
      <c r="H14399" s="1743"/>
      <c r="K14399" s="1192" t="s">
        <v>2676</v>
      </c>
      <c r="V14399" s="1192">
        <v>411</v>
      </c>
    </row>
    <row r="14400" spans="1:22" s="1192" customFormat="1" ht="14.4" x14ac:dyDescent="0.3">
      <c r="A14400" s="1192" t="s">
        <v>160</v>
      </c>
      <c r="E14400" s="1743" t="s">
        <v>2508</v>
      </c>
      <c r="F14400" s="1743"/>
      <c r="G14400" s="1743"/>
      <c r="H14400" s="1743"/>
      <c r="K14400" s="1192" t="s">
        <v>2676</v>
      </c>
      <c r="V14400" s="1192">
        <v>386</v>
      </c>
    </row>
    <row r="14401" spans="1:22" s="1192" customFormat="1" ht="14.4" x14ac:dyDescent="0.3">
      <c r="A14401" s="1192" t="s">
        <v>160</v>
      </c>
      <c r="E14401" s="1743" t="s">
        <v>4500</v>
      </c>
      <c r="F14401" s="1743"/>
      <c r="G14401" s="1743"/>
      <c r="H14401" s="1743"/>
      <c r="K14401" s="1192" t="s">
        <v>2676</v>
      </c>
      <c r="V14401" s="1192">
        <v>247</v>
      </c>
    </row>
    <row r="14402" spans="1:22" s="1192" customFormat="1" ht="14.4" x14ac:dyDescent="0.3">
      <c r="A14402" s="1192" t="s">
        <v>160</v>
      </c>
      <c r="E14402" s="1748" t="s">
        <v>2394</v>
      </c>
      <c r="F14402" s="1749"/>
      <c r="G14402" s="1749"/>
      <c r="H14402" s="1749"/>
      <c r="K14402" s="1192" t="s">
        <v>2531</v>
      </c>
      <c r="V14402" s="1192">
        <v>46</v>
      </c>
    </row>
    <row r="14403" spans="1:22" s="1192" customFormat="1" ht="14.4" x14ac:dyDescent="0.3">
      <c r="A14403" s="1192" t="s">
        <v>160</v>
      </c>
      <c r="E14403" s="2011" t="s">
        <v>8</v>
      </c>
      <c r="F14403" s="2011"/>
      <c r="G14403" s="843" t="s">
        <v>19</v>
      </c>
      <c r="H14403" s="509">
        <v>7.94</v>
      </c>
      <c r="K14403" s="1192" t="s">
        <v>2676</v>
      </c>
      <c r="L14403" s="1192" t="s">
        <v>430</v>
      </c>
      <c r="P14403" s="1192" t="s">
        <v>2678</v>
      </c>
      <c r="V14403" s="1192">
        <v>31</v>
      </c>
    </row>
    <row r="14404" spans="1:22" s="1192" customFormat="1" ht="14.4" x14ac:dyDescent="0.3">
      <c r="A14404" s="1192" t="s">
        <v>160</v>
      </c>
      <c r="E14404" s="2011" t="s">
        <v>80</v>
      </c>
      <c r="F14404" s="2011"/>
      <c r="G14404" s="843" t="s">
        <v>20</v>
      </c>
      <c r="H14404" s="514">
        <v>1.2E-2</v>
      </c>
      <c r="K14404" s="1192" t="s">
        <v>2676</v>
      </c>
      <c r="L14404" s="1192" t="s">
        <v>430</v>
      </c>
      <c r="P14404" s="1192" t="s">
        <v>2679</v>
      </c>
      <c r="V14404" s="1192">
        <v>28</v>
      </c>
    </row>
    <row r="14405" spans="1:22" s="1192" customFormat="1" ht="14.4" x14ac:dyDescent="0.3">
      <c r="A14405" s="1192" t="s">
        <v>160</v>
      </c>
      <c r="E14405" s="2011" t="s">
        <v>14</v>
      </c>
      <c r="F14405" s="2011"/>
      <c r="G14405" s="843" t="s">
        <v>20</v>
      </c>
      <c r="H14405" s="514">
        <v>2.9999999999999997E-4</v>
      </c>
      <c r="K14405" s="1192" t="s">
        <v>2676</v>
      </c>
      <c r="L14405" s="1192" t="s">
        <v>431</v>
      </c>
      <c r="P14405" s="1192" t="s">
        <v>2809</v>
      </c>
      <c r="V14405" s="1192">
        <v>24</v>
      </c>
    </row>
    <row r="14406" spans="1:22" s="1192" customFormat="1" ht="14.4" x14ac:dyDescent="0.3">
      <c r="A14406" s="1192" t="s">
        <v>160</v>
      </c>
      <c r="E14406" s="2011" t="s">
        <v>6797</v>
      </c>
      <c r="F14406" s="2011"/>
      <c r="G14406" s="1277" t="s">
        <v>20</v>
      </c>
      <c r="H14406" s="1219">
        <v>1E-3</v>
      </c>
      <c r="K14406" s="1192" t="s">
        <v>2676</v>
      </c>
      <c r="L14406" s="1192" t="s">
        <v>430</v>
      </c>
      <c r="P14406" s="1192" t="s">
        <v>6809</v>
      </c>
      <c r="T14406" s="1192">
        <v>45777</v>
      </c>
      <c r="V14406" s="1192">
        <v>119</v>
      </c>
    </row>
    <row r="14407" spans="1:22" s="1192" customFormat="1" ht="14.4" x14ac:dyDescent="0.3">
      <c r="A14407" s="1192" t="s">
        <v>160</v>
      </c>
      <c r="E14407" s="2011" t="s">
        <v>6802</v>
      </c>
      <c r="F14407" s="2011"/>
      <c r="G14407" s="1277" t="s">
        <v>20</v>
      </c>
      <c r="H14407" s="1219">
        <v>-2.0999999999999999E-3</v>
      </c>
      <c r="K14407" s="1192" t="s">
        <v>2676</v>
      </c>
      <c r="L14407" s="1192" t="s">
        <v>431</v>
      </c>
      <c r="P14407" s="1192" t="s">
        <v>2681</v>
      </c>
      <c r="T14407" s="1192">
        <v>44316</v>
      </c>
      <c r="V14407" s="1192">
        <v>133</v>
      </c>
    </row>
    <row r="14408" spans="1:22" s="1192" customFormat="1" ht="14.4" x14ac:dyDescent="0.3">
      <c r="A14408" s="1192" t="s">
        <v>160</v>
      </c>
      <c r="E14408" s="2011" t="s">
        <v>6803</v>
      </c>
      <c r="F14408" s="2011"/>
      <c r="G14408" s="1277" t="s">
        <v>20</v>
      </c>
      <c r="H14408" s="1219">
        <v>-3.8999999999999998E-3</v>
      </c>
      <c r="K14408" s="1192" t="s">
        <v>2676</v>
      </c>
      <c r="L14408" s="1192" t="s">
        <v>431</v>
      </c>
      <c r="P14408" s="1192" t="s">
        <v>2810</v>
      </c>
      <c r="T14408" s="1192">
        <v>44316</v>
      </c>
      <c r="V14408" s="1192">
        <v>172</v>
      </c>
    </row>
    <row r="14409" spans="1:22" s="1192" customFormat="1" ht="14.4" x14ac:dyDescent="0.3">
      <c r="A14409" s="1192" t="s">
        <v>160</v>
      </c>
      <c r="E14409" s="2011" t="s">
        <v>6805</v>
      </c>
      <c r="F14409" s="2011"/>
      <c r="G14409" s="1277" t="s">
        <v>20</v>
      </c>
      <c r="H14409" s="1219">
        <v>-1E-4</v>
      </c>
      <c r="K14409" s="1192" t="s">
        <v>2676</v>
      </c>
      <c r="L14409" s="1192" t="s">
        <v>430</v>
      </c>
      <c r="P14409" s="1192" t="s">
        <v>2681</v>
      </c>
      <c r="T14409" s="1192">
        <v>44316</v>
      </c>
      <c r="V14409" s="1192">
        <v>141</v>
      </c>
    </row>
    <row r="14410" spans="1:22" s="1192" customFormat="1" ht="14.4" x14ac:dyDescent="0.3">
      <c r="A14410" s="1192" t="s">
        <v>160</v>
      </c>
      <c r="E14410" s="2011" t="s">
        <v>213</v>
      </c>
      <c r="F14410" s="2011"/>
      <c r="G14410" s="843" t="s">
        <v>20</v>
      </c>
      <c r="H14410" s="514">
        <v>4.7000000000000002E-3</v>
      </c>
      <c r="K14410" s="1192" t="s">
        <v>2676</v>
      </c>
      <c r="L14410" s="1192" t="s">
        <v>432</v>
      </c>
      <c r="P14410" s="1192" t="s">
        <v>2682</v>
      </c>
      <c r="V14410" s="1192">
        <v>47</v>
      </c>
    </row>
    <row r="14411" spans="1:22" s="1192" customFormat="1" ht="14.4" x14ac:dyDescent="0.3">
      <c r="A14411" s="1192" t="s">
        <v>160</v>
      </c>
      <c r="E14411" s="2011" t="s">
        <v>209</v>
      </c>
      <c r="F14411" s="2011"/>
      <c r="G14411" s="843" t="s">
        <v>20</v>
      </c>
      <c r="H14411" s="514">
        <v>3.5999999999999999E-3</v>
      </c>
      <c r="K14411" s="1192" t="s">
        <v>2676</v>
      </c>
      <c r="L14411" s="1192" t="s">
        <v>432</v>
      </c>
      <c r="P14411" s="1192" t="s">
        <v>2683</v>
      </c>
      <c r="V14411" s="1192">
        <v>74</v>
      </c>
    </row>
    <row r="14412" spans="1:22" s="1192" customFormat="1" ht="14.4" x14ac:dyDescent="0.3">
      <c r="A14412" s="1192" t="s">
        <v>160</v>
      </c>
      <c r="E14412" s="1748" t="s">
        <v>2405</v>
      </c>
      <c r="F14412" s="1740"/>
      <c r="G14412" s="1277"/>
      <c r="H14412" s="896"/>
      <c r="K14412" s="1192" t="s">
        <v>2532</v>
      </c>
      <c r="V14412" s="1192">
        <v>48</v>
      </c>
    </row>
    <row r="14413" spans="1:22" s="1192" customFormat="1" ht="14.4" x14ac:dyDescent="0.3">
      <c r="A14413" s="1192" t="s">
        <v>160</v>
      </c>
      <c r="E14413" s="2012" t="s">
        <v>2033</v>
      </c>
      <c r="F14413" s="2011"/>
      <c r="G14413" s="843" t="s">
        <v>20</v>
      </c>
      <c r="H14413" s="514">
        <v>3.0000000000000001E-3</v>
      </c>
      <c r="K14413" s="1192" t="s">
        <v>2676</v>
      </c>
      <c r="L14413" s="1192" t="s">
        <v>2374</v>
      </c>
      <c r="P14413" s="1192" t="s">
        <v>2684</v>
      </c>
      <c r="V14413" s="1192">
        <v>55</v>
      </c>
    </row>
    <row r="14414" spans="1:22" s="1192" customFormat="1" ht="14.4" x14ac:dyDescent="0.3">
      <c r="A14414" s="1192" t="s">
        <v>160</v>
      </c>
      <c r="E14414" s="2012" t="s">
        <v>2034</v>
      </c>
      <c r="F14414" s="2011"/>
      <c r="G14414" s="843" t="s">
        <v>20</v>
      </c>
      <c r="H14414" s="514">
        <v>4.0000000000000002E-4</v>
      </c>
      <c r="K14414" s="1192" t="s">
        <v>2676</v>
      </c>
      <c r="L14414" s="1192" t="s">
        <v>2374</v>
      </c>
      <c r="P14414" s="1192" t="s">
        <v>2684</v>
      </c>
      <c r="V14414" s="1192">
        <v>65</v>
      </c>
    </row>
    <row r="14415" spans="1:22" s="1192" customFormat="1" ht="14.4" x14ac:dyDescent="0.3">
      <c r="A14415" s="1192" t="s">
        <v>160</v>
      </c>
      <c r="E14415" s="2012" t="s">
        <v>428</v>
      </c>
      <c r="F14415" s="2011"/>
      <c r="G14415" s="843" t="s">
        <v>20</v>
      </c>
      <c r="H14415" s="514">
        <v>5.0000000000000001E-4</v>
      </c>
      <c r="K14415" s="1192" t="s">
        <v>2676</v>
      </c>
      <c r="L14415" s="1192" t="s">
        <v>2374</v>
      </c>
      <c r="P14415" s="1192" t="s">
        <v>2685</v>
      </c>
      <c r="V14415" s="1192">
        <v>57</v>
      </c>
    </row>
    <row r="14416" spans="1:22" s="1192" customFormat="1" ht="14.4" x14ac:dyDescent="0.3">
      <c r="A14416" s="1192" t="s">
        <v>160</v>
      </c>
      <c r="E14416" s="2011" t="s">
        <v>28</v>
      </c>
      <c r="F14416" s="2011"/>
      <c r="G14416" s="843" t="s">
        <v>19</v>
      </c>
      <c r="H14416" s="509">
        <v>0.25</v>
      </c>
      <c r="K14416" s="1192" t="s">
        <v>2676</v>
      </c>
      <c r="L14416" s="1192" t="s">
        <v>2374</v>
      </c>
      <c r="P14416" s="1192" t="s">
        <v>2686</v>
      </c>
      <c r="V14416" s="1192">
        <v>63</v>
      </c>
    </row>
    <row r="14417" spans="1:22" s="1192" customFormat="1" ht="17.399999999999999" x14ac:dyDescent="0.3">
      <c r="A14417" s="1192" t="s">
        <v>160</v>
      </c>
      <c r="E14417" s="1746" t="s">
        <v>604</v>
      </c>
      <c r="F14417" s="1987"/>
      <c r="G14417" s="1987"/>
      <c r="H14417" s="1987"/>
      <c r="K14417" s="1192" t="s">
        <v>2823</v>
      </c>
      <c r="V14417" s="1192">
        <v>40</v>
      </c>
    </row>
    <row r="14418" spans="1:22" s="1192" customFormat="1" ht="14.4" x14ac:dyDescent="0.3">
      <c r="A14418" s="1192" t="s">
        <v>160</v>
      </c>
      <c r="E14418" s="1743" t="s">
        <v>2913</v>
      </c>
      <c r="F14418" s="1743"/>
      <c r="G14418" s="1743"/>
      <c r="H14418" s="1743"/>
      <c r="K14418" s="1192" t="s">
        <v>2823</v>
      </c>
      <c r="V14418" s="1192">
        <v>252</v>
      </c>
    </row>
    <row r="14419" spans="1:22" s="1192" customFormat="1" ht="14.4" x14ac:dyDescent="0.3">
      <c r="A14419" s="1192" t="s">
        <v>160</v>
      </c>
      <c r="E14419" s="2009" t="s">
        <v>2389</v>
      </c>
      <c r="F14419" s="2010"/>
      <c r="G14419" s="2010"/>
      <c r="H14419" s="2010"/>
      <c r="K14419" s="1192" t="s">
        <v>2424</v>
      </c>
      <c r="V14419" s="1192">
        <v>11</v>
      </c>
    </row>
    <row r="14420" spans="1:22" s="1192" customFormat="1" ht="14.4" x14ac:dyDescent="0.3">
      <c r="A14420" s="1192" t="s">
        <v>160</v>
      </c>
      <c r="E14420" s="1743" t="s">
        <v>2391</v>
      </c>
      <c r="F14420" s="1743"/>
      <c r="G14420" s="1743"/>
      <c r="H14420" s="1743"/>
      <c r="K14420" s="1192" t="s">
        <v>2823</v>
      </c>
      <c r="V14420" s="1192">
        <v>280</v>
      </c>
    </row>
    <row r="14421" spans="1:22" s="1192" customFormat="1" ht="14.4" x14ac:dyDescent="0.3">
      <c r="A14421" s="1192" t="s">
        <v>160</v>
      </c>
      <c r="E14421" s="1743" t="s">
        <v>2392</v>
      </c>
      <c r="F14421" s="1743"/>
      <c r="G14421" s="1743"/>
      <c r="H14421" s="1743"/>
      <c r="K14421" s="1192" t="s">
        <v>2823</v>
      </c>
      <c r="V14421" s="1192">
        <v>411</v>
      </c>
    </row>
    <row r="14422" spans="1:22" s="1192" customFormat="1" ht="14.4" x14ac:dyDescent="0.3">
      <c r="A14422" s="1192" t="s">
        <v>160</v>
      </c>
      <c r="E14422" s="1743" t="s">
        <v>2508</v>
      </c>
      <c r="F14422" s="1743"/>
      <c r="G14422" s="1743"/>
      <c r="H14422" s="1743"/>
      <c r="K14422" s="1192" t="s">
        <v>2823</v>
      </c>
      <c r="V14422" s="1192">
        <v>386</v>
      </c>
    </row>
    <row r="14423" spans="1:22" s="1192" customFormat="1" ht="14.4" x14ac:dyDescent="0.3">
      <c r="A14423" s="1192" t="s">
        <v>160</v>
      </c>
      <c r="E14423" s="1743" t="s">
        <v>4500</v>
      </c>
      <c r="F14423" s="1743"/>
      <c r="G14423" s="1743"/>
      <c r="H14423" s="1743"/>
      <c r="K14423" s="1192" t="s">
        <v>2823</v>
      </c>
      <c r="V14423" s="1192">
        <v>247</v>
      </c>
    </row>
    <row r="14424" spans="1:22" s="1192" customFormat="1" ht="14.4" x14ac:dyDescent="0.3">
      <c r="A14424" s="1192" t="s">
        <v>160</v>
      </c>
      <c r="E14424" s="1748" t="s">
        <v>2394</v>
      </c>
      <c r="F14424" s="1749"/>
      <c r="G14424" s="1749"/>
      <c r="H14424" s="1749"/>
      <c r="K14424" s="1192" t="s">
        <v>2425</v>
      </c>
      <c r="V14424" s="1192">
        <v>46</v>
      </c>
    </row>
    <row r="14425" spans="1:22" s="1192" customFormat="1" ht="14.4" x14ac:dyDescent="0.3">
      <c r="A14425" s="1192" t="s">
        <v>160</v>
      </c>
      <c r="E14425" s="2011" t="s">
        <v>8</v>
      </c>
      <c r="F14425" s="2011"/>
      <c r="G14425" s="843" t="s">
        <v>19</v>
      </c>
      <c r="H14425" s="509">
        <v>4.6100000000000003</v>
      </c>
      <c r="K14425" s="1192" t="s">
        <v>2823</v>
      </c>
      <c r="L14425" s="1192" t="s">
        <v>430</v>
      </c>
      <c r="P14425" s="1192" t="s">
        <v>2824</v>
      </c>
      <c r="V14425" s="1192">
        <v>31</v>
      </c>
    </row>
    <row r="14426" spans="1:22" s="1192" customFormat="1" ht="14.4" x14ac:dyDescent="0.3">
      <c r="A14426" s="1192" t="s">
        <v>160</v>
      </c>
      <c r="E14426" s="2011" t="s">
        <v>80</v>
      </c>
      <c r="F14426" s="2011"/>
      <c r="G14426" s="843" t="s">
        <v>29</v>
      </c>
      <c r="H14426" s="514">
        <v>14.8222</v>
      </c>
      <c r="K14426" s="1192" t="s">
        <v>2823</v>
      </c>
      <c r="L14426" s="1192" t="s">
        <v>430</v>
      </c>
      <c r="P14426" s="1192" t="s">
        <v>2825</v>
      </c>
      <c r="V14426" s="1192">
        <v>28</v>
      </c>
    </row>
    <row r="14427" spans="1:22" s="1192" customFormat="1" ht="14.4" x14ac:dyDescent="0.3">
      <c r="A14427" s="1192" t="s">
        <v>160</v>
      </c>
      <c r="E14427" s="2011" t="s">
        <v>14</v>
      </c>
      <c r="F14427" s="2011"/>
      <c r="G14427" s="843" t="s">
        <v>29</v>
      </c>
      <c r="H14427" s="514">
        <v>0.1138</v>
      </c>
      <c r="K14427" s="1192" t="s">
        <v>2823</v>
      </c>
      <c r="L14427" s="1192" t="s">
        <v>431</v>
      </c>
      <c r="P14427" s="1192" t="s">
        <v>2826</v>
      </c>
      <c r="V14427" s="1192">
        <v>24</v>
      </c>
    </row>
    <row r="14428" spans="1:22" s="1192" customFormat="1" ht="14.4" x14ac:dyDescent="0.3">
      <c r="A14428" s="1192" t="s">
        <v>160</v>
      </c>
      <c r="E14428" s="2011" t="s">
        <v>6797</v>
      </c>
      <c r="F14428" s="2011"/>
      <c r="G14428" s="1277" t="s">
        <v>29</v>
      </c>
      <c r="H14428" s="1219">
        <v>0.34499999999999997</v>
      </c>
      <c r="K14428" s="1192" t="s">
        <v>2823</v>
      </c>
      <c r="L14428" s="1192" t="s">
        <v>430</v>
      </c>
      <c r="P14428" s="1192" t="s">
        <v>6810</v>
      </c>
      <c r="T14428" s="1192">
        <v>45777</v>
      </c>
      <c r="V14428" s="1192">
        <v>119</v>
      </c>
    </row>
    <row r="14429" spans="1:22" s="1192" customFormat="1" ht="14.4" x14ac:dyDescent="0.3">
      <c r="A14429" s="1192" t="s">
        <v>160</v>
      </c>
      <c r="E14429" s="2011" t="s">
        <v>6802</v>
      </c>
      <c r="F14429" s="2011"/>
      <c r="G14429" s="1277" t="s">
        <v>29</v>
      </c>
      <c r="H14429" s="1219">
        <v>-1.1719999999999999</v>
      </c>
      <c r="K14429" s="1192" t="s">
        <v>2823</v>
      </c>
      <c r="L14429" s="1192" t="s">
        <v>431</v>
      </c>
      <c r="P14429" s="1192" t="s">
        <v>2915</v>
      </c>
      <c r="T14429" s="1192">
        <v>44316</v>
      </c>
      <c r="V14429" s="1192">
        <v>133</v>
      </c>
    </row>
    <row r="14430" spans="1:22" s="1192" customFormat="1" ht="14.4" x14ac:dyDescent="0.3">
      <c r="A14430" s="1192" t="s">
        <v>160</v>
      </c>
      <c r="E14430" s="2011" t="s">
        <v>6803</v>
      </c>
      <c r="F14430" s="2011"/>
      <c r="G14430" s="1277" t="s">
        <v>20</v>
      </c>
      <c r="H14430" s="1219">
        <v>-3.8999999999999998E-3</v>
      </c>
      <c r="K14430" s="1192" t="s">
        <v>2823</v>
      </c>
      <c r="L14430" s="1192" t="s">
        <v>431</v>
      </c>
      <c r="P14430" s="1192" t="s">
        <v>2914</v>
      </c>
      <c r="T14430" s="1192">
        <v>44316</v>
      </c>
      <c r="V14430" s="1192">
        <v>172</v>
      </c>
    </row>
    <row r="14431" spans="1:22" s="1192" customFormat="1" ht="14.4" x14ac:dyDescent="0.3">
      <c r="A14431" s="1192" t="s">
        <v>160</v>
      </c>
      <c r="E14431" s="2011" t="s">
        <v>6796</v>
      </c>
      <c r="F14431" s="2011"/>
      <c r="G14431" s="1277" t="s">
        <v>29</v>
      </c>
      <c r="H14431" s="1219">
        <v>-0.64410000000000001</v>
      </c>
      <c r="K14431" s="1192" t="s">
        <v>2823</v>
      </c>
      <c r="L14431" s="1192" t="s">
        <v>430</v>
      </c>
      <c r="P14431" s="1192" t="s">
        <v>6811</v>
      </c>
      <c r="T14431" s="1192">
        <v>44316</v>
      </c>
      <c r="V14431" s="1192">
        <v>140</v>
      </c>
    </row>
    <row r="14432" spans="1:22" s="1192" customFormat="1" ht="14.4" x14ac:dyDescent="0.3">
      <c r="A14432" s="1192" t="s">
        <v>160</v>
      </c>
      <c r="E14432" s="2011" t="s">
        <v>213</v>
      </c>
      <c r="F14432" s="2011"/>
      <c r="G14432" s="843" t="s">
        <v>29</v>
      </c>
      <c r="H14432" s="514">
        <v>1.8782000000000001</v>
      </c>
      <c r="K14432" s="1192" t="s">
        <v>2823</v>
      </c>
      <c r="L14432" s="1192" t="s">
        <v>432</v>
      </c>
      <c r="P14432" s="1192" t="s">
        <v>2827</v>
      </c>
      <c r="V14432" s="1192">
        <v>47</v>
      </c>
    </row>
    <row r="14433" spans="1:22" s="1192" customFormat="1" ht="14.4" x14ac:dyDescent="0.3">
      <c r="A14433" s="1192" t="s">
        <v>160</v>
      </c>
      <c r="E14433" s="2011" t="s">
        <v>209</v>
      </c>
      <c r="F14433" s="2011"/>
      <c r="G14433" s="843" t="s">
        <v>29</v>
      </c>
      <c r="H14433" s="514">
        <v>1.4520999999999999</v>
      </c>
      <c r="K14433" s="1192" t="s">
        <v>2823</v>
      </c>
      <c r="L14433" s="1192" t="s">
        <v>432</v>
      </c>
      <c r="P14433" s="1192" t="s">
        <v>2828</v>
      </c>
      <c r="V14433" s="1192">
        <v>74</v>
      </c>
    </row>
    <row r="14434" spans="1:22" s="1192" customFormat="1" ht="14.4" x14ac:dyDescent="0.3">
      <c r="A14434" s="1192" t="s">
        <v>160</v>
      </c>
      <c r="E14434" s="1748" t="s">
        <v>2405</v>
      </c>
      <c r="F14434" s="1740"/>
      <c r="G14434" s="1277"/>
      <c r="H14434" s="896"/>
      <c r="K14434" s="1192" t="s">
        <v>2427</v>
      </c>
      <c r="V14434" s="1192">
        <v>48</v>
      </c>
    </row>
    <row r="14435" spans="1:22" s="1192" customFormat="1" ht="14.4" x14ac:dyDescent="0.3">
      <c r="A14435" s="1192" t="s">
        <v>160</v>
      </c>
      <c r="E14435" s="2012" t="s">
        <v>2033</v>
      </c>
      <c r="F14435" s="2011"/>
      <c r="G14435" s="843" t="s">
        <v>20</v>
      </c>
      <c r="H14435" s="514">
        <v>3.0000000000000001E-3</v>
      </c>
      <c r="K14435" s="1192" t="s">
        <v>2823</v>
      </c>
      <c r="L14435" s="1192" t="s">
        <v>2374</v>
      </c>
      <c r="P14435" s="1192" t="s">
        <v>2829</v>
      </c>
      <c r="V14435" s="1192">
        <v>55</v>
      </c>
    </row>
    <row r="14436" spans="1:22" s="1192" customFormat="1" ht="14.4" x14ac:dyDescent="0.3">
      <c r="A14436" s="1192" t="s">
        <v>160</v>
      </c>
      <c r="E14436" s="2012" t="s">
        <v>2034</v>
      </c>
      <c r="F14436" s="2011"/>
      <c r="G14436" s="843" t="s">
        <v>20</v>
      </c>
      <c r="H14436" s="514">
        <v>4.0000000000000002E-4</v>
      </c>
      <c r="K14436" s="1192" t="s">
        <v>2823</v>
      </c>
      <c r="L14436" s="1192" t="s">
        <v>2374</v>
      </c>
      <c r="P14436" s="1192" t="s">
        <v>2829</v>
      </c>
      <c r="V14436" s="1192">
        <v>65</v>
      </c>
    </row>
    <row r="14437" spans="1:22" s="1192" customFormat="1" ht="14.4" x14ac:dyDescent="0.3">
      <c r="A14437" s="1192" t="s">
        <v>160</v>
      </c>
      <c r="E14437" s="2012" t="s">
        <v>428</v>
      </c>
      <c r="F14437" s="2011"/>
      <c r="G14437" s="843" t="s">
        <v>20</v>
      </c>
      <c r="H14437" s="514">
        <v>5.0000000000000001E-4</v>
      </c>
      <c r="K14437" s="1192" t="s">
        <v>2823</v>
      </c>
      <c r="L14437" s="1192" t="s">
        <v>2374</v>
      </c>
      <c r="P14437" s="1192" t="s">
        <v>2830</v>
      </c>
      <c r="V14437" s="1192">
        <v>57</v>
      </c>
    </row>
    <row r="14438" spans="1:22" s="1192" customFormat="1" ht="14.4" x14ac:dyDescent="0.3">
      <c r="A14438" s="1192" t="s">
        <v>160</v>
      </c>
      <c r="E14438" s="2011" t="s">
        <v>28</v>
      </c>
      <c r="F14438" s="2011"/>
      <c r="G14438" s="843" t="s">
        <v>19</v>
      </c>
      <c r="H14438" s="509">
        <v>0.25</v>
      </c>
      <c r="K14438" s="1192" t="s">
        <v>2823</v>
      </c>
      <c r="L14438" s="1192" t="s">
        <v>2374</v>
      </c>
      <c r="P14438" s="1192" t="s">
        <v>2831</v>
      </c>
      <c r="V14438" s="1192">
        <v>63</v>
      </c>
    </row>
    <row r="14439" spans="1:22" s="1192" customFormat="1" ht="17.399999999999999" x14ac:dyDescent="0.3">
      <c r="A14439" s="1192" t="s">
        <v>160</v>
      </c>
      <c r="E14439" s="1746" t="s">
        <v>590</v>
      </c>
      <c r="F14439" s="1987"/>
      <c r="G14439" s="1987"/>
      <c r="H14439" s="1987"/>
      <c r="K14439" s="1192" t="s">
        <v>2428</v>
      </c>
      <c r="V14439" s="1192">
        <v>38</v>
      </c>
    </row>
    <row r="14440" spans="1:22" s="1192" customFormat="1" ht="14.4" x14ac:dyDescent="0.3">
      <c r="A14440" s="1192" t="s">
        <v>160</v>
      </c>
      <c r="E14440" s="1743" t="s">
        <v>2570</v>
      </c>
      <c r="F14440" s="1743"/>
      <c r="G14440" s="1743"/>
      <c r="H14440" s="1743"/>
      <c r="K14440" s="1192" t="s">
        <v>2428</v>
      </c>
      <c r="V14440" s="1192">
        <v>543</v>
      </c>
    </row>
    <row r="14441" spans="1:22" s="1192" customFormat="1" ht="14.4" x14ac:dyDescent="0.3">
      <c r="A14441" s="1192" t="s">
        <v>160</v>
      </c>
      <c r="E14441" s="2009" t="s">
        <v>2389</v>
      </c>
      <c r="F14441" s="2010"/>
      <c r="G14441" s="2010"/>
      <c r="H14441" s="2010"/>
      <c r="K14441" s="1192" t="s">
        <v>2430</v>
      </c>
      <c r="V14441" s="1192">
        <v>11</v>
      </c>
    </row>
    <row r="14442" spans="1:22" s="1192" customFormat="1" ht="14.4" x14ac:dyDescent="0.3">
      <c r="A14442" s="1192" t="s">
        <v>160</v>
      </c>
      <c r="E14442" s="1743" t="s">
        <v>2391</v>
      </c>
      <c r="F14442" s="1743"/>
      <c r="G14442" s="1743"/>
      <c r="H14442" s="1743"/>
      <c r="K14442" s="1192" t="s">
        <v>2428</v>
      </c>
      <c r="V14442" s="1192">
        <v>280</v>
      </c>
    </row>
    <row r="14443" spans="1:22" s="1192" customFormat="1" ht="14.4" x14ac:dyDescent="0.3">
      <c r="A14443" s="1192" t="s">
        <v>160</v>
      </c>
      <c r="E14443" s="1743" t="s">
        <v>2392</v>
      </c>
      <c r="F14443" s="1743"/>
      <c r="G14443" s="1743"/>
      <c r="H14443" s="1743"/>
      <c r="K14443" s="1192" t="s">
        <v>2428</v>
      </c>
      <c r="V14443" s="1192">
        <v>411</v>
      </c>
    </row>
    <row r="14444" spans="1:22" s="1192" customFormat="1" ht="14.4" x14ac:dyDescent="0.3">
      <c r="A14444" s="1192" t="s">
        <v>160</v>
      </c>
      <c r="E14444" s="1743" t="s">
        <v>2508</v>
      </c>
      <c r="F14444" s="1743"/>
      <c r="G14444" s="1743"/>
      <c r="H14444" s="1743"/>
      <c r="K14444" s="1192" t="s">
        <v>2428</v>
      </c>
      <c r="V14444" s="1192">
        <v>386</v>
      </c>
    </row>
    <row r="14445" spans="1:22" s="1192" customFormat="1" ht="14.4" x14ac:dyDescent="0.3">
      <c r="A14445" s="1192" t="s">
        <v>160</v>
      </c>
      <c r="E14445" s="1743" t="s">
        <v>4500</v>
      </c>
      <c r="F14445" s="1743"/>
      <c r="G14445" s="1743"/>
      <c r="H14445" s="1743"/>
      <c r="K14445" s="1192" t="s">
        <v>2428</v>
      </c>
      <c r="V14445" s="1192">
        <v>247</v>
      </c>
    </row>
    <row r="14446" spans="1:22" s="1192" customFormat="1" ht="14.4" x14ac:dyDescent="0.3">
      <c r="A14446" s="1192" t="s">
        <v>160</v>
      </c>
      <c r="E14446" s="1748" t="s">
        <v>2394</v>
      </c>
      <c r="F14446" s="1749"/>
      <c r="G14446" s="1749"/>
      <c r="H14446" s="1749"/>
      <c r="K14446" s="1192" t="s">
        <v>2431</v>
      </c>
      <c r="V14446" s="1192">
        <v>46</v>
      </c>
    </row>
    <row r="14447" spans="1:22" s="1192" customFormat="1" ht="14.4" x14ac:dyDescent="0.3">
      <c r="A14447" s="1192" t="s">
        <v>160</v>
      </c>
      <c r="E14447" s="2011" t="s">
        <v>8</v>
      </c>
      <c r="F14447" s="2011"/>
      <c r="G14447" s="843" t="s">
        <v>19</v>
      </c>
      <c r="H14447" s="509">
        <v>5.54</v>
      </c>
      <c r="K14447" s="1192" t="s">
        <v>2428</v>
      </c>
      <c r="L14447" s="1192" t="s">
        <v>430</v>
      </c>
      <c r="P14447" s="1192" t="s">
        <v>2432</v>
      </c>
      <c r="V14447" s="1192">
        <v>31</v>
      </c>
    </row>
    <row r="14448" spans="1:22" s="1192" customFormat="1" ht="14.4" x14ac:dyDescent="0.3">
      <c r="A14448" s="1192" t="s">
        <v>160</v>
      </c>
      <c r="E14448" s="2011" t="s">
        <v>80</v>
      </c>
      <c r="F14448" s="2011"/>
      <c r="G14448" s="843" t="s">
        <v>29</v>
      </c>
      <c r="H14448" s="514">
        <v>2.6928999999999998</v>
      </c>
      <c r="K14448" s="1192" t="s">
        <v>2428</v>
      </c>
      <c r="L14448" s="1192" t="s">
        <v>430</v>
      </c>
      <c r="P14448" s="1192" t="s">
        <v>2433</v>
      </c>
      <c r="V14448" s="1192">
        <v>28</v>
      </c>
    </row>
    <row r="14449" spans="1:22" s="1192" customFormat="1" ht="14.4" x14ac:dyDescent="0.3">
      <c r="A14449" s="1192" t="s">
        <v>160</v>
      </c>
      <c r="E14449" s="2011" t="s">
        <v>14</v>
      </c>
      <c r="F14449" s="2011"/>
      <c r="G14449" s="843" t="s">
        <v>29</v>
      </c>
      <c r="H14449" s="514">
        <v>0.1074</v>
      </c>
      <c r="K14449" s="1192" t="s">
        <v>2428</v>
      </c>
      <c r="L14449" s="1192" t="s">
        <v>431</v>
      </c>
      <c r="P14449" s="1192" t="s">
        <v>2764</v>
      </c>
      <c r="V14449" s="1192">
        <v>24</v>
      </c>
    </row>
    <row r="14450" spans="1:22" s="1192" customFormat="1" ht="14.4" x14ac:dyDescent="0.3">
      <c r="A14450" s="1192" t="s">
        <v>160</v>
      </c>
      <c r="E14450" s="2011" t="s">
        <v>6797</v>
      </c>
      <c r="F14450" s="2011"/>
      <c r="G14450" s="1277" t="s">
        <v>29</v>
      </c>
      <c r="H14450" s="1219">
        <v>0.3407</v>
      </c>
      <c r="K14450" s="1192" t="s">
        <v>2428</v>
      </c>
      <c r="L14450" s="1192" t="s">
        <v>430</v>
      </c>
      <c r="P14450" s="1192" t="s">
        <v>6812</v>
      </c>
      <c r="T14450" s="1192">
        <v>45777</v>
      </c>
      <c r="V14450" s="1192">
        <v>119</v>
      </c>
    </row>
    <row r="14451" spans="1:22" s="1192" customFormat="1" ht="14.4" x14ac:dyDescent="0.3">
      <c r="A14451" s="1192" t="s">
        <v>160</v>
      </c>
      <c r="E14451" s="2011" t="s">
        <v>6802</v>
      </c>
      <c r="F14451" s="2011"/>
      <c r="G14451" s="1277" t="s">
        <v>29</v>
      </c>
      <c r="H14451" s="1219">
        <v>-1.2070000000000001</v>
      </c>
      <c r="K14451" s="1192" t="s">
        <v>2428</v>
      </c>
      <c r="L14451" s="1192" t="s">
        <v>431</v>
      </c>
      <c r="P14451" s="1192" t="s">
        <v>2434</v>
      </c>
      <c r="T14451" s="1192">
        <v>44316</v>
      </c>
      <c r="V14451" s="1192">
        <v>133</v>
      </c>
    </row>
    <row r="14452" spans="1:22" s="1192" customFormat="1" ht="14.4" x14ac:dyDescent="0.3">
      <c r="A14452" s="1192" t="s">
        <v>160</v>
      </c>
      <c r="E14452" s="2011" t="s">
        <v>6813</v>
      </c>
      <c r="F14452" s="2011"/>
      <c r="G14452" s="1277" t="s">
        <v>20</v>
      </c>
      <c r="H14452" s="1219">
        <v>-3.8999999999999998E-3</v>
      </c>
      <c r="K14452" s="1192" t="s">
        <v>2428</v>
      </c>
      <c r="L14452" s="1192" t="s">
        <v>431</v>
      </c>
      <c r="P14452" s="1192" t="s">
        <v>2435</v>
      </c>
      <c r="T14452" s="1192">
        <v>44316</v>
      </c>
      <c r="V14452" s="1192">
        <v>164</v>
      </c>
    </row>
    <row r="14453" spans="1:22" s="1192" customFormat="1" ht="14.4" x14ac:dyDescent="0.3">
      <c r="A14453" s="1192" t="s">
        <v>160</v>
      </c>
      <c r="E14453" s="2011" t="s">
        <v>6800</v>
      </c>
      <c r="F14453" s="2011"/>
      <c r="G14453" s="1277" t="s">
        <v>29</v>
      </c>
      <c r="H14453" s="1219">
        <v>1.0699999999999999E-2</v>
      </c>
      <c r="K14453" s="1192" t="s">
        <v>2428</v>
      </c>
      <c r="L14453" s="1192" t="s">
        <v>430</v>
      </c>
      <c r="P14453" s="1192" t="s">
        <v>6814</v>
      </c>
      <c r="T14453" s="1192">
        <v>44316</v>
      </c>
      <c r="V14453" s="1192">
        <v>119</v>
      </c>
    </row>
    <row r="14454" spans="1:22" s="1192" customFormat="1" ht="14.4" x14ac:dyDescent="0.3">
      <c r="A14454" s="1192" t="s">
        <v>160</v>
      </c>
      <c r="E14454" s="2011" t="s">
        <v>6805</v>
      </c>
      <c r="F14454" s="2011"/>
      <c r="G14454" s="1277" t="s">
        <v>29</v>
      </c>
      <c r="H14454" s="1219">
        <v>-0.67259999999999998</v>
      </c>
      <c r="K14454" s="1192" t="s">
        <v>2428</v>
      </c>
      <c r="L14454" s="1192" t="s">
        <v>430</v>
      </c>
      <c r="P14454" s="1192" t="s">
        <v>2434</v>
      </c>
      <c r="T14454" s="1192">
        <v>44316</v>
      </c>
      <c r="V14454" s="1192">
        <v>141</v>
      </c>
    </row>
    <row r="14455" spans="1:22" s="1192" customFormat="1" ht="14.4" x14ac:dyDescent="0.3">
      <c r="A14455" s="1192" t="s">
        <v>160</v>
      </c>
      <c r="E14455" s="2011" t="s">
        <v>213</v>
      </c>
      <c r="F14455" s="2011"/>
      <c r="G14455" s="843" t="s">
        <v>29</v>
      </c>
      <c r="H14455" s="514">
        <v>1.7741</v>
      </c>
      <c r="K14455" s="1192" t="s">
        <v>2428</v>
      </c>
      <c r="L14455" s="1192" t="s">
        <v>432</v>
      </c>
      <c r="P14455" s="1192" t="s">
        <v>2436</v>
      </c>
      <c r="V14455" s="1192">
        <v>47</v>
      </c>
    </row>
    <row r="14456" spans="1:22" s="1192" customFormat="1" ht="14.4" x14ac:dyDescent="0.3">
      <c r="A14456" s="1192" t="s">
        <v>160</v>
      </c>
      <c r="E14456" s="2011" t="s">
        <v>209</v>
      </c>
      <c r="F14456" s="2011"/>
      <c r="G14456" s="843" t="s">
        <v>29</v>
      </c>
      <c r="H14456" s="514">
        <v>1.3714999999999999</v>
      </c>
      <c r="K14456" s="1192" t="s">
        <v>2428</v>
      </c>
      <c r="L14456" s="1192" t="s">
        <v>432</v>
      </c>
      <c r="P14456" s="1192" t="s">
        <v>2437</v>
      </c>
      <c r="V14456" s="1192">
        <v>74</v>
      </c>
    </row>
    <row r="14457" spans="1:22" s="1192" customFormat="1" ht="14.4" x14ac:dyDescent="0.3">
      <c r="A14457" s="1192" t="s">
        <v>160</v>
      </c>
      <c r="E14457" s="1748" t="s">
        <v>2405</v>
      </c>
      <c r="F14457" s="1740"/>
      <c r="G14457" s="1277"/>
      <c r="H14457" s="896"/>
      <c r="K14457" s="1192" t="s">
        <v>2438</v>
      </c>
      <c r="V14457" s="1192">
        <v>48</v>
      </c>
    </row>
    <row r="14458" spans="1:22" s="1192" customFormat="1" ht="14.4" x14ac:dyDescent="0.3">
      <c r="A14458" s="1192" t="s">
        <v>160</v>
      </c>
      <c r="E14458" s="2012" t="s">
        <v>2033</v>
      </c>
      <c r="F14458" s="2011"/>
      <c r="G14458" s="843" t="s">
        <v>20</v>
      </c>
      <c r="H14458" s="514">
        <v>3.0000000000000001E-3</v>
      </c>
      <c r="K14458" s="1192" t="s">
        <v>2428</v>
      </c>
      <c r="L14458" s="1192" t="s">
        <v>2374</v>
      </c>
      <c r="P14458" s="1192" t="s">
        <v>2439</v>
      </c>
      <c r="V14458" s="1192">
        <v>55</v>
      </c>
    </row>
    <row r="14459" spans="1:22" s="1192" customFormat="1" ht="14.4" x14ac:dyDescent="0.3">
      <c r="A14459" s="1192" t="s">
        <v>160</v>
      </c>
      <c r="E14459" s="2012" t="s">
        <v>2034</v>
      </c>
      <c r="F14459" s="2011"/>
      <c r="G14459" s="843" t="s">
        <v>20</v>
      </c>
      <c r="H14459" s="514">
        <v>4.0000000000000002E-4</v>
      </c>
      <c r="K14459" s="1192" t="s">
        <v>2428</v>
      </c>
      <c r="L14459" s="1192" t="s">
        <v>2374</v>
      </c>
      <c r="P14459" s="1192" t="s">
        <v>2439</v>
      </c>
      <c r="V14459" s="1192">
        <v>65</v>
      </c>
    </row>
    <row r="14460" spans="1:22" s="1192" customFormat="1" ht="14.4" x14ac:dyDescent="0.3">
      <c r="A14460" s="1192" t="s">
        <v>160</v>
      </c>
      <c r="E14460" s="2012" t="s">
        <v>428</v>
      </c>
      <c r="F14460" s="2011"/>
      <c r="G14460" s="843" t="s">
        <v>20</v>
      </c>
      <c r="H14460" s="514">
        <v>5.0000000000000001E-4</v>
      </c>
      <c r="K14460" s="1192" t="s">
        <v>2428</v>
      </c>
      <c r="L14460" s="1192" t="s">
        <v>2374</v>
      </c>
      <c r="P14460" s="1192" t="s">
        <v>2440</v>
      </c>
      <c r="V14460" s="1192">
        <v>57</v>
      </c>
    </row>
    <row r="14461" spans="1:22" s="1192" customFormat="1" ht="14.4" x14ac:dyDescent="0.3">
      <c r="A14461" s="1192" t="s">
        <v>160</v>
      </c>
      <c r="E14461" s="2011" t="s">
        <v>28</v>
      </c>
      <c r="F14461" s="2011"/>
      <c r="G14461" s="843" t="s">
        <v>19</v>
      </c>
      <c r="H14461" s="509">
        <v>0.25</v>
      </c>
      <c r="K14461" s="1192" t="s">
        <v>2428</v>
      </c>
      <c r="L14461" s="1192" t="s">
        <v>2374</v>
      </c>
      <c r="P14461" s="1192" t="s">
        <v>2441</v>
      </c>
      <c r="V14461" s="1192">
        <v>63</v>
      </c>
    </row>
    <row r="14462" spans="1:22" s="1192" customFormat="1" ht="17.399999999999999" x14ac:dyDescent="0.3">
      <c r="A14462" s="1192" t="s">
        <v>160</v>
      </c>
      <c r="E14462" s="1746" t="s">
        <v>593</v>
      </c>
      <c r="F14462" s="1987"/>
      <c r="G14462" s="1987"/>
      <c r="H14462" s="1987"/>
      <c r="K14462" s="1192" t="s">
        <v>2442</v>
      </c>
      <c r="V14462" s="1192">
        <v>31</v>
      </c>
    </row>
    <row r="14463" spans="1:22" s="1192" customFormat="1" ht="14.4" x14ac:dyDescent="0.3">
      <c r="A14463" s="1192" t="s">
        <v>160</v>
      </c>
      <c r="E14463" s="1743" t="s">
        <v>2699</v>
      </c>
      <c r="F14463" s="1743"/>
      <c r="G14463" s="1743"/>
      <c r="H14463" s="1743"/>
      <c r="K14463" s="1192" t="s">
        <v>2442</v>
      </c>
      <c r="V14463" s="1192">
        <v>285</v>
      </c>
    </row>
    <row r="14464" spans="1:22" s="1192" customFormat="1" ht="14.4" x14ac:dyDescent="0.3">
      <c r="A14464" s="1192" t="s">
        <v>160</v>
      </c>
      <c r="E14464" s="2009" t="s">
        <v>2389</v>
      </c>
      <c r="F14464" s="2010"/>
      <c r="G14464" s="2010"/>
      <c r="H14464" s="2010"/>
      <c r="K14464" s="1192" t="s">
        <v>2444</v>
      </c>
      <c r="V14464" s="1192">
        <v>11</v>
      </c>
    </row>
    <row r="14465" spans="1:22" s="1192" customFormat="1" ht="14.4" x14ac:dyDescent="0.3">
      <c r="A14465" s="1192" t="s">
        <v>160</v>
      </c>
      <c r="E14465" s="1743" t="s">
        <v>2391</v>
      </c>
      <c r="F14465" s="1743"/>
      <c r="G14465" s="1743"/>
      <c r="H14465" s="1743"/>
      <c r="K14465" s="1192" t="s">
        <v>2442</v>
      </c>
      <c r="V14465" s="1192">
        <v>280</v>
      </c>
    </row>
    <row r="14466" spans="1:22" s="1192" customFormat="1" ht="14.4" x14ac:dyDescent="0.3">
      <c r="A14466" s="1192" t="s">
        <v>160</v>
      </c>
      <c r="E14466" s="1743" t="s">
        <v>2392</v>
      </c>
      <c r="F14466" s="1743"/>
      <c r="G14466" s="1743"/>
      <c r="H14466" s="1743"/>
      <c r="K14466" s="1192" t="s">
        <v>2442</v>
      </c>
      <c r="V14466" s="1192">
        <v>411</v>
      </c>
    </row>
    <row r="14467" spans="1:22" s="1192" customFormat="1" ht="14.4" x14ac:dyDescent="0.3">
      <c r="A14467" s="1192" t="s">
        <v>160</v>
      </c>
      <c r="E14467" s="1743" t="s">
        <v>2445</v>
      </c>
      <c r="F14467" s="1743"/>
      <c r="G14467" s="1743"/>
      <c r="H14467" s="1743"/>
      <c r="K14467" s="1192" t="s">
        <v>2442</v>
      </c>
      <c r="V14467" s="1192">
        <v>211</v>
      </c>
    </row>
    <row r="14468" spans="1:22" s="1192" customFormat="1" ht="14.4" x14ac:dyDescent="0.3">
      <c r="A14468" s="1192" t="s">
        <v>160</v>
      </c>
      <c r="E14468" s="1743" t="s">
        <v>4500</v>
      </c>
      <c r="F14468" s="1743"/>
      <c r="G14468" s="1743"/>
      <c r="H14468" s="1743"/>
      <c r="K14468" s="1192" t="s">
        <v>2442</v>
      </c>
      <c r="V14468" s="1192">
        <v>247</v>
      </c>
    </row>
    <row r="14469" spans="1:22" s="1192" customFormat="1" ht="14.4" x14ac:dyDescent="0.3">
      <c r="A14469" s="1192" t="s">
        <v>160</v>
      </c>
      <c r="E14469" s="1748" t="s">
        <v>2394</v>
      </c>
      <c r="F14469" s="1749"/>
      <c r="G14469" s="1749"/>
      <c r="H14469" s="1749"/>
      <c r="K14469" s="1192" t="s">
        <v>2446</v>
      </c>
      <c r="V14469" s="1192">
        <v>46</v>
      </c>
    </row>
    <row r="14470" spans="1:22" s="1192" customFormat="1" ht="14.4" x14ac:dyDescent="0.3">
      <c r="A14470" s="1192" t="s">
        <v>160</v>
      </c>
      <c r="E14470" s="2011" t="s">
        <v>7</v>
      </c>
      <c r="F14470" s="2011"/>
      <c r="G14470" s="843" t="s">
        <v>19</v>
      </c>
      <c r="H14470" s="509">
        <v>4.55</v>
      </c>
      <c r="K14470" s="1192" t="s">
        <v>2442</v>
      </c>
      <c r="L14470" s="1192" t="s">
        <v>430</v>
      </c>
      <c r="P14470" s="1192" t="s">
        <v>2447</v>
      </c>
      <c r="V14470" s="1192">
        <v>14</v>
      </c>
    </row>
    <row r="14471" spans="1:22" s="1192" customFormat="1" x14ac:dyDescent="0.3">
      <c r="A14471" s="1192" t="s">
        <v>160</v>
      </c>
      <c r="E14471" s="1252" t="s">
        <v>81</v>
      </c>
      <c r="F14471" s="823"/>
      <c r="G14471" s="823"/>
      <c r="H14471" s="878"/>
      <c r="K14471" s="1192" t="s">
        <v>2916</v>
      </c>
      <c r="V14471" s="1192">
        <v>10</v>
      </c>
    </row>
    <row r="14472" spans="1:22" s="1192" customFormat="1" ht="14.4" x14ac:dyDescent="0.3">
      <c r="A14472" s="1192" t="s">
        <v>160</v>
      </c>
      <c r="E14472" s="2011" t="s">
        <v>2449</v>
      </c>
      <c r="F14472" s="2011"/>
      <c r="G14472" s="843" t="s">
        <v>29</v>
      </c>
      <c r="H14472" s="514">
        <v>-0.6</v>
      </c>
      <c r="V14472" s="1192">
        <v>68</v>
      </c>
    </row>
    <row r="14473" spans="1:22" s="1192" customFormat="1" ht="14.4" x14ac:dyDescent="0.3">
      <c r="A14473" s="1192" t="s">
        <v>160</v>
      </c>
      <c r="E14473" s="2011" t="s">
        <v>2450</v>
      </c>
      <c r="F14473" s="2011"/>
      <c r="G14473" s="843" t="s">
        <v>82</v>
      </c>
      <c r="H14473" s="509">
        <v>-1</v>
      </c>
      <c r="V14473" s="1192">
        <v>87</v>
      </c>
    </row>
    <row r="14474" spans="1:22" s="1192" customFormat="1" x14ac:dyDescent="0.3">
      <c r="A14474" s="1192" t="s">
        <v>160</v>
      </c>
      <c r="E14474" s="1252" t="s">
        <v>83</v>
      </c>
      <c r="F14474" s="823"/>
      <c r="G14474" s="823"/>
      <c r="H14474" s="878"/>
      <c r="K14474" s="1192" t="s">
        <v>2917</v>
      </c>
      <c r="V14474" s="1192">
        <v>24</v>
      </c>
    </row>
    <row r="14475" spans="1:22" s="1192" customFormat="1" ht="14.4" x14ac:dyDescent="0.3">
      <c r="A14475" s="1192" t="s">
        <v>160</v>
      </c>
      <c r="E14475" s="1743" t="s">
        <v>2391</v>
      </c>
      <c r="F14475" s="1743"/>
      <c r="G14475" s="1743"/>
      <c r="H14475" s="1743"/>
      <c r="V14475" s="1192">
        <v>280</v>
      </c>
    </row>
    <row r="14476" spans="1:22" s="1192" customFormat="1" ht="14.4" x14ac:dyDescent="0.3">
      <c r="A14476" s="1192" t="s">
        <v>160</v>
      </c>
      <c r="E14476" s="1743" t="s">
        <v>2452</v>
      </c>
      <c r="F14476" s="1743"/>
      <c r="G14476" s="1743"/>
      <c r="H14476" s="1743"/>
      <c r="V14476" s="1192">
        <v>353</v>
      </c>
    </row>
    <row r="14477" spans="1:22" s="1192" customFormat="1" ht="14.4" x14ac:dyDescent="0.3">
      <c r="A14477" s="1192" t="s">
        <v>160</v>
      </c>
      <c r="E14477" s="1743" t="s">
        <v>4500</v>
      </c>
      <c r="F14477" s="1743"/>
      <c r="G14477" s="1743"/>
      <c r="H14477" s="1743"/>
      <c r="V14477" s="1192">
        <v>247</v>
      </c>
    </row>
    <row r="14478" spans="1:22" s="1192" customFormat="1" ht="14.4" x14ac:dyDescent="0.3">
      <c r="A14478" s="1192" t="s">
        <v>160</v>
      </c>
      <c r="E14478" s="1257" t="s">
        <v>2453</v>
      </c>
      <c r="F14478" s="3"/>
      <c r="G14478" s="3"/>
      <c r="H14478" s="897"/>
      <c r="K14478" s="1192" t="s">
        <v>2918</v>
      </c>
      <c r="V14478" s="1192">
        <v>23</v>
      </c>
    </row>
    <row r="14479" spans="1:22" s="1192" customFormat="1" ht="14.4" x14ac:dyDescent="0.3">
      <c r="A14479" s="1192" t="s">
        <v>160</v>
      </c>
      <c r="E14479" s="1745" t="s">
        <v>2639</v>
      </c>
      <c r="F14479" s="1745"/>
      <c r="G14479" s="1277" t="s">
        <v>19</v>
      </c>
      <c r="H14479" s="1218">
        <v>15</v>
      </c>
      <c r="V14479" s="1192">
        <v>19</v>
      </c>
    </row>
    <row r="14480" spans="1:22" s="1192" customFormat="1" ht="14.4" x14ac:dyDescent="0.3">
      <c r="A14480" s="1192" t="s">
        <v>160</v>
      </c>
      <c r="E14480" s="1745" t="s">
        <v>2456</v>
      </c>
      <c r="F14480" s="1745"/>
      <c r="G14480" s="1277" t="s">
        <v>19</v>
      </c>
      <c r="H14480" s="1218">
        <v>15</v>
      </c>
      <c r="V14480" s="1192">
        <v>20</v>
      </c>
    </row>
    <row r="14481" spans="1:22" s="1192" customFormat="1" ht="14.4" x14ac:dyDescent="0.3">
      <c r="A14481" s="1192" t="s">
        <v>160</v>
      </c>
      <c r="E14481" s="1745" t="s">
        <v>119</v>
      </c>
      <c r="F14481" s="1745"/>
      <c r="G14481" s="1277" t="s">
        <v>19</v>
      </c>
      <c r="H14481" s="1218">
        <v>15</v>
      </c>
      <c r="V14481" s="1192">
        <v>35</v>
      </c>
    </row>
    <row r="14482" spans="1:22" s="1192" customFormat="1" ht="14.4" x14ac:dyDescent="0.3">
      <c r="A14482" s="1192" t="s">
        <v>160</v>
      </c>
      <c r="E14482" s="1745" t="s">
        <v>84</v>
      </c>
      <c r="F14482" s="1745"/>
      <c r="G14482" s="1277" t="s">
        <v>19</v>
      </c>
      <c r="H14482" s="1218">
        <v>30</v>
      </c>
      <c r="V14482" s="1192">
        <v>89</v>
      </c>
    </row>
    <row r="14483" spans="1:22" s="1192" customFormat="1" ht="14.4" x14ac:dyDescent="0.3">
      <c r="A14483" s="1192" t="s">
        <v>160</v>
      </c>
      <c r="E14483" s="1257" t="s">
        <v>2468</v>
      </c>
      <c r="F14483" s="3"/>
      <c r="G14483" s="3"/>
      <c r="H14483" s="897"/>
      <c r="K14483" s="1192" t="s">
        <v>6815</v>
      </c>
      <c r="V14483" s="1192">
        <v>22</v>
      </c>
    </row>
    <row r="14484" spans="1:22" s="1192" customFormat="1" ht="14.4" x14ac:dyDescent="0.3">
      <c r="A14484" s="1192" t="s">
        <v>160</v>
      </c>
      <c r="E14484" s="1942" t="s">
        <v>5940</v>
      </c>
      <c r="F14484" s="1942"/>
      <c r="G14484" s="1277" t="s">
        <v>82</v>
      </c>
      <c r="H14484" s="1218">
        <v>1.5</v>
      </c>
      <c r="V14484" s="1192">
        <v>99</v>
      </c>
    </row>
    <row r="14485" spans="1:22" s="1192" customFormat="1" ht="14.4" x14ac:dyDescent="0.3">
      <c r="A14485" s="1192" t="s">
        <v>160</v>
      </c>
      <c r="E14485" s="2011" t="s">
        <v>6490</v>
      </c>
      <c r="F14485" s="2011"/>
      <c r="G14485" s="843" t="s">
        <v>19</v>
      </c>
      <c r="H14485" s="509">
        <v>65</v>
      </c>
      <c r="V14485" s="1192">
        <v>51</v>
      </c>
    </row>
    <row r="14486" spans="1:22" s="1192" customFormat="1" ht="14.4" x14ac:dyDescent="0.3">
      <c r="A14486" s="1192" t="s">
        <v>160</v>
      </c>
      <c r="E14486" s="1745" t="s">
        <v>6107</v>
      </c>
      <c r="F14486" s="1745"/>
      <c r="G14486" s="1277" t="s">
        <v>19</v>
      </c>
      <c r="H14486" s="1218">
        <v>185</v>
      </c>
      <c r="V14486" s="1192">
        <v>43</v>
      </c>
    </row>
    <row r="14487" spans="1:22" s="1192" customFormat="1" ht="14.4" x14ac:dyDescent="0.3">
      <c r="A14487" s="1192" t="s">
        <v>160</v>
      </c>
      <c r="E14487" s="1745" t="s">
        <v>6108</v>
      </c>
      <c r="F14487" s="1745"/>
      <c r="G14487" s="1277" t="s">
        <v>19</v>
      </c>
      <c r="H14487" s="1218">
        <v>185</v>
      </c>
      <c r="V14487" s="1192">
        <v>43</v>
      </c>
    </row>
    <row r="14488" spans="1:22" s="1192" customFormat="1" ht="14.4" x14ac:dyDescent="0.3">
      <c r="A14488" s="1192" t="s">
        <v>160</v>
      </c>
      <c r="E14488" s="1745" t="s">
        <v>6115</v>
      </c>
      <c r="F14488" s="1745"/>
      <c r="G14488" s="1277" t="s">
        <v>19</v>
      </c>
      <c r="H14488" s="1218">
        <v>415</v>
      </c>
      <c r="V14488" s="1192">
        <v>42</v>
      </c>
    </row>
    <row r="14489" spans="1:22" s="1192" customFormat="1" ht="14.4" x14ac:dyDescent="0.3">
      <c r="A14489" s="1192" t="s">
        <v>160</v>
      </c>
      <c r="E14489" s="1257" t="s">
        <v>2474</v>
      </c>
      <c r="F14489" s="453"/>
      <c r="G14489" s="360"/>
      <c r="H14489" s="837"/>
      <c r="V14489" s="1192">
        <v>5</v>
      </c>
    </row>
    <row r="14490" spans="1:22" s="1192" customFormat="1" ht="14.4" x14ac:dyDescent="0.3">
      <c r="A14490" s="1192" t="s">
        <v>160</v>
      </c>
      <c r="E14490" s="1745" t="s">
        <v>2760</v>
      </c>
      <c r="F14490" s="1745"/>
      <c r="G14490" s="1277" t="s">
        <v>19</v>
      </c>
      <c r="H14490" s="1218">
        <v>44.5</v>
      </c>
      <c r="V14490" s="1192">
        <v>59</v>
      </c>
    </row>
    <row r="14491" spans="1:22" s="1192" customFormat="1" ht="14.4" x14ac:dyDescent="0.3">
      <c r="A14491" s="1192" t="s">
        <v>160</v>
      </c>
      <c r="E14491" s="1745" t="s">
        <v>2476</v>
      </c>
      <c r="F14491" s="1745"/>
      <c r="G14491" s="1277"/>
      <c r="H14491" s="837"/>
      <c r="V14491" s="1192">
        <v>44</v>
      </c>
    </row>
    <row r="14492" spans="1:22" s="1192" customFormat="1" ht="17.399999999999999" x14ac:dyDescent="0.3">
      <c r="A14492" s="1192" t="s">
        <v>160</v>
      </c>
      <c r="E14492" s="1744" t="s">
        <v>73</v>
      </c>
      <c r="F14492" s="1744"/>
      <c r="G14492" s="1744"/>
      <c r="H14492" s="1744"/>
      <c r="K14492" s="1192" t="s">
        <v>2919</v>
      </c>
      <c r="V14492" s="1192">
        <v>38</v>
      </c>
    </row>
    <row r="14493" spans="1:22" s="1192" customFormat="1" ht="14.4" x14ac:dyDescent="0.3">
      <c r="A14493" s="1192" t="s">
        <v>160</v>
      </c>
      <c r="E14493" s="1743" t="s">
        <v>2391</v>
      </c>
      <c r="F14493" s="1743"/>
      <c r="G14493" s="1743"/>
      <c r="H14493" s="1743"/>
      <c r="V14493" s="1192">
        <v>280</v>
      </c>
    </row>
    <row r="14494" spans="1:22" s="1192" customFormat="1" ht="14.4" x14ac:dyDescent="0.3">
      <c r="A14494" s="1192" t="s">
        <v>160</v>
      </c>
      <c r="E14494" s="1743" t="s">
        <v>2392</v>
      </c>
      <c r="F14494" s="1743"/>
      <c r="G14494" s="1743"/>
      <c r="H14494" s="1743"/>
      <c r="V14494" s="1192">
        <v>411</v>
      </c>
    </row>
    <row r="14495" spans="1:22" s="1192" customFormat="1" ht="14.4" x14ac:dyDescent="0.3">
      <c r="A14495" s="1192" t="s">
        <v>160</v>
      </c>
      <c r="E14495" s="1743" t="s">
        <v>2445</v>
      </c>
      <c r="F14495" s="1743"/>
      <c r="G14495" s="1743"/>
      <c r="H14495" s="1743"/>
      <c r="V14495" s="1192">
        <v>211</v>
      </c>
    </row>
    <row r="14496" spans="1:22" s="1192" customFormat="1" ht="14.4" x14ac:dyDescent="0.3">
      <c r="A14496" s="1192" t="s">
        <v>160</v>
      </c>
      <c r="E14496" s="1743" t="s">
        <v>4500</v>
      </c>
      <c r="F14496" s="1743"/>
      <c r="G14496" s="1743"/>
      <c r="H14496" s="1743"/>
      <c r="V14496" s="1192">
        <v>247</v>
      </c>
    </row>
    <row r="14497" spans="1:22" s="1192" customFormat="1" ht="14.4" x14ac:dyDescent="0.3">
      <c r="A14497" s="1192" t="s">
        <v>160</v>
      </c>
      <c r="E14497" s="1743" t="s">
        <v>2595</v>
      </c>
      <c r="F14497" s="1743"/>
      <c r="G14497" s="1743"/>
      <c r="H14497" s="1743"/>
      <c r="V14497" s="1192">
        <v>142</v>
      </c>
    </row>
    <row r="14498" spans="1:22" s="1192" customFormat="1" ht="14.4" x14ac:dyDescent="0.3">
      <c r="A14498" s="1192" t="s">
        <v>160</v>
      </c>
      <c r="E14498" s="1740" t="s">
        <v>2485</v>
      </c>
      <c r="F14498" s="1740"/>
      <c r="G14498" s="360" t="s">
        <v>19</v>
      </c>
      <c r="H14498" s="1218">
        <v>102</v>
      </c>
      <c r="V14498" s="1192">
        <v>106</v>
      </c>
    </row>
    <row r="14499" spans="1:22" s="1192" customFormat="1" ht="14.4" x14ac:dyDescent="0.3">
      <c r="A14499" s="1192" t="s">
        <v>160</v>
      </c>
      <c r="E14499" s="1740" t="s">
        <v>3919</v>
      </c>
      <c r="F14499" s="1740"/>
      <c r="G14499" s="360" t="s">
        <v>19</v>
      </c>
      <c r="H14499" s="1218">
        <v>40.799999999999997</v>
      </c>
      <c r="V14499" s="1192">
        <v>34</v>
      </c>
    </row>
    <row r="14500" spans="1:22" s="1192" customFormat="1" ht="14.4" x14ac:dyDescent="0.3">
      <c r="A14500" s="1192" t="s">
        <v>160</v>
      </c>
      <c r="E14500" s="1740" t="s">
        <v>3920</v>
      </c>
      <c r="F14500" s="1740"/>
      <c r="G14500" s="360" t="s">
        <v>2488</v>
      </c>
      <c r="H14500" s="1218">
        <v>1.02</v>
      </c>
      <c r="V14500" s="1192">
        <v>51</v>
      </c>
    </row>
    <row r="14501" spans="1:22" s="1192" customFormat="1" ht="14.4" x14ac:dyDescent="0.3">
      <c r="A14501" s="1192" t="s">
        <v>160</v>
      </c>
      <c r="E14501" s="1740" t="s">
        <v>2489</v>
      </c>
      <c r="F14501" s="1740"/>
      <c r="G14501" s="360" t="s">
        <v>2488</v>
      </c>
      <c r="H14501" s="1218">
        <v>0.61</v>
      </c>
      <c r="V14501" s="1192">
        <v>75</v>
      </c>
    </row>
    <row r="14502" spans="1:22" s="1192" customFormat="1" ht="14.4" x14ac:dyDescent="0.3">
      <c r="A14502" s="1192" t="s">
        <v>160</v>
      </c>
      <c r="E14502" s="1740" t="s">
        <v>2490</v>
      </c>
      <c r="F14502" s="1740"/>
      <c r="G14502" s="360" t="s">
        <v>2488</v>
      </c>
      <c r="H14502" s="1218">
        <v>-0.61</v>
      </c>
      <c r="V14502" s="1192">
        <v>72</v>
      </c>
    </row>
    <row r="14503" spans="1:22" s="1192" customFormat="1" ht="14.4" x14ac:dyDescent="0.3">
      <c r="A14503" s="1192" t="s">
        <v>160</v>
      </c>
      <c r="E14503" s="2011" t="s">
        <v>2596</v>
      </c>
      <c r="F14503" s="2011"/>
      <c r="G14503" s="1280"/>
      <c r="H14503" s="840"/>
      <c r="V14503" s="1192">
        <v>34</v>
      </c>
    </row>
    <row r="14504" spans="1:22" s="1192" customFormat="1" ht="14.4" x14ac:dyDescent="0.3">
      <c r="A14504" s="1192" t="s">
        <v>160</v>
      </c>
      <c r="E14504" s="2011" t="s">
        <v>4674</v>
      </c>
      <c r="F14504" s="2011"/>
      <c r="G14504" s="1280" t="s">
        <v>19</v>
      </c>
      <c r="H14504" s="509">
        <v>0.51</v>
      </c>
      <c r="V14504" s="1192">
        <v>79</v>
      </c>
    </row>
    <row r="14505" spans="1:22" s="1192" customFormat="1" ht="14.4" x14ac:dyDescent="0.3">
      <c r="A14505" s="1192" t="s">
        <v>160</v>
      </c>
      <c r="E14505" s="2011" t="s">
        <v>4675</v>
      </c>
      <c r="F14505" s="2011"/>
      <c r="G14505" s="1280" t="s">
        <v>19</v>
      </c>
      <c r="H14505" s="509">
        <v>1.02</v>
      </c>
      <c r="V14505" s="1192">
        <v>82</v>
      </c>
    </row>
    <row r="14506" spans="1:22" s="1192" customFormat="1" ht="14.4" x14ac:dyDescent="0.3">
      <c r="A14506" s="1192" t="s">
        <v>160</v>
      </c>
      <c r="E14506" s="2011" t="s">
        <v>2494</v>
      </c>
      <c r="F14506" s="2011"/>
      <c r="G14506" s="1280"/>
      <c r="H14506" s="840"/>
      <c r="V14506" s="1192">
        <v>91</v>
      </c>
    </row>
    <row r="14507" spans="1:22" s="1192" customFormat="1" ht="14.4" x14ac:dyDescent="0.3">
      <c r="A14507" s="1192" t="s">
        <v>160</v>
      </c>
      <c r="E14507" s="2011" t="s">
        <v>2495</v>
      </c>
      <c r="F14507" s="2011"/>
      <c r="G14507" s="1280"/>
      <c r="H14507" s="840"/>
      <c r="V14507" s="1192">
        <v>96</v>
      </c>
    </row>
    <row r="14508" spans="1:22" s="1192" customFormat="1" ht="14.4" x14ac:dyDescent="0.3">
      <c r="A14508" s="1192" t="s">
        <v>160</v>
      </c>
      <c r="E14508" s="2011" t="s">
        <v>2597</v>
      </c>
      <c r="F14508" s="2011"/>
      <c r="G14508" s="1280"/>
      <c r="H14508" s="840"/>
      <c r="V14508" s="1192">
        <v>77</v>
      </c>
    </row>
    <row r="14509" spans="1:22" s="1192" customFormat="1" ht="14.4" x14ac:dyDescent="0.3">
      <c r="A14509" s="1192" t="s">
        <v>160</v>
      </c>
      <c r="E14509" s="2011" t="s">
        <v>4676</v>
      </c>
      <c r="F14509" s="2011"/>
      <c r="G14509" s="1280" t="s">
        <v>19</v>
      </c>
      <c r="H14509" s="840" t="s">
        <v>2498</v>
      </c>
      <c r="V14509" s="1192">
        <v>40</v>
      </c>
    </row>
    <row r="14510" spans="1:22" s="1192" customFormat="1" ht="14.4" x14ac:dyDescent="0.3">
      <c r="A14510" s="1192" t="s">
        <v>160</v>
      </c>
      <c r="E14510" s="2011" t="s">
        <v>4677</v>
      </c>
      <c r="F14510" s="2011"/>
      <c r="G14510" s="1280" t="s">
        <v>19</v>
      </c>
      <c r="H14510" s="509">
        <v>4.08</v>
      </c>
      <c r="V14510" s="1192">
        <v>91</v>
      </c>
    </row>
    <row r="14511" spans="1:22" s="1192" customFormat="1" ht="14.4" x14ac:dyDescent="0.3">
      <c r="A14511" s="1192" t="s">
        <v>160</v>
      </c>
      <c r="E14511" s="2011" t="s">
        <v>4608</v>
      </c>
      <c r="F14511" s="2011"/>
      <c r="G14511" s="360" t="s">
        <v>19</v>
      </c>
      <c r="H14511" s="1218">
        <v>2.04</v>
      </c>
      <c r="V14511" s="1192">
        <v>199</v>
      </c>
    </row>
    <row r="14512" spans="1:22" s="1192" customFormat="1" ht="34.799999999999997" x14ac:dyDescent="0.3">
      <c r="A14512" s="1192" t="s">
        <v>160</v>
      </c>
      <c r="E14512" s="1252" t="s">
        <v>6816</v>
      </c>
      <c r="F14512" s="823"/>
      <c r="G14512" s="823"/>
      <c r="H14512" s="878"/>
      <c r="V14512" s="1192">
        <v>41</v>
      </c>
    </row>
    <row r="14513" spans="1:22" s="1192" customFormat="1" ht="14.4" x14ac:dyDescent="0.3">
      <c r="A14513" s="1192" t="s">
        <v>160</v>
      </c>
      <c r="E14513" s="1741" t="s">
        <v>2501</v>
      </c>
      <c r="F14513" s="1741"/>
      <c r="G14513" s="1741"/>
      <c r="H14513" s="1741"/>
      <c r="V14513" s="1192">
        <v>203</v>
      </c>
    </row>
    <row r="14514" spans="1:22" s="1192" customFormat="1" ht="14.4" x14ac:dyDescent="0.3">
      <c r="A14514" s="1192" t="s">
        <v>160</v>
      </c>
      <c r="E14514" s="1740" t="s">
        <v>2599</v>
      </c>
      <c r="F14514" s="1740"/>
      <c r="G14514" s="1277"/>
      <c r="H14514" s="837">
        <v>1.0477000000000001</v>
      </c>
      <c r="V14514" s="1192">
        <v>57</v>
      </c>
    </row>
    <row r="14515" spans="1:22" s="1192" customFormat="1" ht="14.4" x14ac:dyDescent="0.3">
      <c r="A14515" s="1192" t="s">
        <v>160</v>
      </c>
      <c r="E14515" s="1740" t="s">
        <v>2601</v>
      </c>
      <c r="F14515" s="1740"/>
      <c r="G14515" s="1277"/>
      <c r="H14515" s="837">
        <v>1.0371999999999999</v>
      </c>
      <c r="J14515" s="1192" t="s">
        <v>2920</v>
      </c>
      <c r="V14515" s="1192">
        <v>55</v>
      </c>
    </row>
    <row r="14516" spans="1:22" s="1192" customFormat="1" ht="22.8" x14ac:dyDescent="0.3">
      <c r="A14516" s="1192" t="s">
        <v>621</v>
      </c>
      <c r="B14516" s="1192" t="s">
        <v>4613</v>
      </c>
      <c r="C14516" s="1192" t="s">
        <v>2378</v>
      </c>
      <c r="E14516" s="1752" t="s">
        <v>621</v>
      </c>
      <c r="F14516" s="1752"/>
      <c r="G14516" s="1752"/>
      <c r="H14516" s="1752"/>
      <c r="I14516" s="1192" t="s">
        <v>603</v>
      </c>
      <c r="J14516" s="1192" t="s">
        <v>4614</v>
      </c>
      <c r="K14516" s="1192" t="s">
        <v>621</v>
      </c>
      <c r="M14516" s="1192">
        <v>6</v>
      </c>
      <c r="V14516" s="1192">
        <v>37</v>
      </c>
    </row>
    <row r="14517" spans="1:22" s="1192" customFormat="1" ht="22.8" x14ac:dyDescent="0.3">
      <c r="A14517" s="1192" t="s">
        <v>621</v>
      </c>
      <c r="B14517" s="1192" t="s">
        <v>4613</v>
      </c>
      <c r="C14517" s="1192" t="s">
        <v>2380</v>
      </c>
      <c r="E14517" s="1752" t="s">
        <v>4615</v>
      </c>
      <c r="F14517" s="1752"/>
      <c r="G14517" s="1752"/>
      <c r="H14517" s="1752"/>
      <c r="V14517" s="1192">
        <v>42</v>
      </c>
    </row>
    <row r="14518" spans="1:22" s="1192" customFormat="1" ht="17.399999999999999" x14ac:dyDescent="0.3">
      <c r="A14518" s="1192" t="s">
        <v>621</v>
      </c>
      <c r="B14518" s="1192" t="s">
        <v>4613</v>
      </c>
      <c r="C14518" s="1192" t="s">
        <v>2382</v>
      </c>
      <c r="E14518" s="1753" t="s">
        <v>2381</v>
      </c>
      <c r="F14518" s="1753"/>
      <c r="G14518" s="1753"/>
      <c r="H14518" s="1753"/>
      <c r="V14518" s="1192">
        <v>27</v>
      </c>
    </row>
    <row r="14519" spans="1:22" s="1192" customFormat="1" ht="15.6" x14ac:dyDescent="0.3">
      <c r="A14519" s="1192" t="s">
        <v>621</v>
      </c>
      <c r="B14519" s="1192" t="s">
        <v>4613</v>
      </c>
      <c r="C14519" s="1192" t="s">
        <v>2383</v>
      </c>
      <c r="E14519" s="1754" t="s">
        <v>6482</v>
      </c>
      <c r="F14519" s="1754"/>
      <c r="G14519" s="1754"/>
      <c r="H14519" s="1754"/>
      <c r="S14519" s="1192">
        <v>43952</v>
      </c>
      <c r="V14519" s="1192">
        <v>45</v>
      </c>
    </row>
    <row r="14520" spans="1:22" s="1192" customFormat="1" ht="14.4" x14ac:dyDescent="0.3">
      <c r="A14520" s="1192" t="s">
        <v>621</v>
      </c>
      <c r="B14520" s="1192" t="s">
        <v>4613</v>
      </c>
      <c r="E14520" s="1755" t="s">
        <v>2384</v>
      </c>
      <c r="F14520" s="1755"/>
      <c r="G14520" s="1755"/>
      <c r="H14520" s="1755"/>
      <c r="V14520" s="1192">
        <v>52</v>
      </c>
    </row>
    <row r="14521" spans="1:22" s="1192" customFormat="1" ht="14.4" x14ac:dyDescent="0.3">
      <c r="A14521" s="1192" t="s">
        <v>621</v>
      </c>
      <c r="B14521" s="1192" t="s">
        <v>4613</v>
      </c>
      <c r="E14521" s="1755" t="s">
        <v>2385</v>
      </c>
      <c r="F14521" s="1755"/>
      <c r="G14521" s="1755"/>
      <c r="H14521" s="1755"/>
      <c r="V14521" s="1192">
        <v>53</v>
      </c>
    </row>
    <row r="14522" spans="1:22" s="1192" customFormat="1" ht="14.4" x14ac:dyDescent="0.3">
      <c r="A14522" s="1192" t="s">
        <v>621</v>
      </c>
      <c r="B14522" s="1192" t="s">
        <v>4613</v>
      </c>
      <c r="E14522" s="1772" t="s">
        <v>6817</v>
      </c>
      <c r="F14522" s="1772"/>
      <c r="G14522" s="1772"/>
      <c r="H14522" s="1772"/>
      <c r="K14522" s="1192" t="s">
        <v>6817</v>
      </c>
      <c r="V14522" s="1192">
        <v>12</v>
      </c>
    </row>
    <row r="14523" spans="1:22" s="1192" customFormat="1" ht="14.4" x14ac:dyDescent="0.3">
      <c r="A14523" s="1192" t="s">
        <v>621</v>
      </c>
      <c r="B14523" s="1192" t="s">
        <v>4613</v>
      </c>
      <c r="E14523" s="1746" t="s">
        <v>427</v>
      </c>
      <c r="F14523" s="1743"/>
      <c r="G14523" s="1743"/>
      <c r="H14523" s="1743"/>
      <c r="K14523" s="1192" t="s">
        <v>2506</v>
      </c>
      <c r="V14523" s="1192">
        <v>34</v>
      </c>
    </row>
    <row r="14524" spans="1:22" s="1192" customFormat="1" ht="14.4" x14ac:dyDescent="0.3">
      <c r="A14524" s="1192" t="s">
        <v>621</v>
      </c>
      <c r="B14524" s="1192" t="s">
        <v>4613</v>
      </c>
      <c r="E14524" s="1743" t="s">
        <v>3393</v>
      </c>
      <c r="F14524" s="1743"/>
      <c r="G14524" s="1743"/>
      <c r="H14524" s="1743"/>
      <c r="K14524" s="1192" t="s">
        <v>2506</v>
      </c>
      <c r="V14524" s="1192">
        <v>784</v>
      </c>
    </row>
    <row r="14525" spans="1:22" s="1192" customFormat="1" ht="14.4" x14ac:dyDescent="0.3">
      <c r="A14525" s="1192" t="s">
        <v>621</v>
      </c>
      <c r="B14525" s="1192" t="s">
        <v>4613</v>
      </c>
      <c r="E14525" s="1750" t="s">
        <v>2389</v>
      </c>
      <c r="F14525" s="1743"/>
      <c r="G14525" s="1743"/>
      <c r="H14525" s="1743"/>
      <c r="K14525" s="1192" t="s">
        <v>2390</v>
      </c>
      <c r="V14525" s="1192">
        <v>11</v>
      </c>
    </row>
    <row r="14526" spans="1:22" s="1192" customFormat="1" ht="14.4" x14ac:dyDescent="0.3">
      <c r="A14526" s="1192" t="s">
        <v>621</v>
      </c>
      <c r="B14526" s="1192" t="s">
        <v>4613</v>
      </c>
      <c r="E14526" s="1743" t="s">
        <v>2391</v>
      </c>
      <c r="F14526" s="1743"/>
      <c r="G14526" s="1743"/>
      <c r="H14526" s="1743"/>
      <c r="K14526" s="1192" t="s">
        <v>2506</v>
      </c>
      <c r="V14526" s="1192">
        <v>280</v>
      </c>
    </row>
    <row r="14527" spans="1:22" s="1192" customFormat="1" ht="14.4" x14ac:dyDescent="0.3">
      <c r="A14527" s="1192" t="s">
        <v>621</v>
      </c>
      <c r="B14527" s="1192" t="s">
        <v>4613</v>
      </c>
      <c r="E14527" s="1743" t="s">
        <v>2392</v>
      </c>
      <c r="F14527" s="1743"/>
      <c r="G14527" s="1743"/>
      <c r="H14527" s="1743"/>
      <c r="K14527" s="1192" t="s">
        <v>2506</v>
      </c>
      <c r="V14527" s="1192">
        <v>411</v>
      </c>
    </row>
    <row r="14528" spans="1:22" s="1192" customFormat="1" ht="14.4" x14ac:dyDescent="0.3">
      <c r="A14528" s="1192" t="s">
        <v>621</v>
      </c>
      <c r="B14528" s="1192" t="s">
        <v>4613</v>
      </c>
      <c r="E14528" s="1743" t="s">
        <v>2508</v>
      </c>
      <c r="F14528" s="1743"/>
      <c r="G14528" s="1743"/>
      <c r="H14528" s="1743"/>
      <c r="K14528" s="1192" t="s">
        <v>2506</v>
      </c>
      <c r="V14528" s="1192">
        <v>386</v>
      </c>
    </row>
    <row r="14529" spans="1:22" s="1192" customFormat="1" ht="14.4" x14ac:dyDescent="0.3">
      <c r="A14529" s="1192" t="s">
        <v>621</v>
      </c>
      <c r="B14529" s="1192" t="s">
        <v>4613</v>
      </c>
      <c r="E14529" s="1743" t="s">
        <v>2986</v>
      </c>
      <c r="F14529" s="1743"/>
      <c r="G14529" s="1743"/>
      <c r="H14529" s="1743"/>
      <c r="K14529" s="1192" t="s">
        <v>2506</v>
      </c>
      <c r="V14529" s="1192">
        <v>246</v>
      </c>
    </row>
    <row r="14530" spans="1:22" s="1192" customFormat="1" ht="14.4" x14ac:dyDescent="0.3">
      <c r="A14530" s="1192" t="s">
        <v>621</v>
      </c>
      <c r="B14530" s="1192" t="s">
        <v>4613</v>
      </c>
      <c r="E14530" s="1750" t="s">
        <v>2394</v>
      </c>
      <c r="F14530" s="1743"/>
      <c r="G14530" s="1743"/>
      <c r="H14530" s="1743"/>
      <c r="K14530" s="1192" t="s">
        <v>2395</v>
      </c>
      <c r="V14530" s="1192">
        <v>46</v>
      </c>
    </row>
    <row r="14531" spans="1:22" s="1192" customFormat="1" ht="14.4" x14ac:dyDescent="0.3">
      <c r="A14531" s="1192" t="s">
        <v>621</v>
      </c>
      <c r="B14531" s="1192" t="s">
        <v>4613</v>
      </c>
      <c r="E14531" s="1741" t="s">
        <v>7</v>
      </c>
      <c r="F14531" s="1741"/>
      <c r="G14531" s="1277" t="s">
        <v>19</v>
      </c>
      <c r="H14531" s="1218">
        <v>31.51</v>
      </c>
      <c r="K14531" s="1192" t="s">
        <v>2506</v>
      </c>
      <c r="L14531" s="1192" t="s">
        <v>430</v>
      </c>
      <c r="P14531" s="1192" t="s">
        <v>2510</v>
      </c>
      <c r="V14531" s="1192">
        <v>14</v>
      </c>
    </row>
    <row r="14532" spans="1:22" s="1192" customFormat="1" ht="14.4" x14ac:dyDescent="0.3">
      <c r="A14532" s="1192" t="s">
        <v>621</v>
      </c>
      <c r="B14532" s="1192" t="s">
        <v>4613</v>
      </c>
      <c r="E14532" s="1741" t="s">
        <v>3900</v>
      </c>
      <c r="F14532" s="1741"/>
      <c r="G14532" s="1277" t="s">
        <v>19</v>
      </c>
      <c r="H14532" s="1218">
        <v>0.56999999999999995</v>
      </c>
      <c r="K14532" s="1192" t="s">
        <v>2506</v>
      </c>
      <c r="L14532" s="1192" t="s">
        <v>431</v>
      </c>
      <c r="P14532" s="1192" t="s">
        <v>2511</v>
      </c>
      <c r="T14532" s="1192">
        <v>44926</v>
      </c>
      <c r="V14532" s="1192">
        <v>64</v>
      </c>
    </row>
    <row r="14533" spans="1:22" s="1192" customFormat="1" ht="14.4" x14ac:dyDescent="0.3">
      <c r="A14533" s="1192" t="s">
        <v>621</v>
      </c>
      <c r="B14533" s="1192" t="s">
        <v>4613</v>
      </c>
      <c r="E14533" s="1741" t="s">
        <v>14</v>
      </c>
      <c r="F14533" s="1741"/>
      <c r="G14533" s="1277" t="s">
        <v>20</v>
      </c>
      <c r="H14533" s="1219">
        <v>2E-3</v>
      </c>
      <c r="K14533" s="1192" t="s">
        <v>2506</v>
      </c>
      <c r="L14533" s="1192" t="s">
        <v>431</v>
      </c>
      <c r="P14533" s="1192" t="s">
        <v>2513</v>
      </c>
      <c r="V14533" s="1192">
        <v>24</v>
      </c>
    </row>
    <row r="14534" spans="1:22" s="1192" customFormat="1" ht="14.4" x14ac:dyDescent="0.3">
      <c r="A14534" s="1192" t="s">
        <v>621</v>
      </c>
      <c r="B14534" s="1192" t="s">
        <v>4613</v>
      </c>
      <c r="E14534" s="1741" t="s">
        <v>6548</v>
      </c>
      <c r="F14534" s="1998"/>
      <c r="G14534" s="1277" t="s">
        <v>20</v>
      </c>
      <c r="H14534" s="1219">
        <v>6.9999999999999999E-4</v>
      </c>
      <c r="K14534" s="1192" t="s">
        <v>2506</v>
      </c>
      <c r="L14534" s="1192" t="s">
        <v>430</v>
      </c>
      <c r="P14534" s="1192" t="s">
        <v>2515</v>
      </c>
      <c r="T14534" s="1192">
        <v>44316</v>
      </c>
      <c r="V14534" s="1192">
        <v>134</v>
      </c>
    </row>
    <row r="14535" spans="1:22" s="1192" customFormat="1" ht="14.4" x14ac:dyDescent="0.3">
      <c r="A14535" s="1192" t="s">
        <v>621</v>
      </c>
      <c r="B14535" s="1192" t="s">
        <v>4613</v>
      </c>
      <c r="E14535" s="1741" t="s">
        <v>4616</v>
      </c>
      <c r="F14535" s="1741"/>
      <c r="G14535" s="1277" t="s">
        <v>20</v>
      </c>
      <c r="H14535" s="1219">
        <v>1.1999999999999999E-3</v>
      </c>
      <c r="K14535" s="1192" t="s">
        <v>2506</v>
      </c>
      <c r="L14535" s="1192" t="s">
        <v>430</v>
      </c>
      <c r="P14535" s="1192" t="s">
        <v>2515</v>
      </c>
      <c r="T14535" s="1192">
        <v>44316</v>
      </c>
      <c r="V14535" s="1192">
        <v>135</v>
      </c>
    </row>
    <row r="14536" spans="1:22" s="1192" customFormat="1" ht="14.4" x14ac:dyDescent="0.3">
      <c r="A14536" s="1192" t="s">
        <v>621</v>
      </c>
      <c r="B14536" s="1192" t="s">
        <v>4613</v>
      </c>
      <c r="E14536" s="1741" t="s">
        <v>213</v>
      </c>
      <c r="F14536" s="1741"/>
      <c r="G14536" s="1277" t="s">
        <v>20</v>
      </c>
      <c r="H14536" s="1219">
        <v>7.1999999999999998E-3</v>
      </c>
      <c r="K14536" s="1192" t="s">
        <v>2506</v>
      </c>
      <c r="L14536" s="1192" t="s">
        <v>432</v>
      </c>
      <c r="P14536" s="1192" t="s">
        <v>2517</v>
      </c>
      <c r="V14536" s="1192">
        <v>47</v>
      </c>
    </row>
    <row r="14537" spans="1:22" s="1192" customFormat="1" ht="14.4" x14ac:dyDescent="0.3">
      <c r="A14537" s="1192" t="s">
        <v>621</v>
      </c>
      <c r="B14537" s="1192" t="s">
        <v>4613</v>
      </c>
      <c r="E14537" s="1741" t="s">
        <v>209</v>
      </c>
      <c r="F14537" s="1741"/>
      <c r="G14537" s="1277" t="s">
        <v>20</v>
      </c>
      <c r="H14537" s="1219">
        <v>5.8999999999999999E-3</v>
      </c>
      <c r="K14537" s="1192" t="s">
        <v>2506</v>
      </c>
      <c r="L14537" s="1192" t="s">
        <v>432</v>
      </c>
      <c r="P14537" s="1192" t="s">
        <v>2518</v>
      </c>
      <c r="V14537" s="1192">
        <v>74</v>
      </c>
    </row>
    <row r="14538" spans="1:22" s="1192" customFormat="1" ht="14.4" x14ac:dyDescent="0.3">
      <c r="A14538" s="1192" t="s">
        <v>621</v>
      </c>
      <c r="B14538" s="1192" t="s">
        <v>4613</v>
      </c>
      <c r="E14538" s="1750" t="s">
        <v>2405</v>
      </c>
      <c r="F14538" s="2008"/>
      <c r="G14538" s="1277"/>
      <c r="H14538" s="896"/>
      <c r="K14538" s="1192" t="s">
        <v>2406</v>
      </c>
      <c r="V14538" s="1192">
        <v>48</v>
      </c>
    </row>
    <row r="14539" spans="1:22" s="1192" customFormat="1" ht="14.4" x14ac:dyDescent="0.3">
      <c r="A14539" s="1192" t="s">
        <v>621</v>
      </c>
      <c r="B14539" s="1192" t="s">
        <v>4613</v>
      </c>
      <c r="E14539" s="1741" t="s">
        <v>2033</v>
      </c>
      <c r="F14539" s="1741"/>
      <c r="G14539" s="1277" t="s">
        <v>20</v>
      </c>
      <c r="H14539" s="1219">
        <v>3.0000000000000001E-3</v>
      </c>
      <c r="K14539" s="1192" t="s">
        <v>2506</v>
      </c>
      <c r="L14539" s="1192" t="s">
        <v>2374</v>
      </c>
      <c r="P14539" s="1192" t="s">
        <v>2519</v>
      </c>
      <c r="V14539" s="1192">
        <v>55</v>
      </c>
    </row>
    <row r="14540" spans="1:22" s="1192" customFormat="1" ht="14.4" x14ac:dyDescent="0.3">
      <c r="A14540" s="1192" t="s">
        <v>621</v>
      </c>
      <c r="B14540" s="1192" t="s">
        <v>4613</v>
      </c>
      <c r="E14540" s="1741" t="s">
        <v>2034</v>
      </c>
      <c r="F14540" s="1741"/>
      <c r="G14540" s="1277" t="s">
        <v>20</v>
      </c>
      <c r="H14540" s="1219">
        <v>4.0000000000000002E-4</v>
      </c>
      <c r="K14540" s="1192" t="s">
        <v>2506</v>
      </c>
      <c r="L14540" s="1192" t="s">
        <v>2374</v>
      </c>
      <c r="P14540" s="1192" t="s">
        <v>2519</v>
      </c>
      <c r="V14540" s="1192">
        <v>65</v>
      </c>
    </row>
    <row r="14541" spans="1:22" s="1192" customFormat="1" ht="14.4" x14ac:dyDescent="0.3">
      <c r="A14541" s="1192" t="s">
        <v>621</v>
      </c>
      <c r="B14541" s="1192" t="s">
        <v>4613</v>
      </c>
      <c r="E14541" s="1741" t="s">
        <v>428</v>
      </c>
      <c r="F14541" s="1741"/>
      <c r="G14541" s="1277" t="s">
        <v>20</v>
      </c>
      <c r="H14541" s="1219">
        <v>5.0000000000000001E-4</v>
      </c>
      <c r="K14541" s="1192" t="s">
        <v>2506</v>
      </c>
      <c r="L14541" s="1192" t="s">
        <v>2374</v>
      </c>
      <c r="P14541" s="1192" t="s">
        <v>2520</v>
      </c>
      <c r="V14541" s="1192">
        <v>57</v>
      </c>
    </row>
    <row r="14542" spans="1:22" s="1192" customFormat="1" ht="14.4" x14ac:dyDescent="0.3">
      <c r="A14542" s="1192" t="s">
        <v>621</v>
      </c>
      <c r="B14542" s="1192" t="s">
        <v>4613</v>
      </c>
      <c r="E14542" s="1741" t="s">
        <v>28</v>
      </c>
      <c r="F14542" s="1741"/>
      <c r="G14542" s="1277" t="s">
        <v>19</v>
      </c>
      <c r="H14542" s="1218">
        <v>0.25</v>
      </c>
      <c r="K14542" s="1192" t="s">
        <v>2506</v>
      </c>
      <c r="L14542" s="1192" t="s">
        <v>2374</v>
      </c>
      <c r="P14542" s="1192" t="s">
        <v>2521</v>
      </c>
      <c r="V14542" s="1192">
        <v>63</v>
      </c>
    </row>
    <row r="14543" spans="1:22" s="1192" customFormat="1" ht="17.399999999999999" x14ac:dyDescent="0.3">
      <c r="A14543" s="1192" t="s">
        <v>621</v>
      </c>
      <c r="B14543" s="1192" t="s">
        <v>4613</v>
      </c>
      <c r="E14543" s="1746" t="s">
        <v>2522</v>
      </c>
      <c r="F14543" s="1747"/>
      <c r="G14543" s="1747"/>
      <c r="H14543" s="1747"/>
      <c r="K14543" s="1192" t="s">
        <v>3901</v>
      </c>
      <c r="V14543" s="1192">
        <v>54</v>
      </c>
    </row>
    <row r="14544" spans="1:22" s="1192" customFormat="1" ht="14.4" x14ac:dyDescent="0.3">
      <c r="A14544" s="1192" t="s">
        <v>621</v>
      </c>
      <c r="B14544" s="1192" t="s">
        <v>4613</v>
      </c>
      <c r="E14544" s="1743" t="s">
        <v>3395</v>
      </c>
      <c r="F14544" s="1743"/>
      <c r="G14544" s="1743"/>
      <c r="H14544" s="1743"/>
      <c r="K14544" s="1192" t="s">
        <v>3901</v>
      </c>
      <c r="V14544" s="1192">
        <v>561</v>
      </c>
    </row>
    <row r="14545" spans="1:22" s="1192" customFormat="1" ht="14.4" x14ac:dyDescent="0.3">
      <c r="A14545" s="1192" t="s">
        <v>621</v>
      </c>
      <c r="B14545" s="1192" t="s">
        <v>4613</v>
      </c>
      <c r="E14545" s="1750" t="s">
        <v>2389</v>
      </c>
      <c r="F14545" s="1743"/>
      <c r="G14545" s="1743"/>
      <c r="H14545" s="1743"/>
      <c r="K14545" s="1192" t="s">
        <v>2412</v>
      </c>
      <c r="V14545" s="1192">
        <v>11</v>
      </c>
    </row>
    <row r="14546" spans="1:22" s="1192" customFormat="1" ht="14.4" x14ac:dyDescent="0.3">
      <c r="A14546" s="1192" t="s">
        <v>621</v>
      </c>
      <c r="B14546" s="1192" t="s">
        <v>4613</v>
      </c>
      <c r="E14546" s="1743" t="s">
        <v>2391</v>
      </c>
      <c r="F14546" s="1743"/>
      <c r="G14546" s="1743"/>
      <c r="H14546" s="1743"/>
      <c r="K14546" s="1192" t="s">
        <v>3901</v>
      </c>
      <c r="V14546" s="1192">
        <v>280</v>
      </c>
    </row>
    <row r="14547" spans="1:22" s="1192" customFormat="1" ht="14.4" x14ac:dyDescent="0.3">
      <c r="A14547" s="1192" t="s">
        <v>621</v>
      </c>
      <c r="B14547" s="1192" t="s">
        <v>4613</v>
      </c>
      <c r="E14547" s="1743" t="s">
        <v>2392</v>
      </c>
      <c r="F14547" s="1743"/>
      <c r="G14547" s="1743"/>
      <c r="H14547" s="1743"/>
      <c r="K14547" s="1192" t="s">
        <v>3901</v>
      </c>
      <c r="V14547" s="1192">
        <v>411</v>
      </c>
    </row>
    <row r="14548" spans="1:22" s="1192" customFormat="1" ht="14.4" x14ac:dyDescent="0.3">
      <c r="A14548" s="1192" t="s">
        <v>621</v>
      </c>
      <c r="B14548" s="1192" t="s">
        <v>4613</v>
      </c>
      <c r="E14548" s="1743" t="s">
        <v>2393</v>
      </c>
      <c r="F14548" s="1743"/>
      <c r="G14548" s="1743"/>
      <c r="H14548" s="1743"/>
      <c r="K14548" s="1192" t="s">
        <v>3901</v>
      </c>
      <c r="V14548" s="1192">
        <v>387</v>
      </c>
    </row>
    <row r="14549" spans="1:22" s="1192" customFormat="1" ht="14.4" x14ac:dyDescent="0.3">
      <c r="A14549" s="1192" t="s">
        <v>621</v>
      </c>
      <c r="B14549" s="1192" t="s">
        <v>4613</v>
      </c>
      <c r="E14549" s="1743" t="s">
        <v>2986</v>
      </c>
      <c r="F14549" s="1743"/>
      <c r="G14549" s="1743"/>
      <c r="H14549" s="1743"/>
      <c r="K14549" s="1192" t="s">
        <v>3901</v>
      </c>
      <c r="V14549" s="1192">
        <v>246</v>
      </c>
    </row>
    <row r="14550" spans="1:22" s="1192" customFormat="1" ht="14.4" x14ac:dyDescent="0.3">
      <c r="A14550" s="1192" t="s">
        <v>621</v>
      </c>
      <c r="B14550" s="1192" t="s">
        <v>4613</v>
      </c>
      <c r="E14550" s="1750" t="s">
        <v>2394</v>
      </c>
      <c r="F14550" s="1743"/>
      <c r="G14550" s="1743"/>
      <c r="H14550" s="1743"/>
      <c r="K14550" s="1192" t="s">
        <v>2413</v>
      </c>
      <c r="V14550" s="1192">
        <v>46</v>
      </c>
    </row>
    <row r="14551" spans="1:22" s="1192" customFormat="1" ht="14.4" x14ac:dyDescent="0.3">
      <c r="A14551" s="1192" t="s">
        <v>621</v>
      </c>
      <c r="B14551" s="1192" t="s">
        <v>4613</v>
      </c>
      <c r="E14551" s="1741" t="s">
        <v>7</v>
      </c>
      <c r="F14551" s="1741"/>
      <c r="G14551" s="1277" t="s">
        <v>19</v>
      </c>
      <c r="H14551" s="1218">
        <v>23.46</v>
      </c>
      <c r="K14551" s="1192" t="s">
        <v>3901</v>
      </c>
      <c r="L14551" s="1192" t="s">
        <v>430</v>
      </c>
      <c r="P14551" s="1192" t="s">
        <v>3902</v>
      </c>
      <c r="V14551" s="1192">
        <v>14</v>
      </c>
    </row>
    <row r="14552" spans="1:22" s="1192" customFormat="1" ht="14.4" x14ac:dyDescent="0.3">
      <c r="A14552" s="1192" t="s">
        <v>621</v>
      </c>
      <c r="B14552" s="1192" t="s">
        <v>4613</v>
      </c>
      <c r="E14552" s="1741" t="s">
        <v>3900</v>
      </c>
      <c r="F14552" s="1741"/>
      <c r="G14552" s="1277" t="s">
        <v>19</v>
      </c>
      <c r="H14552" s="1218">
        <v>0.56999999999999995</v>
      </c>
      <c r="K14552" s="1192" t="s">
        <v>3901</v>
      </c>
      <c r="L14552" s="1192" t="s">
        <v>431</v>
      </c>
      <c r="P14552" s="1192" t="s">
        <v>3903</v>
      </c>
      <c r="T14552" s="1192">
        <v>44926</v>
      </c>
      <c r="V14552" s="1192">
        <v>64</v>
      </c>
    </row>
    <row r="14553" spans="1:22" s="1192" customFormat="1" ht="14.4" x14ac:dyDescent="0.3">
      <c r="A14553" s="1192" t="s">
        <v>621</v>
      </c>
      <c r="B14553" s="1192" t="s">
        <v>4613</v>
      </c>
      <c r="E14553" s="1741" t="s">
        <v>80</v>
      </c>
      <c r="F14553" s="1741"/>
      <c r="G14553" s="1277" t="s">
        <v>20</v>
      </c>
      <c r="H14553" s="1219">
        <v>1.7299999999999999E-2</v>
      </c>
      <c r="K14553" s="1192" t="s">
        <v>3901</v>
      </c>
      <c r="L14553" s="1192" t="s">
        <v>430</v>
      </c>
      <c r="P14553" s="1192" t="s">
        <v>3904</v>
      </c>
      <c r="V14553" s="1192">
        <v>28</v>
      </c>
    </row>
    <row r="14554" spans="1:22" s="1192" customFormat="1" ht="14.4" x14ac:dyDescent="0.3">
      <c r="A14554" s="1192" t="s">
        <v>621</v>
      </c>
      <c r="B14554" s="1192" t="s">
        <v>4613</v>
      </c>
      <c r="E14554" s="1741" t="s">
        <v>14</v>
      </c>
      <c r="F14554" s="1741"/>
      <c r="G14554" s="1277" t="s">
        <v>20</v>
      </c>
      <c r="H14554" s="1219">
        <v>1.8E-3</v>
      </c>
      <c r="K14554" s="1192" t="s">
        <v>3901</v>
      </c>
      <c r="L14554" s="1192" t="s">
        <v>431</v>
      </c>
      <c r="P14554" s="1192" t="s">
        <v>3905</v>
      </c>
      <c r="V14554" s="1192">
        <v>24</v>
      </c>
    </row>
    <row r="14555" spans="1:22" s="1192" customFormat="1" ht="14.4" x14ac:dyDescent="0.3">
      <c r="A14555" s="1192" t="s">
        <v>621</v>
      </c>
      <c r="B14555" s="1192" t="s">
        <v>4613</v>
      </c>
      <c r="E14555" s="1741" t="s">
        <v>6548</v>
      </c>
      <c r="F14555" s="1998"/>
      <c r="G14555" s="1277" t="s">
        <v>20</v>
      </c>
      <c r="H14555" s="1219">
        <v>-8.0000000000000004E-4</v>
      </c>
      <c r="K14555" s="1192" t="s">
        <v>3901</v>
      </c>
      <c r="L14555" s="1192" t="s">
        <v>430</v>
      </c>
      <c r="P14555" s="1192" t="s">
        <v>4000</v>
      </c>
      <c r="T14555" s="1192">
        <v>44316</v>
      </c>
      <c r="V14555" s="1192">
        <v>134</v>
      </c>
    </row>
    <row r="14556" spans="1:22" s="1192" customFormat="1" ht="14.4" x14ac:dyDescent="0.3">
      <c r="A14556" s="1192" t="s">
        <v>621</v>
      </c>
      <c r="B14556" s="1192" t="s">
        <v>4613</v>
      </c>
      <c r="E14556" s="1741" t="s">
        <v>4617</v>
      </c>
      <c r="F14556" s="1741"/>
      <c r="G14556" s="1277" t="s">
        <v>20</v>
      </c>
      <c r="H14556" s="1219">
        <v>-1.8E-3</v>
      </c>
      <c r="K14556" s="1192" t="s">
        <v>3901</v>
      </c>
      <c r="L14556" s="1192" t="s">
        <v>430</v>
      </c>
      <c r="P14556" s="1192" t="s">
        <v>4000</v>
      </c>
      <c r="T14556" s="1192">
        <v>44316</v>
      </c>
      <c r="V14556" s="1192">
        <v>134</v>
      </c>
    </row>
    <row r="14557" spans="1:22" s="1192" customFormat="1" ht="14.4" x14ac:dyDescent="0.3">
      <c r="A14557" s="1192" t="s">
        <v>621</v>
      </c>
      <c r="B14557" s="1192" t="s">
        <v>4613</v>
      </c>
      <c r="E14557" s="1741" t="s">
        <v>213</v>
      </c>
      <c r="F14557" s="1741"/>
      <c r="G14557" s="1277" t="s">
        <v>20</v>
      </c>
      <c r="H14557" s="1219">
        <v>6.4000000000000003E-3</v>
      </c>
      <c r="K14557" s="1192" t="s">
        <v>3901</v>
      </c>
      <c r="L14557" s="1192" t="s">
        <v>432</v>
      </c>
      <c r="P14557" s="1192" t="s">
        <v>3906</v>
      </c>
      <c r="V14557" s="1192">
        <v>47</v>
      </c>
    </row>
    <row r="14558" spans="1:22" s="1192" customFormat="1" ht="14.4" x14ac:dyDescent="0.3">
      <c r="A14558" s="1192" t="s">
        <v>621</v>
      </c>
      <c r="B14558" s="1192" t="s">
        <v>4613</v>
      </c>
      <c r="E14558" s="1741" t="s">
        <v>209</v>
      </c>
      <c r="F14558" s="1741"/>
      <c r="G14558" s="1277" t="s">
        <v>20</v>
      </c>
      <c r="H14558" s="1219">
        <v>5.4999999999999997E-3</v>
      </c>
      <c r="K14558" s="1192" t="s">
        <v>3901</v>
      </c>
      <c r="L14558" s="1192" t="s">
        <v>432</v>
      </c>
      <c r="P14558" s="1192" t="s">
        <v>3907</v>
      </c>
      <c r="V14558" s="1192">
        <v>74</v>
      </c>
    </row>
    <row r="14559" spans="1:22" s="1192" customFormat="1" ht="14.4" x14ac:dyDescent="0.3">
      <c r="A14559" s="1192" t="s">
        <v>621</v>
      </c>
      <c r="B14559" s="1192" t="s">
        <v>4613</v>
      </c>
      <c r="E14559" s="1750" t="s">
        <v>2405</v>
      </c>
      <c r="F14559" s="1741"/>
      <c r="G14559" s="1277"/>
      <c r="H14559" s="896"/>
      <c r="K14559" s="1192" t="s">
        <v>2418</v>
      </c>
      <c r="V14559" s="1192">
        <v>48</v>
      </c>
    </row>
    <row r="14560" spans="1:22" s="1192" customFormat="1" ht="14.4" x14ac:dyDescent="0.3">
      <c r="A14560" s="1192" t="s">
        <v>621</v>
      </c>
      <c r="B14560" s="1192" t="s">
        <v>4613</v>
      </c>
      <c r="E14560" s="1741" t="s">
        <v>2033</v>
      </c>
      <c r="F14560" s="1741"/>
      <c r="G14560" s="1277" t="s">
        <v>20</v>
      </c>
      <c r="H14560" s="1219">
        <v>3.0000000000000001E-3</v>
      </c>
      <c r="K14560" s="1192" t="s">
        <v>3901</v>
      </c>
      <c r="L14560" s="1192" t="s">
        <v>2374</v>
      </c>
      <c r="P14560" s="1192" t="s">
        <v>3908</v>
      </c>
      <c r="V14560" s="1192">
        <v>55</v>
      </c>
    </row>
    <row r="14561" spans="1:22" s="1192" customFormat="1" ht="14.4" x14ac:dyDescent="0.3">
      <c r="A14561" s="1192" t="s">
        <v>621</v>
      </c>
      <c r="B14561" s="1192" t="s">
        <v>4613</v>
      </c>
      <c r="E14561" s="1741" t="s">
        <v>2034</v>
      </c>
      <c r="F14561" s="1741"/>
      <c r="G14561" s="1277" t="s">
        <v>20</v>
      </c>
      <c r="H14561" s="1219">
        <v>4.0000000000000002E-4</v>
      </c>
      <c r="K14561" s="1192" t="s">
        <v>3901</v>
      </c>
      <c r="L14561" s="1192" t="s">
        <v>2374</v>
      </c>
      <c r="P14561" s="1192" t="s">
        <v>3908</v>
      </c>
      <c r="V14561" s="1192">
        <v>65</v>
      </c>
    </row>
    <row r="14562" spans="1:22" s="1192" customFormat="1" ht="14.4" x14ac:dyDescent="0.3">
      <c r="A14562" s="1192" t="s">
        <v>621</v>
      </c>
      <c r="B14562" s="1192" t="s">
        <v>4613</v>
      </c>
      <c r="E14562" s="1741" t="s">
        <v>428</v>
      </c>
      <c r="F14562" s="1741"/>
      <c r="G14562" s="1277" t="s">
        <v>20</v>
      </c>
      <c r="H14562" s="1219">
        <v>5.0000000000000001E-4</v>
      </c>
      <c r="K14562" s="1192" t="s">
        <v>3901</v>
      </c>
      <c r="L14562" s="1192" t="s">
        <v>2374</v>
      </c>
      <c r="P14562" s="1192" t="s">
        <v>3909</v>
      </c>
      <c r="V14562" s="1192">
        <v>57</v>
      </c>
    </row>
    <row r="14563" spans="1:22" s="1192" customFormat="1" ht="14.4" x14ac:dyDescent="0.3">
      <c r="A14563" s="1192" t="s">
        <v>621</v>
      </c>
      <c r="B14563" s="1192" t="s">
        <v>4613</v>
      </c>
      <c r="E14563" s="1741" t="s">
        <v>28</v>
      </c>
      <c r="F14563" s="1741"/>
      <c r="G14563" s="1277" t="s">
        <v>19</v>
      </c>
      <c r="H14563" s="1218">
        <v>0.25</v>
      </c>
      <c r="K14563" s="1192" t="s">
        <v>3901</v>
      </c>
      <c r="L14563" s="1192" t="s">
        <v>2374</v>
      </c>
      <c r="P14563" s="1192" t="s">
        <v>3910</v>
      </c>
      <c r="V14563" s="1192">
        <v>63</v>
      </c>
    </row>
    <row r="14564" spans="1:22" s="1192" customFormat="1" ht="17.399999999999999" x14ac:dyDescent="0.3">
      <c r="A14564" s="1192" t="s">
        <v>621</v>
      </c>
      <c r="B14564" s="1192" t="s">
        <v>4613</v>
      </c>
      <c r="E14564" s="1746" t="s">
        <v>591</v>
      </c>
      <c r="F14564" s="1747"/>
      <c r="G14564" s="1747"/>
      <c r="H14564" s="1747"/>
      <c r="K14564" s="1192" t="s">
        <v>4388</v>
      </c>
      <c r="V14564" s="1192">
        <v>53</v>
      </c>
    </row>
    <row r="14565" spans="1:22" s="1192" customFormat="1" ht="14.4" x14ac:dyDescent="0.3">
      <c r="A14565" s="1192" t="s">
        <v>621</v>
      </c>
      <c r="B14565" s="1192" t="s">
        <v>4613</v>
      </c>
      <c r="E14565" s="1743" t="s">
        <v>3396</v>
      </c>
      <c r="F14565" s="1743"/>
      <c r="G14565" s="1743"/>
      <c r="H14565" s="1743"/>
      <c r="K14565" s="1192" t="s">
        <v>4388</v>
      </c>
      <c r="V14565" s="1192">
        <v>862</v>
      </c>
    </row>
    <row r="14566" spans="1:22" s="1192" customFormat="1" ht="14.4" x14ac:dyDescent="0.3">
      <c r="A14566" s="1192" t="s">
        <v>621</v>
      </c>
      <c r="B14566" s="1192" t="s">
        <v>4613</v>
      </c>
      <c r="E14566" s="1750" t="s">
        <v>2389</v>
      </c>
      <c r="F14566" s="1743"/>
      <c r="G14566" s="1743"/>
      <c r="H14566" s="1743"/>
      <c r="K14566" s="1192" t="s">
        <v>2422</v>
      </c>
      <c r="V14566" s="1192">
        <v>11</v>
      </c>
    </row>
    <row r="14567" spans="1:22" s="1192" customFormat="1" ht="14.4" x14ac:dyDescent="0.3">
      <c r="A14567" s="1192" t="s">
        <v>621</v>
      </c>
      <c r="B14567" s="1192" t="s">
        <v>4613</v>
      </c>
      <c r="E14567" s="1743" t="s">
        <v>2391</v>
      </c>
      <c r="F14567" s="1743"/>
      <c r="G14567" s="1743"/>
      <c r="H14567" s="1743"/>
      <c r="K14567" s="1192" t="s">
        <v>4388</v>
      </c>
      <c r="V14567" s="1192">
        <v>280</v>
      </c>
    </row>
    <row r="14568" spans="1:22" s="1192" customFormat="1" ht="14.4" x14ac:dyDescent="0.3">
      <c r="A14568" s="1192" t="s">
        <v>621</v>
      </c>
      <c r="B14568" s="1192" t="s">
        <v>4613</v>
      </c>
      <c r="E14568" s="1743" t="s">
        <v>2392</v>
      </c>
      <c r="F14568" s="1743"/>
      <c r="G14568" s="1743"/>
      <c r="H14568" s="1743"/>
      <c r="K14568" s="1192" t="s">
        <v>4388</v>
      </c>
      <c r="V14568" s="1192">
        <v>411</v>
      </c>
    </row>
    <row r="14569" spans="1:22" s="1192" customFormat="1" ht="14.4" x14ac:dyDescent="0.3">
      <c r="A14569" s="1192" t="s">
        <v>621</v>
      </c>
      <c r="B14569" s="1192" t="s">
        <v>4613</v>
      </c>
      <c r="E14569" s="1743" t="s">
        <v>2393</v>
      </c>
      <c r="F14569" s="1743"/>
      <c r="G14569" s="1743"/>
      <c r="H14569" s="1743"/>
      <c r="K14569" s="1192" t="s">
        <v>4388</v>
      </c>
      <c r="V14569" s="1192">
        <v>387</v>
      </c>
    </row>
    <row r="14570" spans="1:22" s="1192" customFormat="1" ht="14.4" x14ac:dyDescent="0.3">
      <c r="A14570" s="1192" t="s">
        <v>621</v>
      </c>
      <c r="B14570" s="1192" t="s">
        <v>4613</v>
      </c>
      <c r="E14570" s="1743" t="s">
        <v>4618</v>
      </c>
      <c r="F14570" s="1743"/>
      <c r="G14570" s="1743"/>
      <c r="H14570" s="1743"/>
      <c r="K14570" s="1192" t="s">
        <v>4388</v>
      </c>
      <c r="V14570" s="1192">
        <v>1404</v>
      </c>
    </row>
    <row r="14571" spans="1:22" s="1192" customFormat="1" ht="14.4" x14ac:dyDescent="0.3">
      <c r="A14571" s="1192" t="s">
        <v>621</v>
      </c>
      <c r="B14571" s="1192" t="s">
        <v>4613</v>
      </c>
      <c r="E14571" s="1743" t="s">
        <v>2986</v>
      </c>
      <c r="F14571" s="1743"/>
      <c r="G14571" s="1743"/>
      <c r="H14571" s="1743"/>
      <c r="K14571" s="1192" t="s">
        <v>4388</v>
      </c>
      <c r="V14571" s="1192">
        <v>246</v>
      </c>
    </row>
    <row r="14572" spans="1:22" s="1192" customFormat="1" ht="14.4" x14ac:dyDescent="0.3">
      <c r="A14572" s="1192" t="s">
        <v>621</v>
      </c>
      <c r="B14572" s="1192" t="s">
        <v>4613</v>
      </c>
      <c r="E14572" s="1750" t="s">
        <v>2394</v>
      </c>
      <c r="F14572" s="1743"/>
      <c r="G14572" s="1743"/>
      <c r="H14572" s="1743"/>
      <c r="K14572" s="1192" t="s">
        <v>2423</v>
      </c>
      <c r="V14572" s="1192">
        <v>46</v>
      </c>
    </row>
    <row r="14573" spans="1:22" s="1192" customFormat="1" ht="14.4" x14ac:dyDescent="0.3">
      <c r="A14573" s="1192" t="s">
        <v>621</v>
      </c>
      <c r="B14573" s="1192" t="s">
        <v>4613</v>
      </c>
      <c r="E14573" s="1741" t="s">
        <v>7</v>
      </c>
      <c r="F14573" s="1741"/>
      <c r="G14573" s="1277" t="s">
        <v>19</v>
      </c>
      <c r="H14573" s="1218">
        <v>66.290000000000006</v>
      </c>
      <c r="K14573" s="1192" t="s">
        <v>4388</v>
      </c>
      <c r="L14573" s="1192" t="s">
        <v>430</v>
      </c>
      <c r="P14573" s="1192" t="s">
        <v>4389</v>
      </c>
      <c r="V14573" s="1192">
        <v>14</v>
      </c>
    </row>
    <row r="14574" spans="1:22" s="1192" customFormat="1" ht="14.4" x14ac:dyDescent="0.3">
      <c r="A14574" s="1192" t="s">
        <v>621</v>
      </c>
      <c r="B14574" s="1192" t="s">
        <v>4613</v>
      </c>
      <c r="E14574" s="1741" t="s">
        <v>80</v>
      </c>
      <c r="F14574" s="1741"/>
      <c r="G14574" s="1277" t="s">
        <v>29</v>
      </c>
      <c r="H14574" s="1219">
        <v>3.5895000000000001</v>
      </c>
      <c r="K14574" s="1192" t="s">
        <v>4388</v>
      </c>
      <c r="L14574" s="1192" t="s">
        <v>430</v>
      </c>
      <c r="P14574" s="1192" t="s">
        <v>4390</v>
      </c>
      <c r="V14574" s="1192">
        <v>28</v>
      </c>
    </row>
    <row r="14575" spans="1:22" s="1192" customFormat="1" ht="14.4" x14ac:dyDescent="0.3">
      <c r="A14575" s="1192" t="s">
        <v>621</v>
      </c>
      <c r="B14575" s="1192" t="s">
        <v>4613</v>
      </c>
      <c r="E14575" s="1741" t="s">
        <v>14</v>
      </c>
      <c r="F14575" s="1741"/>
      <c r="G14575" s="1277" t="s">
        <v>29</v>
      </c>
      <c r="H14575" s="1219">
        <v>0.72819999999999996</v>
      </c>
      <c r="K14575" s="1192" t="s">
        <v>4388</v>
      </c>
      <c r="L14575" s="1192" t="s">
        <v>431</v>
      </c>
      <c r="P14575" s="1192" t="s">
        <v>4391</v>
      </c>
      <c r="V14575" s="1192">
        <v>24</v>
      </c>
    </row>
    <row r="14576" spans="1:22" s="1192" customFormat="1" ht="14.4" x14ac:dyDescent="0.3">
      <c r="A14576" s="1192" t="s">
        <v>621</v>
      </c>
      <c r="B14576" s="1192" t="s">
        <v>4613</v>
      </c>
      <c r="E14576" s="1741" t="s">
        <v>6818</v>
      </c>
      <c r="F14576" s="1998"/>
      <c r="G14576" s="1277" t="s">
        <v>29</v>
      </c>
      <c r="H14576" s="1219">
        <v>0.17849999999999999</v>
      </c>
      <c r="K14576" s="1192" t="s">
        <v>4388</v>
      </c>
      <c r="L14576" s="1192" t="s">
        <v>430</v>
      </c>
      <c r="P14576" s="1192" t="s">
        <v>4400</v>
      </c>
      <c r="T14576" s="1192">
        <v>44316</v>
      </c>
      <c r="V14576" s="1192">
        <v>135</v>
      </c>
    </row>
    <row r="14577" spans="1:22" s="1192" customFormat="1" ht="14.4" x14ac:dyDescent="0.3">
      <c r="A14577" s="1192" t="s">
        <v>621</v>
      </c>
      <c r="B14577" s="1192" t="s">
        <v>4613</v>
      </c>
      <c r="E14577" s="1741" t="s">
        <v>4616</v>
      </c>
      <c r="F14577" s="1741"/>
      <c r="G14577" s="1277" t="s">
        <v>29</v>
      </c>
      <c r="H14577" s="1219">
        <v>0.30059999999999998</v>
      </c>
      <c r="K14577" s="1192" t="s">
        <v>4388</v>
      </c>
      <c r="L14577" s="1192" t="s">
        <v>430</v>
      </c>
      <c r="P14577" s="1192" t="s">
        <v>4400</v>
      </c>
      <c r="T14577" s="1192">
        <v>44316</v>
      </c>
      <c r="V14577" s="1192">
        <v>135</v>
      </c>
    </row>
    <row r="14578" spans="1:22" s="1192" customFormat="1" ht="14.4" x14ac:dyDescent="0.3">
      <c r="A14578" s="1192" t="s">
        <v>621</v>
      </c>
      <c r="B14578" s="1192" t="s">
        <v>4613</v>
      </c>
      <c r="E14578" s="1741" t="s">
        <v>213</v>
      </c>
      <c r="F14578" s="1741"/>
      <c r="G14578" s="1277" t="s">
        <v>29</v>
      </c>
      <c r="H14578" s="1219">
        <v>2.6204000000000001</v>
      </c>
      <c r="K14578" s="1192" t="s">
        <v>4388</v>
      </c>
      <c r="L14578" s="1192" t="s">
        <v>432</v>
      </c>
      <c r="P14578" s="1192" t="s">
        <v>4392</v>
      </c>
      <c r="V14578" s="1192">
        <v>47</v>
      </c>
    </row>
    <row r="14579" spans="1:22" s="1192" customFormat="1" ht="14.4" x14ac:dyDescent="0.3">
      <c r="A14579" s="1192" t="s">
        <v>621</v>
      </c>
      <c r="B14579" s="1192" t="s">
        <v>4613</v>
      </c>
      <c r="E14579" s="1741" t="s">
        <v>2847</v>
      </c>
      <c r="F14579" s="1741"/>
      <c r="G14579" s="1277" t="s">
        <v>29</v>
      </c>
      <c r="H14579" s="1219">
        <v>2.1629</v>
      </c>
      <c r="K14579" s="1192" t="s">
        <v>4388</v>
      </c>
      <c r="L14579" s="1192" t="s">
        <v>432</v>
      </c>
      <c r="P14579" s="1192" t="s">
        <v>4393</v>
      </c>
      <c r="V14579" s="1192">
        <v>75</v>
      </c>
    </row>
    <row r="14580" spans="1:22" s="1192" customFormat="1" ht="14.4" x14ac:dyDescent="0.3">
      <c r="A14580" s="1192" t="s">
        <v>621</v>
      </c>
      <c r="B14580" s="1192" t="s">
        <v>4613</v>
      </c>
      <c r="E14580" s="1750" t="s">
        <v>2405</v>
      </c>
      <c r="F14580" s="1741"/>
      <c r="G14580" s="1277"/>
      <c r="H14580" s="896"/>
      <c r="K14580" s="1192" t="s">
        <v>2526</v>
      </c>
      <c r="V14580" s="1192">
        <v>48</v>
      </c>
    </row>
    <row r="14581" spans="1:22" s="1192" customFormat="1" ht="14.4" x14ac:dyDescent="0.3">
      <c r="A14581" s="1192" t="s">
        <v>621</v>
      </c>
      <c r="B14581" s="1192" t="s">
        <v>4613</v>
      </c>
      <c r="E14581" s="1741" t="s">
        <v>2033</v>
      </c>
      <c r="F14581" s="1741"/>
      <c r="G14581" s="1277" t="s">
        <v>20</v>
      </c>
      <c r="H14581" s="1219">
        <v>3.0000000000000001E-3</v>
      </c>
      <c r="K14581" s="1192" t="s">
        <v>4388</v>
      </c>
      <c r="L14581" s="1192" t="s">
        <v>2374</v>
      </c>
      <c r="P14581" s="1192" t="s">
        <v>4394</v>
      </c>
      <c r="V14581" s="1192">
        <v>55</v>
      </c>
    </row>
    <row r="14582" spans="1:22" s="1192" customFormat="1" ht="14.4" x14ac:dyDescent="0.3">
      <c r="A14582" s="1192" t="s">
        <v>621</v>
      </c>
      <c r="B14582" s="1192" t="s">
        <v>4613</v>
      </c>
      <c r="E14582" s="1741" t="s">
        <v>2034</v>
      </c>
      <c r="F14582" s="1741"/>
      <c r="G14582" s="1277" t="s">
        <v>20</v>
      </c>
      <c r="H14582" s="1219">
        <v>4.0000000000000002E-4</v>
      </c>
      <c r="K14582" s="1192" t="s">
        <v>4388</v>
      </c>
      <c r="L14582" s="1192" t="s">
        <v>2374</v>
      </c>
      <c r="P14582" s="1192" t="s">
        <v>4394</v>
      </c>
      <c r="V14582" s="1192">
        <v>65</v>
      </c>
    </row>
    <row r="14583" spans="1:22" s="1192" customFormat="1" ht="14.4" x14ac:dyDescent="0.3">
      <c r="A14583" s="1192" t="s">
        <v>621</v>
      </c>
      <c r="B14583" s="1192" t="s">
        <v>4613</v>
      </c>
      <c r="E14583" s="1741" t="s">
        <v>428</v>
      </c>
      <c r="F14583" s="1741"/>
      <c r="G14583" s="1277" t="s">
        <v>20</v>
      </c>
      <c r="H14583" s="1219">
        <v>5.0000000000000001E-4</v>
      </c>
      <c r="K14583" s="1192" t="s">
        <v>4388</v>
      </c>
      <c r="L14583" s="1192" t="s">
        <v>2374</v>
      </c>
      <c r="P14583" s="1192" t="s">
        <v>4395</v>
      </c>
      <c r="V14583" s="1192">
        <v>57</v>
      </c>
    </row>
    <row r="14584" spans="1:22" s="1192" customFormat="1" ht="14.4" x14ac:dyDescent="0.3">
      <c r="A14584" s="1192" t="s">
        <v>621</v>
      </c>
      <c r="B14584" s="1192" t="s">
        <v>4613</v>
      </c>
      <c r="E14584" s="1741" t="s">
        <v>28</v>
      </c>
      <c r="F14584" s="1741"/>
      <c r="G14584" s="1277" t="s">
        <v>19</v>
      </c>
      <c r="H14584" s="1218">
        <v>0.25</v>
      </c>
      <c r="K14584" s="1192" t="s">
        <v>4388</v>
      </c>
      <c r="L14584" s="1192" t="s">
        <v>2374</v>
      </c>
      <c r="P14584" s="1192" t="s">
        <v>4396</v>
      </c>
      <c r="V14584" s="1192">
        <v>63</v>
      </c>
    </row>
    <row r="14585" spans="1:22" s="1192" customFormat="1" ht="17.399999999999999" x14ac:dyDescent="0.3">
      <c r="A14585" s="1192" t="s">
        <v>621</v>
      </c>
      <c r="B14585" s="1192" t="s">
        <v>4613</v>
      </c>
      <c r="E14585" s="1746" t="s">
        <v>592</v>
      </c>
      <c r="F14585" s="1747"/>
      <c r="G14585" s="1747"/>
      <c r="H14585" s="1747"/>
      <c r="K14585" s="1192" t="s">
        <v>2676</v>
      </c>
      <c r="V14585" s="1192">
        <v>47</v>
      </c>
    </row>
    <row r="14586" spans="1:22" s="1192" customFormat="1" ht="14.4" x14ac:dyDescent="0.3">
      <c r="A14586" s="1192" t="s">
        <v>621</v>
      </c>
      <c r="B14586" s="1192" t="s">
        <v>4613</v>
      </c>
      <c r="E14586" s="1743" t="s">
        <v>3397</v>
      </c>
      <c r="F14586" s="1743"/>
      <c r="G14586" s="1743"/>
      <c r="H14586" s="1743"/>
      <c r="K14586" s="1192" t="s">
        <v>2676</v>
      </c>
      <c r="V14586" s="1192">
        <v>621</v>
      </c>
    </row>
    <row r="14587" spans="1:22" s="1192" customFormat="1" ht="14.4" x14ac:dyDescent="0.3">
      <c r="A14587" s="1192" t="s">
        <v>621</v>
      </c>
      <c r="B14587" s="1192" t="s">
        <v>4613</v>
      </c>
      <c r="E14587" s="1750" t="s">
        <v>2389</v>
      </c>
      <c r="F14587" s="1743"/>
      <c r="G14587" s="1743"/>
      <c r="H14587" s="1743"/>
      <c r="K14587" s="1192" t="s">
        <v>2529</v>
      </c>
      <c r="V14587" s="1192">
        <v>11</v>
      </c>
    </row>
    <row r="14588" spans="1:22" s="1192" customFormat="1" ht="14.4" x14ac:dyDescent="0.3">
      <c r="A14588" s="1192" t="s">
        <v>621</v>
      </c>
      <c r="B14588" s="1192" t="s">
        <v>4613</v>
      </c>
      <c r="E14588" s="1743" t="s">
        <v>2391</v>
      </c>
      <c r="F14588" s="1743"/>
      <c r="G14588" s="1743"/>
      <c r="H14588" s="1743"/>
      <c r="K14588" s="1192" t="s">
        <v>2676</v>
      </c>
      <c r="V14588" s="1192">
        <v>280</v>
      </c>
    </row>
    <row r="14589" spans="1:22" s="1192" customFormat="1" ht="14.4" x14ac:dyDescent="0.3">
      <c r="A14589" s="1192" t="s">
        <v>621</v>
      </c>
      <c r="B14589" s="1192" t="s">
        <v>4613</v>
      </c>
      <c r="E14589" s="1743" t="s">
        <v>2392</v>
      </c>
      <c r="F14589" s="1743"/>
      <c r="G14589" s="1743"/>
      <c r="H14589" s="1743"/>
      <c r="K14589" s="1192" t="s">
        <v>2676</v>
      </c>
      <c r="V14589" s="1192">
        <v>411</v>
      </c>
    </row>
    <row r="14590" spans="1:22" s="1192" customFormat="1" ht="14.4" x14ac:dyDescent="0.3">
      <c r="A14590" s="1192" t="s">
        <v>621</v>
      </c>
      <c r="B14590" s="1192" t="s">
        <v>4613</v>
      </c>
      <c r="E14590" s="1743" t="s">
        <v>2393</v>
      </c>
      <c r="F14590" s="1743"/>
      <c r="G14590" s="1743"/>
      <c r="H14590" s="1743"/>
      <c r="K14590" s="1192" t="s">
        <v>2676</v>
      </c>
      <c r="V14590" s="1192">
        <v>387</v>
      </c>
    </row>
    <row r="14591" spans="1:22" s="1192" customFormat="1" ht="14.4" x14ac:dyDescent="0.3">
      <c r="A14591" s="1192" t="s">
        <v>621</v>
      </c>
      <c r="B14591" s="1192" t="s">
        <v>4613</v>
      </c>
      <c r="E14591" s="1743" t="s">
        <v>2986</v>
      </c>
      <c r="F14591" s="1743"/>
      <c r="G14591" s="1743"/>
      <c r="H14591" s="1743"/>
      <c r="K14591" s="1192" t="s">
        <v>2676</v>
      </c>
      <c r="V14591" s="1192">
        <v>246</v>
      </c>
    </row>
    <row r="14592" spans="1:22" s="1192" customFormat="1" ht="14.4" x14ac:dyDescent="0.3">
      <c r="A14592" s="1192" t="s">
        <v>621</v>
      </c>
      <c r="B14592" s="1192" t="s">
        <v>4613</v>
      </c>
      <c r="E14592" s="1750" t="s">
        <v>2394</v>
      </c>
      <c r="F14592" s="1743"/>
      <c r="G14592" s="1743"/>
      <c r="H14592" s="1743"/>
      <c r="K14592" s="1192" t="s">
        <v>2531</v>
      </c>
      <c r="V14592" s="1192">
        <v>46</v>
      </c>
    </row>
    <row r="14593" spans="1:22" s="1192" customFormat="1" ht="14.4" x14ac:dyDescent="0.3">
      <c r="A14593" s="1192" t="s">
        <v>621</v>
      </c>
      <c r="B14593" s="1192" t="s">
        <v>4613</v>
      </c>
      <c r="E14593" s="1741" t="s">
        <v>9</v>
      </c>
      <c r="F14593" s="1741"/>
      <c r="G14593" s="1277" t="s">
        <v>19</v>
      </c>
      <c r="H14593" s="1218">
        <v>10.85</v>
      </c>
      <c r="K14593" s="1192" t="s">
        <v>2676</v>
      </c>
      <c r="L14593" s="1192" t="s">
        <v>430</v>
      </c>
      <c r="P14593" s="1192" t="s">
        <v>2678</v>
      </c>
      <c r="V14593" s="1192">
        <v>29</v>
      </c>
    </row>
    <row r="14594" spans="1:22" s="1192" customFormat="1" ht="14.4" x14ac:dyDescent="0.3">
      <c r="A14594" s="1192" t="s">
        <v>621</v>
      </c>
      <c r="B14594" s="1192" t="s">
        <v>4613</v>
      </c>
      <c r="E14594" s="1741" t="s">
        <v>80</v>
      </c>
      <c r="F14594" s="1741"/>
      <c r="G14594" s="1277" t="s">
        <v>20</v>
      </c>
      <c r="H14594" s="1219">
        <v>1.1599999999999999E-2</v>
      </c>
      <c r="K14594" s="1192" t="s">
        <v>2676</v>
      </c>
      <c r="L14594" s="1192" t="s">
        <v>430</v>
      </c>
      <c r="P14594" s="1192" t="s">
        <v>2679</v>
      </c>
      <c r="V14594" s="1192">
        <v>28</v>
      </c>
    </row>
    <row r="14595" spans="1:22" s="1192" customFormat="1" ht="14.4" x14ac:dyDescent="0.3">
      <c r="A14595" s="1192" t="s">
        <v>621</v>
      </c>
      <c r="B14595" s="1192" t="s">
        <v>4613</v>
      </c>
      <c r="E14595" s="1741" t="s">
        <v>14</v>
      </c>
      <c r="F14595" s="1741"/>
      <c r="G14595" s="1277" t="s">
        <v>20</v>
      </c>
      <c r="H14595" s="1219">
        <v>1.8E-3</v>
      </c>
      <c r="K14595" s="1192" t="s">
        <v>2676</v>
      </c>
      <c r="L14595" s="1192" t="s">
        <v>431</v>
      </c>
      <c r="P14595" s="1192" t="s">
        <v>2809</v>
      </c>
      <c r="V14595" s="1192">
        <v>24</v>
      </c>
    </row>
    <row r="14596" spans="1:22" s="1192" customFormat="1" ht="14.4" x14ac:dyDescent="0.3">
      <c r="A14596" s="1192" t="s">
        <v>621</v>
      </c>
      <c r="B14596" s="1192" t="s">
        <v>4613</v>
      </c>
      <c r="E14596" s="1741" t="s">
        <v>213</v>
      </c>
      <c r="F14596" s="1741"/>
      <c r="G14596" s="1277" t="s">
        <v>20</v>
      </c>
      <c r="H14596" s="1219">
        <v>6.4000000000000003E-3</v>
      </c>
      <c r="K14596" s="1192" t="s">
        <v>2676</v>
      </c>
      <c r="L14596" s="1192" t="s">
        <v>432</v>
      </c>
      <c r="P14596" s="1192" t="s">
        <v>2682</v>
      </c>
      <c r="V14596" s="1192">
        <v>47</v>
      </c>
    </row>
    <row r="14597" spans="1:22" s="1192" customFormat="1" ht="14.4" x14ac:dyDescent="0.3">
      <c r="A14597" s="1192" t="s">
        <v>621</v>
      </c>
      <c r="B14597" s="1192" t="s">
        <v>4613</v>
      </c>
      <c r="E14597" s="1741" t="s">
        <v>209</v>
      </c>
      <c r="F14597" s="1741"/>
      <c r="G14597" s="1277" t="s">
        <v>20</v>
      </c>
      <c r="H14597" s="1219">
        <v>5.4999999999999997E-3</v>
      </c>
      <c r="K14597" s="1192" t="s">
        <v>2676</v>
      </c>
      <c r="L14597" s="1192" t="s">
        <v>432</v>
      </c>
      <c r="P14597" s="1192" t="s">
        <v>2683</v>
      </c>
      <c r="V14597" s="1192">
        <v>74</v>
      </c>
    </row>
    <row r="14598" spans="1:22" s="1192" customFormat="1" ht="14.4" x14ac:dyDescent="0.3">
      <c r="A14598" s="1192" t="s">
        <v>621</v>
      </c>
      <c r="B14598" s="1192" t="s">
        <v>4613</v>
      </c>
      <c r="E14598" s="1750" t="s">
        <v>2405</v>
      </c>
      <c r="F14598" s="1741"/>
      <c r="G14598" s="1277"/>
      <c r="H14598" s="896"/>
      <c r="K14598" s="1192" t="s">
        <v>2532</v>
      </c>
      <c r="V14598" s="1192">
        <v>48</v>
      </c>
    </row>
    <row r="14599" spans="1:22" s="1192" customFormat="1" ht="14.4" x14ac:dyDescent="0.3">
      <c r="A14599" s="1192" t="s">
        <v>621</v>
      </c>
      <c r="B14599" s="1192" t="s">
        <v>4613</v>
      </c>
      <c r="E14599" s="1741" t="s">
        <v>2033</v>
      </c>
      <c r="F14599" s="1741"/>
      <c r="G14599" s="1277" t="s">
        <v>20</v>
      </c>
      <c r="H14599" s="1219">
        <v>3.0000000000000001E-3</v>
      </c>
      <c r="K14599" s="1192" t="s">
        <v>2676</v>
      </c>
      <c r="L14599" s="1192" t="s">
        <v>2374</v>
      </c>
      <c r="P14599" s="1192" t="s">
        <v>2684</v>
      </c>
      <c r="V14599" s="1192">
        <v>55</v>
      </c>
    </row>
    <row r="14600" spans="1:22" s="1192" customFormat="1" ht="14.4" x14ac:dyDescent="0.3">
      <c r="A14600" s="1192" t="s">
        <v>621</v>
      </c>
      <c r="B14600" s="1192" t="s">
        <v>4613</v>
      </c>
      <c r="E14600" s="1741" t="s">
        <v>2034</v>
      </c>
      <c r="F14600" s="1741"/>
      <c r="G14600" s="1277" t="s">
        <v>20</v>
      </c>
      <c r="H14600" s="1219">
        <v>4.0000000000000002E-4</v>
      </c>
      <c r="K14600" s="1192" t="s">
        <v>2676</v>
      </c>
      <c r="L14600" s="1192" t="s">
        <v>2374</v>
      </c>
      <c r="P14600" s="1192" t="s">
        <v>2684</v>
      </c>
      <c r="V14600" s="1192">
        <v>65</v>
      </c>
    </row>
    <row r="14601" spans="1:22" s="1192" customFormat="1" ht="14.4" x14ac:dyDescent="0.3">
      <c r="A14601" s="1192" t="s">
        <v>621</v>
      </c>
      <c r="B14601" s="1192" t="s">
        <v>4613</v>
      </c>
      <c r="E14601" s="1741" t="s">
        <v>428</v>
      </c>
      <c r="F14601" s="1741"/>
      <c r="G14601" s="1277" t="s">
        <v>20</v>
      </c>
      <c r="H14601" s="1219">
        <v>5.0000000000000001E-4</v>
      </c>
      <c r="K14601" s="1192" t="s">
        <v>2676</v>
      </c>
      <c r="L14601" s="1192" t="s">
        <v>2374</v>
      </c>
      <c r="P14601" s="1192" t="s">
        <v>2685</v>
      </c>
      <c r="V14601" s="1192">
        <v>57</v>
      </c>
    </row>
    <row r="14602" spans="1:22" s="1192" customFormat="1" ht="14.4" x14ac:dyDescent="0.3">
      <c r="A14602" s="1192" t="s">
        <v>621</v>
      </c>
      <c r="B14602" s="1192" t="s">
        <v>4613</v>
      </c>
      <c r="E14602" s="1741" t="s">
        <v>28</v>
      </c>
      <c r="F14602" s="1741"/>
      <c r="G14602" s="1277" t="s">
        <v>19</v>
      </c>
      <c r="H14602" s="1218">
        <v>0.25</v>
      </c>
      <c r="K14602" s="1192" t="s">
        <v>2676</v>
      </c>
      <c r="L14602" s="1192" t="s">
        <v>2374</v>
      </c>
      <c r="P14602" s="1192" t="s">
        <v>2686</v>
      </c>
      <c r="V14602" s="1192">
        <v>63</v>
      </c>
    </row>
    <row r="14603" spans="1:22" s="1192" customFormat="1" ht="17.399999999999999" x14ac:dyDescent="0.3">
      <c r="A14603" s="1192" t="s">
        <v>621</v>
      </c>
      <c r="B14603" s="1192" t="s">
        <v>4613</v>
      </c>
      <c r="E14603" s="1746" t="s">
        <v>590</v>
      </c>
      <c r="F14603" s="1747"/>
      <c r="G14603" s="1747"/>
      <c r="H14603" s="1747"/>
      <c r="K14603" s="1192" t="s">
        <v>2687</v>
      </c>
      <c r="V14603" s="1192">
        <v>38</v>
      </c>
    </row>
    <row r="14604" spans="1:22" s="1192" customFormat="1" ht="14.4" x14ac:dyDescent="0.3">
      <c r="A14604" s="1192" t="s">
        <v>621</v>
      </c>
      <c r="B14604" s="1192" t="s">
        <v>4613</v>
      </c>
      <c r="E14604" s="1743" t="s">
        <v>3398</v>
      </c>
      <c r="F14604" s="1743"/>
      <c r="G14604" s="1743"/>
      <c r="H14604" s="1743"/>
      <c r="K14604" s="1192" t="s">
        <v>2687</v>
      </c>
      <c r="V14604" s="1192">
        <v>553</v>
      </c>
    </row>
    <row r="14605" spans="1:22" s="1192" customFormat="1" ht="14.4" x14ac:dyDescent="0.3">
      <c r="A14605" s="1192" t="s">
        <v>621</v>
      </c>
      <c r="B14605" s="1192" t="s">
        <v>4613</v>
      </c>
      <c r="E14605" s="1750" t="s">
        <v>2389</v>
      </c>
      <c r="F14605" s="1743"/>
      <c r="G14605" s="1743"/>
      <c r="H14605" s="1743"/>
      <c r="K14605" s="1192" t="s">
        <v>2424</v>
      </c>
      <c r="V14605" s="1192">
        <v>11</v>
      </c>
    </row>
    <row r="14606" spans="1:22" s="1192" customFormat="1" ht="14.4" x14ac:dyDescent="0.3">
      <c r="A14606" s="1192" t="s">
        <v>621</v>
      </c>
      <c r="B14606" s="1192" t="s">
        <v>4613</v>
      </c>
      <c r="E14606" s="1743" t="s">
        <v>2391</v>
      </c>
      <c r="F14606" s="1743"/>
      <c r="G14606" s="1743"/>
      <c r="H14606" s="1743"/>
      <c r="K14606" s="1192" t="s">
        <v>2687</v>
      </c>
      <c r="V14606" s="1192">
        <v>280</v>
      </c>
    </row>
    <row r="14607" spans="1:22" s="1192" customFormat="1" ht="14.4" x14ac:dyDescent="0.3">
      <c r="A14607" s="1192" t="s">
        <v>621</v>
      </c>
      <c r="B14607" s="1192" t="s">
        <v>4613</v>
      </c>
      <c r="E14607" s="1743" t="s">
        <v>2392</v>
      </c>
      <c r="F14607" s="1743"/>
      <c r="G14607" s="1743"/>
      <c r="H14607" s="1743"/>
      <c r="K14607" s="1192" t="s">
        <v>2687</v>
      </c>
      <c r="V14607" s="1192">
        <v>411</v>
      </c>
    </row>
    <row r="14608" spans="1:22" s="1192" customFormat="1" ht="14.4" x14ac:dyDescent="0.3">
      <c r="A14608" s="1192" t="s">
        <v>621</v>
      </c>
      <c r="B14608" s="1192" t="s">
        <v>4613</v>
      </c>
      <c r="E14608" s="1743" t="s">
        <v>2393</v>
      </c>
      <c r="F14608" s="1743"/>
      <c r="G14608" s="1743"/>
      <c r="H14608" s="1743"/>
      <c r="K14608" s="1192" t="s">
        <v>2687</v>
      </c>
      <c r="V14608" s="1192">
        <v>387</v>
      </c>
    </row>
    <row r="14609" spans="1:22" s="1192" customFormat="1" ht="14.4" x14ac:dyDescent="0.3">
      <c r="A14609" s="1192" t="s">
        <v>621</v>
      </c>
      <c r="B14609" s="1192" t="s">
        <v>4613</v>
      </c>
      <c r="E14609" s="1743" t="s">
        <v>2986</v>
      </c>
      <c r="F14609" s="1743"/>
      <c r="G14609" s="1743"/>
      <c r="H14609" s="1743"/>
      <c r="K14609" s="1192" t="s">
        <v>2687</v>
      </c>
      <c r="V14609" s="1192">
        <v>246</v>
      </c>
    </row>
    <row r="14610" spans="1:22" s="1192" customFormat="1" ht="14.4" x14ac:dyDescent="0.3">
      <c r="A14610" s="1192" t="s">
        <v>621</v>
      </c>
      <c r="B14610" s="1192" t="s">
        <v>4613</v>
      </c>
      <c r="E14610" s="1750" t="s">
        <v>2394</v>
      </c>
      <c r="F14610" s="1743"/>
      <c r="G14610" s="1743"/>
      <c r="H14610" s="1743"/>
      <c r="K14610" s="1192" t="s">
        <v>2425</v>
      </c>
      <c r="V14610" s="1192">
        <v>46</v>
      </c>
    </row>
    <row r="14611" spans="1:22" s="1192" customFormat="1" ht="14.4" x14ac:dyDescent="0.3">
      <c r="A14611" s="1192" t="s">
        <v>621</v>
      </c>
      <c r="B14611" s="1192" t="s">
        <v>4613</v>
      </c>
      <c r="E14611" s="1741" t="s">
        <v>8</v>
      </c>
      <c r="F14611" s="1741"/>
      <c r="G14611" s="1277" t="s">
        <v>19</v>
      </c>
      <c r="H14611" s="1218">
        <v>1.66</v>
      </c>
      <c r="K14611" s="1192" t="s">
        <v>2687</v>
      </c>
      <c r="L14611" s="1192" t="s">
        <v>430</v>
      </c>
      <c r="P14611" s="1192" t="s">
        <v>2689</v>
      </c>
      <c r="V14611" s="1192">
        <v>31</v>
      </c>
    </row>
    <row r="14612" spans="1:22" s="1192" customFormat="1" ht="14.4" x14ac:dyDescent="0.3">
      <c r="A14612" s="1192" t="s">
        <v>621</v>
      </c>
      <c r="B14612" s="1192" t="s">
        <v>4613</v>
      </c>
      <c r="E14612" s="1741" t="s">
        <v>80</v>
      </c>
      <c r="F14612" s="1741"/>
      <c r="G14612" s="1277" t="s">
        <v>29</v>
      </c>
      <c r="H14612" s="1219">
        <v>3.8429000000000002</v>
      </c>
      <c r="K14612" s="1192" t="s">
        <v>2687</v>
      </c>
      <c r="L14612" s="1192" t="s">
        <v>430</v>
      </c>
      <c r="P14612" s="1192" t="s">
        <v>2690</v>
      </c>
      <c r="V14612" s="1192">
        <v>28</v>
      </c>
    </row>
    <row r="14613" spans="1:22" s="1192" customFormat="1" ht="14.4" x14ac:dyDescent="0.3">
      <c r="A14613" s="1192" t="s">
        <v>621</v>
      </c>
      <c r="B14613" s="1192" t="s">
        <v>4613</v>
      </c>
      <c r="E14613" s="1741" t="s">
        <v>14</v>
      </c>
      <c r="F14613" s="1741"/>
      <c r="G14613" s="1277" t="s">
        <v>29</v>
      </c>
      <c r="H14613" s="1219">
        <v>0.56289999999999996</v>
      </c>
      <c r="K14613" s="1192" t="s">
        <v>2687</v>
      </c>
      <c r="L14613" s="1192" t="s">
        <v>431</v>
      </c>
      <c r="P14613" s="1192" t="s">
        <v>2812</v>
      </c>
      <c r="V14613" s="1192">
        <v>24</v>
      </c>
    </row>
    <row r="14614" spans="1:22" s="1192" customFormat="1" ht="14.4" x14ac:dyDescent="0.3">
      <c r="A14614" s="1192" t="s">
        <v>621</v>
      </c>
      <c r="B14614" s="1192" t="s">
        <v>4613</v>
      </c>
      <c r="E14614" s="1741" t="s">
        <v>6548</v>
      </c>
      <c r="F14614" s="1998"/>
      <c r="G14614" s="1277" t="s">
        <v>29</v>
      </c>
      <c r="H14614" s="1219">
        <v>0.2069</v>
      </c>
      <c r="K14614" s="1192" t="s">
        <v>2687</v>
      </c>
      <c r="L14614" s="1192" t="s">
        <v>430</v>
      </c>
      <c r="P14614" s="1192" t="s">
        <v>2692</v>
      </c>
      <c r="T14614" s="1192">
        <v>44316</v>
      </c>
      <c r="V14614" s="1192">
        <v>134</v>
      </c>
    </row>
    <row r="14615" spans="1:22" s="1192" customFormat="1" ht="14.4" x14ac:dyDescent="0.3">
      <c r="A14615" s="1192" t="s">
        <v>621</v>
      </c>
      <c r="B14615" s="1192" t="s">
        <v>4613</v>
      </c>
      <c r="E14615" s="1741" t="s">
        <v>4617</v>
      </c>
      <c r="F14615" s="1741"/>
      <c r="G14615" s="1277" t="s">
        <v>29</v>
      </c>
      <c r="H14615" s="1219">
        <v>0.41399999999999998</v>
      </c>
      <c r="K14615" s="1192" t="s">
        <v>2687</v>
      </c>
      <c r="L14615" s="1192" t="s">
        <v>430</v>
      </c>
      <c r="P14615" s="1192" t="s">
        <v>2692</v>
      </c>
      <c r="T14615" s="1192">
        <v>44316</v>
      </c>
      <c r="V14615" s="1192">
        <v>134</v>
      </c>
    </row>
    <row r="14616" spans="1:22" s="1192" customFormat="1" ht="14.4" x14ac:dyDescent="0.3">
      <c r="A14616" s="1192" t="s">
        <v>621</v>
      </c>
      <c r="B14616" s="1192" t="s">
        <v>4613</v>
      </c>
      <c r="E14616" s="1741" t="s">
        <v>213</v>
      </c>
      <c r="F14616" s="1741"/>
      <c r="G14616" s="1277" t="s">
        <v>29</v>
      </c>
      <c r="H14616" s="1219">
        <v>1.9763999999999999</v>
      </c>
      <c r="K14616" s="1192" t="s">
        <v>2687</v>
      </c>
      <c r="L14616" s="1192" t="s">
        <v>432</v>
      </c>
      <c r="P14616" s="1192" t="s">
        <v>2694</v>
      </c>
      <c r="V14616" s="1192">
        <v>47</v>
      </c>
    </row>
    <row r="14617" spans="1:22" s="1192" customFormat="1" ht="14.4" x14ac:dyDescent="0.3">
      <c r="A14617" s="1192" t="s">
        <v>621</v>
      </c>
      <c r="B14617" s="1192" t="s">
        <v>4613</v>
      </c>
      <c r="E14617" s="1741" t="s">
        <v>209</v>
      </c>
      <c r="F14617" s="1741"/>
      <c r="G14617" s="1277" t="s">
        <v>29</v>
      </c>
      <c r="H14617" s="1219">
        <v>1.6720999999999999</v>
      </c>
      <c r="K14617" s="1192" t="s">
        <v>2687</v>
      </c>
      <c r="L14617" s="1192" t="s">
        <v>432</v>
      </c>
      <c r="P14617" s="1192" t="s">
        <v>2813</v>
      </c>
      <c r="V14617" s="1192">
        <v>74</v>
      </c>
    </row>
    <row r="14618" spans="1:22" s="1192" customFormat="1" ht="14.4" x14ac:dyDescent="0.3">
      <c r="A14618" s="1192" t="s">
        <v>621</v>
      </c>
      <c r="B14618" s="1192" t="s">
        <v>4613</v>
      </c>
      <c r="E14618" s="1750" t="s">
        <v>2405</v>
      </c>
      <c r="F14618" s="1741"/>
      <c r="G14618" s="1277"/>
      <c r="H14618" s="896"/>
      <c r="K14618" s="1192" t="s">
        <v>2427</v>
      </c>
      <c r="V14618" s="1192">
        <v>48</v>
      </c>
    </row>
    <row r="14619" spans="1:22" s="1192" customFormat="1" ht="14.4" x14ac:dyDescent="0.3">
      <c r="A14619" s="1192" t="s">
        <v>621</v>
      </c>
      <c r="B14619" s="1192" t="s">
        <v>4613</v>
      </c>
      <c r="E14619" s="1741" t="s">
        <v>2033</v>
      </c>
      <c r="F14619" s="1741"/>
      <c r="G14619" s="1277" t="s">
        <v>20</v>
      </c>
      <c r="H14619" s="1219">
        <v>3.0000000000000001E-3</v>
      </c>
      <c r="K14619" s="1192" t="s">
        <v>2687</v>
      </c>
      <c r="L14619" s="1192" t="s">
        <v>2374</v>
      </c>
      <c r="P14619" s="1192" t="s">
        <v>2696</v>
      </c>
      <c r="V14619" s="1192">
        <v>55</v>
      </c>
    </row>
    <row r="14620" spans="1:22" s="1192" customFormat="1" ht="14.4" x14ac:dyDescent="0.3">
      <c r="A14620" s="1192" t="s">
        <v>621</v>
      </c>
      <c r="B14620" s="1192" t="s">
        <v>4613</v>
      </c>
      <c r="E14620" s="1741" t="s">
        <v>2034</v>
      </c>
      <c r="F14620" s="1741"/>
      <c r="G14620" s="1277" t="s">
        <v>20</v>
      </c>
      <c r="H14620" s="1219">
        <v>4.0000000000000002E-4</v>
      </c>
      <c r="K14620" s="1192" t="s">
        <v>2687</v>
      </c>
      <c r="L14620" s="1192" t="s">
        <v>2374</v>
      </c>
      <c r="P14620" s="1192" t="s">
        <v>2696</v>
      </c>
      <c r="V14620" s="1192">
        <v>65</v>
      </c>
    </row>
    <row r="14621" spans="1:22" s="1192" customFormat="1" ht="14.4" x14ac:dyDescent="0.3">
      <c r="A14621" s="1192" t="s">
        <v>621</v>
      </c>
      <c r="B14621" s="1192" t="s">
        <v>4613</v>
      </c>
      <c r="E14621" s="1741" t="s">
        <v>428</v>
      </c>
      <c r="F14621" s="1741"/>
      <c r="G14621" s="1277" t="s">
        <v>20</v>
      </c>
      <c r="H14621" s="1219">
        <v>5.0000000000000001E-4</v>
      </c>
      <c r="K14621" s="1192" t="s">
        <v>2687</v>
      </c>
      <c r="L14621" s="1192" t="s">
        <v>2374</v>
      </c>
      <c r="P14621" s="1192" t="s">
        <v>2697</v>
      </c>
      <c r="V14621" s="1192">
        <v>57</v>
      </c>
    </row>
    <row r="14622" spans="1:22" s="1192" customFormat="1" ht="14.4" x14ac:dyDescent="0.3">
      <c r="A14622" s="1192" t="s">
        <v>621</v>
      </c>
      <c r="B14622" s="1192" t="s">
        <v>4613</v>
      </c>
      <c r="E14622" s="1741" t="s">
        <v>28</v>
      </c>
      <c r="F14622" s="1741"/>
      <c r="G14622" s="1277" t="s">
        <v>19</v>
      </c>
      <c r="H14622" s="1218">
        <v>0.25</v>
      </c>
      <c r="K14622" s="1192" t="s">
        <v>2687</v>
      </c>
      <c r="L14622" s="1192" t="s">
        <v>2374</v>
      </c>
      <c r="P14622" s="1192" t="s">
        <v>2698</v>
      </c>
      <c r="V14622" s="1192">
        <v>63</v>
      </c>
    </row>
    <row r="14623" spans="1:22" s="1192" customFormat="1" ht="17.399999999999999" x14ac:dyDescent="0.3">
      <c r="A14623" s="1192" t="s">
        <v>621</v>
      </c>
      <c r="B14623" s="1192" t="s">
        <v>4613</v>
      </c>
      <c r="E14623" s="1746" t="s">
        <v>593</v>
      </c>
      <c r="F14623" s="1747"/>
      <c r="G14623" s="1747"/>
      <c r="H14623" s="1747"/>
      <c r="K14623" s="1192" t="s">
        <v>2651</v>
      </c>
      <c r="V14623" s="1192">
        <v>31</v>
      </c>
    </row>
    <row r="14624" spans="1:22" s="1192" customFormat="1" ht="14.4" x14ac:dyDescent="0.3">
      <c r="A14624" s="1192" t="s">
        <v>621</v>
      </c>
      <c r="B14624" s="1192" t="s">
        <v>4613</v>
      </c>
      <c r="E14624" s="1743" t="s">
        <v>2652</v>
      </c>
      <c r="F14624" s="1743"/>
      <c r="G14624" s="1743"/>
      <c r="H14624" s="1743"/>
      <c r="K14624" s="1192" t="s">
        <v>2651</v>
      </c>
      <c r="V14624" s="1192">
        <v>285</v>
      </c>
    </row>
    <row r="14625" spans="1:22" s="1192" customFormat="1" ht="14.4" x14ac:dyDescent="0.3">
      <c r="A14625" s="1192" t="s">
        <v>621</v>
      </c>
      <c r="B14625" s="1192" t="s">
        <v>4613</v>
      </c>
      <c r="E14625" s="1750" t="s">
        <v>2389</v>
      </c>
      <c r="F14625" s="1743"/>
      <c r="G14625" s="1743"/>
      <c r="H14625" s="1743"/>
      <c r="K14625" s="1192" t="s">
        <v>2430</v>
      </c>
      <c r="V14625" s="1192">
        <v>11</v>
      </c>
    </row>
    <row r="14626" spans="1:22" s="1192" customFormat="1" ht="14.4" x14ac:dyDescent="0.3">
      <c r="A14626" s="1192" t="s">
        <v>621</v>
      </c>
      <c r="B14626" s="1192" t="s">
        <v>4613</v>
      </c>
      <c r="E14626" s="1743" t="s">
        <v>2391</v>
      </c>
      <c r="F14626" s="1743"/>
      <c r="G14626" s="1743"/>
      <c r="H14626" s="1743"/>
      <c r="K14626" s="1192" t="s">
        <v>2651</v>
      </c>
      <c r="V14626" s="1192">
        <v>280</v>
      </c>
    </row>
    <row r="14627" spans="1:22" s="1192" customFormat="1" ht="14.4" x14ac:dyDescent="0.3">
      <c r="A14627" s="1192" t="s">
        <v>621</v>
      </c>
      <c r="B14627" s="1192" t="s">
        <v>4613</v>
      </c>
      <c r="E14627" s="1743" t="s">
        <v>2392</v>
      </c>
      <c r="F14627" s="1743"/>
      <c r="G14627" s="1743"/>
      <c r="H14627" s="1743"/>
      <c r="K14627" s="1192" t="s">
        <v>2651</v>
      </c>
      <c r="V14627" s="1192">
        <v>411</v>
      </c>
    </row>
    <row r="14628" spans="1:22" s="1192" customFormat="1" ht="14.4" x14ac:dyDescent="0.3">
      <c r="A14628" s="1192" t="s">
        <v>621</v>
      </c>
      <c r="B14628" s="1192" t="s">
        <v>4613</v>
      </c>
      <c r="E14628" s="1743" t="s">
        <v>2445</v>
      </c>
      <c r="F14628" s="1743"/>
      <c r="G14628" s="1743"/>
      <c r="H14628" s="1743"/>
      <c r="K14628" s="1192" t="s">
        <v>2651</v>
      </c>
      <c r="V14628" s="1192">
        <v>211</v>
      </c>
    </row>
    <row r="14629" spans="1:22" s="1192" customFormat="1" ht="14.4" x14ac:dyDescent="0.3">
      <c r="A14629" s="1192" t="s">
        <v>621</v>
      </c>
      <c r="B14629" s="1192" t="s">
        <v>4613</v>
      </c>
      <c r="E14629" s="1743" t="s">
        <v>2986</v>
      </c>
      <c r="F14629" s="1743"/>
      <c r="G14629" s="1743"/>
      <c r="H14629" s="1743"/>
      <c r="K14629" s="1192" t="s">
        <v>2651</v>
      </c>
      <c r="V14629" s="1192">
        <v>246</v>
      </c>
    </row>
    <row r="14630" spans="1:22" s="1192" customFormat="1" ht="14.4" x14ac:dyDescent="0.3">
      <c r="A14630" s="1192" t="s">
        <v>621</v>
      </c>
      <c r="B14630" s="1192" t="s">
        <v>4613</v>
      </c>
      <c r="E14630" s="1750" t="s">
        <v>2394</v>
      </c>
      <c r="F14630" s="1743"/>
      <c r="G14630" s="1743"/>
      <c r="H14630" s="1743"/>
      <c r="K14630" s="1192" t="s">
        <v>2431</v>
      </c>
      <c r="V14630" s="1192">
        <v>46</v>
      </c>
    </row>
    <row r="14631" spans="1:22" s="1192" customFormat="1" ht="14.4" x14ac:dyDescent="0.3">
      <c r="A14631" s="1192" t="s">
        <v>621</v>
      </c>
      <c r="B14631" s="1192" t="s">
        <v>4613</v>
      </c>
      <c r="E14631" s="1741" t="s">
        <v>7</v>
      </c>
      <c r="F14631" s="1741"/>
      <c r="G14631" s="1277" t="s">
        <v>19</v>
      </c>
      <c r="H14631" s="1218">
        <v>4.55</v>
      </c>
      <c r="K14631" s="1192" t="s">
        <v>2651</v>
      </c>
      <c r="L14631" s="1192" t="s">
        <v>430</v>
      </c>
      <c r="P14631" s="1192" t="s">
        <v>2653</v>
      </c>
      <c r="V14631" s="1192">
        <v>14</v>
      </c>
    </row>
    <row r="14632" spans="1:22" s="1192" customFormat="1" x14ac:dyDescent="0.35">
      <c r="A14632" s="1192" t="s">
        <v>621</v>
      </c>
      <c r="B14632" s="1192" t="s">
        <v>4613</v>
      </c>
      <c r="E14632" s="1260" t="s">
        <v>81</v>
      </c>
      <c r="F14632" s="550"/>
      <c r="G14632" s="550"/>
      <c r="H14632" s="881"/>
      <c r="K14632" s="1192" t="s">
        <v>4619</v>
      </c>
      <c r="V14632" s="1192">
        <v>10</v>
      </c>
    </row>
    <row r="14633" spans="1:22" s="1192" customFormat="1" ht="14.4" x14ac:dyDescent="0.3">
      <c r="A14633" s="1192" t="s">
        <v>621</v>
      </c>
      <c r="B14633" s="1192" t="s">
        <v>4613</v>
      </c>
      <c r="E14633" s="1741" t="s">
        <v>2449</v>
      </c>
      <c r="F14633" s="1741"/>
      <c r="G14633" s="1277" t="s">
        <v>29</v>
      </c>
      <c r="H14633" s="1219">
        <v>-0.6</v>
      </c>
      <c r="V14633" s="1192">
        <v>68</v>
      </c>
    </row>
    <row r="14634" spans="1:22" s="1192" customFormat="1" ht="14.4" x14ac:dyDescent="0.3">
      <c r="A14634" s="1192" t="s">
        <v>621</v>
      </c>
      <c r="B14634" s="1192" t="s">
        <v>4613</v>
      </c>
      <c r="E14634" s="1741" t="s">
        <v>2450</v>
      </c>
      <c r="F14634" s="1741"/>
      <c r="G14634" s="1277" t="s">
        <v>82</v>
      </c>
      <c r="H14634" s="1218">
        <v>-1</v>
      </c>
      <c r="V14634" s="1192">
        <v>87</v>
      </c>
    </row>
    <row r="14635" spans="1:22" s="1192" customFormat="1" x14ac:dyDescent="0.35">
      <c r="A14635" s="1192" t="s">
        <v>621</v>
      </c>
      <c r="B14635" s="1192" t="s">
        <v>4613</v>
      </c>
      <c r="E14635" s="1260" t="s">
        <v>83</v>
      </c>
      <c r="F14635" s="550"/>
      <c r="G14635" s="550"/>
      <c r="H14635" s="881"/>
      <c r="K14635" s="1192" t="s">
        <v>4620</v>
      </c>
      <c r="V14635" s="1192">
        <v>24</v>
      </c>
    </row>
    <row r="14636" spans="1:22" s="1192" customFormat="1" ht="14.4" x14ac:dyDescent="0.3">
      <c r="A14636" s="1192" t="s">
        <v>621</v>
      </c>
      <c r="B14636" s="1192" t="s">
        <v>4613</v>
      </c>
      <c r="E14636" s="1743" t="s">
        <v>2391</v>
      </c>
      <c r="F14636" s="1743"/>
      <c r="G14636" s="1743"/>
      <c r="H14636" s="1743"/>
      <c r="V14636" s="1192">
        <v>280</v>
      </c>
    </row>
    <row r="14637" spans="1:22" s="1192" customFormat="1" ht="14.4" x14ac:dyDescent="0.3">
      <c r="A14637" s="1192" t="s">
        <v>621</v>
      </c>
      <c r="B14637" s="1192" t="s">
        <v>4613</v>
      </c>
      <c r="E14637" s="1743" t="s">
        <v>2452</v>
      </c>
      <c r="F14637" s="1743"/>
      <c r="G14637" s="1743"/>
      <c r="H14637" s="1743"/>
      <c r="V14637" s="1192">
        <v>353</v>
      </c>
    </row>
    <row r="14638" spans="1:22" s="1192" customFormat="1" ht="14.4" x14ac:dyDescent="0.3">
      <c r="A14638" s="1192" t="s">
        <v>621</v>
      </c>
      <c r="B14638" s="1192" t="s">
        <v>4613</v>
      </c>
      <c r="E14638" s="1743" t="s">
        <v>2986</v>
      </c>
      <c r="F14638" s="1743"/>
      <c r="G14638" s="1743"/>
      <c r="H14638" s="1743"/>
      <c r="V14638" s="1192">
        <v>246</v>
      </c>
    </row>
    <row r="14639" spans="1:22" s="1192" customFormat="1" ht="14.4" x14ac:dyDescent="0.3">
      <c r="A14639" s="1192" t="s">
        <v>621</v>
      </c>
      <c r="B14639" s="1192" t="s">
        <v>4613</v>
      </c>
      <c r="E14639" s="1258" t="s">
        <v>2453</v>
      </c>
      <c r="F14639" s="3"/>
      <c r="G14639" s="3"/>
      <c r="H14639" s="897"/>
      <c r="K14639" s="1192" t="s">
        <v>4621</v>
      </c>
      <c r="V14639" s="1192">
        <v>23</v>
      </c>
    </row>
    <row r="14640" spans="1:22" s="1192" customFormat="1" ht="14.4" x14ac:dyDescent="0.3">
      <c r="A14640" s="1192" t="s">
        <v>621</v>
      </c>
      <c r="B14640" s="1192" t="s">
        <v>4613</v>
      </c>
      <c r="E14640" s="1942" t="s">
        <v>2462</v>
      </c>
      <c r="F14640" s="1942"/>
      <c r="G14640" s="1277" t="s">
        <v>19</v>
      </c>
      <c r="H14640" s="1218">
        <v>15</v>
      </c>
      <c r="V14640" s="1192">
        <v>19</v>
      </c>
    </row>
    <row r="14641" spans="1:22" s="1192" customFormat="1" ht="14.4" x14ac:dyDescent="0.3">
      <c r="A14641" s="1192" t="s">
        <v>621</v>
      </c>
      <c r="B14641" s="1192" t="s">
        <v>4613</v>
      </c>
      <c r="E14641" s="1942" t="s">
        <v>2463</v>
      </c>
      <c r="F14641" s="1942"/>
      <c r="G14641" s="1277" t="s">
        <v>19</v>
      </c>
      <c r="H14641" s="1218">
        <v>15</v>
      </c>
      <c r="V14641" s="1192">
        <v>15</v>
      </c>
    </row>
    <row r="14642" spans="1:22" s="1192" customFormat="1" ht="14.4" x14ac:dyDescent="0.3">
      <c r="A14642" s="1192" t="s">
        <v>621</v>
      </c>
      <c r="B14642" s="1192" t="s">
        <v>4613</v>
      </c>
      <c r="E14642" s="1942" t="s">
        <v>119</v>
      </c>
      <c r="F14642" s="1942"/>
      <c r="G14642" s="1277" t="s">
        <v>19</v>
      </c>
      <c r="H14642" s="1218">
        <v>15</v>
      </c>
      <c r="V14642" s="1192">
        <v>35</v>
      </c>
    </row>
    <row r="14643" spans="1:22" s="1192" customFormat="1" ht="14.4" x14ac:dyDescent="0.3">
      <c r="A14643" s="1192" t="s">
        <v>621</v>
      </c>
      <c r="B14643" s="1192" t="s">
        <v>4613</v>
      </c>
      <c r="E14643" s="1942" t="s">
        <v>2467</v>
      </c>
      <c r="F14643" s="1942"/>
      <c r="G14643" s="1277" t="s">
        <v>19</v>
      </c>
      <c r="H14643" s="1218">
        <v>15</v>
      </c>
      <c r="V14643" s="1192">
        <v>19</v>
      </c>
    </row>
    <row r="14644" spans="1:22" s="1192" customFormat="1" ht="14.4" x14ac:dyDescent="0.3">
      <c r="A14644" s="1192" t="s">
        <v>621</v>
      </c>
      <c r="B14644" s="1192" t="s">
        <v>4613</v>
      </c>
      <c r="E14644" s="1942" t="s">
        <v>84</v>
      </c>
      <c r="F14644" s="1942"/>
      <c r="G14644" s="1277" t="s">
        <v>19</v>
      </c>
      <c r="H14644" s="1218">
        <v>30</v>
      </c>
      <c r="V14644" s="1192">
        <v>89</v>
      </c>
    </row>
    <row r="14645" spans="1:22" s="1192" customFormat="1" ht="14.4" x14ac:dyDescent="0.3">
      <c r="A14645" s="1192" t="s">
        <v>621</v>
      </c>
      <c r="B14645" s="1192" t="s">
        <v>4613</v>
      </c>
      <c r="E14645" s="1750" t="s">
        <v>2468</v>
      </c>
      <c r="F14645" s="1998"/>
      <c r="G14645" s="1998"/>
      <c r="H14645" s="1998"/>
      <c r="K14645" s="1192" t="s">
        <v>6819</v>
      </c>
      <c r="V14645" s="1192">
        <v>22</v>
      </c>
    </row>
    <row r="14646" spans="1:22" s="1192" customFormat="1" ht="14.4" x14ac:dyDescent="0.3">
      <c r="A14646" s="1192" t="s">
        <v>621</v>
      </c>
      <c r="B14646" s="1192" t="s">
        <v>4613</v>
      </c>
      <c r="E14646" s="1942" t="s">
        <v>6820</v>
      </c>
      <c r="F14646" s="1942"/>
      <c r="G14646" s="1277" t="s">
        <v>82</v>
      </c>
      <c r="H14646" s="1218">
        <v>1.5</v>
      </c>
      <c r="V14646" s="1192">
        <v>100</v>
      </c>
    </row>
    <row r="14647" spans="1:22" s="1192" customFormat="1" ht="14.4" x14ac:dyDescent="0.3">
      <c r="A14647" s="1192" t="s">
        <v>621</v>
      </c>
      <c r="B14647" s="1192" t="s">
        <v>4613</v>
      </c>
      <c r="E14647" s="1942" t="s">
        <v>6106</v>
      </c>
      <c r="F14647" s="1942"/>
      <c r="G14647" s="1277" t="s">
        <v>19</v>
      </c>
      <c r="H14647" s="1218">
        <v>65</v>
      </c>
      <c r="V14647" s="1192">
        <v>44</v>
      </c>
    </row>
    <row r="14648" spans="1:22" s="1192" customFormat="1" ht="14.4" x14ac:dyDescent="0.3">
      <c r="A14648" s="1192" t="s">
        <v>621</v>
      </c>
      <c r="B14648" s="1192" t="s">
        <v>4613</v>
      </c>
      <c r="E14648" s="1942" t="s">
        <v>6107</v>
      </c>
      <c r="F14648" s="1942"/>
      <c r="G14648" s="1277" t="s">
        <v>19</v>
      </c>
      <c r="H14648" s="1218">
        <v>185</v>
      </c>
      <c r="V14648" s="1192">
        <v>43</v>
      </c>
    </row>
    <row r="14649" spans="1:22" s="1192" customFormat="1" ht="14.4" x14ac:dyDescent="0.3">
      <c r="A14649" s="1192" t="s">
        <v>621</v>
      </c>
      <c r="B14649" s="1192" t="s">
        <v>4613</v>
      </c>
      <c r="E14649" s="1942" t="s">
        <v>6108</v>
      </c>
      <c r="F14649" s="1942"/>
      <c r="G14649" s="1277" t="s">
        <v>19</v>
      </c>
      <c r="H14649" s="1218">
        <v>185</v>
      </c>
      <c r="V14649" s="1192">
        <v>43</v>
      </c>
    </row>
    <row r="14650" spans="1:22" s="1192" customFormat="1" ht="14.4" x14ac:dyDescent="0.3">
      <c r="A14650" s="1192" t="s">
        <v>621</v>
      </c>
      <c r="B14650" s="1192" t="s">
        <v>4613</v>
      </c>
      <c r="E14650" s="1942" t="s">
        <v>6115</v>
      </c>
      <c r="F14650" s="1942"/>
      <c r="G14650" s="1277" t="s">
        <v>19</v>
      </c>
      <c r="H14650" s="1218">
        <v>415</v>
      </c>
      <c r="V14650" s="1192">
        <v>42</v>
      </c>
    </row>
    <row r="14651" spans="1:22" s="1192" customFormat="1" ht="14.4" x14ac:dyDescent="0.3">
      <c r="A14651" s="1192" t="s">
        <v>621</v>
      </c>
      <c r="B14651" s="1192" t="s">
        <v>4613</v>
      </c>
      <c r="E14651" s="1258" t="s">
        <v>2474</v>
      </c>
      <c r="F14651" s="3"/>
      <c r="G14651" s="3"/>
      <c r="H14651" s="897"/>
      <c r="V14651" s="1192">
        <v>5</v>
      </c>
    </row>
    <row r="14652" spans="1:22" s="1192" customFormat="1" ht="14.4" x14ac:dyDescent="0.3">
      <c r="A14652" s="1192" t="s">
        <v>621</v>
      </c>
      <c r="B14652" s="1192" t="s">
        <v>4613</v>
      </c>
      <c r="E14652" s="1942" t="s">
        <v>2760</v>
      </c>
      <c r="F14652" s="1942"/>
      <c r="G14652" s="1277" t="s">
        <v>19</v>
      </c>
      <c r="H14652" s="1218">
        <v>44.5</v>
      </c>
      <c r="V14652" s="1192">
        <v>59</v>
      </c>
    </row>
    <row r="14653" spans="1:22" s="1192" customFormat="1" ht="14.4" x14ac:dyDescent="0.3">
      <c r="A14653" s="1192" t="s">
        <v>621</v>
      </c>
      <c r="B14653" s="1192" t="s">
        <v>4613</v>
      </c>
      <c r="E14653" s="1942" t="s">
        <v>2476</v>
      </c>
      <c r="F14653" s="1942"/>
      <c r="G14653" s="1277"/>
      <c r="H14653" s="837"/>
      <c r="V14653" s="1192">
        <v>44</v>
      </c>
    </row>
    <row r="14654" spans="1:22" s="1192" customFormat="1" ht="14.4" x14ac:dyDescent="0.3">
      <c r="A14654" s="1192" t="s">
        <v>621</v>
      </c>
      <c r="B14654" s="1192" t="s">
        <v>4613</v>
      </c>
      <c r="E14654" s="1942" t="s">
        <v>3399</v>
      </c>
      <c r="F14654" s="1942"/>
      <c r="G14654" s="1277" t="s">
        <v>19</v>
      </c>
      <c r="H14654" s="1218">
        <v>25</v>
      </c>
      <c r="V14654" s="1192">
        <v>50</v>
      </c>
    </row>
    <row r="14655" spans="1:22" s="1192" customFormat="1" ht="14.4" x14ac:dyDescent="0.3">
      <c r="A14655" s="1192" t="s">
        <v>621</v>
      </c>
      <c r="B14655" s="1192" t="s">
        <v>4613</v>
      </c>
      <c r="E14655" s="1942" t="s">
        <v>2703</v>
      </c>
      <c r="F14655" s="1942"/>
      <c r="G14655" s="1277" t="s">
        <v>19</v>
      </c>
      <c r="H14655" s="1218">
        <v>500</v>
      </c>
      <c r="V14655" s="1192">
        <v>64</v>
      </c>
    </row>
    <row r="14656" spans="1:22" s="1192" customFormat="1" ht="14.4" x14ac:dyDescent="0.3">
      <c r="A14656" s="1192" t="s">
        <v>621</v>
      </c>
      <c r="B14656" s="1192" t="s">
        <v>4613</v>
      </c>
      <c r="E14656" s="1942" t="s">
        <v>2758</v>
      </c>
      <c r="F14656" s="1942"/>
      <c r="G14656" s="1277" t="s">
        <v>19</v>
      </c>
      <c r="H14656" s="1218">
        <v>300</v>
      </c>
      <c r="V14656" s="1192">
        <v>67</v>
      </c>
    </row>
    <row r="14657" spans="1:22" s="1192" customFormat="1" ht="34.799999999999997" x14ac:dyDescent="0.35">
      <c r="A14657" s="1192" t="s">
        <v>621</v>
      </c>
      <c r="B14657" s="1192" t="s">
        <v>4613</v>
      </c>
      <c r="E14657" s="1260" t="s">
        <v>73</v>
      </c>
      <c r="F14657" s="550"/>
      <c r="G14657" s="550"/>
      <c r="H14657" s="881"/>
      <c r="K14657" s="1192" t="s">
        <v>4622</v>
      </c>
      <c r="V14657" s="1192">
        <v>38</v>
      </c>
    </row>
    <row r="14658" spans="1:22" s="1192" customFormat="1" ht="14.4" x14ac:dyDescent="0.3">
      <c r="A14658" s="1192" t="s">
        <v>621</v>
      </c>
      <c r="B14658" s="1192" t="s">
        <v>4613</v>
      </c>
      <c r="E14658" s="1743" t="s">
        <v>2391</v>
      </c>
      <c r="F14658" s="1743"/>
      <c r="G14658" s="1743"/>
      <c r="H14658" s="1743"/>
      <c r="V14658" s="1192">
        <v>280</v>
      </c>
    </row>
    <row r="14659" spans="1:22" s="1192" customFormat="1" ht="14.4" x14ac:dyDescent="0.3">
      <c r="A14659" s="1192" t="s">
        <v>621</v>
      </c>
      <c r="B14659" s="1192" t="s">
        <v>4613</v>
      </c>
      <c r="E14659" s="1743" t="s">
        <v>2392</v>
      </c>
      <c r="F14659" s="1743"/>
      <c r="G14659" s="1743"/>
      <c r="H14659" s="1743"/>
      <c r="V14659" s="1192">
        <v>411</v>
      </c>
    </row>
    <row r="14660" spans="1:22" s="1192" customFormat="1" ht="14.4" x14ac:dyDescent="0.3">
      <c r="A14660" s="1192" t="s">
        <v>621</v>
      </c>
      <c r="B14660" s="1192" t="s">
        <v>4613</v>
      </c>
      <c r="E14660" s="1743" t="s">
        <v>2445</v>
      </c>
      <c r="F14660" s="1743"/>
      <c r="G14660" s="1743"/>
      <c r="H14660" s="1743"/>
      <c r="V14660" s="1192">
        <v>211</v>
      </c>
    </row>
    <row r="14661" spans="1:22" s="1192" customFormat="1" ht="14.4" x14ac:dyDescent="0.3">
      <c r="A14661" s="1192" t="s">
        <v>621</v>
      </c>
      <c r="B14661" s="1192" t="s">
        <v>4613</v>
      </c>
      <c r="E14661" s="1743" t="s">
        <v>2986</v>
      </c>
      <c r="F14661" s="1743"/>
      <c r="G14661" s="1743"/>
      <c r="H14661" s="1743"/>
      <c r="V14661" s="1192">
        <v>246</v>
      </c>
    </row>
    <row r="14662" spans="1:22" s="1192" customFormat="1" ht="14.4" x14ac:dyDescent="0.3">
      <c r="A14662" s="1192" t="s">
        <v>621</v>
      </c>
      <c r="B14662" s="1192" t="s">
        <v>4613</v>
      </c>
      <c r="E14662" s="1743" t="s">
        <v>2595</v>
      </c>
      <c r="F14662" s="1743"/>
      <c r="G14662" s="1743"/>
      <c r="H14662" s="1743"/>
      <c r="V14662" s="1192">
        <v>142</v>
      </c>
    </row>
    <row r="14663" spans="1:22" s="1192" customFormat="1" ht="14.4" x14ac:dyDescent="0.3">
      <c r="A14663" s="1192" t="s">
        <v>621</v>
      </c>
      <c r="B14663" s="1192" t="s">
        <v>4613</v>
      </c>
      <c r="E14663" s="1741" t="s">
        <v>2485</v>
      </c>
      <c r="F14663" s="1741"/>
      <c r="G14663" s="360" t="s">
        <v>19</v>
      </c>
      <c r="H14663" s="1218">
        <v>102</v>
      </c>
      <c r="V14663" s="1192">
        <v>106</v>
      </c>
    </row>
    <row r="14664" spans="1:22" s="1192" customFormat="1" ht="14.4" x14ac:dyDescent="0.3">
      <c r="A14664" s="1192" t="s">
        <v>621</v>
      </c>
      <c r="B14664" s="1192" t="s">
        <v>4613</v>
      </c>
      <c r="E14664" s="1741" t="s">
        <v>2486</v>
      </c>
      <c r="F14664" s="1741"/>
      <c r="G14664" s="360" t="s">
        <v>19</v>
      </c>
      <c r="H14664" s="1218">
        <v>40.799999999999997</v>
      </c>
      <c r="V14664" s="1192">
        <v>34</v>
      </c>
    </row>
    <row r="14665" spans="1:22" s="1192" customFormat="1" ht="14.4" x14ac:dyDescent="0.3">
      <c r="A14665" s="1192" t="s">
        <v>621</v>
      </c>
      <c r="B14665" s="1192" t="s">
        <v>4613</v>
      </c>
      <c r="E14665" s="1741" t="s">
        <v>2487</v>
      </c>
      <c r="F14665" s="1741"/>
      <c r="G14665" s="360" t="s">
        <v>2488</v>
      </c>
      <c r="H14665" s="1218">
        <v>1.02</v>
      </c>
      <c r="V14665" s="1192">
        <v>51</v>
      </c>
    </row>
    <row r="14666" spans="1:22" s="1192" customFormat="1" ht="14.4" x14ac:dyDescent="0.3">
      <c r="A14666" s="1192" t="s">
        <v>621</v>
      </c>
      <c r="B14666" s="1192" t="s">
        <v>4613</v>
      </c>
      <c r="E14666" s="1741" t="s">
        <v>2489</v>
      </c>
      <c r="F14666" s="1741"/>
      <c r="G14666" s="360" t="s">
        <v>2488</v>
      </c>
      <c r="H14666" s="1218">
        <v>0.61</v>
      </c>
      <c r="V14666" s="1192">
        <v>75</v>
      </c>
    </row>
    <row r="14667" spans="1:22" s="1192" customFormat="1" ht="14.4" x14ac:dyDescent="0.3">
      <c r="A14667" s="1192" t="s">
        <v>621</v>
      </c>
      <c r="B14667" s="1192" t="s">
        <v>4613</v>
      </c>
      <c r="E14667" s="1741" t="s">
        <v>2490</v>
      </c>
      <c r="F14667" s="1741"/>
      <c r="G14667" s="360" t="s">
        <v>2488</v>
      </c>
      <c r="H14667" s="1218">
        <v>-0.61</v>
      </c>
      <c r="V14667" s="1192">
        <v>72</v>
      </c>
    </row>
    <row r="14668" spans="1:22" s="1192" customFormat="1" ht="14.4" x14ac:dyDescent="0.3">
      <c r="A14668" s="1192" t="s">
        <v>621</v>
      </c>
      <c r="B14668" s="1192" t="s">
        <v>4613</v>
      </c>
      <c r="E14668" s="1741" t="s">
        <v>2491</v>
      </c>
      <c r="F14668" s="1741"/>
      <c r="G14668" s="1998"/>
      <c r="H14668" s="1998"/>
      <c r="V14668" s="1192">
        <v>35</v>
      </c>
    </row>
    <row r="14669" spans="1:22" s="1192" customFormat="1" ht="14.4" x14ac:dyDescent="0.3">
      <c r="A14669" s="1192" t="s">
        <v>621</v>
      </c>
      <c r="B14669" s="1192" t="s">
        <v>4613</v>
      </c>
      <c r="E14669" s="1941" t="s">
        <v>2492</v>
      </c>
      <c r="F14669" s="1941"/>
      <c r="G14669" s="360" t="s">
        <v>19</v>
      </c>
      <c r="H14669" s="1218">
        <v>0.51</v>
      </c>
      <c r="V14669" s="1192">
        <v>57</v>
      </c>
    </row>
    <row r="14670" spans="1:22" s="1192" customFormat="1" ht="14.4" x14ac:dyDescent="0.3">
      <c r="A14670" s="1192" t="s">
        <v>621</v>
      </c>
      <c r="B14670" s="1192" t="s">
        <v>4613</v>
      </c>
      <c r="E14670" s="1941" t="s">
        <v>2493</v>
      </c>
      <c r="F14670" s="1941"/>
      <c r="G14670" s="360" t="s">
        <v>19</v>
      </c>
      <c r="H14670" s="1218">
        <v>1.02</v>
      </c>
      <c r="V14670" s="1192">
        <v>60</v>
      </c>
    </row>
    <row r="14671" spans="1:22" s="1192" customFormat="1" ht="14.4" x14ac:dyDescent="0.3">
      <c r="A14671" s="1192" t="s">
        <v>621</v>
      </c>
      <c r="B14671" s="1192" t="s">
        <v>4613</v>
      </c>
      <c r="E14671" s="1741" t="s">
        <v>2494</v>
      </c>
      <c r="F14671" s="1741"/>
      <c r="G14671" s="1998"/>
      <c r="H14671" s="1998"/>
      <c r="V14671" s="1192">
        <v>91</v>
      </c>
    </row>
    <row r="14672" spans="1:22" s="1192" customFormat="1" ht="14.4" x14ac:dyDescent="0.3">
      <c r="A14672" s="1192" t="s">
        <v>621</v>
      </c>
      <c r="B14672" s="1192" t="s">
        <v>4613</v>
      </c>
      <c r="E14672" s="1741" t="s">
        <v>2495</v>
      </c>
      <c r="F14672" s="1741"/>
      <c r="G14672" s="1998"/>
      <c r="H14672" s="1998"/>
      <c r="V14672" s="1192">
        <v>96</v>
      </c>
    </row>
    <row r="14673" spans="1:22" s="1192" customFormat="1" ht="14.4" x14ac:dyDescent="0.3">
      <c r="A14673" s="1192" t="s">
        <v>621</v>
      </c>
      <c r="B14673" s="1192" t="s">
        <v>4613</v>
      </c>
      <c r="E14673" s="1741" t="s">
        <v>2496</v>
      </c>
      <c r="F14673" s="1741"/>
      <c r="G14673" s="1998"/>
      <c r="H14673" s="1998"/>
      <c r="V14673" s="1192">
        <v>78</v>
      </c>
    </row>
    <row r="14674" spans="1:22" s="1192" customFormat="1" ht="14.4" x14ac:dyDescent="0.3">
      <c r="A14674" s="1192" t="s">
        <v>621</v>
      </c>
      <c r="B14674" s="1192" t="s">
        <v>4613</v>
      </c>
      <c r="E14674" s="1941" t="s">
        <v>2497</v>
      </c>
      <c r="F14674" s="1941"/>
      <c r="G14674" s="360" t="s">
        <v>19</v>
      </c>
      <c r="H14674" s="837" t="s">
        <v>2498</v>
      </c>
      <c r="V14674" s="1192">
        <v>18</v>
      </c>
    </row>
    <row r="14675" spans="1:22" s="1192" customFormat="1" ht="14.4" x14ac:dyDescent="0.3">
      <c r="A14675" s="1192" t="s">
        <v>621</v>
      </c>
      <c r="B14675" s="1192" t="s">
        <v>4613</v>
      </c>
      <c r="E14675" s="1941" t="s">
        <v>2499</v>
      </c>
      <c r="F14675" s="1941"/>
      <c r="G14675" s="360" t="s">
        <v>19</v>
      </c>
      <c r="H14675" s="1218">
        <v>4.08</v>
      </c>
      <c r="V14675" s="1192">
        <v>69</v>
      </c>
    </row>
    <row r="14676" spans="1:22" s="1192" customFormat="1" ht="14.4" x14ac:dyDescent="0.3">
      <c r="A14676" s="1192" t="s">
        <v>621</v>
      </c>
      <c r="B14676" s="1192" t="s">
        <v>4613</v>
      </c>
      <c r="E14676" s="1741" t="s">
        <v>4623</v>
      </c>
      <c r="F14676" s="1741"/>
      <c r="G14676" s="360" t="s">
        <v>19</v>
      </c>
      <c r="H14676" s="1218">
        <v>2.04</v>
      </c>
      <c r="V14676" s="1192">
        <v>199</v>
      </c>
    </row>
    <row r="14677" spans="1:22" s="1192" customFormat="1" x14ac:dyDescent="0.35">
      <c r="A14677" s="1192" t="s">
        <v>621</v>
      </c>
      <c r="B14677" s="1192" t="s">
        <v>4613</v>
      </c>
      <c r="E14677" s="1260" t="s">
        <v>143</v>
      </c>
      <c r="F14677" s="550"/>
      <c r="G14677" s="550"/>
      <c r="H14677" s="881"/>
      <c r="K14677" s="1192" t="s">
        <v>4624</v>
      </c>
      <c r="V14677" s="1192">
        <v>12</v>
      </c>
    </row>
    <row r="14678" spans="1:22" s="1192" customFormat="1" ht="14.4" x14ac:dyDescent="0.3">
      <c r="A14678" s="1192" t="s">
        <v>621</v>
      </c>
      <c r="B14678" s="1192" t="s">
        <v>4613</v>
      </c>
      <c r="E14678" s="1741" t="s">
        <v>2501</v>
      </c>
      <c r="F14678" s="1741"/>
      <c r="G14678" s="1741"/>
      <c r="H14678" s="1741"/>
      <c r="V14678" s="1192">
        <v>203</v>
      </c>
    </row>
    <row r="14679" spans="1:22" s="1192" customFormat="1" ht="14.4" x14ac:dyDescent="0.3">
      <c r="A14679" s="1192" t="s">
        <v>621</v>
      </c>
      <c r="B14679" s="1192" t="s">
        <v>4613</v>
      </c>
      <c r="E14679" s="1741" t="s">
        <v>2599</v>
      </c>
      <c r="F14679" s="1741"/>
      <c r="G14679" s="1277"/>
      <c r="H14679" s="837">
        <v>1.0682</v>
      </c>
      <c r="V14679" s="1192">
        <v>57</v>
      </c>
    </row>
    <row r="14680" spans="1:22" s="1192" customFormat="1" ht="14.4" x14ac:dyDescent="0.3">
      <c r="A14680" s="1192" t="s">
        <v>621</v>
      </c>
      <c r="B14680" s="1192" t="s">
        <v>4613</v>
      </c>
      <c r="E14680" s="1741" t="s">
        <v>2601</v>
      </c>
      <c r="F14680" s="1741"/>
      <c r="G14680" s="1277"/>
      <c r="H14680" s="837">
        <v>1.0576000000000001</v>
      </c>
      <c r="J14680" s="1192" t="s">
        <v>4625</v>
      </c>
      <c r="V14680" s="1192">
        <v>55</v>
      </c>
    </row>
    <row r="14681" spans="1:22" s="1192" customFormat="1" ht="22.8" x14ac:dyDescent="0.3">
      <c r="A14681" s="1192" t="s">
        <v>621</v>
      </c>
      <c r="B14681" s="1192" t="s">
        <v>4626</v>
      </c>
      <c r="C14681" s="1192" t="s">
        <v>2378</v>
      </c>
      <c r="E14681" s="1752" t="s">
        <v>621</v>
      </c>
      <c r="F14681" s="1752"/>
      <c r="G14681" s="1752"/>
      <c r="H14681" s="1752"/>
      <c r="I14681" s="1192" t="s">
        <v>603</v>
      </c>
      <c r="J14681" s="1192" t="s">
        <v>4627</v>
      </c>
      <c r="K14681" s="1192" t="s">
        <v>621</v>
      </c>
      <c r="M14681" s="1192">
        <v>7</v>
      </c>
      <c r="V14681" s="1192">
        <v>37</v>
      </c>
    </row>
    <row r="14682" spans="1:22" s="1192" customFormat="1" ht="22.8" x14ac:dyDescent="0.3">
      <c r="A14682" s="1192" t="s">
        <v>621</v>
      </c>
      <c r="B14682" s="1192" t="s">
        <v>4626</v>
      </c>
      <c r="C14682" s="1192" t="s">
        <v>2380</v>
      </c>
      <c r="E14682" s="1752" t="s">
        <v>4628</v>
      </c>
      <c r="F14682" s="1752"/>
      <c r="G14682" s="1752"/>
      <c r="H14682" s="1752"/>
      <c r="V14682" s="1192">
        <v>38</v>
      </c>
    </row>
    <row r="14683" spans="1:22" s="1192" customFormat="1" ht="17.399999999999999" x14ac:dyDescent="0.3">
      <c r="A14683" s="1192" t="s">
        <v>621</v>
      </c>
      <c r="B14683" s="1192" t="s">
        <v>4626</v>
      </c>
      <c r="C14683" s="1192" t="s">
        <v>2382</v>
      </c>
      <c r="E14683" s="1753" t="s">
        <v>2381</v>
      </c>
      <c r="F14683" s="1753"/>
      <c r="G14683" s="1753"/>
      <c r="H14683" s="1753"/>
      <c r="V14683" s="1192">
        <v>27</v>
      </c>
    </row>
    <row r="14684" spans="1:22" s="1192" customFormat="1" ht="15.6" x14ac:dyDescent="0.3">
      <c r="A14684" s="1192" t="s">
        <v>621</v>
      </c>
      <c r="B14684" s="1192" t="s">
        <v>4626</v>
      </c>
      <c r="C14684" s="1192" t="s">
        <v>2383</v>
      </c>
      <c r="E14684" s="1754" t="s">
        <v>6482</v>
      </c>
      <c r="F14684" s="1754"/>
      <c r="G14684" s="1754"/>
      <c r="H14684" s="1754"/>
      <c r="S14684" s="1192">
        <v>43952</v>
      </c>
      <c r="V14684" s="1192">
        <v>45</v>
      </c>
    </row>
    <row r="14685" spans="1:22" s="1192" customFormat="1" ht="14.4" x14ac:dyDescent="0.3">
      <c r="A14685" s="1192" t="s">
        <v>621</v>
      </c>
      <c r="B14685" s="1192" t="s">
        <v>4626</v>
      </c>
      <c r="E14685" s="1755" t="s">
        <v>2384</v>
      </c>
      <c r="F14685" s="1755"/>
      <c r="G14685" s="1755"/>
      <c r="H14685" s="1755"/>
      <c r="V14685" s="1192">
        <v>52</v>
      </c>
    </row>
    <row r="14686" spans="1:22" s="1192" customFormat="1" ht="14.4" x14ac:dyDescent="0.3">
      <c r="A14686" s="1192" t="s">
        <v>621</v>
      </c>
      <c r="B14686" s="1192" t="s">
        <v>4626</v>
      </c>
      <c r="E14686" s="1755" t="s">
        <v>2385</v>
      </c>
      <c r="F14686" s="1755"/>
      <c r="G14686" s="1755"/>
      <c r="H14686" s="1755"/>
      <c r="V14686" s="1192">
        <v>53</v>
      </c>
    </row>
    <row r="14687" spans="1:22" s="1192" customFormat="1" ht="14.4" x14ac:dyDescent="0.3">
      <c r="A14687" s="1192" t="s">
        <v>621</v>
      </c>
      <c r="B14687" s="1192" t="s">
        <v>4626</v>
      </c>
      <c r="E14687" s="1772" t="s">
        <v>6817</v>
      </c>
      <c r="F14687" s="1772"/>
      <c r="G14687" s="1772"/>
      <c r="H14687" s="1772"/>
      <c r="K14687" s="1192" t="s">
        <v>6817</v>
      </c>
      <c r="V14687" s="1192">
        <v>12</v>
      </c>
    </row>
    <row r="14688" spans="1:22" s="1192" customFormat="1" ht="14.4" x14ac:dyDescent="0.3">
      <c r="A14688" s="1192" t="s">
        <v>621</v>
      </c>
      <c r="B14688" s="1192" t="s">
        <v>4626</v>
      </c>
      <c r="E14688" s="1746" t="s">
        <v>427</v>
      </c>
      <c r="F14688" s="1743"/>
      <c r="G14688" s="1743"/>
      <c r="H14688" s="1743"/>
      <c r="K14688" s="1192" t="s">
        <v>2506</v>
      </c>
      <c r="V14688" s="1192">
        <v>34</v>
      </c>
    </row>
    <row r="14689" spans="1:22" s="1192" customFormat="1" ht="14.4" x14ac:dyDescent="0.3">
      <c r="A14689" s="1192" t="s">
        <v>621</v>
      </c>
      <c r="B14689" s="1192" t="s">
        <v>4626</v>
      </c>
      <c r="E14689" s="1743" t="s">
        <v>3248</v>
      </c>
      <c r="F14689" s="1743"/>
      <c r="G14689" s="1743"/>
      <c r="H14689" s="1743"/>
      <c r="K14689" s="1192" t="s">
        <v>2506</v>
      </c>
      <c r="V14689" s="1192">
        <v>618</v>
      </c>
    </row>
    <row r="14690" spans="1:22" s="1192" customFormat="1" ht="14.4" x14ac:dyDescent="0.3">
      <c r="A14690" s="1192" t="s">
        <v>621</v>
      </c>
      <c r="B14690" s="1192" t="s">
        <v>4626</v>
      </c>
      <c r="E14690" s="1750" t="s">
        <v>2389</v>
      </c>
      <c r="F14690" s="1743"/>
      <c r="G14690" s="1743"/>
      <c r="H14690" s="1743"/>
      <c r="K14690" s="1192" t="s">
        <v>2390</v>
      </c>
      <c r="V14690" s="1192">
        <v>11</v>
      </c>
    </row>
    <row r="14691" spans="1:22" s="1192" customFormat="1" ht="14.4" x14ac:dyDescent="0.3">
      <c r="A14691" s="1192" t="s">
        <v>621</v>
      </c>
      <c r="B14691" s="1192" t="s">
        <v>4626</v>
      </c>
      <c r="E14691" s="1743" t="s">
        <v>3249</v>
      </c>
      <c r="F14691" s="1743"/>
      <c r="G14691" s="1743"/>
      <c r="H14691" s="1743"/>
      <c r="K14691" s="1192" t="s">
        <v>2506</v>
      </c>
      <c r="V14691" s="1192">
        <v>282</v>
      </c>
    </row>
    <row r="14692" spans="1:22" s="1192" customFormat="1" ht="14.4" x14ac:dyDescent="0.3">
      <c r="A14692" s="1192" t="s">
        <v>621</v>
      </c>
      <c r="B14692" s="1192" t="s">
        <v>4626</v>
      </c>
      <c r="E14692" s="1743" t="s">
        <v>2392</v>
      </c>
      <c r="F14692" s="1743"/>
      <c r="G14692" s="1743"/>
      <c r="H14692" s="1743"/>
      <c r="K14692" s="1192" t="s">
        <v>2506</v>
      </c>
      <c r="V14692" s="1192">
        <v>411</v>
      </c>
    </row>
    <row r="14693" spans="1:22" s="1192" customFormat="1" ht="14.4" x14ac:dyDescent="0.3">
      <c r="A14693" s="1192" t="s">
        <v>621</v>
      </c>
      <c r="B14693" s="1192" t="s">
        <v>4626</v>
      </c>
      <c r="E14693" s="1743" t="s">
        <v>2393</v>
      </c>
      <c r="F14693" s="1743"/>
      <c r="G14693" s="1743"/>
      <c r="H14693" s="1743"/>
      <c r="K14693" s="1192" t="s">
        <v>2506</v>
      </c>
      <c r="V14693" s="1192">
        <v>387</v>
      </c>
    </row>
    <row r="14694" spans="1:22" s="1192" customFormat="1" ht="14.4" x14ac:dyDescent="0.3">
      <c r="A14694" s="1192" t="s">
        <v>621</v>
      </c>
      <c r="B14694" s="1192" t="s">
        <v>4626</v>
      </c>
      <c r="E14694" s="1743" t="s">
        <v>2986</v>
      </c>
      <c r="F14694" s="1743"/>
      <c r="G14694" s="1743"/>
      <c r="H14694" s="1743"/>
      <c r="K14694" s="1192" t="s">
        <v>2506</v>
      </c>
      <c r="V14694" s="1192">
        <v>246</v>
      </c>
    </row>
    <row r="14695" spans="1:22" s="1192" customFormat="1" ht="14.4" x14ac:dyDescent="0.3">
      <c r="A14695" s="1192" t="s">
        <v>621</v>
      </c>
      <c r="B14695" s="1192" t="s">
        <v>4626</v>
      </c>
      <c r="E14695" s="1750" t="s">
        <v>2394</v>
      </c>
      <c r="F14695" s="1743"/>
      <c r="G14695" s="1743"/>
      <c r="H14695" s="1743"/>
      <c r="K14695" s="1192" t="s">
        <v>2395</v>
      </c>
      <c r="V14695" s="1192">
        <v>46</v>
      </c>
    </row>
    <row r="14696" spans="1:22" s="1192" customFormat="1" ht="14.4" x14ac:dyDescent="0.3">
      <c r="A14696" s="1192" t="s">
        <v>621</v>
      </c>
      <c r="B14696" s="1192" t="s">
        <v>4626</v>
      </c>
      <c r="E14696" s="1741" t="s">
        <v>7</v>
      </c>
      <c r="F14696" s="1741"/>
      <c r="G14696" s="1277" t="s">
        <v>19</v>
      </c>
      <c r="H14696" s="1218">
        <v>28.75</v>
      </c>
      <c r="K14696" s="1192" t="s">
        <v>2506</v>
      </c>
      <c r="L14696" s="1192" t="s">
        <v>430</v>
      </c>
      <c r="P14696" s="1192" t="s">
        <v>2510</v>
      </c>
      <c r="V14696" s="1192">
        <v>14</v>
      </c>
    </row>
    <row r="14697" spans="1:22" s="1192" customFormat="1" ht="14.4" x14ac:dyDescent="0.3">
      <c r="A14697" s="1192" t="s">
        <v>621</v>
      </c>
      <c r="B14697" s="1192" t="s">
        <v>4626</v>
      </c>
      <c r="E14697" s="1741" t="s">
        <v>3900</v>
      </c>
      <c r="F14697" s="1741"/>
      <c r="G14697" s="1277" t="s">
        <v>19</v>
      </c>
      <c r="H14697" s="1218">
        <v>0.56999999999999995</v>
      </c>
      <c r="K14697" s="1192" t="s">
        <v>2506</v>
      </c>
      <c r="L14697" s="1192" t="s">
        <v>431</v>
      </c>
      <c r="P14697" s="1192" t="s">
        <v>2511</v>
      </c>
      <c r="T14697" s="1192">
        <v>44926</v>
      </c>
      <c r="V14697" s="1192">
        <v>64</v>
      </c>
    </row>
    <row r="14698" spans="1:22" s="1192" customFormat="1" ht="14.4" x14ac:dyDescent="0.3">
      <c r="A14698" s="1192" t="s">
        <v>621</v>
      </c>
      <c r="B14698" s="1192" t="s">
        <v>4626</v>
      </c>
      <c r="E14698" s="1741" t="s">
        <v>6505</v>
      </c>
      <c r="F14698" s="1998"/>
      <c r="G14698" s="1277" t="s">
        <v>19</v>
      </c>
      <c r="H14698" s="1218">
        <v>-0.06</v>
      </c>
      <c r="K14698" s="1192" t="s">
        <v>2506</v>
      </c>
      <c r="L14698" s="1192" t="s">
        <v>430</v>
      </c>
      <c r="P14698" s="1192" t="s">
        <v>3085</v>
      </c>
      <c r="T14698" s="1192">
        <v>44316</v>
      </c>
      <c r="V14698" s="1192">
        <v>80</v>
      </c>
    </row>
    <row r="14699" spans="1:22" s="1192" customFormat="1" ht="14.4" x14ac:dyDescent="0.3">
      <c r="A14699" s="1192" t="s">
        <v>621</v>
      </c>
      <c r="B14699" s="1192" t="s">
        <v>4626</v>
      </c>
      <c r="E14699" s="1741" t="s">
        <v>6548</v>
      </c>
      <c r="F14699" s="1998"/>
      <c r="G14699" s="1277" t="s">
        <v>20</v>
      </c>
      <c r="H14699" s="1219">
        <v>2.9999999999999997E-4</v>
      </c>
      <c r="K14699" s="1192" t="s">
        <v>2506</v>
      </c>
      <c r="L14699" s="1192" t="s">
        <v>430</v>
      </c>
      <c r="P14699" s="1192" t="s">
        <v>2515</v>
      </c>
      <c r="T14699" s="1192">
        <v>44316</v>
      </c>
      <c r="V14699" s="1192">
        <v>134</v>
      </c>
    </row>
    <row r="14700" spans="1:22" s="1192" customFormat="1" ht="14.4" x14ac:dyDescent="0.3">
      <c r="A14700" s="1192" t="s">
        <v>621</v>
      </c>
      <c r="B14700" s="1192" t="s">
        <v>4626</v>
      </c>
      <c r="E14700" s="1741" t="s">
        <v>213</v>
      </c>
      <c r="F14700" s="1741"/>
      <c r="G14700" s="1277" t="s">
        <v>20</v>
      </c>
      <c r="H14700" s="1219">
        <v>8.3999999999999995E-3</v>
      </c>
      <c r="K14700" s="1192" t="s">
        <v>2506</v>
      </c>
      <c r="L14700" s="1192" t="s">
        <v>432</v>
      </c>
      <c r="P14700" s="1192" t="s">
        <v>2517</v>
      </c>
      <c r="V14700" s="1192">
        <v>47</v>
      </c>
    </row>
    <row r="14701" spans="1:22" s="1192" customFormat="1" ht="14.4" x14ac:dyDescent="0.3">
      <c r="A14701" s="1192" t="s">
        <v>621</v>
      </c>
      <c r="B14701" s="1192" t="s">
        <v>4626</v>
      </c>
      <c r="E14701" s="1741" t="s">
        <v>209</v>
      </c>
      <c r="F14701" s="1741"/>
      <c r="G14701" s="1277" t="s">
        <v>20</v>
      </c>
      <c r="H14701" s="1219">
        <v>7.7000000000000002E-3</v>
      </c>
      <c r="K14701" s="1192" t="s">
        <v>2506</v>
      </c>
      <c r="L14701" s="1192" t="s">
        <v>432</v>
      </c>
      <c r="P14701" s="1192" t="s">
        <v>2518</v>
      </c>
      <c r="V14701" s="1192">
        <v>74</v>
      </c>
    </row>
    <row r="14702" spans="1:22" s="1192" customFormat="1" ht="14.4" x14ac:dyDescent="0.3">
      <c r="A14702" s="1192" t="s">
        <v>621</v>
      </c>
      <c r="B14702" s="1192" t="s">
        <v>4626</v>
      </c>
      <c r="E14702" s="1750" t="s">
        <v>2405</v>
      </c>
      <c r="F14702" s="1741"/>
      <c r="G14702" s="1741"/>
      <c r="H14702" s="1741"/>
      <c r="K14702" s="1192" t="s">
        <v>2406</v>
      </c>
      <c r="V14702" s="1192">
        <v>48</v>
      </c>
    </row>
    <row r="14703" spans="1:22" s="1192" customFormat="1" ht="14.4" x14ac:dyDescent="0.3">
      <c r="A14703" s="1192" t="s">
        <v>621</v>
      </c>
      <c r="B14703" s="1192" t="s">
        <v>4626</v>
      </c>
      <c r="E14703" s="1741" t="s">
        <v>2033</v>
      </c>
      <c r="F14703" s="1741"/>
      <c r="G14703" s="1277" t="s">
        <v>20</v>
      </c>
      <c r="H14703" s="1219">
        <v>3.0000000000000001E-3</v>
      </c>
      <c r="K14703" s="1192" t="s">
        <v>2506</v>
      </c>
      <c r="L14703" s="1192" t="s">
        <v>2374</v>
      </c>
      <c r="P14703" s="1192" t="s">
        <v>2519</v>
      </c>
      <c r="V14703" s="1192">
        <v>55</v>
      </c>
    </row>
    <row r="14704" spans="1:22" s="1192" customFormat="1" ht="14.4" x14ac:dyDescent="0.3">
      <c r="A14704" s="1192" t="s">
        <v>621</v>
      </c>
      <c r="B14704" s="1192" t="s">
        <v>4626</v>
      </c>
      <c r="E14704" s="2007" t="s">
        <v>2034</v>
      </c>
      <c r="F14704" s="2007"/>
      <c r="G14704" s="1277" t="s">
        <v>20</v>
      </c>
      <c r="H14704" s="1219">
        <v>4.0000000000000002E-4</v>
      </c>
      <c r="K14704" s="1192" t="s">
        <v>2506</v>
      </c>
      <c r="L14704" s="1192" t="s">
        <v>2374</v>
      </c>
      <c r="P14704" s="1192" t="s">
        <v>2519</v>
      </c>
      <c r="V14704" s="1192">
        <v>65</v>
      </c>
    </row>
    <row r="14705" spans="1:22" s="1192" customFormat="1" ht="14.4" x14ac:dyDescent="0.3">
      <c r="A14705" s="1192" t="s">
        <v>621</v>
      </c>
      <c r="B14705" s="1192" t="s">
        <v>4626</v>
      </c>
      <c r="E14705" s="1741" t="s">
        <v>428</v>
      </c>
      <c r="F14705" s="1741"/>
      <c r="G14705" s="1277" t="s">
        <v>20</v>
      </c>
      <c r="H14705" s="1219">
        <v>5.0000000000000001E-4</v>
      </c>
      <c r="K14705" s="1192" t="s">
        <v>2506</v>
      </c>
      <c r="L14705" s="1192" t="s">
        <v>2374</v>
      </c>
      <c r="P14705" s="1192" t="s">
        <v>2520</v>
      </c>
      <c r="V14705" s="1192">
        <v>57</v>
      </c>
    </row>
    <row r="14706" spans="1:22" s="1192" customFormat="1" ht="14.4" x14ac:dyDescent="0.3">
      <c r="A14706" s="1192" t="s">
        <v>621</v>
      </c>
      <c r="B14706" s="1192" t="s">
        <v>4626</v>
      </c>
      <c r="E14706" s="1741" t="s">
        <v>28</v>
      </c>
      <c r="F14706" s="1741"/>
      <c r="G14706" s="1277" t="s">
        <v>19</v>
      </c>
      <c r="H14706" s="1218">
        <v>0.25</v>
      </c>
      <c r="K14706" s="1192" t="s">
        <v>2506</v>
      </c>
      <c r="L14706" s="1192" t="s">
        <v>2374</v>
      </c>
      <c r="P14706" s="1192" t="s">
        <v>2521</v>
      </c>
      <c r="V14706" s="1192">
        <v>63</v>
      </c>
    </row>
    <row r="14707" spans="1:22" s="1192" customFormat="1" ht="17.399999999999999" x14ac:dyDescent="0.3">
      <c r="A14707" s="1192" t="s">
        <v>621</v>
      </c>
      <c r="B14707" s="1192" t="s">
        <v>4626</v>
      </c>
      <c r="E14707" s="1746" t="s">
        <v>2522</v>
      </c>
      <c r="F14707" s="1747"/>
      <c r="G14707" s="1747"/>
      <c r="H14707" s="1747"/>
      <c r="K14707" s="1192" t="s">
        <v>3901</v>
      </c>
      <c r="V14707" s="1192">
        <v>54</v>
      </c>
    </row>
    <row r="14708" spans="1:22" s="1192" customFormat="1" ht="14.4" x14ac:dyDescent="0.3">
      <c r="A14708" s="1192" t="s">
        <v>621</v>
      </c>
      <c r="B14708" s="1192" t="s">
        <v>4626</v>
      </c>
      <c r="E14708" s="1743" t="s">
        <v>3250</v>
      </c>
      <c r="F14708" s="1743"/>
      <c r="G14708" s="1743"/>
      <c r="H14708" s="1743"/>
      <c r="K14708" s="1192" t="s">
        <v>3901</v>
      </c>
      <c r="V14708" s="1192">
        <v>402</v>
      </c>
    </row>
    <row r="14709" spans="1:22" s="1192" customFormat="1" ht="14.4" x14ac:dyDescent="0.3">
      <c r="A14709" s="1192" t="s">
        <v>621</v>
      </c>
      <c r="B14709" s="1192" t="s">
        <v>4626</v>
      </c>
      <c r="E14709" s="1750" t="s">
        <v>2389</v>
      </c>
      <c r="F14709" s="1743"/>
      <c r="G14709" s="1743"/>
      <c r="H14709" s="1743"/>
      <c r="K14709" s="1192" t="s">
        <v>2412</v>
      </c>
      <c r="V14709" s="1192">
        <v>11</v>
      </c>
    </row>
    <row r="14710" spans="1:22" s="1192" customFormat="1" ht="14.4" x14ac:dyDescent="0.3">
      <c r="A14710" s="1192" t="s">
        <v>621</v>
      </c>
      <c r="B14710" s="1192" t="s">
        <v>4626</v>
      </c>
      <c r="E14710" s="1743" t="s">
        <v>2391</v>
      </c>
      <c r="F14710" s="1743"/>
      <c r="G14710" s="1743"/>
      <c r="H14710" s="1743"/>
      <c r="K14710" s="1192" t="s">
        <v>3901</v>
      </c>
      <c r="V14710" s="1192">
        <v>280</v>
      </c>
    </row>
    <row r="14711" spans="1:22" s="1192" customFormat="1" ht="14.4" x14ac:dyDescent="0.3">
      <c r="A14711" s="1192" t="s">
        <v>621</v>
      </c>
      <c r="B14711" s="1192" t="s">
        <v>4626</v>
      </c>
      <c r="E14711" s="1743" t="s">
        <v>2392</v>
      </c>
      <c r="F14711" s="1743"/>
      <c r="G14711" s="1743"/>
      <c r="H14711" s="1743"/>
      <c r="K14711" s="1192" t="s">
        <v>3901</v>
      </c>
      <c r="V14711" s="1192">
        <v>411</v>
      </c>
    </row>
    <row r="14712" spans="1:22" s="1192" customFormat="1" ht="14.4" x14ac:dyDescent="0.3">
      <c r="A14712" s="1192" t="s">
        <v>621</v>
      </c>
      <c r="B14712" s="1192" t="s">
        <v>4626</v>
      </c>
      <c r="E14712" s="1743" t="s">
        <v>2393</v>
      </c>
      <c r="F14712" s="1743"/>
      <c r="G14712" s="1743"/>
      <c r="H14712" s="1743"/>
      <c r="K14712" s="1192" t="s">
        <v>3901</v>
      </c>
      <c r="V14712" s="1192">
        <v>387</v>
      </c>
    </row>
    <row r="14713" spans="1:22" s="1192" customFormat="1" ht="14.4" x14ac:dyDescent="0.3">
      <c r="A14713" s="1192" t="s">
        <v>621</v>
      </c>
      <c r="B14713" s="1192" t="s">
        <v>4626</v>
      </c>
      <c r="E14713" s="1743" t="s">
        <v>2986</v>
      </c>
      <c r="F14713" s="1743"/>
      <c r="G14713" s="1743"/>
      <c r="H14713" s="1743"/>
      <c r="K14713" s="1192" t="s">
        <v>3901</v>
      </c>
      <c r="V14713" s="1192">
        <v>246</v>
      </c>
    </row>
    <row r="14714" spans="1:22" s="1192" customFormat="1" ht="14.4" x14ac:dyDescent="0.3">
      <c r="A14714" s="1192" t="s">
        <v>621</v>
      </c>
      <c r="B14714" s="1192" t="s">
        <v>4626</v>
      </c>
      <c r="E14714" s="1750" t="s">
        <v>2394</v>
      </c>
      <c r="F14714" s="1743"/>
      <c r="G14714" s="1743"/>
      <c r="H14714" s="1743"/>
      <c r="K14714" s="1192" t="s">
        <v>2413</v>
      </c>
      <c r="V14714" s="1192">
        <v>46</v>
      </c>
    </row>
    <row r="14715" spans="1:22" s="1192" customFormat="1" ht="14.4" x14ac:dyDescent="0.3">
      <c r="A14715" s="1192" t="s">
        <v>621</v>
      </c>
      <c r="B14715" s="1192" t="s">
        <v>4626</v>
      </c>
      <c r="E14715" s="1741" t="s">
        <v>7</v>
      </c>
      <c r="F14715" s="1741"/>
      <c r="G14715" s="1277" t="s">
        <v>19</v>
      </c>
      <c r="H14715" s="1218">
        <v>31.44</v>
      </c>
      <c r="K14715" s="1192" t="s">
        <v>3901</v>
      </c>
      <c r="L14715" s="1192" t="s">
        <v>430</v>
      </c>
      <c r="P14715" s="1192" t="s">
        <v>3902</v>
      </c>
      <c r="V14715" s="1192">
        <v>14</v>
      </c>
    </row>
    <row r="14716" spans="1:22" s="1192" customFormat="1" ht="14.4" x14ac:dyDescent="0.3">
      <c r="A14716" s="1192" t="s">
        <v>621</v>
      </c>
      <c r="B14716" s="1192" t="s">
        <v>4626</v>
      </c>
      <c r="E14716" s="1741" t="s">
        <v>3900</v>
      </c>
      <c r="F14716" s="1741"/>
      <c r="G14716" s="1277" t="s">
        <v>19</v>
      </c>
      <c r="H14716" s="1218">
        <v>0.56999999999999995</v>
      </c>
      <c r="K14716" s="1192" t="s">
        <v>3901</v>
      </c>
      <c r="L14716" s="1192" t="s">
        <v>431</v>
      </c>
      <c r="P14716" s="1192" t="s">
        <v>3903</v>
      </c>
      <c r="T14716" s="1192">
        <v>44926</v>
      </c>
      <c r="V14716" s="1192">
        <v>64</v>
      </c>
    </row>
    <row r="14717" spans="1:22" s="1192" customFormat="1" ht="14.4" x14ac:dyDescent="0.3">
      <c r="A14717" s="1192" t="s">
        <v>621</v>
      </c>
      <c r="B14717" s="1192" t="s">
        <v>4626</v>
      </c>
      <c r="E14717" s="1741" t="s">
        <v>80</v>
      </c>
      <c r="F14717" s="1741"/>
      <c r="G14717" s="1277" t="s">
        <v>20</v>
      </c>
      <c r="H14717" s="1219">
        <v>2.06E-2</v>
      </c>
      <c r="K14717" s="1192" t="s">
        <v>3901</v>
      </c>
      <c r="L14717" s="1192" t="s">
        <v>430</v>
      </c>
      <c r="P14717" s="1192" t="s">
        <v>3904</v>
      </c>
      <c r="V14717" s="1192">
        <v>28</v>
      </c>
    </row>
    <row r="14718" spans="1:22" s="1192" customFormat="1" ht="14.4" x14ac:dyDescent="0.3">
      <c r="A14718" s="1192" t="s">
        <v>621</v>
      </c>
      <c r="B14718" s="1192" t="s">
        <v>4626</v>
      </c>
      <c r="E14718" s="1741" t="s">
        <v>6548</v>
      </c>
      <c r="F14718" s="1998"/>
      <c r="G14718" s="1277" t="s">
        <v>20</v>
      </c>
      <c r="H14718" s="1219">
        <v>1.6000000000000001E-3</v>
      </c>
      <c r="K14718" s="1192" t="s">
        <v>3901</v>
      </c>
      <c r="L14718" s="1192" t="s">
        <v>430</v>
      </c>
      <c r="P14718" s="1192" t="s">
        <v>4000</v>
      </c>
      <c r="T14718" s="1192">
        <v>44316</v>
      </c>
      <c r="V14718" s="1192">
        <v>134</v>
      </c>
    </row>
    <row r="14719" spans="1:22" s="1192" customFormat="1" ht="14.4" x14ac:dyDescent="0.3">
      <c r="A14719" s="1192" t="s">
        <v>621</v>
      </c>
      <c r="B14719" s="1192" t="s">
        <v>4626</v>
      </c>
      <c r="E14719" s="1741" t="s">
        <v>6505</v>
      </c>
      <c r="F14719" s="1998"/>
      <c r="G14719" s="1277" t="s">
        <v>20</v>
      </c>
      <c r="H14719" s="1219">
        <v>-1E-4</v>
      </c>
      <c r="K14719" s="1192" t="s">
        <v>3901</v>
      </c>
      <c r="L14719" s="1192" t="s">
        <v>430</v>
      </c>
      <c r="P14719" s="1192" t="s">
        <v>4062</v>
      </c>
      <c r="T14719" s="1192">
        <v>44316</v>
      </c>
      <c r="V14719" s="1192">
        <v>80</v>
      </c>
    </row>
    <row r="14720" spans="1:22" s="1192" customFormat="1" ht="14.4" x14ac:dyDescent="0.3">
      <c r="A14720" s="1192" t="s">
        <v>621</v>
      </c>
      <c r="B14720" s="1192" t="s">
        <v>4626</v>
      </c>
      <c r="E14720" s="1741" t="s">
        <v>213</v>
      </c>
      <c r="F14720" s="1741"/>
      <c r="G14720" s="1277" t="s">
        <v>20</v>
      </c>
      <c r="H14720" s="1219">
        <v>7.7000000000000002E-3</v>
      </c>
      <c r="K14720" s="1192" t="s">
        <v>3901</v>
      </c>
      <c r="L14720" s="1192" t="s">
        <v>432</v>
      </c>
      <c r="P14720" s="1192" t="s">
        <v>3906</v>
      </c>
      <c r="V14720" s="1192">
        <v>47</v>
      </c>
    </row>
    <row r="14721" spans="1:22" s="1192" customFormat="1" ht="14.4" x14ac:dyDescent="0.3">
      <c r="A14721" s="1192" t="s">
        <v>621</v>
      </c>
      <c r="B14721" s="1192" t="s">
        <v>4626</v>
      </c>
      <c r="E14721" s="1741" t="s">
        <v>209</v>
      </c>
      <c r="F14721" s="1741"/>
      <c r="G14721" s="1277" t="s">
        <v>20</v>
      </c>
      <c r="H14721" s="1219">
        <v>6.8999999999999999E-3</v>
      </c>
      <c r="K14721" s="1192" t="s">
        <v>3901</v>
      </c>
      <c r="L14721" s="1192" t="s">
        <v>432</v>
      </c>
      <c r="P14721" s="1192" t="s">
        <v>3907</v>
      </c>
      <c r="V14721" s="1192">
        <v>74</v>
      </c>
    </row>
    <row r="14722" spans="1:22" s="1192" customFormat="1" ht="14.4" x14ac:dyDescent="0.3">
      <c r="A14722" s="1192" t="s">
        <v>621</v>
      </c>
      <c r="B14722" s="1192" t="s">
        <v>4626</v>
      </c>
      <c r="E14722" s="1750" t="s">
        <v>2405</v>
      </c>
      <c r="F14722" s="1741"/>
      <c r="G14722" s="1741"/>
      <c r="H14722" s="1741"/>
      <c r="K14722" s="1192" t="s">
        <v>2418</v>
      </c>
      <c r="V14722" s="1192">
        <v>48</v>
      </c>
    </row>
    <row r="14723" spans="1:22" s="1192" customFormat="1" ht="14.4" x14ac:dyDescent="0.3">
      <c r="A14723" s="1192" t="s">
        <v>621</v>
      </c>
      <c r="B14723" s="1192" t="s">
        <v>4626</v>
      </c>
      <c r="E14723" s="1741" t="s">
        <v>2033</v>
      </c>
      <c r="F14723" s="1741"/>
      <c r="G14723" s="1277" t="s">
        <v>20</v>
      </c>
      <c r="H14723" s="1219">
        <v>3.0000000000000001E-3</v>
      </c>
      <c r="K14723" s="1192" t="s">
        <v>3901</v>
      </c>
      <c r="L14723" s="1192" t="s">
        <v>2374</v>
      </c>
      <c r="P14723" s="1192" t="s">
        <v>3908</v>
      </c>
      <c r="V14723" s="1192">
        <v>55</v>
      </c>
    </row>
    <row r="14724" spans="1:22" s="1192" customFormat="1" ht="14.4" x14ac:dyDescent="0.3">
      <c r="A14724" s="1192" t="s">
        <v>621</v>
      </c>
      <c r="B14724" s="1192" t="s">
        <v>4626</v>
      </c>
      <c r="E14724" s="2007" t="s">
        <v>2034</v>
      </c>
      <c r="F14724" s="2007"/>
      <c r="G14724" s="1277" t="s">
        <v>20</v>
      </c>
      <c r="H14724" s="1219">
        <v>4.0000000000000002E-4</v>
      </c>
      <c r="K14724" s="1192" t="s">
        <v>3901</v>
      </c>
      <c r="L14724" s="1192" t="s">
        <v>2374</v>
      </c>
      <c r="P14724" s="1192" t="s">
        <v>3908</v>
      </c>
      <c r="V14724" s="1192">
        <v>65</v>
      </c>
    </row>
    <row r="14725" spans="1:22" s="1192" customFormat="1" ht="14.4" x14ac:dyDescent="0.3">
      <c r="A14725" s="1192" t="s">
        <v>621</v>
      </c>
      <c r="B14725" s="1192" t="s">
        <v>4626</v>
      </c>
      <c r="E14725" s="1741" t="s">
        <v>428</v>
      </c>
      <c r="F14725" s="1741"/>
      <c r="G14725" s="1277" t="s">
        <v>20</v>
      </c>
      <c r="H14725" s="1219">
        <v>5.0000000000000001E-4</v>
      </c>
      <c r="K14725" s="1192" t="s">
        <v>3901</v>
      </c>
      <c r="L14725" s="1192" t="s">
        <v>2374</v>
      </c>
      <c r="P14725" s="1192" t="s">
        <v>3909</v>
      </c>
      <c r="V14725" s="1192">
        <v>57</v>
      </c>
    </row>
    <row r="14726" spans="1:22" s="1192" customFormat="1" ht="14.4" x14ac:dyDescent="0.3">
      <c r="A14726" s="1192" t="s">
        <v>621</v>
      </c>
      <c r="B14726" s="1192" t="s">
        <v>4626</v>
      </c>
      <c r="E14726" s="1741" t="s">
        <v>28</v>
      </c>
      <c r="F14726" s="1741"/>
      <c r="G14726" s="1277" t="s">
        <v>19</v>
      </c>
      <c r="H14726" s="1218">
        <v>0.25</v>
      </c>
      <c r="K14726" s="1192" t="s">
        <v>3901</v>
      </c>
      <c r="L14726" s="1192" t="s">
        <v>2374</v>
      </c>
      <c r="P14726" s="1192" t="s">
        <v>3910</v>
      </c>
      <c r="V14726" s="1192">
        <v>63</v>
      </c>
    </row>
    <row r="14727" spans="1:22" s="1192" customFormat="1" ht="17.399999999999999" x14ac:dyDescent="0.3">
      <c r="A14727" s="1192" t="s">
        <v>621</v>
      </c>
      <c r="B14727" s="1192" t="s">
        <v>4626</v>
      </c>
      <c r="E14727" s="1746" t="s">
        <v>591</v>
      </c>
      <c r="F14727" s="1747"/>
      <c r="G14727" s="1747"/>
      <c r="H14727" s="1747"/>
      <c r="K14727" s="1192" t="s">
        <v>4388</v>
      </c>
      <c r="V14727" s="1192">
        <v>53</v>
      </c>
    </row>
    <row r="14728" spans="1:22" s="1192" customFormat="1" ht="14.4" x14ac:dyDescent="0.3">
      <c r="A14728" s="1192" t="s">
        <v>621</v>
      </c>
      <c r="B14728" s="1192" t="s">
        <v>4626</v>
      </c>
      <c r="E14728" s="1743" t="s">
        <v>3251</v>
      </c>
      <c r="F14728" s="1743"/>
      <c r="G14728" s="1743"/>
      <c r="H14728" s="1743"/>
      <c r="K14728" s="1192" t="s">
        <v>4388</v>
      </c>
      <c r="V14728" s="1192">
        <v>753</v>
      </c>
    </row>
    <row r="14729" spans="1:22" s="1192" customFormat="1" ht="14.4" x14ac:dyDescent="0.3">
      <c r="A14729" s="1192" t="s">
        <v>621</v>
      </c>
      <c r="B14729" s="1192" t="s">
        <v>4626</v>
      </c>
      <c r="E14729" s="1750" t="s">
        <v>2389</v>
      </c>
      <c r="F14729" s="1743"/>
      <c r="G14729" s="1743"/>
      <c r="H14729" s="1743"/>
      <c r="K14729" s="1192" t="s">
        <v>2422</v>
      </c>
      <c r="V14729" s="1192">
        <v>11</v>
      </c>
    </row>
    <row r="14730" spans="1:22" s="1192" customFormat="1" ht="14.4" x14ac:dyDescent="0.3">
      <c r="A14730" s="1192" t="s">
        <v>621</v>
      </c>
      <c r="B14730" s="1192" t="s">
        <v>4626</v>
      </c>
      <c r="E14730" s="1743" t="s">
        <v>3249</v>
      </c>
      <c r="F14730" s="1743"/>
      <c r="G14730" s="1743"/>
      <c r="H14730" s="1743"/>
      <c r="K14730" s="1192" t="s">
        <v>4388</v>
      </c>
      <c r="V14730" s="1192">
        <v>282</v>
      </c>
    </row>
    <row r="14731" spans="1:22" s="1192" customFormat="1" ht="14.4" x14ac:dyDescent="0.3">
      <c r="A14731" s="1192" t="s">
        <v>621</v>
      </c>
      <c r="B14731" s="1192" t="s">
        <v>4626</v>
      </c>
      <c r="E14731" s="1743" t="s">
        <v>2483</v>
      </c>
      <c r="F14731" s="1743"/>
      <c r="G14731" s="1743"/>
      <c r="H14731" s="1743"/>
      <c r="K14731" s="1192" t="s">
        <v>4388</v>
      </c>
      <c r="V14731" s="1192">
        <v>413</v>
      </c>
    </row>
    <row r="14732" spans="1:22" s="1192" customFormat="1" ht="14.4" x14ac:dyDescent="0.3">
      <c r="A14732" s="1192" t="s">
        <v>621</v>
      </c>
      <c r="B14732" s="1192" t="s">
        <v>4626</v>
      </c>
      <c r="E14732" s="1743" t="s">
        <v>2393</v>
      </c>
      <c r="F14732" s="1743"/>
      <c r="G14732" s="1743"/>
      <c r="H14732" s="1743"/>
      <c r="K14732" s="1192" t="s">
        <v>4388</v>
      </c>
      <c r="V14732" s="1192">
        <v>387</v>
      </c>
    </row>
    <row r="14733" spans="1:22" s="1192" customFormat="1" ht="14.4" x14ac:dyDescent="0.3">
      <c r="A14733" s="1192" t="s">
        <v>621</v>
      </c>
      <c r="B14733" s="1192" t="s">
        <v>4626</v>
      </c>
      <c r="E14733" s="1743" t="s">
        <v>4618</v>
      </c>
      <c r="F14733" s="1743"/>
      <c r="G14733" s="1743"/>
      <c r="H14733" s="1743"/>
      <c r="K14733" s="1192" t="s">
        <v>4388</v>
      </c>
      <c r="V14733" s="1192">
        <v>1404</v>
      </c>
    </row>
    <row r="14734" spans="1:22" s="1192" customFormat="1" ht="14.4" x14ac:dyDescent="0.3">
      <c r="A14734" s="1192" t="s">
        <v>621</v>
      </c>
      <c r="B14734" s="1192" t="s">
        <v>4626</v>
      </c>
      <c r="E14734" s="1743" t="s">
        <v>2986</v>
      </c>
      <c r="F14734" s="1743"/>
      <c r="G14734" s="1743"/>
      <c r="H14734" s="1743"/>
      <c r="K14734" s="1192" t="s">
        <v>4388</v>
      </c>
      <c r="V14734" s="1192">
        <v>246</v>
      </c>
    </row>
    <row r="14735" spans="1:22" s="1192" customFormat="1" ht="14.4" x14ac:dyDescent="0.3">
      <c r="A14735" s="1192" t="s">
        <v>621</v>
      </c>
      <c r="B14735" s="1192" t="s">
        <v>4626</v>
      </c>
      <c r="E14735" s="1750" t="s">
        <v>2394</v>
      </c>
      <c r="F14735" s="1743"/>
      <c r="G14735" s="1743"/>
      <c r="H14735" s="1743"/>
      <c r="K14735" s="1192" t="s">
        <v>2423</v>
      </c>
      <c r="V14735" s="1192">
        <v>46</v>
      </c>
    </row>
    <row r="14736" spans="1:22" s="1192" customFormat="1" ht="14.4" x14ac:dyDescent="0.3">
      <c r="A14736" s="1192" t="s">
        <v>621</v>
      </c>
      <c r="B14736" s="1192" t="s">
        <v>4626</v>
      </c>
      <c r="E14736" s="1741" t="s">
        <v>7</v>
      </c>
      <c r="F14736" s="1741"/>
      <c r="G14736" s="1277" t="s">
        <v>19</v>
      </c>
      <c r="H14736" s="1218">
        <v>142.59</v>
      </c>
      <c r="K14736" s="1192" t="s">
        <v>4388</v>
      </c>
      <c r="L14736" s="1192" t="s">
        <v>430</v>
      </c>
      <c r="P14736" s="1192" t="s">
        <v>4389</v>
      </c>
      <c r="V14736" s="1192">
        <v>14</v>
      </c>
    </row>
    <row r="14737" spans="1:22" s="1192" customFormat="1" ht="14.4" x14ac:dyDescent="0.3">
      <c r="A14737" s="1192" t="s">
        <v>621</v>
      </c>
      <c r="B14737" s="1192" t="s">
        <v>4626</v>
      </c>
      <c r="E14737" s="1741" t="s">
        <v>3252</v>
      </c>
      <c r="F14737" s="1741"/>
      <c r="G14737" s="1277" t="s">
        <v>29</v>
      </c>
      <c r="H14737" s="1219">
        <v>4.9189999999999996</v>
      </c>
      <c r="K14737" s="1192" t="s">
        <v>4388</v>
      </c>
      <c r="L14737" s="1192" t="s">
        <v>430</v>
      </c>
      <c r="P14737" s="1192" t="s">
        <v>4390</v>
      </c>
      <c r="V14737" s="1192">
        <v>51</v>
      </c>
    </row>
    <row r="14738" spans="1:22" s="1192" customFormat="1" ht="14.4" x14ac:dyDescent="0.3">
      <c r="A14738" s="1192" t="s">
        <v>621</v>
      </c>
      <c r="B14738" s="1192" t="s">
        <v>4626</v>
      </c>
      <c r="E14738" s="1741" t="s">
        <v>6548</v>
      </c>
      <c r="F14738" s="1998"/>
      <c r="G14738" s="1277" t="s">
        <v>29</v>
      </c>
      <c r="H14738" s="1219">
        <v>0.30499999999999999</v>
      </c>
      <c r="K14738" s="1192" t="s">
        <v>4388</v>
      </c>
      <c r="L14738" s="1192" t="s">
        <v>430</v>
      </c>
      <c r="P14738" s="1192" t="s">
        <v>4400</v>
      </c>
      <c r="T14738" s="1192">
        <v>44316</v>
      </c>
      <c r="V14738" s="1192">
        <v>134</v>
      </c>
    </row>
    <row r="14739" spans="1:22" s="1192" customFormat="1" ht="14.4" x14ac:dyDescent="0.3">
      <c r="A14739" s="1192" t="s">
        <v>621</v>
      </c>
      <c r="B14739" s="1192" t="s">
        <v>4626</v>
      </c>
      <c r="E14739" s="1741" t="s">
        <v>3253</v>
      </c>
      <c r="F14739" s="1741"/>
      <c r="G14739" s="1277" t="s">
        <v>29</v>
      </c>
      <c r="H14739" s="1219">
        <v>5.0564999999999998</v>
      </c>
      <c r="K14739" s="1192" t="s">
        <v>4388</v>
      </c>
      <c r="L14739" s="1192" t="s">
        <v>430</v>
      </c>
      <c r="P14739" s="1192" t="s">
        <v>4390</v>
      </c>
      <c r="V14739" s="1192">
        <v>45</v>
      </c>
    </row>
    <row r="14740" spans="1:22" s="1192" customFormat="1" ht="14.4" x14ac:dyDescent="0.3">
      <c r="A14740" s="1192" t="s">
        <v>621</v>
      </c>
      <c r="B14740" s="1192" t="s">
        <v>4626</v>
      </c>
      <c r="E14740" s="1741" t="s">
        <v>6505</v>
      </c>
      <c r="F14740" s="1998"/>
      <c r="G14740" s="1277" t="s">
        <v>29</v>
      </c>
      <c r="H14740" s="1219">
        <v>-1.6500000000000001E-2</v>
      </c>
      <c r="K14740" s="1192" t="s">
        <v>4388</v>
      </c>
      <c r="L14740" s="1192" t="s">
        <v>430</v>
      </c>
      <c r="P14740" s="1192" t="s">
        <v>4424</v>
      </c>
      <c r="T14740" s="1192">
        <v>44316</v>
      </c>
      <c r="V14740" s="1192">
        <v>80</v>
      </c>
    </row>
    <row r="14741" spans="1:22" s="1192" customFormat="1" ht="14.4" x14ac:dyDescent="0.3">
      <c r="A14741" s="1192" t="s">
        <v>621</v>
      </c>
      <c r="B14741" s="1192" t="s">
        <v>4626</v>
      </c>
      <c r="E14741" s="1741" t="s">
        <v>213</v>
      </c>
      <c r="F14741" s="1741"/>
      <c r="G14741" s="1277" t="s">
        <v>29</v>
      </c>
      <c r="H14741" s="1219">
        <v>3.0861999999999998</v>
      </c>
      <c r="K14741" s="1192" t="s">
        <v>4388</v>
      </c>
      <c r="L14741" s="1192" t="s">
        <v>432</v>
      </c>
      <c r="P14741" s="1192" t="s">
        <v>4392</v>
      </c>
      <c r="V14741" s="1192">
        <v>47</v>
      </c>
    </row>
    <row r="14742" spans="1:22" s="1192" customFormat="1" ht="14.4" x14ac:dyDescent="0.3">
      <c r="A14742" s="1192" t="s">
        <v>621</v>
      </c>
      <c r="B14742" s="1192" t="s">
        <v>4626</v>
      </c>
      <c r="E14742" s="1741" t="s">
        <v>209</v>
      </c>
      <c r="F14742" s="1741"/>
      <c r="G14742" s="1277" t="s">
        <v>29</v>
      </c>
      <c r="H14742" s="1219">
        <v>2.6911999999999998</v>
      </c>
      <c r="K14742" s="1192" t="s">
        <v>4388</v>
      </c>
      <c r="L14742" s="1192" t="s">
        <v>432</v>
      </c>
      <c r="P14742" s="1192" t="s">
        <v>4393</v>
      </c>
      <c r="V14742" s="1192">
        <v>74</v>
      </c>
    </row>
    <row r="14743" spans="1:22" s="1192" customFormat="1" ht="14.4" x14ac:dyDescent="0.3">
      <c r="A14743" s="1192" t="s">
        <v>621</v>
      </c>
      <c r="B14743" s="1192" t="s">
        <v>4626</v>
      </c>
      <c r="E14743" s="1750" t="s">
        <v>2405</v>
      </c>
      <c r="F14743" s="1741"/>
      <c r="G14743" s="1741"/>
      <c r="H14743" s="1741"/>
      <c r="K14743" s="1192" t="s">
        <v>2526</v>
      </c>
      <c r="V14743" s="1192">
        <v>48</v>
      </c>
    </row>
    <row r="14744" spans="1:22" s="1192" customFormat="1" ht="14.4" x14ac:dyDescent="0.3">
      <c r="A14744" s="1192" t="s">
        <v>621</v>
      </c>
      <c r="B14744" s="1192" t="s">
        <v>4626</v>
      </c>
      <c r="E14744" s="1741" t="s">
        <v>2033</v>
      </c>
      <c r="F14744" s="1741"/>
      <c r="G14744" s="1277" t="s">
        <v>20</v>
      </c>
      <c r="H14744" s="1219">
        <v>3.0000000000000001E-3</v>
      </c>
      <c r="K14744" s="1192" t="s">
        <v>4388</v>
      </c>
      <c r="L14744" s="1192" t="s">
        <v>2374</v>
      </c>
      <c r="P14744" s="1192" t="s">
        <v>4394</v>
      </c>
      <c r="V14744" s="1192">
        <v>55</v>
      </c>
    </row>
    <row r="14745" spans="1:22" s="1192" customFormat="1" ht="14.4" x14ac:dyDescent="0.3">
      <c r="A14745" s="1192" t="s">
        <v>621</v>
      </c>
      <c r="B14745" s="1192" t="s">
        <v>4626</v>
      </c>
      <c r="E14745" s="2007" t="s">
        <v>2034</v>
      </c>
      <c r="F14745" s="2007"/>
      <c r="G14745" s="1277" t="s">
        <v>20</v>
      </c>
      <c r="H14745" s="1219">
        <v>4.0000000000000002E-4</v>
      </c>
      <c r="K14745" s="1192" t="s">
        <v>4388</v>
      </c>
      <c r="L14745" s="1192" t="s">
        <v>2374</v>
      </c>
      <c r="P14745" s="1192" t="s">
        <v>4394</v>
      </c>
      <c r="V14745" s="1192">
        <v>65</v>
      </c>
    </row>
    <row r="14746" spans="1:22" s="1192" customFormat="1" ht="14.4" x14ac:dyDescent="0.3">
      <c r="A14746" s="1192" t="s">
        <v>621</v>
      </c>
      <c r="B14746" s="1192" t="s">
        <v>4626</v>
      </c>
      <c r="E14746" s="1741" t="s">
        <v>428</v>
      </c>
      <c r="F14746" s="1741"/>
      <c r="G14746" s="1277" t="s">
        <v>20</v>
      </c>
      <c r="H14746" s="1219">
        <v>5.0000000000000001E-4</v>
      </c>
      <c r="K14746" s="1192" t="s">
        <v>4388</v>
      </c>
      <c r="L14746" s="1192" t="s">
        <v>2374</v>
      </c>
      <c r="P14746" s="1192" t="s">
        <v>4395</v>
      </c>
      <c r="V14746" s="1192">
        <v>57</v>
      </c>
    </row>
    <row r="14747" spans="1:22" s="1192" customFormat="1" ht="14.4" x14ac:dyDescent="0.3">
      <c r="A14747" s="1192" t="s">
        <v>621</v>
      </c>
      <c r="B14747" s="1192" t="s">
        <v>4626</v>
      </c>
      <c r="E14747" s="1741" t="s">
        <v>28</v>
      </c>
      <c r="F14747" s="1741"/>
      <c r="G14747" s="1277" t="s">
        <v>19</v>
      </c>
      <c r="H14747" s="1218">
        <v>0.25</v>
      </c>
      <c r="K14747" s="1192" t="s">
        <v>4388</v>
      </c>
      <c r="L14747" s="1192" t="s">
        <v>2374</v>
      </c>
      <c r="P14747" s="1192" t="s">
        <v>4396</v>
      </c>
      <c r="V14747" s="1192">
        <v>63</v>
      </c>
    </row>
    <row r="14748" spans="1:22" s="1192" customFormat="1" ht="17.399999999999999" x14ac:dyDescent="0.3">
      <c r="A14748" s="1192" t="s">
        <v>621</v>
      </c>
      <c r="B14748" s="1192" t="s">
        <v>4626</v>
      </c>
      <c r="E14748" s="1746" t="s">
        <v>592</v>
      </c>
      <c r="F14748" s="1747"/>
      <c r="G14748" s="1747"/>
      <c r="H14748" s="1747"/>
      <c r="K14748" s="1192" t="s">
        <v>2676</v>
      </c>
      <c r="V14748" s="1192">
        <v>47</v>
      </c>
    </row>
    <row r="14749" spans="1:22" s="1192" customFormat="1" ht="14.4" x14ac:dyDescent="0.3">
      <c r="A14749" s="1192" t="s">
        <v>621</v>
      </c>
      <c r="B14749" s="1192" t="s">
        <v>4626</v>
      </c>
      <c r="E14749" s="1743" t="s">
        <v>3067</v>
      </c>
      <c r="F14749" s="1743"/>
      <c r="G14749" s="1743"/>
      <c r="H14749" s="1743"/>
      <c r="K14749" s="1192" t="s">
        <v>2676</v>
      </c>
      <c r="V14749" s="1192">
        <v>722</v>
      </c>
    </row>
    <row r="14750" spans="1:22" s="1192" customFormat="1" ht="14.4" x14ac:dyDescent="0.3">
      <c r="A14750" s="1192" t="s">
        <v>621</v>
      </c>
      <c r="B14750" s="1192" t="s">
        <v>4626</v>
      </c>
      <c r="E14750" s="1750" t="s">
        <v>2389</v>
      </c>
      <c r="F14750" s="1743"/>
      <c r="G14750" s="1743"/>
      <c r="H14750" s="1743"/>
      <c r="K14750" s="1192" t="s">
        <v>2529</v>
      </c>
      <c r="V14750" s="1192">
        <v>11</v>
      </c>
    </row>
    <row r="14751" spans="1:22" s="1192" customFormat="1" ht="14.4" x14ac:dyDescent="0.3">
      <c r="A14751" s="1192" t="s">
        <v>621</v>
      </c>
      <c r="B14751" s="1192" t="s">
        <v>4626</v>
      </c>
      <c r="E14751" s="1743" t="s">
        <v>2391</v>
      </c>
      <c r="F14751" s="1743"/>
      <c r="G14751" s="1743"/>
      <c r="H14751" s="1743"/>
      <c r="K14751" s="1192" t="s">
        <v>2676</v>
      </c>
      <c r="V14751" s="1192">
        <v>280</v>
      </c>
    </row>
    <row r="14752" spans="1:22" s="1192" customFormat="1" ht="14.4" x14ac:dyDescent="0.3">
      <c r="A14752" s="1192" t="s">
        <v>621</v>
      </c>
      <c r="B14752" s="1192" t="s">
        <v>4626</v>
      </c>
      <c r="E14752" s="1743" t="s">
        <v>2483</v>
      </c>
      <c r="F14752" s="1743"/>
      <c r="G14752" s="1743"/>
      <c r="H14752" s="1743"/>
      <c r="K14752" s="1192" t="s">
        <v>2676</v>
      </c>
      <c r="V14752" s="1192">
        <v>413</v>
      </c>
    </row>
    <row r="14753" spans="1:22" s="1192" customFormat="1" ht="14.4" x14ac:dyDescent="0.3">
      <c r="A14753" s="1192" t="s">
        <v>621</v>
      </c>
      <c r="B14753" s="1192" t="s">
        <v>4626</v>
      </c>
      <c r="E14753" s="1743" t="s">
        <v>2393</v>
      </c>
      <c r="F14753" s="1743"/>
      <c r="G14753" s="1743"/>
      <c r="H14753" s="1743"/>
      <c r="K14753" s="1192" t="s">
        <v>2676</v>
      </c>
      <c r="V14753" s="1192">
        <v>387</v>
      </c>
    </row>
    <row r="14754" spans="1:22" s="1192" customFormat="1" ht="14.4" x14ac:dyDescent="0.3">
      <c r="A14754" s="1192" t="s">
        <v>621</v>
      </c>
      <c r="B14754" s="1192" t="s">
        <v>4626</v>
      </c>
      <c r="E14754" s="1743" t="s">
        <v>2986</v>
      </c>
      <c r="F14754" s="1743"/>
      <c r="G14754" s="1743"/>
      <c r="H14754" s="1743"/>
      <c r="K14754" s="1192" t="s">
        <v>2676</v>
      </c>
      <c r="V14754" s="1192">
        <v>246</v>
      </c>
    </row>
    <row r="14755" spans="1:22" s="1192" customFormat="1" ht="14.4" x14ac:dyDescent="0.3">
      <c r="A14755" s="1192" t="s">
        <v>621</v>
      </c>
      <c r="B14755" s="1192" t="s">
        <v>4626</v>
      </c>
      <c r="E14755" s="1750" t="s">
        <v>2394</v>
      </c>
      <c r="F14755" s="1743"/>
      <c r="G14755" s="1743"/>
      <c r="H14755" s="1743"/>
      <c r="K14755" s="1192" t="s">
        <v>2531</v>
      </c>
      <c r="V14755" s="1192">
        <v>46</v>
      </c>
    </row>
    <row r="14756" spans="1:22" s="1192" customFormat="1" ht="14.4" x14ac:dyDescent="0.3">
      <c r="A14756" s="1192" t="s">
        <v>621</v>
      </c>
      <c r="B14756" s="1192" t="s">
        <v>4626</v>
      </c>
      <c r="E14756" s="1741" t="s">
        <v>7</v>
      </c>
      <c r="F14756" s="1741"/>
      <c r="G14756" s="1277" t="s">
        <v>19</v>
      </c>
      <c r="H14756" s="1218">
        <v>10.130000000000001</v>
      </c>
      <c r="K14756" s="1192" t="s">
        <v>2676</v>
      </c>
      <c r="L14756" s="1192" t="s">
        <v>430</v>
      </c>
      <c r="P14756" s="1192" t="s">
        <v>2678</v>
      </c>
      <c r="V14756" s="1192">
        <v>14</v>
      </c>
    </row>
    <row r="14757" spans="1:22" s="1192" customFormat="1" ht="14.4" x14ac:dyDescent="0.3">
      <c r="A14757" s="1192" t="s">
        <v>621</v>
      </c>
      <c r="B14757" s="1192" t="s">
        <v>4626</v>
      </c>
      <c r="E14757" s="1741" t="s">
        <v>80</v>
      </c>
      <c r="F14757" s="1741"/>
      <c r="G14757" s="1277" t="s">
        <v>20</v>
      </c>
      <c r="H14757" s="1219">
        <v>1.17E-2</v>
      </c>
      <c r="K14757" s="1192" t="s">
        <v>2676</v>
      </c>
      <c r="L14757" s="1192" t="s">
        <v>430</v>
      </c>
      <c r="P14757" s="1192" t="s">
        <v>2679</v>
      </c>
      <c r="V14757" s="1192">
        <v>28</v>
      </c>
    </row>
    <row r="14758" spans="1:22" s="1192" customFormat="1" ht="14.4" x14ac:dyDescent="0.3">
      <c r="A14758" s="1192" t="s">
        <v>621</v>
      </c>
      <c r="B14758" s="1192" t="s">
        <v>4626</v>
      </c>
      <c r="E14758" s="1741" t="s">
        <v>6505</v>
      </c>
      <c r="F14758" s="1998"/>
      <c r="G14758" s="1277" t="s">
        <v>20</v>
      </c>
      <c r="H14758" s="1219">
        <v>-1E-4</v>
      </c>
      <c r="K14758" s="1192" t="s">
        <v>2676</v>
      </c>
      <c r="L14758" s="1192" t="s">
        <v>430</v>
      </c>
      <c r="P14758" s="1192" t="s">
        <v>3254</v>
      </c>
      <c r="T14758" s="1192">
        <v>44316</v>
      </c>
      <c r="V14758" s="1192">
        <v>80</v>
      </c>
    </row>
    <row r="14759" spans="1:22" s="1192" customFormat="1" ht="14.4" x14ac:dyDescent="0.3">
      <c r="A14759" s="1192" t="s">
        <v>621</v>
      </c>
      <c r="B14759" s="1192" t="s">
        <v>4626</v>
      </c>
      <c r="E14759" s="1741" t="s">
        <v>213</v>
      </c>
      <c r="F14759" s="1741"/>
      <c r="G14759" s="1277" t="s">
        <v>20</v>
      </c>
      <c r="H14759" s="1219">
        <v>7.6E-3</v>
      </c>
      <c r="K14759" s="1192" t="s">
        <v>2676</v>
      </c>
      <c r="L14759" s="1192" t="s">
        <v>432</v>
      </c>
      <c r="P14759" s="1192" t="s">
        <v>2682</v>
      </c>
      <c r="V14759" s="1192">
        <v>47</v>
      </c>
    </row>
    <row r="14760" spans="1:22" s="1192" customFormat="1" ht="14.4" x14ac:dyDescent="0.3">
      <c r="A14760" s="1192" t="s">
        <v>621</v>
      </c>
      <c r="B14760" s="1192" t="s">
        <v>4626</v>
      </c>
      <c r="E14760" s="1741" t="s">
        <v>209</v>
      </c>
      <c r="F14760" s="1741"/>
      <c r="G14760" s="1277" t="s">
        <v>20</v>
      </c>
      <c r="H14760" s="1219">
        <v>6.8999999999999999E-3</v>
      </c>
      <c r="K14760" s="1192" t="s">
        <v>2676</v>
      </c>
      <c r="L14760" s="1192" t="s">
        <v>432</v>
      </c>
      <c r="P14760" s="1192" t="s">
        <v>2683</v>
      </c>
      <c r="V14760" s="1192">
        <v>74</v>
      </c>
    </row>
    <row r="14761" spans="1:22" s="1192" customFormat="1" ht="14.4" x14ac:dyDescent="0.3">
      <c r="A14761" s="1192" t="s">
        <v>621</v>
      </c>
      <c r="B14761" s="1192" t="s">
        <v>4626</v>
      </c>
      <c r="E14761" s="1750" t="s">
        <v>2405</v>
      </c>
      <c r="F14761" s="1741"/>
      <c r="G14761" s="1741"/>
      <c r="H14761" s="1741"/>
      <c r="K14761" s="1192" t="s">
        <v>2532</v>
      </c>
      <c r="V14761" s="1192">
        <v>48</v>
      </c>
    </row>
    <row r="14762" spans="1:22" s="1192" customFormat="1" ht="14.4" x14ac:dyDescent="0.3">
      <c r="A14762" s="1192" t="s">
        <v>621</v>
      </c>
      <c r="B14762" s="1192" t="s">
        <v>4626</v>
      </c>
      <c r="E14762" s="1741" t="s">
        <v>2033</v>
      </c>
      <c r="F14762" s="1741"/>
      <c r="G14762" s="1277" t="s">
        <v>20</v>
      </c>
      <c r="H14762" s="1219">
        <v>3.0000000000000001E-3</v>
      </c>
      <c r="K14762" s="1192" t="s">
        <v>2676</v>
      </c>
      <c r="L14762" s="1192" t="s">
        <v>2374</v>
      </c>
      <c r="P14762" s="1192" t="s">
        <v>2684</v>
      </c>
      <c r="V14762" s="1192">
        <v>55</v>
      </c>
    </row>
    <row r="14763" spans="1:22" s="1192" customFormat="1" ht="14.4" x14ac:dyDescent="0.3">
      <c r="A14763" s="1192" t="s">
        <v>621</v>
      </c>
      <c r="B14763" s="1192" t="s">
        <v>4626</v>
      </c>
      <c r="E14763" s="2007" t="s">
        <v>2034</v>
      </c>
      <c r="F14763" s="2007"/>
      <c r="G14763" s="1277" t="s">
        <v>20</v>
      </c>
      <c r="H14763" s="1219">
        <v>4.0000000000000002E-4</v>
      </c>
      <c r="K14763" s="1192" t="s">
        <v>2676</v>
      </c>
      <c r="L14763" s="1192" t="s">
        <v>2374</v>
      </c>
      <c r="P14763" s="1192" t="s">
        <v>2684</v>
      </c>
      <c r="V14763" s="1192">
        <v>65</v>
      </c>
    </row>
    <row r="14764" spans="1:22" s="1192" customFormat="1" ht="14.4" x14ac:dyDescent="0.3">
      <c r="A14764" s="1192" t="s">
        <v>621</v>
      </c>
      <c r="B14764" s="1192" t="s">
        <v>4626</v>
      </c>
      <c r="E14764" s="1741" t="s">
        <v>428</v>
      </c>
      <c r="F14764" s="1741"/>
      <c r="G14764" s="1277" t="s">
        <v>20</v>
      </c>
      <c r="H14764" s="1219">
        <v>5.0000000000000001E-4</v>
      </c>
      <c r="K14764" s="1192" t="s">
        <v>2676</v>
      </c>
      <c r="L14764" s="1192" t="s">
        <v>2374</v>
      </c>
      <c r="P14764" s="1192" t="s">
        <v>2685</v>
      </c>
      <c r="V14764" s="1192">
        <v>57</v>
      </c>
    </row>
    <row r="14765" spans="1:22" s="1192" customFormat="1" ht="14.4" x14ac:dyDescent="0.3">
      <c r="A14765" s="1192" t="s">
        <v>621</v>
      </c>
      <c r="B14765" s="1192" t="s">
        <v>4626</v>
      </c>
      <c r="E14765" s="1741" t="s">
        <v>28</v>
      </c>
      <c r="F14765" s="1741"/>
      <c r="G14765" s="1277" t="s">
        <v>19</v>
      </c>
      <c r="H14765" s="1218">
        <v>0.25</v>
      </c>
      <c r="K14765" s="1192" t="s">
        <v>2676</v>
      </c>
      <c r="L14765" s="1192" t="s">
        <v>2374</v>
      </c>
      <c r="P14765" s="1192" t="s">
        <v>2686</v>
      </c>
      <c r="V14765" s="1192">
        <v>63</v>
      </c>
    </row>
    <row r="14766" spans="1:22" s="1192" customFormat="1" ht="17.399999999999999" x14ac:dyDescent="0.3">
      <c r="A14766" s="1192" t="s">
        <v>621</v>
      </c>
      <c r="B14766" s="1192" t="s">
        <v>4626</v>
      </c>
      <c r="E14766" s="1746" t="s">
        <v>604</v>
      </c>
      <c r="F14766" s="1747"/>
      <c r="G14766" s="1747"/>
      <c r="H14766" s="1747"/>
      <c r="K14766" s="1192" t="s">
        <v>2823</v>
      </c>
      <c r="V14766" s="1192">
        <v>40</v>
      </c>
    </row>
    <row r="14767" spans="1:22" s="1192" customFormat="1" ht="14.4" x14ac:dyDescent="0.3">
      <c r="A14767" s="1192" t="s">
        <v>621</v>
      </c>
      <c r="B14767" s="1192" t="s">
        <v>4626</v>
      </c>
      <c r="E14767" s="1743" t="s">
        <v>3255</v>
      </c>
      <c r="F14767" s="1743"/>
      <c r="G14767" s="1743"/>
      <c r="H14767" s="1743"/>
      <c r="K14767" s="1192" t="s">
        <v>2823</v>
      </c>
      <c r="V14767" s="1192">
        <v>327</v>
      </c>
    </row>
    <row r="14768" spans="1:22" s="1192" customFormat="1" ht="14.4" x14ac:dyDescent="0.3">
      <c r="A14768" s="1192" t="s">
        <v>621</v>
      </c>
      <c r="B14768" s="1192" t="s">
        <v>4626</v>
      </c>
      <c r="E14768" s="1750" t="s">
        <v>2389</v>
      </c>
      <c r="F14768" s="1743"/>
      <c r="G14768" s="1743"/>
      <c r="H14768" s="1743"/>
      <c r="K14768" s="1192" t="s">
        <v>2424</v>
      </c>
      <c r="V14768" s="1192">
        <v>11</v>
      </c>
    </row>
    <row r="14769" spans="1:22" s="1192" customFormat="1" ht="14.4" x14ac:dyDescent="0.3">
      <c r="A14769" s="1192" t="s">
        <v>621</v>
      </c>
      <c r="B14769" s="1192" t="s">
        <v>4626</v>
      </c>
      <c r="E14769" s="1743" t="s">
        <v>2391</v>
      </c>
      <c r="F14769" s="1743"/>
      <c r="G14769" s="1743"/>
      <c r="H14769" s="1743"/>
      <c r="K14769" s="1192" t="s">
        <v>2823</v>
      </c>
      <c r="V14769" s="1192">
        <v>280</v>
      </c>
    </row>
    <row r="14770" spans="1:22" s="1192" customFormat="1" ht="14.4" x14ac:dyDescent="0.3">
      <c r="A14770" s="1192" t="s">
        <v>621</v>
      </c>
      <c r="B14770" s="1192" t="s">
        <v>4626</v>
      </c>
      <c r="E14770" s="1743" t="s">
        <v>2392</v>
      </c>
      <c r="F14770" s="1743"/>
      <c r="G14770" s="1743"/>
      <c r="H14770" s="1743"/>
      <c r="K14770" s="1192" t="s">
        <v>2823</v>
      </c>
      <c r="V14770" s="1192">
        <v>411</v>
      </c>
    </row>
    <row r="14771" spans="1:22" s="1192" customFormat="1" ht="14.4" x14ac:dyDescent="0.3">
      <c r="A14771" s="1192" t="s">
        <v>621</v>
      </c>
      <c r="B14771" s="1192" t="s">
        <v>4626</v>
      </c>
      <c r="E14771" s="1743" t="s">
        <v>2393</v>
      </c>
      <c r="F14771" s="1743"/>
      <c r="G14771" s="1743"/>
      <c r="H14771" s="1743"/>
      <c r="K14771" s="1192" t="s">
        <v>2823</v>
      </c>
      <c r="V14771" s="1192">
        <v>387</v>
      </c>
    </row>
    <row r="14772" spans="1:22" s="1192" customFormat="1" ht="14.4" x14ac:dyDescent="0.3">
      <c r="A14772" s="1192" t="s">
        <v>621</v>
      </c>
      <c r="B14772" s="1192" t="s">
        <v>4626</v>
      </c>
      <c r="E14772" s="1743" t="s">
        <v>2986</v>
      </c>
      <c r="F14772" s="1743"/>
      <c r="G14772" s="1743"/>
      <c r="H14772" s="1743"/>
      <c r="K14772" s="1192" t="s">
        <v>2823</v>
      </c>
      <c r="V14772" s="1192">
        <v>246</v>
      </c>
    </row>
    <row r="14773" spans="1:22" s="1192" customFormat="1" ht="14.4" x14ac:dyDescent="0.3">
      <c r="A14773" s="1192" t="s">
        <v>621</v>
      </c>
      <c r="B14773" s="1192" t="s">
        <v>4626</v>
      </c>
      <c r="E14773" s="1750" t="s">
        <v>2394</v>
      </c>
      <c r="F14773" s="1743"/>
      <c r="G14773" s="1743"/>
      <c r="H14773" s="1743"/>
      <c r="K14773" s="1192" t="s">
        <v>2425</v>
      </c>
      <c r="V14773" s="1192">
        <v>46</v>
      </c>
    </row>
    <row r="14774" spans="1:22" s="1192" customFormat="1" ht="14.4" x14ac:dyDescent="0.3">
      <c r="A14774" s="1192" t="s">
        <v>621</v>
      </c>
      <c r="B14774" s="1192" t="s">
        <v>4626</v>
      </c>
      <c r="E14774" s="1741" t="s">
        <v>7</v>
      </c>
      <c r="F14774" s="1741"/>
      <c r="G14774" s="1277" t="s">
        <v>19</v>
      </c>
      <c r="H14774" s="1218">
        <v>3.35</v>
      </c>
      <c r="K14774" s="1192" t="s">
        <v>2823</v>
      </c>
      <c r="L14774" s="1192" t="s">
        <v>430</v>
      </c>
      <c r="P14774" s="1192" t="s">
        <v>2824</v>
      </c>
      <c r="V14774" s="1192">
        <v>14</v>
      </c>
    </row>
    <row r="14775" spans="1:22" s="1192" customFormat="1" ht="14.4" x14ac:dyDescent="0.3">
      <c r="A14775" s="1192" t="s">
        <v>621</v>
      </c>
      <c r="B14775" s="1192" t="s">
        <v>4626</v>
      </c>
      <c r="E14775" s="1741" t="s">
        <v>80</v>
      </c>
      <c r="F14775" s="1741"/>
      <c r="G14775" s="1277" t="s">
        <v>29</v>
      </c>
      <c r="H14775" s="1219">
        <v>12.816599999999999</v>
      </c>
      <c r="K14775" s="1192" t="s">
        <v>2823</v>
      </c>
      <c r="L14775" s="1192" t="s">
        <v>430</v>
      </c>
      <c r="P14775" s="1192" t="s">
        <v>2825</v>
      </c>
      <c r="V14775" s="1192">
        <v>28</v>
      </c>
    </row>
    <row r="14776" spans="1:22" s="1192" customFormat="1" ht="14.4" x14ac:dyDescent="0.3">
      <c r="A14776" s="1192" t="s">
        <v>621</v>
      </c>
      <c r="B14776" s="1192" t="s">
        <v>4626</v>
      </c>
      <c r="E14776" s="1741" t="s">
        <v>6505</v>
      </c>
      <c r="F14776" s="1998"/>
      <c r="G14776" s="1277" t="s">
        <v>29</v>
      </c>
      <c r="H14776" s="1219">
        <v>-8.3699999999999997E-2</v>
      </c>
      <c r="K14776" s="1192" t="s">
        <v>2823</v>
      </c>
      <c r="L14776" s="1192" t="s">
        <v>430</v>
      </c>
      <c r="P14776" s="1192" t="s">
        <v>3256</v>
      </c>
      <c r="T14776" s="1192">
        <v>44316</v>
      </c>
      <c r="V14776" s="1192">
        <v>80</v>
      </c>
    </row>
    <row r="14777" spans="1:22" s="1192" customFormat="1" ht="14.4" x14ac:dyDescent="0.3">
      <c r="A14777" s="1192" t="s">
        <v>621</v>
      </c>
      <c r="B14777" s="1192" t="s">
        <v>4626</v>
      </c>
      <c r="E14777" s="1741" t="s">
        <v>213</v>
      </c>
      <c r="F14777" s="1741"/>
      <c r="G14777" s="1277" t="s">
        <v>29</v>
      </c>
      <c r="H14777" s="1219">
        <v>2.3283999999999998</v>
      </c>
      <c r="K14777" s="1192" t="s">
        <v>2823</v>
      </c>
      <c r="L14777" s="1192" t="s">
        <v>432</v>
      </c>
      <c r="P14777" s="1192" t="s">
        <v>2827</v>
      </c>
      <c r="V14777" s="1192">
        <v>47</v>
      </c>
    </row>
    <row r="14778" spans="1:22" s="1192" customFormat="1" ht="14.4" x14ac:dyDescent="0.3">
      <c r="A14778" s="1192" t="s">
        <v>621</v>
      </c>
      <c r="B14778" s="1192" t="s">
        <v>4626</v>
      </c>
      <c r="E14778" s="1741" t="s">
        <v>209</v>
      </c>
      <c r="F14778" s="1741"/>
      <c r="G14778" s="1277" t="s">
        <v>29</v>
      </c>
      <c r="H14778" s="1219">
        <v>2.1233</v>
      </c>
      <c r="K14778" s="1192" t="s">
        <v>2823</v>
      </c>
      <c r="L14778" s="1192" t="s">
        <v>432</v>
      </c>
      <c r="P14778" s="1192" t="s">
        <v>2828</v>
      </c>
      <c r="V14778" s="1192">
        <v>74</v>
      </c>
    </row>
    <row r="14779" spans="1:22" s="1192" customFormat="1" ht="14.4" x14ac:dyDescent="0.3">
      <c r="A14779" s="1192" t="s">
        <v>621</v>
      </c>
      <c r="B14779" s="1192" t="s">
        <v>4626</v>
      </c>
      <c r="E14779" s="1750" t="s">
        <v>2405</v>
      </c>
      <c r="F14779" s="1741"/>
      <c r="G14779" s="1741"/>
      <c r="H14779" s="1741"/>
      <c r="K14779" s="1192" t="s">
        <v>2427</v>
      </c>
      <c r="V14779" s="1192">
        <v>48</v>
      </c>
    </row>
    <row r="14780" spans="1:22" s="1192" customFormat="1" ht="14.4" x14ac:dyDescent="0.3">
      <c r="A14780" s="1192" t="s">
        <v>621</v>
      </c>
      <c r="B14780" s="1192" t="s">
        <v>4626</v>
      </c>
      <c r="E14780" s="1741" t="s">
        <v>2033</v>
      </c>
      <c r="F14780" s="1741"/>
      <c r="G14780" s="1277" t="s">
        <v>20</v>
      </c>
      <c r="H14780" s="1219">
        <v>3.0000000000000001E-3</v>
      </c>
      <c r="K14780" s="1192" t="s">
        <v>2823</v>
      </c>
      <c r="L14780" s="1192" t="s">
        <v>2374</v>
      </c>
      <c r="P14780" s="1192" t="s">
        <v>2829</v>
      </c>
      <c r="V14780" s="1192">
        <v>55</v>
      </c>
    </row>
    <row r="14781" spans="1:22" s="1192" customFormat="1" ht="14.4" x14ac:dyDescent="0.3">
      <c r="A14781" s="1192" t="s">
        <v>621</v>
      </c>
      <c r="B14781" s="1192" t="s">
        <v>4626</v>
      </c>
      <c r="E14781" s="2007" t="s">
        <v>2034</v>
      </c>
      <c r="F14781" s="2007"/>
      <c r="G14781" s="1277" t="s">
        <v>20</v>
      </c>
      <c r="H14781" s="1219">
        <v>4.0000000000000002E-4</v>
      </c>
      <c r="K14781" s="1192" t="s">
        <v>2823</v>
      </c>
      <c r="L14781" s="1192" t="s">
        <v>2374</v>
      </c>
      <c r="P14781" s="1192" t="s">
        <v>2829</v>
      </c>
      <c r="V14781" s="1192">
        <v>65</v>
      </c>
    </row>
    <row r="14782" spans="1:22" s="1192" customFormat="1" ht="14.4" x14ac:dyDescent="0.3">
      <c r="A14782" s="1192" t="s">
        <v>621</v>
      </c>
      <c r="B14782" s="1192" t="s">
        <v>4626</v>
      </c>
      <c r="E14782" s="1741" t="s">
        <v>428</v>
      </c>
      <c r="F14782" s="1741"/>
      <c r="G14782" s="1277" t="s">
        <v>20</v>
      </c>
      <c r="H14782" s="1219">
        <v>5.0000000000000001E-4</v>
      </c>
      <c r="K14782" s="1192" t="s">
        <v>2823</v>
      </c>
      <c r="L14782" s="1192" t="s">
        <v>2374</v>
      </c>
      <c r="P14782" s="1192" t="s">
        <v>2830</v>
      </c>
      <c r="V14782" s="1192">
        <v>57</v>
      </c>
    </row>
    <row r="14783" spans="1:22" s="1192" customFormat="1" ht="14.4" x14ac:dyDescent="0.3">
      <c r="A14783" s="1192" t="s">
        <v>621</v>
      </c>
      <c r="B14783" s="1192" t="s">
        <v>4626</v>
      </c>
      <c r="E14783" s="1741" t="s">
        <v>28</v>
      </c>
      <c r="F14783" s="1741"/>
      <c r="G14783" s="1277" t="s">
        <v>19</v>
      </c>
      <c r="H14783" s="1218">
        <v>0.25</v>
      </c>
      <c r="K14783" s="1192" t="s">
        <v>2823</v>
      </c>
      <c r="L14783" s="1192" t="s">
        <v>2374</v>
      </c>
      <c r="P14783" s="1192" t="s">
        <v>2831</v>
      </c>
      <c r="V14783" s="1192">
        <v>63</v>
      </c>
    </row>
    <row r="14784" spans="1:22" s="1192" customFormat="1" ht="17.399999999999999" x14ac:dyDescent="0.3">
      <c r="A14784" s="1192" t="s">
        <v>621</v>
      </c>
      <c r="B14784" s="1192" t="s">
        <v>4626</v>
      </c>
      <c r="E14784" s="1746" t="s">
        <v>590</v>
      </c>
      <c r="F14784" s="1747"/>
      <c r="G14784" s="1747"/>
      <c r="H14784" s="1747"/>
      <c r="K14784" s="1192" t="s">
        <v>2428</v>
      </c>
      <c r="V14784" s="1192">
        <v>38</v>
      </c>
    </row>
    <row r="14785" spans="1:22" s="1192" customFormat="1" ht="14.4" x14ac:dyDescent="0.3">
      <c r="A14785" s="1192" t="s">
        <v>621</v>
      </c>
      <c r="B14785" s="1192" t="s">
        <v>4626</v>
      </c>
      <c r="E14785" s="1743" t="s">
        <v>3257</v>
      </c>
      <c r="F14785" s="1743"/>
      <c r="G14785" s="1743"/>
      <c r="H14785" s="1743"/>
      <c r="K14785" s="1192" t="s">
        <v>2428</v>
      </c>
      <c r="V14785" s="1192">
        <v>338</v>
      </c>
    </row>
    <row r="14786" spans="1:22" s="1192" customFormat="1" ht="14.4" x14ac:dyDescent="0.3">
      <c r="A14786" s="1192" t="s">
        <v>621</v>
      </c>
      <c r="B14786" s="1192" t="s">
        <v>4626</v>
      </c>
      <c r="E14786" s="1750" t="s">
        <v>2389</v>
      </c>
      <c r="F14786" s="1743"/>
      <c r="G14786" s="1743"/>
      <c r="H14786" s="1743"/>
      <c r="K14786" s="1192" t="s">
        <v>2430</v>
      </c>
      <c r="V14786" s="1192">
        <v>11</v>
      </c>
    </row>
    <row r="14787" spans="1:22" s="1192" customFormat="1" ht="14.4" x14ac:dyDescent="0.3">
      <c r="A14787" s="1192" t="s">
        <v>621</v>
      </c>
      <c r="B14787" s="1192" t="s">
        <v>4626</v>
      </c>
      <c r="E14787" s="1743" t="s">
        <v>3249</v>
      </c>
      <c r="F14787" s="1743"/>
      <c r="G14787" s="1743"/>
      <c r="H14787" s="1743"/>
      <c r="K14787" s="1192" t="s">
        <v>2428</v>
      </c>
      <c r="V14787" s="1192">
        <v>282</v>
      </c>
    </row>
    <row r="14788" spans="1:22" s="1192" customFormat="1" ht="14.4" x14ac:dyDescent="0.3">
      <c r="A14788" s="1192" t="s">
        <v>621</v>
      </c>
      <c r="B14788" s="1192" t="s">
        <v>4626</v>
      </c>
      <c r="E14788" s="1743" t="s">
        <v>2483</v>
      </c>
      <c r="F14788" s="1743"/>
      <c r="G14788" s="1743"/>
      <c r="H14788" s="1743"/>
      <c r="K14788" s="1192" t="s">
        <v>2428</v>
      </c>
      <c r="V14788" s="1192">
        <v>413</v>
      </c>
    </row>
    <row r="14789" spans="1:22" s="1192" customFormat="1" ht="14.4" x14ac:dyDescent="0.3">
      <c r="A14789" s="1192" t="s">
        <v>621</v>
      </c>
      <c r="B14789" s="1192" t="s">
        <v>4626</v>
      </c>
      <c r="E14789" s="1743" t="s">
        <v>3258</v>
      </c>
      <c r="F14789" s="1743"/>
      <c r="G14789" s="1743"/>
      <c r="H14789" s="1743"/>
      <c r="K14789" s="1192" t="s">
        <v>2428</v>
      </c>
      <c r="V14789" s="1192">
        <v>389</v>
      </c>
    </row>
    <row r="14790" spans="1:22" s="1192" customFormat="1" ht="14.4" x14ac:dyDescent="0.3">
      <c r="A14790" s="1192" t="s">
        <v>621</v>
      </c>
      <c r="B14790" s="1192" t="s">
        <v>4626</v>
      </c>
      <c r="E14790" s="1743" t="s">
        <v>2986</v>
      </c>
      <c r="F14790" s="1743"/>
      <c r="G14790" s="1743"/>
      <c r="H14790" s="1743"/>
      <c r="K14790" s="1192" t="s">
        <v>2428</v>
      </c>
      <c r="V14790" s="1192">
        <v>246</v>
      </c>
    </row>
    <row r="14791" spans="1:22" s="1192" customFormat="1" ht="14.4" x14ac:dyDescent="0.3">
      <c r="A14791" s="1192" t="s">
        <v>621</v>
      </c>
      <c r="B14791" s="1192" t="s">
        <v>4626</v>
      </c>
      <c r="E14791" s="1750" t="s">
        <v>2394</v>
      </c>
      <c r="F14791" s="1743"/>
      <c r="G14791" s="1743"/>
      <c r="H14791" s="1743"/>
      <c r="K14791" s="1192" t="s">
        <v>2431</v>
      </c>
      <c r="V14791" s="1192">
        <v>46</v>
      </c>
    </row>
    <row r="14792" spans="1:22" s="1192" customFormat="1" ht="14.4" x14ac:dyDescent="0.3">
      <c r="A14792" s="1192" t="s">
        <v>621</v>
      </c>
      <c r="B14792" s="1192" t="s">
        <v>4626</v>
      </c>
      <c r="E14792" s="1741" t="s">
        <v>7</v>
      </c>
      <c r="F14792" s="1741"/>
      <c r="G14792" s="1277" t="s">
        <v>19</v>
      </c>
      <c r="H14792" s="1218">
        <v>1.31</v>
      </c>
      <c r="K14792" s="1192" t="s">
        <v>2428</v>
      </c>
      <c r="L14792" s="1192" t="s">
        <v>430</v>
      </c>
      <c r="P14792" s="1192" t="s">
        <v>2432</v>
      </c>
      <c r="V14792" s="1192">
        <v>14</v>
      </c>
    </row>
    <row r="14793" spans="1:22" s="1192" customFormat="1" ht="14.4" x14ac:dyDescent="0.3">
      <c r="A14793" s="1192" t="s">
        <v>621</v>
      </c>
      <c r="B14793" s="1192" t="s">
        <v>4626</v>
      </c>
      <c r="E14793" s="1741" t="s">
        <v>80</v>
      </c>
      <c r="F14793" s="1741"/>
      <c r="G14793" s="1277" t="s">
        <v>29</v>
      </c>
      <c r="H14793" s="1219">
        <v>6.5202999999999998</v>
      </c>
      <c r="K14793" s="1192" t="s">
        <v>2428</v>
      </c>
      <c r="L14793" s="1192" t="s">
        <v>430</v>
      </c>
      <c r="P14793" s="1192" t="s">
        <v>2433</v>
      </c>
      <c r="V14793" s="1192">
        <v>28</v>
      </c>
    </row>
    <row r="14794" spans="1:22" s="1192" customFormat="1" ht="14.4" x14ac:dyDescent="0.3">
      <c r="A14794" s="1192" t="s">
        <v>621</v>
      </c>
      <c r="B14794" s="1192" t="s">
        <v>4626</v>
      </c>
      <c r="E14794" s="1741" t="s">
        <v>6548</v>
      </c>
      <c r="F14794" s="1998"/>
      <c r="G14794" s="1277" t="s">
        <v>29</v>
      </c>
      <c r="H14794" s="1219">
        <v>5.8968999999999996</v>
      </c>
      <c r="K14794" s="1192" t="s">
        <v>2428</v>
      </c>
      <c r="L14794" s="1192" t="s">
        <v>430</v>
      </c>
      <c r="P14794" s="1192" t="s">
        <v>3343</v>
      </c>
      <c r="T14794" s="1192">
        <v>44316</v>
      </c>
      <c r="V14794" s="1192">
        <v>134</v>
      </c>
    </row>
    <row r="14795" spans="1:22" s="1192" customFormat="1" ht="14.4" x14ac:dyDescent="0.3">
      <c r="A14795" s="1192" t="s">
        <v>621</v>
      </c>
      <c r="B14795" s="1192" t="s">
        <v>4626</v>
      </c>
      <c r="E14795" s="1741" t="s">
        <v>6505</v>
      </c>
      <c r="F14795" s="1998"/>
      <c r="G14795" s="1277" t="s">
        <v>29</v>
      </c>
      <c r="H14795" s="1219">
        <v>-0.1898</v>
      </c>
      <c r="K14795" s="1192" t="s">
        <v>2428</v>
      </c>
      <c r="L14795" s="1192" t="s">
        <v>430</v>
      </c>
      <c r="P14795" s="1192" t="s">
        <v>3259</v>
      </c>
      <c r="T14795" s="1192">
        <v>44316</v>
      </c>
      <c r="V14795" s="1192">
        <v>80</v>
      </c>
    </row>
    <row r="14796" spans="1:22" s="1192" customFormat="1" ht="14.4" x14ac:dyDescent="0.3">
      <c r="A14796" s="1192" t="s">
        <v>621</v>
      </c>
      <c r="B14796" s="1192" t="s">
        <v>4626</v>
      </c>
      <c r="E14796" s="1741" t="s">
        <v>213</v>
      </c>
      <c r="F14796" s="1741"/>
      <c r="G14796" s="1277" t="s">
        <v>29</v>
      </c>
      <c r="H14796" s="1219">
        <v>2.35</v>
      </c>
      <c r="K14796" s="1192" t="s">
        <v>2428</v>
      </c>
      <c r="L14796" s="1192" t="s">
        <v>432</v>
      </c>
      <c r="P14796" s="1192" t="s">
        <v>2436</v>
      </c>
      <c r="V14796" s="1192">
        <v>47</v>
      </c>
    </row>
    <row r="14797" spans="1:22" s="1192" customFormat="1" ht="14.4" x14ac:dyDescent="0.3">
      <c r="A14797" s="1192" t="s">
        <v>621</v>
      </c>
      <c r="B14797" s="1192" t="s">
        <v>4626</v>
      </c>
      <c r="E14797" s="1741" t="s">
        <v>209</v>
      </c>
      <c r="F14797" s="1741"/>
      <c r="G14797" s="1277" t="s">
        <v>29</v>
      </c>
      <c r="H14797" s="1219">
        <v>2.0781000000000001</v>
      </c>
      <c r="K14797" s="1192" t="s">
        <v>2428</v>
      </c>
      <c r="L14797" s="1192" t="s">
        <v>432</v>
      </c>
      <c r="P14797" s="1192" t="s">
        <v>2437</v>
      </c>
      <c r="V14797" s="1192">
        <v>74</v>
      </c>
    </row>
    <row r="14798" spans="1:22" s="1192" customFormat="1" ht="14.4" x14ac:dyDescent="0.3">
      <c r="A14798" s="1192" t="s">
        <v>621</v>
      </c>
      <c r="B14798" s="1192" t="s">
        <v>4626</v>
      </c>
      <c r="E14798" s="1750" t="s">
        <v>2405</v>
      </c>
      <c r="F14798" s="1741"/>
      <c r="G14798" s="1741"/>
      <c r="H14798" s="1741"/>
      <c r="K14798" s="1192" t="s">
        <v>2438</v>
      </c>
      <c r="V14798" s="1192">
        <v>48</v>
      </c>
    </row>
    <row r="14799" spans="1:22" s="1192" customFormat="1" ht="14.4" x14ac:dyDescent="0.3">
      <c r="A14799" s="1192" t="s">
        <v>621</v>
      </c>
      <c r="B14799" s="1192" t="s">
        <v>4626</v>
      </c>
      <c r="E14799" s="1741" t="s">
        <v>2033</v>
      </c>
      <c r="F14799" s="1741"/>
      <c r="G14799" s="1277" t="s">
        <v>20</v>
      </c>
      <c r="H14799" s="1219">
        <v>3.0000000000000001E-3</v>
      </c>
      <c r="K14799" s="1192" t="s">
        <v>2428</v>
      </c>
      <c r="L14799" s="1192" t="s">
        <v>2374</v>
      </c>
      <c r="P14799" s="1192" t="s">
        <v>2439</v>
      </c>
      <c r="V14799" s="1192">
        <v>55</v>
      </c>
    </row>
    <row r="14800" spans="1:22" s="1192" customFormat="1" ht="14.4" x14ac:dyDescent="0.3">
      <c r="A14800" s="1192" t="s">
        <v>621</v>
      </c>
      <c r="B14800" s="1192" t="s">
        <v>4626</v>
      </c>
      <c r="E14800" s="1741" t="s">
        <v>2034</v>
      </c>
      <c r="F14800" s="1741"/>
      <c r="G14800" s="1277" t="s">
        <v>20</v>
      </c>
      <c r="H14800" s="1219">
        <v>4.0000000000000002E-4</v>
      </c>
      <c r="K14800" s="1192" t="s">
        <v>2428</v>
      </c>
      <c r="L14800" s="1192" t="s">
        <v>2374</v>
      </c>
      <c r="P14800" s="1192" t="s">
        <v>2439</v>
      </c>
      <c r="V14800" s="1192">
        <v>65</v>
      </c>
    </row>
    <row r="14801" spans="1:22" s="1192" customFormat="1" ht="14.4" x14ac:dyDescent="0.3">
      <c r="A14801" s="1192" t="s">
        <v>621</v>
      </c>
      <c r="B14801" s="1192" t="s">
        <v>4626</v>
      </c>
      <c r="E14801" s="1741" t="s">
        <v>428</v>
      </c>
      <c r="F14801" s="1741"/>
      <c r="G14801" s="1277" t="s">
        <v>20</v>
      </c>
      <c r="H14801" s="1219">
        <v>5.0000000000000001E-4</v>
      </c>
      <c r="K14801" s="1192" t="s">
        <v>2428</v>
      </c>
      <c r="L14801" s="1192" t="s">
        <v>2374</v>
      </c>
      <c r="P14801" s="1192" t="s">
        <v>2440</v>
      </c>
      <c r="V14801" s="1192">
        <v>57</v>
      </c>
    </row>
    <row r="14802" spans="1:22" s="1192" customFormat="1" ht="14.4" x14ac:dyDescent="0.3">
      <c r="A14802" s="1192" t="s">
        <v>621</v>
      </c>
      <c r="B14802" s="1192" t="s">
        <v>4626</v>
      </c>
      <c r="E14802" s="1741" t="s">
        <v>28</v>
      </c>
      <c r="F14802" s="1741"/>
      <c r="G14802" s="1277" t="s">
        <v>19</v>
      </c>
      <c r="H14802" s="1218">
        <v>0.25</v>
      </c>
      <c r="K14802" s="1192" t="s">
        <v>2428</v>
      </c>
      <c r="L14802" s="1192" t="s">
        <v>2374</v>
      </c>
      <c r="P14802" s="1192" t="s">
        <v>2441</v>
      </c>
      <c r="V14802" s="1192">
        <v>63</v>
      </c>
    </row>
    <row r="14803" spans="1:22" s="1192" customFormat="1" ht="17.399999999999999" x14ac:dyDescent="0.3">
      <c r="A14803" s="1192" t="s">
        <v>621</v>
      </c>
      <c r="B14803" s="1192" t="s">
        <v>4626</v>
      </c>
      <c r="E14803" s="1746" t="s">
        <v>593</v>
      </c>
      <c r="F14803" s="1747"/>
      <c r="G14803" s="1747"/>
      <c r="H14803" s="1747"/>
      <c r="K14803" s="1192" t="s">
        <v>2442</v>
      </c>
      <c r="V14803" s="1192">
        <v>31</v>
      </c>
    </row>
    <row r="14804" spans="1:22" s="1192" customFormat="1" ht="14.4" x14ac:dyDescent="0.3">
      <c r="A14804" s="1192" t="s">
        <v>621</v>
      </c>
      <c r="B14804" s="1192" t="s">
        <v>4626</v>
      </c>
      <c r="E14804" s="1743" t="s">
        <v>3260</v>
      </c>
      <c r="F14804" s="1743"/>
      <c r="G14804" s="1743"/>
      <c r="H14804" s="1743"/>
      <c r="K14804" s="1192" t="s">
        <v>2442</v>
      </c>
      <c r="V14804" s="1192">
        <v>286</v>
      </c>
    </row>
    <row r="14805" spans="1:22" s="1192" customFormat="1" ht="14.4" x14ac:dyDescent="0.3">
      <c r="A14805" s="1192" t="s">
        <v>621</v>
      </c>
      <c r="B14805" s="1192" t="s">
        <v>4626</v>
      </c>
      <c r="E14805" s="1750" t="s">
        <v>2389</v>
      </c>
      <c r="F14805" s="1743"/>
      <c r="G14805" s="1743"/>
      <c r="H14805" s="1743"/>
      <c r="K14805" s="1192" t="s">
        <v>2444</v>
      </c>
      <c r="V14805" s="1192">
        <v>11</v>
      </c>
    </row>
    <row r="14806" spans="1:22" s="1192" customFormat="1" ht="14.4" x14ac:dyDescent="0.3">
      <c r="A14806" s="1192" t="s">
        <v>621</v>
      </c>
      <c r="B14806" s="1192" t="s">
        <v>4626</v>
      </c>
      <c r="E14806" s="1743" t="s">
        <v>3249</v>
      </c>
      <c r="F14806" s="1743"/>
      <c r="G14806" s="1743"/>
      <c r="H14806" s="1743"/>
      <c r="K14806" s="1192" t="s">
        <v>2442</v>
      </c>
      <c r="V14806" s="1192">
        <v>282</v>
      </c>
    </row>
    <row r="14807" spans="1:22" s="1192" customFormat="1" ht="14.4" x14ac:dyDescent="0.3">
      <c r="A14807" s="1192" t="s">
        <v>621</v>
      </c>
      <c r="B14807" s="1192" t="s">
        <v>4626</v>
      </c>
      <c r="E14807" s="1743" t="s">
        <v>2392</v>
      </c>
      <c r="F14807" s="1743"/>
      <c r="G14807" s="1743"/>
      <c r="H14807" s="1743"/>
      <c r="K14807" s="1192" t="s">
        <v>2442</v>
      </c>
      <c r="V14807" s="1192">
        <v>411</v>
      </c>
    </row>
    <row r="14808" spans="1:22" s="1192" customFormat="1" ht="14.4" x14ac:dyDescent="0.3">
      <c r="A14808" s="1192" t="s">
        <v>621</v>
      </c>
      <c r="B14808" s="1192" t="s">
        <v>4626</v>
      </c>
      <c r="E14808" s="1743" t="s">
        <v>3124</v>
      </c>
      <c r="F14808" s="1743"/>
      <c r="G14808" s="1743"/>
      <c r="H14808" s="1743"/>
      <c r="K14808" s="1192" t="s">
        <v>2442</v>
      </c>
      <c r="V14808" s="1192">
        <v>212</v>
      </c>
    </row>
    <row r="14809" spans="1:22" s="1192" customFormat="1" ht="14.4" x14ac:dyDescent="0.3">
      <c r="A14809" s="1192" t="s">
        <v>621</v>
      </c>
      <c r="B14809" s="1192" t="s">
        <v>4626</v>
      </c>
      <c r="E14809" s="1743" t="s">
        <v>2986</v>
      </c>
      <c r="F14809" s="1743"/>
      <c r="G14809" s="1743"/>
      <c r="H14809" s="1743"/>
      <c r="K14809" s="1192" t="s">
        <v>2442</v>
      </c>
      <c r="V14809" s="1192">
        <v>246</v>
      </c>
    </row>
    <row r="14810" spans="1:22" s="1192" customFormat="1" ht="14.4" x14ac:dyDescent="0.3">
      <c r="A14810" s="1192" t="s">
        <v>621</v>
      </c>
      <c r="B14810" s="1192" t="s">
        <v>4626</v>
      </c>
      <c r="E14810" s="1750" t="s">
        <v>2394</v>
      </c>
      <c r="F14810" s="1743"/>
      <c r="G14810" s="1743"/>
      <c r="H14810" s="1743"/>
      <c r="K14810" s="1192" t="s">
        <v>2446</v>
      </c>
      <c r="V14810" s="1192">
        <v>46</v>
      </c>
    </row>
    <row r="14811" spans="1:22" s="1192" customFormat="1" ht="14.4" x14ac:dyDescent="0.3">
      <c r="A14811" s="1192" t="s">
        <v>621</v>
      </c>
      <c r="B14811" s="1192" t="s">
        <v>4626</v>
      </c>
      <c r="E14811" s="1741" t="s">
        <v>7</v>
      </c>
      <c r="F14811" s="1741"/>
      <c r="G14811" s="1277" t="s">
        <v>19</v>
      </c>
      <c r="H14811" s="1218">
        <v>4.55</v>
      </c>
      <c r="K14811" s="1192" t="s">
        <v>2442</v>
      </c>
      <c r="L14811" s="1192" t="s">
        <v>430</v>
      </c>
      <c r="P14811" s="1192" t="s">
        <v>2447</v>
      </c>
      <c r="V14811" s="1192">
        <v>14</v>
      </c>
    </row>
    <row r="14812" spans="1:22" s="1192" customFormat="1" x14ac:dyDescent="0.3">
      <c r="A14812" s="1192" t="s">
        <v>621</v>
      </c>
      <c r="B14812" s="1192" t="s">
        <v>4626</v>
      </c>
      <c r="E14812" s="1746" t="s">
        <v>81</v>
      </c>
      <c r="F14812" s="1999"/>
      <c r="G14812" s="1999"/>
      <c r="H14812" s="1999"/>
      <c r="K14812" s="1192" t="s">
        <v>4619</v>
      </c>
      <c r="V14812" s="1192">
        <v>10</v>
      </c>
    </row>
    <row r="14813" spans="1:22" s="1192" customFormat="1" ht="14.4" x14ac:dyDescent="0.3">
      <c r="A14813" s="1192" t="s">
        <v>621</v>
      </c>
      <c r="B14813" s="1192" t="s">
        <v>4626</v>
      </c>
      <c r="E14813" s="1741" t="s">
        <v>2449</v>
      </c>
      <c r="F14813" s="1741"/>
      <c r="G14813" s="1277" t="s">
        <v>29</v>
      </c>
      <c r="H14813" s="1219">
        <v>-0.85</v>
      </c>
      <c r="V14813" s="1192">
        <v>68</v>
      </c>
    </row>
    <row r="14814" spans="1:22" s="1192" customFormat="1" ht="14.4" x14ac:dyDescent="0.3">
      <c r="A14814" s="1192" t="s">
        <v>621</v>
      </c>
      <c r="B14814" s="1192" t="s">
        <v>4626</v>
      </c>
      <c r="E14814" s="1741" t="s">
        <v>2450</v>
      </c>
      <c r="F14814" s="1741"/>
      <c r="G14814" s="1277" t="s">
        <v>82</v>
      </c>
      <c r="H14814" s="1218">
        <v>-1</v>
      </c>
      <c r="V14814" s="1192">
        <v>87</v>
      </c>
    </row>
    <row r="14815" spans="1:22" s="1192" customFormat="1" x14ac:dyDescent="0.3">
      <c r="A14815" s="1192" t="s">
        <v>621</v>
      </c>
      <c r="B14815" s="1192" t="s">
        <v>4626</v>
      </c>
      <c r="E14815" s="1746" t="s">
        <v>83</v>
      </c>
      <c r="F14815" s="1999"/>
      <c r="G14815" s="1999"/>
      <c r="H14815" s="1999"/>
      <c r="K14815" s="1192" t="s">
        <v>4620</v>
      </c>
      <c r="V14815" s="1192">
        <v>24</v>
      </c>
    </row>
    <row r="14816" spans="1:22" s="1192" customFormat="1" ht="14.4" x14ac:dyDescent="0.3">
      <c r="A14816" s="1192" t="s">
        <v>621</v>
      </c>
      <c r="B14816" s="1192" t="s">
        <v>4626</v>
      </c>
      <c r="E14816" s="1743" t="s">
        <v>2391</v>
      </c>
      <c r="F14816" s="1743"/>
      <c r="G14816" s="1743"/>
      <c r="H14816" s="1743"/>
      <c r="V14816" s="1192">
        <v>280</v>
      </c>
    </row>
    <row r="14817" spans="1:22" s="1192" customFormat="1" ht="14.4" x14ac:dyDescent="0.3">
      <c r="A14817" s="1192" t="s">
        <v>621</v>
      </c>
      <c r="B14817" s="1192" t="s">
        <v>4626</v>
      </c>
      <c r="E14817" s="1743" t="s">
        <v>3238</v>
      </c>
      <c r="F14817" s="1743"/>
      <c r="G14817" s="1743"/>
      <c r="H14817" s="1743"/>
      <c r="V14817" s="1192">
        <v>355</v>
      </c>
    </row>
    <row r="14818" spans="1:22" s="1192" customFormat="1" ht="14.4" x14ac:dyDescent="0.3">
      <c r="A14818" s="1192" t="s">
        <v>621</v>
      </c>
      <c r="B14818" s="1192" t="s">
        <v>4626</v>
      </c>
      <c r="E14818" s="1743" t="s">
        <v>2986</v>
      </c>
      <c r="F14818" s="1743"/>
      <c r="G14818" s="1743"/>
      <c r="H14818" s="1743"/>
      <c r="V14818" s="1192">
        <v>246</v>
      </c>
    </row>
    <row r="14819" spans="1:22" s="1192" customFormat="1" ht="14.4" x14ac:dyDescent="0.3">
      <c r="A14819" s="1192" t="s">
        <v>621</v>
      </c>
      <c r="B14819" s="1192" t="s">
        <v>4626</v>
      </c>
      <c r="E14819" s="1750" t="s">
        <v>2453</v>
      </c>
      <c r="F14819" s="1998"/>
      <c r="G14819" s="1998"/>
      <c r="H14819" s="1998"/>
      <c r="K14819" s="1192" t="s">
        <v>4621</v>
      </c>
      <c r="V14819" s="1192">
        <v>23</v>
      </c>
    </row>
    <row r="14820" spans="1:22" s="1192" customFormat="1" ht="14.4" x14ac:dyDescent="0.3">
      <c r="A14820" s="1192" t="s">
        <v>621</v>
      </c>
      <c r="B14820" s="1192" t="s">
        <v>4626</v>
      </c>
      <c r="E14820" s="1942" t="s">
        <v>2639</v>
      </c>
      <c r="F14820" s="1942"/>
      <c r="G14820" s="1277" t="s">
        <v>19</v>
      </c>
      <c r="H14820" s="1218">
        <v>15</v>
      </c>
      <c r="V14820" s="1192">
        <v>19</v>
      </c>
    </row>
    <row r="14821" spans="1:22" s="1192" customFormat="1" ht="14.4" x14ac:dyDescent="0.3">
      <c r="A14821" s="1192" t="s">
        <v>621</v>
      </c>
      <c r="B14821" s="1192" t="s">
        <v>4626</v>
      </c>
      <c r="E14821" s="1942" t="s">
        <v>2456</v>
      </c>
      <c r="F14821" s="1942"/>
      <c r="G14821" s="1277" t="s">
        <v>19</v>
      </c>
      <c r="H14821" s="1218">
        <v>15</v>
      </c>
      <c r="V14821" s="1192">
        <v>20</v>
      </c>
    </row>
    <row r="14822" spans="1:22" s="1192" customFormat="1" ht="14.4" x14ac:dyDescent="0.3">
      <c r="A14822" s="1192" t="s">
        <v>621</v>
      </c>
      <c r="B14822" s="1192" t="s">
        <v>4626</v>
      </c>
      <c r="E14822" s="1942" t="s">
        <v>2458</v>
      </c>
      <c r="F14822" s="1942"/>
      <c r="G14822" s="1277" t="s">
        <v>19</v>
      </c>
      <c r="H14822" s="1218">
        <v>15</v>
      </c>
      <c r="V14822" s="1192">
        <v>39</v>
      </c>
    </row>
    <row r="14823" spans="1:22" s="1192" customFormat="1" ht="14.4" x14ac:dyDescent="0.3">
      <c r="A14823" s="1192" t="s">
        <v>621</v>
      </c>
      <c r="B14823" s="1192" t="s">
        <v>4626</v>
      </c>
      <c r="E14823" s="1942" t="s">
        <v>2459</v>
      </c>
      <c r="F14823" s="1942"/>
      <c r="G14823" s="1277" t="s">
        <v>19</v>
      </c>
      <c r="H14823" s="1218">
        <v>15</v>
      </c>
      <c r="V14823" s="1192">
        <v>37</v>
      </c>
    </row>
    <row r="14824" spans="1:22" s="1192" customFormat="1" ht="14.4" x14ac:dyDescent="0.3">
      <c r="A14824" s="1192" t="s">
        <v>621</v>
      </c>
      <c r="B14824" s="1192" t="s">
        <v>4626</v>
      </c>
      <c r="E14824" s="1942" t="s">
        <v>3663</v>
      </c>
      <c r="F14824" s="1942"/>
      <c r="G14824" s="1277" t="s">
        <v>19</v>
      </c>
      <c r="H14824" s="1218">
        <v>15</v>
      </c>
      <c r="V14824" s="1192">
        <v>15</v>
      </c>
    </row>
    <row r="14825" spans="1:22" s="1192" customFormat="1" ht="14.4" x14ac:dyDescent="0.3">
      <c r="A14825" s="1192" t="s">
        <v>621</v>
      </c>
      <c r="B14825" s="1192" t="s">
        <v>4626</v>
      </c>
      <c r="E14825" s="1942" t="s">
        <v>2463</v>
      </c>
      <c r="F14825" s="1942"/>
      <c r="G14825" s="1277" t="s">
        <v>19</v>
      </c>
      <c r="H14825" s="1218">
        <v>15</v>
      </c>
      <c r="V14825" s="1192">
        <v>15</v>
      </c>
    </row>
    <row r="14826" spans="1:22" s="1192" customFormat="1" ht="14.4" x14ac:dyDescent="0.3">
      <c r="A14826" s="1192" t="s">
        <v>621</v>
      </c>
      <c r="B14826" s="1192" t="s">
        <v>4626</v>
      </c>
      <c r="E14826" s="1942" t="s">
        <v>4194</v>
      </c>
      <c r="F14826" s="1942"/>
      <c r="G14826" s="1277" t="s">
        <v>19</v>
      </c>
      <c r="H14826" s="1218">
        <v>15</v>
      </c>
      <c r="V14826" s="1192">
        <v>23</v>
      </c>
    </row>
    <row r="14827" spans="1:22" s="1192" customFormat="1" ht="14.4" x14ac:dyDescent="0.3">
      <c r="A14827" s="1192" t="s">
        <v>621</v>
      </c>
      <c r="B14827" s="1192" t="s">
        <v>4626</v>
      </c>
      <c r="E14827" s="1942" t="s">
        <v>4189</v>
      </c>
      <c r="F14827" s="1942"/>
      <c r="G14827" s="1277" t="s">
        <v>19</v>
      </c>
      <c r="H14827" s="1218">
        <v>15</v>
      </c>
      <c r="V14827" s="1192">
        <v>39</v>
      </c>
    </row>
    <row r="14828" spans="1:22" s="1192" customFormat="1" ht="14.4" x14ac:dyDescent="0.3">
      <c r="A14828" s="1192" t="s">
        <v>621</v>
      </c>
      <c r="B14828" s="1192" t="s">
        <v>4626</v>
      </c>
      <c r="E14828" s="1942" t="s">
        <v>119</v>
      </c>
      <c r="F14828" s="1942"/>
      <c r="G14828" s="1277" t="s">
        <v>19</v>
      </c>
      <c r="H14828" s="1218">
        <v>15</v>
      </c>
      <c r="V14828" s="1192">
        <v>35</v>
      </c>
    </row>
    <row r="14829" spans="1:22" s="1192" customFormat="1" ht="14.4" x14ac:dyDescent="0.3">
      <c r="A14829" s="1192" t="s">
        <v>621</v>
      </c>
      <c r="B14829" s="1192" t="s">
        <v>4626</v>
      </c>
      <c r="E14829" s="1942" t="s">
        <v>2467</v>
      </c>
      <c r="F14829" s="1942"/>
      <c r="G14829" s="1277" t="s">
        <v>19</v>
      </c>
      <c r="H14829" s="1218">
        <v>15</v>
      </c>
      <c r="V14829" s="1192">
        <v>19</v>
      </c>
    </row>
    <row r="14830" spans="1:22" s="1192" customFormat="1" ht="14.4" x14ac:dyDescent="0.3">
      <c r="A14830" s="1192" t="s">
        <v>621</v>
      </c>
      <c r="B14830" s="1192" t="s">
        <v>4626</v>
      </c>
      <c r="E14830" s="1942" t="s">
        <v>90</v>
      </c>
      <c r="F14830" s="1942"/>
      <c r="G14830" s="1277" t="s">
        <v>19</v>
      </c>
      <c r="H14830" s="1218">
        <v>30</v>
      </c>
      <c r="V14830" s="1192">
        <v>19</v>
      </c>
    </row>
    <row r="14831" spans="1:22" s="1192" customFormat="1" ht="14.4" x14ac:dyDescent="0.3">
      <c r="A14831" s="1192" t="s">
        <v>621</v>
      </c>
      <c r="B14831" s="1192" t="s">
        <v>4626</v>
      </c>
      <c r="E14831" s="1942" t="s">
        <v>3261</v>
      </c>
      <c r="F14831" s="1942"/>
      <c r="G14831" s="1277" t="s">
        <v>19</v>
      </c>
      <c r="H14831" s="1218">
        <v>26</v>
      </c>
      <c r="V14831" s="1192">
        <v>103</v>
      </c>
    </row>
    <row r="14832" spans="1:22" s="1192" customFormat="1" ht="14.4" x14ac:dyDescent="0.3">
      <c r="A14832" s="1192" t="s">
        <v>621</v>
      </c>
      <c r="B14832" s="1192" t="s">
        <v>4626</v>
      </c>
      <c r="E14832" s="1942" t="s">
        <v>88</v>
      </c>
      <c r="F14832" s="1942"/>
      <c r="G14832" s="1277" t="s">
        <v>19</v>
      </c>
      <c r="H14832" s="1218">
        <v>30</v>
      </c>
      <c r="V14832" s="1192">
        <v>74</v>
      </c>
    </row>
    <row r="14833" spans="1:22" s="1192" customFormat="1" ht="14.4" x14ac:dyDescent="0.3">
      <c r="A14833" s="1192" t="s">
        <v>621</v>
      </c>
      <c r="B14833" s="1192" t="s">
        <v>4626</v>
      </c>
      <c r="E14833" s="1750" t="s">
        <v>2468</v>
      </c>
      <c r="F14833" s="1998"/>
      <c r="G14833" s="1998"/>
      <c r="H14833" s="1998"/>
      <c r="K14833" s="1192" t="s">
        <v>6819</v>
      </c>
      <c r="V14833" s="1192">
        <v>22</v>
      </c>
    </row>
    <row r="14834" spans="1:22" s="1192" customFormat="1" ht="14.4" x14ac:dyDescent="0.3">
      <c r="A14834" s="1192" t="s">
        <v>621</v>
      </c>
      <c r="B14834" s="1192" t="s">
        <v>4626</v>
      </c>
      <c r="E14834" s="1942" t="s">
        <v>6820</v>
      </c>
      <c r="F14834" s="1942"/>
      <c r="G14834" s="1277" t="s">
        <v>82</v>
      </c>
      <c r="H14834" s="1218">
        <v>1.5</v>
      </c>
      <c r="V14834" s="1192">
        <v>100</v>
      </c>
    </row>
    <row r="14835" spans="1:22" s="1192" customFormat="1" ht="14.4" x14ac:dyDescent="0.3">
      <c r="A14835" s="1192" t="s">
        <v>621</v>
      </c>
      <c r="B14835" s="1192" t="s">
        <v>4626</v>
      </c>
      <c r="E14835" s="1942" t="s">
        <v>6106</v>
      </c>
      <c r="F14835" s="1942"/>
      <c r="G14835" s="1277" t="s">
        <v>19</v>
      </c>
      <c r="H14835" s="1218">
        <v>50</v>
      </c>
      <c r="V14835" s="1192">
        <v>44</v>
      </c>
    </row>
    <row r="14836" spans="1:22" s="1192" customFormat="1" ht="14.4" x14ac:dyDescent="0.3">
      <c r="A14836" s="1192" t="s">
        <v>621</v>
      </c>
      <c r="B14836" s="1192" t="s">
        <v>4626</v>
      </c>
      <c r="E14836" s="1942" t="s">
        <v>6107</v>
      </c>
      <c r="F14836" s="1942"/>
      <c r="G14836" s="1277" t="s">
        <v>19</v>
      </c>
      <c r="H14836" s="1218">
        <v>185</v>
      </c>
      <c r="V14836" s="1192">
        <v>43</v>
      </c>
    </row>
    <row r="14837" spans="1:22" s="1192" customFormat="1" ht="14.4" x14ac:dyDescent="0.3">
      <c r="A14837" s="1192" t="s">
        <v>621</v>
      </c>
      <c r="B14837" s="1192" t="s">
        <v>4626</v>
      </c>
      <c r="E14837" s="1942" t="s">
        <v>6108</v>
      </c>
      <c r="F14837" s="1942"/>
      <c r="G14837" s="1277" t="s">
        <v>19</v>
      </c>
      <c r="H14837" s="1218">
        <v>185</v>
      </c>
      <c r="V14837" s="1192">
        <v>43</v>
      </c>
    </row>
    <row r="14838" spans="1:22" s="1192" customFormat="1" ht="14.4" x14ac:dyDescent="0.3">
      <c r="A14838" s="1192" t="s">
        <v>621</v>
      </c>
      <c r="B14838" s="1192" t="s">
        <v>4626</v>
      </c>
      <c r="E14838" s="1942" t="s">
        <v>6115</v>
      </c>
      <c r="F14838" s="1942"/>
      <c r="G14838" s="1277" t="s">
        <v>19</v>
      </c>
      <c r="H14838" s="1218">
        <v>415</v>
      </c>
      <c r="V14838" s="1192">
        <v>42</v>
      </c>
    </row>
    <row r="14839" spans="1:22" s="1192" customFormat="1" ht="14.4" x14ac:dyDescent="0.3">
      <c r="A14839" s="1192" t="s">
        <v>621</v>
      </c>
      <c r="B14839" s="1192" t="s">
        <v>4626</v>
      </c>
      <c r="E14839" s="1750" t="s">
        <v>2474</v>
      </c>
      <c r="F14839" s="1998"/>
      <c r="G14839" s="1998"/>
      <c r="H14839" s="1998"/>
      <c r="V14839" s="1192">
        <v>5</v>
      </c>
    </row>
    <row r="14840" spans="1:22" s="1192" customFormat="1" ht="14.4" x14ac:dyDescent="0.3">
      <c r="A14840" s="1192" t="s">
        <v>621</v>
      </c>
      <c r="B14840" s="1192" t="s">
        <v>4626</v>
      </c>
      <c r="E14840" s="1942" t="s">
        <v>2477</v>
      </c>
      <c r="F14840" s="1942"/>
      <c r="G14840" s="1277" t="s">
        <v>19</v>
      </c>
      <c r="H14840" s="1218">
        <v>30</v>
      </c>
      <c r="V14840" s="1192">
        <v>39</v>
      </c>
    </row>
    <row r="14841" spans="1:22" s="1192" customFormat="1" ht="14.4" x14ac:dyDescent="0.3">
      <c r="A14841" s="1192" t="s">
        <v>621</v>
      </c>
      <c r="B14841" s="1192" t="s">
        <v>4626</v>
      </c>
      <c r="E14841" s="1942" t="s">
        <v>2478</v>
      </c>
      <c r="F14841" s="1942"/>
      <c r="G14841" s="1277" t="s">
        <v>19</v>
      </c>
      <c r="H14841" s="1218">
        <v>165</v>
      </c>
      <c r="V14841" s="1192">
        <v>34</v>
      </c>
    </row>
    <row r="14842" spans="1:22" s="1192" customFormat="1" ht="14.4" x14ac:dyDescent="0.3">
      <c r="A14842" s="1192" t="s">
        <v>621</v>
      </c>
      <c r="B14842" s="1192" t="s">
        <v>4626</v>
      </c>
      <c r="E14842" s="1942" t="s">
        <v>2758</v>
      </c>
      <c r="F14842" s="1942"/>
      <c r="G14842" s="1277" t="s">
        <v>19</v>
      </c>
      <c r="H14842" s="1218">
        <v>500</v>
      </c>
      <c r="V14842" s="1192">
        <v>67</v>
      </c>
    </row>
    <row r="14843" spans="1:22" s="1192" customFormat="1" ht="14.4" x14ac:dyDescent="0.3">
      <c r="A14843" s="1192" t="s">
        <v>621</v>
      </c>
      <c r="B14843" s="1192" t="s">
        <v>4626</v>
      </c>
      <c r="E14843" s="1942" t="s">
        <v>2703</v>
      </c>
      <c r="F14843" s="1942"/>
      <c r="G14843" s="1277" t="s">
        <v>19</v>
      </c>
      <c r="H14843" s="1218">
        <v>300</v>
      </c>
      <c r="V14843" s="1192">
        <v>64</v>
      </c>
    </row>
    <row r="14844" spans="1:22" s="1192" customFormat="1" ht="14.4" x14ac:dyDescent="0.3">
      <c r="A14844" s="1192" t="s">
        <v>621</v>
      </c>
      <c r="B14844" s="1192" t="s">
        <v>4626</v>
      </c>
      <c r="E14844" s="1942" t="s">
        <v>2759</v>
      </c>
      <c r="F14844" s="1942"/>
      <c r="G14844" s="1277" t="s">
        <v>19</v>
      </c>
      <c r="H14844" s="1218">
        <v>1000</v>
      </c>
      <c r="V14844" s="1192">
        <v>66</v>
      </c>
    </row>
    <row r="14845" spans="1:22" s="1192" customFormat="1" ht="14.4" x14ac:dyDescent="0.3">
      <c r="A14845" s="1192" t="s">
        <v>621</v>
      </c>
      <c r="B14845" s="1192" t="s">
        <v>4626</v>
      </c>
      <c r="E14845" s="1942" t="s">
        <v>2768</v>
      </c>
      <c r="F14845" s="1942"/>
      <c r="G14845" s="1277" t="s">
        <v>19</v>
      </c>
      <c r="H14845" s="1218">
        <v>44.5</v>
      </c>
      <c r="V14845" s="1192">
        <v>104</v>
      </c>
    </row>
    <row r="14846" spans="1:22" s="1192" customFormat="1" x14ac:dyDescent="0.3">
      <c r="A14846" s="1192" t="s">
        <v>621</v>
      </c>
      <c r="B14846" s="1192" t="s">
        <v>4626</v>
      </c>
      <c r="E14846" s="1746" t="s">
        <v>73</v>
      </c>
      <c r="F14846" s="1999"/>
      <c r="G14846" s="1999"/>
      <c r="H14846" s="1999"/>
      <c r="K14846" s="1192" t="s">
        <v>4622</v>
      </c>
      <c r="V14846" s="1192">
        <v>38</v>
      </c>
    </row>
    <row r="14847" spans="1:22" s="1192" customFormat="1" ht="14.4" x14ac:dyDescent="0.3">
      <c r="A14847" s="1192" t="s">
        <v>621</v>
      </c>
      <c r="B14847" s="1192" t="s">
        <v>4626</v>
      </c>
      <c r="E14847" s="1743" t="s">
        <v>3244</v>
      </c>
      <c r="F14847" s="1743"/>
      <c r="G14847" s="1743"/>
      <c r="H14847" s="1743"/>
      <c r="V14847" s="1192">
        <v>281</v>
      </c>
    </row>
    <row r="14848" spans="1:22" s="1192" customFormat="1" ht="14.4" x14ac:dyDescent="0.3">
      <c r="A14848" s="1192" t="s">
        <v>621</v>
      </c>
      <c r="B14848" s="1192" t="s">
        <v>4626</v>
      </c>
      <c r="E14848" s="1743" t="s">
        <v>3245</v>
      </c>
      <c r="F14848" s="1743"/>
      <c r="G14848" s="1743"/>
      <c r="H14848" s="1743"/>
      <c r="V14848" s="1192">
        <v>414</v>
      </c>
    </row>
    <row r="14849" spans="1:22" s="1192" customFormat="1" ht="14.4" x14ac:dyDescent="0.3">
      <c r="A14849" s="1192" t="s">
        <v>621</v>
      </c>
      <c r="B14849" s="1192" t="s">
        <v>4626</v>
      </c>
      <c r="E14849" s="1743" t="s">
        <v>2445</v>
      </c>
      <c r="F14849" s="1743"/>
      <c r="G14849" s="1743"/>
      <c r="H14849" s="1743"/>
      <c r="V14849" s="1192">
        <v>211</v>
      </c>
    </row>
    <row r="14850" spans="1:22" s="1192" customFormat="1" ht="14.4" x14ac:dyDescent="0.3">
      <c r="A14850" s="1192" t="s">
        <v>621</v>
      </c>
      <c r="B14850" s="1192" t="s">
        <v>4626</v>
      </c>
      <c r="E14850" s="1743" t="s">
        <v>2986</v>
      </c>
      <c r="F14850" s="1743"/>
      <c r="G14850" s="1743"/>
      <c r="H14850" s="1743"/>
      <c r="V14850" s="1192">
        <v>246</v>
      </c>
    </row>
    <row r="14851" spans="1:22" s="1192" customFormat="1" ht="14.4" x14ac:dyDescent="0.3">
      <c r="A14851" s="1192" t="s">
        <v>621</v>
      </c>
      <c r="B14851" s="1192" t="s">
        <v>4626</v>
      </c>
      <c r="E14851" s="1743" t="s">
        <v>2595</v>
      </c>
      <c r="F14851" s="1743"/>
      <c r="G14851" s="1743"/>
      <c r="H14851" s="1743"/>
      <c r="V14851" s="1192">
        <v>142</v>
      </c>
    </row>
    <row r="14852" spans="1:22" s="1192" customFormat="1" ht="14.4" x14ac:dyDescent="0.3">
      <c r="A14852" s="1192" t="s">
        <v>621</v>
      </c>
      <c r="B14852" s="1192" t="s">
        <v>4626</v>
      </c>
      <c r="E14852" s="1741" t="s">
        <v>2485</v>
      </c>
      <c r="F14852" s="1741"/>
      <c r="G14852" s="360" t="s">
        <v>19</v>
      </c>
      <c r="H14852" s="1218">
        <v>102</v>
      </c>
      <c r="V14852" s="1192">
        <v>106</v>
      </c>
    </row>
    <row r="14853" spans="1:22" s="1192" customFormat="1" ht="14.4" x14ac:dyDescent="0.3">
      <c r="A14853" s="1192" t="s">
        <v>621</v>
      </c>
      <c r="B14853" s="1192" t="s">
        <v>4626</v>
      </c>
      <c r="E14853" s="1741" t="s">
        <v>2486</v>
      </c>
      <c r="F14853" s="1741"/>
      <c r="G14853" s="360" t="s">
        <v>19</v>
      </c>
      <c r="H14853" s="1218">
        <v>40.799999999999997</v>
      </c>
      <c r="V14853" s="1192">
        <v>34</v>
      </c>
    </row>
    <row r="14854" spans="1:22" s="1192" customFormat="1" ht="14.4" x14ac:dyDescent="0.3">
      <c r="A14854" s="1192" t="s">
        <v>621</v>
      </c>
      <c r="B14854" s="1192" t="s">
        <v>4626</v>
      </c>
      <c r="E14854" s="1741" t="s">
        <v>2487</v>
      </c>
      <c r="F14854" s="1741"/>
      <c r="G14854" s="360" t="s">
        <v>2488</v>
      </c>
      <c r="H14854" s="1218">
        <v>1.02</v>
      </c>
      <c r="V14854" s="1192">
        <v>51</v>
      </c>
    </row>
    <row r="14855" spans="1:22" s="1192" customFormat="1" ht="14.4" x14ac:dyDescent="0.3">
      <c r="A14855" s="1192" t="s">
        <v>621</v>
      </c>
      <c r="B14855" s="1192" t="s">
        <v>4626</v>
      </c>
      <c r="E14855" s="1741" t="s">
        <v>2489</v>
      </c>
      <c r="F14855" s="1741"/>
      <c r="G14855" s="360" t="s">
        <v>2488</v>
      </c>
      <c r="H14855" s="1218">
        <v>0.61</v>
      </c>
      <c r="V14855" s="1192">
        <v>75</v>
      </c>
    </row>
    <row r="14856" spans="1:22" s="1192" customFormat="1" ht="14.4" x14ac:dyDescent="0.3">
      <c r="A14856" s="1192" t="s">
        <v>621</v>
      </c>
      <c r="B14856" s="1192" t="s">
        <v>4626</v>
      </c>
      <c r="E14856" s="1741" t="s">
        <v>2490</v>
      </c>
      <c r="F14856" s="1741"/>
      <c r="G14856" s="360" t="s">
        <v>2488</v>
      </c>
      <c r="H14856" s="1218">
        <v>-0.61</v>
      </c>
      <c r="V14856" s="1192">
        <v>72</v>
      </c>
    </row>
    <row r="14857" spans="1:22" s="1192" customFormat="1" ht="14.4" x14ac:dyDescent="0.3">
      <c r="A14857" s="1192" t="s">
        <v>621</v>
      </c>
      <c r="B14857" s="1192" t="s">
        <v>4626</v>
      </c>
      <c r="E14857" s="1741" t="s">
        <v>2491</v>
      </c>
      <c r="F14857" s="1741"/>
      <c r="G14857" s="1998"/>
      <c r="H14857" s="1998"/>
      <c r="V14857" s="1192">
        <v>35</v>
      </c>
    </row>
    <row r="14858" spans="1:22" s="1192" customFormat="1" ht="14.4" x14ac:dyDescent="0.3">
      <c r="A14858" s="1192" t="s">
        <v>621</v>
      </c>
      <c r="B14858" s="1192" t="s">
        <v>4626</v>
      </c>
      <c r="E14858" s="1941" t="s">
        <v>2492</v>
      </c>
      <c r="F14858" s="1941"/>
      <c r="G14858" s="360" t="s">
        <v>19</v>
      </c>
      <c r="H14858" s="1218">
        <v>0.51</v>
      </c>
      <c r="V14858" s="1192">
        <v>57</v>
      </c>
    </row>
    <row r="14859" spans="1:22" s="1192" customFormat="1" ht="14.4" x14ac:dyDescent="0.3">
      <c r="A14859" s="1192" t="s">
        <v>621</v>
      </c>
      <c r="B14859" s="1192" t="s">
        <v>4626</v>
      </c>
      <c r="E14859" s="1941" t="s">
        <v>2493</v>
      </c>
      <c r="F14859" s="1941"/>
      <c r="G14859" s="360" t="s">
        <v>19</v>
      </c>
      <c r="H14859" s="1218">
        <v>1.02</v>
      </c>
      <c r="V14859" s="1192">
        <v>60</v>
      </c>
    </row>
    <row r="14860" spans="1:22" s="1192" customFormat="1" ht="14.4" x14ac:dyDescent="0.3">
      <c r="A14860" s="1192" t="s">
        <v>621</v>
      </c>
      <c r="B14860" s="1192" t="s">
        <v>4626</v>
      </c>
      <c r="E14860" s="1741" t="s">
        <v>2494</v>
      </c>
      <c r="F14860" s="1741"/>
      <c r="G14860" s="1998"/>
      <c r="H14860" s="1998"/>
      <c r="V14860" s="1192">
        <v>91</v>
      </c>
    </row>
    <row r="14861" spans="1:22" s="1192" customFormat="1" ht="14.4" x14ac:dyDescent="0.3">
      <c r="A14861" s="1192" t="s">
        <v>621</v>
      </c>
      <c r="B14861" s="1192" t="s">
        <v>4626</v>
      </c>
      <c r="E14861" s="1741" t="s">
        <v>2495</v>
      </c>
      <c r="F14861" s="1741"/>
      <c r="G14861" s="1998"/>
      <c r="H14861" s="1998"/>
      <c r="V14861" s="1192">
        <v>96</v>
      </c>
    </row>
    <row r="14862" spans="1:22" s="1192" customFormat="1" ht="14.4" x14ac:dyDescent="0.3">
      <c r="A14862" s="1192" t="s">
        <v>621</v>
      </c>
      <c r="B14862" s="1192" t="s">
        <v>4626</v>
      </c>
      <c r="E14862" s="1741" t="s">
        <v>2496</v>
      </c>
      <c r="F14862" s="1741"/>
      <c r="G14862" s="1998"/>
      <c r="H14862" s="1998"/>
      <c r="V14862" s="1192">
        <v>78</v>
      </c>
    </row>
    <row r="14863" spans="1:22" s="1192" customFormat="1" ht="14.4" x14ac:dyDescent="0.3">
      <c r="A14863" s="1192" t="s">
        <v>621</v>
      </c>
      <c r="B14863" s="1192" t="s">
        <v>4626</v>
      </c>
      <c r="E14863" s="1941" t="s">
        <v>2497</v>
      </c>
      <c r="F14863" s="1941"/>
      <c r="G14863" s="360" t="s">
        <v>19</v>
      </c>
      <c r="H14863" s="837" t="s">
        <v>2498</v>
      </c>
      <c r="V14863" s="1192">
        <v>18</v>
      </c>
    </row>
    <row r="14864" spans="1:22" s="1192" customFormat="1" ht="14.4" x14ac:dyDescent="0.3">
      <c r="A14864" s="1192" t="s">
        <v>621</v>
      </c>
      <c r="B14864" s="1192" t="s">
        <v>4626</v>
      </c>
      <c r="E14864" s="1941" t="s">
        <v>2499</v>
      </c>
      <c r="F14864" s="1941"/>
      <c r="G14864" s="360" t="s">
        <v>19</v>
      </c>
      <c r="H14864" s="1218">
        <v>4.08</v>
      </c>
      <c r="V14864" s="1192">
        <v>69</v>
      </c>
    </row>
    <row r="14865" spans="1:22" s="1192" customFormat="1" ht="14.4" x14ac:dyDescent="0.3">
      <c r="A14865" s="1192" t="s">
        <v>621</v>
      </c>
      <c r="B14865" s="1192" t="s">
        <v>4626</v>
      </c>
      <c r="E14865" s="1741" t="s">
        <v>4623</v>
      </c>
      <c r="F14865" s="1741"/>
      <c r="G14865" s="360" t="s">
        <v>19</v>
      </c>
      <c r="H14865" s="1218">
        <v>2.04</v>
      </c>
      <c r="V14865" s="1192">
        <v>199</v>
      </c>
    </row>
    <row r="14866" spans="1:22" s="1192" customFormat="1" x14ac:dyDescent="0.3">
      <c r="A14866" s="1192" t="s">
        <v>621</v>
      </c>
      <c r="B14866" s="1192" t="s">
        <v>4626</v>
      </c>
      <c r="E14866" s="1746" t="s">
        <v>143</v>
      </c>
      <c r="F14866" s="1999"/>
      <c r="G14866" s="1999"/>
      <c r="H14866" s="1999"/>
      <c r="K14866" s="1192" t="s">
        <v>4624</v>
      </c>
      <c r="V14866" s="1192">
        <v>12</v>
      </c>
    </row>
    <row r="14867" spans="1:22" s="1192" customFormat="1" ht="14.4" x14ac:dyDescent="0.3">
      <c r="A14867" s="1192" t="s">
        <v>621</v>
      </c>
      <c r="B14867" s="1192" t="s">
        <v>4626</v>
      </c>
      <c r="E14867" s="1741" t="s">
        <v>2501</v>
      </c>
      <c r="F14867" s="1741"/>
      <c r="G14867" s="1741"/>
      <c r="H14867" s="1741"/>
      <c r="V14867" s="1192">
        <v>203</v>
      </c>
    </row>
    <row r="14868" spans="1:22" s="1192" customFormat="1" ht="14.4" x14ac:dyDescent="0.3">
      <c r="A14868" s="1192" t="s">
        <v>621</v>
      </c>
      <c r="B14868" s="1192" t="s">
        <v>4626</v>
      </c>
      <c r="E14868" s="1741" t="s">
        <v>2599</v>
      </c>
      <c r="F14868" s="1741"/>
      <c r="G14868" s="1277"/>
      <c r="H14868" s="837">
        <v>1.0383</v>
      </c>
      <c r="V14868" s="1192">
        <v>57</v>
      </c>
    </row>
    <row r="14869" spans="1:22" s="1192" customFormat="1" ht="14.4" x14ac:dyDescent="0.3">
      <c r="A14869" s="1192" t="s">
        <v>621</v>
      </c>
      <c r="B14869" s="1192" t="s">
        <v>4626</v>
      </c>
      <c r="E14869" s="1741" t="s">
        <v>2601</v>
      </c>
      <c r="F14869" s="1741"/>
      <c r="G14869" s="1277"/>
      <c r="H14869" s="837">
        <v>1.0279</v>
      </c>
      <c r="J14869" s="1192" t="s">
        <v>4630</v>
      </c>
      <c r="V14869" s="1192">
        <v>55</v>
      </c>
    </row>
    <row r="14870" spans="1:22" ht="15" customHeight="1" x14ac:dyDescent="0.3">
      <c r="A14870" s="603" t="s">
        <v>197</v>
      </c>
      <c r="E14870" s="2000" t="s">
        <v>197</v>
      </c>
      <c r="F14870" s="2001"/>
      <c r="G14870" s="2001"/>
      <c r="H14870" s="2001"/>
      <c r="I14870" s="603" t="s">
        <v>603</v>
      </c>
      <c r="J14870" s="603" t="s">
        <v>4885</v>
      </c>
      <c r="K14870" s="603" t="s">
        <v>197</v>
      </c>
      <c r="M14870" s="603">
        <v>8</v>
      </c>
      <c r="N14870" s="603" t="s">
        <v>603</v>
      </c>
      <c r="S14870" s="603"/>
      <c r="T14870" s="962"/>
      <c r="V14870" s="603">
        <v>48</v>
      </c>
    </row>
    <row r="14871" spans="1:22" ht="15" customHeight="1" x14ac:dyDescent="0.3">
      <c r="A14871" s="603" t="s">
        <v>197</v>
      </c>
      <c r="E14871" s="2002" t="s">
        <v>2381</v>
      </c>
      <c r="F14871" s="2001"/>
      <c r="G14871" s="2001"/>
      <c r="H14871" s="2001"/>
      <c r="S14871" s="603"/>
      <c r="T14871" s="603"/>
      <c r="V14871" s="603">
        <v>27</v>
      </c>
    </row>
    <row r="14872" spans="1:22" ht="15" customHeight="1" x14ac:dyDescent="0.3">
      <c r="A14872" s="603" t="s">
        <v>197</v>
      </c>
      <c r="E14872" s="2003" t="s">
        <v>4866</v>
      </c>
      <c r="F14872" s="2001"/>
      <c r="G14872" s="2001"/>
      <c r="H14872" s="2001"/>
      <c r="S14872" s="962">
        <v>43221</v>
      </c>
      <c r="T14872" s="603"/>
      <c r="V14872" s="603">
        <v>45</v>
      </c>
    </row>
    <row r="14873" spans="1:22" ht="15" customHeight="1" x14ac:dyDescent="0.3">
      <c r="A14873" s="603" t="s">
        <v>197</v>
      </c>
      <c r="E14873" s="2004" t="s">
        <v>2384</v>
      </c>
      <c r="F14873" s="2001"/>
      <c r="G14873" s="2001"/>
      <c r="H14873" s="2001"/>
      <c r="S14873" s="603"/>
      <c r="T14873" s="603"/>
      <c r="V14873" s="603">
        <v>52</v>
      </c>
    </row>
    <row r="14874" spans="1:22" ht="15" customHeight="1" x14ac:dyDescent="0.3">
      <c r="A14874" s="603" t="s">
        <v>197</v>
      </c>
      <c r="E14874" s="2004" t="s">
        <v>2385</v>
      </c>
      <c r="F14874" s="2001"/>
      <c r="G14874" s="2001"/>
      <c r="H14874" s="2001"/>
      <c r="S14874" s="603"/>
      <c r="T14874" s="603"/>
      <c r="V14874" s="603">
        <v>53</v>
      </c>
    </row>
    <row r="14875" spans="1:22" ht="14.4" x14ac:dyDescent="0.3">
      <c r="A14875" s="603" t="s">
        <v>197</v>
      </c>
      <c r="E14875" s="2005" t="s">
        <v>4886</v>
      </c>
      <c r="F14875" s="2006"/>
      <c r="G14875" s="2006"/>
      <c r="H14875" s="2006"/>
      <c r="K14875" s="603" t="s">
        <v>4886</v>
      </c>
      <c r="S14875" s="603"/>
      <c r="T14875" s="603"/>
      <c r="V14875" s="603">
        <v>12</v>
      </c>
    </row>
    <row r="14876" spans="1:22" ht="17.399999999999999" x14ac:dyDescent="0.3">
      <c r="A14876" s="603" t="s">
        <v>197</v>
      </c>
      <c r="E14876" s="963" t="s">
        <v>427</v>
      </c>
      <c r="F14876" s="1192"/>
      <c r="G14876" s="1192"/>
      <c r="H14876" s="1192"/>
      <c r="K14876" s="603" t="s">
        <v>2506</v>
      </c>
      <c r="S14876" s="603"/>
      <c r="T14876" s="962"/>
      <c r="V14876" s="603">
        <v>34</v>
      </c>
    </row>
    <row r="14877" spans="1:22" ht="15" customHeight="1" x14ac:dyDescent="0.3">
      <c r="A14877" s="603" t="s">
        <v>197</v>
      </c>
      <c r="E14877" s="1996" t="s">
        <v>4887</v>
      </c>
      <c r="F14877" s="1867"/>
      <c r="G14877" s="1867"/>
      <c r="H14877" s="1867"/>
      <c r="K14877" s="603" t="s">
        <v>2506</v>
      </c>
      <c r="S14877" s="603"/>
      <c r="T14877" s="603"/>
      <c r="V14877" s="603">
        <v>396</v>
      </c>
    </row>
    <row r="14878" spans="1:22" ht="14.4" x14ac:dyDescent="0.3">
      <c r="A14878" s="603" t="s">
        <v>197</v>
      </c>
      <c r="E14878" s="722" t="s">
        <v>2389</v>
      </c>
      <c r="F14878" s="1192"/>
      <c r="G14878" s="1192"/>
      <c r="H14878" s="1192"/>
      <c r="K14878" s="603" t="s">
        <v>2390</v>
      </c>
      <c r="S14878" s="603"/>
      <c r="T14878" s="603"/>
      <c r="V14878" s="603">
        <v>11</v>
      </c>
    </row>
    <row r="14879" spans="1:22" ht="15" customHeight="1" x14ac:dyDescent="0.3">
      <c r="A14879" s="603" t="s">
        <v>197</v>
      </c>
      <c r="E14879" s="1993" t="s">
        <v>4888</v>
      </c>
      <c r="F14879" s="1994"/>
      <c r="G14879" s="1994"/>
      <c r="H14879" s="1994"/>
      <c r="K14879" s="603" t="s">
        <v>2506</v>
      </c>
      <c r="S14879" s="603"/>
      <c r="T14879" s="603"/>
      <c r="V14879" s="603">
        <v>250</v>
      </c>
    </row>
    <row r="14880" spans="1:22" ht="15" customHeight="1" x14ac:dyDescent="0.3">
      <c r="A14880" s="603" t="s">
        <v>197</v>
      </c>
      <c r="E14880" s="1993" t="s">
        <v>4889</v>
      </c>
      <c r="F14880" s="1994"/>
      <c r="G14880" s="1994"/>
      <c r="H14880" s="1994"/>
      <c r="K14880" s="603" t="s">
        <v>2506</v>
      </c>
      <c r="S14880" s="603"/>
      <c r="T14880" s="603"/>
      <c r="V14880" s="603">
        <v>381</v>
      </c>
    </row>
    <row r="14881" spans="1:22" ht="15" customHeight="1" x14ac:dyDescent="0.3">
      <c r="A14881" s="603" t="s">
        <v>197</v>
      </c>
      <c r="E14881" s="1993" t="s">
        <v>2393</v>
      </c>
      <c r="F14881" s="1994"/>
      <c r="G14881" s="1994"/>
      <c r="H14881" s="1994"/>
      <c r="K14881" s="603" t="s">
        <v>2506</v>
      </c>
      <c r="S14881" s="603"/>
      <c r="T14881" s="603"/>
      <c r="V14881" s="603">
        <v>387</v>
      </c>
    </row>
    <row r="14882" spans="1:22" ht="15" customHeight="1" x14ac:dyDescent="0.3">
      <c r="A14882" s="603" t="s">
        <v>197</v>
      </c>
      <c r="E14882" s="1993" t="s">
        <v>4869</v>
      </c>
      <c r="F14882" s="1994"/>
      <c r="G14882" s="1994"/>
      <c r="H14882" s="1994"/>
      <c r="K14882" s="603" t="s">
        <v>2506</v>
      </c>
      <c r="S14882" s="603"/>
      <c r="T14882" s="603"/>
      <c r="V14882" s="603">
        <v>293</v>
      </c>
    </row>
    <row r="14883" spans="1:22" ht="14.4" x14ac:dyDescent="0.3">
      <c r="A14883" s="603" t="s">
        <v>197</v>
      </c>
      <c r="E14883" s="722" t="s">
        <v>2394</v>
      </c>
      <c r="F14883" s="1192"/>
      <c r="G14883" s="1192"/>
      <c r="H14883" s="1192"/>
      <c r="K14883" s="603" t="s">
        <v>2395</v>
      </c>
      <c r="S14883" s="603"/>
      <c r="T14883" s="962"/>
      <c r="V14883" s="603">
        <v>46</v>
      </c>
    </row>
    <row r="14884" spans="1:22" ht="14.4" x14ac:dyDescent="0.2">
      <c r="A14884" s="603" t="s">
        <v>197</v>
      </c>
      <c r="E14884" s="1995" t="s">
        <v>7</v>
      </c>
      <c r="F14884" s="1995"/>
      <c r="G14884" s="393" t="s">
        <v>19</v>
      </c>
      <c r="H14884" s="964">
        <v>14.07</v>
      </c>
      <c r="K14884" s="603" t="s">
        <v>2506</v>
      </c>
      <c r="L14884" s="603" t="s">
        <v>430</v>
      </c>
      <c r="P14884" s="603" t="s">
        <v>2510</v>
      </c>
      <c r="S14884" s="603"/>
      <c r="T14884" s="603"/>
      <c r="V14884" s="603">
        <v>14</v>
      </c>
    </row>
    <row r="14885" spans="1:22" ht="15" customHeight="1" x14ac:dyDescent="0.2">
      <c r="A14885" s="603" t="s">
        <v>197</v>
      </c>
      <c r="E14885" s="1995" t="s">
        <v>4890</v>
      </c>
      <c r="F14885" s="1995"/>
      <c r="G14885" s="393" t="s">
        <v>19</v>
      </c>
      <c r="H14885" s="964">
        <v>1.39</v>
      </c>
      <c r="K14885" s="603" t="s">
        <v>2506</v>
      </c>
      <c r="L14885" s="603" t="s">
        <v>431</v>
      </c>
      <c r="P14885" s="603" t="s">
        <v>4452</v>
      </c>
      <c r="S14885" s="603"/>
      <c r="T14885" s="603"/>
      <c r="V14885" s="603">
        <v>135</v>
      </c>
    </row>
    <row r="14886" spans="1:22" ht="14.4" x14ac:dyDescent="0.2">
      <c r="A14886" s="603" t="s">
        <v>197</v>
      </c>
      <c r="E14886" s="1990" t="s">
        <v>414</v>
      </c>
      <c r="F14886" s="1990"/>
      <c r="G14886" s="393" t="s">
        <v>19</v>
      </c>
      <c r="H14886" s="964">
        <v>0.56999999999999995</v>
      </c>
      <c r="K14886" s="603" t="s">
        <v>2506</v>
      </c>
      <c r="L14886" s="603" t="s">
        <v>431</v>
      </c>
      <c r="P14886" s="603" t="s">
        <v>2511</v>
      </c>
      <c r="S14886" s="603"/>
      <c r="T14886" s="962">
        <v>43404</v>
      </c>
      <c r="V14886" s="603">
        <v>78</v>
      </c>
    </row>
    <row r="14887" spans="1:22" ht="14.4" x14ac:dyDescent="0.2">
      <c r="A14887" s="603" t="s">
        <v>197</v>
      </c>
      <c r="E14887" s="1990" t="s">
        <v>80</v>
      </c>
      <c r="F14887" s="1990"/>
      <c r="G14887" s="393" t="s">
        <v>20</v>
      </c>
      <c r="H14887" s="965">
        <v>1.7000000000000001E-2</v>
      </c>
      <c r="K14887" s="603" t="s">
        <v>2506</v>
      </c>
      <c r="L14887" s="603" t="s">
        <v>430</v>
      </c>
      <c r="P14887" s="603" t="s">
        <v>2512</v>
      </c>
      <c r="S14887" s="603"/>
      <c r="T14887" s="603"/>
      <c r="V14887" s="603">
        <v>28</v>
      </c>
    </row>
    <row r="14888" spans="1:22" ht="14.4" x14ac:dyDescent="0.2">
      <c r="A14888" s="603" t="s">
        <v>197</v>
      </c>
      <c r="E14888" s="1990" t="s">
        <v>14</v>
      </c>
      <c r="F14888" s="1990"/>
      <c r="G14888" s="393" t="s">
        <v>20</v>
      </c>
      <c r="H14888" s="965">
        <v>3.7000000000000002E-3</v>
      </c>
      <c r="I14888" s="603" t="str">
        <f>IF(LEN(H14888)&gt;6, "fix", "")</f>
        <v/>
      </c>
      <c r="K14888" s="603" t="s">
        <v>2506</v>
      </c>
      <c r="L14888" s="603" t="s">
        <v>431</v>
      </c>
      <c r="P14888" s="603" t="s">
        <v>2513</v>
      </c>
      <c r="S14888" s="603"/>
      <c r="T14888" s="962"/>
      <c r="V14888" s="603">
        <v>24</v>
      </c>
    </row>
    <row r="14889" spans="1:22" ht="15" customHeight="1" x14ac:dyDescent="0.2">
      <c r="A14889" s="603" t="s">
        <v>197</v>
      </c>
      <c r="E14889" s="1995" t="s">
        <v>4890</v>
      </c>
      <c r="F14889" s="1995"/>
      <c r="G14889" s="393" t="s">
        <v>20</v>
      </c>
      <c r="H14889" s="965">
        <v>1.6999999999999999E-3</v>
      </c>
      <c r="K14889" s="603" t="s">
        <v>2506</v>
      </c>
      <c r="L14889" s="603" t="s">
        <v>431</v>
      </c>
      <c r="P14889" s="603" t="s">
        <v>4891</v>
      </c>
      <c r="S14889" s="603"/>
      <c r="T14889" s="603"/>
      <c r="V14889" s="603">
        <v>135</v>
      </c>
    </row>
    <row r="14890" spans="1:22" ht="14.4" x14ac:dyDescent="0.2">
      <c r="A14890" s="603" t="s">
        <v>197</v>
      </c>
      <c r="E14890" s="1990" t="s">
        <v>213</v>
      </c>
      <c r="F14890" s="1990"/>
      <c r="G14890" s="393" t="s">
        <v>20</v>
      </c>
      <c r="H14890" s="965">
        <v>6.3310971923853689E-3</v>
      </c>
      <c r="K14890" s="603" t="s">
        <v>2506</v>
      </c>
      <c r="L14890" s="603" t="s">
        <v>432</v>
      </c>
      <c r="P14890" s="603" t="s">
        <v>2517</v>
      </c>
      <c r="S14890" s="603"/>
      <c r="T14890" s="603"/>
      <c r="V14890" s="603">
        <v>47</v>
      </c>
    </row>
    <row r="14891" spans="1:22" ht="14.4" x14ac:dyDescent="0.2">
      <c r="A14891" s="603" t="s">
        <v>197</v>
      </c>
      <c r="E14891" s="1990" t="s">
        <v>209</v>
      </c>
      <c r="F14891" s="1990"/>
      <c r="G14891" s="393" t="s">
        <v>20</v>
      </c>
      <c r="H14891" s="965">
        <v>4.0052883036030863E-3</v>
      </c>
      <c r="K14891" s="603" t="s">
        <v>2506</v>
      </c>
      <c r="L14891" s="603" t="s">
        <v>432</v>
      </c>
      <c r="P14891" s="603" t="s">
        <v>2518</v>
      </c>
      <c r="S14891" s="603"/>
      <c r="T14891" s="603"/>
      <c r="V14891" s="603">
        <v>74</v>
      </c>
    </row>
    <row r="14892" spans="1:22" ht="14.4" x14ac:dyDescent="0.3">
      <c r="A14892" s="603" t="s">
        <v>197</v>
      </c>
      <c r="E14892" s="722" t="s">
        <v>2405</v>
      </c>
      <c r="F14892" s="1192"/>
      <c r="G14892" s="1192"/>
      <c r="H14892" s="1192"/>
      <c r="K14892" s="603" t="s">
        <v>2406</v>
      </c>
      <c r="S14892" s="603"/>
      <c r="T14892" s="603"/>
      <c r="V14892" s="603">
        <v>48</v>
      </c>
    </row>
    <row r="14893" spans="1:22" ht="14.4" x14ac:dyDescent="0.3">
      <c r="A14893" s="603" t="s">
        <v>197</v>
      </c>
      <c r="E14893" s="1990" t="s">
        <v>27</v>
      </c>
      <c r="F14893" s="1918"/>
      <c r="G14893" s="393" t="s">
        <v>20</v>
      </c>
      <c r="H14893" s="965">
        <v>4.4000000000000003E-3</v>
      </c>
      <c r="K14893" s="603" t="s">
        <v>2506</v>
      </c>
      <c r="L14893" s="603" t="s">
        <v>2374</v>
      </c>
      <c r="P14893" s="603" t="s">
        <v>2519</v>
      </c>
      <c r="S14893" s="603"/>
      <c r="T14893" s="962"/>
      <c r="V14893" s="603">
        <v>29</v>
      </c>
    </row>
    <row r="14894" spans="1:22" ht="14.4" x14ac:dyDescent="0.3">
      <c r="A14894" s="603" t="s">
        <v>197</v>
      </c>
      <c r="E14894" s="1990" t="s">
        <v>428</v>
      </c>
      <c r="F14894" s="1918"/>
      <c r="G14894" s="393" t="s">
        <v>20</v>
      </c>
      <c r="H14894" s="965">
        <v>1.2999999999999999E-3</v>
      </c>
      <c r="K14894" s="603" t="s">
        <v>2506</v>
      </c>
      <c r="L14894" s="603" t="s">
        <v>2374</v>
      </c>
      <c r="P14894" s="603" t="s">
        <v>2520</v>
      </c>
      <c r="S14894" s="603"/>
      <c r="T14894" s="603"/>
      <c r="V14894" s="603">
        <v>57</v>
      </c>
    </row>
    <row r="14895" spans="1:22" ht="14.4" x14ac:dyDescent="0.3">
      <c r="A14895" s="603" t="s">
        <v>197</v>
      </c>
      <c r="E14895" s="1990" t="s">
        <v>28</v>
      </c>
      <c r="F14895" s="1918"/>
      <c r="G14895" s="393" t="s">
        <v>19</v>
      </c>
      <c r="H14895" s="964">
        <v>0.25</v>
      </c>
      <c r="K14895" s="603" t="s">
        <v>2506</v>
      </c>
      <c r="L14895" s="603" t="s">
        <v>2374</v>
      </c>
      <c r="P14895" s="603" t="s">
        <v>2521</v>
      </c>
      <c r="S14895" s="603"/>
      <c r="T14895" s="603"/>
      <c r="V14895" s="603">
        <v>63</v>
      </c>
    </row>
    <row r="14896" spans="1:22" ht="15" customHeight="1" x14ac:dyDescent="0.3">
      <c r="A14896" s="603" t="s">
        <v>197</v>
      </c>
      <c r="E14896" s="1746" t="s">
        <v>1488</v>
      </c>
      <c r="F14896" s="1988"/>
      <c r="G14896" s="1988"/>
      <c r="H14896" s="1988"/>
      <c r="K14896" s="603" t="s">
        <v>4892</v>
      </c>
      <c r="S14896" s="603"/>
      <c r="T14896" s="603"/>
      <c r="V14896" s="603">
        <v>46</v>
      </c>
    </row>
    <row r="14897" spans="1:22" ht="15" customHeight="1" x14ac:dyDescent="0.3">
      <c r="A14897" s="603" t="s">
        <v>197</v>
      </c>
      <c r="E14897" s="1743" t="s">
        <v>4893</v>
      </c>
      <c r="F14897" s="1743"/>
      <c r="G14897" s="1743"/>
      <c r="H14897" s="1743"/>
      <c r="K14897" s="603" t="s">
        <v>4892</v>
      </c>
      <c r="S14897" s="603"/>
      <c r="T14897" s="603"/>
      <c r="V14897" s="603">
        <v>158</v>
      </c>
    </row>
    <row r="14898" spans="1:22" ht="14.4" x14ac:dyDescent="0.3">
      <c r="A14898" s="603" t="s">
        <v>197</v>
      </c>
      <c r="E14898" s="1750" t="s">
        <v>2389</v>
      </c>
      <c r="F14898" s="1988"/>
      <c r="G14898" s="1988"/>
      <c r="H14898" s="1988"/>
      <c r="K14898" s="603" t="s">
        <v>2412</v>
      </c>
      <c r="S14898" s="603"/>
      <c r="T14898" s="603"/>
      <c r="V14898" s="603">
        <v>11</v>
      </c>
    </row>
    <row r="14899" spans="1:22" ht="15" customHeight="1" x14ac:dyDescent="0.3">
      <c r="A14899" s="603" t="s">
        <v>197</v>
      </c>
      <c r="E14899" s="1743" t="s">
        <v>4894</v>
      </c>
      <c r="F14899" s="1743"/>
      <c r="G14899" s="1743"/>
      <c r="H14899" s="1743"/>
      <c r="K14899" s="603" t="s">
        <v>4892</v>
      </c>
      <c r="S14899" s="603"/>
      <c r="T14899" s="603"/>
      <c r="V14899" s="603">
        <v>156</v>
      </c>
    </row>
    <row r="14900" spans="1:22" ht="15" customHeight="1" x14ac:dyDescent="0.3">
      <c r="A14900" s="603" t="s">
        <v>197</v>
      </c>
      <c r="E14900" s="1743" t="s">
        <v>4895</v>
      </c>
      <c r="F14900" s="1743"/>
      <c r="G14900" s="1743"/>
      <c r="H14900" s="1743"/>
      <c r="K14900" s="603" t="s">
        <v>4892</v>
      </c>
      <c r="S14900" s="603"/>
      <c r="T14900" s="603"/>
      <c r="V14900" s="603">
        <v>270</v>
      </c>
    </row>
    <row r="14901" spans="1:22" ht="15" customHeight="1" x14ac:dyDescent="0.3">
      <c r="A14901" s="603" t="s">
        <v>197</v>
      </c>
      <c r="E14901" s="1743" t="s">
        <v>4896</v>
      </c>
      <c r="F14901" s="1743"/>
      <c r="G14901" s="1743"/>
      <c r="H14901" s="1743"/>
      <c r="K14901" s="603" t="s">
        <v>4892</v>
      </c>
      <c r="S14901" s="603"/>
      <c r="T14901" s="603"/>
      <c r="V14901" s="603">
        <v>933</v>
      </c>
    </row>
    <row r="14902" spans="1:22" ht="14.4" x14ac:dyDescent="0.25">
      <c r="A14902" s="603" t="s">
        <v>197</v>
      </c>
      <c r="E14902" s="1748" t="s">
        <v>2606</v>
      </c>
      <c r="F14902" s="1749"/>
      <c r="G14902" s="1749"/>
      <c r="H14902" s="1749"/>
      <c r="K14902" s="603" t="s">
        <v>4897</v>
      </c>
      <c r="S14902" s="603"/>
      <c r="T14902" s="603"/>
      <c r="V14902" s="603">
        <v>25</v>
      </c>
    </row>
    <row r="14903" spans="1:22" ht="14.4" x14ac:dyDescent="0.3">
      <c r="A14903" s="603" t="s">
        <v>197</v>
      </c>
      <c r="E14903" s="1986" t="s">
        <v>4898</v>
      </c>
      <c r="F14903" s="1986"/>
      <c r="G14903" s="3"/>
      <c r="H14903" s="3"/>
      <c r="K14903" s="603" t="s">
        <v>4892</v>
      </c>
      <c r="S14903" s="603"/>
      <c r="T14903" s="603"/>
      <c r="V14903" s="603">
        <v>7</v>
      </c>
    </row>
    <row r="14904" spans="1:22" ht="15" customHeight="1" x14ac:dyDescent="0.3">
      <c r="A14904" s="603" t="s">
        <v>197</v>
      </c>
      <c r="E14904" s="1741" t="s">
        <v>4899</v>
      </c>
      <c r="F14904" s="1741"/>
      <c r="G14904" s="1741"/>
      <c r="H14904" s="1741"/>
      <c r="K14904" s="603" t="s">
        <v>4892</v>
      </c>
      <c r="S14904" s="603"/>
      <c r="T14904" s="603"/>
      <c r="V14904" s="603">
        <v>512</v>
      </c>
    </row>
    <row r="14905" spans="1:22" ht="14.4" x14ac:dyDescent="0.3">
      <c r="A14905" s="603" t="s">
        <v>197</v>
      </c>
      <c r="E14905" s="1263" t="s">
        <v>4900</v>
      </c>
      <c r="F14905" s="1263"/>
      <c r="G14905" s="1266" t="s">
        <v>19</v>
      </c>
      <c r="H14905" s="358">
        <v>-30</v>
      </c>
      <c r="K14905" s="603" t="s">
        <v>4892</v>
      </c>
      <c r="P14905" s="603" t="s">
        <v>4901</v>
      </c>
      <c r="S14905" s="603"/>
      <c r="T14905" s="603"/>
      <c r="V14905" s="603">
        <v>11</v>
      </c>
    </row>
    <row r="14906" spans="1:22" ht="14.4" x14ac:dyDescent="0.3">
      <c r="A14906" s="603" t="s">
        <v>197</v>
      </c>
      <c r="E14906" s="1986" t="s">
        <v>4902</v>
      </c>
      <c r="F14906" s="1986"/>
      <c r="G14906" s="3"/>
      <c r="H14906" s="3"/>
      <c r="K14906" s="603" t="s">
        <v>4892</v>
      </c>
      <c r="S14906" s="603"/>
      <c r="T14906" s="603"/>
      <c r="V14906" s="603">
        <v>7</v>
      </c>
    </row>
    <row r="14907" spans="1:22" ht="15" customHeight="1" x14ac:dyDescent="0.3">
      <c r="A14907" s="603" t="s">
        <v>197</v>
      </c>
      <c r="E14907" s="1741" t="s">
        <v>4903</v>
      </c>
      <c r="F14907" s="1741"/>
      <c r="G14907" s="1741"/>
      <c r="H14907" s="1741"/>
      <c r="K14907" s="603" t="s">
        <v>4892</v>
      </c>
      <c r="S14907" s="603"/>
      <c r="T14907" s="603"/>
      <c r="V14907" s="603">
        <v>378</v>
      </c>
    </row>
    <row r="14908" spans="1:22" ht="14.4" x14ac:dyDescent="0.3">
      <c r="A14908" s="603" t="s">
        <v>197</v>
      </c>
      <c r="E14908" s="1741" t="s">
        <v>4900</v>
      </c>
      <c r="F14908" s="1998"/>
      <c r="G14908" s="1266" t="s">
        <v>19</v>
      </c>
      <c r="H14908" s="358">
        <v>-34</v>
      </c>
      <c r="K14908" s="603" t="s">
        <v>4892</v>
      </c>
      <c r="P14908" s="603" t="s">
        <v>4904</v>
      </c>
      <c r="S14908" s="962"/>
      <c r="T14908" s="962"/>
      <c r="V14908" s="603">
        <v>11</v>
      </c>
    </row>
    <row r="14909" spans="1:22" ht="14.4" x14ac:dyDescent="0.3">
      <c r="A14909" s="603" t="s">
        <v>197</v>
      </c>
      <c r="E14909" s="1986" t="s">
        <v>4905</v>
      </c>
      <c r="F14909" s="1986"/>
      <c r="G14909" s="3"/>
      <c r="H14909" s="3"/>
      <c r="K14909" s="603" t="s">
        <v>4892</v>
      </c>
      <c r="S14909" s="603"/>
      <c r="T14909" s="603"/>
      <c r="V14909" s="603">
        <v>7</v>
      </c>
    </row>
    <row r="14910" spans="1:22" ht="15" customHeight="1" x14ac:dyDescent="0.3">
      <c r="A14910" s="603" t="s">
        <v>197</v>
      </c>
      <c r="E14910" s="1741" t="s">
        <v>4906</v>
      </c>
      <c r="F14910" s="1741"/>
      <c r="G14910" s="1741"/>
      <c r="H14910" s="1741"/>
      <c r="K14910" s="603" t="s">
        <v>4892</v>
      </c>
      <c r="S14910" s="603"/>
      <c r="T14910" s="603"/>
      <c r="V14910" s="603">
        <v>387</v>
      </c>
    </row>
    <row r="14911" spans="1:22" ht="14.4" x14ac:dyDescent="0.3">
      <c r="A14911" s="603" t="s">
        <v>197</v>
      </c>
      <c r="E14911" s="1263" t="s">
        <v>4900</v>
      </c>
      <c r="F14911" s="1263"/>
      <c r="G14911" s="1266" t="s">
        <v>19</v>
      </c>
      <c r="H14911" s="358">
        <v>-38</v>
      </c>
      <c r="K14911" s="603" t="s">
        <v>4892</v>
      </c>
      <c r="P14911" s="603" t="s">
        <v>4907</v>
      </c>
      <c r="S14911" s="603"/>
      <c r="T14911" s="962"/>
      <c r="V14911" s="603">
        <v>11</v>
      </c>
    </row>
    <row r="14912" spans="1:22" ht="14.4" x14ac:dyDescent="0.3">
      <c r="A14912" s="603" t="s">
        <v>197</v>
      </c>
      <c r="E14912" s="1986" t="s">
        <v>4908</v>
      </c>
      <c r="F14912" s="1986"/>
      <c r="G14912" s="3"/>
      <c r="H14912" s="3"/>
      <c r="K14912" s="603" t="s">
        <v>4892</v>
      </c>
      <c r="S14912" s="603"/>
      <c r="T14912" s="962"/>
      <c r="V14912" s="603">
        <v>7</v>
      </c>
    </row>
    <row r="14913" spans="1:22" ht="15" customHeight="1" x14ac:dyDescent="0.3">
      <c r="A14913" s="603" t="s">
        <v>197</v>
      </c>
      <c r="E14913" s="1741" t="s">
        <v>4909</v>
      </c>
      <c r="F14913" s="1741"/>
      <c r="G14913" s="1741"/>
      <c r="H14913" s="1741"/>
      <c r="K14913" s="603" t="s">
        <v>4892</v>
      </c>
      <c r="S14913" s="603"/>
      <c r="T14913" s="603"/>
      <c r="V14913" s="603">
        <v>267</v>
      </c>
    </row>
    <row r="14914" spans="1:22" ht="14.4" x14ac:dyDescent="0.2">
      <c r="A14914" s="603" t="s">
        <v>197</v>
      </c>
      <c r="E14914" s="1740" t="s">
        <v>4900</v>
      </c>
      <c r="F14914" s="1740"/>
      <c r="G14914" s="1277" t="s">
        <v>19</v>
      </c>
      <c r="H14914" s="1218">
        <v>-42</v>
      </c>
      <c r="I14914" s="966"/>
      <c r="J14914" s="966"/>
      <c r="K14914" s="966" t="s">
        <v>4892</v>
      </c>
      <c r="L14914" s="966"/>
      <c r="M14914" s="966"/>
      <c r="N14914" s="966"/>
      <c r="O14914" s="966"/>
      <c r="P14914" s="966" t="s">
        <v>4910</v>
      </c>
      <c r="Q14914" s="966"/>
      <c r="R14914" s="966"/>
      <c r="S14914" s="966"/>
      <c r="T14914" s="966"/>
      <c r="U14914" s="966"/>
      <c r="V14914" s="966">
        <v>11</v>
      </c>
    </row>
    <row r="14915" spans="1:22" ht="14.4" x14ac:dyDescent="0.3">
      <c r="A14915" s="603" t="s">
        <v>197</v>
      </c>
      <c r="E14915" s="1986" t="s">
        <v>4911</v>
      </c>
      <c r="F14915" s="1986"/>
      <c r="G14915" s="3"/>
      <c r="H14915" s="3"/>
      <c r="I14915" s="966"/>
      <c r="J14915" s="966"/>
      <c r="K14915" s="966" t="s">
        <v>4892</v>
      </c>
      <c r="L14915" s="966"/>
      <c r="M14915" s="966"/>
      <c r="N14915" s="966"/>
      <c r="O14915" s="966"/>
      <c r="P14915" s="966"/>
      <c r="Q14915" s="966"/>
      <c r="R14915" s="966"/>
      <c r="S14915" s="966"/>
      <c r="T14915" s="966"/>
      <c r="U14915" s="966"/>
      <c r="V14915" s="966">
        <v>7</v>
      </c>
    </row>
    <row r="14916" spans="1:22" ht="15" customHeight="1" x14ac:dyDescent="0.3">
      <c r="A14916" s="603" t="s">
        <v>197</v>
      </c>
      <c r="E14916" s="1741" t="s">
        <v>4912</v>
      </c>
      <c r="F14916" s="1741"/>
      <c r="G14916" s="1741"/>
      <c r="H14916" s="1741"/>
      <c r="I14916" s="966"/>
      <c r="J14916" s="966"/>
      <c r="K14916" s="966" t="s">
        <v>4892</v>
      </c>
      <c r="L14916" s="966"/>
      <c r="M14916" s="966"/>
      <c r="N14916" s="966"/>
      <c r="O14916" s="966"/>
      <c r="P14916" s="966"/>
      <c r="Q14916" s="966"/>
      <c r="R14916" s="966"/>
      <c r="S14916" s="966"/>
      <c r="T14916" s="967"/>
      <c r="U14916" s="966"/>
      <c r="V14916" s="966">
        <v>523</v>
      </c>
    </row>
    <row r="14917" spans="1:22" ht="14.4" x14ac:dyDescent="0.3">
      <c r="A14917" s="603" t="s">
        <v>197</v>
      </c>
      <c r="E14917" s="1263" t="s">
        <v>4900</v>
      </c>
      <c r="F14917" s="1263"/>
      <c r="G14917" s="1266" t="s">
        <v>19</v>
      </c>
      <c r="H14917" s="358">
        <v>-45</v>
      </c>
      <c r="I14917" s="966"/>
      <c r="J14917" s="966"/>
      <c r="K14917" s="966" t="s">
        <v>4892</v>
      </c>
      <c r="L14917" s="966"/>
      <c r="M14917" s="966"/>
      <c r="N14917" s="966"/>
      <c r="O14917" s="966"/>
      <c r="P14917" s="966" t="s">
        <v>4913</v>
      </c>
      <c r="Q14917" s="966"/>
      <c r="R14917" s="966"/>
      <c r="S14917" s="966"/>
      <c r="T14917" s="966"/>
      <c r="U14917" s="966"/>
      <c r="V14917" s="966">
        <v>11</v>
      </c>
    </row>
    <row r="14918" spans="1:22" ht="14.4" x14ac:dyDescent="0.3">
      <c r="A14918" s="603" t="s">
        <v>197</v>
      </c>
      <c r="E14918" s="1986" t="s">
        <v>4914</v>
      </c>
      <c r="F14918" s="1986"/>
      <c r="G14918" s="3"/>
      <c r="H14918" s="3"/>
      <c r="K14918" s="603" t="s">
        <v>4892</v>
      </c>
      <c r="S14918" s="603"/>
      <c r="T14918" s="603"/>
      <c r="V14918" s="603">
        <v>7</v>
      </c>
    </row>
    <row r="14919" spans="1:22" ht="15" customHeight="1" x14ac:dyDescent="0.3">
      <c r="A14919" s="603" t="s">
        <v>197</v>
      </c>
      <c r="E14919" s="1741" t="s">
        <v>4915</v>
      </c>
      <c r="F14919" s="1741"/>
      <c r="G14919" s="1741"/>
      <c r="H14919" s="1741"/>
      <c r="K14919" s="603" t="s">
        <v>4892</v>
      </c>
      <c r="S14919" s="603"/>
      <c r="T14919" s="603"/>
      <c r="V14919" s="603">
        <v>368</v>
      </c>
    </row>
    <row r="14920" spans="1:22" ht="15" customHeight="1" x14ac:dyDescent="0.3">
      <c r="A14920" s="603" t="s">
        <v>197</v>
      </c>
      <c r="E14920" s="1942" t="s">
        <v>4916</v>
      </c>
      <c r="F14920" s="1942"/>
      <c r="G14920" s="1942"/>
      <c r="H14920" s="1942"/>
      <c r="K14920" s="603" t="s">
        <v>4892</v>
      </c>
      <c r="S14920" s="603"/>
      <c r="T14920" s="603"/>
      <c r="V14920" s="603">
        <v>374</v>
      </c>
    </row>
    <row r="14921" spans="1:22" ht="14.4" x14ac:dyDescent="0.3">
      <c r="A14921" s="603" t="s">
        <v>197</v>
      </c>
      <c r="E14921" s="1255" t="s">
        <v>4900</v>
      </c>
      <c r="F14921" s="359"/>
      <c r="G14921" s="1277" t="s">
        <v>19</v>
      </c>
      <c r="H14921" s="1218">
        <v>-50</v>
      </c>
      <c r="K14921" s="603" t="s">
        <v>4892</v>
      </c>
      <c r="P14921" s="603" t="s">
        <v>4917</v>
      </c>
      <c r="S14921" s="603"/>
      <c r="T14921" s="603"/>
      <c r="V14921" s="603">
        <v>11</v>
      </c>
    </row>
    <row r="14922" spans="1:22" ht="14.4" x14ac:dyDescent="0.3">
      <c r="A14922" s="603" t="s">
        <v>197</v>
      </c>
      <c r="E14922" s="1986" t="s">
        <v>4918</v>
      </c>
      <c r="F14922" s="1986"/>
      <c r="G14922" s="3"/>
      <c r="H14922" s="3"/>
      <c r="K14922" s="603" t="s">
        <v>4892</v>
      </c>
      <c r="S14922" s="603"/>
      <c r="T14922" s="603"/>
      <c r="V14922" s="603">
        <v>7</v>
      </c>
    </row>
    <row r="14923" spans="1:22" ht="15" customHeight="1" x14ac:dyDescent="0.3">
      <c r="A14923" s="603" t="s">
        <v>197</v>
      </c>
      <c r="E14923" s="1741" t="s">
        <v>4919</v>
      </c>
      <c r="F14923" s="1741"/>
      <c r="G14923" s="1741"/>
      <c r="H14923" s="1741"/>
      <c r="K14923" s="603" t="s">
        <v>4892</v>
      </c>
      <c r="S14923" s="603"/>
      <c r="T14923" s="603"/>
      <c r="V14923" s="603">
        <v>523</v>
      </c>
    </row>
    <row r="14924" spans="1:22" ht="14.4" x14ac:dyDescent="0.3">
      <c r="A14924" s="603" t="s">
        <v>197</v>
      </c>
      <c r="E14924" s="1263" t="s">
        <v>4900</v>
      </c>
      <c r="F14924" s="1263"/>
      <c r="G14924" s="1266" t="s">
        <v>19</v>
      </c>
      <c r="H14924" s="358">
        <v>-55</v>
      </c>
      <c r="K14924" s="603" t="s">
        <v>4892</v>
      </c>
      <c r="P14924" s="603" t="s">
        <v>4920</v>
      </c>
      <c r="S14924" s="603"/>
      <c r="T14924" s="603"/>
      <c r="V14924" s="603">
        <v>11</v>
      </c>
    </row>
    <row r="14925" spans="1:22" ht="14.4" x14ac:dyDescent="0.3">
      <c r="A14925" s="603" t="s">
        <v>197</v>
      </c>
      <c r="E14925" s="1986" t="s">
        <v>4921</v>
      </c>
      <c r="F14925" s="1986"/>
      <c r="G14925" s="3"/>
      <c r="H14925" s="3"/>
      <c r="K14925" s="603" t="s">
        <v>4892</v>
      </c>
      <c r="S14925" s="603"/>
      <c r="T14925" s="603"/>
      <c r="V14925" s="603">
        <v>7</v>
      </c>
    </row>
    <row r="14926" spans="1:22" ht="15" customHeight="1" x14ac:dyDescent="0.3">
      <c r="A14926" s="603" t="s">
        <v>197</v>
      </c>
      <c r="E14926" s="1741" t="s">
        <v>4922</v>
      </c>
      <c r="F14926" s="1741"/>
      <c r="G14926" s="1741"/>
      <c r="H14926" s="1741"/>
      <c r="K14926" s="603" t="s">
        <v>4892</v>
      </c>
      <c r="S14926" s="603"/>
      <c r="T14926" s="603"/>
      <c r="V14926" s="603">
        <v>524</v>
      </c>
    </row>
    <row r="14927" spans="1:22" ht="14.4" x14ac:dyDescent="0.3">
      <c r="A14927" s="603" t="s">
        <v>197</v>
      </c>
      <c r="E14927" s="1263" t="s">
        <v>4900</v>
      </c>
      <c r="F14927" s="1263"/>
      <c r="G14927" s="1266" t="s">
        <v>19</v>
      </c>
      <c r="H14927" s="358">
        <v>-60</v>
      </c>
      <c r="K14927" s="603" t="s">
        <v>4892</v>
      </c>
      <c r="P14927" s="603" t="s">
        <v>4923</v>
      </c>
      <c r="S14927" s="603"/>
      <c r="T14927" s="603"/>
      <c r="V14927" s="603">
        <v>11</v>
      </c>
    </row>
    <row r="14928" spans="1:22" ht="14.4" x14ac:dyDescent="0.3">
      <c r="A14928" s="603" t="s">
        <v>197</v>
      </c>
      <c r="E14928" s="1986" t="s">
        <v>4924</v>
      </c>
      <c r="F14928" s="1986"/>
      <c r="G14928" s="3"/>
      <c r="H14928" s="3"/>
      <c r="K14928" s="603" t="s">
        <v>4892</v>
      </c>
      <c r="S14928" s="603"/>
      <c r="T14928" s="603"/>
      <c r="V14928" s="603">
        <v>7</v>
      </c>
    </row>
    <row r="14929" spans="1:22" ht="15" customHeight="1" x14ac:dyDescent="0.3">
      <c r="A14929" s="603" t="s">
        <v>197</v>
      </c>
      <c r="E14929" s="1741" t="s">
        <v>4925</v>
      </c>
      <c r="F14929" s="1741"/>
      <c r="G14929" s="1741"/>
      <c r="H14929" s="1741"/>
      <c r="K14929" s="603" t="s">
        <v>4892</v>
      </c>
      <c r="S14929" s="603"/>
      <c r="T14929" s="603"/>
      <c r="V14929" s="603">
        <v>548</v>
      </c>
    </row>
    <row r="14930" spans="1:22" ht="14.4" x14ac:dyDescent="0.3">
      <c r="A14930" s="603" t="s">
        <v>197</v>
      </c>
      <c r="E14930" s="1263" t="s">
        <v>4900</v>
      </c>
      <c r="F14930" s="1263"/>
      <c r="G14930" s="1266" t="s">
        <v>19</v>
      </c>
      <c r="H14930" s="358">
        <v>-75</v>
      </c>
      <c r="K14930" s="603" t="s">
        <v>4892</v>
      </c>
      <c r="P14930" s="603" t="s">
        <v>4926</v>
      </c>
      <c r="S14930" s="603"/>
      <c r="T14930" s="603"/>
      <c r="V14930" s="603">
        <v>11</v>
      </c>
    </row>
    <row r="14931" spans="1:22" ht="17.399999999999999" x14ac:dyDescent="0.3">
      <c r="A14931" s="603" t="s">
        <v>197</v>
      </c>
      <c r="E14931" s="963" t="s">
        <v>2522</v>
      </c>
      <c r="F14931" s="1192"/>
      <c r="G14931" s="1192"/>
      <c r="H14931" s="1192"/>
      <c r="K14931" s="603" t="s">
        <v>4927</v>
      </c>
      <c r="S14931" s="603"/>
      <c r="T14931" s="603"/>
      <c r="V14931" s="603">
        <v>54</v>
      </c>
    </row>
    <row r="14932" spans="1:22" ht="15" customHeight="1" x14ac:dyDescent="0.3">
      <c r="A14932" s="603" t="s">
        <v>197</v>
      </c>
      <c r="E14932" s="1996" t="s">
        <v>4928</v>
      </c>
      <c r="F14932" s="1867"/>
      <c r="G14932" s="1867"/>
      <c r="H14932" s="1867"/>
      <c r="K14932" s="603" t="s">
        <v>4927</v>
      </c>
      <c r="S14932" s="603"/>
      <c r="T14932" s="603"/>
      <c r="V14932" s="603">
        <v>265</v>
      </c>
    </row>
    <row r="14933" spans="1:22" ht="14.4" x14ac:dyDescent="0.3">
      <c r="A14933" s="603" t="s">
        <v>197</v>
      </c>
      <c r="E14933" s="722" t="s">
        <v>2389</v>
      </c>
      <c r="F14933" s="1192"/>
      <c r="G14933" s="1192"/>
      <c r="H14933" s="1192"/>
      <c r="K14933" s="603" t="s">
        <v>2422</v>
      </c>
      <c r="S14933" s="603"/>
      <c r="T14933" s="603"/>
      <c r="V14933" s="603">
        <v>11</v>
      </c>
    </row>
    <row r="14934" spans="1:22" ht="15" customHeight="1" x14ac:dyDescent="0.3">
      <c r="A14934" s="603" t="s">
        <v>197</v>
      </c>
      <c r="E14934" s="1993" t="s">
        <v>4888</v>
      </c>
      <c r="F14934" s="1994"/>
      <c r="G14934" s="1994"/>
      <c r="H14934" s="1994"/>
      <c r="K14934" s="603" t="s">
        <v>4927</v>
      </c>
      <c r="S14934" s="603"/>
      <c r="T14934" s="603"/>
      <c r="V14934" s="603">
        <v>250</v>
      </c>
    </row>
    <row r="14935" spans="1:22" ht="15" customHeight="1" x14ac:dyDescent="0.3">
      <c r="A14935" s="603" t="s">
        <v>197</v>
      </c>
      <c r="E14935" s="1993" t="s">
        <v>4889</v>
      </c>
      <c r="F14935" s="1994"/>
      <c r="G14935" s="1994"/>
      <c r="H14935" s="1994"/>
      <c r="K14935" s="603" t="s">
        <v>4927</v>
      </c>
      <c r="S14935" s="603"/>
      <c r="T14935" s="603"/>
      <c r="V14935" s="603">
        <v>381</v>
      </c>
    </row>
    <row r="14936" spans="1:22" ht="15" customHeight="1" x14ac:dyDescent="0.3">
      <c r="A14936" s="603" t="s">
        <v>197</v>
      </c>
      <c r="E14936" s="1993" t="s">
        <v>2393</v>
      </c>
      <c r="F14936" s="1994"/>
      <c r="G14936" s="1994"/>
      <c r="H14936" s="1994"/>
      <c r="K14936" s="603" t="s">
        <v>4927</v>
      </c>
      <c r="S14936" s="603"/>
      <c r="T14936" s="603"/>
      <c r="V14936" s="603">
        <v>387</v>
      </c>
    </row>
    <row r="14937" spans="1:22" ht="15" customHeight="1" x14ac:dyDescent="0.3">
      <c r="A14937" s="603" t="s">
        <v>197</v>
      </c>
      <c r="E14937" s="1993" t="s">
        <v>4869</v>
      </c>
      <c r="F14937" s="1994"/>
      <c r="G14937" s="1994"/>
      <c r="H14937" s="1994"/>
      <c r="K14937" s="603" t="s">
        <v>4927</v>
      </c>
      <c r="S14937" s="603"/>
      <c r="T14937" s="603"/>
      <c r="V14937" s="603">
        <v>293</v>
      </c>
    </row>
    <row r="14938" spans="1:22" ht="14.4" x14ac:dyDescent="0.3">
      <c r="A14938" s="603" t="s">
        <v>197</v>
      </c>
      <c r="E14938" s="722" t="s">
        <v>2394</v>
      </c>
      <c r="F14938" s="1192"/>
      <c r="G14938" s="1192"/>
      <c r="H14938" s="1192"/>
      <c r="K14938" s="603" t="s">
        <v>2423</v>
      </c>
      <c r="S14938" s="603"/>
      <c r="T14938" s="603"/>
      <c r="V14938" s="603">
        <v>46</v>
      </c>
    </row>
    <row r="14939" spans="1:22" ht="14.4" x14ac:dyDescent="0.2">
      <c r="A14939" s="603" t="s">
        <v>197</v>
      </c>
      <c r="E14939" s="1995" t="s">
        <v>7</v>
      </c>
      <c r="F14939" s="1995"/>
      <c r="G14939" s="393" t="s">
        <v>19</v>
      </c>
      <c r="H14939" s="964">
        <v>25.22</v>
      </c>
      <c r="K14939" s="603" t="s">
        <v>4927</v>
      </c>
      <c r="L14939" s="603" t="s">
        <v>430</v>
      </c>
      <c r="P14939" s="603" t="s">
        <v>4929</v>
      </c>
      <c r="S14939" s="603"/>
      <c r="T14939" s="603"/>
      <c r="V14939" s="603">
        <v>14</v>
      </c>
    </row>
    <row r="14940" spans="1:22" ht="15" customHeight="1" x14ac:dyDescent="0.2">
      <c r="A14940" s="603" t="s">
        <v>197</v>
      </c>
      <c r="E14940" s="1995" t="s">
        <v>4890</v>
      </c>
      <c r="F14940" s="1995"/>
      <c r="G14940" s="393" t="s">
        <v>19</v>
      </c>
      <c r="H14940" s="964">
        <v>2.48</v>
      </c>
      <c r="K14940" s="603" t="s">
        <v>4927</v>
      </c>
      <c r="L14940" s="603" t="s">
        <v>431</v>
      </c>
      <c r="P14940" s="603" t="s">
        <v>4930</v>
      </c>
      <c r="S14940" s="603"/>
      <c r="T14940" s="603"/>
      <c r="V14940" s="603">
        <v>135</v>
      </c>
    </row>
    <row r="14941" spans="1:22" ht="14.4" x14ac:dyDescent="0.2">
      <c r="A14941" s="603" t="s">
        <v>197</v>
      </c>
      <c r="E14941" s="1990" t="s">
        <v>414</v>
      </c>
      <c r="F14941" s="1990"/>
      <c r="G14941" s="393" t="s">
        <v>19</v>
      </c>
      <c r="H14941" s="964">
        <v>0.56999999999999995</v>
      </c>
      <c r="K14941" s="603" t="s">
        <v>4927</v>
      </c>
      <c r="L14941" s="603" t="s">
        <v>431</v>
      </c>
      <c r="P14941" s="603" t="s">
        <v>4931</v>
      </c>
      <c r="S14941" s="603"/>
      <c r="T14941" s="962">
        <v>43404</v>
      </c>
      <c r="V14941" s="603">
        <v>78</v>
      </c>
    </row>
    <row r="14942" spans="1:22" ht="14.4" x14ac:dyDescent="0.2">
      <c r="A14942" s="603" t="s">
        <v>197</v>
      </c>
      <c r="E14942" s="1990" t="s">
        <v>80</v>
      </c>
      <c r="F14942" s="1990"/>
      <c r="G14942" s="393" t="s">
        <v>20</v>
      </c>
      <c r="H14942" s="965">
        <v>2.07E-2</v>
      </c>
      <c r="K14942" s="603" t="s">
        <v>4927</v>
      </c>
      <c r="L14942" s="603" t="s">
        <v>430</v>
      </c>
      <c r="P14942" s="603" t="s">
        <v>4932</v>
      </c>
      <c r="S14942" s="603"/>
      <c r="T14942" s="603"/>
      <c r="V14942" s="603">
        <v>28</v>
      </c>
    </row>
    <row r="14943" spans="1:22" ht="14.4" x14ac:dyDescent="0.2">
      <c r="A14943" s="603" t="s">
        <v>197</v>
      </c>
      <c r="E14943" s="1990" t="s">
        <v>14</v>
      </c>
      <c r="F14943" s="1990"/>
      <c r="G14943" s="393" t="s">
        <v>20</v>
      </c>
      <c r="H14943" s="965">
        <v>3.5000000000000001E-3</v>
      </c>
      <c r="I14943" s="603" t="str">
        <f>IF(LEN(H14943)&gt;6, "fix", "")</f>
        <v/>
      </c>
      <c r="K14943" s="603" t="s">
        <v>4927</v>
      </c>
      <c r="L14943" s="603" t="s">
        <v>431</v>
      </c>
      <c r="P14943" s="603" t="s">
        <v>4933</v>
      </c>
      <c r="S14943" s="603"/>
      <c r="T14943" s="603"/>
      <c r="V14943" s="603">
        <v>24</v>
      </c>
    </row>
    <row r="14944" spans="1:22" ht="15" customHeight="1" x14ac:dyDescent="0.2">
      <c r="A14944" s="603" t="s">
        <v>197</v>
      </c>
      <c r="E14944" s="1995" t="s">
        <v>4890</v>
      </c>
      <c r="F14944" s="1995"/>
      <c r="G14944" s="393" t="s">
        <v>20</v>
      </c>
      <c r="H14944" s="965">
        <v>2E-3</v>
      </c>
      <c r="K14944" s="603" t="s">
        <v>4927</v>
      </c>
      <c r="L14944" s="603" t="s">
        <v>431</v>
      </c>
      <c r="P14944" s="603" t="s">
        <v>4934</v>
      </c>
      <c r="S14944" s="603"/>
      <c r="T14944" s="603"/>
      <c r="V14944" s="603">
        <v>135</v>
      </c>
    </row>
    <row r="14945" spans="1:22" ht="14.4" x14ac:dyDescent="0.2">
      <c r="A14945" s="603" t="s">
        <v>197</v>
      </c>
      <c r="E14945" s="1990" t="s">
        <v>213</v>
      </c>
      <c r="F14945" s="1990"/>
      <c r="G14945" s="393" t="s">
        <v>20</v>
      </c>
      <c r="H14945" s="965">
        <v>5.9414912113155008E-3</v>
      </c>
      <c r="K14945" s="603" t="s">
        <v>4927</v>
      </c>
      <c r="L14945" s="603" t="s">
        <v>432</v>
      </c>
      <c r="P14945" s="603" t="s">
        <v>4935</v>
      </c>
      <c r="S14945" s="603"/>
      <c r="T14945" s="603"/>
      <c r="V14945" s="603">
        <v>47</v>
      </c>
    </row>
    <row r="14946" spans="1:22" ht="14.4" x14ac:dyDescent="0.2">
      <c r="A14946" s="603" t="s">
        <v>197</v>
      </c>
      <c r="E14946" s="1990" t="s">
        <v>209</v>
      </c>
      <c r="F14946" s="1990"/>
      <c r="G14946" s="393" t="s">
        <v>20</v>
      </c>
      <c r="H14946" s="965">
        <v>3.6145284691052239E-3</v>
      </c>
      <c r="K14946" s="603" t="s">
        <v>4927</v>
      </c>
      <c r="L14946" s="603" t="s">
        <v>432</v>
      </c>
      <c r="P14946" s="603" t="s">
        <v>4936</v>
      </c>
      <c r="S14946" s="603"/>
      <c r="T14946" s="603"/>
      <c r="V14946" s="603">
        <v>74</v>
      </c>
    </row>
    <row r="14947" spans="1:22" ht="14.4" x14ac:dyDescent="0.3">
      <c r="A14947" s="603" t="s">
        <v>197</v>
      </c>
      <c r="E14947" s="722" t="s">
        <v>2405</v>
      </c>
      <c r="F14947" s="1192"/>
      <c r="G14947" s="1192"/>
      <c r="H14947" s="1192"/>
      <c r="K14947" s="603" t="s">
        <v>2526</v>
      </c>
      <c r="S14947" s="603"/>
      <c r="T14947" s="603"/>
      <c r="V14947" s="603">
        <v>48</v>
      </c>
    </row>
    <row r="14948" spans="1:22" ht="14.4" x14ac:dyDescent="0.3">
      <c r="A14948" s="603" t="s">
        <v>197</v>
      </c>
      <c r="E14948" s="1990" t="s">
        <v>27</v>
      </c>
      <c r="F14948" s="1918"/>
      <c r="G14948" s="393" t="s">
        <v>20</v>
      </c>
      <c r="H14948" s="965">
        <v>4.4000000000000003E-3</v>
      </c>
      <c r="K14948" s="603" t="s">
        <v>4927</v>
      </c>
      <c r="L14948" s="603" t="s">
        <v>2374</v>
      </c>
      <c r="P14948" s="603" t="s">
        <v>4937</v>
      </c>
      <c r="S14948" s="603"/>
      <c r="T14948" s="603"/>
      <c r="V14948" s="603">
        <v>29</v>
      </c>
    </row>
    <row r="14949" spans="1:22" ht="14.4" x14ac:dyDescent="0.3">
      <c r="A14949" s="603" t="s">
        <v>197</v>
      </c>
      <c r="E14949" s="1990" t="s">
        <v>428</v>
      </c>
      <c r="F14949" s="1918"/>
      <c r="G14949" s="393" t="s">
        <v>20</v>
      </c>
      <c r="H14949" s="965">
        <v>1.2999999999999999E-3</v>
      </c>
      <c r="K14949" s="603" t="s">
        <v>4927</v>
      </c>
      <c r="L14949" s="603" t="s">
        <v>2374</v>
      </c>
      <c r="P14949" s="603" t="s">
        <v>4938</v>
      </c>
      <c r="S14949" s="603"/>
      <c r="T14949" s="603"/>
      <c r="V14949" s="603">
        <v>57</v>
      </c>
    </row>
    <row r="14950" spans="1:22" ht="14.4" x14ac:dyDescent="0.3">
      <c r="A14950" s="603" t="s">
        <v>197</v>
      </c>
      <c r="E14950" s="1990" t="s">
        <v>28</v>
      </c>
      <c r="F14950" s="1918"/>
      <c r="G14950" s="393" t="s">
        <v>19</v>
      </c>
      <c r="H14950" s="964">
        <v>0.25</v>
      </c>
      <c r="K14950" s="603" t="s">
        <v>4927</v>
      </c>
      <c r="L14950" s="603" t="s">
        <v>2374</v>
      </c>
      <c r="P14950" s="603" t="s">
        <v>4939</v>
      </c>
      <c r="S14950" s="603"/>
      <c r="T14950" s="603"/>
      <c r="V14950" s="603">
        <v>63</v>
      </c>
    </row>
    <row r="14951" spans="1:22" ht="17.399999999999999" x14ac:dyDescent="0.3">
      <c r="A14951" s="603" t="s">
        <v>197</v>
      </c>
      <c r="E14951" s="963" t="s">
        <v>591</v>
      </c>
      <c r="F14951" s="1192"/>
      <c r="G14951" s="1192"/>
      <c r="H14951" s="1192"/>
      <c r="K14951" s="603" t="s">
        <v>4940</v>
      </c>
      <c r="S14951" s="603"/>
      <c r="T14951" s="603"/>
      <c r="V14951" s="603">
        <v>53</v>
      </c>
    </row>
    <row r="14952" spans="1:22" ht="15" customHeight="1" x14ac:dyDescent="0.3">
      <c r="A14952" s="603" t="s">
        <v>197</v>
      </c>
      <c r="E14952" s="1996" t="s">
        <v>4941</v>
      </c>
      <c r="F14952" s="1867"/>
      <c r="G14952" s="1867"/>
      <c r="H14952" s="1867"/>
      <c r="K14952" s="603" t="s">
        <v>4940</v>
      </c>
      <c r="S14952" s="603"/>
      <c r="T14952" s="603"/>
      <c r="V14952" s="603">
        <v>247</v>
      </c>
    </row>
    <row r="14953" spans="1:22" ht="14.4" x14ac:dyDescent="0.3">
      <c r="A14953" s="603" t="s">
        <v>197</v>
      </c>
      <c r="E14953" s="722" t="s">
        <v>2389</v>
      </c>
      <c r="F14953" s="1192"/>
      <c r="G14953" s="1192"/>
      <c r="H14953" s="1192"/>
      <c r="K14953" s="603" t="s">
        <v>2529</v>
      </c>
      <c r="S14953" s="603"/>
      <c r="T14953" s="603"/>
      <c r="V14953" s="603">
        <v>11</v>
      </c>
    </row>
    <row r="14954" spans="1:22" ht="15" customHeight="1" x14ac:dyDescent="0.3">
      <c r="A14954" s="603" t="s">
        <v>197</v>
      </c>
      <c r="E14954" s="1993" t="s">
        <v>4888</v>
      </c>
      <c r="F14954" s="1994"/>
      <c r="G14954" s="1994"/>
      <c r="H14954" s="1994"/>
      <c r="K14954" s="603" t="s">
        <v>4940</v>
      </c>
      <c r="S14954" s="603"/>
      <c r="T14954" s="603"/>
      <c r="V14954" s="603">
        <v>250</v>
      </c>
    </row>
    <row r="14955" spans="1:22" ht="15" customHeight="1" x14ac:dyDescent="0.3">
      <c r="A14955" s="603" t="s">
        <v>197</v>
      </c>
      <c r="E14955" s="1993" t="s">
        <v>4889</v>
      </c>
      <c r="F14955" s="1994"/>
      <c r="G14955" s="1994"/>
      <c r="H14955" s="1994"/>
      <c r="K14955" s="603" t="s">
        <v>4940</v>
      </c>
      <c r="S14955" s="603"/>
      <c r="T14955" s="603"/>
      <c r="V14955" s="603">
        <v>381</v>
      </c>
    </row>
    <row r="14956" spans="1:22" ht="15" customHeight="1" x14ac:dyDescent="0.3">
      <c r="A14956" s="603" t="s">
        <v>197</v>
      </c>
      <c r="E14956" s="1993" t="s">
        <v>2393</v>
      </c>
      <c r="F14956" s="1994"/>
      <c r="G14956" s="1994"/>
      <c r="H14956" s="1994"/>
      <c r="K14956" s="603" t="s">
        <v>4940</v>
      </c>
      <c r="S14956" s="603"/>
      <c r="T14956" s="603"/>
      <c r="V14956" s="603">
        <v>387</v>
      </c>
    </row>
    <row r="14957" spans="1:22" ht="15" customHeight="1" x14ac:dyDescent="0.3">
      <c r="A14957" s="603" t="s">
        <v>197</v>
      </c>
      <c r="E14957" s="1993" t="s">
        <v>4869</v>
      </c>
      <c r="F14957" s="1994"/>
      <c r="G14957" s="1994"/>
      <c r="H14957" s="1994"/>
      <c r="K14957" s="603" t="s">
        <v>4940</v>
      </c>
      <c r="S14957" s="603"/>
      <c r="T14957" s="603"/>
      <c r="V14957" s="603">
        <v>293</v>
      </c>
    </row>
    <row r="14958" spans="1:22" ht="14.4" x14ac:dyDescent="0.3">
      <c r="A14958" s="603" t="s">
        <v>197</v>
      </c>
      <c r="E14958" s="722" t="s">
        <v>2394</v>
      </c>
      <c r="F14958" s="1192"/>
      <c r="G14958" s="1192"/>
      <c r="H14958" s="1192"/>
      <c r="K14958" s="603" t="s">
        <v>2531</v>
      </c>
      <c r="S14958" s="603"/>
      <c r="T14958" s="603"/>
      <c r="V14958" s="603">
        <v>46</v>
      </c>
    </row>
    <row r="14959" spans="1:22" ht="14.4" x14ac:dyDescent="0.2">
      <c r="A14959" s="603" t="s">
        <v>197</v>
      </c>
      <c r="E14959" s="1995" t="s">
        <v>7</v>
      </c>
      <c r="F14959" s="1995"/>
      <c r="G14959" s="393" t="s">
        <v>19</v>
      </c>
      <c r="H14959" s="964">
        <v>196.43</v>
      </c>
      <c r="K14959" s="603" t="s">
        <v>4940</v>
      </c>
      <c r="L14959" s="603" t="s">
        <v>430</v>
      </c>
      <c r="P14959" s="603" t="s">
        <v>4942</v>
      </c>
      <c r="S14959" s="603"/>
      <c r="T14959" s="603"/>
      <c r="V14959" s="603">
        <v>14</v>
      </c>
    </row>
    <row r="14960" spans="1:22" ht="15" customHeight="1" x14ac:dyDescent="0.2">
      <c r="A14960" s="603" t="s">
        <v>197</v>
      </c>
      <c r="E14960" s="1995" t="s">
        <v>4890</v>
      </c>
      <c r="F14960" s="1995"/>
      <c r="G14960" s="393" t="s">
        <v>19</v>
      </c>
      <c r="H14960" s="964">
        <v>19.34</v>
      </c>
      <c r="K14960" s="603" t="s">
        <v>4940</v>
      </c>
      <c r="L14960" s="603" t="s">
        <v>431</v>
      </c>
      <c r="P14960" s="603" t="s">
        <v>4943</v>
      </c>
      <c r="S14960" s="603"/>
      <c r="T14960" s="603"/>
      <c r="V14960" s="603">
        <v>135</v>
      </c>
    </row>
    <row r="14961" spans="1:22" ht="14.4" x14ac:dyDescent="0.2">
      <c r="A14961" s="603" t="s">
        <v>197</v>
      </c>
      <c r="E14961" s="1990" t="s">
        <v>80</v>
      </c>
      <c r="F14961" s="1990"/>
      <c r="G14961" s="393" t="s">
        <v>29</v>
      </c>
      <c r="H14961" s="965">
        <v>3.7949000000000002</v>
      </c>
      <c r="K14961" s="603" t="s">
        <v>4940</v>
      </c>
      <c r="L14961" s="603" t="s">
        <v>430</v>
      </c>
      <c r="P14961" s="603" t="s">
        <v>4944</v>
      </c>
      <c r="S14961" s="603"/>
      <c r="T14961" s="603"/>
      <c r="V14961" s="603">
        <v>28</v>
      </c>
    </row>
    <row r="14962" spans="1:22" ht="14.4" x14ac:dyDescent="0.2">
      <c r="A14962" s="603" t="s">
        <v>197</v>
      </c>
      <c r="E14962" s="1990" t="s">
        <v>14</v>
      </c>
      <c r="F14962" s="1990"/>
      <c r="G14962" s="393" t="s">
        <v>29</v>
      </c>
      <c r="H14962" s="965">
        <v>1.484</v>
      </c>
      <c r="I14962" s="603" t="str">
        <f>IF(LEN(H14962)&gt;6, "fix", "")</f>
        <v/>
      </c>
      <c r="K14962" s="603" t="s">
        <v>4940</v>
      </c>
      <c r="L14962" s="603" t="s">
        <v>431</v>
      </c>
      <c r="P14962" s="603" t="s">
        <v>4945</v>
      </c>
      <c r="S14962" s="603"/>
      <c r="T14962" s="603"/>
      <c r="V14962" s="603">
        <v>24</v>
      </c>
    </row>
    <row r="14963" spans="1:22" ht="15" customHeight="1" x14ac:dyDescent="0.2">
      <c r="A14963" s="603" t="s">
        <v>197</v>
      </c>
      <c r="E14963" s="1995" t="s">
        <v>4890</v>
      </c>
      <c r="F14963" s="1995"/>
      <c r="G14963" s="393" t="s">
        <v>29</v>
      </c>
      <c r="H14963" s="965">
        <v>0.37359999999999999</v>
      </c>
      <c r="K14963" s="603" t="s">
        <v>4940</v>
      </c>
      <c r="L14963" s="603" t="s">
        <v>431</v>
      </c>
      <c r="P14963" s="603" t="s">
        <v>4946</v>
      </c>
      <c r="S14963" s="603"/>
      <c r="T14963" s="603"/>
      <c r="V14963" s="603">
        <v>135</v>
      </c>
    </row>
    <row r="14964" spans="1:22" ht="14.4" x14ac:dyDescent="0.2">
      <c r="A14964" s="603" t="s">
        <v>197</v>
      </c>
      <c r="E14964" s="1990" t="s">
        <v>213</v>
      </c>
      <c r="F14964" s="1990"/>
      <c r="G14964" s="393" t="s">
        <v>29</v>
      </c>
      <c r="H14964" s="965">
        <v>2.3681225544379303</v>
      </c>
      <c r="K14964" s="603" t="s">
        <v>4940</v>
      </c>
      <c r="L14964" s="603" t="s">
        <v>432</v>
      </c>
      <c r="P14964" s="603" t="s">
        <v>4947</v>
      </c>
      <c r="S14964" s="603"/>
      <c r="T14964" s="603"/>
      <c r="V14964" s="603">
        <v>47</v>
      </c>
    </row>
    <row r="14965" spans="1:22" ht="14.4" x14ac:dyDescent="0.2">
      <c r="A14965" s="603" t="s">
        <v>197</v>
      </c>
      <c r="E14965" s="1990" t="s">
        <v>209</v>
      </c>
      <c r="F14965" s="1990"/>
      <c r="G14965" s="393" t="s">
        <v>29</v>
      </c>
      <c r="H14965" s="965">
        <v>1.3939380196124982</v>
      </c>
      <c r="K14965" s="603" t="s">
        <v>4940</v>
      </c>
      <c r="L14965" s="603" t="s">
        <v>432</v>
      </c>
      <c r="P14965" s="603" t="s">
        <v>4948</v>
      </c>
      <c r="S14965" s="603"/>
      <c r="T14965" s="603"/>
      <c r="V14965" s="603">
        <v>74</v>
      </c>
    </row>
    <row r="14966" spans="1:22" ht="14.4" x14ac:dyDescent="0.2">
      <c r="A14966" s="603" t="s">
        <v>197</v>
      </c>
      <c r="E14966" s="1990" t="s">
        <v>215</v>
      </c>
      <c r="F14966" s="1990"/>
      <c r="G14966" s="393" t="s">
        <v>29</v>
      </c>
      <c r="H14966" s="965">
        <v>2.6620802671551465</v>
      </c>
      <c r="K14966" s="603" t="s">
        <v>4940</v>
      </c>
      <c r="L14966" s="603" t="s">
        <v>432</v>
      </c>
      <c r="P14966" s="603" t="s">
        <v>4949</v>
      </c>
      <c r="S14966" s="603"/>
      <c r="T14966" s="603"/>
      <c r="V14966" s="603">
        <v>66</v>
      </c>
    </row>
    <row r="14967" spans="1:22" ht="14.4" x14ac:dyDescent="0.2">
      <c r="A14967" s="603" t="s">
        <v>197</v>
      </c>
      <c r="E14967" s="1990" t="s">
        <v>211</v>
      </c>
      <c r="F14967" s="1990"/>
      <c r="G14967" s="393" t="s">
        <v>29</v>
      </c>
      <c r="H14967" s="965">
        <v>1.930939722171185</v>
      </c>
      <c r="K14967" s="603" t="s">
        <v>4940</v>
      </c>
      <c r="L14967" s="603" t="s">
        <v>432</v>
      </c>
      <c r="P14967" s="603" t="s">
        <v>4950</v>
      </c>
      <c r="S14967" s="603"/>
      <c r="T14967" s="603"/>
      <c r="V14967" s="603">
        <v>93</v>
      </c>
    </row>
    <row r="14968" spans="1:22" ht="14.4" x14ac:dyDescent="0.3">
      <c r="A14968" s="603" t="s">
        <v>197</v>
      </c>
      <c r="E14968" s="722" t="s">
        <v>2405</v>
      </c>
      <c r="F14968" s="1192"/>
      <c r="G14968" s="1192"/>
      <c r="H14968" s="1192"/>
      <c r="K14968" s="603" t="s">
        <v>2532</v>
      </c>
      <c r="S14968" s="603"/>
      <c r="T14968" s="603"/>
      <c r="V14968" s="603">
        <v>48</v>
      </c>
    </row>
    <row r="14969" spans="1:22" ht="14.4" x14ac:dyDescent="0.3">
      <c r="A14969" s="603" t="s">
        <v>197</v>
      </c>
      <c r="E14969" s="1990" t="s">
        <v>27</v>
      </c>
      <c r="F14969" s="1918"/>
      <c r="G14969" s="393" t="s">
        <v>20</v>
      </c>
      <c r="H14969" s="965">
        <v>4.4000000000000003E-3</v>
      </c>
      <c r="K14969" s="603" t="s">
        <v>4940</v>
      </c>
      <c r="L14969" s="603" t="s">
        <v>2374</v>
      </c>
      <c r="P14969" s="603" t="s">
        <v>4951</v>
      </c>
      <c r="S14969" s="603"/>
      <c r="T14969" s="603"/>
      <c r="V14969" s="603">
        <v>29</v>
      </c>
    </row>
    <row r="14970" spans="1:22" ht="14.4" x14ac:dyDescent="0.3">
      <c r="A14970" s="603" t="s">
        <v>197</v>
      </c>
      <c r="E14970" s="1990" t="s">
        <v>428</v>
      </c>
      <c r="F14970" s="1918"/>
      <c r="G14970" s="393" t="s">
        <v>20</v>
      </c>
      <c r="H14970" s="965">
        <v>1.2999999999999999E-3</v>
      </c>
      <c r="K14970" s="603" t="s">
        <v>4940</v>
      </c>
      <c r="L14970" s="603" t="s">
        <v>2374</v>
      </c>
      <c r="P14970" s="603" t="s">
        <v>4952</v>
      </c>
      <c r="S14970" s="603"/>
      <c r="T14970" s="603"/>
      <c r="V14970" s="603">
        <v>57</v>
      </c>
    </row>
    <row r="14971" spans="1:22" ht="14.4" x14ac:dyDescent="0.3">
      <c r="A14971" s="603" t="s">
        <v>197</v>
      </c>
      <c r="E14971" s="1990" t="s">
        <v>28</v>
      </c>
      <c r="F14971" s="1918"/>
      <c r="G14971" s="393" t="s">
        <v>19</v>
      </c>
      <c r="H14971" s="964">
        <v>0.25</v>
      </c>
      <c r="K14971" s="603" t="s">
        <v>4940</v>
      </c>
      <c r="L14971" s="603" t="s">
        <v>2374</v>
      </c>
      <c r="P14971" s="603" t="s">
        <v>4953</v>
      </c>
      <c r="S14971" s="603"/>
      <c r="T14971" s="603"/>
      <c r="V14971" s="603">
        <v>63</v>
      </c>
    </row>
    <row r="14972" spans="1:22" ht="17.399999999999999" x14ac:dyDescent="0.3">
      <c r="A14972" s="603" t="s">
        <v>197</v>
      </c>
      <c r="E14972" s="963" t="s">
        <v>592</v>
      </c>
      <c r="F14972" s="1192"/>
      <c r="G14972" s="1192"/>
      <c r="H14972" s="1192"/>
      <c r="K14972" s="603" t="s">
        <v>2726</v>
      </c>
      <c r="S14972" s="603"/>
      <c r="T14972" s="603"/>
      <c r="V14972" s="603">
        <v>47</v>
      </c>
    </row>
    <row r="14973" spans="1:22" ht="15" customHeight="1" x14ac:dyDescent="0.3">
      <c r="A14973" s="603" t="s">
        <v>197</v>
      </c>
      <c r="E14973" s="1996" t="s">
        <v>4954</v>
      </c>
      <c r="F14973" s="1867"/>
      <c r="G14973" s="1867"/>
      <c r="H14973" s="1867"/>
      <c r="K14973" s="603" t="s">
        <v>2726</v>
      </c>
      <c r="S14973" s="603"/>
      <c r="T14973" s="603"/>
      <c r="V14973" s="603">
        <v>556</v>
      </c>
    </row>
    <row r="14974" spans="1:22" ht="14.4" x14ac:dyDescent="0.3">
      <c r="A14974" s="603" t="s">
        <v>197</v>
      </c>
      <c r="E14974" s="722" t="s">
        <v>2389</v>
      </c>
      <c r="F14974" s="1192"/>
      <c r="G14974" s="1192"/>
      <c r="H14974" s="1192"/>
      <c r="K14974" s="603" t="s">
        <v>2424</v>
      </c>
      <c r="S14974" s="603"/>
      <c r="T14974" s="603"/>
      <c r="V14974" s="603">
        <v>11</v>
      </c>
    </row>
    <row r="14975" spans="1:22" ht="15" customHeight="1" x14ac:dyDescent="0.3">
      <c r="A14975" s="603" t="s">
        <v>197</v>
      </c>
      <c r="E14975" s="1993" t="s">
        <v>4888</v>
      </c>
      <c r="F14975" s="1994"/>
      <c r="G14975" s="1994"/>
      <c r="H14975" s="1994"/>
      <c r="K14975" s="603" t="s">
        <v>2726</v>
      </c>
      <c r="S14975" s="603"/>
      <c r="T14975" s="603"/>
      <c r="V14975" s="603">
        <v>250</v>
      </c>
    </row>
    <row r="14976" spans="1:22" ht="15" customHeight="1" x14ac:dyDescent="0.3">
      <c r="A14976" s="603" t="s">
        <v>197</v>
      </c>
      <c r="E14976" s="1993" t="s">
        <v>4889</v>
      </c>
      <c r="F14976" s="1994"/>
      <c r="G14976" s="1994"/>
      <c r="H14976" s="1994"/>
      <c r="K14976" s="603" t="s">
        <v>2726</v>
      </c>
      <c r="S14976" s="603"/>
      <c r="T14976" s="603"/>
      <c r="V14976" s="603">
        <v>381</v>
      </c>
    </row>
    <row r="14977" spans="1:22" ht="15" customHeight="1" x14ac:dyDescent="0.3">
      <c r="A14977" s="603" t="s">
        <v>197</v>
      </c>
      <c r="E14977" s="1993" t="s">
        <v>2393</v>
      </c>
      <c r="F14977" s="1994"/>
      <c r="G14977" s="1994"/>
      <c r="H14977" s="1994"/>
      <c r="K14977" s="603" t="s">
        <v>2726</v>
      </c>
      <c r="S14977" s="603"/>
      <c r="T14977" s="603"/>
      <c r="V14977" s="603">
        <v>387</v>
      </c>
    </row>
    <row r="14978" spans="1:22" ht="15" customHeight="1" x14ac:dyDescent="0.3">
      <c r="A14978" s="603" t="s">
        <v>197</v>
      </c>
      <c r="E14978" s="1993" t="s">
        <v>4869</v>
      </c>
      <c r="F14978" s="1994"/>
      <c r="G14978" s="1994"/>
      <c r="H14978" s="1994"/>
      <c r="K14978" s="603" t="s">
        <v>2726</v>
      </c>
      <c r="S14978" s="603"/>
      <c r="T14978" s="603"/>
      <c r="V14978" s="603">
        <v>293</v>
      </c>
    </row>
    <row r="14979" spans="1:22" ht="14.4" x14ac:dyDescent="0.3">
      <c r="A14979" s="603" t="s">
        <v>197</v>
      </c>
      <c r="E14979" s="722" t="s">
        <v>2394</v>
      </c>
      <c r="F14979" s="1192"/>
      <c r="G14979" s="1192"/>
      <c r="H14979" s="1192"/>
      <c r="K14979" s="603" t="s">
        <v>2425</v>
      </c>
      <c r="S14979" s="603"/>
      <c r="T14979" s="603"/>
      <c r="V14979" s="603">
        <v>46</v>
      </c>
    </row>
    <row r="14980" spans="1:22" ht="14.4" x14ac:dyDescent="0.2">
      <c r="A14980" s="603" t="s">
        <v>197</v>
      </c>
      <c r="E14980" s="1995" t="s">
        <v>8</v>
      </c>
      <c r="F14980" s="1995"/>
      <c r="G14980" s="393" t="s">
        <v>19</v>
      </c>
      <c r="H14980" s="964">
        <v>12.26</v>
      </c>
      <c r="K14980" s="603" t="s">
        <v>2726</v>
      </c>
      <c r="L14980" s="603" t="s">
        <v>430</v>
      </c>
      <c r="P14980" s="603" t="s">
        <v>2727</v>
      </c>
      <c r="S14980" s="603"/>
      <c r="T14980" s="603"/>
      <c r="V14980" s="603">
        <v>31</v>
      </c>
    </row>
    <row r="14981" spans="1:22" ht="15" customHeight="1" x14ac:dyDescent="0.2">
      <c r="A14981" s="603" t="s">
        <v>197</v>
      </c>
      <c r="E14981" s="1995" t="s">
        <v>4890</v>
      </c>
      <c r="F14981" s="1995"/>
      <c r="G14981" s="393" t="s">
        <v>19</v>
      </c>
      <c r="H14981" s="964">
        <v>1.21</v>
      </c>
      <c r="K14981" s="603" t="s">
        <v>2726</v>
      </c>
      <c r="L14981" s="603" t="s">
        <v>431</v>
      </c>
      <c r="P14981" s="603" t="s">
        <v>4955</v>
      </c>
      <c r="S14981" s="603"/>
      <c r="T14981" s="603"/>
      <c r="V14981" s="603">
        <v>135</v>
      </c>
    </row>
    <row r="14982" spans="1:22" ht="14.4" x14ac:dyDescent="0.2">
      <c r="A14982" s="603" t="s">
        <v>197</v>
      </c>
      <c r="E14982" s="1990" t="s">
        <v>80</v>
      </c>
      <c r="F14982" s="1990"/>
      <c r="G14982" s="393" t="s">
        <v>20</v>
      </c>
      <c r="H14982" s="965">
        <v>1.5699999999999999E-2</v>
      </c>
      <c r="K14982" s="603" t="s">
        <v>2726</v>
      </c>
      <c r="L14982" s="603" t="s">
        <v>430</v>
      </c>
      <c r="P14982" s="603" t="s">
        <v>2728</v>
      </c>
      <c r="S14982" s="603"/>
      <c r="T14982" s="603"/>
      <c r="V14982" s="603">
        <v>28</v>
      </c>
    </row>
    <row r="14983" spans="1:22" ht="14.4" x14ac:dyDescent="0.2">
      <c r="A14983" s="603" t="s">
        <v>197</v>
      </c>
      <c r="E14983" s="1990" t="s">
        <v>14</v>
      </c>
      <c r="F14983" s="1990"/>
      <c r="G14983" s="393" t="s">
        <v>20</v>
      </c>
      <c r="H14983" s="965">
        <v>3.5000000000000001E-3</v>
      </c>
      <c r="I14983" s="603" t="str">
        <f>IF(LEN(H14983)&gt;6, "fix", "")</f>
        <v/>
      </c>
      <c r="K14983" s="603" t="s">
        <v>2726</v>
      </c>
      <c r="L14983" s="603" t="s">
        <v>431</v>
      </c>
      <c r="P14983" s="603" t="s">
        <v>2729</v>
      </c>
      <c r="S14983" s="603"/>
      <c r="T14983" s="603"/>
      <c r="V14983" s="603">
        <v>24</v>
      </c>
    </row>
    <row r="14984" spans="1:22" ht="15" customHeight="1" x14ac:dyDescent="0.2">
      <c r="A14984" s="603" t="s">
        <v>197</v>
      </c>
      <c r="E14984" s="1995" t="s">
        <v>4890</v>
      </c>
      <c r="F14984" s="1995"/>
      <c r="G14984" s="393" t="s">
        <v>20</v>
      </c>
      <c r="H14984" s="965">
        <v>1.6000000000000001E-3</v>
      </c>
      <c r="K14984" s="603" t="s">
        <v>2726</v>
      </c>
      <c r="L14984" s="603" t="s">
        <v>431</v>
      </c>
      <c r="P14984" s="603" t="s">
        <v>4956</v>
      </c>
      <c r="S14984" s="603"/>
      <c r="T14984" s="603"/>
      <c r="V14984" s="603">
        <v>135</v>
      </c>
    </row>
    <row r="14985" spans="1:22" ht="14.4" x14ac:dyDescent="0.2">
      <c r="A14985" s="603" t="s">
        <v>197</v>
      </c>
      <c r="E14985" s="1990" t="s">
        <v>213</v>
      </c>
      <c r="F14985" s="1990"/>
      <c r="G14985" s="393" t="s">
        <v>20</v>
      </c>
      <c r="H14985" s="965">
        <v>5.9414912113155008E-3</v>
      </c>
      <c r="K14985" s="603" t="s">
        <v>2726</v>
      </c>
      <c r="L14985" s="603" t="s">
        <v>432</v>
      </c>
      <c r="P14985" s="603" t="s">
        <v>2731</v>
      </c>
      <c r="S14985" s="603"/>
      <c r="T14985" s="603"/>
      <c r="V14985" s="603">
        <v>47</v>
      </c>
    </row>
    <row r="14986" spans="1:22" ht="14.4" x14ac:dyDescent="0.2">
      <c r="A14986" s="603" t="s">
        <v>197</v>
      </c>
      <c r="E14986" s="1990" t="s">
        <v>209</v>
      </c>
      <c r="F14986" s="1990"/>
      <c r="G14986" s="393" t="s">
        <v>20</v>
      </c>
      <c r="H14986" s="965">
        <v>3.6145284691052235E-3</v>
      </c>
      <c r="K14986" s="603" t="s">
        <v>2726</v>
      </c>
      <c r="L14986" s="603" t="s">
        <v>432</v>
      </c>
      <c r="P14986" s="603" t="s">
        <v>2732</v>
      </c>
      <c r="S14986" s="603"/>
      <c r="T14986" s="603"/>
      <c r="V14986" s="603">
        <v>74</v>
      </c>
    </row>
    <row r="14987" spans="1:22" ht="14.4" x14ac:dyDescent="0.3">
      <c r="A14987" s="603" t="s">
        <v>197</v>
      </c>
      <c r="E14987" s="722" t="s">
        <v>2405</v>
      </c>
      <c r="F14987" s="1192"/>
      <c r="G14987" s="1192"/>
      <c r="H14987" s="1192"/>
      <c r="K14987" s="603" t="s">
        <v>2427</v>
      </c>
      <c r="S14987" s="603"/>
      <c r="T14987" s="603"/>
      <c r="V14987" s="603">
        <v>48</v>
      </c>
    </row>
    <row r="14988" spans="1:22" ht="14.4" x14ac:dyDescent="0.3">
      <c r="A14988" s="603" t="s">
        <v>197</v>
      </c>
      <c r="E14988" s="1990" t="s">
        <v>27</v>
      </c>
      <c r="F14988" s="1918"/>
      <c r="G14988" s="393" t="s">
        <v>20</v>
      </c>
      <c r="H14988" s="965">
        <v>4.4000000000000003E-3</v>
      </c>
      <c r="K14988" s="603" t="s">
        <v>2726</v>
      </c>
      <c r="L14988" s="603" t="s">
        <v>2374</v>
      </c>
      <c r="P14988" s="603" t="s">
        <v>2733</v>
      </c>
      <c r="S14988" s="603"/>
      <c r="T14988" s="603"/>
      <c r="V14988" s="603">
        <v>29</v>
      </c>
    </row>
    <row r="14989" spans="1:22" ht="14.4" x14ac:dyDescent="0.3">
      <c r="A14989" s="603" t="s">
        <v>197</v>
      </c>
      <c r="E14989" s="1990" t="s">
        <v>428</v>
      </c>
      <c r="F14989" s="1918"/>
      <c r="G14989" s="393" t="s">
        <v>20</v>
      </c>
      <c r="H14989" s="965">
        <v>1.2999999999999999E-3</v>
      </c>
      <c r="K14989" s="603" t="s">
        <v>2726</v>
      </c>
      <c r="L14989" s="603" t="s">
        <v>2374</v>
      </c>
      <c r="P14989" s="603" t="s">
        <v>2734</v>
      </c>
      <c r="S14989" s="603"/>
      <c r="T14989" s="603"/>
      <c r="V14989" s="603">
        <v>57</v>
      </c>
    </row>
    <row r="14990" spans="1:22" ht="14.4" x14ac:dyDescent="0.3">
      <c r="A14990" s="603" t="s">
        <v>197</v>
      </c>
      <c r="E14990" s="1990" t="s">
        <v>28</v>
      </c>
      <c r="F14990" s="1918"/>
      <c r="G14990" s="393" t="s">
        <v>19</v>
      </c>
      <c r="H14990" s="964">
        <v>0.25</v>
      </c>
      <c r="K14990" s="603" t="s">
        <v>2726</v>
      </c>
      <c r="L14990" s="603" t="s">
        <v>2374</v>
      </c>
      <c r="P14990" s="603" t="s">
        <v>2735</v>
      </c>
      <c r="S14990" s="603"/>
      <c r="T14990" s="603"/>
      <c r="V14990" s="603">
        <v>63</v>
      </c>
    </row>
    <row r="14991" spans="1:22" ht="17.399999999999999" x14ac:dyDescent="0.3">
      <c r="A14991" s="603" t="s">
        <v>197</v>
      </c>
      <c r="E14991" s="963" t="s">
        <v>604</v>
      </c>
      <c r="F14991" s="1192"/>
      <c r="G14991" s="1192"/>
      <c r="H14991" s="1192"/>
      <c r="K14991" s="603" t="s">
        <v>2736</v>
      </c>
      <c r="S14991" s="603"/>
      <c r="T14991" s="603"/>
      <c r="V14991" s="603">
        <v>40</v>
      </c>
    </row>
    <row r="14992" spans="1:22" ht="15" customHeight="1" x14ac:dyDescent="0.3">
      <c r="A14992" s="603" t="s">
        <v>197</v>
      </c>
      <c r="E14992" s="1996" t="s">
        <v>4957</v>
      </c>
      <c r="F14992" s="1867"/>
      <c r="G14992" s="1867"/>
      <c r="H14992" s="1867"/>
      <c r="K14992" s="603" t="s">
        <v>2736</v>
      </c>
      <c r="S14992" s="603"/>
      <c r="T14992" s="603"/>
      <c r="V14992" s="603">
        <v>325</v>
      </c>
    </row>
    <row r="14993" spans="1:22" ht="14.4" x14ac:dyDescent="0.3">
      <c r="A14993" s="603" t="s">
        <v>197</v>
      </c>
      <c r="E14993" s="722" t="s">
        <v>2389</v>
      </c>
      <c r="F14993" s="1192"/>
      <c r="G14993" s="1192"/>
      <c r="H14993" s="1192"/>
      <c r="K14993" s="603" t="s">
        <v>2430</v>
      </c>
      <c r="S14993" s="603"/>
      <c r="T14993" s="603"/>
      <c r="V14993" s="603">
        <v>11</v>
      </c>
    </row>
    <row r="14994" spans="1:22" ht="15" customHeight="1" x14ac:dyDescent="0.3">
      <c r="A14994" s="603" t="s">
        <v>197</v>
      </c>
      <c r="E14994" s="1993" t="s">
        <v>4888</v>
      </c>
      <c r="F14994" s="1994"/>
      <c r="G14994" s="1994"/>
      <c r="H14994" s="1994"/>
      <c r="K14994" s="603" t="s">
        <v>2736</v>
      </c>
      <c r="S14994" s="603"/>
      <c r="T14994" s="603"/>
      <c r="V14994" s="603">
        <v>250</v>
      </c>
    </row>
    <row r="14995" spans="1:22" ht="15" customHeight="1" x14ac:dyDescent="0.3">
      <c r="A14995" s="603" t="s">
        <v>197</v>
      </c>
      <c r="E14995" s="1993" t="s">
        <v>4889</v>
      </c>
      <c r="F14995" s="1994"/>
      <c r="G14995" s="1994"/>
      <c r="H14995" s="1994"/>
      <c r="K14995" s="603" t="s">
        <v>2736</v>
      </c>
      <c r="S14995" s="603"/>
      <c r="T14995" s="603"/>
      <c r="V14995" s="603">
        <v>381</v>
      </c>
    </row>
    <row r="14996" spans="1:22" ht="15" customHeight="1" x14ac:dyDescent="0.3">
      <c r="A14996" s="603" t="s">
        <v>197</v>
      </c>
      <c r="E14996" s="1993" t="s">
        <v>2393</v>
      </c>
      <c r="F14996" s="1994"/>
      <c r="G14996" s="1994"/>
      <c r="H14996" s="1994"/>
      <c r="K14996" s="603" t="s">
        <v>2736</v>
      </c>
      <c r="S14996" s="603"/>
      <c r="T14996" s="603"/>
      <c r="V14996" s="603">
        <v>387</v>
      </c>
    </row>
    <row r="14997" spans="1:22" ht="15" customHeight="1" x14ac:dyDescent="0.3">
      <c r="A14997" s="603" t="s">
        <v>197</v>
      </c>
      <c r="E14997" s="1993" t="s">
        <v>4869</v>
      </c>
      <c r="F14997" s="1994"/>
      <c r="G14997" s="1994"/>
      <c r="H14997" s="1994"/>
      <c r="K14997" s="603" t="s">
        <v>2736</v>
      </c>
      <c r="S14997" s="603"/>
      <c r="T14997" s="603"/>
      <c r="V14997" s="603">
        <v>293</v>
      </c>
    </row>
    <row r="14998" spans="1:22" ht="14.4" x14ac:dyDescent="0.3">
      <c r="A14998" s="603" t="s">
        <v>197</v>
      </c>
      <c r="E14998" s="722" t="s">
        <v>2394</v>
      </c>
      <c r="F14998" s="1192"/>
      <c r="G14998" s="1192"/>
      <c r="H14998" s="1192"/>
      <c r="K14998" s="603" t="s">
        <v>2431</v>
      </c>
      <c r="S14998" s="603"/>
      <c r="T14998" s="603"/>
      <c r="V14998" s="603">
        <v>46</v>
      </c>
    </row>
    <row r="14999" spans="1:22" ht="14.4" x14ac:dyDescent="0.2">
      <c r="A14999" s="603" t="s">
        <v>197</v>
      </c>
      <c r="E14999" s="1995" t="s">
        <v>8</v>
      </c>
      <c r="F14999" s="1995"/>
      <c r="G14999" s="393" t="s">
        <v>19</v>
      </c>
      <c r="H14999" s="964">
        <v>2.14</v>
      </c>
      <c r="K14999" s="603" t="s">
        <v>2736</v>
      </c>
      <c r="L14999" s="603" t="s">
        <v>430</v>
      </c>
      <c r="P14999" s="603" t="s">
        <v>2737</v>
      </c>
      <c r="S14999" s="603"/>
      <c r="T14999" s="603"/>
      <c r="V14999" s="603">
        <v>31</v>
      </c>
    </row>
    <row r="15000" spans="1:22" ht="15" customHeight="1" x14ac:dyDescent="0.2">
      <c r="A15000" s="603" t="s">
        <v>197</v>
      </c>
      <c r="E15000" s="1995" t="s">
        <v>4890</v>
      </c>
      <c r="F15000" s="1995"/>
      <c r="G15000" s="393" t="s">
        <v>19</v>
      </c>
      <c r="H15000" s="964">
        <v>0.21</v>
      </c>
      <c r="K15000" s="603" t="s">
        <v>2736</v>
      </c>
      <c r="L15000" s="603" t="s">
        <v>431</v>
      </c>
      <c r="P15000" s="603" t="s">
        <v>4958</v>
      </c>
      <c r="S15000" s="603"/>
      <c r="T15000" s="603"/>
      <c r="V15000" s="603">
        <v>135</v>
      </c>
    </row>
    <row r="15001" spans="1:22" ht="14.4" x14ac:dyDescent="0.2">
      <c r="A15001" s="603" t="s">
        <v>197</v>
      </c>
      <c r="E15001" s="1990" t="s">
        <v>80</v>
      </c>
      <c r="F15001" s="1990"/>
      <c r="G15001" s="393" t="s">
        <v>29</v>
      </c>
      <c r="H15001" s="965">
        <v>17.257100000000001</v>
      </c>
      <c r="K15001" s="603" t="s">
        <v>2736</v>
      </c>
      <c r="L15001" s="603" t="s">
        <v>430</v>
      </c>
      <c r="P15001" s="603" t="s">
        <v>2738</v>
      </c>
      <c r="S15001" s="603"/>
      <c r="T15001" s="603"/>
      <c r="V15001" s="603">
        <v>28</v>
      </c>
    </row>
    <row r="15002" spans="1:22" ht="14.4" x14ac:dyDescent="0.2">
      <c r="A15002" s="603" t="s">
        <v>197</v>
      </c>
      <c r="E15002" s="1990" t="s">
        <v>14</v>
      </c>
      <c r="F15002" s="1990"/>
      <c r="G15002" s="393" t="s">
        <v>29</v>
      </c>
      <c r="H15002" s="965">
        <v>1.0684</v>
      </c>
      <c r="I15002" s="603" t="str">
        <f>IF(LEN(H15002)&gt;6, "fix", "")</f>
        <v/>
      </c>
      <c r="K15002" s="603" t="s">
        <v>2736</v>
      </c>
      <c r="L15002" s="603" t="s">
        <v>431</v>
      </c>
      <c r="P15002" s="603" t="s">
        <v>2739</v>
      </c>
      <c r="S15002" s="603"/>
      <c r="T15002" s="603"/>
      <c r="V15002" s="603">
        <v>24</v>
      </c>
    </row>
    <row r="15003" spans="1:22" ht="15" customHeight="1" x14ac:dyDescent="0.2">
      <c r="A15003" s="603" t="s">
        <v>197</v>
      </c>
      <c r="E15003" s="1995" t="s">
        <v>4890</v>
      </c>
      <c r="F15003" s="1995"/>
      <c r="G15003" s="393" t="s">
        <v>29</v>
      </c>
      <c r="H15003" s="965">
        <v>1.6991000000000001</v>
      </c>
      <c r="K15003" s="603" t="s">
        <v>2736</v>
      </c>
      <c r="L15003" s="603" t="s">
        <v>431</v>
      </c>
      <c r="P15003" s="603" t="s">
        <v>4959</v>
      </c>
      <c r="S15003" s="603"/>
      <c r="T15003" s="603"/>
      <c r="V15003" s="603">
        <v>135</v>
      </c>
    </row>
    <row r="15004" spans="1:22" ht="14.4" x14ac:dyDescent="0.2">
      <c r="A15004" s="603" t="s">
        <v>197</v>
      </c>
      <c r="E15004" s="1990" t="s">
        <v>213</v>
      </c>
      <c r="F15004" s="1990"/>
      <c r="G15004" s="393" t="s">
        <v>29</v>
      </c>
      <c r="H15004" s="965">
        <v>1.7951095577794207</v>
      </c>
      <c r="K15004" s="603" t="s">
        <v>2736</v>
      </c>
      <c r="L15004" s="603" t="s">
        <v>432</v>
      </c>
      <c r="P15004" s="603" t="s">
        <v>2741</v>
      </c>
      <c r="S15004" s="603"/>
      <c r="T15004" s="603"/>
      <c r="V15004" s="603">
        <v>47</v>
      </c>
    </row>
    <row r="15005" spans="1:22" ht="14.4" x14ac:dyDescent="0.2">
      <c r="A15005" s="603" t="s">
        <v>197</v>
      </c>
      <c r="E15005" s="1990" t="s">
        <v>209</v>
      </c>
      <c r="F15005" s="1990"/>
      <c r="G15005" s="393" t="s">
        <v>29</v>
      </c>
      <c r="H15005" s="965">
        <v>1.0999889341114812</v>
      </c>
      <c r="K15005" s="603" t="s">
        <v>2736</v>
      </c>
      <c r="L15005" s="603" t="s">
        <v>432</v>
      </c>
      <c r="P15005" s="603" t="s">
        <v>2742</v>
      </c>
      <c r="S15005" s="603"/>
      <c r="T15005" s="603"/>
      <c r="V15005" s="603">
        <v>74</v>
      </c>
    </row>
    <row r="15006" spans="1:22" ht="14.4" x14ac:dyDescent="0.3">
      <c r="A15006" s="603" t="s">
        <v>197</v>
      </c>
      <c r="E15006" s="722" t="s">
        <v>2405</v>
      </c>
      <c r="F15006" s="1192"/>
      <c r="G15006" s="1192"/>
      <c r="H15006" s="1192"/>
      <c r="K15006" s="603" t="s">
        <v>2438</v>
      </c>
      <c r="S15006" s="603"/>
      <c r="T15006" s="603"/>
      <c r="V15006" s="603">
        <v>48</v>
      </c>
    </row>
    <row r="15007" spans="1:22" ht="14.4" x14ac:dyDescent="0.3">
      <c r="A15007" s="603" t="s">
        <v>197</v>
      </c>
      <c r="E15007" s="1990" t="s">
        <v>27</v>
      </c>
      <c r="F15007" s="1918"/>
      <c r="G15007" s="393" t="s">
        <v>20</v>
      </c>
      <c r="H15007" s="965">
        <v>4.4000000000000003E-3</v>
      </c>
      <c r="K15007" s="603" t="s">
        <v>2736</v>
      </c>
      <c r="L15007" s="603" t="s">
        <v>2374</v>
      </c>
      <c r="P15007" s="603" t="s">
        <v>2743</v>
      </c>
      <c r="S15007" s="603"/>
      <c r="T15007" s="603"/>
      <c r="V15007" s="603">
        <v>29</v>
      </c>
    </row>
    <row r="15008" spans="1:22" ht="14.4" x14ac:dyDescent="0.3">
      <c r="A15008" s="603" t="s">
        <v>197</v>
      </c>
      <c r="E15008" s="1990" t="s">
        <v>428</v>
      </c>
      <c r="F15008" s="1918"/>
      <c r="G15008" s="393" t="s">
        <v>20</v>
      </c>
      <c r="H15008" s="965">
        <v>1.2999999999999999E-3</v>
      </c>
      <c r="K15008" s="603" t="s">
        <v>2736</v>
      </c>
      <c r="L15008" s="603" t="s">
        <v>2374</v>
      </c>
      <c r="P15008" s="603" t="s">
        <v>2744</v>
      </c>
      <c r="S15008" s="603"/>
      <c r="T15008" s="603"/>
      <c r="V15008" s="603">
        <v>57</v>
      </c>
    </row>
    <row r="15009" spans="1:22" ht="14.4" x14ac:dyDescent="0.3">
      <c r="A15009" s="603" t="s">
        <v>197</v>
      </c>
      <c r="E15009" s="1990" t="s">
        <v>28</v>
      </c>
      <c r="F15009" s="1918"/>
      <c r="G15009" s="393" t="s">
        <v>19</v>
      </c>
      <c r="H15009" s="964">
        <v>0.25</v>
      </c>
      <c r="K15009" s="603" t="s">
        <v>2736</v>
      </c>
      <c r="L15009" s="603" t="s">
        <v>2374</v>
      </c>
      <c r="P15009" s="603" t="s">
        <v>2745</v>
      </c>
      <c r="S15009" s="603"/>
      <c r="T15009" s="603"/>
      <c r="V15009" s="603">
        <v>63</v>
      </c>
    </row>
    <row r="15010" spans="1:22" ht="17.399999999999999" x14ac:dyDescent="0.3">
      <c r="A15010" s="603" t="s">
        <v>197</v>
      </c>
      <c r="E15010" s="963" t="s">
        <v>590</v>
      </c>
      <c r="F15010" s="1192"/>
      <c r="G15010" s="1192"/>
      <c r="H15010" s="1192"/>
      <c r="K15010" s="603" t="s">
        <v>2746</v>
      </c>
      <c r="S15010" s="603"/>
      <c r="T15010" s="603"/>
      <c r="V15010" s="603">
        <v>38</v>
      </c>
    </row>
    <row r="15011" spans="1:22" ht="15" customHeight="1" x14ac:dyDescent="0.3">
      <c r="A15011" s="603" t="s">
        <v>197</v>
      </c>
      <c r="E15011" s="1996" t="s">
        <v>4960</v>
      </c>
      <c r="F15011" s="1867"/>
      <c r="G15011" s="1867"/>
      <c r="H15011" s="1867"/>
      <c r="K15011" s="603" t="s">
        <v>2746</v>
      </c>
      <c r="S15011" s="603"/>
      <c r="T15011" s="603"/>
      <c r="V15011" s="603">
        <v>470</v>
      </c>
    </row>
    <row r="15012" spans="1:22" ht="14.4" x14ac:dyDescent="0.3">
      <c r="A15012" s="603" t="s">
        <v>197</v>
      </c>
      <c r="E15012" s="722" t="s">
        <v>2389</v>
      </c>
      <c r="F15012" s="1192"/>
      <c r="G15012" s="1192"/>
      <c r="H15012" s="1192"/>
      <c r="K15012" s="603" t="s">
        <v>2444</v>
      </c>
      <c r="S15012" s="603"/>
      <c r="T15012" s="603"/>
      <c r="V15012" s="603">
        <v>11</v>
      </c>
    </row>
    <row r="15013" spans="1:22" ht="15" customHeight="1" x14ac:dyDescent="0.3">
      <c r="A15013" s="603" t="s">
        <v>197</v>
      </c>
      <c r="E15013" s="1993" t="s">
        <v>4888</v>
      </c>
      <c r="F15013" s="1994"/>
      <c r="G15013" s="1994"/>
      <c r="H15013" s="1994"/>
      <c r="K15013" s="603" t="s">
        <v>2746</v>
      </c>
      <c r="S15013" s="603"/>
      <c r="T15013" s="603"/>
      <c r="V15013" s="603">
        <v>250</v>
      </c>
    </row>
    <row r="15014" spans="1:22" ht="15" customHeight="1" x14ac:dyDescent="0.3">
      <c r="A15014" s="603" t="s">
        <v>197</v>
      </c>
      <c r="E15014" s="1993" t="s">
        <v>4889</v>
      </c>
      <c r="F15014" s="1994"/>
      <c r="G15014" s="1994"/>
      <c r="H15014" s="1994"/>
      <c r="K15014" s="603" t="s">
        <v>2746</v>
      </c>
      <c r="S15014" s="603"/>
      <c r="T15014" s="603"/>
      <c r="V15014" s="603">
        <v>381</v>
      </c>
    </row>
    <row r="15015" spans="1:22" ht="15" customHeight="1" x14ac:dyDescent="0.3">
      <c r="A15015" s="603" t="s">
        <v>197</v>
      </c>
      <c r="E15015" s="1993" t="s">
        <v>2393</v>
      </c>
      <c r="F15015" s="1994"/>
      <c r="G15015" s="1994"/>
      <c r="H15015" s="1994"/>
      <c r="K15015" s="603" t="s">
        <v>2746</v>
      </c>
      <c r="S15015" s="603"/>
      <c r="T15015" s="603"/>
      <c r="V15015" s="603">
        <v>387</v>
      </c>
    </row>
    <row r="15016" spans="1:22" ht="15" customHeight="1" x14ac:dyDescent="0.3">
      <c r="A15016" s="603" t="s">
        <v>197</v>
      </c>
      <c r="E15016" s="1993" t="s">
        <v>4869</v>
      </c>
      <c r="F15016" s="1994"/>
      <c r="G15016" s="1994"/>
      <c r="H15016" s="1994"/>
      <c r="K15016" s="603" t="s">
        <v>2746</v>
      </c>
      <c r="S15016" s="603"/>
      <c r="T15016" s="603"/>
      <c r="V15016" s="603">
        <v>293</v>
      </c>
    </row>
    <row r="15017" spans="1:22" ht="14.4" x14ac:dyDescent="0.3">
      <c r="A15017" s="603" t="s">
        <v>197</v>
      </c>
      <c r="E15017" s="722" t="s">
        <v>2394</v>
      </c>
      <c r="F15017" s="1192"/>
      <c r="G15017" s="1192"/>
      <c r="H15017" s="1192"/>
      <c r="K15017" s="603" t="s">
        <v>2446</v>
      </c>
      <c r="S15017" s="603"/>
      <c r="T15017" s="603"/>
      <c r="V15017" s="603">
        <v>46</v>
      </c>
    </row>
    <row r="15018" spans="1:22" ht="14.4" x14ac:dyDescent="0.2">
      <c r="A15018" s="603" t="s">
        <v>197</v>
      </c>
      <c r="E15018" s="1995" t="s">
        <v>8</v>
      </c>
      <c r="F15018" s="1995"/>
      <c r="G15018" s="393" t="s">
        <v>19</v>
      </c>
      <c r="H15018" s="964">
        <v>1.99</v>
      </c>
      <c r="K15018" s="603" t="s">
        <v>2746</v>
      </c>
      <c r="L15018" s="603" t="s">
        <v>430</v>
      </c>
      <c r="P15018" s="603" t="s">
        <v>2747</v>
      </c>
      <c r="S15018" s="603"/>
      <c r="T15018" s="603"/>
      <c r="V15018" s="603">
        <v>31</v>
      </c>
    </row>
    <row r="15019" spans="1:22" ht="15" customHeight="1" x14ac:dyDescent="0.2">
      <c r="A15019" s="603" t="s">
        <v>197</v>
      </c>
      <c r="E15019" s="1995" t="s">
        <v>4890</v>
      </c>
      <c r="F15019" s="1995"/>
      <c r="G15019" s="393" t="s">
        <v>19</v>
      </c>
      <c r="H15019" s="964">
        <v>0.2</v>
      </c>
      <c r="K15019" s="603" t="s">
        <v>2746</v>
      </c>
      <c r="L15019" s="603" t="s">
        <v>431</v>
      </c>
      <c r="P15019" s="603" t="s">
        <v>4961</v>
      </c>
      <c r="S15019" s="603"/>
      <c r="T15019" s="603"/>
      <c r="V15019" s="603">
        <v>135</v>
      </c>
    </row>
    <row r="15020" spans="1:22" ht="14.4" x14ac:dyDescent="0.2">
      <c r="A15020" s="603" t="s">
        <v>197</v>
      </c>
      <c r="E15020" s="1990" t="s">
        <v>80</v>
      </c>
      <c r="F15020" s="1990"/>
      <c r="G15020" s="393" t="s">
        <v>29</v>
      </c>
      <c r="H15020" s="965">
        <v>25.080100000000002</v>
      </c>
      <c r="K15020" s="603" t="s">
        <v>2746</v>
      </c>
      <c r="L15020" s="603" t="s">
        <v>430</v>
      </c>
      <c r="P15020" s="603" t="s">
        <v>2748</v>
      </c>
      <c r="S15020" s="603"/>
      <c r="T15020" s="603"/>
      <c r="V15020" s="603">
        <v>28</v>
      </c>
    </row>
    <row r="15021" spans="1:22" ht="14.4" x14ac:dyDescent="0.2">
      <c r="A15021" s="603" t="s">
        <v>197</v>
      </c>
      <c r="E15021" s="1990" t="s">
        <v>14</v>
      </c>
      <c r="F15021" s="1990"/>
      <c r="G15021" s="393" t="s">
        <v>29</v>
      </c>
      <c r="H15021" s="965">
        <v>1.0466</v>
      </c>
      <c r="I15021" s="603" t="str">
        <f>IF(LEN(H15021)&gt;6, "fix", "")</f>
        <v/>
      </c>
      <c r="K15021" s="603" t="s">
        <v>2746</v>
      </c>
      <c r="L15021" s="603" t="s">
        <v>431</v>
      </c>
      <c r="P15021" s="603" t="s">
        <v>2749</v>
      </c>
      <c r="S15021" s="603"/>
      <c r="T15021" s="603"/>
      <c r="V15021" s="603">
        <v>24</v>
      </c>
    </row>
    <row r="15022" spans="1:22" ht="15" customHeight="1" x14ac:dyDescent="0.2">
      <c r="A15022" s="603" t="s">
        <v>197</v>
      </c>
      <c r="E15022" s="1995" t="s">
        <v>4890</v>
      </c>
      <c r="F15022" s="1995"/>
      <c r="G15022" s="393" t="s">
        <v>29</v>
      </c>
      <c r="H15022" s="965">
        <v>2.4693000000000001</v>
      </c>
      <c r="K15022" s="603" t="s">
        <v>2746</v>
      </c>
      <c r="L15022" s="603" t="s">
        <v>431</v>
      </c>
      <c r="P15022" s="603" t="s">
        <v>4962</v>
      </c>
      <c r="S15022" s="603"/>
      <c r="T15022" s="603"/>
      <c r="V15022" s="603">
        <v>135</v>
      </c>
    </row>
    <row r="15023" spans="1:22" ht="14.4" x14ac:dyDescent="0.2">
      <c r="A15023" s="603" t="s">
        <v>197</v>
      </c>
      <c r="E15023" s="1990" t="s">
        <v>213</v>
      </c>
      <c r="F15023" s="1990"/>
      <c r="G15023" s="393" t="s">
        <v>29</v>
      </c>
      <c r="H15023" s="965">
        <v>1.7860512187195465</v>
      </c>
      <c r="K15023" s="603" t="s">
        <v>2746</v>
      </c>
      <c r="L15023" s="603" t="s">
        <v>432</v>
      </c>
      <c r="P15023" s="603" t="s">
        <v>2751</v>
      </c>
      <c r="S15023" s="603"/>
      <c r="T15023" s="603"/>
      <c r="V15023" s="603">
        <v>47</v>
      </c>
    </row>
    <row r="15024" spans="1:22" ht="14.4" x14ac:dyDescent="0.2">
      <c r="A15024" s="603" t="s">
        <v>197</v>
      </c>
      <c r="E15024" s="1990" t="s">
        <v>209</v>
      </c>
      <c r="F15024" s="1990"/>
      <c r="G15024" s="393" t="s">
        <v>29</v>
      </c>
      <c r="H15024" s="965">
        <v>1.0775202436278546</v>
      </c>
      <c r="K15024" s="603" t="s">
        <v>2746</v>
      </c>
      <c r="L15024" s="603" t="s">
        <v>432</v>
      </c>
      <c r="P15024" s="603" t="s">
        <v>2752</v>
      </c>
      <c r="S15024" s="603"/>
      <c r="T15024" s="603"/>
      <c r="V15024" s="603">
        <v>74</v>
      </c>
    </row>
    <row r="15025" spans="1:22" ht="14.4" x14ac:dyDescent="0.3">
      <c r="A15025" s="603" t="s">
        <v>197</v>
      </c>
      <c r="E15025" s="722" t="s">
        <v>2405</v>
      </c>
      <c r="F15025" s="1192"/>
      <c r="G15025" s="1192"/>
      <c r="H15025" s="1192"/>
      <c r="K15025" s="603" t="s">
        <v>2565</v>
      </c>
      <c r="S15025" s="603"/>
      <c r="T15025" s="603"/>
      <c r="V15025" s="603">
        <v>48</v>
      </c>
    </row>
    <row r="15026" spans="1:22" ht="14.4" x14ac:dyDescent="0.3">
      <c r="A15026" s="603" t="s">
        <v>197</v>
      </c>
      <c r="E15026" s="1990" t="s">
        <v>27</v>
      </c>
      <c r="F15026" s="1918"/>
      <c r="G15026" s="393" t="s">
        <v>20</v>
      </c>
      <c r="H15026" s="965">
        <v>4.4000000000000003E-3</v>
      </c>
      <c r="K15026" s="603" t="s">
        <v>2746</v>
      </c>
      <c r="L15026" s="603" t="s">
        <v>2374</v>
      </c>
      <c r="P15026" s="603" t="s">
        <v>2753</v>
      </c>
      <c r="S15026" s="603"/>
      <c r="T15026" s="603"/>
      <c r="V15026" s="603">
        <v>29</v>
      </c>
    </row>
    <row r="15027" spans="1:22" ht="14.4" x14ac:dyDescent="0.3">
      <c r="A15027" s="603" t="s">
        <v>197</v>
      </c>
      <c r="E15027" s="1990" t="s">
        <v>428</v>
      </c>
      <c r="F15027" s="1918"/>
      <c r="G15027" s="393" t="s">
        <v>20</v>
      </c>
      <c r="H15027" s="965">
        <v>1.2999999999999999E-3</v>
      </c>
      <c r="K15027" s="603" t="s">
        <v>2746</v>
      </c>
      <c r="L15027" s="603" t="s">
        <v>2374</v>
      </c>
      <c r="P15027" s="603" t="s">
        <v>2754</v>
      </c>
      <c r="S15027" s="603"/>
      <c r="T15027" s="603"/>
      <c r="V15027" s="603">
        <v>57</v>
      </c>
    </row>
    <row r="15028" spans="1:22" ht="14.4" x14ac:dyDescent="0.3">
      <c r="A15028" s="603" t="s">
        <v>197</v>
      </c>
      <c r="E15028" s="1990" t="s">
        <v>28</v>
      </c>
      <c r="F15028" s="1918"/>
      <c r="G15028" s="393" t="s">
        <v>19</v>
      </c>
      <c r="H15028" s="964">
        <v>0.25</v>
      </c>
      <c r="K15028" s="603" t="s">
        <v>2746</v>
      </c>
      <c r="L15028" s="603" t="s">
        <v>2374</v>
      </c>
      <c r="P15028" s="603" t="s">
        <v>2755</v>
      </c>
      <c r="S15028" s="603"/>
      <c r="T15028" s="603"/>
      <c r="V15028" s="603">
        <v>63</v>
      </c>
    </row>
    <row r="15029" spans="1:22" ht="17.399999999999999" x14ac:dyDescent="0.3">
      <c r="A15029" s="603" t="s">
        <v>197</v>
      </c>
      <c r="E15029" s="963" t="s">
        <v>593</v>
      </c>
      <c r="F15029" s="1192"/>
      <c r="G15029" s="1192"/>
      <c r="H15029" s="1192"/>
      <c r="K15029" s="603" t="s">
        <v>2756</v>
      </c>
      <c r="S15029" s="603"/>
      <c r="T15029" s="603"/>
      <c r="V15029" s="603">
        <v>31</v>
      </c>
    </row>
    <row r="15030" spans="1:22" ht="15" customHeight="1" x14ac:dyDescent="0.3">
      <c r="A15030" s="603" t="s">
        <v>197</v>
      </c>
      <c r="E15030" s="1996" t="s">
        <v>4873</v>
      </c>
      <c r="F15030" s="1867"/>
      <c r="G15030" s="1867"/>
      <c r="H15030" s="1867"/>
      <c r="K15030" s="603" t="s">
        <v>2756</v>
      </c>
      <c r="S15030" s="603"/>
      <c r="T15030" s="603"/>
      <c r="V15030" s="603">
        <v>270</v>
      </c>
    </row>
    <row r="15031" spans="1:22" ht="14.4" x14ac:dyDescent="0.3">
      <c r="A15031" s="603" t="s">
        <v>197</v>
      </c>
      <c r="E15031" s="722" t="s">
        <v>2389</v>
      </c>
      <c r="F15031" s="1192"/>
      <c r="G15031" s="1192"/>
      <c r="H15031" s="1192"/>
      <c r="K15031" s="603" t="s">
        <v>2571</v>
      </c>
      <c r="S15031" s="603"/>
      <c r="T15031" s="603"/>
      <c r="V15031" s="603">
        <v>11</v>
      </c>
    </row>
    <row r="15032" spans="1:22" ht="15" customHeight="1" x14ac:dyDescent="0.3">
      <c r="A15032" s="603" t="s">
        <v>197</v>
      </c>
      <c r="E15032" s="1993" t="s">
        <v>4888</v>
      </c>
      <c r="F15032" s="1994"/>
      <c r="G15032" s="1994"/>
      <c r="H15032" s="1994"/>
      <c r="K15032" s="603" t="s">
        <v>2756</v>
      </c>
      <c r="S15032" s="603"/>
      <c r="T15032" s="603"/>
      <c r="V15032" s="603">
        <v>250</v>
      </c>
    </row>
    <row r="15033" spans="1:22" ht="15" customHeight="1" x14ac:dyDescent="0.3">
      <c r="A15033" s="603" t="s">
        <v>197</v>
      </c>
      <c r="E15033" s="1993" t="s">
        <v>4889</v>
      </c>
      <c r="F15033" s="1994"/>
      <c r="G15033" s="1994"/>
      <c r="H15033" s="1994"/>
      <c r="K15033" s="603" t="s">
        <v>2756</v>
      </c>
      <c r="S15033" s="603"/>
      <c r="T15033" s="603"/>
      <c r="V15033" s="603">
        <v>381</v>
      </c>
    </row>
    <row r="15034" spans="1:22" ht="15" customHeight="1" x14ac:dyDescent="0.3">
      <c r="A15034" s="603" t="s">
        <v>197</v>
      </c>
      <c r="E15034" s="1993" t="s">
        <v>3124</v>
      </c>
      <c r="F15034" s="1994"/>
      <c r="G15034" s="1994"/>
      <c r="H15034" s="1994"/>
      <c r="K15034" s="603" t="s">
        <v>2756</v>
      </c>
      <c r="S15034" s="603"/>
      <c r="T15034" s="603"/>
      <c r="V15034" s="603">
        <v>212</v>
      </c>
    </row>
    <row r="15035" spans="1:22" ht="15" customHeight="1" x14ac:dyDescent="0.3">
      <c r="A15035" s="603" t="s">
        <v>197</v>
      </c>
      <c r="E15035" s="1993" t="s">
        <v>4869</v>
      </c>
      <c r="F15035" s="1994"/>
      <c r="G15035" s="1994"/>
      <c r="H15035" s="1994"/>
      <c r="K15035" s="603" t="s">
        <v>2756</v>
      </c>
      <c r="S15035" s="603"/>
      <c r="T15035" s="603"/>
      <c r="V15035" s="603">
        <v>293</v>
      </c>
    </row>
    <row r="15036" spans="1:22" ht="14.4" x14ac:dyDescent="0.3">
      <c r="A15036" s="603" t="s">
        <v>197</v>
      </c>
      <c r="E15036" s="722" t="s">
        <v>2394</v>
      </c>
      <c r="F15036" s="1192"/>
      <c r="G15036" s="1192"/>
      <c r="H15036" s="1192"/>
      <c r="K15036" s="603" t="s">
        <v>2572</v>
      </c>
      <c r="S15036" s="603"/>
      <c r="T15036" s="603"/>
      <c r="V15036" s="603">
        <v>46</v>
      </c>
    </row>
    <row r="15037" spans="1:22" ht="14.4" x14ac:dyDescent="0.2">
      <c r="A15037" s="603" t="s">
        <v>197</v>
      </c>
      <c r="E15037" s="1995" t="s">
        <v>7</v>
      </c>
      <c r="F15037" s="1995"/>
      <c r="G15037" s="393" t="s">
        <v>19</v>
      </c>
      <c r="H15037" s="964">
        <v>5.4</v>
      </c>
      <c r="K15037" s="603" t="s">
        <v>2756</v>
      </c>
      <c r="L15037" s="603" t="s">
        <v>430</v>
      </c>
      <c r="P15037" s="603" t="s">
        <v>2757</v>
      </c>
      <c r="S15037" s="603"/>
      <c r="T15037" s="603"/>
      <c r="V15037" s="603">
        <v>14</v>
      </c>
    </row>
    <row r="15038" spans="1:22" ht="17.399999999999999" x14ac:dyDescent="0.3">
      <c r="A15038" s="603" t="s">
        <v>197</v>
      </c>
      <c r="E15038" s="963" t="s">
        <v>81</v>
      </c>
      <c r="F15038" s="1192"/>
      <c r="G15038" s="1192"/>
      <c r="H15038" s="1192"/>
      <c r="K15038" s="603" t="s">
        <v>4963</v>
      </c>
      <c r="S15038" s="603"/>
      <c r="T15038" s="603"/>
      <c r="V15038" s="603">
        <v>10</v>
      </c>
    </row>
    <row r="15039" spans="1:22" ht="14.4" x14ac:dyDescent="0.2">
      <c r="A15039" s="603" t="s">
        <v>197</v>
      </c>
      <c r="E15039" s="393" t="s">
        <v>2449</v>
      </c>
      <c r="F15039" s="393"/>
      <c r="G15039" s="393" t="s">
        <v>29</v>
      </c>
      <c r="H15039" s="964">
        <v>-0.6</v>
      </c>
      <c r="I15039" s="966" t="str">
        <f>IF(LEN(H15039)&gt;4, "fix", "")</f>
        <v/>
      </c>
      <c r="S15039" s="603"/>
      <c r="T15039" s="603"/>
      <c r="V15039" s="603">
        <v>68</v>
      </c>
    </row>
    <row r="15040" spans="1:22" ht="15" customHeight="1" x14ac:dyDescent="0.2">
      <c r="A15040" s="603" t="s">
        <v>197</v>
      </c>
      <c r="E15040" s="1740" t="s">
        <v>2450</v>
      </c>
      <c r="F15040" s="1740"/>
      <c r="G15040" s="393" t="s">
        <v>82</v>
      </c>
      <c r="H15040" s="964">
        <v>-1</v>
      </c>
      <c r="S15040" s="603"/>
      <c r="T15040" s="603"/>
      <c r="V15040" s="603">
        <v>89</v>
      </c>
    </row>
    <row r="15041" spans="1:22" ht="17.399999999999999" x14ac:dyDescent="0.3">
      <c r="A15041" s="603" t="s">
        <v>197</v>
      </c>
      <c r="E15041" s="963" t="s">
        <v>83</v>
      </c>
      <c r="F15041" s="1192"/>
      <c r="G15041" s="1192"/>
      <c r="H15041" s="1192"/>
      <c r="K15041" s="603" t="s">
        <v>4964</v>
      </c>
      <c r="S15041" s="603"/>
      <c r="T15041" s="603"/>
      <c r="V15041" s="603">
        <v>24</v>
      </c>
    </row>
    <row r="15042" spans="1:22" ht="15" customHeight="1" x14ac:dyDescent="0.3">
      <c r="A15042" s="603" t="s">
        <v>197</v>
      </c>
      <c r="E15042" s="1993" t="s">
        <v>4443</v>
      </c>
      <c r="F15042" s="1994"/>
      <c r="G15042" s="1994"/>
      <c r="H15042" s="1994"/>
      <c r="S15042" s="603"/>
      <c r="T15042" s="603"/>
      <c r="V15042" s="603">
        <v>250</v>
      </c>
    </row>
    <row r="15043" spans="1:22" ht="15" customHeight="1" x14ac:dyDescent="0.3">
      <c r="A15043" s="603" t="s">
        <v>197</v>
      </c>
      <c r="E15043" s="1993" t="s">
        <v>4876</v>
      </c>
      <c r="F15043" s="1994"/>
      <c r="G15043" s="1994"/>
      <c r="H15043" s="1994"/>
      <c r="S15043" s="603"/>
      <c r="T15043" s="603"/>
      <c r="V15043" s="603">
        <v>325</v>
      </c>
    </row>
    <row r="15044" spans="1:22" ht="15" customHeight="1" x14ac:dyDescent="0.3">
      <c r="A15044" s="603" t="s">
        <v>197</v>
      </c>
      <c r="E15044" s="1993" t="s">
        <v>4877</v>
      </c>
      <c r="F15044" s="1994"/>
      <c r="G15044" s="1994"/>
      <c r="H15044" s="1994"/>
      <c r="S15044" s="603"/>
      <c r="T15044" s="603"/>
      <c r="V15044" s="603">
        <v>294</v>
      </c>
    </row>
    <row r="15045" spans="1:22" ht="14.4" x14ac:dyDescent="0.3">
      <c r="A15045" s="603" t="s">
        <v>197</v>
      </c>
      <c r="E15045" s="722" t="s">
        <v>2453</v>
      </c>
      <c r="F15045" s="1192"/>
      <c r="G15045" s="1192"/>
      <c r="H15045" s="1192"/>
      <c r="K15045" s="603" t="s">
        <v>4965</v>
      </c>
      <c r="S15045" s="603"/>
      <c r="T15045" s="603"/>
      <c r="V15045" s="603">
        <v>23</v>
      </c>
    </row>
    <row r="15046" spans="1:22" ht="14.4" x14ac:dyDescent="0.2">
      <c r="A15046" s="603" t="s">
        <v>197</v>
      </c>
      <c r="E15046" s="1997" t="s">
        <v>2639</v>
      </c>
      <c r="F15046" s="1997"/>
      <c r="G15046" s="393" t="s">
        <v>19</v>
      </c>
      <c r="H15046" s="964">
        <v>15</v>
      </c>
      <c r="S15046" s="603"/>
      <c r="T15046" s="603"/>
      <c r="V15046" s="603">
        <v>19</v>
      </c>
    </row>
    <row r="15047" spans="1:22" ht="14.4" x14ac:dyDescent="0.2">
      <c r="A15047" s="603" t="s">
        <v>197</v>
      </c>
      <c r="E15047" s="1997" t="s">
        <v>2463</v>
      </c>
      <c r="F15047" s="1997"/>
      <c r="G15047" s="393" t="s">
        <v>19</v>
      </c>
      <c r="H15047" s="964">
        <v>15</v>
      </c>
      <c r="S15047" s="603"/>
      <c r="T15047" s="603"/>
      <c r="V15047" s="603">
        <v>15</v>
      </c>
    </row>
    <row r="15048" spans="1:22" ht="14.4" x14ac:dyDescent="0.2">
      <c r="A15048" s="603" t="s">
        <v>197</v>
      </c>
      <c r="E15048" s="1997" t="s">
        <v>2465</v>
      </c>
      <c r="F15048" s="1997"/>
      <c r="G15048" s="393" t="s">
        <v>19</v>
      </c>
      <c r="H15048" s="964">
        <v>15</v>
      </c>
      <c r="S15048" s="603"/>
      <c r="T15048" s="603"/>
      <c r="V15048" s="603">
        <v>35</v>
      </c>
    </row>
    <row r="15049" spans="1:22" ht="14.4" x14ac:dyDescent="0.2">
      <c r="A15049" s="603" t="s">
        <v>197</v>
      </c>
      <c r="E15049" s="1997" t="s">
        <v>84</v>
      </c>
      <c r="F15049" s="1997"/>
      <c r="G15049" s="393" t="s">
        <v>19</v>
      </c>
      <c r="H15049" s="964">
        <v>30</v>
      </c>
      <c r="S15049" s="603"/>
      <c r="T15049" s="603"/>
      <c r="V15049" s="603">
        <v>89</v>
      </c>
    </row>
    <row r="15050" spans="1:22" ht="14.4" x14ac:dyDescent="0.2">
      <c r="A15050" s="603" t="s">
        <v>197</v>
      </c>
      <c r="E15050" s="1997" t="s">
        <v>90</v>
      </c>
      <c r="F15050" s="1997"/>
      <c r="G15050" s="393" t="s">
        <v>19</v>
      </c>
      <c r="H15050" s="964">
        <v>30</v>
      </c>
      <c r="S15050" s="603"/>
      <c r="T15050" s="603"/>
      <c r="V15050" s="603">
        <v>19</v>
      </c>
    </row>
    <row r="15051" spans="1:22" ht="14.4" x14ac:dyDescent="0.2">
      <c r="A15051" s="603" t="s">
        <v>197</v>
      </c>
      <c r="E15051" s="1997" t="s">
        <v>88</v>
      </c>
      <c r="F15051" s="1997"/>
      <c r="G15051" s="393" t="s">
        <v>19</v>
      </c>
      <c r="H15051" s="964">
        <v>30</v>
      </c>
      <c r="S15051" s="603"/>
      <c r="T15051" s="603"/>
      <c r="V15051" s="603">
        <v>74</v>
      </c>
    </row>
    <row r="15052" spans="1:22" ht="14.4" x14ac:dyDescent="0.3">
      <c r="A15052" s="603" t="s">
        <v>197</v>
      </c>
      <c r="E15052" s="722" t="s">
        <v>2468</v>
      </c>
      <c r="F15052" s="1192"/>
      <c r="G15052" s="1192"/>
      <c r="H15052" s="1192"/>
      <c r="K15052" s="603" t="s">
        <v>4966</v>
      </c>
      <c r="S15052" s="603"/>
      <c r="T15052" s="603"/>
      <c r="V15052" s="603">
        <v>22</v>
      </c>
    </row>
    <row r="15053" spans="1:22" ht="14.4" x14ac:dyDescent="0.2">
      <c r="A15053" s="603" t="s">
        <v>197</v>
      </c>
      <c r="E15053" s="1997" t="s">
        <v>2470</v>
      </c>
      <c r="F15053" s="1997"/>
      <c r="G15053" s="393" t="s">
        <v>82</v>
      </c>
      <c r="H15053" s="964">
        <v>1.5</v>
      </c>
      <c r="S15053" s="603"/>
      <c r="T15053" s="603"/>
      <c r="V15053" s="603">
        <v>24</v>
      </c>
    </row>
    <row r="15054" spans="1:22" ht="14.4" x14ac:dyDescent="0.2">
      <c r="A15054" s="603" t="s">
        <v>197</v>
      </c>
      <c r="E15054" s="1997" t="s">
        <v>2471</v>
      </c>
      <c r="F15054" s="1997"/>
      <c r="G15054" s="393" t="s">
        <v>82</v>
      </c>
      <c r="H15054" s="964">
        <v>19.559999999999999</v>
      </c>
      <c r="S15054" s="603"/>
      <c r="T15054" s="603"/>
      <c r="V15054" s="603">
        <v>24</v>
      </c>
    </row>
    <row r="15055" spans="1:22" ht="14.4" x14ac:dyDescent="0.2">
      <c r="A15055" s="603" t="s">
        <v>197</v>
      </c>
      <c r="E15055" s="1997" t="s">
        <v>4967</v>
      </c>
      <c r="F15055" s="1997"/>
      <c r="G15055" s="393" t="s">
        <v>19</v>
      </c>
      <c r="H15055" s="964">
        <v>30</v>
      </c>
      <c r="S15055" s="603"/>
      <c r="T15055" s="603"/>
      <c r="V15055" s="603">
        <v>47</v>
      </c>
    </row>
    <row r="15056" spans="1:22" ht="14.4" x14ac:dyDescent="0.2">
      <c r="A15056" s="603" t="s">
        <v>197</v>
      </c>
      <c r="E15056" s="1997" t="s">
        <v>2472</v>
      </c>
      <c r="F15056" s="1997"/>
      <c r="G15056" s="393" t="s">
        <v>19</v>
      </c>
      <c r="H15056" s="964">
        <v>65</v>
      </c>
      <c r="S15056" s="603"/>
      <c r="T15056" s="603"/>
      <c r="V15056" s="603">
        <v>52</v>
      </c>
    </row>
    <row r="15057" spans="1:22" ht="14.4" x14ac:dyDescent="0.2">
      <c r="A15057" s="603" t="s">
        <v>197</v>
      </c>
      <c r="E15057" s="1997" t="s">
        <v>2473</v>
      </c>
      <c r="F15057" s="1997"/>
      <c r="G15057" s="393" t="s">
        <v>19</v>
      </c>
      <c r="H15057" s="964">
        <v>185</v>
      </c>
      <c r="S15057" s="603"/>
      <c r="T15057" s="603"/>
      <c r="V15057" s="603">
        <v>51</v>
      </c>
    </row>
    <row r="15058" spans="1:22" ht="14.4" x14ac:dyDescent="0.3">
      <c r="A15058" s="603" t="s">
        <v>197</v>
      </c>
      <c r="E15058" s="722" t="s">
        <v>3040</v>
      </c>
      <c r="F15058" s="1192"/>
      <c r="G15058" s="1192"/>
      <c r="H15058" s="1192"/>
      <c r="S15058" s="603"/>
      <c r="T15058" s="603"/>
      <c r="V15058" s="603">
        <v>6</v>
      </c>
    </row>
    <row r="15059" spans="1:22" ht="14.4" x14ac:dyDescent="0.2">
      <c r="A15059" s="603" t="s">
        <v>197</v>
      </c>
      <c r="E15059" s="1997" t="s">
        <v>2703</v>
      </c>
      <c r="F15059" s="1997"/>
      <c r="G15059" s="393" t="s">
        <v>19</v>
      </c>
      <c r="H15059" s="964">
        <v>500</v>
      </c>
      <c r="S15059" s="603"/>
      <c r="T15059" s="603"/>
      <c r="V15059" s="603">
        <v>64</v>
      </c>
    </row>
    <row r="15060" spans="1:22" ht="14.4" x14ac:dyDescent="0.2">
      <c r="A15060" s="603" t="s">
        <v>197</v>
      </c>
      <c r="E15060" s="1997" t="s">
        <v>2758</v>
      </c>
      <c r="F15060" s="1997"/>
      <c r="G15060" s="393" t="s">
        <v>19</v>
      </c>
      <c r="H15060" s="964">
        <v>300</v>
      </c>
      <c r="S15060" s="603"/>
      <c r="T15060" s="603"/>
      <c r="V15060" s="603">
        <v>67</v>
      </c>
    </row>
    <row r="15061" spans="1:22" ht="14.4" x14ac:dyDescent="0.2">
      <c r="A15061" s="603" t="s">
        <v>197</v>
      </c>
      <c r="E15061" s="1997" t="s">
        <v>2760</v>
      </c>
      <c r="F15061" s="1997"/>
      <c r="G15061" s="393" t="s">
        <v>19</v>
      </c>
      <c r="H15061" s="964">
        <v>22.35</v>
      </c>
      <c r="S15061" s="603"/>
      <c r="T15061" s="603"/>
      <c r="V15061" s="603">
        <v>59</v>
      </c>
    </row>
    <row r="15062" spans="1:22" ht="17.399999999999999" x14ac:dyDescent="0.3">
      <c r="A15062" s="603" t="s">
        <v>197</v>
      </c>
      <c r="E15062" s="963" t="s">
        <v>73</v>
      </c>
      <c r="F15062" s="1192"/>
      <c r="G15062" s="1192"/>
      <c r="H15062" s="1192"/>
      <c r="K15062" s="603" t="s">
        <v>4968</v>
      </c>
      <c r="S15062" s="603"/>
      <c r="T15062" s="603"/>
      <c r="V15062" s="603">
        <v>38</v>
      </c>
    </row>
    <row r="15063" spans="1:22" ht="15.75" customHeight="1" x14ac:dyDescent="0.3">
      <c r="A15063" s="603" t="s">
        <v>197</v>
      </c>
      <c r="E15063" s="1991" t="s">
        <v>4880</v>
      </c>
      <c r="F15063" s="1918"/>
      <c r="G15063" s="1918"/>
      <c r="H15063" s="1918"/>
      <c r="S15063" s="603"/>
      <c r="T15063" s="603"/>
      <c r="V15063" s="603">
        <v>251</v>
      </c>
    </row>
    <row r="15064" spans="1:22" ht="15.75" customHeight="1" x14ac:dyDescent="0.3">
      <c r="A15064" s="603" t="s">
        <v>197</v>
      </c>
      <c r="E15064" s="1991" t="s">
        <v>4881</v>
      </c>
      <c r="F15064" s="1918"/>
      <c r="G15064" s="1918"/>
      <c r="H15064" s="1918"/>
      <c r="S15064" s="603"/>
      <c r="T15064" s="603"/>
      <c r="V15064" s="603">
        <v>384</v>
      </c>
    </row>
    <row r="15065" spans="1:22" ht="15.75" customHeight="1" x14ac:dyDescent="0.3">
      <c r="A15065" s="603" t="s">
        <v>197</v>
      </c>
      <c r="E15065" s="1991" t="s">
        <v>2445</v>
      </c>
      <c r="F15065" s="1918"/>
      <c r="G15065" s="1918"/>
      <c r="H15065" s="1918"/>
      <c r="S15065" s="603"/>
      <c r="T15065" s="603"/>
      <c r="V15065" s="603">
        <v>211</v>
      </c>
    </row>
    <row r="15066" spans="1:22" ht="15.75" customHeight="1" x14ac:dyDescent="0.3">
      <c r="A15066" s="603" t="s">
        <v>197</v>
      </c>
      <c r="E15066" s="1991" t="s">
        <v>4882</v>
      </c>
      <c r="F15066" s="1918"/>
      <c r="G15066" s="1918"/>
      <c r="H15066" s="1918"/>
      <c r="S15066" s="603"/>
      <c r="T15066" s="603"/>
      <c r="V15066" s="603">
        <v>296</v>
      </c>
    </row>
    <row r="15067" spans="1:22" ht="15.75" customHeight="1" x14ac:dyDescent="0.3">
      <c r="A15067" s="603" t="s">
        <v>197</v>
      </c>
      <c r="E15067" s="1991" t="s">
        <v>2595</v>
      </c>
      <c r="F15067" s="1918"/>
      <c r="G15067" s="1918"/>
      <c r="H15067" s="1918"/>
      <c r="S15067" s="603"/>
      <c r="T15067" s="603"/>
      <c r="V15067" s="603">
        <v>142</v>
      </c>
    </row>
    <row r="15068" spans="1:22" ht="14.4" x14ac:dyDescent="0.2">
      <c r="A15068" s="603" t="s">
        <v>197</v>
      </c>
      <c r="E15068" s="393" t="s">
        <v>2485</v>
      </c>
      <c r="F15068" s="393"/>
      <c r="G15068" s="393" t="s">
        <v>19</v>
      </c>
      <c r="H15068" s="968">
        <v>100</v>
      </c>
      <c r="S15068" s="603"/>
      <c r="T15068" s="603"/>
      <c r="V15068" s="603">
        <v>106</v>
      </c>
    </row>
    <row r="15069" spans="1:22" ht="14.4" x14ac:dyDescent="0.2">
      <c r="A15069" s="603" t="s">
        <v>197</v>
      </c>
      <c r="E15069" s="393" t="s">
        <v>2486</v>
      </c>
      <c r="F15069" s="393"/>
      <c r="G15069" s="393" t="s">
        <v>19</v>
      </c>
      <c r="H15069" s="968">
        <v>20</v>
      </c>
      <c r="S15069" s="603"/>
      <c r="T15069" s="603"/>
      <c r="V15069" s="603">
        <v>34</v>
      </c>
    </row>
    <row r="15070" spans="1:22" ht="14.4" x14ac:dyDescent="0.2">
      <c r="A15070" s="603" t="s">
        <v>197</v>
      </c>
      <c r="E15070" s="1990" t="s">
        <v>2487</v>
      </c>
      <c r="F15070" s="1990"/>
      <c r="G15070" s="393" t="s">
        <v>2488</v>
      </c>
      <c r="H15070" s="968">
        <v>0.5</v>
      </c>
      <c r="S15070" s="603"/>
      <c r="T15070" s="603"/>
      <c r="V15070" s="603">
        <v>51</v>
      </c>
    </row>
    <row r="15071" spans="1:22" ht="14.4" x14ac:dyDescent="0.2">
      <c r="A15071" s="603" t="s">
        <v>197</v>
      </c>
      <c r="E15071" s="1990" t="s">
        <v>2489</v>
      </c>
      <c r="F15071" s="1990"/>
      <c r="G15071" s="393" t="s">
        <v>2488</v>
      </c>
      <c r="H15071" s="968">
        <v>0.3</v>
      </c>
      <c r="S15071" s="603"/>
      <c r="T15071" s="603"/>
      <c r="V15071" s="603">
        <v>75</v>
      </c>
    </row>
    <row r="15072" spans="1:22" ht="14.4" x14ac:dyDescent="0.2">
      <c r="A15072" s="603" t="s">
        <v>197</v>
      </c>
      <c r="E15072" s="1990" t="s">
        <v>2490</v>
      </c>
      <c r="F15072" s="1990"/>
      <c r="G15072" s="393" t="s">
        <v>2488</v>
      </c>
      <c r="H15072" s="968">
        <v>-0.3</v>
      </c>
      <c r="S15072" s="603"/>
      <c r="T15072" s="603"/>
      <c r="V15072" s="603">
        <v>72</v>
      </c>
    </row>
    <row r="15073" spans="1:22" ht="14.4" x14ac:dyDescent="0.2">
      <c r="A15073" s="603" t="s">
        <v>197</v>
      </c>
      <c r="E15073" s="1990" t="s">
        <v>2491</v>
      </c>
      <c r="F15073" s="1990"/>
      <c r="G15073" s="393"/>
      <c r="H15073" s="969"/>
      <c r="S15073" s="603"/>
      <c r="T15073" s="603"/>
      <c r="V15073" s="603">
        <v>35</v>
      </c>
    </row>
    <row r="15074" spans="1:22" ht="14.4" x14ac:dyDescent="0.2">
      <c r="A15074" s="603" t="s">
        <v>197</v>
      </c>
      <c r="E15074" s="1992" t="s">
        <v>2492</v>
      </c>
      <c r="F15074" s="1990"/>
      <c r="G15074" s="393" t="s">
        <v>19</v>
      </c>
      <c r="H15074" s="968">
        <v>0.25</v>
      </c>
      <c r="S15074" s="603"/>
      <c r="T15074" s="603"/>
      <c r="V15074" s="603">
        <v>57</v>
      </c>
    </row>
    <row r="15075" spans="1:22" ht="14.4" x14ac:dyDescent="0.2">
      <c r="A15075" s="603" t="s">
        <v>197</v>
      </c>
      <c r="E15075" s="1992" t="s">
        <v>2493</v>
      </c>
      <c r="F15075" s="1990"/>
      <c r="G15075" s="393" t="s">
        <v>19</v>
      </c>
      <c r="H15075" s="968">
        <v>0.5</v>
      </c>
      <c r="S15075" s="603"/>
      <c r="T15075" s="603"/>
      <c r="V15075" s="603">
        <v>60</v>
      </c>
    </row>
    <row r="15076" spans="1:22" ht="14.4" x14ac:dyDescent="0.2">
      <c r="A15076" s="603" t="s">
        <v>197</v>
      </c>
      <c r="E15076" s="1990" t="s">
        <v>2494</v>
      </c>
      <c r="F15076" s="1990"/>
      <c r="G15076" s="393"/>
      <c r="H15076" s="969"/>
      <c r="S15076" s="603"/>
      <c r="T15076" s="603"/>
      <c r="V15076" s="603">
        <v>91</v>
      </c>
    </row>
    <row r="15077" spans="1:22" ht="14.4" x14ac:dyDescent="0.2">
      <c r="A15077" s="603" t="s">
        <v>197</v>
      </c>
      <c r="E15077" s="1990" t="s">
        <v>2495</v>
      </c>
      <c r="F15077" s="1990"/>
      <c r="G15077" s="393"/>
      <c r="H15077" s="969"/>
      <c r="S15077" s="603"/>
      <c r="T15077" s="603"/>
      <c r="V15077" s="603">
        <v>96</v>
      </c>
    </row>
    <row r="15078" spans="1:22" ht="14.4" x14ac:dyDescent="0.2">
      <c r="A15078" s="603" t="s">
        <v>197</v>
      </c>
      <c r="E15078" s="1990" t="s">
        <v>2496</v>
      </c>
      <c r="F15078" s="1990"/>
      <c r="G15078" s="393"/>
      <c r="H15078" s="969"/>
      <c r="S15078" s="603"/>
      <c r="T15078" s="603"/>
      <c r="V15078" s="603">
        <v>78</v>
      </c>
    </row>
    <row r="15079" spans="1:22" ht="14.4" x14ac:dyDescent="0.2">
      <c r="A15079" s="603" t="s">
        <v>197</v>
      </c>
      <c r="E15079" s="1992" t="s">
        <v>2497</v>
      </c>
      <c r="F15079" s="1990"/>
      <c r="G15079" s="393" t="s">
        <v>19</v>
      </c>
      <c r="H15079" s="969" t="s">
        <v>2498</v>
      </c>
      <c r="S15079" s="603"/>
      <c r="T15079" s="603"/>
      <c r="V15079" s="603">
        <v>18</v>
      </c>
    </row>
    <row r="15080" spans="1:22" ht="14.4" x14ac:dyDescent="0.2">
      <c r="A15080" s="603" t="s">
        <v>197</v>
      </c>
      <c r="E15080" s="1992" t="s">
        <v>2499</v>
      </c>
      <c r="F15080" s="1990"/>
      <c r="G15080" s="393" t="s">
        <v>19</v>
      </c>
      <c r="H15080" s="968">
        <v>2</v>
      </c>
      <c r="S15080" s="603"/>
      <c r="T15080" s="603"/>
      <c r="V15080" s="603">
        <v>69</v>
      </c>
    </row>
    <row r="15081" spans="1:22" ht="17.399999999999999" x14ac:dyDescent="0.3">
      <c r="A15081" s="603" t="s">
        <v>197</v>
      </c>
      <c r="E15081" s="963" t="s">
        <v>143</v>
      </c>
      <c r="F15081" s="1192"/>
      <c r="G15081" s="1192"/>
      <c r="H15081" s="1192"/>
      <c r="K15081" s="603" t="s">
        <v>4969</v>
      </c>
      <c r="S15081" s="603"/>
      <c r="T15081" s="603"/>
      <c r="V15081" s="603">
        <v>12</v>
      </c>
    </row>
    <row r="15082" spans="1:22" ht="15" customHeight="1" x14ac:dyDescent="0.3">
      <c r="A15082" s="603" t="s">
        <v>197</v>
      </c>
      <c r="E15082" s="1993" t="s">
        <v>2501</v>
      </c>
      <c r="F15082" s="1994"/>
      <c r="G15082" s="1994"/>
      <c r="H15082" s="1994"/>
      <c r="S15082" s="603"/>
      <c r="T15082" s="603"/>
      <c r="V15082" s="603">
        <v>203</v>
      </c>
    </row>
    <row r="15083" spans="1:22" ht="14.4" x14ac:dyDescent="0.2">
      <c r="A15083" s="603" t="s">
        <v>197</v>
      </c>
      <c r="E15083" s="1990" t="s">
        <v>2599</v>
      </c>
      <c r="F15083" s="1990"/>
      <c r="G15083" s="393"/>
      <c r="H15083" s="721">
        <v>1.0687</v>
      </c>
      <c r="S15083" s="603"/>
      <c r="T15083" s="603"/>
      <c r="V15083" s="603">
        <v>57</v>
      </c>
    </row>
    <row r="15084" spans="1:22" ht="14.4" x14ac:dyDescent="0.2">
      <c r="A15084" s="603" t="s">
        <v>197</v>
      </c>
      <c r="E15084" s="1990" t="s">
        <v>2601</v>
      </c>
      <c r="F15084" s="1990"/>
      <c r="G15084" s="393"/>
      <c r="H15084" s="721">
        <v>1.0587</v>
      </c>
      <c r="J15084" s="603" t="s">
        <v>4970</v>
      </c>
      <c r="S15084" s="603"/>
      <c r="T15084" s="603"/>
      <c r="V15084" s="603">
        <v>55</v>
      </c>
    </row>
    <row r="15085" spans="1:22" s="1192" customFormat="1" ht="22.8" x14ac:dyDescent="0.3">
      <c r="A15085" s="1192" t="s">
        <v>200</v>
      </c>
      <c r="C15085" s="1192" t="s">
        <v>2378</v>
      </c>
      <c r="E15085" s="1752" t="s">
        <v>200</v>
      </c>
      <c r="F15085" s="1752"/>
      <c r="G15085" s="1752"/>
      <c r="H15085" s="1752"/>
      <c r="I15085" s="1192" t="s">
        <v>603</v>
      </c>
      <c r="J15085" s="1192" t="s">
        <v>6841</v>
      </c>
      <c r="K15085" s="1192" t="s">
        <v>200</v>
      </c>
      <c r="M15085" s="1399">
        <v>6</v>
      </c>
      <c r="V15085" s="1399">
        <v>15</v>
      </c>
    </row>
    <row r="15086" spans="1:22" s="1192" customFormat="1" ht="17.399999999999999" x14ac:dyDescent="0.3">
      <c r="A15086" s="1192" t="s">
        <v>200</v>
      </c>
      <c r="C15086" s="1192" t="s">
        <v>2380</v>
      </c>
      <c r="E15086" s="1753" t="s">
        <v>2381</v>
      </c>
      <c r="F15086" s="1753"/>
      <c r="G15086" s="1753"/>
      <c r="H15086" s="1753"/>
      <c r="V15086" s="1399">
        <v>27</v>
      </c>
    </row>
    <row r="15087" spans="1:22" s="1192" customFormat="1" ht="15.6" x14ac:dyDescent="0.3">
      <c r="A15087" s="1192" t="s">
        <v>200</v>
      </c>
      <c r="C15087" s="1192" t="s">
        <v>2382</v>
      </c>
      <c r="E15087" s="1754" t="s">
        <v>6842</v>
      </c>
      <c r="F15087" s="1754"/>
      <c r="G15087" s="1754"/>
      <c r="H15087" s="1754"/>
      <c r="S15087" s="1192">
        <v>43586</v>
      </c>
      <c r="V15087" s="1399">
        <v>45</v>
      </c>
    </row>
    <row r="15088" spans="1:22" s="1192" customFormat="1" ht="14.4" x14ac:dyDescent="0.3">
      <c r="A15088" s="1192" t="s">
        <v>200</v>
      </c>
      <c r="C15088" s="1192" t="s">
        <v>2383</v>
      </c>
      <c r="E15088" s="1755" t="s">
        <v>2384</v>
      </c>
      <c r="F15088" s="1755"/>
      <c r="G15088" s="1755"/>
      <c r="H15088" s="1755"/>
      <c r="V15088" s="1399">
        <v>52</v>
      </c>
    </row>
    <row r="15089" spans="1:22" s="1192" customFormat="1" ht="14.4" x14ac:dyDescent="0.3">
      <c r="A15089" s="1192" t="s">
        <v>200</v>
      </c>
      <c r="E15089" s="1755" t="s">
        <v>2385</v>
      </c>
      <c r="F15089" s="1755"/>
      <c r="G15089" s="1755"/>
      <c r="H15089" s="1755"/>
      <c r="V15089" s="1399">
        <v>53</v>
      </c>
    </row>
    <row r="15090" spans="1:22" s="1192" customFormat="1" ht="14.4" x14ac:dyDescent="0.3">
      <c r="A15090" s="1192" t="s">
        <v>200</v>
      </c>
      <c r="E15090" s="1772" t="s">
        <v>6843</v>
      </c>
      <c r="F15090" s="1772"/>
      <c r="G15090" s="1772"/>
      <c r="H15090" s="1772"/>
      <c r="K15090" s="1192" t="s">
        <v>6843</v>
      </c>
      <c r="V15090" s="1399">
        <v>12</v>
      </c>
    </row>
    <row r="15091" spans="1:22" s="1192" customFormat="1" ht="14.4" x14ac:dyDescent="0.3">
      <c r="A15091" s="1192" t="s">
        <v>200</v>
      </c>
      <c r="E15091" s="1746" t="s">
        <v>427</v>
      </c>
      <c r="F15091" s="1988"/>
      <c r="G15091" s="1988"/>
      <c r="H15091" s="1988"/>
      <c r="K15091" s="1192" t="s">
        <v>2506</v>
      </c>
      <c r="V15091" s="1399">
        <v>34</v>
      </c>
    </row>
    <row r="15092" spans="1:22" s="1192" customFormat="1" ht="14.4" x14ac:dyDescent="0.3">
      <c r="A15092" s="1192" t="s">
        <v>200</v>
      </c>
      <c r="E15092" s="1743" t="s">
        <v>6844</v>
      </c>
      <c r="F15092" s="1743"/>
      <c r="G15092" s="1743"/>
      <c r="H15092" s="1743"/>
      <c r="K15092" s="1192" t="s">
        <v>2506</v>
      </c>
      <c r="V15092" s="1399">
        <v>361</v>
      </c>
    </row>
    <row r="15093" spans="1:22" s="1192" customFormat="1" ht="14.4" x14ac:dyDescent="0.3">
      <c r="A15093" s="1192" t="s">
        <v>200</v>
      </c>
      <c r="E15093" s="1750" t="s">
        <v>2389</v>
      </c>
      <c r="F15093" s="1988"/>
      <c r="G15093" s="1988"/>
      <c r="H15093" s="1988"/>
      <c r="K15093" s="1192" t="s">
        <v>2390</v>
      </c>
      <c r="V15093" s="1399">
        <v>11</v>
      </c>
    </row>
    <row r="15094" spans="1:22" s="1192" customFormat="1" ht="14.4" x14ac:dyDescent="0.3">
      <c r="A15094" s="1192" t="s">
        <v>200</v>
      </c>
      <c r="E15094" s="1743" t="s">
        <v>2391</v>
      </c>
      <c r="F15094" s="1743"/>
      <c r="G15094" s="1743"/>
      <c r="H15094" s="1743"/>
      <c r="K15094" s="1192" t="s">
        <v>2506</v>
      </c>
      <c r="V15094" s="1399">
        <v>280</v>
      </c>
    </row>
    <row r="15095" spans="1:22" s="1192" customFormat="1" ht="14.4" x14ac:dyDescent="0.3">
      <c r="A15095" s="1192" t="s">
        <v>200</v>
      </c>
      <c r="E15095" s="1743" t="s">
        <v>2392</v>
      </c>
      <c r="F15095" s="1743"/>
      <c r="G15095" s="1743"/>
      <c r="H15095" s="1743"/>
      <c r="K15095" s="1192" t="s">
        <v>2506</v>
      </c>
      <c r="V15095" s="1399">
        <v>411</v>
      </c>
    </row>
    <row r="15096" spans="1:22" s="1192" customFormat="1" ht="14.4" x14ac:dyDescent="0.3">
      <c r="A15096" s="1192" t="s">
        <v>200</v>
      </c>
      <c r="E15096" s="1743" t="s">
        <v>2393</v>
      </c>
      <c r="F15096" s="1743"/>
      <c r="G15096" s="1743"/>
      <c r="H15096" s="1743"/>
      <c r="K15096" s="1192" t="s">
        <v>2506</v>
      </c>
      <c r="V15096" s="1399">
        <v>387</v>
      </c>
    </row>
    <row r="15097" spans="1:22" s="1192" customFormat="1" ht="14.4" x14ac:dyDescent="0.3">
      <c r="A15097" s="1192" t="s">
        <v>200</v>
      </c>
      <c r="E15097" s="1743" t="s">
        <v>4500</v>
      </c>
      <c r="F15097" s="1743"/>
      <c r="G15097" s="1743"/>
      <c r="H15097" s="1743"/>
      <c r="K15097" s="1192" t="s">
        <v>2506</v>
      </c>
      <c r="V15097" s="1399">
        <v>247</v>
      </c>
    </row>
    <row r="15098" spans="1:22" s="1192" customFormat="1" ht="14.4" x14ac:dyDescent="0.3">
      <c r="A15098" s="1192" t="s">
        <v>200</v>
      </c>
      <c r="E15098" s="1748" t="s">
        <v>2394</v>
      </c>
      <c r="F15098" s="1749"/>
      <c r="G15098" s="1749"/>
      <c r="H15098" s="1749"/>
      <c r="K15098" s="1192" t="s">
        <v>2395</v>
      </c>
      <c r="V15098" s="1399">
        <v>46</v>
      </c>
    </row>
    <row r="15099" spans="1:22" s="1192" customFormat="1" ht="14.4" x14ac:dyDescent="0.3">
      <c r="A15099" s="1192" t="s">
        <v>200</v>
      </c>
      <c r="E15099" s="1740" t="s">
        <v>7</v>
      </c>
      <c r="F15099" s="1740"/>
      <c r="G15099" s="1277" t="s">
        <v>19</v>
      </c>
      <c r="H15099" s="1218">
        <v>25.92</v>
      </c>
      <c r="K15099" s="1192" t="s">
        <v>2506</v>
      </c>
      <c r="L15099" s="1192" t="s">
        <v>430</v>
      </c>
      <c r="P15099" s="1192" t="s">
        <v>2510</v>
      </c>
      <c r="V15099" s="1399">
        <v>14</v>
      </c>
    </row>
    <row r="15100" spans="1:22" s="1192" customFormat="1" ht="14.4" x14ac:dyDescent="0.3">
      <c r="A15100" s="1192" t="s">
        <v>200</v>
      </c>
      <c r="E15100" s="1740" t="s">
        <v>3900</v>
      </c>
      <c r="F15100" s="1740"/>
      <c r="G15100" s="1277" t="s">
        <v>19</v>
      </c>
      <c r="H15100" s="1218">
        <v>0.56999999999999995</v>
      </c>
      <c r="K15100" s="1192" t="s">
        <v>2506</v>
      </c>
      <c r="L15100" s="1192" t="s">
        <v>431</v>
      </c>
      <c r="P15100" s="1192" t="s">
        <v>2511</v>
      </c>
      <c r="T15100" s="1192">
        <v>44926</v>
      </c>
      <c r="V15100" s="1399">
        <v>64</v>
      </c>
    </row>
    <row r="15101" spans="1:22" s="1192" customFormat="1" ht="14.4" x14ac:dyDescent="0.3">
      <c r="A15101" s="1192" t="s">
        <v>200</v>
      </c>
      <c r="E15101" s="1740" t="s">
        <v>80</v>
      </c>
      <c r="F15101" s="1740"/>
      <c r="G15101" s="1277" t="s">
        <v>20</v>
      </c>
      <c r="H15101" s="1219">
        <v>6.1999999999999998E-3</v>
      </c>
      <c r="K15101" s="1192" t="s">
        <v>2506</v>
      </c>
      <c r="L15101" s="1192" t="s">
        <v>430</v>
      </c>
      <c r="P15101" s="1192" t="s">
        <v>2512</v>
      </c>
      <c r="V15101" s="1399">
        <v>28</v>
      </c>
    </row>
    <row r="15102" spans="1:22" s="1192" customFormat="1" ht="14.4" x14ac:dyDescent="0.3">
      <c r="A15102" s="1192" t="s">
        <v>200</v>
      </c>
      <c r="E15102" s="1740" t="s">
        <v>14</v>
      </c>
      <c r="F15102" s="1740"/>
      <c r="G15102" s="1277" t="s">
        <v>20</v>
      </c>
      <c r="H15102" s="1219">
        <v>5.4000000000000003E-3</v>
      </c>
      <c r="K15102" s="1192" t="s">
        <v>2506</v>
      </c>
      <c r="L15102" s="1192" t="s">
        <v>431</v>
      </c>
      <c r="P15102" s="1192" t="s">
        <v>2513</v>
      </c>
      <c r="V15102" s="1399">
        <v>24</v>
      </c>
    </row>
    <row r="15103" spans="1:22" s="1192" customFormat="1" ht="14.4" x14ac:dyDescent="0.3">
      <c r="A15103" s="1192" t="s">
        <v>200</v>
      </c>
      <c r="E15103" s="1740" t="s">
        <v>6845</v>
      </c>
      <c r="F15103" s="1989"/>
      <c r="G15103" s="1277" t="s">
        <v>20</v>
      </c>
      <c r="H15103" s="1219">
        <v>3.5999999999999999E-3</v>
      </c>
      <c r="K15103" s="1192" t="s">
        <v>2506</v>
      </c>
      <c r="L15103" s="1192" t="s">
        <v>431</v>
      </c>
      <c r="P15103" s="1192" t="s">
        <v>2516</v>
      </c>
      <c r="T15103" s="1192">
        <v>45046</v>
      </c>
      <c r="V15103" s="1399">
        <v>133</v>
      </c>
    </row>
    <row r="15104" spans="1:22" s="1192" customFormat="1" ht="14.4" x14ac:dyDescent="0.3">
      <c r="A15104" s="1192" t="s">
        <v>200</v>
      </c>
      <c r="E15104" s="1740" t="s">
        <v>213</v>
      </c>
      <c r="F15104" s="1740"/>
      <c r="G15104" s="1277" t="s">
        <v>20</v>
      </c>
      <c r="H15104" s="1219">
        <v>6.7000000000000002E-3</v>
      </c>
      <c r="K15104" s="1192" t="s">
        <v>2506</v>
      </c>
      <c r="L15104" s="1192" t="s">
        <v>432</v>
      </c>
      <c r="P15104" s="1192" t="s">
        <v>2517</v>
      </c>
      <c r="V15104" s="1399">
        <v>47</v>
      </c>
    </row>
    <row r="15105" spans="1:22" s="1192" customFormat="1" ht="14.4" x14ac:dyDescent="0.3">
      <c r="A15105" s="1192" t="s">
        <v>200</v>
      </c>
      <c r="E15105" s="1740" t="s">
        <v>209</v>
      </c>
      <c r="F15105" s="1740"/>
      <c r="G15105" s="1277" t="s">
        <v>20</v>
      </c>
      <c r="H15105" s="1219">
        <v>5.3E-3</v>
      </c>
      <c r="K15105" s="1192" t="s">
        <v>2506</v>
      </c>
      <c r="L15105" s="1192" t="s">
        <v>432</v>
      </c>
      <c r="P15105" s="1192" t="s">
        <v>2518</v>
      </c>
      <c r="V15105" s="1399">
        <v>74</v>
      </c>
    </row>
    <row r="15106" spans="1:22" s="1192" customFormat="1" ht="14.4" x14ac:dyDescent="0.3">
      <c r="A15106" s="1192" t="s">
        <v>200</v>
      </c>
      <c r="E15106" s="1748" t="s">
        <v>2405</v>
      </c>
      <c r="F15106" s="1740"/>
      <c r="G15106" s="1277"/>
      <c r="H15106" s="896"/>
      <c r="K15106" s="1192" t="s">
        <v>2406</v>
      </c>
      <c r="V15106" s="1399">
        <v>48</v>
      </c>
    </row>
    <row r="15107" spans="1:22" s="1192" customFormat="1" ht="14.4" x14ac:dyDescent="0.3">
      <c r="A15107" s="1192" t="s">
        <v>200</v>
      </c>
      <c r="E15107" s="1740" t="s">
        <v>2033</v>
      </c>
      <c r="F15107" s="1740"/>
      <c r="G15107" s="1277" t="s">
        <v>20</v>
      </c>
      <c r="H15107" s="1219">
        <v>3.0000000000000001E-3</v>
      </c>
      <c r="K15107" s="1192" t="s">
        <v>2506</v>
      </c>
      <c r="L15107" s="1192" t="s">
        <v>2374</v>
      </c>
      <c r="P15107" s="1192" t="s">
        <v>2519</v>
      </c>
      <c r="V15107" s="1399">
        <v>55</v>
      </c>
    </row>
    <row r="15108" spans="1:22" s="1192" customFormat="1" ht="14.4" x14ac:dyDescent="0.3">
      <c r="A15108" s="1192" t="s">
        <v>200</v>
      </c>
      <c r="E15108" s="1740" t="s">
        <v>2034</v>
      </c>
      <c r="F15108" s="1740"/>
      <c r="G15108" s="1277" t="s">
        <v>20</v>
      </c>
      <c r="H15108" s="1219">
        <v>4.0000000000000002E-4</v>
      </c>
      <c r="K15108" s="1192" t="s">
        <v>2506</v>
      </c>
      <c r="L15108" s="1192" t="s">
        <v>2374</v>
      </c>
      <c r="P15108" s="1192" t="s">
        <v>2519</v>
      </c>
      <c r="V15108" s="1399">
        <v>65</v>
      </c>
    </row>
    <row r="15109" spans="1:22" s="1192" customFormat="1" ht="14.4" x14ac:dyDescent="0.3">
      <c r="A15109" s="1192" t="s">
        <v>200</v>
      </c>
      <c r="E15109" s="1740" t="s">
        <v>428</v>
      </c>
      <c r="F15109" s="1740"/>
      <c r="G15109" s="1277" t="s">
        <v>20</v>
      </c>
      <c r="H15109" s="1219">
        <v>5.0000000000000001E-4</v>
      </c>
      <c r="K15109" s="1192" t="s">
        <v>2506</v>
      </c>
      <c r="L15109" s="1192" t="s">
        <v>2374</v>
      </c>
      <c r="P15109" s="1192" t="s">
        <v>2520</v>
      </c>
      <c r="V15109" s="1399">
        <v>57</v>
      </c>
    </row>
    <row r="15110" spans="1:22" s="1192" customFormat="1" ht="14.4" x14ac:dyDescent="0.3">
      <c r="A15110" s="1192" t="s">
        <v>200</v>
      </c>
      <c r="E15110" s="1740" t="s">
        <v>28</v>
      </c>
      <c r="F15110" s="1740"/>
      <c r="G15110" s="1277" t="s">
        <v>19</v>
      </c>
      <c r="H15110" s="1218">
        <v>0.25</v>
      </c>
      <c r="K15110" s="1192" t="s">
        <v>2506</v>
      </c>
      <c r="L15110" s="1192" t="s">
        <v>2374</v>
      </c>
      <c r="P15110" s="1192" t="s">
        <v>2521</v>
      </c>
      <c r="V15110" s="1399">
        <v>63</v>
      </c>
    </row>
    <row r="15111" spans="1:22" s="1192" customFormat="1" ht="17.399999999999999" x14ac:dyDescent="0.3">
      <c r="A15111" s="1192" t="s">
        <v>200</v>
      </c>
      <c r="E15111" s="1746" t="s">
        <v>2522</v>
      </c>
      <c r="F15111" s="1987"/>
      <c r="G15111" s="1987"/>
      <c r="H15111" s="1987"/>
      <c r="K15111" s="1192" t="s">
        <v>3901</v>
      </c>
      <c r="V15111" s="1399">
        <v>54</v>
      </c>
    </row>
    <row r="15112" spans="1:22" s="1192" customFormat="1" ht="14.4" x14ac:dyDescent="0.3">
      <c r="A15112" s="1192" t="s">
        <v>200</v>
      </c>
      <c r="E15112" s="1743" t="s">
        <v>6846</v>
      </c>
      <c r="F15112" s="1743"/>
      <c r="G15112" s="1743"/>
      <c r="H15112" s="1743"/>
      <c r="K15112" s="1192" t="s">
        <v>3901</v>
      </c>
      <c r="V15112" s="1399">
        <v>480</v>
      </c>
    </row>
    <row r="15113" spans="1:22" s="1192" customFormat="1" ht="14.4" x14ac:dyDescent="0.3">
      <c r="A15113" s="1192" t="s">
        <v>200</v>
      </c>
      <c r="E15113" s="1750" t="s">
        <v>2389</v>
      </c>
      <c r="F15113" s="1988"/>
      <c r="G15113" s="1988"/>
      <c r="H15113" s="1988"/>
      <c r="K15113" s="1192" t="s">
        <v>2412</v>
      </c>
      <c r="V15113" s="1399">
        <v>11</v>
      </c>
    </row>
    <row r="15114" spans="1:22" s="1192" customFormat="1" ht="14.4" x14ac:dyDescent="0.3">
      <c r="A15114" s="1192" t="s">
        <v>200</v>
      </c>
      <c r="E15114" s="1743" t="s">
        <v>2391</v>
      </c>
      <c r="F15114" s="1743"/>
      <c r="G15114" s="1743"/>
      <c r="H15114" s="1743"/>
      <c r="K15114" s="1192" t="s">
        <v>3901</v>
      </c>
      <c r="V15114" s="1399">
        <v>280</v>
      </c>
    </row>
    <row r="15115" spans="1:22" s="1192" customFormat="1" ht="14.4" x14ac:dyDescent="0.3">
      <c r="A15115" s="1192" t="s">
        <v>200</v>
      </c>
      <c r="E15115" s="1743" t="s">
        <v>2392</v>
      </c>
      <c r="F15115" s="1743"/>
      <c r="G15115" s="1743"/>
      <c r="H15115" s="1743"/>
      <c r="K15115" s="1192" t="s">
        <v>3901</v>
      </c>
      <c r="V15115" s="1399">
        <v>411</v>
      </c>
    </row>
    <row r="15116" spans="1:22" s="1192" customFormat="1" ht="14.4" x14ac:dyDescent="0.3">
      <c r="A15116" s="1192" t="s">
        <v>200</v>
      </c>
      <c r="E15116" s="1743" t="s">
        <v>2393</v>
      </c>
      <c r="F15116" s="1743"/>
      <c r="G15116" s="1743"/>
      <c r="H15116" s="1743"/>
      <c r="K15116" s="1192" t="s">
        <v>3901</v>
      </c>
      <c r="V15116" s="1399">
        <v>387</v>
      </c>
    </row>
    <row r="15117" spans="1:22" s="1192" customFormat="1" ht="14.4" x14ac:dyDescent="0.3">
      <c r="A15117" s="1192" t="s">
        <v>200</v>
      </c>
      <c r="E15117" s="1743" t="s">
        <v>4500</v>
      </c>
      <c r="F15117" s="1743"/>
      <c r="G15117" s="1743"/>
      <c r="H15117" s="1743"/>
      <c r="K15117" s="1192" t="s">
        <v>3901</v>
      </c>
      <c r="V15117" s="1399">
        <v>247</v>
      </c>
    </row>
    <row r="15118" spans="1:22" s="1192" customFormat="1" ht="14.4" x14ac:dyDescent="0.3">
      <c r="A15118" s="1192" t="s">
        <v>200</v>
      </c>
      <c r="E15118" s="1748" t="s">
        <v>2394</v>
      </c>
      <c r="F15118" s="1749"/>
      <c r="G15118" s="1749"/>
      <c r="H15118" s="1749"/>
      <c r="K15118" s="1192" t="s">
        <v>2413</v>
      </c>
      <c r="V15118" s="1399">
        <v>46</v>
      </c>
    </row>
    <row r="15119" spans="1:22" s="1192" customFormat="1" ht="14.4" x14ac:dyDescent="0.3">
      <c r="A15119" s="1192" t="s">
        <v>200</v>
      </c>
      <c r="E15119" s="1740" t="s">
        <v>7</v>
      </c>
      <c r="F15119" s="1740"/>
      <c r="G15119" s="1277" t="s">
        <v>19</v>
      </c>
      <c r="H15119" s="1218">
        <v>22.77</v>
      </c>
      <c r="K15119" s="1192" t="s">
        <v>3901</v>
      </c>
      <c r="L15119" s="1192" t="s">
        <v>430</v>
      </c>
      <c r="P15119" s="1192" t="s">
        <v>3902</v>
      </c>
      <c r="V15119" s="1399">
        <v>14</v>
      </c>
    </row>
    <row r="15120" spans="1:22" s="1192" customFormat="1" ht="14.4" x14ac:dyDescent="0.3">
      <c r="A15120" s="1192" t="s">
        <v>200</v>
      </c>
      <c r="E15120" s="1740" t="s">
        <v>3900</v>
      </c>
      <c r="F15120" s="1740"/>
      <c r="G15120" s="1277" t="s">
        <v>19</v>
      </c>
      <c r="H15120" s="1218">
        <v>0.56999999999999995</v>
      </c>
      <c r="K15120" s="1192" t="s">
        <v>3901</v>
      </c>
      <c r="L15120" s="1192" t="s">
        <v>431</v>
      </c>
      <c r="P15120" s="1192" t="s">
        <v>3903</v>
      </c>
      <c r="T15120" s="1192">
        <v>44926</v>
      </c>
      <c r="V15120" s="1399">
        <v>64</v>
      </c>
    </row>
    <row r="15121" spans="1:22" s="1192" customFormat="1" ht="14.4" x14ac:dyDescent="0.3">
      <c r="A15121" s="1192" t="s">
        <v>200</v>
      </c>
      <c r="E15121" s="1740" t="s">
        <v>80</v>
      </c>
      <c r="F15121" s="1740"/>
      <c r="G15121" s="1277" t="s">
        <v>20</v>
      </c>
      <c r="H15121" s="1219">
        <v>9.9000000000000008E-3</v>
      </c>
      <c r="K15121" s="1192" t="s">
        <v>3901</v>
      </c>
      <c r="L15121" s="1192" t="s">
        <v>430</v>
      </c>
      <c r="P15121" s="1192" t="s">
        <v>3904</v>
      </c>
      <c r="V15121" s="1399">
        <v>28</v>
      </c>
    </row>
    <row r="15122" spans="1:22" s="1192" customFormat="1" ht="14.4" x14ac:dyDescent="0.3">
      <c r="A15122" s="1192" t="s">
        <v>200</v>
      </c>
      <c r="E15122" s="1740" t="s">
        <v>14</v>
      </c>
      <c r="F15122" s="1740"/>
      <c r="G15122" s="1277" t="s">
        <v>20</v>
      </c>
      <c r="H15122" s="1219">
        <v>5.1999999999999998E-3</v>
      </c>
      <c r="K15122" s="1192" t="s">
        <v>3901</v>
      </c>
      <c r="L15122" s="1192" t="s">
        <v>431</v>
      </c>
      <c r="P15122" s="1192" t="s">
        <v>3905</v>
      </c>
      <c r="V15122" s="1399">
        <v>24</v>
      </c>
    </row>
    <row r="15123" spans="1:22" s="1192" customFormat="1" ht="14.4" x14ac:dyDescent="0.3">
      <c r="A15123" s="1192" t="s">
        <v>200</v>
      </c>
      <c r="E15123" s="1740" t="s">
        <v>6847</v>
      </c>
      <c r="F15123" s="1989"/>
      <c r="G15123" s="1277" t="s">
        <v>20</v>
      </c>
      <c r="H15123" s="1219">
        <v>3.5999999999999999E-3</v>
      </c>
      <c r="K15123" s="1192" t="s">
        <v>3901</v>
      </c>
      <c r="L15123" s="1192" t="s">
        <v>431</v>
      </c>
      <c r="P15123" s="1192" t="s">
        <v>3911</v>
      </c>
      <c r="T15123" s="1192">
        <v>45046</v>
      </c>
      <c r="V15123" s="1399">
        <v>132</v>
      </c>
    </row>
    <row r="15124" spans="1:22" s="1192" customFormat="1" ht="14.4" x14ac:dyDescent="0.3">
      <c r="A15124" s="1192" t="s">
        <v>200</v>
      </c>
      <c r="E15124" s="1740" t="s">
        <v>213</v>
      </c>
      <c r="F15124" s="1740"/>
      <c r="G15124" s="1277" t="s">
        <v>20</v>
      </c>
      <c r="H15124" s="1219">
        <v>6.1000000000000004E-3</v>
      </c>
      <c r="K15124" s="1192" t="s">
        <v>3901</v>
      </c>
      <c r="L15124" s="1192" t="s">
        <v>432</v>
      </c>
      <c r="P15124" s="1192" t="s">
        <v>3906</v>
      </c>
      <c r="V15124" s="1399">
        <v>47</v>
      </c>
    </row>
    <row r="15125" spans="1:22" s="1192" customFormat="1" ht="14.4" x14ac:dyDescent="0.3">
      <c r="A15125" s="1192" t="s">
        <v>200</v>
      </c>
      <c r="E15125" s="1740" t="s">
        <v>209</v>
      </c>
      <c r="F15125" s="1740"/>
      <c r="G15125" s="1277" t="s">
        <v>20</v>
      </c>
      <c r="H15125" s="1219">
        <v>5.1000000000000004E-3</v>
      </c>
      <c r="K15125" s="1192" t="s">
        <v>3901</v>
      </c>
      <c r="L15125" s="1192" t="s">
        <v>432</v>
      </c>
      <c r="P15125" s="1192" t="s">
        <v>3907</v>
      </c>
      <c r="V15125" s="1399">
        <v>74</v>
      </c>
    </row>
    <row r="15126" spans="1:22" s="1192" customFormat="1" ht="14.4" x14ac:dyDescent="0.3">
      <c r="A15126" s="1192" t="s">
        <v>200</v>
      </c>
      <c r="E15126" s="1748" t="s">
        <v>2405</v>
      </c>
      <c r="F15126" s="1740"/>
      <c r="G15126" s="1277"/>
      <c r="H15126" s="896"/>
      <c r="K15126" s="1192" t="s">
        <v>2418</v>
      </c>
      <c r="V15126" s="1399">
        <v>48</v>
      </c>
    </row>
    <row r="15127" spans="1:22" s="1192" customFormat="1" ht="14.4" x14ac:dyDescent="0.3">
      <c r="A15127" s="1192" t="s">
        <v>200</v>
      </c>
      <c r="E15127" s="1740" t="s">
        <v>2033</v>
      </c>
      <c r="F15127" s="1740"/>
      <c r="G15127" s="1277" t="s">
        <v>20</v>
      </c>
      <c r="H15127" s="1219">
        <v>3.0000000000000001E-3</v>
      </c>
      <c r="K15127" s="1192" t="s">
        <v>3901</v>
      </c>
      <c r="L15127" s="1192" t="s">
        <v>2374</v>
      </c>
      <c r="P15127" s="1192" t="s">
        <v>3908</v>
      </c>
      <c r="V15127" s="1399">
        <v>55</v>
      </c>
    </row>
    <row r="15128" spans="1:22" s="1192" customFormat="1" ht="14.4" x14ac:dyDescent="0.3">
      <c r="A15128" s="1192" t="s">
        <v>200</v>
      </c>
      <c r="E15128" s="1740" t="s">
        <v>2034</v>
      </c>
      <c r="F15128" s="1740"/>
      <c r="G15128" s="1277" t="s">
        <v>20</v>
      </c>
      <c r="H15128" s="1219">
        <v>4.0000000000000002E-4</v>
      </c>
      <c r="K15128" s="1192" t="s">
        <v>3901</v>
      </c>
      <c r="L15128" s="1192" t="s">
        <v>2374</v>
      </c>
      <c r="P15128" s="1192" t="s">
        <v>3908</v>
      </c>
      <c r="V15128" s="1399">
        <v>65</v>
      </c>
    </row>
    <row r="15129" spans="1:22" s="1192" customFormat="1" ht="14.4" x14ac:dyDescent="0.3">
      <c r="A15129" s="1192" t="s">
        <v>200</v>
      </c>
      <c r="E15129" s="1740" t="s">
        <v>428</v>
      </c>
      <c r="F15129" s="1740"/>
      <c r="G15129" s="1277" t="s">
        <v>20</v>
      </c>
      <c r="H15129" s="1219">
        <v>5.0000000000000001E-4</v>
      </c>
      <c r="K15129" s="1192" t="s">
        <v>3901</v>
      </c>
      <c r="L15129" s="1192" t="s">
        <v>2374</v>
      </c>
      <c r="P15129" s="1192" t="s">
        <v>3909</v>
      </c>
      <c r="V15129" s="1399">
        <v>57</v>
      </c>
    </row>
    <row r="15130" spans="1:22" s="1192" customFormat="1" ht="14.4" x14ac:dyDescent="0.3">
      <c r="A15130" s="1192" t="s">
        <v>200</v>
      </c>
      <c r="E15130" s="1740" t="s">
        <v>28</v>
      </c>
      <c r="F15130" s="1740"/>
      <c r="G15130" s="1277" t="s">
        <v>19</v>
      </c>
      <c r="H15130" s="1218">
        <v>0.25</v>
      </c>
      <c r="K15130" s="1192" t="s">
        <v>3901</v>
      </c>
      <c r="L15130" s="1192" t="s">
        <v>2374</v>
      </c>
      <c r="P15130" s="1192" t="s">
        <v>3910</v>
      </c>
      <c r="V15130" s="1399">
        <v>63</v>
      </c>
    </row>
    <row r="15131" spans="1:22" s="1192" customFormat="1" ht="17.399999999999999" x14ac:dyDescent="0.3">
      <c r="A15131" s="1192" t="s">
        <v>200</v>
      </c>
      <c r="E15131" s="1746" t="s">
        <v>591</v>
      </c>
      <c r="F15131" s="1987"/>
      <c r="G15131" s="1987"/>
      <c r="H15131" s="1987"/>
      <c r="K15131" s="1192" t="s">
        <v>4388</v>
      </c>
      <c r="V15131" s="1399">
        <v>53</v>
      </c>
    </row>
    <row r="15132" spans="1:22" s="1192" customFormat="1" ht="14.4" x14ac:dyDescent="0.3">
      <c r="A15132" s="1192" t="s">
        <v>200</v>
      </c>
      <c r="E15132" s="1743" t="s">
        <v>2807</v>
      </c>
      <c r="F15132" s="1743"/>
      <c r="G15132" s="1743"/>
      <c r="H15132" s="1743"/>
      <c r="K15132" s="1192" t="s">
        <v>4388</v>
      </c>
      <c r="V15132" s="1399">
        <v>356</v>
      </c>
    </row>
    <row r="15133" spans="1:22" s="1192" customFormat="1" ht="14.4" x14ac:dyDescent="0.3">
      <c r="A15133" s="1192" t="s">
        <v>200</v>
      </c>
      <c r="E15133" s="1750" t="s">
        <v>2389</v>
      </c>
      <c r="F15133" s="1988"/>
      <c r="G15133" s="1988"/>
      <c r="H15133" s="1988"/>
      <c r="K15133" s="1192" t="s">
        <v>2422</v>
      </c>
      <c r="V15133" s="1399">
        <v>11</v>
      </c>
    </row>
    <row r="15134" spans="1:22" s="1192" customFormat="1" ht="14.4" x14ac:dyDescent="0.3">
      <c r="A15134" s="1192" t="s">
        <v>200</v>
      </c>
      <c r="E15134" s="1743" t="s">
        <v>2391</v>
      </c>
      <c r="F15134" s="1743"/>
      <c r="G15134" s="1743"/>
      <c r="H15134" s="1743"/>
      <c r="K15134" s="1192" t="s">
        <v>4388</v>
      </c>
      <c r="V15134" s="1399">
        <v>280</v>
      </c>
    </row>
    <row r="15135" spans="1:22" s="1192" customFormat="1" ht="14.4" x14ac:dyDescent="0.3">
      <c r="A15135" s="1192" t="s">
        <v>200</v>
      </c>
      <c r="E15135" s="1743" t="s">
        <v>2392</v>
      </c>
      <c r="F15135" s="1743"/>
      <c r="G15135" s="1743"/>
      <c r="H15135" s="1743"/>
      <c r="K15135" s="1192" t="s">
        <v>4388</v>
      </c>
      <c r="V15135" s="1399">
        <v>411</v>
      </c>
    </row>
    <row r="15136" spans="1:22" s="1192" customFormat="1" ht="14.4" x14ac:dyDescent="0.3">
      <c r="A15136" s="1192" t="s">
        <v>200</v>
      </c>
      <c r="E15136" s="1743" t="s">
        <v>2393</v>
      </c>
      <c r="F15136" s="1743"/>
      <c r="G15136" s="1743"/>
      <c r="H15136" s="1743"/>
      <c r="K15136" s="1192" t="s">
        <v>4388</v>
      </c>
      <c r="V15136" s="1399">
        <v>387</v>
      </c>
    </row>
    <row r="15137" spans="1:22" s="1192" customFormat="1" ht="14.4" x14ac:dyDescent="0.3">
      <c r="A15137" s="1192" t="s">
        <v>200</v>
      </c>
      <c r="E15137" s="1743" t="s">
        <v>4503</v>
      </c>
      <c r="F15137" s="1743"/>
      <c r="G15137" s="1743"/>
      <c r="H15137" s="1743"/>
      <c r="K15137" s="1192" t="s">
        <v>4388</v>
      </c>
      <c r="V15137" s="1399">
        <v>677</v>
      </c>
    </row>
    <row r="15138" spans="1:22" s="1192" customFormat="1" ht="14.4" x14ac:dyDescent="0.3">
      <c r="A15138" s="1192" t="s">
        <v>200</v>
      </c>
      <c r="E15138" s="1743" t="s">
        <v>4644</v>
      </c>
      <c r="F15138" s="1743"/>
      <c r="G15138" s="1743"/>
      <c r="H15138" s="1743"/>
      <c r="K15138" s="1192" t="s">
        <v>4388</v>
      </c>
      <c r="V15138" s="1399">
        <v>693</v>
      </c>
    </row>
    <row r="15139" spans="1:22" s="1192" customFormat="1" ht="14.4" x14ac:dyDescent="0.3">
      <c r="A15139" s="1192" t="s">
        <v>200</v>
      </c>
      <c r="E15139" s="1743" t="s">
        <v>4500</v>
      </c>
      <c r="F15139" s="1743"/>
      <c r="G15139" s="1743"/>
      <c r="H15139" s="1743"/>
      <c r="K15139" s="1192" t="s">
        <v>4388</v>
      </c>
      <c r="V15139" s="1399">
        <v>247</v>
      </c>
    </row>
    <row r="15140" spans="1:22" s="1192" customFormat="1" ht="14.4" x14ac:dyDescent="0.3">
      <c r="A15140" s="1192" t="s">
        <v>200</v>
      </c>
      <c r="E15140" s="1748" t="s">
        <v>2394</v>
      </c>
      <c r="F15140" s="1749"/>
      <c r="G15140" s="1749"/>
      <c r="H15140" s="1749"/>
      <c r="K15140" s="1192" t="s">
        <v>2423</v>
      </c>
      <c r="V15140" s="1399">
        <v>46</v>
      </c>
    </row>
    <row r="15141" spans="1:22" s="1192" customFormat="1" ht="14.4" x14ac:dyDescent="0.3">
      <c r="A15141" s="1192" t="s">
        <v>200</v>
      </c>
      <c r="E15141" s="1740" t="s">
        <v>7</v>
      </c>
      <c r="F15141" s="1740"/>
      <c r="G15141" s="1277" t="s">
        <v>19</v>
      </c>
      <c r="H15141" s="1218">
        <v>84.54</v>
      </c>
      <c r="K15141" s="1192" t="s">
        <v>4388</v>
      </c>
      <c r="L15141" s="1192" t="s">
        <v>430</v>
      </c>
      <c r="P15141" s="1192" t="s">
        <v>4389</v>
      </c>
      <c r="V15141" s="1399">
        <v>14</v>
      </c>
    </row>
    <row r="15142" spans="1:22" s="1192" customFormat="1" ht="14.4" x14ac:dyDescent="0.3">
      <c r="A15142" s="1192" t="s">
        <v>200</v>
      </c>
      <c r="E15142" s="1740" t="s">
        <v>80</v>
      </c>
      <c r="F15142" s="1740"/>
      <c r="G15142" s="1277" t="s">
        <v>29</v>
      </c>
      <c r="H15142" s="1219">
        <v>1.4631000000000001</v>
      </c>
      <c r="K15142" s="1192" t="s">
        <v>4388</v>
      </c>
      <c r="L15142" s="1192" t="s">
        <v>430</v>
      </c>
      <c r="P15142" s="1192" t="s">
        <v>4390</v>
      </c>
      <c r="V15142" s="1399">
        <v>28</v>
      </c>
    </row>
    <row r="15143" spans="1:22" s="1192" customFormat="1" ht="14.4" x14ac:dyDescent="0.3">
      <c r="A15143" s="1192" t="s">
        <v>200</v>
      </c>
      <c r="E15143" s="1740" t="s">
        <v>14</v>
      </c>
      <c r="F15143" s="1740"/>
      <c r="G15143" s="1277" t="s">
        <v>29</v>
      </c>
      <c r="H15143" s="1219">
        <v>1.9417</v>
      </c>
      <c r="K15143" s="1192" t="s">
        <v>4388</v>
      </c>
      <c r="L15143" s="1192" t="s">
        <v>431</v>
      </c>
      <c r="P15143" s="1192" t="s">
        <v>4391</v>
      </c>
      <c r="V15143" s="1399">
        <v>24</v>
      </c>
    </row>
    <row r="15144" spans="1:22" s="1192" customFormat="1" ht="14.4" x14ac:dyDescent="0.3">
      <c r="A15144" s="1192" t="s">
        <v>200</v>
      </c>
      <c r="E15144" s="1740" t="s">
        <v>6847</v>
      </c>
      <c r="F15144" s="1989"/>
      <c r="G15144" s="1277" t="s">
        <v>29</v>
      </c>
      <c r="H15144" s="1219">
        <v>1.5588</v>
      </c>
      <c r="K15144" s="1192" t="s">
        <v>4388</v>
      </c>
      <c r="L15144" s="1192" t="s">
        <v>431</v>
      </c>
      <c r="P15144" s="1192" t="s">
        <v>4398</v>
      </c>
      <c r="T15144" s="1192">
        <v>45046</v>
      </c>
      <c r="V15144" s="1399">
        <v>132</v>
      </c>
    </row>
    <row r="15145" spans="1:22" s="1192" customFormat="1" ht="14.4" x14ac:dyDescent="0.3">
      <c r="A15145" s="1192" t="s">
        <v>200</v>
      </c>
      <c r="E15145" s="1740" t="s">
        <v>213</v>
      </c>
      <c r="F15145" s="1740"/>
      <c r="G15145" s="1277" t="s">
        <v>29</v>
      </c>
      <c r="H15145" s="1219">
        <v>2.4990000000000001</v>
      </c>
      <c r="K15145" s="1192" t="s">
        <v>4388</v>
      </c>
      <c r="L15145" s="1192" t="s">
        <v>432</v>
      </c>
      <c r="P15145" s="1192" t="s">
        <v>4392</v>
      </c>
      <c r="V15145" s="1399">
        <v>47</v>
      </c>
    </row>
    <row r="15146" spans="1:22" s="1192" customFormat="1" ht="14.4" x14ac:dyDescent="0.3">
      <c r="A15146" s="1192" t="s">
        <v>200</v>
      </c>
      <c r="E15146" s="1740" t="s">
        <v>209</v>
      </c>
      <c r="F15146" s="1740"/>
      <c r="G15146" s="1277" t="s">
        <v>29</v>
      </c>
      <c r="H15146" s="1219">
        <v>1.9876</v>
      </c>
      <c r="K15146" s="1192" t="s">
        <v>4388</v>
      </c>
      <c r="L15146" s="1192" t="s">
        <v>432</v>
      </c>
      <c r="P15146" s="1192" t="s">
        <v>4393</v>
      </c>
      <c r="V15146" s="1399">
        <v>74</v>
      </c>
    </row>
    <row r="15147" spans="1:22" s="1192" customFormat="1" ht="14.4" x14ac:dyDescent="0.3">
      <c r="A15147" s="1192" t="s">
        <v>200</v>
      </c>
      <c r="E15147" s="1748" t="s">
        <v>2405</v>
      </c>
      <c r="F15147" s="1740"/>
      <c r="G15147" s="1277"/>
      <c r="H15147" s="896"/>
      <c r="K15147" s="1192" t="s">
        <v>2526</v>
      </c>
      <c r="V15147" s="1399">
        <v>48</v>
      </c>
    </row>
    <row r="15148" spans="1:22" s="1192" customFormat="1" ht="14.4" x14ac:dyDescent="0.3">
      <c r="A15148" s="1192" t="s">
        <v>200</v>
      </c>
      <c r="E15148" s="1740" t="s">
        <v>2033</v>
      </c>
      <c r="F15148" s="1740"/>
      <c r="G15148" s="1277" t="s">
        <v>20</v>
      </c>
      <c r="H15148" s="1219">
        <v>3.0000000000000001E-3</v>
      </c>
      <c r="K15148" s="1192" t="s">
        <v>4388</v>
      </c>
      <c r="L15148" s="1192" t="s">
        <v>2374</v>
      </c>
      <c r="P15148" s="1192" t="s">
        <v>4394</v>
      </c>
      <c r="V15148" s="1399">
        <v>55</v>
      </c>
    </row>
    <row r="15149" spans="1:22" s="1192" customFormat="1" ht="14.4" x14ac:dyDescent="0.3">
      <c r="A15149" s="1192" t="s">
        <v>200</v>
      </c>
      <c r="E15149" s="1740" t="s">
        <v>2034</v>
      </c>
      <c r="F15149" s="1740"/>
      <c r="G15149" s="1277" t="s">
        <v>20</v>
      </c>
      <c r="H15149" s="1219">
        <v>4.0000000000000002E-4</v>
      </c>
      <c r="K15149" s="1192" t="s">
        <v>4388</v>
      </c>
      <c r="L15149" s="1192" t="s">
        <v>2374</v>
      </c>
      <c r="P15149" s="1192" t="s">
        <v>4394</v>
      </c>
      <c r="V15149" s="1399">
        <v>65</v>
      </c>
    </row>
    <row r="15150" spans="1:22" s="1192" customFormat="1" ht="14.4" x14ac:dyDescent="0.3">
      <c r="A15150" s="1192" t="s">
        <v>200</v>
      </c>
      <c r="E15150" s="1740" t="s">
        <v>428</v>
      </c>
      <c r="F15150" s="1740"/>
      <c r="G15150" s="1277" t="s">
        <v>20</v>
      </c>
      <c r="H15150" s="1219">
        <v>5.0000000000000001E-4</v>
      </c>
      <c r="K15150" s="1192" t="s">
        <v>4388</v>
      </c>
      <c r="L15150" s="1192" t="s">
        <v>2374</v>
      </c>
      <c r="P15150" s="1192" t="s">
        <v>4395</v>
      </c>
      <c r="V15150" s="1399">
        <v>57</v>
      </c>
    </row>
    <row r="15151" spans="1:22" s="1192" customFormat="1" ht="14.4" x14ac:dyDescent="0.3">
      <c r="A15151" s="1192" t="s">
        <v>200</v>
      </c>
      <c r="E15151" s="1740" t="s">
        <v>28</v>
      </c>
      <c r="F15151" s="1740"/>
      <c r="G15151" s="1277" t="s">
        <v>19</v>
      </c>
      <c r="H15151" s="1218">
        <v>0.25</v>
      </c>
      <c r="K15151" s="1192" t="s">
        <v>4388</v>
      </c>
      <c r="L15151" s="1192" t="s">
        <v>2374</v>
      </c>
      <c r="P15151" s="1192" t="s">
        <v>4396</v>
      </c>
      <c r="V15151" s="1399">
        <v>63</v>
      </c>
    </row>
    <row r="15152" spans="1:22" s="1192" customFormat="1" ht="17.399999999999999" x14ac:dyDescent="0.3">
      <c r="A15152" s="1192" t="s">
        <v>200</v>
      </c>
      <c r="E15152" s="1746" t="s">
        <v>590</v>
      </c>
      <c r="F15152" s="1987"/>
      <c r="G15152" s="1987"/>
      <c r="H15152" s="1987"/>
      <c r="K15152" s="1192" t="s">
        <v>3465</v>
      </c>
      <c r="V15152" s="1399">
        <v>38</v>
      </c>
    </row>
    <row r="15153" spans="1:22" s="1192" customFormat="1" ht="14.4" x14ac:dyDescent="0.3">
      <c r="A15153" s="1192" t="s">
        <v>200</v>
      </c>
      <c r="E15153" s="1743" t="s">
        <v>2811</v>
      </c>
      <c r="F15153" s="1743"/>
      <c r="G15153" s="1743"/>
      <c r="H15153" s="1743"/>
      <c r="K15153" s="1192" t="s">
        <v>3465</v>
      </c>
      <c r="V15153" s="1399">
        <v>551</v>
      </c>
    </row>
    <row r="15154" spans="1:22" s="1192" customFormat="1" ht="14.4" x14ac:dyDescent="0.3">
      <c r="A15154" s="1192" t="s">
        <v>200</v>
      </c>
      <c r="E15154" s="1750" t="s">
        <v>2389</v>
      </c>
      <c r="F15154" s="1988"/>
      <c r="G15154" s="1988"/>
      <c r="H15154" s="1988"/>
      <c r="K15154" s="1192" t="s">
        <v>2529</v>
      </c>
      <c r="V15154" s="1399">
        <v>11</v>
      </c>
    </row>
    <row r="15155" spans="1:22" s="1192" customFormat="1" ht="14.4" x14ac:dyDescent="0.3">
      <c r="A15155" s="1192" t="s">
        <v>200</v>
      </c>
      <c r="E15155" s="1743" t="s">
        <v>2391</v>
      </c>
      <c r="F15155" s="1743"/>
      <c r="G15155" s="1743"/>
      <c r="H15155" s="1743"/>
      <c r="K15155" s="1192" t="s">
        <v>3465</v>
      </c>
      <c r="V15155" s="1399">
        <v>280</v>
      </c>
    </row>
    <row r="15156" spans="1:22" s="1192" customFormat="1" ht="14.4" x14ac:dyDescent="0.3">
      <c r="A15156" s="1192" t="s">
        <v>200</v>
      </c>
      <c r="E15156" s="1743" t="s">
        <v>2392</v>
      </c>
      <c r="F15156" s="1743"/>
      <c r="G15156" s="1743"/>
      <c r="H15156" s="1743"/>
      <c r="K15156" s="1192" t="s">
        <v>3465</v>
      </c>
      <c r="V15156" s="1399">
        <v>411</v>
      </c>
    </row>
    <row r="15157" spans="1:22" s="1192" customFormat="1" ht="14.4" x14ac:dyDescent="0.3">
      <c r="A15157" s="1192" t="s">
        <v>200</v>
      </c>
      <c r="E15157" s="1743" t="s">
        <v>2393</v>
      </c>
      <c r="F15157" s="1743"/>
      <c r="G15157" s="1743"/>
      <c r="H15157" s="1743"/>
      <c r="K15157" s="1192" t="s">
        <v>3465</v>
      </c>
      <c r="V15157" s="1399">
        <v>387</v>
      </c>
    </row>
    <row r="15158" spans="1:22" s="1192" customFormat="1" ht="14.4" x14ac:dyDescent="0.3">
      <c r="A15158" s="1192" t="s">
        <v>200</v>
      </c>
      <c r="E15158" s="1743" t="s">
        <v>4500</v>
      </c>
      <c r="F15158" s="1743"/>
      <c r="G15158" s="1743"/>
      <c r="H15158" s="1743"/>
      <c r="K15158" s="1192" t="s">
        <v>3465</v>
      </c>
      <c r="V15158" s="1399">
        <v>247</v>
      </c>
    </row>
    <row r="15159" spans="1:22" s="1192" customFormat="1" ht="14.4" x14ac:dyDescent="0.3">
      <c r="A15159" s="1192" t="s">
        <v>200</v>
      </c>
      <c r="E15159" s="1748" t="s">
        <v>2394</v>
      </c>
      <c r="F15159" s="1749"/>
      <c r="G15159" s="1749"/>
      <c r="H15159" s="1749"/>
      <c r="K15159" s="1192" t="s">
        <v>2531</v>
      </c>
      <c r="V15159" s="1399">
        <v>46</v>
      </c>
    </row>
    <row r="15160" spans="1:22" s="1192" customFormat="1" ht="14.4" x14ac:dyDescent="0.3">
      <c r="A15160" s="1192" t="s">
        <v>200</v>
      </c>
      <c r="E15160" s="1740" t="s">
        <v>8</v>
      </c>
      <c r="F15160" s="1740"/>
      <c r="G15160" s="1277" t="s">
        <v>19</v>
      </c>
      <c r="H15160" s="1218">
        <v>1.25</v>
      </c>
      <c r="K15160" s="1192" t="s">
        <v>3465</v>
      </c>
      <c r="L15160" s="1192" t="s">
        <v>430</v>
      </c>
      <c r="P15160" s="1192" t="s">
        <v>3466</v>
      </c>
      <c r="V15160" s="1399">
        <v>31</v>
      </c>
    </row>
    <row r="15161" spans="1:22" s="1192" customFormat="1" ht="14.4" x14ac:dyDescent="0.3">
      <c r="A15161" s="1192" t="s">
        <v>200</v>
      </c>
      <c r="E15161" s="1740" t="s">
        <v>80</v>
      </c>
      <c r="F15161" s="1740"/>
      <c r="G15161" s="1277" t="s">
        <v>29</v>
      </c>
      <c r="H15161" s="1219">
        <v>7.2915999999999999</v>
      </c>
      <c r="K15161" s="1192" t="s">
        <v>3465</v>
      </c>
      <c r="L15161" s="1192" t="s">
        <v>430</v>
      </c>
      <c r="P15161" s="1192" t="s">
        <v>3467</v>
      </c>
      <c r="V15161" s="1399">
        <v>28</v>
      </c>
    </row>
    <row r="15162" spans="1:22" s="1192" customFormat="1" ht="14.4" x14ac:dyDescent="0.3">
      <c r="A15162" s="1192" t="s">
        <v>200</v>
      </c>
      <c r="E15162" s="1740" t="s">
        <v>14</v>
      </c>
      <c r="F15162" s="1740"/>
      <c r="G15162" s="1277" t="s">
        <v>29</v>
      </c>
      <c r="H15162" s="1219">
        <v>1.5009999999999999</v>
      </c>
      <c r="K15162" s="1192" t="s">
        <v>3465</v>
      </c>
      <c r="L15162" s="1192" t="s">
        <v>431</v>
      </c>
      <c r="P15162" s="1192" t="s">
        <v>4461</v>
      </c>
      <c r="V15162" s="1399">
        <v>24</v>
      </c>
    </row>
    <row r="15163" spans="1:22" s="1192" customFormat="1" ht="14.4" x14ac:dyDescent="0.3">
      <c r="A15163" s="1192" t="s">
        <v>200</v>
      </c>
      <c r="E15163" s="1740" t="s">
        <v>6847</v>
      </c>
      <c r="F15163" s="1989"/>
      <c r="G15163" s="1277" t="s">
        <v>29</v>
      </c>
      <c r="H15163" s="1219">
        <v>1.2398</v>
      </c>
      <c r="K15163" s="1192" t="s">
        <v>3465</v>
      </c>
      <c r="L15163" s="1192" t="s">
        <v>431</v>
      </c>
      <c r="P15163" s="1192" t="s">
        <v>3915</v>
      </c>
      <c r="T15163" s="1192">
        <v>45046</v>
      </c>
      <c r="V15163" s="1399">
        <v>132</v>
      </c>
    </row>
    <row r="15164" spans="1:22" s="1192" customFormat="1" ht="14.4" x14ac:dyDescent="0.3">
      <c r="A15164" s="1192" t="s">
        <v>200</v>
      </c>
      <c r="E15164" s="1740" t="s">
        <v>213</v>
      </c>
      <c r="F15164" s="1740"/>
      <c r="G15164" s="1277" t="s">
        <v>29</v>
      </c>
      <c r="H15164" s="1219">
        <v>1.8845000000000001</v>
      </c>
      <c r="K15164" s="1192" t="s">
        <v>3465</v>
      </c>
      <c r="L15164" s="1192" t="s">
        <v>432</v>
      </c>
      <c r="P15164" s="1192" t="s">
        <v>3468</v>
      </c>
      <c r="V15164" s="1399">
        <v>47</v>
      </c>
    </row>
    <row r="15165" spans="1:22" s="1192" customFormat="1" ht="14.4" x14ac:dyDescent="0.3">
      <c r="A15165" s="1192" t="s">
        <v>200</v>
      </c>
      <c r="E15165" s="1740" t="s">
        <v>209</v>
      </c>
      <c r="F15165" s="1740"/>
      <c r="G15165" s="1277" t="s">
        <v>29</v>
      </c>
      <c r="H15165" s="1219">
        <v>1.5366</v>
      </c>
      <c r="K15165" s="1192" t="s">
        <v>3465</v>
      </c>
      <c r="L15165" s="1192" t="s">
        <v>432</v>
      </c>
      <c r="P15165" s="1192" t="s">
        <v>3469</v>
      </c>
      <c r="V15165" s="1399">
        <v>74</v>
      </c>
    </row>
    <row r="15166" spans="1:22" s="1192" customFormat="1" ht="14.4" x14ac:dyDescent="0.3">
      <c r="A15166" s="1192" t="s">
        <v>200</v>
      </c>
      <c r="E15166" s="1748" t="s">
        <v>2405</v>
      </c>
      <c r="F15166" s="1740"/>
      <c r="G15166" s="1277"/>
      <c r="H15166" s="896"/>
      <c r="K15166" s="1192" t="s">
        <v>2532</v>
      </c>
      <c r="V15166" s="1399">
        <v>48</v>
      </c>
    </row>
    <row r="15167" spans="1:22" s="1192" customFormat="1" ht="14.4" x14ac:dyDescent="0.3">
      <c r="A15167" s="1192" t="s">
        <v>200</v>
      </c>
      <c r="E15167" s="1740" t="s">
        <v>2033</v>
      </c>
      <c r="F15167" s="1740"/>
      <c r="G15167" s="1277" t="s">
        <v>20</v>
      </c>
      <c r="H15167" s="1219">
        <v>3.0000000000000001E-3</v>
      </c>
      <c r="K15167" s="1192" t="s">
        <v>3465</v>
      </c>
      <c r="L15167" s="1192" t="s">
        <v>2374</v>
      </c>
      <c r="P15167" s="1192" t="s">
        <v>3470</v>
      </c>
      <c r="V15167" s="1399">
        <v>55</v>
      </c>
    </row>
    <row r="15168" spans="1:22" s="1192" customFormat="1" ht="14.4" x14ac:dyDescent="0.3">
      <c r="A15168" s="1192" t="s">
        <v>200</v>
      </c>
      <c r="E15168" s="1740" t="s">
        <v>2034</v>
      </c>
      <c r="F15168" s="1740"/>
      <c r="G15168" s="1277" t="s">
        <v>20</v>
      </c>
      <c r="H15168" s="1219">
        <v>4.0000000000000002E-4</v>
      </c>
      <c r="K15168" s="1192" t="s">
        <v>3465</v>
      </c>
      <c r="L15168" s="1192" t="s">
        <v>2374</v>
      </c>
      <c r="P15168" s="1192" t="s">
        <v>3470</v>
      </c>
      <c r="V15168" s="1399">
        <v>65</v>
      </c>
    </row>
    <row r="15169" spans="1:22" s="1192" customFormat="1" ht="14.4" x14ac:dyDescent="0.3">
      <c r="A15169" s="1192" t="s">
        <v>200</v>
      </c>
      <c r="E15169" s="1740" t="s">
        <v>428</v>
      </c>
      <c r="F15169" s="1740"/>
      <c r="G15169" s="1277" t="s">
        <v>20</v>
      </c>
      <c r="H15169" s="1219">
        <v>5.0000000000000001E-4</v>
      </c>
      <c r="K15169" s="1192" t="s">
        <v>3465</v>
      </c>
      <c r="L15169" s="1192" t="s">
        <v>2374</v>
      </c>
      <c r="P15169" s="1192" t="s">
        <v>3471</v>
      </c>
      <c r="V15169" s="1399">
        <v>57</v>
      </c>
    </row>
    <row r="15170" spans="1:22" s="1192" customFormat="1" ht="14.4" x14ac:dyDescent="0.3">
      <c r="A15170" s="1192" t="s">
        <v>200</v>
      </c>
      <c r="E15170" s="1740" t="s">
        <v>28</v>
      </c>
      <c r="F15170" s="1740"/>
      <c r="G15170" s="1277" t="s">
        <v>19</v>
      </c>
      <c r="H15170" s="1218">
        <v>0.25</v>
      </c>
      <c r="K15170" s="1192" t="s">
        <v>3465</v>
      </c>
      <c r="L15170" s="1192" t="s">
        <v>2374</v>
      </c>
      <c r="P15170" s="1192" t="s">
        <v>3472</v>
      </c>
      <c r="V15170" s="1399">
        <v>63</v>
      </c>
    </row>
    <row r="15171" spans="1:22" s="1192" customFormat="1" ht="17.399999999999999" x14ac:dyDescent="0.3">
      <c r="A15171" s="1192" t="s">
        <v>200</v>
      </c>
      <c r="E15171" s="1746" t="s">
        <v>592</v>
      </c>
      <c r="F15171" s="1987"/>
      <c r="G15171" s="1987"/>
      <c r="H15171" s="1987"/>
      <c r="K15171" s="1192" t="s">
        <v>2726</v>
      </c>
      <c r="V15171" s="1399">
        <v>47</v>
      </c>
    </row>
    <row r="15172" spans="1:22" s="1192" customFormat="1" ht="14.4" x14ac:dyDescent="0.3">
      <c r="A15172" s="1192" t="s">
        <v>200</v>
      </c>
      <c r="E15172" s="1743" t="s">
        <v>3473</v>
      </c>
      <c r="F15172" s="1743"/>
      <c r="G15172" s="1743"/>
      <c r="H15172" s="1743"/>
      <c r="K15172" s="1192" t="s">
        <v>2726</v>
      </c>
      <c r="V15172" s="1399">
        <v>620</v>
      </c>
    </row>
    <row r="15173" spans="1:22" s="1192" customFormat="1" ht="14.4" x14ac:dyDescent="0.3">
      <c r="A15173" s="1192" t="s">
        <v>200</v>
      </c>
      <c r="E15173" s="1750" t="s">
        <v>2389</v>
      </c>
      <c r="F15173" s="1988"/>
      <c r="G15173" s="1988"/>
      <c r="H15173" s="1988"/>
      <c r="K15173" s="1192" t="s">
        <v>2424</v>
      </c>
      <c r="V15173" s="1399">
        <v>11</v>
      </c>
    </row>
    <row r="15174" spans="1:22" s="1192" customFormat="1" ht="14.4" x14ac:dyDescent="0.3">
      <c r="A15174" s="1192" t="s">
        <v>200</v>
      </c>
      <c r="E15174" s="1743" t="s">
        <v>2391</v>
      </c>
      <c r="F15174" s="1743"/>
      <c r="G15174" s="1743"/>
      <c r="H15174" s="1743"/>
      <c r="K15174" s="1192" t="s">
        <v>2726</v>
      </c>
      <c r="V15174" s="1399">
        <v>280</v>
      </c>
    </row>
    <row r="15175" spans="1:22" s="1192" customFormat="1" ht="14.4" x14ac:dyDescent="0.3">
      <c r="A15175" s="1192" t="s">
        <v>200</v>
      </c>
      <c r="E15175" s="1743" t="s">
        <v>2392</v>
      </c>
      <c r="F15175" s="1743"/>
      <c r="G15175" s="1743"/>
      <c r="H15175" s="1743"/>
      <c r="K15175" s="1192" t="s">
        <v>2726</v>
      </c>
      <c r="V15175" s="1399">
        <v>411</v>
      </c>
    </row>
    <row r="15176" spans="1:22" s="1192" customFormat="1" ht="14.4" x14ac:dyDescent="0.3">
      <c r="A15176" s="1192" t="s">
        <v>200</v>
      </c>
      <c r="E15176" s="1743" t="s">
        <v>2393</v>
      </c>
      <c r="F15176" s="1743"/>
      <c r="G15176" s="1743"/>
      <c r="H15176" s="1743"/>
      <c r="K15176" s="1192" t="s">
        <v>2726</v>
      </c>
      <c r="V15176" s="1399">
        <v>387</v>
      </c>
    </row>
    <row r="15177" spans="1:22" s="1192" customFormat="1" ht="14.4" x14ac:dyDescent="0.3">
      <c r="A15177" s="1192" t="s">
        <v>200</v>
      </c>
      <c r="E15177" s="1743" t="s">
        <v>4500</v>
      </c>
      <c r="F15177" s="1743"/>
      <c r="G15177" s="1743"/>
      <c r="H15177" s="1743"/>
      <c r="K15177" s="1192" t="s">
        <v>2726</v>
      </c>
      <c r="V15177" s="1399">
        <v>247</v>
      </c>
    </row>
    <row r="15178" spans="1:22" s="1192" customFormat="1" ht="14.4" x14ac:dyDescent="0.3">
      <c r="A15178" s="1192" t="s">
        <v>200</v>
      </c>
      <c r="E15178" s="1748" t="s">
        <v>2394</v>
      </c>
      <c r="F15178" s="1749"/>
      <c r="G15178" s="1749"/>
      <c r="H15178" s="1749"/>
      <c r="K15178" s="1192" t="s">
        <v>2425</v>
      </c>
      <c r="V15178" s="1399">
        <v>46</v>
      </c>
    </row>
    <row r="15179" spans="1:22" s="1192" customFormat="1" ht="14.4" x14ac:dyDescent="0.3">
      <c r="A15179" s="1192" t="s">
        <v>200</v>
      </c>
      <c r="E15179" s="1740" t="s">
        <v>8</v>
      </c>
      <c r="F15179" s="1740"/>
      <c r="G15179" s="1277" t="s">
        <v>19</v>
      </c>
      <c r="H15179" s="1218">
        <v>15.68</v>
      </c>
      <c r="K15179" s="1192" t="s">
        <v>2726</v>
      </c>
      <c r="L15179" s="1192" t="s">
        <v>430</v>
      </c>
      <c r="P15179" s="1192" t="s">
        <v>2727</v>
      </c>
      <c r="V15179" s="1399">
        <v>31</v>
      </c>
    </row>
    <row r="15180" spans="1:22" s="1192" customFormat="1" ht="14.4" x14ac:dyDescent="0.3">
      <c r="A15180" s="1192" t="s">
        <v>200</v>
      </c>
      <c r="E15180" s="1740" t="s">
        <v>80</v>
      </c>
      <c r="F15180" s="1740"/>
      <c r="G15180" s="1277" t="s">
        <v>20</v>
      </c>
      <c r="H15180" s="1219">
        <v>4.4299999999999999E-2</v>
      </c>
      <c r="K15180" s="1192" t="s">
        <v>2726</v>
      </c>
      <c r="L15180" s="1192" t="s">
        <v>430</v>
      </c>
      <c r="P15180" s="1192" t="s">
        <v>2728</v>
      </c>
      <c r="V15180" s="1399">
        <v>28</v>
      </c>
    </row>
    <row r="15181" spans="1:22" s="1192" customFormat="1" ht="14.4" x14ac:dyDescent="0.3">
      <c r="A15181" s="1192" t="s">
        <v>200</v>
      </c>
      <c r="E15181" s="1740" t="s">
        <v>14</v>
      </c>
      <c r="F15181" s="1740"/>
      <c r="G15181" s="1277" t="s">
        <v>20</v>
      </c>
      <c r="H15181" s="1219">
        <v>5.1999999999999998E-3</v>
      </c>
      <c r="K15181" s="1192" t="s">
        <v>2726</v>
      </c>
      <c r="L15181" s="1192" t="s">
        <v>431</v>
      </c>
      <c r="P15181" s="1192" t="s">
        <v>2729</v>
      </c>
      <c r="V15181" s="1399">
        <v>24</v>
      </c>
    </row>
    <row r="15182" spans="1:22" s="1192" customFormat="1" ht="14.4" x14ac:dyDescent="0.3">
      <c r="A15182" s="1192" t="s">
        <v>200</v>
      </c>
      <c r="E15182" s="1740" t="s">
        <v>6847</v>
      </c>
      <c r="F15182" s="1989"/>
      <c r="G15182" s="1277" t="s">
        <v>20</v>
      </c>
      <c r="H15182" s="1219">
        <v>3.5999999999999999E-3</v>
      </c>
      <c r="K15182" s="1192" t="s">
        <v>2726</v>
      </c>
      <c r="L15182" s="1192" t="s">
        <v>431</v>
      </c>
      <c r="P15182" s="1192" t="s">
        <v>2789</v>
      </c>
      <c r="T15182" s="1192">
        <v>45046</v>
      </c>
      <c r="V15182" s="1399">
        <v>132</v>
      </c>
    </row>
    <row r="15183" spans="1:22" s="1192" customFormat="1" ht="14.4" x14ac:dyDescent="0.3">
      <c r="A15183" s="1192" t="s">
        <v>200</v>
      </c>
      <c r="E15183" s="1740" t="s">
        <v>213</v>
      </c>
      <c r="F15183" s="1740"/>
      <c r="G15183" s="1277" t="s">
        <v>20</v>
      </c>
      <c r="H15183" s="1219">
        <v>6.1000000000000004E-3</v>
      </c>
      <c r="K15183" s="1192" t="s">
        <v>2726</v>
      </c>
      <c r="L15183" s="1192" t="s">
        <v>432</v>
      </c>
      <c r="P15183" s="1192" t="s">
        <v>2731</v>
      </c>
      <c r="V15183" s="1399">
        <v>47</v>
      </c>
    </row>
    <row r="15184" spans="1:22" s="1192" customFormat="1" ht="14.4" x14ac:dyDescent="0.3">
      <c r="A15184" s="1192" t="s">
        <v>200</v>
      </c>
      <c r="E15184" s="1740" t="s">
        <v>209</v>
      </c>
      <c r="F15184" s="1740"/>
      <c r="G15184" s="1277" t="s">
        <v>20</v>
      </c>
      <c r="H15184" s="1219">
        <v>5.1000000000000004E-3</v>
      </c>
      <c r="K15184" s="1192" t="s">
        <v>2726</v>
      </c>
      <c r="L15184" s="1192" t="s">
        <v>432</v>
      </c>
      <c r="P15184" s="1192" t="s">
        <v>2732</v>
      </c>
      <c r="V15184" s="1399">
        <v>74</v>
      </c>
    </row>
    <row r="15185" spans="1:22" s="1192" customFormat="1" ht="14.4" x14ac:dyDescent="0.3">
      <c r="A15185" s="1192" t="s">
        <v>200</v>
      </c>
      <c r="E15185" s="1748" t="s">
        <v>2405</v>
      </c>
      <c r="F15185" s="1740"/>
      <c r="G15185" s="1277"/>
      <c r="H15185" s="896"/>
      <c r="K15185" s="1192" t="s">
        <v>2427</v>
      </c>
      <c r="V15185" s="1399">
        <v>48</v>
      </c>
    </row>
    <row r="15186" spans="1:22" s="1192" customFormat="1" ht="14.4" x14ac:dyDescent="0.3">
      <c r="A15186" s="1192" t="s">
        <v>200</v>
      </c>
      <c r="E15186" s="1740" t="s">
        <v>2033</v>
      </c>
      <c r="F15186" s="1740"/>
      <c r="G15186" s="1277" t="s">
        <v>20</v>
      </c>
      <c r="H15186" s="1219">
        <v>3.0000000000000001E-3</v>
      </c>
      <c r="K15186" s="1192" t="s">
        <v>2726</v>
      </c>
      <c r="L15186" s="1192" t="s">
        <v>2374</v>
      </c>
      <c r="P15186" s="1192" t="s">
        <v>2733</v>
      </c>
      <c r="V15186" s="1399">
        <v>55</v>
      </c>
    </row>
    <row r="15187" spans="1:22" s="1192" customFormat="1" ht="14.4" x14ac:dyDescent="0.3">
      <c r="A15187" s="1192" t="s">
        <v>200</v>
      </c>
      <c r="E15187" s="1740" t="s">
        <v>2034</v>
      </c>
      <c r="F15187" s="1740"/>
      <c r="G15187" s="1277" t="s">
        <v>20</v>
      </c>
      <c r="H15187" s="1219">
        <v>4.0000000000000002E-4</v>
      </c>
      <c r="K15187" s="1192" t="s">
        <v>2726</v>
      </c>
      <c r="L15187" s="1192" t="s">
        <v>2374</v>
      </c>
      <c r="P15187" s="1192" t="s">
        <v>2733</v>
      </c>
      <c r="V15187" s="1399">
        <v>65</v>
      </c>
    </row>
    <row r="15188" spans="1:22" s="1192" customFormat="1" ht="14.4" x14ac:dyDescent="0.3">
      <c r="A15188" s="1192" t="s">
        <v>200</v>
      </c>
      <c r="E15188" s="1740" t="s">
        <v>428</v>
      </c>
      <c r="F15188" s="1740"/>
      <c r="G15188" s="1277" t="s">
        <v>20</v>
      </c>
      <c r="H15188" s="1219">
        <v>5.0000000000000001E-4</v>
      </c>
      <c r="K15188" s="1192" t="s">
        <v>2726</v>
      </c>
      <c r="L15188" s="1192" t="s">
        <v>2374</v>
      </c>
      <c r="P15188" s="1192" t="s">
        <v>2734</v>
      </c>
      <c r="V15188" s="1399">
        <v>57</v>
      </c>
    </row>
    <row r="15189" spans="1:22" s="1192" customFormat="1" ht="14.4" x14ac:dyDescent="0.3">
      <c r="A15189" s="1192" t="s">
        <v>200</v>
      </c>
      <c r="E15189" s="1740" t="s">
        <v>28</v>
      </c>
      <c r="F15189" s="1740"/>
      <c r="G15189" s="1277" t="s">
        <v>19</v>
      </c>
      <c r="H15189" s="1218">
        <v>0.25</v>
      </c>
      <c r="K15189" s="1192" t="s">
        <v>2726</v>
      </c>
      <c r="L15189" s="1192" t="s">
        <v>2374</v>
      </c>
      <c r="P15189" s="1192" t="s">
        <v>2735</v>
      </c>
      <c r="V15189" s="1399">
        <v>63</v>
      </c>
    </row>
    <row r="15190" spans="1:22" s="1192" customFormat="1" ht="17.399999999999999" x14ac:dyDescent="0.3">
      <c r="A15190" s="1192" t="s">
        <v>200</v>
      </c>
      <c r="E15190" s="1746" t="s">
        <v>593</v>
      </c>
      <c r="F15190" s="1987"/>
      <c r="G15190" s="1987"/>
      <c r="H15190" s="1987"/>
      <c r="K15190" s="1192" t="s">
        <v>2651</v>
      </c>
      <c r="V15190" s="1399">
        <v>31</v>
      </c>
    </row>
    <row r="15191" spans="1:22" s="1192" customFormat="1" ht="14.4" x14ac:dyDescent="0.3">
      <c r="A15191" s="1192" t="s">
        <v>200</v>
      </c>
      <c r="E15191" s="1743" t="s">
        <v>2652</v>
      </c>
      <c r="F15191" s="1743"/>
      <c r="G15191" s="1743"/>
      <c r="H15191" s="1743"/>
      <c r="K15191" s="1192" t="s">
        <v>2651</v>
      </c>
      <c r="V15191" s="1399">
        <v>285</v>
      </c>
    </row>
    <row r="15192" spans="1:22" s="1192" customFormat="1" ht="14.4" x14ac:dyDescent="0.3">
      <c r="A15192" s="1192" t="s">
        <v>200</v>
      </c>
      <c r="E15192" s="1750" t="s">
        <v>2389</v>
      </c>
      <c r="F15192" s="1988"/>
      <c r="G15192" s="1988"/>
      <c r="H15192" s="1988"/>
      <c r="K15192" s="1192" t="s">
        <v>2430</v>
      </c>
      <c r="V15192" s="1399">
        <v>11</v>
      </c>
    </row>
    <row r="15193" spans="1:22" s="1192" customFormat="1" ht="14.4" x14ac:dyDescent="0.3">
      <c r="A15193" s="1192" t="s">
        <v>200</v>
      </c>
      <c r="E15193" s="1743" t="s">
        <v>2391</v>
      </c>
      <c r="F15193" s="1743"/>
      <c r="G15193" s="1743"/>
      <c r="H15193" s="1743"/>
      <c r="K15193" s="1192" t="s">
        <v>2651</v>
      </c>
      <c r="V15193" s="1399">
        <v>280</v>
      </c>
    </row>
    <row r="15194" spans="1:22" s="1192" customFormat="1" ht="14.4" x14ac:dyDescent="0.3">
      <c r="A15194" s="1192" t="s">
        <v>200</v>
      </c>
      <c r="E15194" s="1743" t="s">
        <v>2392</v>
      </c>
      <c r="F15194" s="1743"/>
      <c r="G15194" s="1743"/>
      <c r="H15194" s="1743"/>
      <c r="K15194" s="1192" t="s">
        <v>2651</v>
      </c>
      <c r="V15194" s="1399">
        <v>411</v>
      </c>
    </row>
    <row r="15195" spans="1:22" s="1192" customFormat="1" ht="14.4" x14ac:dyDescent="0.3">
      <c r="A15195" s="1192" t="s">
        <v>200</v>
      </c>
      <c r="E15195" s="1743" t="s">
        <v>2445</v>
      </c>
      <c r="F15195" s="1743"/>
      <c r="G15195" s="1743"/>
      <c r="H15195" s="1743"/>
      <c r="K15195" s="1192" t="s">
        <v>2651</v>
      </c>
      <c r="V15195" s="1399">
        <v>211</v>
      </c>
    </row>
    <row r="15196" spans="1:22" s="1192" customFormat="1" ht="14.4" x14ac:dyDescent="0.3">
      <c r="A15196" s="1192" t="s">
        <v>200</v>
      </c>
      <c r="E15196" s="1743" t="s">
        <v>4500</v>
      </c>
      <c r="F15196" s="1743"/>
      <c r="G15196" s="1743"/>
      <c r="H15196" s="1743"/>
      <c r="K15196" s="1192" t="s">
        <v>2651</v>
      </c>
      <c r="V15196" s="1399">
        <v>247</v>
      </c>
    </row>
    <row r="15197" spans="1:22" s="1192" customFormat="1" ht="14.4" x14ac:dyDescent="0.3">
      <c r="A15197" s="1192" t="s">
        <v>200</v>
      </c>
      <c r="E15197" s="1748" t="s">
        <v>2394</v>
      </c>
      <c r="F15197" s="1749"/>
      <c r="G15197" s="1749"/>
      <c r="H15197" s="1749"/>
      <c r="K15197" s="1192" t="s">
        <v>2431</v>
      </c>
      <c r="V15197" s="1399">
        <v>46</v>
      </c>
    </row>
    <row r="15198" spans="1:22" s="1192" customFormat="1" ht="14.4" x14ac:dyDescent="0.3">
      <c r="A15198" s="1192" t="s">
        <v>200</v>
      </c>
      <c r="E15198" s="1740" t="s">
        <v>7</v>
      </c>
      <c r="F15198" s="1740"/>
      <c r="G15198" s="1277" t="s">
        <v>19</v>
      </c>
      <c r="H15198" s="1218">
        <v>5.4</v>
      </c>
      <c r="K15198" s="1192" t="s">
        <v>2651</v>
      </c>
      <c r="L15198" s="1192" t="s">
        <v>430</v>
      </c>
      <c r="P15198" s="1192" t="s">
        <v>2653</v>
      </c>
      <c r="V15198" s="1399">
        <v>14</v>
      </c>
    </row>
    <row r="15199" spans="1:22" s="1192" customFormat="1" x14ac:dyDescent="0.35">
      <c r="A15199" s="1192" t="s">
        <v>200</v>
      </c>
      <c r="E15199" s="1388" t="s">
        <v>81</v>
      </c>
      <c r="F15199" s="550"/>
      <c r="G15199" s="550"/>
      <c r="H15199" s="881"/>
      <c r="K15199" s="1192" t="s">
        <v>6848</v>
      </c>
      <c r="V15199" s="1399">
        <v>10</v>
      </c>
    </row>
    <row r="15200" spans="1:22" s="1192" customFormat="1" ht="14.4" x14ac:dyDescent="0.3">
      <c r="A15200" s="1192" t="s">
        <v>200</v>
      </c>
      <c r="E15200" s="1740" t="s">
        <v>2449</v>
      </c>
      <c r="F15200" s="1740"/>
      <c r="G15200" s="1277" t="s">
        <v>29</v>
      </c>
      <c r="H15200" s="1219">
        <v>-0.6</v>
      </c>
      <c r="V15200" s="1399">
        <v>68</v>
      </c>
    </row>
    <row r="15201" spans="1:22" s="1192" customFormat="1" ht="14.4" x14ac:dyDescent="0.3">
      <c r="A15201" s="1192" t="s">
        <v>200</v>
      </c>
      <c r="E15201" s="1740" t="s">
        <v>2450</v>
      </c>
      <c r="F15201" s="1740"/>
      <c r="G15201" s="1277" t="s">
        <v>82</v>
      </c>
      <c r="H15201" s="1218">
        <v>-1</v>
      </c>
      <c r="V15201" s="1399">
        <v>87</v>
      </c>
    </row>
    <row r="15202" spans="1:22" s="1192" customFormat="1" x14ac:dyDescent="0.35">
      <c r="A15202" s="1192" t="s">
        <v>200</v>
      </c>
      <c r="E15202" s="1388" t="s">
        <v>83</v>
      </c>
      <c r="F15202" s="550"/>
      <c r="G15202" s="550"/>
      <c r="H15202" s="881"/>
      <c r="K15202" s="1192" t="s">
        <v>6849</v>
      </c>
      <c r="V15202" s="1399">
        <v>24</v>
      </c>
    </row>
    <row r="15203" spans="1:22" s="1192" customFormat="1" ht="14.4" x14ac:dyDescent="0.3">
      <c r="A15203" s="1192" t="s">
        <v>200</v>
      </c>
      <c r="E15203" s="1743" t="s">
        <v>2391</v>
      </c>
      <c r="F15203" s="1743"/>
      <c r="G15203" s="1743"/>
      <c r="H15203" s="1743"/>
      <c r="V15203" s="1399">
        <v>280</v>
      </c>
    </row>
    <row r="15204" spans="1:22" s="1192" customFormat="1" ht="14.4" x14ac:dyDescent="0.3">
      <c r="A15204" s="1192" t="s">
        <v>200</v>
      </c>
      <c r="E15204" s="1743" t="s">
        <v>2452</v>
      </c>
      <c r="F15204" s="1743"/>
      <c r="G15204" s="1743"/>
      <c r="H15204" s="1743"/>
      <c r="V15204" s="1399">
        <v>353</v>
      </c>
    </row>
    <row r="15205" spans="1:22" s="1192" customFormat="1" ht="14.4" x14ac:dyDescent="0.3">
      <c r="A15205" s="1192" t="s">
        <v>200</v>
      </c>
      <c r="E15205" s="1743" t="s">
        <v>4500</v>
      </c>
      <c r="F15205" s="1743"/>
      <c r="G15205" s="1743"/>
      <c r="H15205" s="1743"/>
      <c r="V15205" s="1399">
        <v>247</v>
      </c>
    </row>
    <row r="15206" spans="1:22" s="1192" customFormat="1" ht="14.4" x14ac:dyDescent="0.3">
      <c r="A15206" s="1192" t="s">
        <v>200</v>
      </c>
      <c r="E15206" s="1387" t="s">
        <v>2453</v>
      </c>
      <c r="F15206" s="3"/>
      <c r="G15206" s="3"/>
      <c r="H15206" s="897"/>
      <c r="K15206" s="1192" t="s">
        <v>6850</v>
      </c>
      <c r="V15206" s="1399">
        <v>23</v>
      </c>
    </row>
    <row r="15207" spans="1:22" s="1192" customFormat="1" ht="14.4" x14ac:dyDescent="0.3">
      <c r="A15207" s="1192" t="s">
        <v>200</v>
      </c>
      <c r="E15207" s="1745" t="s">
        <v>2639</v>
      </c>
      <c r="F15207" s="1745"/>
      <c r="G15207" s="1277" t="s">
        <v>19</v>
      </c>
      <c r="H15207" s="1218">
        <v>15</v>
      </c>
      <c r="V15207" s="1399">
        <v>19</v>
      </c>
    </row>
    <row r="15208" spans="1:22" s="1192" customFormat="1" ht="14.4" x14ac:dyDescent="0.3">
      <c r="A15208" s="1192" t="s">
        <v>200</v>
      </c>
      <c r="E15208" s="1745" t="s">
        <v>2456</v>
      </c>
      <c r="F15208" s="1745"/>
      <c r="G15208" s="1277" t="s">
        <v>19</v>
      </c>
      <c r="H15208" s="1218">
        <v>15</v>
      </c>
      <c r="V15208" s="1399">
        <v>20</v>
      </c>
    </row>
    <row r="15209" spans="1:22" s="1192" customFormat="1" ht="14.4" x14ac:dyDescent="0.3">
      <c r="A15209" s="1192" t="s">
        <v>200</v>
      </c>
      <c r="E15209" s="1745" t="s">
        <v>2457</v>
      </c>
      <c r="F15209" s="1745"/>
      <c r="G15209" s="1277" t="s">
        <v>19</v>
      </c>
      <c r="H15209" s="1218">
        <v>15</v>
      </c>
      <c r="V15209" s="1399">
        <v>26</v>
      </c>
    </row>
    <row r="15210" spans="1:22" s="1192" customFormat="1" ht="14.4" x14ac:dyDescent="0.3">
      <c r="A15210" s="1192" t="s">
        <v>200</v>
      </c>
      <c r="E15210" s="1745" t="s">
        <v>2458</v>
      </c>
      <c r="F15210" s="1745"/>
      <c r="G15210" s="1277" t="s">
        <v>19</v>
      </c>
      <c r="H15210" s="1218">
        <v>15</v>
      </c>
      <c r="V15210" s="1399">
        <v>39</v>
      </c>
    </row>
    <row r="15211" spans="1:22" s="1192" customFormat="1" ht="14.4" x14ac:dyDescent="0.3">
      <c r="A15211" s="1192" t="s">
        <v>200</v>
      </c>
      <c r="E15211" s="1745" t="s">
        <v>2459</v>
      </c>
      <c r="F15211" s="1745"/>
      <c r="G15211" s="1277" t="s">
        <v>19</v>
      </c>
      <c r="H15211" s="1218">
        <v>15</v>
      </c>
      <c r="V15211" s="1399">
        <v>37</v>
      </c>
    </row>
    <row r="15212" spans="1:22" s="1192" customFormat="1" ht="14.4" x14ac:dyDescent="0.3">
      <c r="A15212" s="1192" t="s">
        <v>200</v>
      </c>
      <c r="E15212" s="1745" t="s">
        <v>3663</v>
      </c>
      <c r="F15212" s="1745"/>
      <c r="G15212" s="1277" t="s">
        <v>19</v>
      </c>
      <c r="H15212" s="1218">
        <v>15</v>
      </c>
      <c r="V15212" s="1399">
        <v>15</v>
      </c>
    </row>
    <row r="15213" spans="1:22" s="1192" customFormat="1" ht="14.4" x14ac:dyDescent="0.3">
      <c r="A15213" s="1192" t="s">
        <v>200</v>
      </c>
      <c r="E15213" s="1745" t="s">
        <v>2461</v>
      </c>
      <c r="F15213" s="1745"/>
      <c r="G15213" s="1277" t="s">
        <v>19</v>
      </c>
      <c r="H15213" s="1218">
        <v>15</v>
      </c>
      <c r="V15213" s="1399">
        <v>17</v>
      </c>
    </row>
    <row r="15214" spans="1:22" s="1192" customFormat="1" ht="14.4" x14ac:dyDescent="0.3">
      <c r="A15214" s="1192" t="s">
        <v>200</v>
      </c>
      <c r="E15214" s="1745" t="s">
        <v>2462</v>
      </c>
      <c r="F15214" s="1745"/>
      <c r="G15214" s="1277" t="s">
        <v>19</v>
      </c>
      <c r="H15214" s="1218">
        <v>15</v>
      </c>
      <c r="V15214" s="1399">
        <v>19</v>
      </c>
    </row>
    <row r="15215" spans="1:22" s="1192" customFormat="1" ht="14.4" x14ac:dyDescent="0.3">
      <c r="A15215" s="1192" t="s">
        <v>200</v>
      </c>
      <c r="E15215" s="1745" t="s">
        <v>2463</v>
      </c>
      <c r="F15215" s="1745"/>
      <c r="G15215" s="1277" t="s">
        <v>19</v>
      </c>
      <c r="H15215" s="1218">
        <v>15</v>
      </c>
      <c r="V15215" s="1399">
        <v>15</v>
      </c>
    </row>
    <row r="15216" spans="1:22" s="1192" customFormat="1" ht="14.4" x14ac:dyDescent="0.3">
      <c r="A15216" s="1192" t="s">
        <v>200</v>
      </c>
      <c r="E15216" s="1745" t="s">
        <v>2464</v>
      </c>
      <c r="F15216" s="1745"/>
      <c r="G15216" s="1277" t="s">
        <v>19</v>
      </c>
      <c r="H15216" s="1218">
        <v>25</v>
      </c>
      <c r="V15216" s="1399">
        <v>56</v>
      </c>
    </row>
    <row r="15217" spans="1:22" s="1192" customFormat="1" ht="14.4" x14ac:dyDescent="0.3">
      <c r="A15217" s="1192" t="s">
        <v>200</v>
      </c>
      <c r="E15217" s="1745" t="s">
        <v>119</v>
      </c>
      <c r="F15217" s="1745"/>
      <c r="G15217" s="1277" t="s">
        <v>19</v>
      </c>
      <c r="H15217" s="1218">
        <v>15</v>
      </c>
      <c r="V15217" s="1399">
        <v>35</v>
      </c>
    </row>
    <row r="15218" spans="1:22" s="1192" customFormat="1" ht="14.4" x14ac:dyDescent="0.3">
      <c r="A15218" s="1192" t="s">
        <v>200</v>
      </c>
      <c r="E15218" s="1745" t="s">
        <v>2466</v>
      </c>
      <c r="F15218" s="1745"/>
      <c r="G15218" s="1277" t="s">
        <v>19</v>
      </c>
      <c r="H15218" s="1218">
        <v>15</v>
      </c>
      <c r="V15218" s="1399">
        <v>24</v>
      </c>
    </row>
    <row r="15219" spans="1:22" s="1192" customFormat="1" ht="14.4" x14ac:dyDescent="0.3">
      <c r="A15219" s="1192" t="s">
        <v>200</v>
      </c>
      <c r="E15219" s="1745" t="s">
        <v>2467</v>
      </c>
      <c r="F15219" s="1745"/>
      <c r="G15219" s="1277" t="s">
        <v>19</v>
      </c>
      <c r="H15219" s="1218">
        <v>15</v>
      </c>
      <c r="V15219" s="1399">
        <v>19</v>
      </c>
    </row>
    <row r="15220" spans="1:22" s="1192" customFormat="1" ht="14.4" x14ac:dyDescent="0.3">
      <c r="A15220" s="1192" t="s">
        <v>200</v>
      </c>
      <c r="E15220" s="1745" t="s">
        <v>84</v>
      </c>
      <c r="F15220" s="1745"/>
      <c r="G15220" s="1277" t="s">
        <v>19</v>
      </c>
      <c r="H15220" s="1218">
        <v>15</v>
      </c>
      <c r="V15220" s="1399">
        <v>89</v>
      </c>
    </row>
    <row r="15221" spans="1:22" s="1192" customFormat="1" ht="14.4" x14ac:dyDescent="0.3">
      <c r="A15221" s="1192" t="s">
        <v>200</v>
      </c>
      <c r="E15221" s="1745" t="s">
        <v>90</v>
      </c>
      <c r="F15221" s="1745"/>
      <c r="G15221" s="1277" t="s">
        <v>19</v>
      </c>
      <c r="H15221" s="1218">
        <v>30</v>
      </c>
      <c r="V15221" s="1399">
        <v>19</v>
      </c>
    </row>
    <row r="15222" spans="1:22" s="1192" customFormat="1" ht="14.4" x14ac:dyDescent="0.3">
      <c r="A15222" s="1192" t="s">
        <v>200</v>
      </c>
      <c r="E15222" s="1745" t="s">
        <v>88</v>
      </c>
      <c r="F15222" s="1745"/>
      <c r="G15222" s="1277" t="s">
        <v>19</v>
      </c>
      <c r="H15222" s="1218">
        <v>30</v>
      </c>
      <c r="V15222" s="1399">
        <v>74</v>
      </c>
    </row>
    <row r="15223" spans="1:22" s="1192" customFormat="1" ht="27" x14ac:dyDescent="0.3">
      <c r="A15223" s="1192" t="s">
        <v>200</v>
      </c>
      <c r="E15223" s="1387" t="s">
        <v>4607</v>
      </c>
      <c r="F15223" s="3"/>
      <c r="G15223" s="3"/>
      <c r="H15223" s="897"/>
      <c r="V15223" s="1399">
        <v>39</v>
      </c>
    </row>
    <row r="15224" spans="1:22" s="1192" customFormat="1" ht="14.4" x14ac:dyDescent="0.3">
      <c r="A15224" s="1192" t="s">
        <v>200</v>
      </c>
      <c r="E15224" s="1745" t="s">
        <v>3918</v>
      </c>
      <c r="F15224" s="1745"/>
      <c r="G15224" s="1277" t="s">
        <v>82</v>
      </c>
      <c r="H15224" s="1218">
        <v>1.5</v>
      </c>
      <c r="V15224" s="1399">
        <v>24</v>
      </c>
    </row>
    <row r="15225" spans="1:22" s="1192" customFormat="1" ht="14.4" x14ac:dyDescent="0.3">
      <c r="A15225" s="1192" t="s">
        <v>200</v>
      </c>
      <c r="E15225" s="1745" t="s">
        <v>3664</v>
      </c>
      <c r="F15225" s="1745"/>
      <c r="G15225" s="1277" t="s">
        <v>82</v>
      </c>
      <c r="H15225" s="1218">
        <v>19.559999999999999</v>
      </c>
      <c r="V15225" s="1399">
        <v>24</v>
      </c>
    </row>
    <row r="15226" spans="1:22" s="1192" customFormat="1" ht="14.4" x14ac:dyDescent="0.3">
      <c r="A15226" s="1192" t="s">
        <v>200</v>
      </c>
      <c r="E15226" s="1745" t="s">
        <v>6851</v>
      </c>
      <c r="F15226" s="1745"/>
      <c r="G15226" s="1277" t="s">
        <v>19</v>
      </c>
      <c r="H15226" s="1218">
        <v>20</v>
      </c>
      <c r="V15226" s="1399">
        <v>79</v>
      </c>
    </row>
    <row r="15227" spans="1:22" s="1192" customFormat="1" ht="14.4" x14ac:dyDescent="0.3">
      <c r="A15227" s="1192" t="s">
        <v>200</v>
      </c>
      <c r="E15227" s="1745" t="s">
        <v>6852</v>
      </c>
      <c r="F15227" s="1745"/>
      <c r="G15227" s="1277" t="s">
        <v>19</v>
      </c>
      <c r="H15227" s="1218">
        <v>50</v>
      </c>
      <c r="V15227" s="1399">
        <v>69</v>
      </c>
    </row>
    <row r="15228" spans="1:22" s="1192" customFormat="1" ht="14.4" x14ac:dyDescent="0.3">
      <c r="A15228" s="1192" t="s">
        <v>200</v>
      </c>
      <c r="E15228" s="1745" t="s">
        <v>3665</v>
      </c>
      <c r="F15228" s="1745"/>
      <c r="G15228" s="1277" t="s">
        <v>19</v>
      </c>
      <c r="H15228" s="1218">
        <v>25</v>
      </c>
      <c r="V15228" s="1399">
        <v>52</v>
      </c>
    </row>
    <row r="15229" spans="1:22" s="1192" customFormat="1" ht="14.4" x14ac:dyDescent="0.3">
      <c r="A15229" s="1192" t="s">
        <v>200</v>
      </c>
      <c r="E15229" s="1745" t="s">
        <v>3666</v>
      </c>
      <c r="F15229" s="1745"/>
      <c r="G15229" s="1277" t="s">
        <v>19</v>
      </c>
      <c r="H15229" s="1218">
        <v>50</v>
      </c>
      <c r="V15229" s="1399">
        <v>51</v>
      </c>
    </row>
    <row r="15230" spans="1:22" s="1192" customFormat="1" ht="14.4" x14ac:dyDescent="0.3">
      <c r="A15230" s="1192" t="s">
        <v>200</v>
      </c>
      <c r="E15230" s="1745" t="s">
        <v>3667</v>
      </c>
      <c r="F15230" s="1745"/>
      <c r="G15230" s="1277" t="s">
        <v>19</v>
      </c>
      <c r="H15230" s="1218">
        <v>185</v>
      </c>
      <c r="V15230" s="1399">
        <v>51</v>
      </c>
    </row>
    <row r="15231" spans="1:22" s="1192" customFormat="1" ht="14.4" x14ac:dyDescent="0.3">
      <c r="A15231" s="1192" t="s">
        <v>200</v>
      </c>
      <c r="E15231" s="1745" t="s">
        <v>3668</v>
      </c>
      <c r="F15231" s="1745"/>
      <c r="G15231" s="1277" t="s">
        <v>19</v>
      </c>
      <c r="H15231" s="1218">
        <v>415</v>
      </c>
      <c r="V15231" s="1399">
        <v>50</v>
      </c>
    </row>
    <row r="15232" spans="1:22" s="1192" customFormat="1" ht="14.4" x14ac:dyDescent="0.3">
      <c r="A15232" s="1192" t="s">
        <v>200</v>
      </c>
      <c r="E15232" s="1745" t="s">
        <v>6853</v>
      </c>
      <c r="F15232" s="1745"/>
      <c r="G15232" s="1277" t="s">
        <v>19</v>
      </c>
      <c r="H15232" s="1218">
        <v>25</v>
      </c>
      <c r="V15232" s="1399">
        <v>57</v>
      </c>
    </row>
    <row r="15233" spans="1:22" s="1192" customFormat="1" ht="14.4" x14ac:dyDescent="0.3">
      <c r="A15233" s="1192" t="s">
        <v>200</v>
      </c>
      <c r="E15233" s="1745" t="s">
        <v>6854</v>
      </c>
      <c r="F15233" s="1745"/>
      <c r="G15233" s="1277" t="s">
        <v>19</v>
      </c>
      <c r="H15233" s="1218">
        <v>50</v>
      </c>
      <c r="V15233" s="1399">
        <v>56</v>
      </c>
    </row>
    <row r="15234" spans="1:22" s="1192" customFormat="1" ht="14.4" x14ac:dyDescent="0.3">
      <c r="A15234" s="1192" t="s">
        <v>200</v>
      </c>
      <c r="E15234" s="1387" t="s">
        <v>2474</v>
      </c>
      <c r="F15234" s="453"/>
      <c r="G15234" s="360"/>
      <c r="H15234" s="837"/>
      <c r="V15234" s="1399">
        <v>5</v>
      </c>
    </row>
    <row r="15235" spans="1:22" s="1192" customFormat="1" ht="14.4" x14ac:dyDescent="0.3">
      <c r="A15235" s="1192" t="s">
        <v>200</v>
      </c>
      <c r="E15235" s="1745" t="s">
        <v>2477</v>
      </c>
      <c r="F15235" s="1745"/>
      <c r="G15235" s="1277" t="s">
        <v>19</v>
      </c>
      <c r="H15235" s="1218">
        <v>30</v>
      </c>
      <c r="V15235" s="1399">
        <v>39</v>
      </c>
    </row>
    <row r="15236" spans="1:22" s="1192" customFormat="1" ht="14.4" x14ac:dyDescent="0.3">
      <c r="A15236" s="1192" t="s">
        <v>200</v>
      </c>
      <c r="E15236" s="1745" t="s">
        <v>2478</v>
      </c>
      <c r="F15236" s="1745"/>
      <c r="G15236" s="1277" t="s">
        <v>19</v>
      </c>
      <c r="H15236" s="1218">
        <v>165</v>
      </c>
      <c r="V15236" s="1399">
        <v>34</v>
      </c>
    </row>
    <row r="15237" spans="1:22" s="1192" customFormat="1" ht="14.4" x14ac:dyDescent="0.3">
      <c r="A15237" s="1192" t="s">
        <v>200</v>
      </c>
      <c r="E15237" s="1745" t="s">
        <v>2703</v>
      </c>
      <c r="F15237" s="1745"/>
      <c r="G15237" s="1277" t="s">
        <v>19</v>
      </c>
      <c r="H15237" s="1218">
        <v>500</v>
      </c>
      <c r="V15237" s="1399">
        <v>64</v>
      </c>
    </row>
    <row r="15238" spans="1:22" s="1192" customFormat="1" ht="14.4" x14ac:dyDescent="0.3">
      <c r="A15238" s="1192" t="s">
        <v>200</v>
      </c>
      <c r="E15238" s="1745" t="s">
        <v>2758</v>
      </c>
      <c r="F15238" s="1745"/>
      <c r="G15238" s="1277" t="s">
        <v>19</v>
      </c>
      <c r="H15238" s="1218">
        <v>300</v>
      </c>
      <c r="V15238" s="1399">
        <v>67</v>
      </c>
    </row>
    <row r="15239" spans="1:22" s="1192" customFormat="1" ht="14.4" x14ac:dyDescent="0.3">
      <c r="A15239" s="1192" t="s">
        <v>200</v>
      </c>
      <c r="E15239" s="1745" t="s">
        <v>2759</v>
      </c>
      <c r="F15239" s="1745"/>
      <c r="G15239" s="1277" t="s">
        <v>19</v>
      </c>
      <c r="H15239" s="1218">
        <v>1000</v>
      </c>
      <c r="V15239" s="1399">
        <v>66</v>
      </c>
    </row>
    <row r="15240" spans="1:22" s="1192" customFormat="1" ht="14.4" x14ac:dyDescent="0.3">
      <c r="A15240" s="1192" t="s">
        <v>200</v>
      </c>
      <c r="E15240" s="1745" t="s">
        <v>2760</v>
      </c>
      <c r="F15240" s="1745"/>
      <c r="G15240" s="1277" t="s">
        <v>19</v>
      </c>
      <c r="H15240" s="1218">
        <v>43.63</v>
      </c>
      <c r="V15240" s="1399">
        <v>59</v>
      </c>
    </row>
    <row r="15241" spans="1:22" s="1192" customFormat="1" ht="14.4" x14ac:dyDescent="0.3">
      <c r="A15241" s="1192" t="s">
        <v>200</v>
      </c>
      <c r="E15241" s="1745" t="s">
        <v>2476</v>
      </c>
      <c r="F15241" s="1745"/>
      <c r="G15241" s="1277"/>
      <c r="H15241" s="837"/>
      <c r="V15241" s="1399">
        <v>44</v>
      </c>
    </row>
    <row r="15242" spans="1:22" s="1192" customFormat="1" ht="14.4" x14ac:dyDescent="0.3">
      <c r="A15242" s="1192" t="s">
        <v>200</v>
      </c>
      <c r="E15242" s="1986" t="s">
        <v>6855</v>
      </c>
      <c r="F15242" s="1986"/>
      <c r="G15242" s="1277"/>
      <c r="H15242" s="837"/>
      <c r="V15242" s="1399">
        <v>168</v>
      </c>
    </row>
    <row r="15243" spans="1:22" s="1192" customFormat="1" ht="35.4" x14ac:dyDescent="0.35">
      <c r="A15243" s="1192" t="s">
        <v>200</v>
      </c>
      <c r="E15243" s="1388" t="s">
        <v>73</v>
      </c>
      <c r="F15243" s="550"/>
      <c r="G15243" s="550"/>
      <c r="H15243" s="881"/>
      <c r="K15243" s="1192" t="s">
        <v>6856</v>
      </c>
      <c r="V15243" s="1399">
        <v>38</v>
      </c>
    </row>
    <row r="15244" spans="1:22" s="1192" customFormat="1" ht="14.4" x14ac:dyDescent="0.3">
      <c r="A15244" s="1192" t="s">
        <v>200</v>
      </c>
      <c r="E15244" s="1743" t="s">
        <v>2391</v>
      </c>
      <c r="F15244" s="1743"/>
      <c r="G15244" s="1743"/>
      <c r="H15244" s="1743"/>
      <c r="V15244" s="1399">
        <v>280</v>
      </c>
    </row>
    <row r="15245" spans="1:22" s="1192" customFormat="1" ht="14.4" x14ac:dyDescent="0.3">
      <c r="A15245" s="1192" t="s">
        <v>200</v>
      </c>
      <c r="E15245" s="1743" t="s">
        <v>2392</v>
      </c>
      <c r="F15245" s="1743"/>
      <c r="G15245" s="1743"/>
      <c r="H15245" s="1743"/>
      <c r="V15245" s="1399">
        <v>411</v>
      </c>
    </row>
    <row r="15246" spans="1:22" s="1192" customFormat="1" ht="14.4" x14ac:dyDescent="0.3">
      <c r="A15246" s="1192" t="s">
        <v>200</v>
      </c>
      <c r="E15246" s="1743" t="s">
        <v>2445</v>
      </c>
      <c r="F15246" s="1743"/>
      <c r="G15246" s="1743"/>
      <c r="H15246" s="1743"/>
      <c r="V15246" s="1399">
        <v>211</v>
      </c>
    </row>
    <row r="15247" spans="1:22" s="1192" customFormat="1" ht="14.4" x14ac:dyDescent="0.3">
      <c r="A15247" s="1192" t="s">
        <v>200</v>
      </c>
      <c r="E15247" s="1743" t="s">
        <v>4500</v>
      </c>
      <c r="F15247" s="1743"/>
      <c r="G15247" s="1743"/>
      <c r="H15247" s="1743"/>
      <c r="V15247" s="1399">
        <v>247</v>
      </c>
    </row>
    <row r="15248" spans="1:22" s="1192" customFormat="1" ht="14.4" x14ac:dyDescent="0.3">
      <c r="A15248" s="1192" t="s">
        <v>200</v>
      </c>
      <c r="E15248" s="1743" t="s">
        <v>2595</v>
      </c>
      <c r="F15248" s="1743"/>
      <c r="G15248" s="1743"/>
      <c r="H15248" s="1743"/>
      <c r="V15248" s="1399">
        <v>142</v>
      </c>
    </row>
    <row r="15249" spans="1:22" s="1192" customFormat="1" ht="14.4" x14ac:dyDescent="0.3">
      <c r="A15249" s="1192" t="s">
        <v>200</v>
      </c>
      <c r="E15249" s="1740" t="s">
        <v>2485</v>
      </c>
      <c r="F15249" s="1740"/>
      <c r="G15249" s="360" t="s">
        <v>19</v>
      </c>
      <c r="H15249" s="1218">
        <v>100</v>
      </c>
      <c r="V15249" s="1399">
        <v>106</v>
      </c>
    </row>
    <row r="15250" spans="1:22" s="1192" customFormat="1" ht="14.4" x14ac:dyDescent="0.3">
      <c r="A15250" s="1192" t="s">
        <v>200</v>
      </c>
      <c r="E15250" s="1740" t="s">
        <v>3919</v>
      </c>
      <c r="F15250" s="1740"/>
      <c r="G15250" s="360" t="s">
        <v>19</v>
      </c>
      <c r="H15250" s="1218">
        <v>40</v>
      </c>
      <c r="V15250" s="1399">
        <v>34</v>
      </c>
    </row>
    <row r="15251" spans="1:22" s="1192" customFormat="1" ht="14.4" x14ac:dyDescent="0.3">
      <c r="A15251" s="1192" t="s">
        <v>200</v>
      </c>
      <c r="E15251" s="1740" t="s">
        <v>3920</v>
      </c>
      <c r="F15251" s="1740"/>
      <c r="G15251" s="360" t="s">
        <v>2488</v>
      </c>
      <c r="H15251" s="1218">
        <v>1</v>
      </c>
      <c r="V15251" s="1399">
        <v>51</v>
      </c>
    </row>
    <row r="15252" spans="1:22" s="1192" customFormat="1" ht="14.4" x14ac:dyDescent="0.3">
      <c r="A15252" s="1192" t="s">
        <v>200</v>
      </c>
      <c r="E15252" s="1740" t="s">
        <v>2489</v>
      </c>
      <c r="F15252" s="1740"/>
      <c r="G15252" s="360" t="s">
        <v>2488</v>
      </c>
      <c r="H15252" s="1218">
        <v>0.6</v>
      </c>
      <c r="V15252" s="1399">
        <v>75</v>
      </c>
    </row>
    <row r="15253" spans="1:22" s="1192" customFormat="1" ht="14.4" x14ac:dyDescent="0.3">
      <c r="A15253" s="1192" t="s">
        <v>200</v>
      </c>
      <c r="E15253" s="1740" t="s">
        <v>2490</v>
      </c>
      <c r="F15253" s="1740"/>
      <c r="G15253" s="360" t="s">
        <v>2488</v>
      </c>
      <c r="H15253" s="1218">
        <v>-0.6</v>
      </c>
      <c r="V15253" s="1399">
        <v>72</v>
      </c>
    </row>
    <row r="15254" spans="1:22" s="1192" customFormat="1" ht="14.4" x14ac:dyDescent="0.3">
      <c r="A15254" s="1192" t="s">
        <v>200</v>
      </c>
      <c r="E15254" s="1740" t="s">
        <v>2596</v>
      </c>
      <c r="F15254" s="1740"/>
      <c r="G15254" s="360"/>
      <c r="H15254" s="837"/>
      <c r="V15254" s="1399">
        <v>34</v>
      </c>
    </row>
    <row r="15255" spans="1:22" s="1192" customFormat="1" ht="14.4" x14ac:dyDescent="0.3">
      <c r="A15255" s="1192" t="s">
        <v>200</v>
      </c>
      <c r="E15255" s="1742" t="s">
        <v>2492</v>
      </c>
      <c r="F15255" s="1742"/>
      <c r="G15255" s="360" t="s">
        <v>19</v>
      </c>
      <c r="H15255" s="1218">
        <v>0.5</v>
      </c>
      <c r="V15255" s="1399">
        <v>57</v>
      </c>
    </row>
    <row r="15256" spans="1:22" s="1192" customFormat="1" ht="14.4" x14ac:dyDescent="0.3">
      <c r="A15256" s="1192" t="s">
        <v>200</v>
      </c>
      <c r="E15256" s="1742" t="s">
        <v>2493</v>
      </c>
      <c r="F15256" s="1742"/>
      <c r="G15256" s="360" t="s">
        <v>19</v>
      </c>
      <c r="H15256" s="1218">
        <v>1</v>
      </c>
      <c r="V15256" s="1399">
        <v>60</v>
      </c>
    </row>
    <row r="15257" spans="1:22" s="1192" customFormat="1" ht="14.4" x14ac:dyDescent="0.3">
      <c r="A15257" s="1192" t="s">
        <v>200</v>
      </c>
      <c r="E15257" s="1740" t="s">
        <v>2494</v>
      </c>
      <c r="F15257" s="1740"/>
      <c r="G15257" s="360"/>
      <c r="H15257" s="837"/>
      <c r="V15257" s="1399">
        <v>91</v>
      </c>
    </row>
    <row r="15258" spans="1:22" s="1192" customFormat="1" ht="14.4" x14ac:dyDescent="0.3">
      <c r="A15258" s="1192" t="s">
        <v>200</v>
      </c>
      <c r="E15258" s="1740" t="s">
        <v>2495</v>
      </c>
      <c r="F15258" s="1740"/>
      <c r="G15258" s="360"/>
      <c r="H15258" s="837"/>
      <c r="V15258" s="1399">
        <v>96</v>
      </c>
    </row>
    <row r="15259" spans="1:22" s="1192" customFormat="1" ht="14.4" x14ac:dyDescent="0.3">
      <c r="A15259" s="1192" t="s">
        <v>200</v>
      </c>
      <c r="E15259" s="1740" t="s">
        <v>2597</v>
      </c>
      <c r="F15259" s="1740"/>
      <c r="G15259" s="360"/>
      <c r="H15259" s="837"/>
      <c r="V15259" s="1399">
        <v>77</v>
      </c>
    </row>
    <row r="15260" spans="1:22" s="1192" customFormat="1" ht="14.4" x14ac:dyDescent="0.3">
      <c r="A15260" s="1192" t="s">
        <v>200</v>
      </c>
      <c r="E15260" s="1742" t="s">
        <v>2497</v>
      </c>
      <c r="F15260" s="1742"/>
      <c r="G15260" s="360" t="s">
        <v>19</v>
      </c>
      <c r="H15260" s="837" t="s">
        <v>2498</v>
      </c>
      <c r="V15260" s="1399">
        <v>18</v>
      </c>
    </row>
    <row r="15261" spans="1:22" s="1192" customFormat="1" ht="14.4" x14ac:dyDescent="0.3">
      <c r="A15261" s="1192" t="s">
        <v>200</v>
      </c>
      <c r="E15261" s="1742" t="s">
        <v>2499</v>
      </c>
      <c r="F15261" s="1742"/>
      <c r="G15261" s="360" t="s">
        <v>19</v>
      </c>
      <c r="H15261" s="1218">
        <v>4</v>
      </c>
      <c r="V15261" s="1399">
        <v>69</v>
      </c>
    </row>
    <row r="15262" spans="1:22" s="1192" customFormat="1" ht="14.4" x14ac:dyDescent="0.3">
      <c r="A15262" s="1192" t="s">
        <v>200</v>
      </c>
      <c r="E15262" s="1740" t="s">
        <v>4608</v>
      </c>
      <c r="F15262" s="1740"/>
      <c r="G15262" s="360" t="s">
        <v>19</v>
      </c>
      <c r="H15262" s="1218">
        <v>2</v>
      </c>
      <c r="V15262" s="1399">
        <v>199</v>
      </c>
    </row>
    <row r="15263" spans="1:22" s="1192" customFormat="1" x14ac:dyDescent="0.35">
      <c r="A15263" s="1192" t="s">
        <v>200</v>
      </c>
      <c r="E15263" s="1388" t="s">
        <v>143</v>
      </c>
      <c r="F15263" s="550"/>
      <c r="G15263" s="550"/>
      <c r="H15263" s="881"/>
      <c r="K15263" s="1192" t="s">
        <v>6857</v>
      </c>
      <c r="V15263" s="1399">
        <v>12</v>
      </c>
    </row>
    <row r="15264" spans="1:22" s="1192" customFormat="1" ht="14.4" x14ac:dyDescent="0.3">
      <c r="A15264" s="1192" t="s">
        <v>200</v>
      </c>
      <c r="E15264" s="1741" t="s">
        <v>2501</v>
      </c>
      <c r="F15264" s="1741"/>
      <c r="G15264" s="1741"/>
      <c r="H15264" s="1741"/>
      <c r="V15264" s="1399">
        <v>203</v>
      </c>
    </row>
    <row r="15265" spans="1:22" s="1192" customFormat="1" ht="14.4" x14ac:dyDescent="0.3">
      <c r="A15265" s="1192" t="s">
        <v>200</v>
      </c>
      <c r="E15265" s="1740" t="s">
        <v>2599</v>
      </c>
      <c r="F15265" s="1740"/>
      <c r="G15265" s="1277"/>
      <c r="H15265" s="837">
        <v>1.0771999999999999</v>
      </c>
      <c r="V15265" s="1399">
        <v>57</v>
      </c>
    </row>
    <row r="15266" spans="1:22" s="1192" customFormat="1" ht="14.4" x14ac:dyDescent="0.3">
      <c r="A15266" s="1192" t="s">
        <v>200</v>
      </c>
      <c r="E15266" s="1740" t="s">
        <v>2601</v>
      </c>
      <c r="F15266" s="1740"/>
      <c r="G15266" s="1277"/>
      <c r="H15266" s="837">
        <v>1.0664</v>
      </c>
      <c r="J15266" s="1192" t="s">
        <v>6858</v>
      </c>
      <c r="V15266" s="1399">
        <v>55</v>
      </c>
    </row>
    <row r="15267" spans="1:22" s="1192" customFormat="1" ht="22.8" x14ac:dyDescent="0.3">
      <c r="A15267" s="1192" t="s">
        <v>236</v>
      </c>
      <c r="C15267" s="1192" t="s">
        <v>2378</v>
      </c>
      <c r="E15267" s="1752" t="s">
        <v>236</v>
      </c>
      <c r="F15267" s="1752"/>
      <c r="G15267" s="1752"/>
      <c r="H15267" s="1752"/>
      <c r="I15267" s="1192" t="s">
        <v>603</v>
      </c>
      <c r="J15267" s="1192" t="s">
        <v>6859</v>
      </c>
      <c r="K15267" s="1192" t="s">
        <v>236</v>
      </c>
      <c r="M15267" s="1399">
        <v>8</v>
      </c>
      <c r="V15267" s="1399">
        <v>38</v>
      </c>
    </row>
    <row r="15268" spans="1:22" s="1192" customFormat="1" ht="17.399999999999999" x14ac:dyDescent="0.3">
      <c r="A15268" s="1192" t="s">
        <v>236</v>
      </c>
      <c r="C15268" s="1192" t="s">
        <v>2380</v>
      </c>
      <c r="E15268" s="1753" t="s">
        <v>2381</v>
      </c>
      <c r="F15268" s="1753"/>
      <c r="G15268" s="1753"/>
      <c r="H15268" s="1753"/>
      <c r="V15268" s="1399">
        <v>27</v>
      </c>
    </row>
    <row r="15269" spans="1:22" s="1192" customFormat="1" ht="15.6" x14ac:dyDescent="0.3">
      <c r="A15269" s="1192" t="s">
        <v>236</v>
      </c>
      <c r="C15269" s="1192" t="s">
        <v>2382</v>
      </c>
      <c r="E15269" s="1754" t="s">
        <v>6842</v>
      </c>
      <c r="F15269" s="1754"/>
      <c r="G15269" s="1754"/>
      <c r="H15269" s="1754"/>
      <c r="S15269" s="1192">
        <v>43586</v>
      </c>
      <c r="V15269" s="1399">
        <v>45</v>
      </c>
    </row>
    <row r="15270" spans="1:22" s="1192" customFormat="1" ht="14.4" x14ac:dyDescent="0.3">
      <c r="A15270" s="1192" t="s">
        <v>236</v>
      </c>
      <c r="C15270" s="1192" t="s">
        <v>2383</v>
      </c>
      <c r="E15270" s="1755" t="s">
        <v>2384</v>
      </c>
      <c r="F15270" s="1755"/>
      <c r="G15270" s="1755"/>
      <c r="H15270" s="1755"/>
      <c r="V15270" s="1399">
        <v>52</v>
      </c>
    </row>
    <row r="15271" spans="1:22" s="1192" customFormat="1" ht="14.4" x14ac:dyDescent="0.3">
      <c r="A15271" s="1192" t="s">
        <v>236</v>
      </c>
      <c r="E15271" s="1755" t="s">
        <v>2385</v>
      </c>
      <c r="F15271" s="1755"/>
      <c r="G15271" s="1755"/>
      <c r="H15271" s="1755"/>
      <c r="V15271" s="1399">
        <v>53</v>
      </c>
    </row>
    <row r="15272" spans="1:22" s="1192" customFormat="1" ht="14.4" x14ac:dyDescent="0.3">
      <c r="A15272" s="1192" t="s">
        <v>236</v>
      </c>
      <c r="E15272" s="1772" t="s">
        <v>6860</v>
      </c>
      <c r="F15272" s="1772"/>
      <c r="G15272" s="1772"/>
      <c r="H15272" s="1772"/>
      <c r="K15272" s="1192" t="s">
        <v>6860</v>
      </c>
      <c r="V15272" s="1399">
        <v>12</v>
      </c>
    </row>
    <row r="15273" spans="1:22" s="1192" customFormat="1" ht="14.4" x14ac:dyDescent="0.3">
      <c r="A15273" s="1192" t="s">
        <v>236</v>
      </c>
      <c r="E15273" s="1746" t="s">
        <v>427</v>
      </c>
      <c r="F15273" s="1988"/>
      <c r="G15273" s="1988"/>
      <c r="H15273" s="1988"/>
      <c r="K15273" s="1192" t="s">
        <v>2506</v>
      </c>
      <c r="V15273" s="1399">
        <v>34</v>
      </c>
    </row>
    <row r="15274" spans="1:22" s="1192" customFormat="1" ht="14.4" x14ac:dyDescent="0.3">
      <c r="A15274" s="1192" t="s">
        <v>236</v>
      </c>
      <c r="E15274" s="1743" t="s">
        <v>6861</v>
      </c>
      <c r="F15274" s="1743"/>
      <c r="G15274" s="1743"/>
      <c r="H15274" s="1743"/>
      <c r="K15274" s="1192" t="s">
        <v>2506</v>
      </c>
      <c r="V15274" s="1399">
        <v>608</v>
      </c>
    </row>
    <row r="15275" spans="1:22" s="1192" customFormat="1" ht="14.4" x14ac:dyDescent="0.3">
      <c r="A15275" s="1192" t="s">
        <v>236</v>
      </c>
      <c r="E15275" s="1750" t="s">
        <v>2389</v>
      </c>
      <c r="F15275" s="1988"/>
      <c r="G15275" s="1988"/>
      <c r="H15275" s="1988"/>
      <c r="K15275" s="1192" t="s">
        <v>2390</v>
      </c>
      <c r="V15275" s="1399">
        <v>11</v>
      </c>
    </row>
    <row r="15276" spans="1:22" s="1192" customFormat="1" ht="14.4" x14ac:dyDescent="0.3">
      <c r="A15276" s="1192" t="s">
        <v>236</v>
      </c>
      <c r="E15276" s="1743" t="s">
        <v>2391</v>
      </c>
      <c r="F15276" s="1743"/>
      <c r="G15276" s="1743"/>
      <c r="H15276" s="1743"/>
      <c r="K15276" s="1192" t="s">
        <v>2506</v>
      </c>
      <c r="V15276" s="1399">
        <v>280</v>
      </c>
    </row>
    <row r="15277" spans="1:22" s="1192" customFormat="1" ht="14.4" x14ac:dyDescent="0.3">
      <c r="A15277" s="1192" t="s">
        <v>236</v>
      </c>
      <c r="E15277" s="1743" t="s">
        <v>2392</v>
      </c>
      <c r="F15277" s="1743"/>
      <c r="G15277" s="1743"/>
      <c r="H15277" s="1743"/>
      <c r="K15277" s="1192" t="s">
        <v>2506</v>
      </c>
      <c r="V15277" s="1399">
        <v>411</v>
      </c>
    </row>
    <row r="15278" spans="1:22" s="1192" customFormat="1" ht="14.4" x14ac:dyDescent="0.3">
      <c r="A15278" s="1192" t="s">
        <v>236</v>
      </c>
      <c r="E15278" s="1743" t="s">
        <v>2508</v>
      </c>
      <c r="F15278" s="1743"/>
      <c r="G15278" s="1743"/>
      <c r="H15278" s="1743"/>
      <c r="K15278" s="1192" t="s">
        <v>2506</v>
      </c>
      <c r="V15278" s="1399">
        <v>386</v>
      </c>
    </row>
    <row r="15279" spans="1:22" s="1192" customFormat="1" ht="14.4" x14ac:dyDescent="0.3">
      <c r="A15279" s="1192" t="s">
        <v>236</v>
      </c>
      <c r="E15279" s="1743" t="s">
        <v>4500</v>
      </c>
      <c r="F15279" s="1743"/>
      <c r="G15279" s="1743"/>
      <c r="H15279" s="1743"/>
      <c r="K15279" s="1192" t="s">
        <v>2506</v>
      </c>
      <c r="V15279" s="1399">
        <v>247</v>
      </c>
    </row>
    <row r="15280" spans="1:22" s="1192" customFormat="1" ht="14.4" x14ac:dyDescent="0.3">
      <c r="A15280" s="1192" t="s">
        <v>236</v>
      </c>
      <c r="E15280" s="1748" t="s">
        <v>2394</v>
      </c>
      <c r="F15280" s="1749"/>
      <c r="G15280" s="1749"/>
      <c r="H15280" s="1749"/>
      <c r="K15280" s="1192" t="s">
        <v>2395</v>
      </c>
      <c r="V15280" s="1399">
        <v>46</v>
      </c>
    </row>
    <row r="15281" spans="1:22" s="1192" customFormat="1" ht="14.4" x14ac:dyDescent="0.3">
      <c r="A15281" s="1192" t="s">
        <v>236</v>
      </c>
      <c r="E15281" s="1740" t="s">
        <v>7</v>
      </c>
      <c r="F15281" s="1740"/>
      <c r="G15281" s="1277" t="s">
        <v>19</v>
      </c>
      <c r="H15281" s="1218">
        <v>22.62</v>
      </c>
      <c r="K15281" s="1192" t="s">
        <v>2506</v>
      </c>
      <c r="L15281" s="1192" t="s">
        <v>430</v>
      </c>
      <c r="P15281" s="1192" t="s">
        <v>2510</v>
      </c>
      <c r="V15281" s="1399">
        <v>14</v>
      </c>
    </row>
    <row r="15282" spans="1:22" s="1192" customFormat="1" ht="14.4" x14ac:dyDescent="0.3">
      <c r="A15282" s="1192" t="s">
        <v>236</v>
      </c>
      <c r="E15282" s="1740" t="s">
        <v>3900</v>
      </c>
      <c r="F15282" s="1740"/>
      <c r="G15282" s="1277" t="s">
        <v>19</v>
      </c>
      <c r="H15282" s="1218">
        <v>0.56999999999999995</v>
      </c>
      <c r="K15282" s="1192" t="s">
        <v>2506</v>
      </c>
      <c r="L15282" s="1192" t="s">
        <v>431</v>
      </c>
      <c r="P15282" s="1192" t="s">
        <v>2511</v>
      </c>
      <c r="T15282" s="1192">
        <v>44926</v>
      </c>
      <c r="V15282" s="1399">
        <v>64</v>
      </c>
    </row>
    <row r="15283" spans="1:22" s="1192" customFormat="1" ht="14.4" x14ac:dyDescent="0.3">
      <c r="A15283" s="1192" t="s">
        <v>236</v>
      </c>
      <c r="E15283" s="1740" t="s">
        <v>14</v>
      </c>
      <c r="F15283" s="1740"/>
      <c r="G15283" s="1277" t="s">
        <v>20</v>
      </c>
      <c r="H15283" s="1219">
        <v>1E-3</v>
      </c>
      <c r="K15283" s="1192" t="s">
        <v>2506</v>
      </c>
      <c r="L15283" s="1192" t="s">
        <v>431</v>
      </c>
      <c r="P15283" s="1192" t="s">
        <v>2513</v>
      </c>
      <c r="V15283" s="1399">
        <v>24</v>
      </c>
    </row>
    <row r="15284" spans="1:22" s="1192" customFormat="1" ht="14.4" x14ac:dyDescent="0.3">
      <c r="A15284" s="1192" t="s">
        <v>236</v>
      </c>
      <c r="E15284" s="1740" t="s">
        <v>213</v>
      </c>
      <c r="F15284" s="1740"/>
      <c r="G15284" s="1277" t="s">
        <v>20</v>
      </c>
      <c r="H15284" s="1219">
        <v>6.7000000000000002E-3</v>
      </c>
      <c r="K15284" s="1192" t="s">
        <v>2506</v>
      </c>
      <c r="L15284" s="1192" t="s">
        <v>432</v>
      </c>
      <c r="P15284" s="1192" t="s">
        <v>2517</v>
      </c>
      <c r="V15284" s="1399">
        <v>47</v>
      </c>
    </row>
    <row r="15285" spans="1:22" s="1192" customFormat="1" ht="14.4" x14ac:dyDescent="0.3">
      <c r="A15285" s="1192" t="s">
        <v>236</v>
      </c>
      <c r="E15285" s="1740" t="s">
        <v>209</v>
      </c>
      <c r="F15285" s="1740"/>
      <c r="G15285" s="1277" t="s">
        <v>20</v>
      </c>
      <c r="H15285" s="1219">
        <v>5.4999999999999997E-3</v>
      </c>
      <c r="K15285" s="1192" t="s">
        <v>2506</v>
      </c>
      <c r="L15285" s="1192" t="s">
        <v>432</v>
      </c>
      <c r="P15285" s="1192" t="s">
        <v>2518</v>
      </c>
      <c r="V15285" s="1399">
        <v>74</v>
      </c>
    </row>
    <row r="15286" spans="1:22" s="1192" customFormat="1" ht="14.4" x14ac:dyDescent="0.3">
      <c r="A15286" s="1192" t="s">
        <v>236</v>
      </c>
      <c r="E15286" s="1748" t="s">
        <v>2405</v>
      </c>
      <c r="F15286" s="1740"/>
      <c r="G15286" s="1277"/>
      <c r="H15286" s="896"/>
      <c r="K15286" s="1192" t="s">
        <v>2406</v>
      </c>
      <c r="V15286" s="1399">
        <v>48</v>
      </c>
    </row>
    <row r="15287" spans="1:22" s="1192" customFormat="1" ht="14.4" x14ac:dyDescent="0.3">
      <c r="A15287" s="1192" t="s">
        <v>236</v>
      </c>
      <c r="E15287" s="1740" t="s">
        <v>2033</v>
      </c>
      <c r="F15287" s="1740"/>
      <c r="G15287" s="1277" t="s">
        <v>20</v>
      </c>
      <c r="H15287" s="1219">
        <v>3.0000000000000001E-3</v>
      </c>
      <c r="K15287" s="1192" t="s">
        <v>2506</v>
      </c>
      <c r="L15287" s="1192" t="s">
        <v>2374</v>
      </c>
      <c r="P15287" s="1192" t="s">
        <v>2519</v>
      </c>
      <c r="V15287" s="1399">
        <v>55</v>
      </c>
    </row>
    <row r="15288" spans="1:22" s="1192" customFormat="1" ht="14.4" x14ac:dyDescent="0.3">
      <c r="A15288" s="1192" t="s">
        <v>236</v>
      </c>
      <c r="E15288" s="1740" t="s">
        <v>2034</v>
      </c>
      <c r="F15288" s="1740"/>
      <c r="G15288" s="1277" t="s">
        <v>20</v>
      </c>
      <c r="H15288" s="1219">
        <v>4.0000000000000002E-4</v>
      </c>
      <c r="K15288" s="1192" t="s">
        <v>2506</v>
      </c>
      <c r="L15288" s="1192" t="s">
        <v>2374</v>
      </c>
      <c r="P15288" s="1192" t="s">
        <v>2519</v>
      </c>
      <c r="V15288" s="1399">
        <v>65</v>
      </c>
    </row>
    <row r="15289" spans="1:22" s="1192" customFormat="1" ht="14.4" x14ac:dyDescent="0.3">
      <c r="A15289" s="1192" t="s">
        <v>236</v>
      </c>
      <c r="E15289" s="1740" t="s">
        <v>428</v>
      </c>
      <c r="F15289" s="1740"/>
      <c r="G15289" s="1277" t="s">
        <v>20</v>
      </c>
      <c r="H15289" s="1219">
        <v>5.0000000000000001E-4</v>
      </c>
      <c r="K15289" s="1192" t="s">
        <v>2506</v>
      </c>
      <c r="L15289" s="1192" t="s">
        <v>2374</v>
      </c>
      <c r="P15289" s="1192" t="s">
        <v>2520</v>
      </c>
      <c r="V15289" s="1399">
        <v>57</v>
      </c>
    </row>
    <row r="15290" spans="1:22" s="1192" customFormat="1" ht="14.4" x14ac:dyDescent="0.3">
      <c r="A15290" s="1192" t="s">
        <v>236</v>
      </c>
      <c r="E15290" s="1740" t="s">
        <v>28</v>
      </c>
      <c r="F15290" s="1740"/>
      <c r="G15290" s="1277" t="s">
        <v>19</v>
      </c>
      <c r="H15290" s="1218">
        <v>0.25</v>
      </c>
      <c r="K15290" s="1192" t="s">
        <v>2506</v>
      </c>
      <c r="L15290" s="1192" t="s">
        <v>2374</v>
      </c>
      <c r="P15290" s="1192" t="s">
        <v>2521</v>
      </c>
      <c r="V15290" s="1399">
        <v>63</v>
      </c>
    </row>
    <row r="15291" spans="1:22" s="1192" customFormat="1" ht="17.399999999999999" x14ac:dyDescent="0.3">
      <c r="A15291" s="1192" t="s">
        <v>236</v>
      </c>
      <c r="E15291" s="1746" t="s">
        <v>2522</v>
      </c>
      <c r="F15291" s="1987"/>
      <c r="G15291" s="1987"/>
      <c r="H15291" s="1987"/>
      <c r="K15291" s="1192" t="s">
        <v>3901</v>
      </c>
      <c r="V15291" s="1399">
        <v>54</v>
      </c>
    </row>
    <row r="15292" spans="1:22" s="1192" customFormat="1" ht="14.4" x14ac:dyDescent="0.3">
      <c r="A15292" s="1192" t="s">
        <v>236</v>
      </c>
      <c r="E15292" s="1743" t="s">
        <v>6862</v>
      </c>
      <c r="F15292" s="1743"/>
      <c r="G15292" s="1743"/>
      <c r="H15292" s="1743"/>
      <c r="K15292" s="1192" t="s">
        <v>3901</v>
      </c>
      <c r="V15292" s="1399">
        <v>485</v>
      </c>
    </row>
    <row r="15293" spans="1:22" s="1192" customFormat="1" ht="14.4" x14ac:dyDescent="0.3">
      <c r="A15293" s="1192" t="s">
        <v>236</v>
      </c>
      <c r="E15293" s="1750" t="s">
        <v>2389</v>
      </c>
      <c r="F15293" s="1988"/>
      <c r="G15293" s="1988"/>
      <c r="H15293" s="1988"/>
      <c r="K15293" s="1192" t="s">
        <v>2412</v>
      </c>
      <c r="V15293" s="1399">
        <v>11</v>
      </c>
    </row>
    <row r="15294" spans="1:22" s="1192" customFormat="1" ht="14.4" x14ac:dyDescent="0.3">
      <c r="A15294" s="1192" t="s">
        <v>236</v>
      </c>
      <c r="E15294" s="1743" t="s">
        <v>2391</v>
      </c>
      <c r="F15294" s="1743"/>
      <c r="G15294" s="1743"/>
      <c r="H15294" s="1743"/>
      <c r="K15294" s="1192" t="s">
        <v>3901</v>
      </c>
      <c r="V15294" s="1399">
        <v>280</v>
      </c>
    </row>
    <row r="15295" spans="1:22" s="1192" customFormat="1" ht="14.4" x14ac:dyDescent="0.3">
      <c r="A15295" s="1192" t="s">
        <v>236</v>
      </c>
      <c r="E15295" s="1743" t="s">
        <v>2392</v>
      </c>
      <c r="F15295" s="1743"/>
      <c r="G15295" s="1743"/>
      <c r="H15295" s="1743"/>
      <c r="K15295" s="1192" t="s">
        <v>3901</v>
      </c>
      <c r="V15295" s="1399">
        <v>411</v>
      </c>
    </row>
    <row r="15296" spans="1:22" s="1192" customFormat="1" ht="14.4" x14ac:dyDescent="0.3">
      <c r="A15296" s="1192" t="s">
        <v>236</v>
      </c>
      <c r="E15296" s="1743" t="s">
        <v>2508</v>
      </c>
      <c r="F15296" s="1743"/>
      <c r="G15296" s="1743"/>
      <c r="H15296" s="1743"/>
      <c r="K15296" s="1192" t="s">
        <v>3901</v>
      </c>
      <c r="V15296" s="1399">
        <v>386</v>
      </c>
    </row>
    <row r="15297" spans="1:22" s="1192" customFormat="1" ht="14.4" x14ac:dyDescent="0.3">
      <c r="A15297" s="1192" t="s">
        <v>236</v>
      </c>
      <c r="E15297" s="1743" t="s">
        <v>4500</v>
      </c>
      <c r="F15297" s="1743"/>
      <c r="G15297" s="1743"/>
      <c r="H15297" s="1743"/>
      <c r="K15297" s="1192" t="s">
        <v>3901</v>
      </c>
      <c r="V15297" s="1399">
        <v>247</v>
      </c>
    </row>
    <row r="15298" spans="1:22" s="1192" customFormat="1" ht="14.4" x14ac:dyDescent="0.3">
      <c r="A15298" s="1192" t="s">
        <v>236</v>
      </c>
      <c r="E15298" s="1748" t="s">
        <v>2394</v>
      </c>
      <c r="F15298" s="1749"/>
      <c r="G15298" s="1749"/>
      <c r="H15298" s="1749"/>
      <c r="K15298" s="1192" t="s">
        <v>2413</v>
      </c>
      <c r="V15298" s="1399">
        <v>46</v>
      </c>
    </row>
    <row r="15299" spans="1:22" s="1192" customFormat="1" ht="14.4" x14ac:dyDescent="0.3">
      <c r="A15299" s="1192" t="s">
        <v>236</v>
      </c>
      <c r="E15299" s="1740" t="s">
        <v>7</v>
      </c>
      <c r="F15299" s="1740"/>
      <c r="G15299" s="1277" t="s">
        <v>19</v>
      </c>
      <c r="H15299" s="1218">
        <v>31.36</v>
      </c>
      <c r="K15299" s="1192" t="s">
        <v>3901</v>
      </c>
      <c r="L15299" s="1192" t="s">
        <v>430</v>
      </c>
      <c r="P15299" s="1192" t="s">
        <v>3902</v>
      </c>
      <c r="V15299" s="1399">
        <v>14</v>
      </c>
    </row>
    <row r="15300" spans="1:22" s="1192" customFormat="1" ht="14.4" x14ac:dyDescent="0.3">
      <c r="A15300" s="1192" t="s">
        <v>236</v>
      </c>
      <c r="E15300" s="1740" t="s">
        <v>3900</v>
      </c>
      <c r="F15300" s="1740"/>
      <c r="G15300" s="1277" t="s">
        <v>19</v>
      </c>
      <c r="H15300" s="1218">
        <v>0.56999999999999995</v>
      </c>
      <c r="K15300" s="1192" t="s">
        <v>3901</v>
      </c>
      <c r="L15300" s="1192" t="s">
        <v>431</v>
      </c>
      <c r="P15300" s="1192" t="s">
        <v>3903</v>
      </c>
      <c r="T15300" s="1192">
        <v>44926</v>
      </c>
      <c r="V15300" s="1399">
        <v>64</v>
      </c>
    </row>
    <row r="15301" spans="1:22" s="1192" customFormat="1" ht="14.4" x14ac:dyDescent="0.3">
      <c r="A15301" s="1192" t="s">
        <v>236</v>
      </c>
      <c r="E15301" s="1740" t="s">
        <v>80</v>
      </c>
      <c r="F15301" s="1740"/>
      <c r="G15301" s="1277" t="s">
        <v>20</v>
      </c>
      <c r="H15301" s="1219">
        <v>8.8999999999999999E-3</v>
      </c>
      <c r="K15301" s="1192" t="s">
        <v>3901</v>
      </c>
      <c r="L15301" s="1192" t="s">
        <v>430</v>
      </c>
      <c r="P15301" s="1192" t="s">
        <v>3904</v>
      </c>
      <c r="V15301" s="1399">
        <v>28</v>
      </c>
    </row>
    <row r="15302" spans="1:22" s="1192" customFormat="1" ht="14.4" x14ac:dyDescent="0.3">
      <c r="A15302" s="1192" t="s">
        <v>236</v>
      </c>
      <c r="E15302" s="1740" t="s">
        <v>14</v>
      </c>
      <c r="F15302" s="1740"/>
      <c r="G15302" s="1277" t="s">
        <v>20</v>
      </c>
      <c r="H15302" s="1219">
        <v>8.9999999999999998E-4</v>
      </c>
      <c r="K15302" s="1192" t="s">
        <v>3901</v>
      </c>
      <c r="L15302" s="1192" t="s">
        <v>431</v>
      </c>
      <c r="P15302" s="1192" t="s">
        <v>3905</v>
      </c>
      <c r="V15302" s="1399">
        <v>24</v>
      </c>
    </row>
    <row r="15303" spans="1:22" s="1192" customFormat="1" ht="14.4" x14ac:dyDescent="0.3">
      <c r="A15303" s="1192" t="s">
        <v>236</v>
      </c>
      <c r="E15303" s="1740" t="s">
        <v>213</v>
      </c>
      <c r="F15303" s="1740"/>
      <c r="G15303" s="1277" t="s">
        <v>20</v>
      </c>
      <c r="H15303" s="1219">
        <v>6.1999999999999998E-3</v>
      </c>
      <c r="K15303" s="1192" t="s">
        <v>3901</v>
      </c>
      <c r="L15303" s="1192" t="s">
        <v>432</v>
      </c>
      <c r="P15303" s="1192" t="s">
        <v>3906</v>
      </c>
      <c r="V15303" s="1399">
        <v>47</v>
      </c>
    </row>
    <row r="15304" spans="1:22" s="1192" customFormat="1" ht="14.4" x14ac:dyDescent="0.3">
      <c r="A15304" s="1192" t="s">
        <v>236</v>
      </c>
      <c r="E15304" s="1740" t="s">
        <v>209</v>
      </c>
      <c r="F15304" s="1740"/>
      <c r="G15304" s="1277" t="s">
        <v>20</v>
      </c>
      <c r="H15304" s="1219">
        <v>5.0000000000000001E-3</v>
      </c>
      <c r="K15304" s="1192" t="s">
        <v>3901</v>
      </c>
      <c r="L15304" s="1192" t="s">
        <v>432</v>
      </c>
      <c r="P15304" s="1192" t="s">
        <v>3907</v>
      </c>
      <c r="V15304" s="1399">
        <v>74</v>
      </c>
    </row>
    <row r="15305" spans="1:22" s="1192" customFormat="1" ht="14.4" x14ac:dyDescent="0.3">
      <c r="A15305" s="1192" t="s">
        <v>236</v>
      </c>
      <c r="E15305" s="1748" t="s">
        <v>2405</v>
      </c>
      <c r="F15305" s="1740"/>
      <c r="G15305" s="1277"/>
      <c r="H15305" s="896"/>
      <c r="K15305" s="1192" t="s">
        <v>2418</v>
      </c>
      <c r="V15305" s="1399">
        <v>48</v>
      </c>
    </row>
    <row r="15306" spans="1:22" s="1192" customFormat="1" ht="14.4" x14ac:dyDescent="0.3">
      <c r="A15306" s="1192" t="s">
        <v>236</v>
      </c>
      <c r="E15306" s="1740" t="s">
        <v>2033</v>
      </c>
      <c r="F15306" s="1740"/>
      <c r="G15306" s="1277" t="s">
        <v>20</v>
      </c>
      <c r="H15306" s="1219">
        <v>3.0000000000000001E-3</v>
      </c>
      <c r="K15306" s="1192" t="s">
        <v>3901</v>
      </c>
      <c r="L15306" s="1192" t="s">
        <v>2374</v>
      </c>
      <c r="P15306" s="1192" t="s">
        <v>3908</v>
      </c>
      <c r="V15306" s="1399">
        <v>55</v>
      </c>
    </row>
    <row r="15307" spans="1:22" s="1192" customFormat="1" ht="14.4" x14ac:dyDescent="0.3">
      <c r="A15307" s="1192" t="s">
        <v>236</v>
      </c>
      <c r="E15307" s="1740" t="s">
        <v>2034</v>
      </c>
      <c r="F15307" s="1740"/>
      <c r="G15307" s="1277" t="s">
        <v>20</v>
      </c>
      <c r="H15307" s="1219">
        <v>4.0000000000000002E-4</v>
      </c>
      <c r="K15307" s="1192" t="s">
        <v>3901</v>
      </c>
      <c r="L15307" s="1192" t="s">
        <v>2374</v>
      </c>
      <c r="P15307" s="1192" t="s">
        <v>3908</v>
      </c>
      <c r="V15307" s="1399">
        <v>65</v>
      </c>
    </row>
    <row r="15308" spans="1:22" s="1192" customFormat="1" ht="14.4" x14ac:dyDescent="0.3">
      <c r="A15308" s="1192" t="s">
        <v>236</v>
      </c>
      <c r="E15308" s="1740" t="s">
        <v>428</v>
      </c>
      <c r="F15308" s="1740"/>
      <c r="G15308" s="1277" t="s">
        <v>20</v>
      </c>
      <c r="H15308" s="1219">
        <v>5.0000000000000001E-4</v>
      </c>
      <c r="K15308" s="1192" t="s">
        <v>3901</v>
      </c>
      <c r="L15308" s="1192" t="s">
        <v>2374</v>
      </c>
      <c r="P15308" s="1192" t="s">
        <v>3909</v>
      </c>
      <c r="V15308" s="1399">
        <v>57</v>
      </c>
    </row>
    <row r="15309" spans="1:22" s="1192" customFormat="1" ht="14.4" x14ac:dyDescent="0.3">
      <c r="A15309" s="1192" t="s">
        <v>236</v>
      </c>
      <c r="E15309" s="1740" t="s">
        <v>28</v>
      </c>
      <c r="F15309" s="1740"/>
      <c r="G15309" s="1277" t="s">
        <v>19</v>
      </c>
      <c r="H15309" s="1218">
        <v>0.25</v>
      </c>
      <c r="K15309" s="1192" t="s">
        <v>3901</v>
      </c>
      <c r="L15309" s="1192" t="s">
        <v>2374</v>
      </c>
      <c r="P15309" s="1192" t="s">
        <v>3910</v>
      </c>
      <c r="V15309" s="1399">
        <v>63</v>
      </c>
    </row>
    <row r="15310" spans="1:22" s="1192" customFormat="1" ht="17.399999999999999" x14ac:dyDescent="0.3">
      <c r="A15310" s="1192" t="s">
        <v>236</v>
      </c>
      <c r="E15310" s="1746" t="s">
        <v>591</v>
      </c>
      <c r="F15310" s="1987"/>
      <c r="G15310" s="1987"/>
      <c r="H15310" s="1987"/>
      <c r="K15310" s="1192" t="s">
        <v>4388</v>
      </c>
      <c r="V15310" s="1399">
        <v>53</v>
      </c>
    </row>
    <row r="15311" spans="1:22" s="1192" customFormat="1" ht="14.4" x14ac:dyDescent="0.3">
      <c r="A15311" s="1192" t="s">
        <v>236</v>
      </c>
      <c r="E15311" s="1743" t="s">
        <v>6863</v>
      </c>
      <c r="F15311" s="1743"/>
      <c r="G15311" s="1743"/>
      <c r="H15311" s="1743"/>
      <c r="K15311" s="1192" t="s">
        <v>4388</v>
      </c>
      <c r="V15311" s="1399">
        <v>1345</v>
      </c>
    </row>
    <row r="15312" spans="1:22" s="1192" customFormat="1" ht="14.4" x14ac:dyDescent="0.3">
      <c r="A15312" s="1192" t="s">
        <v>236</v>
      </c>
      <c r="E15312" s="1750" t="s">
        <v>2389</v>
      </c>
      <c r="F15312" s="1988"/>
      <c r="G15312" s="1988"/>
      <c r="H15312" s="1988"/>
      <c r="K15312" s="1192" t="s">
        <v>2422</v>
      </c>
      <c r="V15312" s="1399">
        <v>11</v>
      </c>
    </row>
    <row r="15313" spans="1:22" s="1192" customFormat="1" ht="14.4" x14ac:dyDescent="0.3">
      <c r="A15313" s="1192" t="s">
        <v>236</v>
      </c>
      <c r="E15313" s="1743" t="s">
        <v>2391</v>
      </c>
      <c r="F15313" s="1743"/>
      <c r="G15313" s="1743"/>
      <c r="H15313" s="1743"/>
      <c r="K15313" s="1192" t="s">
        <v>4388</v>
      </c>
      <c r="V15313" s="1399">
        <v>280</v>
      </c>
    </row>
    <row r="15314" spans="1:22" s="1192" customFormat="1" ht="14.4" x14ac:dyDescent="0.3">
      <c r="A15314" s="1192" t="s">
        <v>236</v>
      </c>
      <c r="E15314" s="1743" t="s">
        <v>2392</v>
      </c>
      <c r="F15314" s="1743"/>
      <c r="G15314" s="1743"/>
      <c r="H15314" s="1743"/>
      <c r="K15314" s="1192" t="s">
        <v>4388</v>
      </c>
      <c r="V15314" s="1399">
        <v>411</v>
      </c>
    </row>
    <row r="15315" spans="1:22" s="1192" customFormat="1" ht="14.4" x14ac:dyDescent="0.3">
      <c r="A15315" s="1192" t="s">
        <v>236</v>
      </c>
      <c r="E15315" s="1743" t="s">
        <v>2508</v>
      </c>
      <c r="F15315" s="1743"/>
      <c r="G15315" s="1743"/>
      <c r="H15315" s="1743"/>
      <c r="K15315" s="1192" t="s">
        <v>4388</v>
      </c>
      <c r="V15315" s="1399">
        <v>386</v>
      </c>
    </row>
    <row r="15316" spans="1:22" s="1192" customFormat="1" ht="14.4" x14ac:dyDescent="0.3">
      <c r="A15316" s="1192" t="s">
        <v>236</v>
      </c>
      <c r="E15316" s="1743" t="s">
        <v>4632</v>
      </c>
      <c r="F15316" s="1743"/>
      <c r="G15316" s="1743"/>
      <c r="H15316" s="1743"/>
      <c r="K15316" s="1192" t="s">
        <v>4388</v>
      </c>
      <c r="V15316" s="1399">
        <v>680</v>
      </c>
    </row>
    <row r="15317" spans="1:22" s="1192" customFormat="1" ht="14.4" x14ac:dyDescent="0.3">
      <c r="A15317" s="1192" t="s">
        <v>236</v>
      </c>
      <c r="E15317" s="1743" t="s">
        <v>4644</v>
      </c>
      <c r="F15317" s="1743"/>
      <c r="G15317" s="1743"/>
      <c r="H15317" s="1743"/>
      <c r="K15317" s="1192" t="s">
        <v>4388</v>
      </c>
      <c r="V15317" s="1399">
        <v>693</v>
      </c>
    </row>
    <row r="15318" spans="1:22" s="1192" customFormat="1" ht="14.4" x14ac:dyDescent="0.3">
      <c r="A15318" s="1192" t="s">
        <v>236</v>
      </c>
      <c r="E15318" s="1743" t="s">
        <v>4500</v>
      </c>
      <c r="F15318" s="1743"/>
      <c r="G15318" s="1743"/>
      <c r="H15318" s="1743"/>
      <c r="K15318" s="1192" t="s">
        <v>4388</v>
      </c>
      <c r="V15318" s="1399">
        <v>247</v>
      </c>
    </row>
    <row r="15319" spans="1:22" s="1192" customFormat="1" ht="14.4" x14ac:dyDescent="0.3">
      <c r="A15319" s="1192" t="s">
        <v>236</v>
      </c>
      <c r="E15319" s="1748" t="s">
        <v>2394</v>
      </c>
      <c r="F15319" s="1749"/>
      <c r="G15319" s="1749"/>
      <c r="H15319" s="1749"/>
      <c r="K15319" s="1192" t="s">
        <v>2423</v>
      </c>
      <c r="V15319" s="1399">
        <v>46</v>
      </c>
    </row>
    <row r="15320" spans="1:22" s="1192" customFormat="1" ht="14.4" x14ac:dyDescent="0.3">
      <c r="A15320" s="1192" t="s">
        <v>236</v>
      </c>
      <c r="E15320" s="1740" t="s">
        <v>7</v>
      </c>
      <c r="F15320" s="1740"/>
      <c r="G15320" s="1277" t="s">
        <v>19</v>
      </c>
      <c r="H15320" s="1218">
        <v>160.31</v>
      </c>
      <c r="K15320" s="1192" t="s">
        <v>4388</v>
      </c>
      <c r="L15320" s="1192" t="s">
        <v>430</v>
      </c>
      <c r="P15320" s="1192" t="s">
        <v>4389</v>
      </c>
      <c r="V15320" s="1399">
        <v>14</v>
      </c>
    </row>
    <row r="15321" spans="1:22" s="1192" customFormat="1" ht="14.4" x14ac:dyDescent="0.3">
      <c r="A15321" s="1192" t="s">
        <v>236</v>
      </c>
      <c r="E15321" s="1740" t="s">
        <v>80</v>
      </c>
      <c r="F15321" s="1740"/>
      <c r="G15321" s="1277" t="s">
        <v>29</v>
      </c>
      <c r="H15321" s="1219">
        <v>2.7323</v>
      </c>
      <c r="K15321" s="1192" t="s">
        <v>4388</v>
      </c>
      <c r="L15321" s="1192" t="s">
        <v>430</v>
      </c>
      <c r="P15321" s="1192" t="s">
        <v>4390</v>
      </c>
      <c r="V15321" s="1399">
        <v>28</v>
      </c>
    </row>
    <row r="15322" spans="1:22" s="1192" customFormat="1" ht="14.4" x14ac:dyDescent="0.3">
      <c r="A15322" s="1192" t="s">
        <v>236</v>
      </c>
      <c r="E15322" s="1740" t="s">
        <v>14</v>
      </c>
      <c r="F15322" s="1740"/>
      <c r="G15322" s="1277" t="s">
        <v>29</v>
      </c>
      <c r="H15322" s="1219">
        <v>0.32769999999999999</v>
      </c>
      <c r="K15322" s="1192" t="s">
        <v>4388</v>
      </c>
      <c r="L15322" s="1192" t="s">
        <v>431</v>
      </c>
      <c r="P15322" s="1192" t="s">
        <v>4391</v>
      </c>
      <c r="V15322" s="1399">
        <v>24</v>
      </c>
    </row>
    <row r="15323" spans="1:22" s="1192" customFormat="1" ht="14.4" x14ac:dyDescent="0.3">
      <c r="A15323" s="1192" t="s">
        <v>236</v>
      </c>
      <c r="E15323" s="1740" t="s">
        <v>213</v>
      </c>
      <c r="F15323" s="1740"/>
      <c r="G15323" s="1277" t="s">
        <v>29</v>
      </c>
      <c r="H15323" s="1219">
        <v>2.4893000000000001</v>
      </c>
      <c r="K15323" s="1192" t="s">
        <v>4388</v>
      </c>
      <c r="L15323" s="1192" t="s">
        <v>432</v>
      </c>
      <c r="P15323" s="1192" t="s">
        <v>4392</v>
      </c>
      <c r="V15323" s="1399">
        <v>47</v>
      </c>
    </row>
    <row r="15324" spans="1:22" s="1192" customFormat="1" ht="14.4" x14ac:dyDescent="0.3">
      <c r="A15324" s="1192" t="s">
        <v>236</v>
      </c>
      <c r="E15324" s="1740" t="s">
        <v>209</v>
      </c>
      <c r="F15324" s="1740"/>
      <c r="G15324" s="1277" t="s">
        <v>29</v>
      </c>
      <c r="H15324" s="1219">
        <v>1.9217</v>
      </c>
      <c r="K15324" s="1192" t="s">
        <v>4388</v>
      </c>
      <c r="L15324" s="1192" t="s">
        <v>432</v>
      </c>
      <c r="P15324" s="1192" t="s">
        <v>4393</v>
      </c>
      <c r="V15324" s="1399">
        <v>74</v>
      </c>
    </row>
    <row r="15325" spans="1:22" s="1192" customFormat="1" ht="14.4" x14ac:dyDescent="0.3">
      <c r="A15325" s="1192" t="s">
        <v>236</v>
      </c>
      <c r="E15325" s="1748" t="s">
        <v>2405</v>
      </c>
      <c r="F15325" s="1740"/>
      <c r="G15325" s="1277"/>
      <c r="H15325" s="896"/>
      <c r="K15325" s="1192" t="s">
        <v>2526</v>
      </c>
      <c r="V15325" s="1399">
        <v>48</v>
      </c>
    </row>
    <row r="15326" spans="1:22" s="1192" customFormat="1" ht="14.4" x14ac:dyDescent="0.3">
      <c r="A15326" s="1192" t="s">
        <v>236</v>
      </c>
      <c r="E15326" s="1740" t="s">
        <v>2033</v>
      </c>
      <c r="F15326" s="1740"/>
      <c r="G15326" s="1277" t="s">
        <v>20</v>
      </c>
      <c r="H15326" s="1219">
        <v>3.0000000000000001E-3</v>
      </c>
      <c r="K15326" s="1192" t="s">
        <v>4388</v>
      </c>
      <c r="L15326" s="1192" t="s">
        <v>2374</v>
      </c>
      <c r="P15326" s="1192" t="s">
        <v>4394</v>
      </c>
      <c r="V15326" s="1399">
        <v>55</v>
      </c>
    </row>
    <row r="15327" spans="1:22" s="1192" customFormat="1" ht="14.4" x14ac:dyDescent="0.3">
      <c r="A15327" s="1192" t="s">
        <v>236</v>
      </c>
      <c r="E15327" s="1740" t="s">
        <v>2034</v>
      </c>
      <c r="F15327" s="1740"/>
      <c r="G15327" s="1277" t="s">
        <v>20</v>
      </c>
      <c r="H15327" s="1219">
        <v>4.0000000000000002E-4</v>
      </c>
      <c r="K15327" s="1192" t="s">
        <v>4388</v>
      </c>
      <c r="L15327" s="1192" t="s">
        <v>2374</v>
      </c>
      <c r="P15327" s="1192" t="s">
        <v>4394</v>
      </c>
      <c r="V15327" s="1399">
        <v>65</v>
      </c>
    </row>
    <row r="15328" spans="1:22" s="1192" customFormat="1" ht="14.4" x14ac:dyDescent="0.3">
      <c r="A15328" s="1192" t="s">
        <v>236</v>
      </c>
      <c r="E15328" s="1740" t="s">
        <v>428</v>
      </c>
      <c r="F15328" s="1740"/>
      <c r="G15328" s="1277" t="s">
        <v>20</v>
      </c>
      <c r="H15328" s="1219">
        <v>5.0000000000000001E-4</v>
      </c>
      <c r="K15328" s="1192" t="s">
        <v>4388</v>
      </c>
      <c r="L15328" s="1192" t="s">
        <v>2374</v>
      </c>
      <c r="P15328" s="1192" t="s">
        <v>4395</v>
      </c>
      <c r="V15328" s="1399">
        <v>57</v>
      </c>
    </row>
    <row r="15329" spans="1:22" s="1192" customFormat="1" ht="14.4" x14ac:dyDescent="0.3">
      <c r="A15329" s="1192" t="s">
        <v>236</v>
      </c>
      <c r="E15329" s="1740" t="s">
        <v>28</v>
      </c>
      <c r="F15329" s="1740"/>
      <c r="G15329" s="1277" t="s">
        <v>19</v>
      </c>
      <c r="H15329" s="1218">
        <v>0.25</v>
      </c>
      <c r="K15329" s="1192" t="s">
        <v>4388</v>
      </c>
      <c r="L15329" s="1192" t="s">
        <v>2374</v>
      </c>
      <c r="P15329" s="1192" t="s">
        <v>4396</v>
      </c>
      <c r="V15329" s="1399">
        <v>63</v>
      </c>
    </row>
    <row r="15330" spans="1:22" s="1192" customFormat="1" ht="17.399999999999999" x14ac:dyDescent="0.3">
      <c r="A15330" s="1192" t="s">
        <v>236</v>
      </c>
      <c r="E15330" s="1746" t="s">
        <v>596</v>
      </c>
      <c r="F15330" s="1987"/>
      <c r="G15330" s="1987"/>
      <c r="H15330" s="1987"/>
      <c r="K15330" s="1192" t="s">
        <v>3407</v>
      </c>
      <c r="V15330" s="1399">
        <v>32</v>
      </c>
    </row>
    <row r="15331" spans="1:22" s="1192" customFormat="1" ht="14.4" x14ac:dyDescent="0.3">
      <c r="A15331" s="1192" t="s">
        <v>236</v>
      </c>
      <c r="E15331" s="1743" t="s">
        <v>6864</v>
      </c>
      <c r="F15331" s="1743"/>
      <c r="G15331" s="1743"/>
      <c r="H15331" s="1743"/>
      <c r="K15331" s="1192" t="s">
        <v>3407</v>
      </c>
      <c r="V15331" s="1399">
        <v>371</v>
      </c>
    </row>
    <row r="15332" spans="1:22" s="1192" customFormat="1" ht="14.4" x14ac:dyDescent="0.3">
      <c r="A15332" s="1192" t="s">
        <v>236</v>
      </c>
      <c r="E15332" s="1750" t="s">
        <v>2389</v>
      </c>
      <c r="F15332" s="1988"/>
      <c r="G15332" s="1988"/>
      <c r="H15332" s="1988"/>
      <c r="K15332" s="1192" t="s">
        <v>2529</v>
      </c>
      <c r="V15332" s="1399">
        <v>11</v>
      </c>
    </row>
    <row r="15333" spans="1:22" s="1192" customFormat="1" ht="14.4" x14ac:dyDescent="0.3">
      <c r="A15333" s="1192" t="s">
        <v>236</v>
      </c>
      <c r="E15333" s="1743" t="s">
        <v>2391</v>
      </c>
      <c r="F15333" s="1743"/>
      <c r="G15333" s="1743"/>
      <c r="H15333" s="1743"/>
      <c r="K15333" s="1192" t="s">
        <v>3407</v>
      </c>
      <c r="V15333" s="1399">
        <v>280</v>
      </c>
    </row>
    <row r="15334" spans="1:22" s="1192" customFormat="1" ht="14.4" x14ac:dyDescent="0.3">
      <c r="A15334" s="1192" t="s">
        <v>236</v>
      </c>
      <c r="E15334" s="1743" t="s">
        <v>2392</v>
      </c>
      <c r="F15334" s="1743"/>
      <c r="G15334" s="1743"/>
      <c r="H15334" s="1743"/>
      <c r="K15334" s="1192" t="s">
        <v>3407</v>
      </c>
      <c r="V15334" s="1399">
        <v>411</v>
      </c>
    </row>
    <row r="15335" spans="1:22" s="1192" customFormat="1" ht="14.4" x14ac:dyDescent="0.3">
      <c r="A15335" s="1192" t="s">
        <v>236</v>
      </c>
      <c r="E15335" s="1743" t="s">
        <v>2508</v>
      </c>
      <c r="F15335" s="1743"/>
      <c r="G15335" s="1743"/>
      <c r="H15335" s="1743"/>
      <c r="K15335" s="1192" t="s">
        <v>3407</v>
      </c>
      <c r="V15335" s="1399">
        <v>386</v>
      </c>
    </row>
    <row r="15336" spans="1:22" s="1192" customFormat="1" ht="14.4" x14ac:dyDescent="0.3">
      <c r="A15336" s="1192" t="s">
        <v>236</v>
      </c>
      <c r="E15336" s="1743" t="s">
        <v>4632</v>
      </c>
      <c r="F15336" s="1743"/>
      <c r="G15336" s="1743"/>
      <c r="H15336" s="1743"/>
      <c r="K15336" s="1192" t="s">
        <v>3407</v>
      </c>
      <c r="V15336" s="1399">
        <v>680</v>
      </c>
    </row>
    <row r="15337" spans="1:22" s="1192" customFormat="1" ht="14.4" x14ac:dyDescent="0.3">
      <c r="A15337" s="1192" t="s">
        <v>236</v>
      </c>
      <c r="E15337" s="1743" t="s">
        <v>4644</v>
      </c>
      <c r="F15337" s="1743"/>
      <c r="G15337" s="1743"/>
      <c r="H15337" s="1743"/>
      <c r="K15337" s="1192" t="s">
        <v>3407</v>
      </c>
      <c r="V15337" s="1399">
        <v>693</v>
      </c>
    </row>
    <row r="15338" spans="1:22" s="1192" customFormat="1" ht="14.4" x14ac:dyDescent="0.3">
      <c r="A15338" s="1192" t="s">
        <v>236</v>
      </c>
      <c r="E15338" s="1743" t="s">
        <v>4500</v>
      </c>
      <c r="F15338" s="1743"/>
      <c r="G15338" s="1743"/>
      <c r="H15338" s="1743"/>
      <c r="K15338" s="1192" t="s">
        <v>3407</v>
      </c>
      <c r="V15338" s="1399">
        <v>247</v>
      </c>
    </row>
    <row r="15339" spans="1:22" s="1192" customFormat="1" ht="14.4" x14ac:dyDescent="0.3">
      <c r="A15339" s="1192" t="s">
        <v>236</v>
      </c>
      <c r="E15339" s="1748" t="s">
        <v>2394</v>
      </c>
      <c r="F15339" s="1749"/>
      <c r="G15339" s="1749"/>
      <c r="H15339" s="1749"/>
      <c r="K15339" s="1192" t="s">
        <v>2531</v>
      </c>
      <c r="V15339" s="1399">
        <v>46</v>
      </c>
    </row>
    <row r="15340" spans="1:22" s="1192" customFormat="1" ht="14.4" x14ac:dyDescent="0.3">
      <c r="A15340" s="1192" t="s">
        <v>236</v>
      </c>
      <c r="E15340" s="1740" t="s">
        <v>7</v>
      </c>
      <c r="F15340" s="1740"/>
      <c r="G15340" s="1277" t="s">
        <v>19</v>
      </c>
      <c r="H15340" s="1218">
        <v>6440.97</v>
      </c>
      <c r="K15340" s="1192" t="s">
        <v>3407</v>
      </c>
      <c r="L15340" s="1192" t="s">
        <v>430</v>
      </c>
      <c r="P15340" s="1192" t="s">
        <v>3409</v>
      </c>
      <c r="V15340" s="1399">
        <v>14</v>
      </c>
    </row>
    <row r="15341" spans="1:22" s="1192" customFormat="1" ht="14.4" x14ac:dyDescent="0.3">
      <c r="A15341" s="1192" t="s">
        <v>236</v>
      </c>
      <c r="E15341" s="1740" t="s">
        <v>80</v>
      </c>
      <c r="F15341" s="1740"/>
      <c r="G15341" s="1277" t="s">
        <v>29</v>
      </c>
      <c r="H15341" s="1219">
        <v>0.75239999999999996</v>
      </c>
      <c r="K15341" s="1192" t="s">
        <v>3407</v>
      </c>
      <c r="L15341" s="1192" t="s">
        <v>430</v>
      </c>
      <c r="P15341" s="1192" t="s">
        <v>3410</v>
      </c>
      <c r="V15341" s="1399">
        <v>28</v>
      </c>
    </row>
    <row r="15342" spans="1:22" s="1192" customFormat="1" ht="14.4" x14ac:dyDescent="0.3">
      <c r="A15342" s="1192" t="s">
        <v>236</v>
      </c>
      <c r="E15342" s="1740" t="s">
        <v>3698</v>
      </c>
      <c r="F15342" s="1740"/>
      <c r="G15342" s="1277" t="s">
        <v>29</v>
      </c>
      <c r="H15342" s="1219">
        <v>0.40139999999999998</v>
      </c>
      <c r="K15342" s="1192" t="s">
        <v>3407</v>
      </c>
      <c r="L15342" s="1192" t="s">
        <v>431</v>
      </c>
      <c r="P15342" s="1192" t="s">
        <v>3411</v>
      </c>
      <c r="V15342" s="1399">
        <v>25</v>
      </c>
    </row>
    <row r="15343" spans="1:22" s="1192" customFormat="1" ht="14.4" x14ac:dyDescent="0.3">
      <c r="A15343" s="1192" t="s">
        <v>236</v>
      </c>
      <c r="E15343" s="1740" t="s">
        <v>213</v>
      </c>
      <c r="F15343" s="1740"/>
      <c r="G15343" s="1277" t="s">
        <v>29</v>
      </c>
      <c r="H15343" s="1219">
        <v>2.9327999999999999</v>
      </c>
      <c r="K15343" s="1192" t="s">
        <v>3407</v>
      </c>
      <c r="L15343" s="1192" t="s">
        <v>432</v>
      </c>
      <c r="P15343" s="1192" t="s">
        <v>3414</v>
      </c>
      <c r="V15343" s="1399">
        <v>47</v>
      </c>
    </row>
    <row r="15344" spans="1:22" s="1192" customFormat="1" ht="14.4" x14ac:dyDescent="0.3">
      <c r="A15344" s="1192" t="s">
        <v>236</v>
      </c>
      <c r="E15344" s="1740" t="s">
        <v>209</v>
      </c>
      <c r="F15344" s="1740"/>
      <c r="G15344" s="1277" t="s">
        <v>29</v>
      </c>
      <c r="H15344" s="1219">
        <v>2.3544</v>
      </c>
      <c r="K15344" s="1192" t="s">
        <v>3407</v>
      </c>
      <c r="L15344" s="1192" t="s">
        <v>432</v>
      </c>
      <c r="P15344" s="1192" t="s">
        <v>4132</v>
      </c>
      <c r="V15344" s="1399">
        <v>74</v>
      </c>
    </row>
    <row r="15345" spans="1:22" s="1192" customFormat="1" ht="14.4" x14ac:dyDescent="0.3">
      <c r="A15345" s="1192" t="s">
        <v>236</v>
      </c>
      <c r="E15345" s="1748" t="s">
        <v>2405</v>
      </c>
      <c r="F15345" s="1740"/>
      <c r="G15345" s="1277"/>
      <c r="H15345" s="896"/>
      <c r="K15345" s="1192" t="s">
        <v>2532</v>
      </c>
      <c r="V15345" s="1399">
        <v>48</v>
      </c>
    </row>
    <row r="15346" spans="1:22" s="1192" customFormat="1" ht="14.4" x14ac:dyDescent="0.3">
      <c r="A15346" s="1192" t="s">
        <v>236</v>
      </c>
      <c r="E15346" s="1740" t="s">
        <v>2033</v>
      </c>
      <c r="F15346" s="1740"/>
      <c r="G15346" s="1277" t="s">
        <v>20</v>
      </c>
      <c r="H15346" s="1219">
        <v>3.0000000000000001E-3</v>
      </c>
      <c r="K15346" s="1192" t="s">
        <v>3407</v>
      </c>
      <c r="L15346" s="1192" t="s">
        <v>2374</v>
      </c>
      <c r="P15346" s="1192" t="s">
        <v>3415</v>
      </c>
      <c r="V15346" s="1399">
        <v>55</v>
      </c>
    </row>
    <row r="15347" spans="1:22" s="1192" customFormat="1" ht="14.4" x14ac:dyDescent="0.3">
      <c r="A15347" s="1192" t="s">
        <v>236</v>
      </c>
      <c r="E15347" s="1740" t="s">
        <v>2034</v>
      </c>
      <c r="F15347" s="1740"/>
      <c r="G15347" s="1277" t="s">
        <v>20</v>
      </c>
      <c r="H15347" s="1219">
        <v>4.0000000000000002E-4</v>
      </c>
      <c r="K15347" s="1192" t="s">
        <v>3407</v>
      </c>
      <c r="L15347" s="1192" t="s">
        <v>2374</v>
      </c>
      <c r="P15347" s="1192" t="s">
        <v>3415</v>
      </c>
      <c r="V15347" s="1399">
        <v>65</v>
      </c>
    </row>
    <row r="15348" spans="1:22" s="1192" customFormat="1" ht="14.4" x14ac:dyDescent="0.3">
      <c r="A15348" s="1192" t="s">
        <v>236</v>
      </c>
      <c r="E15348" s="1740" t="s">
        <v>428</v>
      </c>
      <c r="F15348" s="1740"/>
      <c r="G15348" s="1277" t="s">
        <v>20</v>
      </c>
      <c r="H15348" s="1219">
        <v>5.0000000000000001E-4</v>
      </c>
      <c r="K15348" s="1192" t="s">
        <v>3407</v>
      </c>
      <c r="L15348" s="1192" t="s">
        <v>2374</v>
      </c>
      <c r="P15348" s="1192" t="s">
        <v>3416</v>
      </c>
      <c r="V15348" s="1399">
        <v>57</v>
      </c>
    </row>
    <row r="15349" spans="1:22" s="1192" customFormat="1" ht="14.4" x14ac:dyDescent="0.3">
      <c r="A15349" s="1192" t="s">
        <v>236</v>
      </c>
      <c r="E15349" s="1740" t="s">
        <v>28</v>
      </c>
      <c r="F15349" s="1740"/>
      <c r="G15349" s="1277" t="s">
        <v>19</v>
      </c>
      <c r="H15349" s="1218">
        <v>0.25</v>
      </c>
      <c r="K15349" s="1192" t="s">
        <v>3407</v>
      </c>
      <c r="L15349" s="1192" t="s">
        <v>2374</v>
      </c>
      <c r="P15349" s="1192" t="s">
        <v>3417</v>
      </c>
      <c r="V15349" s="1399">
        <v>63</v>
      </c>
    </row>
    <row r="15350" spans="1:22" s="1192" customFormat="1" ht="17.399999999999999" x14ac:dyDescent="0.3">
      <c r="A15350" s="1192" t="s">
        <v>236</v>
      </c>
      <c r="E15350" s="1746" t="s">
        <v>592</v>
      </c>
      <c r="F15350" s="1987"/>
      <c r="G15350" s="1987"/>
      <c r="H15350" s="1987"/>
      <c r="K15350" s="1192" t="s">
        <v>2726</v>
      </c>
      <c r="V15350" s="1399">
        <v>47</v>
      </c>
    </row>
    <row r="15351" spans="1:22" s="1192" customFormat="1" ht="14.4" x14ac:dyDescent="0.3">
      <c r="A15351" s="1192" t="s">
        <v>236</v>
      </c>
      <c r="E15351" s="1743" t="s">
        <v>6865</v>
      </c>
      <c r="F15351" s="1743"/>
      <c r="G15351" s="1743"/>
      <c r="H15351" s="1743"/>
      <c r="K15351" s="1192" t="s">
        <v>2726</v>
      </c>
      <c r="V15351" s="1399">
        <v>654</v>
      </c>
    </row>
    <row r="15352" spans="1:22" s="1192" customFormat="1" ht="14.4" x14ac:dyDescent="0.3">
      <c r="A15352" s="1192" t="s">
        <v>236</v>
      </c>
      <c r="E15352" s="1750" t="s">
        <v>2389</v>
      </c>
      <c r="F15352" s="1988"/>
      <c r="G15352" s="1988"/>
      <c r="H15352" s="1988"/>
      <c r="K15352" s="1192" t="s">
        <v>2424</v>
      </c>
      <c r="V15352" s="1399">
        <v>11</v>
      </c>
    </row>
    <row r="15353" spans="1:22" s="1192" customFormat="1" ht="14.4" x14ac:dyDescent="0.3">
      <c r="A15353" s="1192" t="s">
        <v>236</v>
      </c>
      <c r="E15353" s="1743" t="s">
        <v>2391</v>
      </c>
      <c r="F15353" s="1743"/>
      <c r="G15353" s="1743"/>
      <c r="H15353" s="1743"/>
      <c r="K15353" s="1192" t="s">
        <v>2726</v>
      </c>
      <c r="V15353" s="1399">
        <v>280</v>
      </c>
    </row>
    <row r="15354" spans="1:22" s="1192" customFormat="1" ht="14.4" x14ac:dyDescent="0.3">
      <c r="A15354" s="1192" t="s">
        <v>236</v>
      </c>
      <c r="E15354" s="1743" t="s">
        <v>2392</v>
      </c>
      <c r="F15354" s="1743"/>
      <c r="G15354" s="1743"/>
      <c r="H15354" s="1743"/>
      <c r="K15354" s="1192" t="s">
        <v>2726</v>
      </c>
      <c r="V15354" s="1399">
        <v>411</v>
      </c>
    </row>
    <row r="15355" spans="1:22" s="1192" customFormat="1" ht="14.4" x14ac:dyDescent="0.3">
      <c r="A15355" s="1192" t="s">
        <v>236</v>
      </c>
      <c r="E15355" s="1743" t="s">
        <v>2508</v>
      </c>
      <c r="F15355" s="1743"/>
      <c r="G15355" s="1743"/>
      <c r="H15355" s="1743"/>
      <c r="K15355" s="1192" t="s">
        <v>2726</v>
      </c>
      <c r="V15355" s="1399">
        <v>386</v>
      </c>
    </row>
    <row r="15356" spans="1:22" s="1192" customFormat="1" ht="14.4" x14ac:dyDescent="0.3">
      <c r="A15356" s="1192" t="s">
        <v>236</v>
      </c>
      <c r="E15356" s="1743" t="s">
        <v>4500</v>
      </c>
      <c r="F15356" s="1743"/>
      <c r="G15356" s="1743"/>
      <c r="H15356" s="1743"/>
      <c r="K15356" s="1192" t="s">
        <v>2726</v>
      </c>
      <c r="V15356" s="1399">
        <v>247</v>
      </c>
    </row>
    <row r="15357" spans="1:22" s="1192" customFormat="1" ht="14.4" x14ac:dyDescent="0.3">
      <c r="A15357" s="1192" t="s">
        <v>236</v>
      </c>
      <c r="E15357" s="1748" t="s">
        <v>2394</v>
      </c>
      <c r="F15357" s="1749"/>
      <c r="G15357" s="1749"/>
      <c r="H15357" s="1749"/>
      <c r="K15357" s="1192" t="s">
        <v>2425</v>
      </c>
      <c r="V15357" s="1399">
        <v>46</v>
      </c>
    </row>
    <row r="15358" spans="1:22" s="1192" customFormat="1" ht="14.4" x14ac:dyDescent="0.3">
      <c r="A15358" s="1192" t="s">
        <v>236</v>
      </c>
      <c r="E15358" s="1740" t="s">
        <v>8</v>
      </c>
      <c r="F15358" s="1740"/>
      <c r="G15358" s="1277" t="s">
        <v>19</v>
      </c>
      <c r="H15358" s="1218">
        <v>2.13</v>
      </c>
      <c r="K15358" s="1192" t="s">
        <v>2726</v>
      </c>
      <c r="L15358" s="1192" t="s">
        <v>430</v>
      </c>
      <c r="P15358" s="1192" t="s">
        <v>2727</v>
      </c>
      <c r="V15358" s="1399">
        <v>31</v>
      </c>
    </row>
    <row r="15359" spans="1:22" s="1192" customFormat="1" ht="14.4" x14ac:dyDescent="0.3">
      <c r="A15359" s="1192" t="s">
        <v>236</v>
      </c>
      <c r="E15359" s="1740" t="s">
        <v>80</v>
      </c>
      <c r="F15359" s="1740"/>
      <c r="G15359" s="1277" t="s">
        <v>20</v>
      </c>
      <c r="H15359" s="1219">
        <v>2.81E-2</v>
      </c>
      <c r="K15359" s="1192" t="s">
        <v>2726</v>
      </c>
      <c r="L15359" s="1192" t="s">
        <v>430</v>
      </c>
      <c r="P15359" s="1192" t="s">
        <v>2728</v>
      </c>
      <c r="V15359" s="1399">
        <v>28</v>
      </c>
    </row>
    <row r="15360" spans="1:22" s="1192" customFormat="1" ht="14.4" x14ac:dyDescent="0.3">
      <c r="A15360" s="1192" t="s">
        <v>236</v>
      </c>
      <c r="E15360" s="1740" t="s">
        <v>14</v>
      </c>
      <c r="F15360" s="1740"/>
      <c r="G15360" s="1277" t="s">
        <v>20</v>
      </c>
      <c r="H15360" s="1219">
        <v>8.9999999999999998E-4</v>
      </c>
      <c r="K15360" s="1192" t="s">
        <v>2726</v>
      </c>
      <c r="L15360" s="1192" t="s">
        <v>431</v>
      </c>
      <c r="P15360" s="1192" t="s">
        <v>2729</v>
      </c>
      <c r="V15360" s="1399">
        <v>24</v>
      </c>
    </row>
    <row r="15361" spans="1:22" s="1192" customFormat="1" ht="14.4" x14ac:dyDescent="0.3">
      <c r="A15361" s="1192" t="s">
        <v>236</v>
      </c>
      <c r="E15361" s="1740" t="s">
        <v>213</v>
      </c>
      <c r="F15361" s="1740"/>
      <c r="G15361" s="1277" t="s">
        <v>20</v>
      </c>
      <c r="H15361" s="1219">
        <v>6.1999999999999998E-3</v>
      </c>
      <c r="K15361" s="1192" t="s">
        <v>2726</v>
      </c>
      <c r="L15361" s="1192" t="s">
        <v>432</v>
      </c>
      <c r="P15361" s="1192" t="s">
        <v>2731</v>
      </c>
      <c r="V15361" s="1399">
        <v>47</v>
      </c>
    </row>
    <row r="15362" spans="1:22" s="1192" customFormat="1" ht="14.4" x14ac:dyDescent="0.3">
      <c r="A15362" s="1192" t="s">
        <v>236</v>
      </c>
      <c r="E15362" s="1740" t="s">
        <v>209</v>
      </c>
      <c r="F15362" s="1740"/>
      <c r="G15362" s="1277" t="s">
        <v>20</v>
      </c>
      <c r="H15362" s="1219">
        <v>5.0000000000000001E-3</v>
      </c>
      <c r="K15362" s="1192" t="s">
        <v>2726</v>
      </c>
      <c r="L15362" s="1192" t="s">
        <v>432</v>
      </c>
      <c r="P15362" s="1192" t="s">
        <v>2732</v>
      </c>
      <c r="V15362" s="1399">
        <v>74</v>
      </c>
    </row>
    <row r="15363" spans="1:22" s="1192" customFormat="1" ht="14.4" x14ac:dyDescent="0.3">
      <c r="A15363" s="1192" t="s">
        <v>236</v>
      </c>
      <c r="E15363" s="1748" t="s">
        <v>2405</v>
      </c>
      <c r="F15363" s="1740"/>
      <c r="G15363" s="1277"/>
      <c r="H15363" s="896"/>
      <c r="K15363" s="1192" t="s">
        <v>2427</v>
      </c>
      <c r="V15363" s="1399">
        <v>48</v>
      </c>
    </row>
    <row r="15364" spans="1:22" s="1192" customFormat="1" ht="14.4" x14ac:dyDescent="0.3">
      <c r="A15364" s="1192" t="s">
        <v>236</v>
      </c>
      <c r="E15364" s="1740" t="s">
        <v>2033</v>
      </c>
      <c r="F15364" s="1740"/>
      <c r="G15364" s="1277" t="s">
        <v>20</v>
      </c>
      <c r="H15364" s="1219">
        <v>3.0000000000000001E-3</v>
      </c>
      <c r="K15364" s="1192" t="s">
        <v>2726</v>
      </c>
      <c r="L15364" s="1192" t="s">
        <v>2374</v>
      </c>
      <c r="P15364" s="1192" t="s">
        <v>2733</v>
      </c>
      <c r="V15364" s="1399">
        <v>55</v>
      </c>
    </row>
    <row r="15365" spans="1:22" s="1192" customFormat="1" ht="14.4" x14ac:dyDescent="0.3">
      <c r="A15365" s="1192" t="s">
        <v>236</v>
      </c>
      <c r="E15365" s="1740" t="s">
        <v>2034</v>
      </c>
      <c r="F15365" s="1740"/>
      <c r="G15365" s="1277" t="s">
        <v>20</v>
      </c>
      <c r="H15365" s="1219">
        <v>4.0000000000000002E-4</v>
      </c>
      <c r="K15365" s="1192" t="s">
        <v>2726</v>
      </c>
      <c r="L15365" s="1192" t="s">
        <v>2374</v>
      </c>
      <c r="P15365" s="1192" t="s">
        <v>2733</v>
      </c>
      <c r="V15365" s="1399">
        <v>65</v>
      </c>
    </row>
    <row r="15366" spans="1:22" s="1192" customFormat="1" ht="14.4" x14ac:dyDescent="0.3">
      <c r="A15366" s="1192" t="s">
        <v>236</v>
      </c>
      <c r="E15366" s="1740" t="s">
        <v>428</v>
      </c>
      <c r="F15366" s="1740"/>
      <c r="G15366" s="1277" t="s">
        <v>20</v>
      </c>
      <c r="H15366" s="1219">
        <v>5.0000000000000001E-4</v>
      </c>
      <c r="K15366" s="1192" t="s">
        <v>2726</v>
      </c>
      <c r="L15366" s="1192" t="s">
        <v>2374</v>
      </c>
      <c r="P15366" s="1192" t="s">
        <v>2734</v>
      </c>
      <c r="V15366" s="1399">
        <v>57</v>
      </c>
    </row>
    <row r="15367" spans="1:22" s="1192" customFormat="1" ht="14.4" x14ac:dyDescent="0.3">
      <c r="A15367" s="1192" t="s">
        <v>236</v>
      </c>
      <c r="E15367" s="1740" t="s">
        <v>28</v>
      </c>
      <c r="F15367" s="1740"/>
      <c r="G15367" s="1277" t="s">
        <v>19</v>
      </c>
      <c r="H15367" s="1218">
        <v>0.25</v>
      </c>
      <c r="K15367" s="1192" t="s">
        <v>2726</v>
      </c>
      <c r="L15367" s="1192" t="s">
        <v>2374</v>
      </c>
      <c r="P15367" s="1192" t="s">
        <v>2735</v>
      </c>
      <c r="V15367" s="1399">
        <v>63</v>
      </c>
    </row>
    <row r="15368" spans="1:22" s="1192" customFormat="1" ht="17.399999999999999" x14ac:dyDescent="0.3">
      <c r="A15368" s="1192" t="s">
        <v>236</v>
      </c>
      <c r="E15368" s="1746" t="s">
        <v>604</v>
      </c>
      <c r="F15368" s="1987"/>
      <c r="G15368" s="1987"/>
      <c r="H15368" s="1987"/>
      <c r="K15368" s="1192" t="s">
        <v>2736</v>
      </c>
      <c r="V15368" s="1399">
        <v>40</v>
      </c>
    </row>
    <row r="15369" spans="1:22" s="1192" customFormat="1" ht="14.4" x14ac:dyDescent="0.3">
      <c r="A15369" s="1192" t="s">
        <v>236</v>
      </c>
      <c r="E15369" s="1743" t="s">
        <v>6866</v>
      </c>
      <c r="F15369" s="1743"/>
      <c r="G15369" s="1743"/>
      <c r="H15369" s="1743"/>
      <c r="K15369" s="1192" t="s">
        <v>2736</v>
      </c>
      <c r="V15369" s="1399">
        <v>900</v>
      </c>
    </row>
    <row r="15370" spans="1:22" s="1192" customFormat="1" ht="14.4" x14ac:dyDescent="0.3">
      <c r="A15370" s="1192" t="s">
        <v>236</v>
      </c>
      <c r="E15370" s="1750" t="s">
        <v>2389</v>
      </c>
      <c r="F15370" s="1988"/>
      <c r="G15370" s="1988"/>
      <c r="H15370" s="1988"/>
      <c r="K15370" s="1192" t="s">
        <v>2430</v>
      </c>
      <c r="V15370" s="1399">
        <v>11</v>
      </c>
    </row>
    <row r="15371" spans="1:22" s="1192" customFormat="1" ht="14.4" x14ac:dyDescent="0.3">
      <c r="A15371" s="1192" t="s">
        <v>236</v>
      </c>
      <c r="E15371" s="1743" t="s">
        <v>2391</v>
      </c>
      <c r="F15371" s="1743"/>
      <c r="G15371" s="1743"/>
      <c r="H15371" s="1743"/>
      <c r="K15371" s="1192" t="s">
        <v>2736</v>
      </c>
      <c r="V15371" s="1399">
        <v>280</v>
      </c>
    </row>
    <row r="15372" spans="1:22" s="1192" customFormat="1" ht="14.4" x14ac:dyDescent="0.3">
      <c r="A15372" s="1192" t="s">
        <v>236</v>
      </c>
      <c r="E15372" s="1743" t="s">
        <v>2392</v>
      </c>
      <c r="F15372" s="1743"/>
      <c r="G15372" s="1743"/>
      <c r="H15372" s="1743"/>
      <c r="K15372" s="1192" t="s">
        <v>2736</v>
      </c>
      <c r="V15372" s="1399">
        <v>411</v>
      </c>
    </row>
    <row r="15373" spans="1:22" s="1192" customFormat="1" ht="14.4" x14ac:dyDescent="0.3">
      <c r="A15373" s="1192" t="s">
        <v>236</v>
      </c>
      <c r="E15373" s="1743" t="s">
        <v>2508</v>
      </c>
      <c r="F15373" s="1743"/>
      <c r="G15373" s="1743"/>
      <c r="H15373" s="1743"/>
      <c r="K15373" s="1192" t="s">
        <v>2736</v>
      </c>
      <c r="V15373" s="1399">
        <v>386</v>
      </c>
    </row>
    <row r="15374" spans="1:22" s="1192" customFormat="1" ht="14.4" x14ac:dyDescent="0.3">
      <c r="A15374" s="1192" t="s">
        <v>236</v>
      </c>
      <c r="E15374" s="1743" t="s">
        <v>4500</v>
      </c>
      <c r="F15374" s="1743"/>
      <c r="G15374" s="1743"/>
      <c r="H15374" s="1743"/>
      <c r="K15374" s="1192" t="s">
        <v>2736</v>
      </c>
      <c r="V15374" s="1399">
        <v>247</v>
      </c>
    </row>
    <row r="15375" spans="1:22" s="1192" customFormat="1" ht="14.4" x14ac:dyDescent="0.3">
      <c r="A15375" s="1192" t="s">
        <v>236</v>
      </c>
      <c r="E15375" s="1748" t="s">
        <v>2394</v>
      </c>
      <c r="F15375" s="1749"/>
      <c r="G15375" s="1749"/>
      <c r="H15375" s="1749"/>
      <c r="K15375" s="1192" t="s">
        <v>2431</v>
      </c>
      <c r="V15375" s="1399">
        <v>46</v>
      </c>
    </row>
    <row r="15376" spans="1:22" s="1192" customFormat="1" ht="14.4" x14ac:dyDescent="0.3">
      <c r="A15376" s="1192" t="s">
        <v>236</v>
      </c>
      <c r="E15376" s="1740" t="s">
        <v>8</v>
      </c>
      <c r="F15376" s="1740"/>
      <c r="G15376" s="1277" t="s">
        <v>19</v>
      </c>
      <c r="H15376" s="1218">
        <v>11.83</v>
      </c>
      <c r="K15376" s="1192" t="s">
        <v>2736</v>
      </c>
      <c r="L15376" s="1192" t="s">
        <v>430</v>
      </c>
      <c r="P15376" s="1192" t="s">
        <v>2737</v>
      </c>
      <c r="V15376" s="1399">
        <v>31</v>
      </c>
    </row>
    <row r="15377" spans="1:22" s="1192" customFormat="1" ht="14.4" x14ac:dyDescent="0.3">
      <c r="A15377" s="1192" t="s">
        <v>236</v>
      </c>
      <c r="E15377" s="1740" t="s">
        <v>80</v>
      </c>
      <c r="F15377" s="1740"/>
      <c r="G15377" s="1277" t="s">
        <v>29</v>
      </c>
      <c r="H15377" s="1219">
        <v>4.7157</v>
      </c>
      <c r="K15377" s="1192" t="s">
        <v>2736</v>
      </c>
      <c r="L15377" s="1192" t="s">
        <v>430</v>
      </c>
      <c r="P15377" s="1192" t="s">
        <v>2738</v>
      </c>
      <c r="V15377" s="1399">
        <v>28</v>
      </c>
    </row>
    <row r="15378" spans="1:22" s="1192" customFormat="1" ht="14.4" x14ac:dyDescent="0.3">
      <c r="A15378" s="1192" t="s">
        <v>236</v>
      </c>
      <c r="E15378" s="1740" t="s">
        <v>14</v>
      </c>
      <c r="F15378" s="1740"/>
      <c r="G15378" s="1277" t="s">
        <v>29</v>
      </c>
      <c r="H15378" s="1219">
        <v>0.26019999999999999</v>
      </c>
      <c r="K15378" s="1192" t="s">
        <v>2736</v>
      </c>
      <c r="L15378" s="1192" t="s">
        <v>431</v>
      </c>
      <c r="P15378" s="1192" t="s">
        <v>2739</v>
      </c>
      <c r="V15378" s="1399">
        <v>24</v>
      </c>
    </row>
    <row r="15379" spans="1:22" s="1192" customFormat="1" ht="14.4" x14ac:dyDescent="0.3">
      <c r="A15379" s="1192" t="s">
        <v>236</v>
      </c>
      <c r="E15379" s="1740" t="s">
        <v>213</v>
      </c>
      <c r="F15379" s="1740"/>
      <c r="G15379" s="1277" t="s">
        <v>29</v>
      </c>
      <c r="H15379" s="1219">
        <v>1.8902000000000001</v>
      </c>
      <c r="K15379" s="1192" t="s">
        <v>2736</v>
      </c>
      <c r="L15379" s="1192" t="s">
        <v>432</v>
      </c>
      <c r="P15379" s="1192" t="s">
        <v>2741</v>
      </c>
      <c r="V15379" s="1399">
        <v>47</v>
      </c>
    </row>
    <row r="15380" spans="1:22" s="1192" customFormat="1" ht="14.4" x14ac:dyDescent="0.3">
      <c r="A15380" s="1192" t="s">
        <v>236</v>
      </c>
      <c r="E15380" s="1740" t="s">
        <v>209</v>
      </c>
      <c r="F15380" s="1740"/>
      <c r="G15380" s="1277" t="s">
        <v>29</v>
      </c>
      <c r="H15380" s="1219">
        <v>1.5261</v>
      </c>
      <c r="K15380" s="1192" t="s">
        <v>2736</v>
      </c>
      <c r="L15380" s="1192" t="s">
        <v>432</v>
      </c>
      <c r="P15380" s="1192" t="s">
        <v>2742</v>
      </c>
      <c r="V15380" s="1399">
        <v>74</v>
      </c>
    </row>
    <row r="15381" spans="1:22" s="1192" customFormat="1" ht="14.4" x14ac:dyDescent="0.3">
      <c r="A15381" s="1192" t="s">
        <v>236</v>
      </c>
      <c r="E15381" s="1748" t="s">
        <v>2405</v>
      </c>
      <c r="F15381" s="1740"/>
      <c r="G15381" s="1277"/>
      <c r="H15381" s="896"/>
      <c r="K15381" s="1192" t="s">
        <v>2438</v>
      </c>
      <c r="V15381" s="1399">
        <v>48</v>
      </c>
    </row>
    <row r="15382" spans="1:22" s="1192" customFormat="1" ht="14.4" x14ac:dyDescent="0.3">
      <c r="A15382" s="1192" t="s">
        <v>236</v>
      </c>
      <c r="E15382" s="1740" t="s">
        <v>2033</v>
      </c>
      <c r="F15382" s="1740"/>
      <c r="G15382" s="1277" t="s">
        <v>20</v>
      </c>
      <c r="H15382" s="1219">
        <v>3.0000000000000001E-3</v>
      </c>
      <c r="K15382" s="1192" t="s">
        <v>2736</v>
      </c>
      <c r="L15382" s="1192" t="s">
        <v>2374</v>
      </c>
      <c r="P15382" s="1192" t="s">
        <v>2743</v>
      </c>
      <c r="V15382" s="1399">
        <v>55</v>
      </c>
    </row>
    <row r="15383" spans="1:22" s="1192" customFormat="1" ht="14.4" x14ac:dyDescent="0.3">
      <c r="A15383" s="1192" t="s">
        <v>236</v>
      </c>
      <c r="E15383" s="1740" t="s">
        <v>2034</v>
      </c>
      <c r="F15383" s="1740"/>
      <c r="G15383" s="1277" t="s">
        <v>20</v>
      </c>
      <c r="H15383" s="1219">
        <v>4.0000000000000002E-4</v>
      </c>
      <c r="K15383" s="1192" t="s">
        <v>2736</v>
      </c>
      <c r="L15383" s="1192" t="s">
        <v>2374</v>
      </c>
      <c r="P15383" s="1192" t="s">
        <v>2743</v>
      </c>
      <c r="V15383" s="1399">
        <v>65</v>
      </c>
    </row>
    <row r="15384" spans="1:22" s="1192" customFormat="1" ht="14.4" x14ac:dyDescent="0.3">
      <c r="A15384" s="1192" t="s">
        <v>236</v>
      </c>
      <c r="E15384" s="1740" t="s">
        <v>428</v>
      </c>
      <c r="F15384" s="1740"/>
      <c r="G15384" s="1277" t="s">
        <v>20</v>
      </c>
      <c r="H15384" s="1219">
        <v>5.0000000000000001E-4</v>
      </c>
      <c r="K15384" s="1192" t="s">
        <v>2736</v>
      </c>
      <c r="L15384" s="1192" t="s">
        <v>2374</v>
      </c>
      <c r="P15384" s="1192" t="s">
        <v>2744</v>
      </c>
      <c r="V15384" s="1399">
        <v>57</v>
      </c>
    </row>
    <row r="15385" spans="1:22" s="1192" customFormat="1" ht="14.4" x14ac:dyDescent="0.3">
      <c r="A15385" s="1192" t="s">
        <v>236</v>
      </c>
      <c r="E15385" s="1740" t="s">
        <v>28</v>
      </c>
      <c r="F15385" s="1740"/>
      <c r="G15385" s="1277" t="s">
        <v>19</v>
      </c>
      <c r="H15385" s="1218">
        <v>0.25</v>
      </c>
      <c r="K15385" s="1192" t="s">
        <v>2736</v>
      </c>
      <c r="L15385" s="1192" t="s">
        <v>2374</v>
      </c>
      <c r="P15385" s="1192" t="s">
        <v>2745</v>
      </c>
      <c r="V15385" s="1399">
        <v>63</v>
      </c>
    </row>
    <row r="15386" spans="1:22" s="1192" customFormat="1" ht="17.399999999999999" x14ac:dyDescent="0.3">
      <c r="A15386" s="1192" t="s">
        <v>236</v>
      </c>
      <c r="E15386" s="1746" t="s">
        <v>590</v>
      </c>
      <c r="F15386" s="1987"/>
      <c r="G15386" s="1987"/>
      <c r="H15386" s="1987"/>
      <c r="K15386" s="1192" t="s">
        <v>2746</v>
      </c>
      <c r="V15386" s="1399">
        <v>38</v>
      </c>
    </row>
    <row r="15387" spans="1:22" s="1192" customFormat="1" ht="14.4" x14ac:dyDescent="0.3">
      <c r="A15387" s="1192" t="s">
        <v>236</v>
      </c>
      <c r="E15387" s="1743" t="s">
        <v>6867</v>
      </c>
      <c r="F15387" s="1743"/>
      <c r="G15387" s="1743"/>
      <c r="H15387" s="1743"/>
      <c r="K15387" s="1192" t="s">
        <v>2746</v>
      </c>
      <c r="V15387" s="1399">
        <v>1352</v>
      </c>
    </row>
    <row r="15388" spans="1:22" s="1192" customFormat="1" ht="14.4" x14ac:dyDescent="0.3">
      <c r="A15388" s="1192" t="s">
        <v>236</v>
      </c>
      <c r="E15388" s="1750" t="s">
        <v>2389</v>
      </c>
      <c r="F15388" s="1988"/>
      <c r="G15388" s="1988"/>
      <c r="H15388" s="1988"/>
      <c r="K15388" s="1192" t="s">
        <v>2444</v>
      </c>
      <c r="V15388" s="1399">
        <v>11</v>
      </c>
    </row>
    <row r="15389" spans="1:22" s="1192" customFormat="1" ht="14.4" x14ac:dyDescent="0.3">
      <c r="A15389" s="1192" t="s">
        <v>236</v>
      </c>
      <c r="E15389" s="1743" t="s">
        <v>2391</v>
      </c>
      <c r="F15389" s="1743"/>
      <c r="G15389" s="1743"/>
      <c r="H15389" s="1743"/>
      <c r="K15389" s="1192" t="s">
        <v>2746</v>
      </c>
      <c r="V15389" s="1399">
        <v>280</v>
      </c>
    </row>
    <row r="15390" spans="1:22" s="1192" customFormat="1" ht="14.4" x14ac:dyDescent="0.3">
      <c r="A15390" s="1192" t="s">
        <v>236</v>
      </c>
      <c r="E15390" s="1743" t="s">
        <v>2392</v>
      </c>
      <c r="F15390" s="1743"/>
      <c r="G15390" s="1743"/>
      <c r="H15390" s="1743"/>
      <c r="K15390" s="1192" t="s">
        <v>2746</v>
      </c>
      <c r="V15390" s="1399">
        <v>411</v>
      </c>
    </row>
    <row r="15391" spans="1:22" s="1192" customFormat="1" ht="14.4" x14ac:dyDescent="0.3">
      <c r="A15391" s="1192" t="s">
        <v>236</v>
      </c>
      <c r="E15391" s="1743" t="s">
        <v>2508</v>
      </c>
      <c r="F15391" s="1743"/>
      <c r="G15391" s="1743"/>
      <c r="H15391" s="1743"/>
      <c r="K15391" s="1192" t="s">
        <v>2746</v>
      </c>
      <c r="V15391" s="1399">
        <v>386</v>
      </c>
    </row>
    <row r="15392" spans="1:22" s="1192" customFormat="1" ht="14.4" x14ac:dyDescent="0.3">
      <c r="A15392" s="1192" t="s">
        <v>236</v>
      </c>
      <c r="E15392" s="1743" t="s">
        <v>4500</v>
      </c>
      <c r="F15392" s="1743"/>
      <c r="G15392" s="1743"/>
      <c r="H15392" s="1743"/>
      <c r="K15392" s="1192" t="s">
        <v>2746</v>
      </c>
      <c r="V15392" s="1399">
        <v>247</v>
      </c>
    </row>
    <row r="15393" spans="1:22" s="1192" customFormat="1" ht="14.4" x14ac:dyDescent="0.3">
      <c r="A15393" s="1192" t="s">
        <v>236</v>
      </c>
      <c r="E15393" s="1748" t="s">
        <v>2394</v>
      </c>
      <c r="F15393" s="1749"/>
      <c r="G15393" s="1749"/>
      <c r="H15393" s="1749"/>
      <c r="K15393" s="1192" t="s">
        <v>2446</v>
      </c>
      <c r="V15393" s="1399">
        <v>46</v>
      </c>
    </row>
    <row r="15394" spans="1:22" s="1192" customFormat="1" ht="14.4" x14ac:dyDescent="0.3">
      <c r="A15394" s="1192" t="s">
        <v>236</v>
      </c>
      <c r="E15394" s="1740" t="s">
        <v>8</v>
      </c>
      <c r="F15394" s="1740"/>
      <c r="G15394" s="1277" t="s">
        <v>19</v>
      </c>
      <c r="H15394" s="1218">
        <v>3.22</v>
      </c>
      <c r="K15394" s="1192" t="s">
        <v>2746</v>
      </c>
      <c r="L15394" s="1192" t="s">
        <v>430</v>
      </c>
      <c r="P15394" s="1192" t="s">
        <v>2747</v>
      </c>
      <c r="V15394" s="1399">
        <v>31</v>
      </c>
    </row>
    <row r="15395" spans="1:22" s="1192" customFormat="1" ht="14.4" x14ac:dyDescent="0.3">
      <c r="A15395" s="1192" t="s">
        <v>236</v>
      </c>
      <c r="E15395" s="1740" t="s">
        <v>80</v>
      </c>
      <c r="F15395" s="1740"/>
      <c r="G15395" s="1277" t="s">
        <v>29</v>
      </c>
      <c r="H15395" s="1219">
        <v>13.4579</v>
      </c>
      <c r="K15395" s="1192" t="s">
        <v>2746</v>
      </c>
      <c r="L15395" s="1192" t="s">
        <v>430</v>
      </c>
      <c r="P15395" s="1192" t="s">
        <v>2748</v>
      </c>
      <c r="V15395" s="1399">
        <v>28</v>
      </c>
    </row>
    <row r="15396" spans="1:22" s="1192" customFormat="1" ht="14.4" x14ac:dyDescent="0.3">
      <c r="A15396" s="1192" t="s">
        <v>236</v>
      </c>
      <c r="E15396" s="1740" t="s">
        <v>14</v>
      </c>
      <c r="F15396" s="1740"/>
      <c r="G15396" s="1277" t="s">
        <v>29</v>
      </c>
      <c r="H15396" s="1219">
        <v>0.25409999999999999</v>
      </c>
      <c r="K15396" s="1192" t="s">
        <v>2746</v>
      </c>
      <c r="L15396" s="1192" t="s">
        <v>431</v>
      </c>
      <c r="P15396" s="1192" t="s">
        <v>2749</v>
      </c>
      <c r="V15396" s="1399">
        <v>24</v>
      </c>
    </row>
    <row r="15397" spans="1:22" s="1192" customFormat="1" ht="14.4" x14ac:dyDescent="0.3">
      <c r="A15397" s="1192" t="s">
        <v>236</v>
      </c>
      <c r="E15397" s="1740" t="s">
        <v>213</v>
      </c>
      <c r="F15397" s="1740"/>
      <c r="G15397" s="1277" t="s">
        <v>29</v>
      </c>
      <c r="H15397" s="1219">
        <v>1.8763000000000001</v>
      </c>
      <c r="K15397" s="1192" t="s">
        <v>2746</v>
      </c>
      <c r="L15397" s="1192" t="s">
        <v>432</v>
      </c>
      <c r="P15397" s="1192" t="s">
        <v>2751</v>
      </c>
      <c r="V15397" s="1399">
        <v>47</v>
      </c>
    </row>
    <row r="15398" spans="1:22" s="1192" customFormat="1" ht="14.4" x14ac:dyDescent="0.3">
      <c r="A15398" s="1192" t="s">
        <v>236</v>
      </c>
      <c r="E15398" s="1740" t="s">
        <v>209</v>
      </c>
      <c r="F15398" s="1740"/>
      <c r="G15398" s="1277" t="s">
        <v>29</v>
      </c>
      <c r="H15398" s="1219">
        <v>1.4903999999999999</v>
      </c>
      <c r="K15398" s="1192" t="s">
        <v>2746</v>
      </c>
      <c r="L15398" s="1192" t="s">
        <v>432</v>
      </c>
      <c r="P15398" s="1192" t="s">
        <v>2752</v>
      </c>
      <c r="V15398" s="1399">
        <v>74</v>
      </c>
    </row>
    <row r="15399" spans="1:22" s="1192" customFormat="1" ht="14.4" x14ac:dyDescent="0.3">
      <c r="A15399" s="1192" t="s">
        <v>236</v>
      </c>
      <c r="E15399" s="1748" t="s">
        <v>2405</v>
      </c>
      <c r="F15399" s="1740"/>
      <c r="G15399" s="1277"/>
      <c r="H15399" s="896"/>
      <c r="K15399" s="1192" t="s">
        <v>2565</v>
      </c>
      <c r="V15399" s="1399">
        <v>48</v>
      </c>
    </row>
    <row r="15400" spans="1:22" s="1192" customFormat="1" ht="14.4" x14ac:dyDescent="0.3">
      <c r="A15400" s="1192" t="s">
        <v>236</v>
      </c>
      <c r="E15400" s="1740" t="s">
        <v>2033</v>
      </c>
      <c r="F15400" s="1740"/>
      <c r="G15400" s="1277" t="s">
        <v>20</v>
      </c>
      <c r="H15400" s="1219">
        <v>3.0000000000000001E-3</v>
      </c>
      <c r="K15400" s="1192" t="s">
        <v>2746</v>
      </c>
      <c r="L15400" s="1192" t="s">
        <v>2374</v>
      </c>
      <c r="P15400" s="1192" t="s">
        <v>2753</v>
      </c>
      <c r="V15400" s="1399">
        <v>55</v>
      </c>
    </row>
    <row r="15401" spans="1:22" s="1192" customFormat="1" ht="14.4" x14ac:dyDescent="0.3">
      <c r="A15401" s="1192" t="s">
        <v>236</v>
      </c>
      <c r="E15401" s="1740" t="s">
        <v>2034</v>
      </c>
      <c r="F15401" s="1740"/>
      <c r="G15401" s="1277" t="s">
        <v>20</v>
      </c>
      <c r="H15401" s="1219">
        <v>4.0000000000000002E-4</v>
      </c>
      <c r="K15401" s="1192" t="s">
        <v>2746</v>
      </c>
      <c r="L15401" s="1192" t="s">
        <v>2374</v>
      </c>
      <c r="P15401" s="1192" t="s">
        <v>2753</v>
      </c>
      <c r="V15401" s="1399">
        <v>65</v>
      </c>
    </row>
    <row r="15402" spans="1:22" s="1192" customFormat="1" ht="14.4" x14ac:dyDescent="0.3">
      <c r="A15402" s="1192" t="s">
        <v>236</v>
      </c>
      <c r="E15402" s="1740" t="s">
        <v>428</v>
      </c>
      <c r="F15402" s="1740"/>
      <c r="G15402" s="1277" t="s">
        <v>20</v>
      </c>
      <c r="H15402" s="1219">
        <v>5.0000000000000001E-4</v>
      </c>
      <c r="K15402" s="1192" t="s">
        <v>2746</v>
      </c>
      <c r="L15402" s="1192" t="s">
        <v>2374</v>
      </c>
      <c r="P15402" s="1192" t="s">
        <v>2754</v>
      </c>
      <c r="V15402" s="1399">
        <v>57</v>
      </c>
    </row>
    <row r="15403" spans="1:22" s="1192" customFormat="1" ht="14.4" x14ac:dyDescent="0.3">
      <c r="A15403" s="1192" t="s">
        <v>236</v>
      </c>
      <c r="E15403" s="1740" t="s">
        <v>28</v>
      </c>
      <c r="F15403" s="1740"/>
      <c r="G15403" s="1277" t="s">
        <v>19</v>
      </c>
      <c r="H15403" s="1218">
        <v>0.25</v>
      </c>
      <c r="K15403" s="1192" t="s">
        <v>2746</v>
      </c>
      <c r="L15403" s="1192" t="s">
        <v>2374</v>
      </c>
      <c r="P15403" s="1192" t="s">
        <v>2755</v>
      </c>
      <c r="V15403" s="1399">
        <v>63</v>
      </c>
    </row>
    <row r="15404" spans="1:22" s="1192" customFormat="1" ht="17.399999999999999" x14ac:dyDescent="0.3">
      <c r="A15404" s="1192" t="s">
        <v>236</v>
      </c>
      <c r="E15404" s="1746" t="s">
        <v>593</v>
      </c>
      <c r="F15404" s="1987"/>
      <c r="G15404" s="1987"/>
      <c r="H15404" s="1987"/>
      <c r="K15404" s="1192" t="s">
        <v>2756</v>
      </c>
      <c r="V15404" s="1399">
        <v>31</v>
      </c>
    </row>
    <row r="15405" spans="1:22" s="1192" customFormat="1" ht="14.4" x14ac:dyDescent="0.3">
      <c r="A15405" s="1192" t="s">
        <v>236</v>
      </c>
      <c r="E15405" s="1743" t="s">
        <v>3357</v>
      </c>
      <c r="F15405" s="1743"/>
      <c r="G15405" s="1743"/>
      <c r="H15405" s="1743"/>
      <c r="K15405" s="1192" t="s">
        <v>2756</v>
      </c>
      <c r="V15405" s="1399">
        <v>284</v>
      </c>
    </row>
    <row r="15406" spans="1:22" s="1192" customFormat="1" ht="14.4" x14ac:dyDescent="0.3">
      <c r="A15406" s="1192" t="s">
        <v>236</v>
      </c>
      <c r="E15406" s="1750" t="s">
        <v>2389</v>
      </c>
      <c r="F15406" s="1988"/>
      <c r="G15406" s="1988"/>
      <c r="H15406" s="1988"/>
      <c r="K15406" s="1192" t="s">
        <v>2571</v>
      </c>
      <c r="V15406" s="1399">
        <v>11</v>
      </c>
    </row>
    <row r="15407" spans="1:22" s="1192" customFormat="1" ht="14.4" x14ac:dyDescent="0.3">
      <c r="A15407" s="1192" t="s">
        <v>236</v>
      </c>
      <c r="E15407" s="1743" t="s">
        <v>2391</v>
      </c>
      <c r="F15407" s="1743"/>
      <c r="G15407" s="1743"/>
      <c r="H15407" s="1743"/>
      <c r="K15407" s="1192" t="s">
        <v>2756</v>
      </c>
      <c r="V15407" s="1399">
        <v>280</v>
      </c>
    </row>
    <row r="15408" spans="1:22" s="1192" customFormat="1" ht="14.4" x14ac:dyDescent="0.3">
      <c r="A15408" s="1192" t="s">
        <v>236</v>
      </c>
      <c r="E15408" s="1743" t="s">
        <v>2392</v>
      </c>
      <c r="F15408" s="1743"/>
      <c r="G15408" s="1743"/>
      <c r="H15408" s="1743"/>
      <c r="K15408" s="1192" t="s">
        <v>2756</v>
      </c>
      <c r="V15408" s="1399">
        <v>411</v>
      </c>
    </row>
    <row r="15409" spans="1:22" s="1192" customFormat="1" ht="14.4" x14ac:dyDescent="0.3">
      <c r="A15409" s="1192" t="s">
        <v>236</v>
      </c>
      <c r="E15409" s="1743" t="s">
        <v>2445</v>
      </c>
      <c r="F15409" s="1743"/>
      <c r="G15409" s="1743"/>
      <c r="H15409" s="1743"/>
      <c r="K15409" s="1192" t="s">
        <v>2756</v>
      </c>
      <c r="V15409" s="1399">
        <v>211</v>
      </c>
    </row>
    <row r="15410" spans="1:22" s="1192" customFormat="1" ht="14.4" x14ac:dyDescent="0.3">
      <c r="A15410" s="1192" t="s">
        <v>236</v>
      </c>
      <c r="E15410" s="1743" t="s">
        <v>4500</v>
      </c>
      <c r="F15410" s="1743"/>
      <c r="G15410" s="1743"/>
      <c r="H15410" s="1743"/>
      <c r="K15410" s="1192" t="s">
        <v>2756</v>
      </c>
      <c r="V15410" s="1399">
        <v>247</v>
      </c>
    </row>
    <row r="15411" spans="1:22" s="1192" customFormat="1" ht="14.4" x14ac:dyDescent="0.3">
      <c r="A15411" s="1192" t="s">
        <v>236</v>
      </c>
      <c r="E15411" s="1748" t="s">
        <v>2394</v>
      </c>
      <c r="F15411" s="1749"/>
      <c r="G15411" s="1749"/>
      <c r="H15411" s="1749"/>
      <c r="K15411" s="1192" t="s">
        <v>2572</v>
      </c>
      <c r="V15411" s="1399">
        <v>46</v>
      </c>
    </row>
    <row r="15412" spans="1:22" s="1192" customFormat="1" ht="14.4" x14ac:dyDescent="0.3">
      <c r="A15412" s="1192" t="s">
        <v>236</v>
      </c>
      <c r="E15412" s="1740" t="s">
        <v>7</v>
      </c>
      <c r="F15412" s="1740"/>
      <c r="G15412" s="1277" t="s">
        <v>19</v>
      </c>
      <c r="H15412" s="1218">
        <v>5.4</v>
      </c>
      <c r="K15412" s="1192" t="s">
        <v>2756</v>
      </c>
      <c r="L15412" s="1192" t="s">
        <v>430</v>
      </c>
      <c r="P15412" s="1192" t="s">
        <v>2757</v>
      </c>
      <c r="V15412" s="1399">
        <v>14</v>
      </c>
    </row>
    <row r="15413" spans="1:22" s="1192" customFormat="1" x14ac:dyDescent="0.3">
      <c r="A15413" s="1192" t="s">
        <v>236</v>
      </c>
      <c r="E15413" s="1388" t="s">
        <v>81</v>
      </c>
      <c r="F15413" s="554"/>
      <c r="G15413" s="554"/>
      <c r="H15413" s="917"/>
      <c r="K15413" s="1192" t="s">
        <v>6868</v>
      </c>
      <c r="V15413" s="1399">
        <v>10</v>
      </c>
    </row>
    <row r="15414" spans="1:22" s="1192" customFormat="1" ht="14.4" x14ac:dyDescent="0.3">
      <c r="A15414" s="1192" t="s">
        <v>236</v>
      </c>
      <c r="E15414" s="1740" t="s">
        <v>2449</v>
      </c>
      <c r="F15414" s="1740"/>
      <c r="G15414" s="1277" t="s">
        <v>29</v>
      </c>
      <c r="H15414" s="1219">
        <v>-0.6</v>
      </c>
      <c r="V15414" s="1399">
        <v>68</v>
      </c>
    </row>
    <row r="15415" spans="1:22" s="1192" customFormat="1" ht="14.4" x14ac:dyDescent="0.3">
      <c r="A15415" s="1192" t="s">
        <v>236</v>
      </c>
      <c r="E15415" s="1740" t="s">
        <v>2450</v>
      </c>
      <c r="F15415" s="1740"/>
      <c r="G15415" s="1277" t="s">
        <v>82</v>
      </c>
      <c r="H15415" s="1218">
        <v>-1</v>
      </c>
      <c r="V15415" s="1399">
        <v>87</v>
      </c>
    </row>
    <row r="15416" spans="1:22" s="1192" customFormat="1" x14ac:dyDescent="0.3">
      <c r="A15416" s="1192" t="s">
        <v>236</v>
      </c>
      <c r="E15416" s="1388" t="s">
        <v>83</v>
      </c>
      <c r="F15416" s="554"/>
      <c r="G15416" s="554"/>
      <c r="H15416" s="917"/>
      <c r="K15416" s="1192" t="s">
        <v>6869</v>
      </c>
      <c r="V15416" s="1399">
        <v>24</v>
      </c>
    </row>
    <row r="15417" spans="1:22" s="1192" customFormat="1" ht="14.4" x14ac:dyDescent="0.3">
      <c r="A15417" s="1192" t="s">
        <v>236</v>
      </c>
      <c r="E15417" s="1743" t="s">
        <v>2391</v>
      </c>
      <c r="F15417" s="1743"/>
      <c r="G15417" s="1743"/>
      <c r="H15417" s="1743"/>
      <c r="V15417" s="1399">
        <v>280</v>
      </c>
    </row>
    <row r="15418" spans="1:22" s="1192" customFormat="1" ht="14.4" x14ac:dyDescent="0.3">
      <c r="A15418" s="1192" t="s">
        <v>236</v>
      </c>
      <c r="E15418" s="1743" t="s">
        <v>2452</v>
      </c>
      <c r="F15418" s="1743"/>
      <c r="G15418" s="1743"/>
      <c r="H15418" s="1743"/>
      <c r="V15418" s="1399">
        <v>353</v>
      </c>
    </row>
    <row r="15419" spans="1:22" s="1192" customFormat="1" ht="14.4" x14ac:dyDescent="0.3">
      <c r="A15419" s="1192" t="s">
        <v>236</v>
      </c>
      <c r="E15419" s="1743" t="s">
        <v>4500</v>
      </c>
      <c r="F15419" s="1743"/>
      <c r="G15419" s="1743"/>
      <c r="H15419" s="1743"/>
      <c r="V15419" s="1399">
        <v>247</v>
      </c>
    </row>
    <row r="15420" spans="1:22" s="1192" customFormat="1" ht="14.4" x14ac:dyDescent="0.3">
      <c r="A15420" s="1192" t="s">
        <v>236</v>
      </c>
      <c r="E15420" s="1387" t="s">
        <v>2453</v>
      </c>
      <c r="F15420" s="450"/>
      <c r="G15420" s="450"/>
      <c r="H15420" s="926"/>
      <c r="K15420" s="1192" t="s">
        <v>6870</v>
      </c>
      <c r="V15420" s="1399">
        <v>23</v>
      </c>
    </row>
    <row r="15421" spans="1:22" s="1192" customFormat="1" ht="14.4" x14ac:dyDescent="0.3">
      <c r="A15421" s="1192" t="s">
        <v>236</v>
      </c>
      <c r="E15421" s="1745" t="s">
        <v>2639</v>
      </c>
      <c r="F15421" s="1745"/>
      <c r="G15421" s="1277" t="s">
        <v>19</v>
      </c>
      <c r="H15421" s="1218">
        <v>15</v>
      </c>
      <c r="V15421" s="1399">
        <v>19</v>
      </c>
    </row>
    <row r="15422" spans="1:22" s="1192" customFormat="1" ht="14.4" x14ac:dyDescent="0.3">
      <c r="A15422" s="1192" t="s">
        <v>236</v>
      </c>
      <c r="E15422" s="1745" t="s">
        <v>2456</v>
      </c>
      <c r="F15422" s="1745"/>
      <c r="G15422" s="1277" t="s">
        <v>19</v>
      </c>
      <c r="H15422" s="1218">
        <v>15</v>
      </c>
      <c r="V15422" s="1399">
        <v>20</v>
      </c>
    </row>
    <row r="15423" spans="1:22" s="1192" customFormat="1" ht="14.4" x14ac:dyDescent="0.3">
      <c r="A15423" s="1192" t="s">
        <v>236</v>
      </c>
      <c r="E15423" s="1745" t="s">
        <v>2457</v>
      </c>
      <c r="F15423" s="1745"/>
      <c r="G15423" s="1277" t="s">
        <v>19</v>
      </c>
      <c r="H15423" s="1218">
        <v>15</v>
      </c>
      <c r="V15423" s="1399">
        <v>26</v>
      </c>
    </row>
    <row r="15424" spans="1:22" s="1192" customFormat="1" ht="14.4" x14ac:dyDescent="0.3">
      <c r="A15424" s="1192" t="s">
        <v>236</v>
      </c>
      <c r="E15424" s="1745" t="s">
        <v>2458</v>
      </c>
      <c r="F15424" s="1745"/>
      <c r="G15424" s="1277" t="s">
        <v>19</v>
      </c>
      <c r="H15424" s="1218">
        <v>15</v>
      </c>
      <c r="V15424" s="1399">
        <v>39</v>
      </c>
    </row>
    <row r="15425" spans="1:22" s="1192" customFormat="1" ht="14.4" x14ac:dyDescent="0.3">
      <c r="A15425" s="1192" t="s">
        <v>236</v>
      </c>
      <c r="E15425" s="1745" t="s">
        <v>2459</v>
      </c>
      <c r="F15425" s="1745"/>
      <c r="G15425" s="1277" t="s">
        <v>19</v>
      </c>
      <c r="H15425" s="1218">
        <v>15</v>
      </c>
      <c r="V15425" s="1399">
        <v>37</v>
      </c>
    </row>
    <row r="15426" spans="1:22" s="1192" customFormat="1" ht="14.4" x14ac:dyDescent="0.3">
      <c r="A15426" s="1192" t="s">
        <v>236</v>
      </c>
      <c r="E15426" s="1745" t="s">
        <v>3663</v>
      </c>
      <c r="F15426" s="1745"/>
      <c r="G15426" s="1277" t="s">
        <v>19</v>
      </c>
      <c r="H15426" s="1218">
        <v>15</v>
      </c>
      <c r="V15426" s="1399">
        <v>15</v>
      </c>
    </row>
    <row r="15427" spans="1:22" s="1192" customFormat="1" ht="14.4" x14ac:dyDescent="0.3">
      <c r="A15427" s="1192" t="s">
        <v>236</v>
      </c>
      <c r="E15427" s="1745" t="s">
        <v>2461</v>
      </c>
      <c r="F15427" s="1745"/>
      <c r="G15427" s="1277" t="s">
        <v>19</v>
      </c>
      <c r="H15427" s="1218">
        <v>15</v>
      </c>
      <c r="V15427" s="1399">
        <v>17</v>
      </c>
    </row>
    <row r="15428" spans="1:22" s="1192" customFormat="1" ht="14.4" x14ac:dyDescent="0.3">
      <c r="A15428" s="1192" t="s">
        <v>236</v>
      </c>
      <c r="E15428" s="1745" t="s">
        <v>2462</v>
      </c>
      <c r="F15428" s="1745"/>
      <c r="G15428" s="1277" t="s">
        <v>19</v>
      </c>
      <c r="H15428" s="1218">
        <v>15</v>
      </c>
      <c r="V15428" s="1399">
        <v>19</v>
      </c>
    </row>
    <row r="15429" spans="1:22" s="1192" customFormat="1" ht="14.4" x14ac:dyDescent="0.3">
      <c r="A15429" s="1192" t="s">
        <v>236</v>
      </c>
      <c r="E15429" s="1745" t="s">
        <v>2463</v>
      </c>
      <c r="F15429" s="1745"/>
      <c r="G15429" s="1277" t="s">
        <v>19</v>
      </c>
      <c r="H15429" s="1218">
        <v>15</v>
      </c>
      <c r="V15429" s="1399">
        <v>15</v>
      </c>
    </row>
    <row r="15430" spans="1:22" s="1192" customFormat="1" ht="14.4" x14ac:dyDescent="0.3">
      <c r="A15430" s="1192" t="s">
        <v>236</v>
      </c>
      <c r="E15430" s="1745" t="s">
        <v>2464</v>
      </c>
      <c r="F15430" s="1745"/>
      <c r="G15430" s="1277" t="s">
        <v>19</v>
      </c>
      <c r="H15430" s="1218">
        <v>15</v>
      </c>
      <c r="V15430" s="1399">
        <v>56</v>
      </c>
    </row>
    <row r="15431" spans="1:22" s="1192" customFormat="1" ht="14.4" x14ac:dyDescent="0.3">
      <c r="A15431" s="1192" t="s">
        <v>236</v>
      </c>
      <c r="E15431" s="1745" t="s">
        <v>119</v>
      </c>
      <c r="F15431" s="1745"/>
      <c r="G15431" s="1277" t="s">
        <v>19</v>
      </c>
      <c r="H15431" s="1218">
        <v>15</v>
      </c>
      <c r="V15431" s="1399">
        <v>35</v>
      </c>
    </row>
    <row r="15432" spans="1:22" s="1192" customFormat="1" ht="14.4" x14ac:dyDescent="0.3">
      <c r="A15432" s="1192" t="s">
        <v>236</v>
      </c>
      <c r="E15432" s="1745" t="s">
        <v>2467</v>
      </c>
      <c r="F15432" s="1745"/>
      <c r="G15432" s="1277" t="s">
        <v>19</v>
      </c>
      <c r="H15432" s="1218">
        <v>15</v>
      </c>
      <c r="V15432" s="1399">
        <v>19</v>
      </c>
    </row>
    <row r="15433" spans="1:22" s="1192" customFormat="1" ht="14.4" x14ac:dyDescent="0.3">
      <c r="A15433" s="1192" t="s">
        <v>236</v>
      </c>
      <c r="E15433" s="1745" t="s">
        <v>84</v>
      </c>
      <c r="F15433" s="1745"/>
      <c r="G15433" s="1277" t="s">
        <v>19</v>
      </c>
      <c r="H15433" s="1218">
        <v>30</v>
      </c>
      <c r="V15433" s="1399">
        <v>89</v>
      </c>
    </row>
    <row r="15434" spans="1:22" s="1192" customFormat="1" ht="14.4" x14ac:dyDescent="0.3">
      <c r="A15434" s="1192" t="s">
        <v>236</v>
      </c>
      <c r="E15434" s="1745" t="s">
        <v>90</v>
      </c>
      <c r="F15434" s="1745"/>
      <c r="G15434" s="1277" t="s">
        <v>19</v>
      </c>
      <c r="H15434" s="1218">
        <v>30</v>
      </c>
      <c r="V15434" s="1399">
        <v>19</v>
      </c>
    </row>
    <row r="15435" spans="1:22" s="1192" customFormat="1" ht="14.4" x14ac:dyDescent="0.3">
      <c r="A15435" s="1192" t="s">
        <v>236</v>
      </c>
      <c r="E15435" s="1745" t="s">
        <v>88</v>
      </c>
      <c r="F15435" s="1745"/>
      <c r="G15435" s="1277" t="s">
        <v>19</v>
      </c>
      <c r="H15435" s="1218">
        <v>30</v>
      </c>
      <c r="V15435" s="1399">
        <v>74</v>
      </c>
    </row>
    <row r="15436" spans="1:22" s="1192" customFormat="1" ht="27" x14ac:dyDescent="0.3">
      <c r="A15436" s="1192" t="s">
        <v>236</v>
      </c>
      <c r="E15436" s="1387" t="s">
        <v>4607</v>
      </c>
      <c r="F15436" s="450"/>
      <c r="G15436" s="450"/>
      <c r="H15436" s="926"/>
      <c r="V15436" s="1399">
        <v>39</v>
      </c>
    </row>
    <row r="15437" spans="1:22" s="1192" customFormat="1" ht="14.4" x14ac:dyDescent="0.3">
      <c r="A15437" s="1192" t="s">
        <v>236</v>
      </c>
      <c r="E15437" s="1745" t="s">
        <v>3918</v>
      </c>
      <c r="F15437" s="1745"/>
      <c r="G15437" s="1277" t="s">
        <v>82</v>
      </c>
      <c r="H15437" s="1218">
        <v>1.5</v>
      </c>
      <c r="V15437" s="1399">
        <v>24</v>
      </c>
    </row>
    <row r="15438" spans="1:22" s="1192" customFormat="1" ht="14.4" x14ac:dyDescent="0.3">
      <c r="A15438" s="1192" t="s">
        <v>236</v>
      </c>
      <c r="E15438" s="1745" t="s">
        <v>3664</v>
      </c>
      <c r="F15438" s="1745"/>
      <c r="G15438" s="1277" t="s">
        <v>82</v>
      </c>
      <c r="H15438" s="1218">
        <v>19.559999999999999</v>
      </c>
      <c r="V15438" s="1399">
        <v>24</v>
      </c>
    </row>
    <row r="15439" spans="1:22" s="1192" customFormat="1" ht="14.4" x14ac:dyDescent="0.3">
      <c r="A15439" s="1192" t="s">
        <v>236</v>
      </c>
      <c r="E15439" s="1745" t="s">
        <v>2592</v>
      </c>
      <c r="F15439" s="1745"/>
      <c r="G15439" s="1277" t="s">
        <v>19</v>
      </c>
      <c r="H15439" s="1218">
        <v>30</v>
      </c>
      <c r="V15439" s="1399">
        <v>47</v>
      </c>
    </row>
    <row r="15440" spans="1:22" s="1192" customFormat="1" ht="14.4" x14ac:dyDescent="0.3">
      <c r="A15440" s="1192" t="s">
        <v>236</v>
      </c>
      <c r="E15440" s="1745" t="s">
        <v>6852</v>
      </c>
      <c r="F15440" s="1745"/>
      <c r="G15440" s="1277" t="s">
        <v>19</v>
      </c>
      <c r="H15440" s="1218">
        <v>165</v>
      </c>
      <c r="V15440" s="1399">
        <v>69</v>
      </c>
    </row>
    <row r="15441" spans="1:22" s="1192" customFormat="1" ht="14.4" x14ac:dyDescent="0.3">
      <c r="A15441" s="1192" t="s">
        <v>236</v>
      </c>
      <c r="E15441" s="1745" t="s">
        <v>3665</v>
      </c>
      <c r="F15441" s="1745"/>
      <c r="G15441" s="1277" t="s">
        <v>19</v>
      </c>
      <c r="H15441" s="1218">
        <v>65</v>
      </c>
      <c r="V15441" s="1399">
        <v>52</v>
      </c>
    </row>
    <row r="15442" spans="1:22" s="1192" customFormat="1" ht="14.4" x14ac:dyDescent="0.3">
      <c r="A15442" s="1192" t="s">
        <v>236</v>
      </c>
      <c r="E15442" s="1745" t="s">
        <v>3666</v>
      </c>
      <c r="F15442" s="1745"/>
      <c r="G15442" s="1277" t="s">
        <v>19</v>
      </c>
      <c r="H15442" s="1218">
        <v>185</v>
      </c>
      <c r="V15442" s="1399">
        <v>51</v>
      </c>
    </row>
    <row r="15443" spans="1:22" s="1192" customFormat="1" ht="14.4" x14ac:dyDescent="0.3">
      <c r="A15443" s="1192" t="s">
        <v>236</v>
      </c>
      <c r="E15443" s="1745" t="s">
        <v>3667</v>
      </c>
      <c r="F15443" s="1745"/>
      <c r="G15443" s="1277" t="s">
        <v>19</v>
      </c>
      <c r="H15443" s="1218">
        <v>185</v>
      </c>
      <c r="V15443" s="1399">
        <v>51</v>
      </c>
    </row>
    <row r="15444" spans="1:22" s="1192" customFormat="1" ht="14.4" x14ac:dyDescent="0.3">
      <c r="A15444" s="1192" t="s">
        <v>236</v>
      </c>
      <c r="E15444" s="1745" t="s">
        <v>3668</v>
      </c>
      <c r="F15444" s="1745"/>
      <c r="G15444" s="1277" t="s">
        <v>19</v>
      </c>
      <c r="H15444" s="1218">
        <v>415</v>
      </c>
      <c r="V15444" s="1399">
        <v>50</v>
      </c>
    </row>
    <row r="15445" spans="1:22" s="1192" customFormat="1" ht="14.4" x14ac:dyDescent="0.3">
      <c r="A15445" s="1192" t="s">
        <v>236</v>
      </c>
      <c r="E15445" s="1745" t="s">
        <v>3669</v>
      </c>
      <c r="F15445" s="1745"/>
      <c r="G15445" s="1277" t="s">
        <v>19</v>
      </c>
      <c r="H15445" s="1218">
        <v>65</v>
      </c>
      <c r="V15445" s="1399">
        <v>57</v>
      </c>
    </row>
    <row r="15446" spans="1:22" s="1192" customFormat="1" ht="14.4" x14ac:dyDescent="0.3">
      <c r="A15446" s="1192" t="s">
        <v>236</v>
      </c>
      <c r="E15446" s="1745" t="s">
        <v>3670</v>
      </c>
      <c r="F15446" s="1745"/>
      <c r="G15446" s="1277" t="s">
        <v>19</v>
      </c>
      <c r="H15446" s="1218">
        <v>185</v>
      </c>
      <c r="V15446" s="1399">
        <v>56</v>
      </c>
    </row>
    <row r="15447" spans="1:22" s="1192" customFormat="1" ht="14.4" x14ac:dyDescent="0.3">
      <c r="A15447" s="1192" t="s">
        <v>236</v>
      </c>
      <c r="E15447" s="1387" t="s">
        <v>2474</v>
      </c>
      <c r="F15447" s="1266"/>
      <c r="G15447" s="451"/>
      <c r="H15447" s="899"/>
      <c r="V15447" s="1399">
        <v>5</v>
      </c>
    </row>
    <row r="15448" spans="1:22" s="1192" customFormat="1" ht="14.4" x14ac:dyDescent="0.3">
      <c r="A15448" s="1192" t="s">
        <v>236</v>
      </c>
      <c r="E15448" s="1745" t="s">
        <v>2477</v>
      </c>
      <c r="F15448" s="1745"/>
      <c r="G15448" s="1277" t="s">
        <v>19</v>
      </c>
      <c r="H15448" s="1218">
        <v>30</v>
      </c>
      <c r="V15448" s="1399">
        <v>39</v>
      </c>
    </row>
    <row r="15449" spans="1:22" s="1192" customFormat="1" ht="14.4" x14ac:dyDescent="0.3">
      <c r="A15449" s="1192" t="s">
        <v>236</v>
      </c>
      <c r="E15449" s="1745" t="s">
        <v>2478</v>
      </c>
      <c r="F15449" s="1745"/>
      <c r="G15449" s="1277" t="s">
        <v>19</v>
      </c>
      <c r="H15449" s="1218">
        <v>165</v>
      </c>
      <c r="V15449" s="1399">
        <v>34</v>
      </c>
    </row>
    <row r="15450" spans="1:22" s="1192" customFormat="1" ht="14.4" x14ac:dyDescent="0.3">
      <c r="A15450" s="1192" t="s">
        <v>236</v>
      </c>
      <c r="E15450" s="1745" t="s">
        <v>2703</v>
      </c>
      <c r="F15450" s="1745"/>
      <c r="G15450" s="1277" t="s">
        <v>19</v>
      </c>
      <c r="H15450" s="1218">
        <v>500</v>
      </c>
      <c r="V15450" s="1399">
        <v>64</v>
      </c>
    </row>
    <row r="15451" spans="1:22" s="1192" customFormat="1" ht="14.4" x14ac:dyDescent="0.3">
      <c r="A15451" s="1192" t="s">
        <v>236</v>
      </c>
      <c r="E15451" s="1745" t="s">
        <v>2758</v>
      </c>
      <c r="F15451" s="1745"/>
      <c r="G15451" s="1277" t="s">
        <v>19</v>
      </c>
      <c r="H15451" s="1218">
        <v>300</v>
      </c>
      <c r="V15451" s="1399">
        <v>67</v>
      </c>
    </row>
    <row r="15452" spans="1:22" s="1192" customFormat="1" ht="14.4" x14ac:dyDescent="0.3">
      <c r="A15452" s="1192" t="s">
        <v>236</v>
      </c>
      <c r="E15452" s="1745" t="s">
        <v>2759</v>
      </c>
      <c r="F15452" s="1745"/>
      <c r="G15452" s="1277" t="s">
        <v>19</v>
      </c>
      <c r="H15452" s="1218">
        <v>1000</v>
      </c>
      <c r="V15452" s="1399">
        <v>66</v>
      </c>
    </row>
    <row r="15453" spans="1:22" s="1192" customFormat="1" ht="14.4" x14ac:dyDescent="0.3">
      <c r="A15453" s="1192" t="s">
        <v>236</v>
      </c>
      <c r="E15453" s="1745" t="s">
        <v>2760</v>
      </c>
      <c r="F15453" s="1745"/>
      <c r="G15453" s="1277" t="s">
        <v>19</v>
      </c>
      <c r="H15453" s="1218">
        <v>43.63</v>
      </c>
      <c r="V15453" s="1399">
        <v>59</v>
      </c>
    </row>
    <row r="15454" spans="1:22" s="1192" customFormat="1" ht="14.4" x14ac:dyDescent="0.3">
      <c r="A15454" s="1192" t="s">
        <v>236</v>
      </c>
      <c r="E15454" s="1745" t="s">
        <v>2476</v>
      </c>
      <c r="F15454" s="1745"/>
      <c r="G15454" s="1277"/>
      <c r="H15454" s="837"/>
      <c r="V15454" s="1399">
        <v>44</v>
      </c>
    </row>
    <row r="15455" spans="1:22" s="1192" customFormat="1" ht="14.4" x14ac:dyDescent="0.3">
      <c r="A15455" s="1192" t="s">
        <v>236</v>
      </c>
      <c r="E15455" s="1986" t="s">
        <v>6871</v>
      </c>
      <c r="F15455" s="1986"/>
      <c r="G15455" s="1277"/>
      <c r="H15455" s="837"/>
      <c r="V15455" s="1399">
        <v>166</v>
      </c>
    </row>
    <row r="15456" spans="1:22" s="1192" customFormat="1" ht="34.799999999999997" x14ac:dyDescent="0.3">
      <c r="A15456" s="1192" t="s">
        <v>236</v>
      </c>
      <c r="E15456" s="1388" t="s">
        <v>73</v>
      </c>
      <c r="F15456" s="554"/>
      <c r="G15456" s="554"/>
      <c r="H15456" s="917"/>
      <c r="K15456" s="1192" t="s">
        <v>6872</v>
      </c>
      <c r="V15456" s="1399">
        <v>38</v>
      </c>
    </row>
    <row r="15457" spans="1:22" s="1192" customFormat="1" ht="14.4" x14ac:dyDescent="0.3">
      <c r="A15457" s="1192" t="s">
        <v>236</v>
      </c>
      <c r="E15457" s="1743" t="s">
        <v>2391</v>
      </c>
      <c r="F15457" s="1743"/>
      <c r="G15457" s="1743"/>
      <c r="H15457" s="1743"/>
      <c r="V15457" s="1399">
        <v>280</v>
      </c>
    </row>
    <row r="15458" spans="1:22" s="1192" customFormat="1" ht="14.4" x14ac:dyDescent="0.3">
      <c r="A15458" s="1192" t="s">
        <v>236</v>
      </c>
      <c r="E15458" s="1743" t="s">
        <v>2392</v>
      </c>
      <c r="F15458" s="1743"/>
      <c r="G15458" s="1743"/>
      <c r="H15458" s="1743"/>
      <c r="V15458" s="1399">
        <v>411</v>
      </c>
    </row>
    <row r="15459" spans="1:22" s="1192" customFormat="1" ht="14.4" x14ac:dyDescent="0.3">
      <c r="A15459" s="1192" t="s">
        <v>236</v>
      </c>
      <c r="E15459" s="1743" t="s">
        <v>2445</v>
      </c>
      <c r="F15459" s="1743"/>
      <c r="G15459" s="1743"/>
      <c r="H15459" s="1743"/>
      <c r="V15459" s="1399">
        <v>211</v>
      </c>
    </row>
    <row r="15460" spans="1:22" s="1192" customFormat="1" ht="14.4" x14ac:dyDescent="0.3">
      <c r="A15460" s="1192" t="s">
        <v>236</v>
      </c>
      <c r="E15460" s="1743" t="s">
        <v>4500</v>
      </c>
      <c r="F15460" s="1743"/>
      <c r="G15460" s="1743"/>
      <c r="H15460" s="1743"/>
      <c r="V15460" s="1399">
        <v>247</v>
      </c>
    </row>
    <row r="15461" spans="1:22" s="1192" customFormat="1" ht="14.4" x14ac:dyDescent="0.3">
      <c r="A15461" s="1192" t="s">
        <v>236</v>
      </c>
      <c r="E15461" s="1743" t="s">
        <v>2595</v>
      </c>
      <c r="F15461" s="1743"/>
      <c r="G15461" s="1743"/>
      <c r="H15461" s="1743"/>
      <c r="V15461" s="1399">
        <v>142</v>
      </c>
    </row>
    <row r="15462" spans="1:22" s="1192" customFormat="1" ht="14.4" x14ac:dyDescent="0.3">
      <c r="A15462" s="1192" t="s">
        <v>236</v>
      </c>
      <c r="E15462" s="1740" t="s">
        <v>2485</v>
      </c>
      <c r="F15462" s="1740"/>
      <c r="G15462" s="451" t="s">
        <v>19</v>
      </c>
      <c r="H15462" s="358">
        <v>100</v>
      </c>
      <c r="V15462" s="1399">
        <v>106</v>
      </c>
    </row>
    <row r="15463" spans="1:22" s="1192" customFormat="1" ht="14.4" x14ac:dyDescent="0.3">
      <c r="A15463" s="1192" t="s">
        <v>236</v>
      </c>
      <c r="E15463" s="1740" t="s">
        <v>3919</v>
      </c>
      <c r="F15463" s="1740"/>
      <c r="G15463" s="451" t="s">
        <v>19</v>
      </c>
      <c r="H15463" s="358">
        <v>40</v>
      </c>
      <c r="V15463" s="1399">
        <v>34</v>
      </c>
    </row>
    <row r="15464" spans="1:22" s="1192" customFormat="1" ht="14.4" x14ac:dyDescent="0.3">
      <c r="A15464" s="1192" t="s">
        <v>236</v>
      </c>
      <c r="E15464" s="1740" t="s">
        <v>3920</v>
      </c>
      <c r="F15464" s="1740"/>
      <c r="G15464" s="451" t="s">
        <v>2488</v>
      </c>
      <c r="H15464" s="358">
        <v>1</v>
      </c>
      <c r="V15464" s="1399">
        <v>51</v>
      </c>
    </row>
    <row r="15465" spans="1:22" s="1192" customFormat="1" ht="14.4" x14ac:dyDescent="0.3">
      <c r="A15465" s="1192" t="s">
        <v>236</v>
      </c>
      <c r="E15465" s="1740" t="s">
        <v>2489</v>
      </c>
      <c r="F15465" s="1740"/>
      <c r="G15465" s="451" t="s">
        <v>2488</v>
      </c>
      <c r="H15465" s="358">
        <v>0.6</v>
      </c>
      <c r="V15465" s="1399">
        <v>75</v>
      </c>
    </row>
    <row r="15466" spans="1:22" s="1192" customFormat="1" ht="14.4" x14ac:dyDescent="0.3">
      <c r="A15466" s="1192" t="s">
        <v>236</v>
      </c>
      <c r="E15466" s="1740" t="s">
        <v>2490</v>
      </c>
      <c r="F15466" s="1740"/>
      <c r="G15466" s="451" t="s">
        <v>2488</v>
      </c>
      <c r="H15466" s="358">
        <v>-0.6</v>
      </c>
      <c r="V15466" s="1399">
        <v>72</v>
      </c>
    </row>
    <row r="15467" spans="1:22" s="1192" customFormat="1" ht="14.4" x14ac:dyDescent="0.3">
      <c r="A15467" s="1192" t="s">
        <v>236</v>
      </c>
      <c r="E15467" s="1740" t="s">
        <v>2596</v>
      </c>
      <c r="F15467" s="1740"/>
      <c r="G15467" s="451"/>
      <c r="H15467" s="899"/>
      <c r="V15467" s="1399">
        <v>34</v>
      </c>
    </row>
    <row r="15468" spans="1:22" s="1192" customFormat="1" ht="14.4" x14ac:dyDescent="0.3">
      <c r="A15468" s="1192" t="s">
        <v>236</v>
      </c>
      <c r="E15468" s="1742" t="s">
        <v>2492</v>
      </c>
      <c r="F15468" s="1742"/>
      <c r="G15468" s="451" t="s">
        <v>19</v>
      </c>
      <c r="H15468" s="358">
        <v>0.5</v>
      </c>
      <c r="V15468" s="1399">
        <v>57</v>
      </c>
    </row>
    <row r="15469" spans="1:22" s="1192" customFormat="1" ht="14.4" x14ac:dyDescent="0.3">
      <c r="A15469" s="1192" t="s">
        <v>236</v>
      </c>
      <c r="E15469" s="1742" t="s">
        <v>2493</v>
      </c>
      <c r="F15469" s="1742"/>
      <c r="G15469" s="451" t="s">
        <v>19</v>
      </c>
      <c r="H15469" s="358">
        <v>1</v>
      </c>
      <c r="V15469" s="1399">
        <v>60</v>
      </c>
    </row>
    <row r="15470" spans="1:22" s="1192" customFormat="1" ht="14.4" x14ac:dyDescent="0.3">
      <c r="A15470" s="1192" t="s">
        <v>236</v>
      </c>
      <c r="E15470" s="1740" t="s">
        <v>2494</v>
      </c>
      <c r="F15470" s="1740"/>
      <c r="G15470" s="451"/>
      <c r="H15470" s="899"/>
      <c r="V15470" s="1399">
        <v>91</v>
      </c>
    </row>
    <row r="15471" spans="1:22" s="1192" customFormat="1" ht="14.4" x14ac:dyDescent="0.3">
      <c r="A15471" s="1192" t="s">
        <v>236</v>
      </c>
      <c r="E15471" s="1740" t="s">
        <v>2495</v>
      </c>
      <c r="F15471" s="1740"/>
      <c r="G15471" s="451"/>
      <c r="H15471" s="899"/>
      <c r="V15471" s="1399">
        <v>96</v>
      </c>
    </row>
    <row r="15472" spans="1:22" s="1192" customFormat="1" ht="14.4" x14ac:dyDescent="0.3">
      <c r="A15472" s="1192" t="s">
        <v>236</v>
      </c>
      <c r="E15472" s="1740" t="s">
        <v>2597</v>
      </c>
      <c r="F15472" s="1740"/>
      <c r="G15472" s="451"/>
      <c r="H15472" s="899"/>
      <c r="V15472" s="1399">
        <v>77</v>
      </c>
    </row>
    <row r="15473" spans="1:22" s="1192" customFormat="1" ht="14.4" x14ac:dyDescent="0.3">
      <c r="A15473" s="1192" t="s">
        <v>236</v>
      </c>
      <c r="E15473" s="1742" t="s">
        <v>2497</v>
      </c>
      <c r="F15473" s="1742"/>
      <c r="G15473" s="451" t="s">
        <v>19</v>
      </c>
      <c r="H15473" s="899" t="s">
        <v>2498</v>
      </c>
      <c r="V15473" s="1399">
        <v>18</v>
      </c>
    </row>
    <row r="15474" spans="1:22" s="1192" customFormat="1" ht="14.4" x14ac:dyDescent="0.3">
      <c r="A15474" s="1192" t="s">
        <v>236</v>
      </c>
      <c r="E15474" s="1742" t="s">
        <v>2499</v>
      </c>
      <c r="F15474" s="1742"/>
      <c r="G15474" s="451" t="s">
        <v>19</v>
      </c>
      <c r="H15474" s="358">
        <v>4</v>
      </c>
      <c r="V15474" s="1399">
        <v>69</v>
      </c>
    </row>
    <row r="15475" spans="1:22" s="1192" customFormat="1" ht="14.4" x14ac:dyDescent="0.3">
      <c r="A15475" s="1192" t="s">
        <v>236</v>
      </c>
      <c r="E15475" s="1740" t="s">
        <v>4608</v>
      </c>
      <c r="F15475" s="1740"/>
      <c r="G15475" s="452" t="s">
        <v>19</v>
      </c>
      <c r="H15475" s="1218">
        <v>2</v>
      </c>
      <c r="V15475" s="1399">
        <v>199</v>
      </c>
    </row>
    <row r="15476" spans="1:22" s="1192" customFormat="1" x14ac:dyDescent="0.3">
      <c r="A15476" s="1192" t="s">
        <v>236</v>
      </c>
      <c r="E15476" s="1388" t="s">
        <v>143</v>
      </c>
      <c r="F15476" s="554"/>
      <c r="G15476" s="554"/>
      <c r="H15476" s="917"/>
      <c r="K15476" s="1192" t="s">
        <v>6873</v>
      </c>
      <c r="V15476" s="1399">
        <v>12</v>
      </c>
    </row>
    <row r="15477" spans="1:22" s="1192" customFormat="1" ht="14.4" x14ac:dyDescent="0.3">
      <c r="A15477" s="1192" t="s">
        <v>236</v>
      </c>
      <c r="E15477" s="1741" t="s">
        <v>2501</v>
      </c>
      <c r="F15477" s="1741"/>
      <c r="G15477" s="1741"/>
      <c r="H15477" s="1741"/>
      <c r="V15477" s="1399">
        <v>203</v>
      </c>
    </row>
    <row r="15478" spans="1:22" s="1192" customFormat="1" ht="14.4" x14ac:dyDescent="0.3">
      <c r="A15478" s="1192" t="s">
        <v>236</v>
      </c>
      <c r="E15478" s="1740" t="s">
        <v>2599</v>
      </c>
      <c r="F15478" s="1740"/>
      <c r="G15478" s="1277"/>
      <c r="H15478" s="837">
        <v>1.0548</v>
      </c>
      <c r="V15478" s="1399">
        <v>57</v>
      </c>
    </row>
    <row r="15479" spans="1:22" s="1192" customFormat="1" ht="14.4" x14ac:dyDescent="0.3">
      <c r="A15479" s="1192" t="s">
        <v>236</v>
      </c>
      <c r="E15479" s="1740" t="s">
        <v>2600</v>
      </c>
      <c r="F15479" s="1740"/>
      <c r="G15479" s="1277"/>
      <c r="H15479" s="837">
        <v>1.0172000000000001</v>
      </c>
      <c r="V15479" s="1399">
        <v>57</v>
      </c>
    </row>
    <row r="15480" spans="1:22" s="1192" customFormat="1" ht="14.4" x14ac:dyDescent="0.3">
      <c r="A15480" s="1192" t="s">
        <v>236</v>
      </c>
      <c r="E15480" s="1740" t="s">
        <v>2601</v>
      </c>
      <c r="F15480" s="1740"/>
      <c r="G15480" s="1277"/>
      <c r="H15480" s="837">
        <v>1.0443</v>
      </c>
      <c r="V15480" s="1399">
        <v>55</v>
      </c>
    </row>
    <row r="15481" spans="1:22" s="1192" customFormat="1" ht="14.4" x14ac:dyDescent="0.3">
      <c r="A15481" s="1192" t="s">
        <v>236</v>
      </c>
      <c r="E15481" s="1740" t="s">
        <v>2602</v>
      </c>
      <c r="F15481" s="1740"/>
      <c r="G15481" s="1277"/>
      <c r="H15481" s="837">
        <v>1.0069999999999999</v>
      </c>
      <c r="J15481" s="1192" t="s">
        <v>6874</v>
      </c>
      <c r="V15481" s="1399">
        <v>55</v>
      </c>
    </row>
  </sheetData>
  <sheetProtection algorithmName="SHA-512" hashValue="cCBLS2nPhDxH0I5bpA+1qgoFExmliw2aykAh1TFQBjC3koEcs/enO2LmfdM2qgIJNeY0LcFldBBasuqe5s3GfA==" saltValue="PFsLMpxK48+FeWtMNaeViw==" spinCount="100000" sheet="1" objects="1" scenarios="1"/>
  <mergeCells count="15031">
    <mergeCell ref="E14791:H14791"/>
    <mergeCell ref="E14795:F14795"/>
    <mergeCell ref="E14798:H14798"/>
    <mergeCell ref="E14799:F14799"/>
    <mergeCell ref="E14800:F14800"/>
    <mergeCell ref="E14801:F14801"/>
    <mergeCell ref="E14802:F14802"/>
    <mergeCell ref="E14806:H14806"/>
    <mergeCell ref="E14808:H14808"/>
    <mergeCell ref="E14809:H14809"/>
    <mergeCell ref="E14812:H14812"/>
    <mergeCell ref="E14813:F14813"/>
    <mergeCell ref="E14814:F14814"/>
    <mergeCell ref="E14815:H14815"/>
    <mergeCell ref="E14817:H14817"/>
    <mergeCell ref="E14818:H14818"/>
    <mergeCell ref="E14820:F14820"/>
    <mergeCell ref="E14822:F14822"/>
    <mergeCell ref="E14823:F14823"/>
    <mergeCell ref="E14824:F14824"/>
    <mergeCell ref="E14826:F14826"/>
    <mergeCell ref="E14827:F14827"/>
    <mergeCell ref="E14803:H14803"/>
    <mergeCell ref="E14804:H14804"/>
    <mergeCell ref="E14805:H14805"/>
    <mergeCell ref="E14807:H14807"/>
    <mergeCell ref="E14810:H14810"/>
    <mergeCell ref="E14811:F14811"/>
    <mergeCell ref="E14816:H14816"/>
    <mergeCell ref="E14819:H14819"/>
    <mergeCell ref="E14821:F14821"/>
    <mergeCell ref="E14825:F14825"/>
    <mergeCell ref="E14774:F14774"/>
    <mergeCell ref="E14775:F14775"/>
    <mergeCell ref="E14776:F14776"/>
    <mergeCell ref="E14777:F14777"/>
    <mergeCell ref="E14788:H14788"/>
    <mergeCell ref="E14789:H14789"/>
    <mergeCell ref="E14790:H14790"/>
    <mergeCell ref="E14784:H14784"/>
    <mergeCell ref="E14785:H14785"/>
    <mergeCell ref="E14792:F14792"/>
    <mergeCell ref="E14793:F14793"/>
    <mergeCell ref="E14794:F14794"/>
    <mergeCell ref="E14796:F14796"/>
    <mergeCell ref="E14797:F14797"/>
    <mergeCell ref="E14779:H14779"/>
    <mergeCell ref="E14780:F14780"/>
    <mergeCell ref="E14781:F14781"/>
    <mergeCell ref="E14782:F14782"/>
    <mergeCell ref="E14783:F14783"/>
    <mergeCell ref="E14786:H14786"/>
    <mergeCell ref="E14787:H14787"/>
    <mergeCell ref="E14719:F14719"/>
    <mergeCell ref="E14720:F14720"/>
    <mergeCell ref="E14721:F14721"/>
    <mergeCell ref="E14723:F14723"/>
    <mergeCell ref="E14727:H14727"/>
    <mergeCell ref="E14728:H14728"/>
    <mergeCell ref="E14729:H14729"/>
    <mergeCell ref="E14730:H14730"/>
    <mergeCell ref="E14731:H14731"/>
    <mergeCell ref="E14732:H14732"/>
    <mergeCell ref="E14733:H14733"/>
    <mergeCell ref="E14734:H14734"/>
    <mergeCell ref="E14735:H14735"/>
    <mergeCell ref="E14741:F14741"/>
    <mergeCell ref="E14743:H14743"/>
    <mergeCell ref="E14748:H14748"/>
    <mergeCell ref="E14754:H14754"/>
    <mergeCell ref="E14755:H14755"/>
    <mergeCell ref="E14761:H14761"/>
    <mergeCell ref="E14766:H14766"/>
    <mergeCell ref="E14767:H14767"/>
    <mergeCell ref="E14769:H14769"/>
    <mergeCell ref="E14770:H14770"/>
    <mergeCell ref="E14771:H14771"/>
    <mergeCell ref="E14772:H14772"/>
    <mergeCell ref="E14668:H14668"/>
    <mergeCell ref="E14698:F14698"/>
    <mergeCell ref="E14697:F14697"/>
    <mergeCell ref="E14707:H14707"/>
    <mergeCell ref="E14708:H14708"/>
    <mergeCell ref="E14709:H14709"/>
    <mergeCell ref="E14711:H14711"/>
    <mergeCell ref="E14712:H14712"/>
    <mergeCell ref="E14722:H14722"/>
    <mergeCell ref="E14736:F14736"/>
    <mergeCell ref="E14737:F14737"/>
    <mergeCell ref="E14746:F14746"/>
    <mergeCell ref="E14747:F14747"/>
    <mergeCell ref="E14756:F14756"/>
    <mergeCell ref="E14751:H14751"/>
    <mergeCell ref="E14724:F14724"/>
    <mergeCell ref="E14725:F14725"/>
    <mergeCell ref="E14726:F14726"/>
    <mergeCell ref="E14738:F14738"/>
    <mergeCell ref="E14739:F14739"/>
    <mergeCell ref="E14740:F14740"/>
    <mergeCell ref="E14742:F14742"/>
    <mergeCell ref="E14744:F14744"/>
    <mergeCell ref="E14745:F14745"/>
    <mergeCell ref="E14749:H14749"/>
    <mergeCell ref="E14750:H14750"/>
    <mergeCell ref="E14752:H14752"/>
    <mergeCell ref="E14753:H14753"/>
    <mergeCell ref="E14678:H14678"/>
    <mergeCell ref="E14681:H14681"/>
    <mergeCell ref="E14682:H14682"/>
    <mergeCell ref="E14683:H14683"/>
    <mergeCell ref="E14684:H14684"/>
    <mergeCell ref="E14715:F14715"/>
    <mergeCell ref="E14717:F14717"/>
    <mergeCell ref="E14685:H14685"/>
    <mergeCell ref="E14680:F14680"/>
    <mergeCell ref="E14686:H14686"/>
    <mergeCell ref="E14687:H14687"/>
    <mergeCell ref="E14596:F14596"/>
    <mergeCell ref="E14597:F14597"/>
    <mergeCell ref="E14598:F14598"/>
    <mergeCell ref="E14599:F14599"/>
    <mergeCell ref="E14600:F14600"/>
    <mergeCell ref="E14601:F14601"/>
    <mergeCell ref="E14602:F14602"/>
    <mergeCell ref="E14606:H14606"/>
    <mergeCell ref="E14607:H14607"/>
    <mergeCell ref="E14608:H14608"/>
    <mergeCell ref="E14609:H14609"/>
    <mergeCell ref="E14610:H14610"/>
    <mergeCell ref="E14621:F14621"/>
    <mergeCell ref="E14622:F14622"/>
    <mergeCell ref="E14629:H14629"/>
    <mergeCell ref="E14630:H14630"/>
    <mergeCell ref="E14636:H14636"/>
    <mergeCell ref="E14637:H14637"/>
    <mergeCell ref="E14638:H14638"/>
    <mergeCell ref="E14642:F14642"/>
    <mergeCell ref="E14643:F14643"/>
    <mergeCell ref="E14644:F14644"/>
    <mergeCell ref="E14646:F14646"/>
    <mergeCell ref="E14647:F14647"/>
    <mergeCell ref="E14648:F14648"/>
    <mergeCell ref="E14649:F14649"/>
    <mergeCell ref="E14658:H14658"/>
    <mergeCell ref="E14659:H14659"/>
    <mergeCell ref="E14660:H14660"/>
    <mergeCell ref="E14661:H14661"/>
    <mergeCell ref="E14662:H14662"/>
    <mergeCell ref="E14485:F14485"/>
    <mergeCell ref="E14490:F14490"/>
    <mergeCell ref="E14491:F14491"/>
    <mergeCell ref="E14496:H14496"/>
    <mergeCell ref="E14497:H14497"/>
    <mergeCell ref="E14509:F14509"/>
    <mergeCell ref="E14510:F14510"/>
    <mergeCell ref="E14514:F14514"/>
    <mergeCell ref="E14515:F14515"/>
    <mergeCell ref="E14527:H14527"/>
    <mergeCell ref="E14528:H14528"/>
    <mergeCell ref="E14529:H14529"/>
    <mergeCell ref="E14530:H14530"/>
    <mergeCell ref="E14564:H14564"/>
    <mergeCell ref="E14565:H14565"/>
    <mergeCell ref="E14566:H14566"/>
    <mergeCell ref="E14567:H14567"/>
    <mergeCell ref="E14573:F14573"/>
    <mergeCell ref="E14574:F14574"/>
    <mergeCell ref="E14575:F14575"/>
    <mergeCell ref="E14552:F14552"/>
    <mergeCell ref="E14554:F14554"/>
    <mergeCell ref="E14555:F14555"/>
    <mergeCell ref="E14557:F14557"/>
    <mergeCell ref="E14558:F14558"/>
    <mergeCell ref="E14559:F14559"/>
    <mergeCell ref="E14560:F14560"/>
    <mergeCell ref="E14561:F14561"/>
    <mergeCell ref="E14562:F14562"/>
    <mergeCell ref="E14563:F14563"/>
    <mergeCell ref="E14522:H14522"/>
    <mergeCell ref="E14523:H14523"/>
    <mergeCell ref="E14521:H14521"/>
    <mergeCell ref="E14479:F14479"/>
    <mergeCell ref="E14480:F14480"/>
    <mergeCell ref="E14481:F14481"/>
    <mergeCell ref="E14482:F14482"/>
    <mergeCell ref="E14414:F14414"/>
    <mergeCell ref="E14415:F14415"/>
    <mergeCell ref="E14416:F14416"/>
    <mergeCell ref="E14421:H14421"/>
    <mergeCell ref="E14422:H14422"/>
    <mergeCell ref="E14423:H14423"/>
    <mergeCell ref="E14424:H14424"/>
    <mergeCell ref="E14433:F14433"/>
    <mergeCell ref="E14434:F14434"/>
    <mergeCell ref="E14435:F14435"/>
    <mergeCell ref="E14436:F14436"/>
    <mergeCell ref="E14437:F14437"/>
    <mergeCell ref="E14438:F14438"/>
    <mergeCell ref="E14441:H14441"/>
    <mergeCell ref="E14442:H14442"/>
    <mergeCell ref="E14443:H14443"/>
    <mergeCell ref="E14444:H14444"/>
    <mergeCell ref="E14445:H14445"/>
    <mergeCell ref="E14446:H14446"/>
    <mergeCell ref="E14452:F14452"/>
    <mergeCell ref="E14453:F14453"/>
    <mergeCell ref="E14454:F14454"/>
    <mergeCell ref="E14448:F14448"/>
    <mergeCell ref="E14449:F14449"/>
    <mergeCell ref="E14450:F14450"/>
    <mergeCell ref="E14447:F14447"/>
    <mergeCell ref="E14451:F14451"/>
    <mergeCell ref="E14455:F14455"/>
    <mergeCell ref="E14456:F14456"/>
    <mergeCell ref="E14457:F14457"/>
    <mergeCell ref="E14458:F14458"/>
    <mergeCell ref="E14459:F14459"/>
    <mergeCell ref="E14461:F14461"/>
    <mergeCell ref="E14470:F14470"/>
    <mergeCell ref="E14460:F14460"/>
    <mergeCell ref="E14462:H14462"/>
    <mergeCell ref="E14463:H14463"/>
    <mergeCell ref="E14464:H14464"/>
    <mergeCell ref="E14469:H14469"/>
    <mergeCell ref="E14475:H14475"/>
    <mergeCell ref="E14476:H14476"/>
    <mergeCell ref="E14477:H14477"/>
    <mergeCell ref="E14472:F14472"/>
    <mergeCell ref="E14429:F14429"/>
    <mergeCell ref="E14430:F14430"/>
    <mergeCell ref="E14419:H14419"/>
    <mergeCell ref="E14420:H14420"/>
    <mergeCell ref="E14427:F14427"/>
    <mergeCell ref="E14428:F14428"/>
    <mergeCell ref="E14295:H14295"/>
    <mergeCell ref="E14298:F14298"/>
    <mergeCell ref="E14299:F14299"/>
    <mergeCell ref="E14300:F14300"/>
    <mergeCell ref="E14301:F14301"/>
    <mergeCell ref="E14302:F14302"/>
    <mergeCell ref="E14303:F14303"/>
    <mergeCell ref="E14304:F14304"/>
    <mergeCell ref="E14305:F14305"/>
    <mergeCell ref="E14306:F14306"/>
    <mergeCell ref="E14307:F14307"/>
    <mergeCell ref="E14308:F14308"/>
    <mergeCell ref="E14311:F14311"/>
    <mergeCell ref="E14315:H14315"/>
    <mergeCell ref="E14316:H14316"/>
    <mergeCell ref="E14317:H14317"/>
    <mergeCell ref="E14318:H14318"/>
    <mergeCell ref="E14319:H14319"/>
    <mergeCell ref="E14320:H14320"/>
    <mergeCell ref="E14321:H14321"/>
    <mergeCell ref="E14322:H14322"/>
    <mergeCell ref="E14323:H14323"/>
    <mergeCell ref="E14324:H14324"/>
    <mergeCell ref="E14330:F14330"/>
    <mergeCell ref="E14331:F14331"/>
    <mergeCell ref="E14332:F14332"/>
    <mergeCell ref="E14345:H14345"/>
    <mergeCell ref="E14346:H14346"/>
    <mergeCell ref="E14353:F14353"/>
    <mergeCell ref="E14354:F14354"/>
    <mergeCell ref="E14355:F14355"/>
    <mergeCell ref="E14356:F14356"/>
    <mergeCell ref="E14369:H14369"/>
    <mergeCell ref="E14296:F14296"/>
    <mergeCell ref="E14297:F14297"/>
    <mergeCell ref="E14312:F14312"/>
    <mergeCell ref="E14313:F14313"/>
    <mergeCell ref="E14314:F14314"/>
    <mergeCell ref="E14368:F14368"/>
    <mergeCell ref="E14310:H14310"/>
    <mergeCell ref="E14325:H14325"/>
    <mergeCell ref="E14326:H14326"/>
    <mergeCell ref="E14333:F14333"/>
    <mergeCell ref="E14334:F14334"/>
    <mergeCell ref="E14327:H14327"/>
    <mergeCell ref="E14328:H14328"/>
    <mergeCell ref="E14329:H14329"/>
    <mergeCell ref="E14335:F14335"/>
    <mergeCell ref="E14365:F14365"/>
    <mergeCell ref="E14366:F14366"/>
    <mergeCell ref="E14367:F14367"/>
    <mergeCell ref="E14336:F14336"/>
    <mergeCell ref="E14337:F14337"/>
    <mergeCell ref="E14338:F14338"/>
    <mergeCell ref="E14339:F14339"/>
    <mergeCell ref="E14340:F14340"/>
    <mergeCell ref="E14341:F14341"/>
    <mergeCell ref="E14342:F14342"/>
    <mergeCell ref="E14343:F14343"/>
    <mergeCell ref="E14344:F14344"/>
    <mergeCell ref="E14347:H14347"/>
    <mergeCell ref="E14348:H14348"/>
    <mergeCell ref="E14349:H14349"/>
    <mergeCell ref="E14350:H14350"/>
    <mergeCell ref="E14262:H14262"/>
    <mergeCell ref="E14263:H14263"/>
    <mergeCell ref="E14264:H14264"/>
    <mergeCell ref="E14271:F14271"/>
    <mergeCell ref="E14273:F14273"/>
    <mergeCell ref="E14274:F14274"/>
    <mergeCell ref="E14276:F14276"/>
    <mergeCell ref="E14277:F14277"/>
    <mergeCell ref="E14278:F14278"/>
    <mergeCell ref="E14290:H14290"/>
    <mergeCell ref="E14291:H14291"/>
    <mergeCell ref="E14292:H14292"/>
    <mergeCell ref="E14294:H14294"/>
    <mergeCell ref="E14266:F14266"/>
    <mergeCell ref="E14267:F14267"/>
    <mergeCell ref="E14268:F14268"/>
    <mergeCell ref="E14269:F14269"/>
    <mergeCell ref="E14270:F14270"/>
    <mergeCell ref="E14272:F14272"/>
    <mergeCell ref="E14232:F14232"/>
    <mergeCell ref="E14241:F14241"/>
    <mergeCell ref="E14256:F14256"/>
    <mergeCell ref="E14258:F14258"/>
    <mergeCell ref="E14259:F14259"/>
    <mergeCell ref="E14279:F14279"/>
    <mergeCell ref="E14280:F14280"/>
    <mergeCell ref="E14281:F14281"/>
    <mergeCell ref="E14283:F14283"/>
    <mergeCell ref="E14284:F14284"/>
    <mergeCell ref="E14285:F14285"/>
    <mergeCell ref="E14286:F14286"/>
    <mergeCell ref="E14287:F14287"/>
    <mergeCell ref="E14288:F14288"/>
    <mergeCell ref="E14249:H14249"/>
    <mergeCell ref="E14293:H14293"/>
    <mergeCell ref="E14243:F14243"/>
    <mergeCell ref="E14244:F14244"/>
    <mergeCell ref="E14248:H14248"/>
    <mergeCell ref="E14163:F14163"/>
    <mergeCell ref="E14164:F14164"/>
    <mergeCell ref="E14165:F14165"/>
    <mergeCell ref="E14170:F14170"/>
    <mergeCell ref="E14172:F14172"/>
    <mergeCell ref="E14178:H14178"/>
    <mergeCell ref="E14180:H14180"/>
    <mergeCell ref="E14186:F14186"/>
    <mergeCell ref="E14187:F14187"/>
    <mergeCell ref="E14188:F14188"/>
    <mergeCell ref="E14195:H14195"/>
    <mergeCell ref="E14197:H14197"/>
    <mergeCell ref="E14198:H14198"/>
    <mergeCell ref="E14226:H14226"/>
    <mergeCell ref="E14227:H14227"/>
    <mergeCell ref="E14228:H14228"/>
    <mergeCell ref="E14230:F14230"/>
    <mergeCell ref="E14233:F14233"/>
    <mergeCell ref="E14234:F14234"/>
    <mergeCell ref="E14235:F14235"/>
    <mergeCell ref="E14236:F14236"/>
    <mergeCell ref="E14237:F14237"/>
    <mergeCell ref="E14242:F14242"/>
    <mergeCell ref="E14245:F14245"/>
    <mergeCell ref="E14246:F14246"/>
    <mergeCell ref="E14247:F14247"/>
    <mergeCell ref="E14250:H14250"/>
    <mergeCell ref="E14251:H14251"/>
    <mergeCell ref="E14252:H14252"/>
    <mergeCell ref="E14253:H14253"/>
    <mergeCell ref="E14254:H14254"/>
    <mergeCell ref="E14255:H14255"/>
    <mergeCell ref="E14261:H14261"/>
    <mergeCell ref="E14229:F14229"/>
    <mergeCell ref="E14231:F14231"/>
    <mergeCell ref="E14171:F14171"/>
    <mergeCell ref="E14174:F14174"/>
    <mergeCell ref="E14175:F14175"/>
    <mergeCell ref="E14176:F14176"/>
    <mergeCell ref="E14181:H14181"/>
    <mergeCell ref="E14182:H14182"/>
    <mergeCell ref="E14183:H14183"/>
    <mergeCell ref="E14184:H14184"/>
    <mergeCell ref="E14185:H14185"/>
    <mergeCell ref="E14189:F14189"/>
    <mergeCell ref="E14191:H14191"/>
    <mergeCell ref="E14192:H14192"/>
    <mergeCell ref="E14193:H14193"/>
    <mergeCell ref="E14196:H14196"/>
    <mergeCell ref="E14199:F14199"/>
    <mergeCell ref="E14200:F14200"/>
    <mergeCell ref="E14201:F14201"/>
    <mergeCell ref="E14208:F14208"/>
    <mergeCell ref="E14210:F14210"/>
    <mergeCell ref="E14214:F14214"/>
    <mergeCell ref="E14215:F14215"/>
    <mergeCell ref="E14216:F14216"/>
    <mergeCell ref="E14217:F14217"/>
    <mergeCell ref="E14218:F14218"/>
    <mergeCell ref="E14219:F14219"/>
    <mergeCell ref="E14220:F14220"/>
    <mergeCell ref="E14221:H14221"/>
    <mergeCell ref="E14222:H14222"/>
    <mergeCell ref="E14223:H14223"/>
    <mergeCell ref="E14224:H14224"/>
    <mergeCell ref="E14225:H14225"/>
    <mergeCell ref="E14173:F14173"/>
    <mergeCell ref="E14177:H14177"/>
    <mergeCell ref="E14179:H14179"/>
    <mergeCell ref="E14190:F14190"/>
    <mergeCell ref="E14194:H14194"/>
    <mergeCell ref="E14207:F14207"/>
    <mergeCell ref="E14202:F14202"/>
    <mergeCell ref="E14203:F14203"/>
    <mergeCell ref="E14204:F14204"/>
    <mergeCell ref="E14205:F14205"/>
    <mergeCell ref="E14206:F14206"/>
    <mergeCell ref="E14209:F14209"/>
    <mergeCell ref="E14056:H14056"/>
    <mergeCell ref="E14057:H14057"/>
    <mergeCell ref="E14058:H14058"/>
    <mergeCell ref="E14059:H14059"/>
    <mergeCell ref="E14061:H14061"/>
    <mergeCell ref="E14065:F14065"/>
    <mergeCell ref="E14066:F14066"/>
    <mergeCell ref="E14067:F14067"/>
    <mergeCell ref="E14068:F14068"/>
    <mergeCell ref="E14069:F14069"/>
    <mergeCell ref="E14070:F14070"/>
    <mergeCell ref="E14071:F14071"/>
    <mergeCell ref="E14072:F14072"/>
    <mergeCell ref="E14073:F14073"/>
    <mergeCell ref="E14077:F14077"/>
    <mergeCell ref="E14078:F14078"/>
    <mergeCell ref="E14084:H14084"/>
    <mergeCell ref="E14085:H14085"/>
    <mergeCell ref="E14086:H14086"/>
    <mergeCell ref="E14087:H14087"/>
    <mergeCell ref="E14088:H14088"/>
    <mergeCell ref="E14089:H14089"/>
    <mergeCell ref="E14090:H14090"/>
    <mergeCell ref="E14093:H14093"/>
    <mergeCell ref="E14094:F14094"/>
    <mergeCell ref="E14095:F14095"/>
    <mergeCell ref="E14096:F14096"/>
    <mergeCell ref="E14097:F14097"/>
    <mergeCell ref="E14098:F14098"/>
    <mergeCell ref="E14108:F14108"/>
    <mergeCell ref="E14111:F14111"/>
    <mergeCell ref="E14161:F14161"/>
    <mergeCell ref="E14162:F14162"/>
    <mergeCell ref="E14125:F14125"/>
    <mergeCell ref="E14126:F14126"/>
    <mergeCell ref="E14127:F14127"/>
    <mergeCell ref="E14129:F14129"/>
    <mergeCell ref="E14131:F14131"/>
    <mergeCell ref="E14132:F14132"/>
    <mergeCell ref="E14143:F14143"/>
    <mergeCell ref="E14144:F14144"/>
    <mergeCell ref="E14145:F14145"/>
    <mergeCell ref="E14154:H14154"/>
    <mergeCell ref="E14155:H14155"/>
    <mergeCell ref="E14060:H14060"/>
    <mergeCell ref="E14112:F14112"/>
    <mergeCell ref="E14113:F14113"/>
    <mergeCell ref="E14114:F14114"/>
    <mergeCell ref="E14118:H14118"/>
    <mergeCell ref="E14119:H14119"/>
    <mergeCell ref="E13974:F13974"/>
    <mergeCell ref="E13975:F13975"/>
    <mergeCell ref="E13976:F13976"/>
    <mergeCell ref="E13977:F13977"/>
    <mergeCell ref="E13978:F13978"/>
    <mergeCell ref="E13979:F13979"/>
    <mergeCell ref="E13980:F13980"/>
    <mergeCell ref="E13989:H13989"/>
    <mergeCell ref="E13990:F13990"/>
    <mergeCell ref="E13991:F13991"/>
    <mergeCell ref="E13998:H13998"/>
    <mergeCell ref="E13999:H13999"/>
    <mergeCell ref="E14000:H14000"/>
    <mergeCell ref="E14001:H14001"/>
    <mergeCell ref="E14002:H14002"/>
    <mergeCell ref="E14003:H14003"/>
    <mergeCell ref="E14004:H14004"/>
    <mergeCell ref="E14005:H14005"/>
    <mergeCell ref="E14006:H14006"/>
    <mergeCell ref="E14008:F14008"/>
    <mergeCell ref="E14009:F14009"/>
    <mergeCell ref="E14010:F14010"/>
    <mergeCell ref="E14011:F14011"/>
    <mergeCell ref="E14012:F14012"/>
    <mergeCell ref="E14013:F14013"/>
    <mergeCell ref="E14014:F14014"/>
    <mergeCell ref="E14015:F14015"/>
    <mergeCell ref="E14020:F14020"/>
    <mergeCell ref="E14021:F14021"/>
    <mergeCell ref="E14022:F14022"/>
    <mergeCell ref="E14023:F14023"/>
    <mergeCell ref="E14054:H14054"/>
    <mergeCell ref="E14055:H14055"/>
    <mergeCell ref="E13984:F13984"/>
    <mergeCell ref="E13985:F13985"/>
    <mergeCell ref="E14016:F14016"/>
    <mergeCell ref="E14037:F14037"/>
    <mergeCell ref="E14047:F14047"/>
    <mergeCell ref="E14048:F14048"/>
    <mergeCell ref="E14049:F14049"/>
    <mergeCell ref="E14050:F14050"/>
    <mergeCell ref="E14026:F14026"/>
    <mergeCell ref="E13992:H13992"/>
    <mergeCell ref="E13993:H13993"/>
    <mergeCell ref="E14025:F14025"/>
    <mergeCell ref="E14035:F14035"/>
    <mergeCell ref="E14024:F14024"/>
    <mergeCell ref="E14027:H14027"/>
    <mergeCell ref="E14028:H14028"/>
    <mergeCell ref="E14029:H14029"/>
    <mergeCell ref="E14030:H14030"/>
    <mergeCell ref="E14031:H14031"/>
    <mergeCell ref="E14032:H14032"/>
    <mergeCell ref="E14033:H14033"/>
    <mergeCell ref="E14034:H14034"/>
    <mergeCell ref="E14036:F14036"/>
    <mergeCell ref="E14038:F14038"/>
    <mergeCell ref="E14039:F14039"/>
    <mergeCell ref="E14040:F14040"/>
    <mergeCell ref="E14041:F14041"/>
    <mergeCell ref="E14042:F14042"/>
    <mergeCell ref="E14043:F14043"/>
    <mergeCell ref="E13986:F13986"/>
    <mergeCell ref="E13987:F13987"/>
    <mergeCell ref="E13915:H13915"/>
    <mergeCell ref="E13916:H13916"/>
    <mergeCell ref="E13917:F13917"/>
    <mergeCell ref="E13918:F13918"/>
    <mergeCell ref="E13919:F13919"/>
    <mergeCell ref="E13920:F13920"/>
    <mergeCell ref="E13921:F13921"/>
    <mergeCell ref="E13922:F13922"/>
    <mergeCell ref="E13923:F13923"/>
    <mergeCell ref="E13924:F13924"/>
    <mergeCell ref="E13925:F13925"/>
    <mergeCell ref="E13929:H13929"/>
    <mergeCell ref="E13930:H13930"/>
    <mergeCell ref="E13931:H13931"/>
    <mergeCell ref="E13932:H13932"/>
    <mergeCell ref="E13933:H13933"/>
    <mergeCell ref="E13934:H13934"/>
    <mergeCell ref="E13935:H13935"/>
    <mergeCell ref="E13937:F13937"/>
    <mergeCell ref="E13939:F13939"/>
    <mergeCell ref="E13940:F13940"/>
    <mergeCell ref="E13945:H13945"/>
    <mergeCell ref="E13955:F13955"/>
    <mergeCell ref="E13956:F13956"/>
    <mergeCell ref="E13957:F13957"/>
    <mergeCell ref="E13958:F13958"/>
    <mergeCell ref="E13959:F13959"/>
    <mergeCell ref="E13960:F13960"/>
    <mergeCell ref="E13962:F13962"/>
    <mergeCell ref="E13969:H13969"/>
    <mergeCell ref="E13970:H13970"/>
    <mergeCell ref="E13971:H13971"/>
    <mergeCell ref="E13972:H13972"/>
    <mergeCell ref="E13926:F13926"/>
    <mergeCell ref="E13936:H13936"/>
    <mergeCell ref="E13943:H13943"/>
    <mergeCell ref="E13944:H13944"/>
    <mergeCell ref="E13948:F13948"/>
    <mergeCell ref="E13950:F13950"/>
    <mergeCell ref="E13951:F13951"/>
    <mergeCell ref="E13952:F13952"/>
    <mergeCell ref="E13953:F13953"/>
    <mergeCell ref="E13871:H13871"/>
    <mergeCell ref="E13872:H13872"/>
    <mergeCell ref="E13873:H13873"/>
    <mergeCell ref="E13874:H13874"/>
    <mergeCell ref="E13875:H13875"/>
    <mergeCell ref="E13876:H13876"/>
    <mergeCell ref="E13879:F13879"/>
    <mergeCell ref="E13880:F13880"/>
    <mergeCell ref="E13881:F13881"/>
    <mergeCell ref="E13882:F13882"/>
    <mergeCell ref="E13883:F13883"/>
    <mergeCell ref="E13884:F13884"/>
    <mergeCell ref="E13885:F13885"/>
    <mergeCell ref="E13886:F13886"/>
    <mergeCell ref="E13889:H13889"/>
    <mergeCell ref="E13890:H13890"/>
    <mergeCell ref="E13891:H13891"/>
    <mergeCell ref="E13892:H13892"/>
    <mergeCell ref="E13893:H13893"/>
    <mergeCell ref="E13894:H13894"/>
    <mergeCell ref="E13895:H13895"/>
    <mergeCell ref="E13896:H13896"/>
    <mergeCell ref="E13898:F13898"/>
    <mergeCell ref="E13899:F13899"/>
    <mergeCell ref="E13900:F13900"/>
    <mergeCell ref="E13913:H13913"/>
    <mergeCell ref="E13914:H13914"/>
    <mergeCell ref="E13897:F13897"/>
    <mergeCell ref="E13907:F13907"/>
    <mergeCell ref="E13908:F13908"/>
    <mergeCell ref="E13877:F13877"/>
    <mergeCell ref="E13878:F13878"/>
    <mergeCell ref="E13888:F13888"/>
    <mergeCell ref="E13863:F13863"/>
    <mergeCell ref="E13864:F13864"/>
    <mergeCell ref="E13814:F13814"/>
    <mergeCell ref="E13815:F13815"/>
    <mergeCell ref="E13816:F13816"/>
    <mergeCell ref="E13817:F13817"/>
    <mergeCell ref="E13818:F13818"/>
    <mergeCell ref="E13819:F13819"/>
    <mergeCell ref="E13821:F13821"/>
    <mergeCell ref="E13822:F13822"/>
    <mergeCell ref="E13823:F13823"/>
    <mergeCell ref="E13824:F13824"/>
    <mergeCell ref="E13832:H13832"/>
    <mergeCell ref="E13833:H13833"/>
    <mergeCell ref="E13834:H13834"/>
    <mergeCell ref="E13837:F13837"/>
    <mergeCell ref="E13839:F13839"/>
    <mergeCell ref="E13840:F13840"/>
    <mergeCell ref="E13838:F13838"/>
    <mergeCell ref="E13841:F13841"/>
    <mergeCell ref="E13843:F13843"/>
    <mergeCell ref="E13844:F13844"/>
    <mergeCell ref="E13845:F13845"/>
    <mergeCell ref="E13846:F13846"/>
    <mergeCell ref="E13852:H13852"/>
    <mergeCell ref="E13855:H13855"/>
    <mergeCell ref="E13856:H13856"/>
    <mergeCell ref="E13865:F13865"/>
    <mergeCell ref="E13866:F13866"/>
    <mergeCell ref="E13867:F13867"/>
    <mergeCell ref="E13868:F13868"/>
    <mergeCell ref="E13869:H13869"/>
    <mergeCell ref="E13870:H13870"/>
    <mergeCell ref="E13808:H13808"/>
    <mergeCell ref="E13809:H13809"/>
    <mergeCell ref="E13810:H13810"/>
    <mergeCell ref="E13811:H13811"/>
    <mergeCell ref="E13820:H13820"/>
    <mergeCell ref="E13825:H13825"/>
    <mergeCell ref="E13826:H13826"/>
    <mergeCell ref="E13812:F13812"/>
    <mergeCell ref="E13813:F13813"/>
    <mergeCell ref="E13787:H13787"/>
    <mergeCell ref="E13788:H13788"/>
    <mergeCell ref="E13789:H13789"/>
    <mergeCell ref="E13827:H13827"/>
    <mergeCell ref="E13828:H13828"/>
    <mergeCell ref="E13829:H13829"/>
    <mergeCell ref="E13830:H13830"/>
    <mergeCell ref="E13831:H13831"/>
    <mergeCell ref="E13835:F13835"/>
    <mergeCell ref="E13836:F13836"/>
    <mergeCell ref="E13842:H13842"/>
    <mergeCell ref="E13847:H13847"/>
    <mergeCell ref="E13848:H13848"/>
    <mergeCell ref="E13849:H13849"/>
    <mergeCell ref="E13850:H13850"/>
    <mergeCell ref="E13851:H13851"/>
    <mergeCell ref="E13853:H13853"/>
    <mergeCell ref="E13854:H13854"/>
    <mergeCell ref="E13857:F13857"/>
    <mergeCell ref="E13858:F13858"/>
    <mergeCell ref="E13859:F13859"/>
    <mergeCell ref="E13860:F13860"/>
    <mergeCell ref="E13861:F13861"/>
    <mergeCell ref="E13862:F13862"/>
    <mergeCell ref="E13623:F13623"/>
    <mergeCell ref="E13624:F13624"/>
    <mergeCell ref="E13626:F13626"/>
    <mergeCell ref="E13627:F13627"/>
    <mergeCell ref="E13628:F13628"/>
    <mergeCell ref="E13629:F13629"/>
    <mergeCell ref="E13630:F13630"/>
    <mergeCell ref="E13662:H13662"/>
    <mergeCell ref="E13685:F13685"/>
    <mergeCell ref="E13686:F13686"/>
    <mergeCell ref="E13687:F13687"/>
    <mergeCell ref="E13688:F13688"/>
    <mergeCell ref="E13689:F13689"/>
    <mergeCell ref="E13696:H13696"/>
    <mergeCell ref="E13697:H13697"/>
    <mergeCell ref="E13698:H13698"/>
    <mergeCell ref="E13790:H13790"/>
    <mergeCell ref="E13794:F13794"/>
    <mergeCell ref="E13795:F13795"/>
    <mergeCell ref="E13796:F13796"/>
    <mergeCell ref="E13797:F13797"/>
    <mergeCell ref="E13798:F13798"/>
    <mergeCell ref="E13791:H13791"/>
    <mergeCell ref="E13792:H13792"/>
    <mergeCell ref="E13799:H13799"/>
    <mergeCell ref="E13768:F13768"/>
    <mergeCell ref="E13769:F13769"/>
    <mergeCell ref="E13770:F13770"/>
    <mergeCell ref="E13771:F13771"/>
    <mergeCell ref="E13776:H13776"/>
    <mergeCell ref="E13779:H13779"/>
    <mergeCell ref="E13780:H13780"/>
    <mergeCell ref="E13781:H13781"/>
    <mergeCell ref="E13782:H13782"/>
    <mergeCell ref="E13783:H13783"/>
    <mergeCell ref="E13784:H13784"/>
    <mergeCell ref="E13785:H13785"/>
    <mergeCell ref="E13793:F13793"/>
    <mergeCell ref="E13637:H13637"/>
    <mergeCell ref="E13638:H13638"/>
    <mergeCell ref="E13641:F13641"/>
    <mergeCell ref="E13699:H13699"/>
    <mergeCell ref="E13639:F13639"/>
    <mergeCell ref="E13640:F13640"/>
    <mergeCell ref="E13647:F13647"/>
    <mergeCell ref="E13648:F13648"/>
    <mergeCell ref="E13649:F13649"/>
    <mergeCell ref="E13650:F13650"/>
    <mergeCell ref="E13651:F13651"/>
    <mergeCell ref="E13652:F13652"/>
    <mergeCell ref="E13663:F13663"/>
    <mergeCell ref="E13664:F13664"/>
    <mergeCell ref="E13665:F13665"/>
    <mergeCell ref="E13666:F13666"/>
    <mergeCell ref="E13677:H13677"/>
    <mergeCell ref="E13642:F13642"/>
    <mergeCell ref="E13643:F13643"/>
    <mergeCell ref="E13644:F13644"/>
    <mergeCell ref="E13645:F13645"/>
    <mergeCell ref="E13646:F13646"/>
    <mergeCell ref="E13653:H13653"/>
    <mergeCell ref="E13654:H13654"/>
    <mergeCell ref="E13655:H13655"/>
    <mergeCell ref="E13656:H13656"/>
    <mergeCell ref="E13499:F13499"/>
    <mergeCell ref="E13500:F13500"/>
    <mergeCell ref="E13502:H13502"/>
    <mergeCell ref="E13503:H13503"/>
    <mergeCell ref="E13504:H13504"/>
    <mergeCell ref="E13505:H13505"/>
    <mergeCell ref="E13506:H13506"/>
    <mergeCell ref="E13507:H13507"/>
    <mergeCell ref="E13508:H13508"/>
    <mergeCell ref="E13515:F13515"/>
    <mergeCell ref="E13516:F13516"/>
    <mergeCell ref="E13517:F13517"/>
    <mergeCell ref="E13525:H13525"/>
    <mergeCell ref="E13535:H13535"/>
    <mergeCell ref="E13536:H13536"/>
    <mergeCell ref="E13543:F13543"/>
    <mergeCell ref="E13544:F13544"/>
    <mergeCell ref="E13552:H13552"/>
    <mergeCell ref="E13553:H13553"/>
    <mergeCell ref="E13554:H13554"/>
    <mergeCell ref="E13501:H13501"/>
    <mergeCell ref="E13605:H13605"/>
    <mergeCell ref="E13618:F13618"/>
    <mergeCell ref="E13619:F13619"/>
    <mergeCell ref="E13620:F13620"/>
    <mergeCell ref="E13621:F13621"/>
    <mergeCell ref="E13622:F13622"/>
    <mergeCell ref="E13598:F13598"/>
    <mergeCell ref="E13599:F13599"/>
    <mergeCell ref="E13602:F13602"/>
    <mergeCell ref="E13603:F13603"/>
    <mergeCell ref="E13606:H13606"/>
    <mergeCell ref="E13611:H13611"/>
    <mergeCell ref="E13612:H13612"/>
    <mergeCell ref="E13613:H13613"/>
    <mergeCell ref="E13579:F13579"/>
    <mergeCell ref="E13585:H13585"/>
    <mergeCell ref="E13130:H13130"/>
    <mergeCell ref="E13131:H13131"/>
    <mergeCell ref="E13156:F13156"/>
    <mergeCell ref="E13157:F13157"/>
    <mergeCell ref="E13158:F13158"/>
    <mergeCell ref="E13159:F13159"/>
    <mergeCell ref="E13161:F13161"/>
    <mergeCell ref="E13162:F13162"/>
    <mergeCell ref="E13140:F13140"/>
    <mergeCell ref="E13136:H13136"/>
    <mergeCell ref="E13143:H13143"/>
    <mergeCell ref="E13144:H13144"/>
    <mergeCell ref="E13145:H13145"/>
    <mergeCell ref="E13147:F13147"/>
    <mergeCell ref="E13148:F13148"/>
    <mergeCell ref="E13149:F13149"/>
    <mergeCell ref="E13150:F13150"/>
    <mergeCell ref="E13129:H13129"/>
    <mergeCell ref="E13509:F13509"/>
    <mergeCell ref="E13510:F13510"/>
    <mergeCell ref="E13511:F13511"/>
    <mergeCell ref="E13512:F13512"/>
    <mergeCell ref="E13513:F13513"/>
    <mergeCell ref="E13514:F13514"/>
    <mergeCell ref="E13520:H13520"/>
    <mergeCell ref="E13521:H13521"/>
    <mergeCell ref="E13522:H13522"/>
    <mergeCell ref="E13523:H13523"/>
    <mergeCell ref="E13524:H13524"/>
    <mergeCell ref="E13530:F13530"/>
    <mergeCell ref="E13531:F13531"/>
    <mergeCell ref="E13518:H13518"/>
    <mergeCell ref="E13519:H13519"/>
    <mergeCell ref="E13526:F13526"/>
    <mergeCell ref="E13527:F13527"/>
    <mergeCell ref="E13528:F13528"/>
    <mergeCell ref="E13529:F13529"/>
    <mergeCell ref="E13262:F13262"/>
    <mergeCell ref="E13288:H13288"/>
    <mergeCell ref="E13289:H13289"/>
    <mergeCell ref="E13296:F13296"/>
    <mergeCell ref="E13297:F13297"/>
    <mergeCell ref="E13324:F13324"/>
    <mergeCell ref="E13325:F13325"/>
    <mergeCell ref="E13332:H13332"/>
    <mergeCell ref="E13333:H13333"/>
    <mergeCell ref="E13341:F13341"/>
    <mergeCell ref="E13342:F13342"/>
    <mergeCell ref="E13343:F13343"/>
    <mergeCell ref="E13344:F13344"/>
    <mergeCell ref="E13349:H13349"/>
    <mergeCell ref="E13350:H13350"/>
    <mergeCell ref="E13351:H13351"/>
    <mergeCell ref="E13352:H13352"/>
    <mergeCell ref="E13353:F13353"/>
    <mergeCell ref="E13355:F13355"/>
    <mergeCell ref="E13356:F13356"/>
    <mergeCell ref="E13358:H13358"/>
    <mergeCell ref="E13359:H13359"/>
    <mergeCell ref="E13360:H13360"/>
    <mergeCell ref="E13368:F13368"/>
    <mergeCell ref="E13372:F13372"/>
    <mergeCell ref="E13373:F13373"/>
    <mergeCell ref="E13362:F13362"/>
    <mergeCell ref="E13185:F13185"/>
    <mergeCell ref="E13186:F13186"/>
    <mergeCell ref="E13187:F13187"/>
    <mergeCell ref="E13188:F13188"/>
    <mergeCell ref="E13364:F13364"/>
    <mergeCell ref="E13207:H13207"/>
    <mergeCell ref="E13208:H13208"/>
    <mergeCell ref="E13213:F13213"/>
    <mergeCell ref="E13203:H13203"/>
    <mergeCell ref="E13204:H13204"/>
    <mergeCell ref="E13205:H13205"/>
    <mergeCell ref="E13206:H13206"/>
    <mergeCell ref="E13194:H13194"/>
    <mergeCell ref="E13195:F13195"/>
    <mergeCell ref="E13196:F13196"/>
    <mergeCell ref="E13197:F13197"/>
    <mergeCell ref="E13198:F13198"/>
    <mergeCell ref="E13209:H13209"/>
    <mergeCell ref="E13210:H13210"/>
    <mergeCell ref="E13211:H13211"/>
    <mergeCell ref="E13212:H13212"/>
    <mergeCell ref="E13292:H13292"/>
    <mergeCell ref="E13293:H13293"/>
    <mergeCell ref="E13294:H13294"/>
    <mergeCell ref="E13295:H13295"/>
    <mergeCell ref="E13363:F13363"/>
    <mergeCell ref="E13306:F13306"/>
    <mergeCell ref="E13314:H13314"/>
    <mergeCell ref="E13326:H13326"/>
    <mergeCell ref="E13327:H13327"/>
    <mergeCell ref="E13334:F13334"/>
    <mergeCell ref="E13335:F13335"/>
    <mergeCell ref="E13345:H13345"/>
    <mergeCell ref="E13346:H13346"/>
    <mergeCell ref="E13347:H13347"/>
    <mergeCell ref="E13348:H13348"/>
    <mergeCell ref="E13283:F13283"/>
    <mergeCell ref="E13240:F13240"/>
    <mergeCell ref="E13241:F13241"/>
    <mergeCell ref="E13242:F13242"/>
    <mergeCell ref="E13243:F13243"/>
    <mergeCell ref="E13190:F13190"/>
    <mergeCell ref="E13200:H13200"/>
    <mergeCell ref="E13201:H13201"/>
    <mergeCell ref="E13281:F13281"/>
    <mergeCell ref="E13261:F13261"/>
    <mergeCell ref="E13284:F13284"/>
    <mergeCell ref="E13285:F13285"/>
    <mergeCell ref="E13309:H13309"/>
    <mergeCell ref="E13310:H13310"/>
    <mergeCell ref="E13311:H13311"/>
    <mergeCell ref="E13298:F13298"/>
    <mergeCell ref="E13299:F13299"/>
    <mergeCell ref="E13300:F13300"/>
    <mergeCell ref="E13307:H13307"/>
    <mergeCell ref="E13308:H13308"/>
    <mergeCell ref="E13330:H13330"/>
    <mergeCell ref="E13331:H13331"/>
    <mergeCell ref="E13339:F13339"/>
    <mergeCell ref="E13340:F13340"/>
    <mergeCell ref="E13286:F13286"/>
    <mergeCell ref="E13239:F13239"/>
    <mergeCell ref="E13245:H13245"/>
    <mergeCell ref="E13216:F13216"/>
    <mergeCell ref="E13155:F13155"/>
    <mergeCell ref="E13312:H13312"/>
    <mergeCell ref="E13313:H13313"/>
    <mergeCell ref="E13316:F13316"/>
    <mergeCell ref="E13084:H13084"/>
    <mergeCell ref="E13085:H13085"/>
    <mergeCell ref="E13086:H13086"/>
    <mergeCell ref="E13089:F13089"/>
    <mergeCell ref="E13090:F13090"/>
    <mergeCell ref="E13091:F13091"/>
    <mergeCell ref="E13092:F13092"/>
    <mergeCell ref="E13093:F13093"/>
    <mergeCell ref="E13094:F13094"/>
    <mergeCell ref="E13095:F13095"/>
    <mergeCell ref="E13096:F13096"/>
    <mergeCell ref="E13099:H13099"/>
    <mergeCell ref="E13100:H13100"/>
    <mergeCell ref="E13101:H13101"/>
    <mergeCell ref="E13305:F13305"/>
    <mergeCell ref="E13290:H13290"/>
    <mergeCell ref="E13199:H13199"/>
    <mergeCell ref="E13235:F13235"/>
    <mergeCell ref="E13244:H13244"/>
    <mergeCell ref="E13246:H13246"/>
    <mergeCell ref="E13247:H13247"/>
    <mergeCell ref="E13248:H13248"/>
    <mergeCell ref="E13249:H13249"/>
    <mergeCell ref="E13250:H13250"/>
    <mergeCell ref="E13251:H13251"/>
    <mergeCell ref="E13252:H13252"/>
    <mergeCell ref="E13253:H13253"/>
    <mergeCell ref="E13255:F13255"/>
    <mergeCell ref="E13256:F13256"/>
    <mergeCell ref="E13257:F13257"/>
    <mergeCell ref="E13258:F13258"/>
    <mergeCell ref="E13259:F13259"/>
    <mergeCell ref="E13260:F13260"/>
    <mergeCell ref="E13224:H13224"/>
    <mergeCell ref="E13225:H13225"/>
    <mergeCell ref="E13226:H13226"/>
    <mergeCell ref="E13232:F13232"/>
    <mergeCell ref="E13233:F13233"/>
    <mergeCell ref="E13234:F13234"/>
    <mergeCell ref="E13124:H13124"/>
    <mergeCell ref="E13125:H13125"/>
    <mergeCell ref="E13126:H13126"/>
    <mergeCell ref="E13127:H13127"/>
    <mergeCell ref="E13128:H13128"/>
    <mergeCell ref="E13137:H13137"/>
    <mergeCell ref="E13138:F13138"/>
    <mergeCell ref="E13141:F13141"/>
    <mergeCell ref="E13154:F13154"/>
    <mergeCell ref="E13163:F13163"/>
    <mergeCell ref="E13171:F13171"/>
    <mergeCell ref="E13172:F13172"/>
    <mergeCell ref="E13177:H13177"/>
    <mergeCell ref="E13178:H13178"/>
    <mergeCell ref="E13191:F13191"/>
    <mergeCell ref="E13192:F13192"/>
    <mergeCell ref="E13176:H13176"/>
    <mergeCell ref="E13181:F13181"/>
    <mergeCell ref="E13182:F13182"/>
    <mergeCell ref="E13183:F13183"/>
    <mergeCell ref="E13184:F13184"/>
    <mergeCell ref="E13002:F13002"/>
    <mergeCell ref="E12955:F12955"/>
    <mergeCell ref="E12997:F12997"/>
    <mergeCell ref="E12998:F12998"/>
    <mergeCell ref="E12963:F12963"/>
    <mergeCell ref="E12983:H12983"/>
    <mergeCell ref="E12992:H12992"/>
    <mergeCell ref="E12990:H12990"/>
    <mergeCell ref="E12986:H12986"/>
    <mergeCell ref="E13018:F13018"/>
    <mergeCell ref="E12967:F12967"/>
    <mergeCell ref="E12968:F12968"/>
    <mergeCell ref="E12972:F12972"/>
    <mergeCell ref="E12973:F12973"/>
    <mergeCell ref="E12974:F12974"/>
    <mergeCell ref="E12982:F12982"/>
    <mergeCell ref="E12993:H12993"/>
    <mergeCell ref="E12994:H12994"/>
    <mergeCell ref="E12996:H12996"/>
    <mergeCell ref="E12999:F12999"/>
    <mergeCell ref="E13004:F13004"/>
    <mergeCell ref="E13068:F13068"/>
    <mergeCell ref="E13034:H13034"/>
    <mergeCell ref="E13044:F13044"/>
    <mergeCell ref="E13023:F13023"/>
    <mergeCell ref="E13024:F13024"/>
    <mergeCell ref="E13019:F13019"/>
    <mergeCell ref="E13003:F13003"/>
    <mergeCell ref="E13022:F13022"/>
    <mergeCell ref="E13045:F13045"/>
    <mergeCell ref="E13010:H13010"/>
    <mergeCell ref="E13011:H13011"/>
    <mergeCell ref="E13028:F13028"/>
    <mergeCell ref="E13029:F13029"/>
    <mergeCell ref="E13030:F13030"/>
    <mergeCell ref="E13031:F13031"/>
    <mergeCell ref="E13035:H13035"/>
    <mergeCell ref="E13036:H13036"/>
    <mergeCell ref="E13037:H13037"/>
    <mergeCell ref="E13038:H13038"/>
    <mergeCell ref="E13039:H13039"/>
    <mergeCell ref="E13040:H13040"/>
    <mergeCell ref="E13041:H13041"/>
    <mergeCell ref="E13042:F13042"/>
    <mergeCell ref="E13047:F13047"/>
    <mergeCell ref="E13048:F13048"/>
    <mergeCell ref="E13049:F13049"/>
    <mergeCell ref="E13050:F13050"/>
    <mergeCell ref="E13051:F13051"/>
    <mergeCell ref="E13052:F13052"/>
    <mergeCell ref="E13053:F13053"/>
    <mergeCell ref="E13054:F13054"/>
    <mergeCell ref="E13055:F13055"/>
    <mergeCell ref="E13056:F13056"/>
    <mergeCell ref="E13057:H13057"/>
    <mergeCell ref="E13058:H13058"/>
    <mergeCell ref="E13059:H13059"/>
    <mergeCell ref="E13060:H13060"/>
    <mergeCell ref="E13043:F13043"/>
    <mergeCell ref="E13046:F13046"/>
    <mergeCell ref="E13061:H13061"/>
    <mergeCell ref="E13062:H13062"/>
    <mergeCell ref="E13063:H13063"/>
    <mergeCell ref="E13064:H13064"/>
    <mergeCell ref="E12909:H12909"/>
    <mergeCell ref="E12910:H12910"/>
    <mergeCell ref="E12911:H12911"/>
    <mergeCell ref="E12916:F12916"/>
    <mergeCell ref="E12917:F12917"/>
    <mergeCell ref="E12918:F12918"/>
    <mergeCell ref="E12919:F12919"/>
    <mergeCell ref="E12920:F12920"/>
    <mergeCell ref="E12914:F12914"/>
    <mergeCell ref="E12915:F12915"/>
    <mergeCell ref="E12882:F12882"/>
    <mergeCell ref="E12883:F12883"/>
    <mergeCell ref="E12884:H12884"/>
    <mergeCell ref="E12885:H12885"/>
    <mergeCell ref="E12886:H12886"/>
    <mergeCell ref="E12887:H12887"/>
    <mergeCell ref="E12888:H12888"/>
    <mergeCell ref="E12889:H12889"/>
    <mergeCell ref="E12890:H12890"/>
    <mergeCell ref="E12891:H12891"/>
    <mergeCell ref="E12995:H12995"/>
    <mergeCell ref="E12929:H12929"/>
    <mergeCell ref="E12930:H12930"/>
    <mergeCell ref="E12931:H12931"/>
    <mergeCell ref="E12934:F12934"/>
    <mergeCell ref="E12935:F12935"/>
    <mergeCell ref="E12958:H12958"/>
    <mergeCell ref="E12959:H12959"/>
    <mergeCell ref="E12960:H12960"/>
    <mergeCell ref="E12921:F12921"/>
    <mergeCell ref="E12922:F12922"/>
    <mergeCell ref="E12923:F12923"/>
    <mergeCell ref="E12924:H12924"/>
    <mergeCell ref="E12925:H12925"/>
    <mergeCell ref="E12926:H12926"/>
    <mergeCell ref="E12927:H12927"/>
    <mergeCell ref="E12928:H12928"/>
    <mergeCell ref="E12932:F12932"/>
    <mergeCell ref="E12937:H12937"/>
    <mergeCell ref="E12938:H12938"/>
    <mergeCell ref="E12939:H12939"/>
    <mergeCell ref="E12944:F12944"/>
    <mergeCell ref="E12951:F12951"/>
    <mergeCell ref="E12956:F12956"/>
    <mergeCell ref="E12961:H12961"/>
    <mergeCell ref="E12962:H12962"/>
    <mergeCell ref="E12975:F12975"/>
    <mergeCell ref="E12976:F12976"/>
    <mergeCell ref="E12978:H12978"/>
    <mergeCell ref="E12979:F12979"/>
    <mergeCell ref="E12980:F12980"/>
    <mergeCell ref="E12981:F12981"/>
    <mergeCell ref="E12945:F12945"/>
    <mergeCell ref="E12946:F12946"/>
    <mergeCell ref="E12947:F12947"/>
    <mergeCell ref="E12949:F12949"/>
    <mergeCell ref="E12950:F12950"/>
    <mergeCell ref="E12969:F12969"/>
    <mergeCell ref="E12970:F12970"/>
    <mergeCell ref="E12971:F12971"/>
    <mergeCell ref="E12987:H12987"/>
    <mergeCell ref="E12984:H12984"/>
    <mergeCell ref="E12985:H12985"/>
    <mergeCell ref="E12943:F12943"/>
    <mergeCell ref="E12859:F12859"/>
    <mergeCell ref="E12860:F12860"/>
    <mergeCell ref="E12861:F12861"/>
    <mergeCell ref="E12862:F12862"/>
    <mergeCell ref="E12863:F12863"/>
    <mergeCell ref="E12864:H12864"/>
    <mergeCell ref="E12865:H12865"/>
    <mergeCell ref="E12866:H12866"/>
    <mergeCell ref="E12867:H12867"/>
    <mergeCell ref="E12868:H12868"/>
    <mergeCell ref="E12869:H12869"/>
    <mergeCell ref="E12870:H12870"/>
    <mergeCell ref="E12871:H12871"/>
    <mergeCell ref="E12876:F12876"/>
    <mergeCell ref="E12877:F12877"/>
    <mergeCell ref="E12878:F12878"/>
    <mergeCell ref="E12879:F12879"/>
    <mergeCell ref="E12880:F12880"/>
    <mergeCell ref="E12881:F12881"/>
    <mergeCell ref="E12843:F12843"/>
    <mergeCell ref="E12896:F12896"/>
    <mergeCell ref="E12897:F12897"/>
    <mergeCell ref="E12898:F12898"/>
    <mergeCell ref="E12899:F12899"/>
    <mergeCell ref="E12900:F12900"/>
    <mergeCell ref="E12901:F12901"/>
    <mergeCell ref="E12902:F12902"/>
    <mergeCell ref="E12903:F12903"/>
    <mergeCell ref="E12904:H12904"/>
    <mergeCell ref="E12905:H12905"/>
    <mergeCell ref="E12906:H12906"/>
    <mergeCell ref="E12907:H12907"/>
    <mergeCell ref="E12908:H12908"/>
    <mergeCell ref="E12874:F12874"/>
    <mergeCell ref="E12830:H12830"/>
    <mergeCell ref="E12831:H12831"/>
    <mergeCell ref="E12833:F12833"/>
    <mergeCell ref="E12764:H12764"/>
    <mergeCell ref="E12766:F12766"/>
    <mergeCell ref="E12769:F12769"/>
    <mergeCell ref="E12834:F12834"/>
    <mergeCell ref="E12835:F12835"/>
    <mergeCell ref="E12836:F12836"/>
    <mergeCell ref="E12837:F12837"/>
    <mergeCell ref="E12838:F12838"/>
    <mergeCell ref="E12839:F12839"/>
    <mergeCell ref="E12820:F12820"/>
    <mergeCell ref="E12832:F12832"/>
    <mergeCell ref="E12821:F12821"/>
    <mergeCell ref="E12810:F12810"/>
    <mergeCell ref="E12811:F12811"/>
    <mergeCell ref="E12840:F12840"/>
    <mergeCell ref="E12841:F12841"/>
    <mergeCell ref="E12842:F12842"/>
    <mergeCell ref="E12844:H12844"/>
    <mergeCell ref="E12845:H12845"/>
    <mergeCell ref="E12846:H12846"/>
    <mergeCell ref="E12847:H12847"/>
    <mergeCell ref="E12848:H12848"/>
    <mergeCell ref="E12849:H12849"/>
    <mergeCell ref="E12850:H12850"/>
    <mergeCell ref="E12851:H12851"/>
    <mergeCell ref="E12856:F12856"/>
    <mergeCell ref="E12857:F12857"/>
    <mergeCell ref="E12858:F12858"/>
    <mergeCell ref="E12805:H12805"/>
    <mergeCell ref="E12806:H12806"/>
    <mergeCell ref="E12807:H12807"/>
    <mergeCell ref="E12808:H12808"/>
    <mergeCell ref="E12809:H12809"/>
    <mergeCell ref="E12812:F12812"/>
    <mergeCell ref="E12813:F12813"/>
    <mergeCell ref="E12768:F12768"/>
    <mergeCell ref="E12781:H12781"/>
    <mergeCell ref="E12776:F12776"/>
    <mergeCell ref="E12777:F12777"/>
    <mergeCell ref="E12786:H12786"/>
    <mergeCell ref="E12757:H12757"/>
    <mergeCell ref="E12758:H12758"/>
    <mergeCell ref="E12759:H12759"/>
    <mergeCell ref="E12787:H12787"/>
    <mergeCell ref="E12802:H12802"/>
    <mergeCell ref="E12770:F12770"/>
    <mergeCell ref="E12771:F12771"/>
    <mergeCell ref="E12772:F12772"/>
    <mergeCell ref="E12773:F12773"/>
    <mergeCell ref="E12814:F12814"/>
    <mergeCell ref="E12815:F12815"/>
    <mergeCell ref="E12816:F12816"/>
    <mergeCell ref="E12817:F12817"/>
    <mergeCell ref="E12818:F12818"/>
    <mergeCell ref="E12819:F12819"/>
    <mergeCell ref="E12822:H12822"/>
    <mergeCell ref="E12823:H12823"/>
    <mergeCell ref="E12824:H12824"/>
    <mergeCell ref="E12825:H12825"/>
    <mergeCell ref="E12826:H12826"/>
    <mergeCell ref="E12827:H12827"/>
    <mergeCell ref="E12678:H12678"/>
    <mergeCell ref="E12679:H12679"/>
    <mergeCell ref="E12680:H12680"/>
    <mergeCell ref="E12681:H12681"/>
    <mergeCell ref="E12682:H12682"/>
    <mergeCell ref="E12683:H12683"/>
    <mergeCell ref="E12689:H12689"/>
    <mergeCell ref="E12690:H12690"/>
    <mergeCell ref="E12691:H12691"/>
    <mergeCell ref="E12696:F12696"/>
    <mergeCell ref="E12698:F12698"/>
    <mergeCell ref="E12699:F12699"/>
    <mergeCell ref="E12700:F12700"/>
    <mergeCell ref="E12701:F12701"/>
    <mergeCell ref="E12703:F12703"/>
    <mergeCell ref="E12704:H12704"/>
    <mergeCell ref="E12705:H12705"/>
    <mergeCell ref="E12760:H12760"/>
    <mergeCell ref="E12765:F12765"/>
    <mergeCell ref="E12778:H12778"/>
    <mergeCell ref="E12779:H12779"/>
    <mergeCell ref="E12780:H12780"/>
    <mergeCell ref="E12782:H12782"/>
    <mergeCell ref="E12783:H12783"/>
    <mergeCell ref="E12784:H12784"/>
    <mergeCell ref="E12785:H12785"/>
    <mergeCell ref="E12788:F12788"/>
    <mergeCell ref="E12789:F12789"/>
    <mergeCell ref="E12790:F12790"/>
    <mergeCell ref="E12791:F12791"/>
    <mergeCell ref="E12792:F12792"/>
    <mergeCell ref="E12793:F12793"/>
    <mergeCell ref="E12794:F12794"/>
    <mergeCell ref="E12795:F12795"/>
    <mergeCell ref="E12796:F12796"/>
    <mergeCell ref="E12797:F12797"/>
    <mergeCell ref="E12798:F12798"/>
    <mergeCell ref="E12799:F12799"/>
    <mergeCell ref="E12800:H12800"/>
    <mergeCell ref="E12801:H12801"/>
    <mergeCell ref="E12774:F12774"/>
    <mergeCell ref="E12775:F12775"/>
    <mergeCell ref="E12767:F12767"/>
    <mergeCell ref="E12655:F12655"/>
    <mergeCell ref="E12668:F12668"/>
    <mergeCell ref="E12669:F12669"/>
    <mergeCell ref="E12677:H12677"/>
    <mergeCell ref="E12676:H12676"/>
    <mergeCell ref="E12694:F12694"/>
    <mergeCell ref="E12664:F12664"/>
    <mergeCell ref="E12684:F12684"/>
    <mergeCell ref="E12686:F12686"/>
    <mergeCell ref="E12687:F12687"/>
    <mergeCell ref="E12693:F12693"/>
    <mergeCell ref="E12695:F12695"/>
    <mergeCell ref="E12756:F12756"/>
    <mergeCell ref="E12737:H12737"/>
    <mergeCell ref="E12745:F12745"/>
    <mergeCell ref="E12738:H12738"/>
    <mergeCell ref="E12746:F12746"/>
    <mergeCell ref="E12748:F12748"/>
    <mergeCell ref="E12749:F12749"/>
    <mergeCell ref="E12750:F12750"/>
    <mergeCell ref="E12751:F12751"/>
    <mergeCell ref="E12712:F12712"/>
    <mergeCell ref="E12731:H12731"/>
    <mergeCell ref="E12752:F12752"/>
    <mergeCell ref="E12753:F12753"/>
    <mergeCell ref="E12718:F12718"/>
    <mergeCell ref="E12719:F12719"/>
    <mergeCell ref="E12720:F12720"/>
    <mergeCell ref="E12721:F12721"/>
    <mergeCell ref="E12736:H12736"/>
    <mergeCell ref="E12710:F12710"/>
    <mergeCell ref="E12711:F12711"/>
    <mergeCell ref="E12713:F12713"/>
    <mergeCell ref="E12716:F12716"/>
    <mergeCell ref="E12717:F12717"/>
    <mergeCell ref="E12754:F12754"/>
    <mergeCell ref="E12742:H12742"/>
    <mergeCell ref="E12743:H12743"/>
    <mergeCell ref="E12744:H12744"/>
    <mergeCell ref="E12747:F12747"/>
    <mergeCell ref="E12755:F12755"/>
    <mergeCell ref="E12706:H12706"/>
    <mergeCell ref="E12707:H12707"/>
    <mergeCell ref="E12708:H12708"/>
    <mergeCell ref="E12709:H12709"/>
    <mergeCell ref="E12722:F12722"/>
    <mergeCell ref="E12723:F12723"/>
    <mergeCell ref="E12726:F12726"/>
    <mergeCell ref="E12727:F12727"/>
    <mergeCell ref="E12728:F12728"/>
    <mergeCell ref="E12729:F12729"/>
    <mergeCell ref="E12730:H12730"/>
    <mergeCell ref="E12732:H12732"/>
    <mergeCell ref="E12733:H12733"/>
    <mergeCell ref="E12734:H12734"/>
    <mergeCell ref="E12735:H12735"/>
    <mergeCell ref="E12739:H12739"/>
    <mergeCell ref="E12725:H12725"/>
    <mergeCell ref="E12714:F12714"/>
    <mergeCell ref="E12715:F12715"/>
    <mergeCell ref="E12740:H12740"/>
    <mergeCell ref="E12741:H12741"/>
    <mergeCell ref="E12656:H12656"/>
    <mergeCell ref="E12657:H12657"/>
    <mergeCell ref="E12306:H12306"/>
    <mergeCell ref="E12307:H12307"/>
    <mergeCell ref="E12308:H12308"/>
    <mergeCell ref="E12309:H12309"/>
    <mergeCell ref="E12310:H12310"/>
    <mergeCell ref="E12313:F12313"/>
    <mergeCell ref="E12314:F12314"/>
    <mergeCell ref="E12336:H12336"/>
    <mergeCell ref="E12345:F12345"/>
    <mergeCell ref="E12347:F12347"/>
    <mergeCell ref="E12348:F12348"/>
    <mergeCell ref="E12349:F12349"/>
    <mergeCell ref="E12350:F12350"/>
    <mergeCell ref="E12293:F12293"/>
    <mergeCell ref="E12323:F12323"/>
    <mergeCell ref="E12380:F12380"/>
    <mergeCell ref="E12381:F12381"/>
    <mergeCell ref="E12383:H12383"/>
    <mergeCell ref="E12384:H12384"/>
    <mergeCell ref="E12357:H12357"/>
    <mergeCell ref="E12358:H12358"/>
    <mergeCell ref="E12359:H12359"/>
    <mergeCell ref="E12360:H12360"/>
    <mergeCell ref="E12369:F12369"/>
    <mergeCell ref="E12361:H12361"/>
    <mergeCell ref="E12362:H12362"/>
    <mergeCell ref="E12363:H12363"/>
    <mergeCell ref="E12364:H12364"/>
    <mergeCell ref="E12365:H12365"/>
    <mergeCell ref="E12366:H12366"/>
    <mergeCell ref="E12367:H12367"/>
    <mergeCell ref="E12368:H12368"/>
    <mergeCell ref="E12370:F12370"/>
    <mergeCell ref="E12375:F12375"/>
    <mergeCell ref="E12376:F12376"/>
    <mergeCell ref="E12377:F12377"/>
    <mergeCell ref="E12378:F12378"/>
    <mergeCell ref="E12379:F12379"/>
    <mergeCell ref="E12332:H12332"/>
    <mergeCell ref="E12333:H12333"/>
    <mergeCell ref="E12334:H12334"/>
    <mergeCell ref="E12335:H12335"/>
    <mergeCell ref="E12338:F12338"/>
    <mergeCell ref="E12339:F12339"/>
    <mergeCell ref="E12340:F12340"/>
    <mergeCell ref="E12341:F12341"/>
    <mergeCell ref="E12342:F12342"/>
    <mergeCell ref="E12343:F12343"/>
    <mergeCell ref="E12352:H12352"/>
    <mergeCell ref="E12356:H12356"/>
    <mergeCell ref="E12373:F12373"/>
    <mergeCell ref="E12374:F12374"/>
    <mergeCell ref="E12255:F12255"/>
    <mergeCell ref="E12259:H12259"/>
    <mergeCell ref="E12260:H12260"/>
    <mergeCell ref="E12261:H12261"/>
    <mergeCell ref="E12262:H12262"/>
    <mergeCell ref="E12263:H12263"/>
    <mergeCell ref="E12264:H12264"/>
    <mergeCell ref="E12265:H12265"/>
    <mergeCell ref="E12266:H12266"/>
    <mergeCell ref="E12270:F12270"/>
    <mergeCell ref="E12271:F12271"/>
    <mergeCell ref="E12245:F12245"/>
    <mergeCell ref="E12246:F12246"/>
    <mergeCell ref="E12247:F12247"/>
    <mergeCell ref="E12276:F12276"/>
    <mergeCell ref="E12277:F12277"/>
    <mergeCell ref="E12278:F12278"/>
    <mergeCell ref="E12279:F12279"/>
    <mergeCell ref="E12280:F12280"/>
    <mergeCell ref="E12289:F12289"/>
    <mergeCell ref="E12299:F12299"/>
    <mergeCell ref="E12303:H12303"/>
    <mergeCell ref="E12311:F12311"/>
    <mergeCell ref="E12316:H12316"/>
    <mergeCell ref="E12317:H12317"/>
    <mergeCell ref="E12318:H12318"/>
    <mergeCell ref="E12322:F12322"/>
    <mergeCell ref="E12327:F12327"/>
    <mergeCell ref="E12328:F12328"/>
    <mergeCell ref="E12330:F12330"/>
    <mergeCell ref="E12346:F12346"/>
    <mergeCell ref="E12353:F12353"/>
    <mergeCell ref="E12354:F12354"/>
    <mergeCell ref="E12274:F12274"/>
    <mergeCell ref="E12275:F12275"/>
    <mergeCell ref="E12282:H12282"/>
    <mergeCell ref="E12283:H12283"/>
    <mergeCell ref="E12284:H12284"/>
    <mergeCell ref="E12290:F12290"/>
    <mergeCell ref="E12302:F12302"/>
    <mergeCell ref="E12321:F12321"/>
    <mergeCell ref="E12324:F12324"/>
    <mergeCell ref="E12285:H12285"/>
    <mergeCell ref="E12286:H12286"/>
    <mergeCell ref="E12320:F12320"/>
    <mergeCell ref="E12325:F12325"/>
    <mergeCell ref="E12281:H12281"/>
    <mergeCell ref="E12291:F12291"/>
    <mergeCell ref="E12272:F12272"/>
    <mergeCell ref="E12273:F12273"/>
    <mergeCell ref="E12267:F12267"/>
    <mergeCell ref="E12268:F12268"/>
    <mergeCell ref="E12292:F12292"/>
    <mergeCell ref="E12287:H12287"/>
    <mergeCell ref="E12288:H12288"/>
    <mergeCell ref="E12294:F12294"/>
    <mergeCell ref="E12295:F12295"/>
    <mergeCell ref="E12296:F12296"/>
    <mergeCell ref="E12297:F12297"/>
    <mergeCell ref="E12298:F12298"/>
    <mergeCell ref="E12300:F12300"/>
    <mergeCell ref="E12301:F12301"/>
    <mergeCell ref="E12304:H12304"/>
    <mergeCell ref="E12305:H12305"/>
    <mergeCell ref="E12212:H12212"/>
    <mergeCell ref="E12213:H12213"/>
    <mergeCell ref="E12214:H12214"/>
    <mergeCell ref="E12215:H12215"/>
    <mergeCell ref="E12219:H12219"/>
    <mergeCell ref="E12220:H12220"/>
    <mergeCell ref="E12232:F12232"/>
    <mergeCell ref="E12237:H12237"/>
    <mergeCell ref="E12238:H12238"/>
    <mergeCell ref="E12239:H12239"/>
    <mergeCell ref="E12240:H12240"/>
    <mergeCell ref="E12241:H12241"/>
    <mergeCell ref="E12242:H12242"/>
    <mergeCell ref="E12243:H12243"/>
    <mergeCell ref="E12244:H12244"/>
    <mergeCell ref="E12250:F12250"/>
    <mergeCell ref="E12251:F12251"/>
    <mergeCell ref="E12252:F12252"/>
    <mergeCell ref="E12253:F12253"/>
    <mergeCell ref="E12254:F12254"/>
    <mergeCell ref="E12184:F12184"/>
    <mergeCell ref="E12185:F12185"/>
    <mergeCell ref="E12249:F12249"/>
    <mergeCell ref="E12230:F12230"/>
    <mergeCell ref="E12231:F12231"/>
    <mergeCell ref="E12225:F12225"/>
    <mergeCell ref="E12226:F12226"/>
    <mergeCell ref="E12216:H12216"/>
    <mergeCell ref="E12217:H12217"/>
    <mergeCell ref="E12169:F12169"/>
    <mergeCell ref="E12170:F12170"/>
    <mergeCell ref="E12171:F12171"/>
    <mergeCell ref="E12172:F12172"/>
    <mergeCell ref="E12173:F12173"/>
    <mergeCell ref="E12174:F12174"/>
    <mergeCell ref="E12183:F12183"/>
    <mergeCell ref="E12227:F12227"/>
    <mergeCell ref="E12228:F12228"/>
    <mergeCell ref="E12202:F12202"/>
    <mergeCell ref="E12224:F12224"/>
    <mergeCell ref="E12218:H12218"/>
    <mergeCell ref="E12235:F12235"/>
    <mergeCell ref="E12236:F12236"/>
    <mergeCell ref="E12229:F12229"/>
    <mergeCell ref="E12234:F12234"/>
    <mergeCell ref="E12248:F12248"/>
    <mergeCell ref="E12221:F12221"/>
    <mergeCell ref="E12222:F12222"/>
    <mergeCell ref="E12223:F12223"/>
    <mergeCell ref="E12233:F12233"/>
    <mergeCell ref="E12209:F12209"/>
    <mergeCell ref="E12142:F12142"/>
    <mergeCell ref="E12145:F12145"/>
    <mergeCell ref="E12155:H12155"/>
    <mergeCell ref="E12164:H12164"/>
    <mergeCell ref="E12165:H12165"/>
    <mergeCell ref="E12166:H12166"/>
    <mergeCell ref="E12167:H12167"/>
    <mergeCell ref="E12168:H12168"/>
    <mergeCell ref="E12175:F12175"/>
    <mergeCell ref="E12176:F12176"/>
    <mergeCell ref="E12177:F12177"/>
    <mergeCell ref="E12178:F12178"/>
    <mergeCell ref="E12179:F12179"/>
    <mergeCell ref="E12210:F12210"/>
    <mergeCell ref="E12211:H12211"/>
    <mergeCell ref="E12122:F12122"/>
    <mergeCell ref="E12124:F12124"/>
    <mergeCell ref="E12125:F12125"/>
    <mergeCell ref="E12204:F12204"/>
    <mergeCell ref="E12205:F12205"/>
    <mergeCell ref="E12206:F12206"/>
    <mergeCell ref="E12207:F12207"/>
    <mergeCell ref="E12208:F12208"/>
    <mergeCell ref="E12159:H12159"/>
    <mergeCell ref="E12160:H12160"/>
    <mergeCell ref="E12161:H12161"/>
    <mergeCell ref="E12162:H12162"/>
    <mergeCell ref="E12163:H12163"/>
    <mergeCell ref="E12186:H12186"/>
    <mergeCell ref="E12187:H12187"/>
    <mergeCell ref="E12188:H12188"/>
    <mergeCell ref="E12189:H12189"/>
    <mergeCell ref="E12190:H12190"/>
    <mergeCell ref="E12191:H12191"/>
    <mergeCell ref="E12192:H12192"/>
    <mergeCell ref="E12193:H12193"/>
    <mergeCell ref="E12194:F12194"/>
    <mergeCell ref="E12195:F12195"/>
    <mergeCell ref="E12196:F12196"/>
    <mergeCell ref="E12197:F12197"/>
    <mergeCell ref="E12198:F12198"/>
    <mergeCell ref="E12199:F12199"/>
    <mergeCell ref="E12200:F12200"/>
    <mergeCell ref="E12201:F12201"/>
    <mergeCell ref="E12203:F12203"/>
    <mergeCell ref="E12128:F12128"/>
    <mergeCell ref="E12135:F12135"/>
    <mergeCell ref="E12148:F12148"/>
    <mergeCell ref="E12035:H12035"/>
    <mergeCell ref="E12036:H12036"/>
    <mergeCell ref="E12037:H12037"/>
    <mergeCell ref="E12038:H12038"/>
    <mergeCell ref="E12023:F12023"/>
    <mergeCell ref="E12033:H12033"/>
    <mergeCell ref="E12020:F12020"/>
    <mergeCell ref="E12024:F12024"/>
    <mergeCell ref="E12022:F12022"/>
    <mergeCell ref="E12039:H12039"/>
    <mergeCell ref="E12040:H12040"/>
    <mergeCell ref="E12049:F12049"/>
    <mergeCell ref="E12050:F12050"/>
    <mergeCell ref="E12051:F12051"/>
    <mergeCell ref="E12052:F12052"/>
    <mergeCell ref="E12053:F12053"/>
    <mergeCell ref="E12054:F12054"/>
    <mergeCell ref="E12058:H12058"/>
    <mergeCell ref="E12059:H12059"/>
    <mergeCell ref="E12060:H12060"/>
    <mergeCell ref="E12034:H12034"/>
    <mergeCell ref="E12056:H12056"/>
    <mergeCell ref="E12057:H12057"/>
    <mergeCell ref="E12063:F12063"/>
    <mergeCell ref="E12064:F12064"/>
    <mergeCell ref="E12065:F12065"/>
    <mergeCell ref="E12066:F12066"/>
    <mergeCell ref="E12067:F12067"/>
    <mergeCell ref="E12068:F12068"/>
    <mergeCell ref="E12069:F12069"/>
    <mergeCell ref="E12139:F12139"/>
    <mergeCell ref="E12140:F12140"/>
    <mergeCell ref="E12141:F12141"/>
    <mergeCell ref="E12078:H12078"/>
    <mergeCell ref="E12079:H12079"/>
    <mergeCell ref="E12085:F12085"/>
    <mergeCell ref="E12086:F12086"/>
    <mergeCell ref="E12089:F12089"/>
    <mergeCell ref="E12090:F12090"/>
    <mergeCell ref="E12091:F12091"/>
    <mergeCell ref="E12092:F12092"/>
    <mergeCell ref="E12098:H12098"/>
    <mergeCell ref="E12099:H12099"/>
    <mergeCell ref="E12100:H12100"/>
    <mergeCell ref="E12101:H12101"/>
    <mergeCell ref="E12102:H12102"/>
    <mergeCell ref="E12103:H12103"/>
    <mergeCell ref="E12106:F12106"/>
    <mergeCell ref="E12108:F12108"/>
    <mergeCell ref="E12109:F12109"/>
    <mergeCell ref="E12094:F12094"/>
    <mergeCell ref="E12093:F12093"/>
    <mergeCell ref="E12080:H12080"/>
    <mergeCell ref="E12081:H12081"/>
    <mergeCell ref="E12082:H12082"/>
    <mergeCell ref="E12083:H12083"/>
    <mergeCell ref="E12084:H12084"/>
    <mergeCell ref="E12095:F12095"/>
    <mergeCell ref="E12096:F12096"/>
    <mergeCell ref="E12097:F12097"/>
    <mergeCell ref="E12104:H12104"/>
    <mergeCell ref="E12105:H12105"/>
    <mergeCell ref="E12111:H12111"/>
    <mergeCell ref="E12112:H12112"/>
    <mergeCell ref="E11762:F11762"/>
    <mergeCell ref="E11763:F11763"/>
    <mergeCell ref="E11764:F11764"/>
    <mergeCell ref="E11765:F11765"/>
    <mergeCell ref="E12009:F12009"/>
    <mergeCell ref="E12021:F12021"/>
    <mergeCell ref="E12006:F12006"/>
    <mergeCell ref="E12007:F12007"/>
    <mergeCell ref="E12008:F12008"/>
    <mergeCell ref="E11955:F11955"/>
    <mergeCell ref="E11963:H11963"/>
    <mergeCell ref="E11964:H11964"/>
    <mergeCell ref="E11965:H11965"/>
    <mergeCell ref="E11966:H11966"/>
    <mergeCell ref="E11967:H11967"/>
    <mergeCell ref="E11968:H11968"/>
    <mergeCell ref="E11944:H11944"/>
    <mergeCell ref="E11945:H11945"/>
    <mergeCell ref="E11947:F11947"/>
    <mergeCell ref="E11983:F11983"/>
    <mergeCell ref="E11984:F11984"/>
    <mergeCell ref="E11985:F11985"/>
    <mergeCell ref="E11987:H11987"/>
    <mergeCell ref="E11988:H11988"/>
    <mergeCell ref="E11989:H11989"/>
    <mergeCell ref="E11990:H11990"/>
    <mergeCell ref="E11991:H11991"/>
    <mergeCell ref="E11992:H11992"/>
    <mergeCell ref="E11993:H11993"/>
    <mergeCell ref="E11994:H11994"/>
    <mergeCell ref="E11995:H11995"/>
    <mergeCell ref="E11996:H11996"/>
    <mergeCell ref="E12001:F12001"/>
    <mergeCell ref="E12002:F12002"/>
    <mergeCell ref="E11869:F11869"/>
    <mergeCell ref="E11888:H11888"/>
    <mergeCell ref="E11889:H11889"/>
    <mergeCell ref="E12003:F12003"/>
    <mergeCell ref="E12004:F12004"/>
    <mergeCell ref="E12005:F12005"/>
    <mergeCell ref="E12000:F12000"/>
    <mergeCell ref="E11845:H11845"/>
    <mergeCell ref="E11846:H11846"/>
    <mergeCell ref="E11847:H11847"/>
    <mergeCell ref="E11849:H11849"/>
    <mergeCell ref="E11851:F11851"/>
    <mergeCell ref="E11857:F11857"/>
    <mergeCell ref="E11858:F11858"/>
    <mergeCell ref="E11870:F11870"/>
    <mergeCell ref="E11871:F11871"/>
    <mergeCell ref="E11872:F11872"/>
    <mergeCell ref="E11928:F11928"/>
    <mergeCell ref="E11929:F11929"/>
    <mergeCell ref="E11925:F11925"/>
    <mergeCell ref="E11906:F11906"/>
    <mergeCell ref="E11864:F11864"/>
    <mergeCell ref="E11896:F11896"/>
    <mergeCell ref="E11897:F11897"/>
    <mergeCell ref="E11898:F11898"/>
    <mergeCell ref="E11899:F11899"/>
    <mergeCell ref="E11907:H11907"/>
    <mergeCell ref="E11908:H11908"/>
    <mergeCell ref="E11911:H11911"/>
    <mergeCell ref="E11912:H11912"/>
    <mergeCell ref="E11711:H11711"/>
    <mergeCell ref="E11714:F11714"/>
    <mergeCell ref="E11715:F11715"/>
    <mergeCell ref="E11716:F11716"/>
    <mergeCell ref="E11717:F11717"/>
    <mergeCell ref="E11718:F11718"/>
    <mergeCell ref="E11712:H11712"/>
    <mergeCell ref="E11722:F11722"/>
    <mergeCell ref="E11727:H11727"/>
    <mergeCell ref="E11728:H11728"/>
    <mergeCell ref="E11729:H11729"/>
    <mergeCell ref="E11730:H11730"/>
    <mergeCell ref="E11731:H11731"/>
    <mergeCell ref="E11732:H11732"/>
    <mergeCell ref="E11733:H11733"/>
    <mergeCell ref="E11734:H11734"/>
    <mergeCell ref="E11738:F11738"/>
    <mergeCell ref="E11739:F11739"/>
    <mergeCell ref="E11740:F11740"/>
    <mergeCell ref="E11741:F11741"/>
    <mergeCell ref="E11742:F11742"/>
    <mergeCell ref="E11743:F11743"/>
    <mergeCell ref="E11736:F11736"/>
    <mergeCell ref="E11726:F11726"/>
    <mergeCell ref="E11746:F11746"/>
    <mergeCell ref="E11747:F11747"/>
    <mergeCell ref="E11748:F11748"/>
    <mergeCell ref="E11749:F11749"/>
    <mergeCell ref="E11759:H11759"/>
    <mergeCell ref="E11724:F11724"/>
    <mergeCell ref="E11723:F11723"/>
    <mergeCell ref="E11713:F11713"/>
    <mergeCell ref="E11725:F11725"/>
    <mergeCell ref="E11735:F11735"/>
    <mergeCell ref="E11750:H11750"/>
    <mergeCell ref="E11751:H11751"/>
    <mergeCell ref="E11752:H11752"/>
    <mergeCell ref="E11753:H11753"/>
    <mergeCell ref="E11754:H11754"/>
    <mergeCell ref="E11755:H11755"/>
    <mergeCell ref="E11756:H11756"/>
    <mergeCell ref="E11757:H11757"/>
    <mergeCell ref="E11758:H11758"/>
    <mergeCell ref="E11635:H11635"/>
    <mergeCell ref="E11636:H11636"/>
    <mergeCell ref="E11612:F11612"/>
    <mergeCell ref="E11613:F11613"/>
    <mergeCell ref="E11610:F11610"/>
    <mergeCell ref="E11628:F11628"/>
    <mergeCell ref="E11629:F11629"/>
    <mergeCell ref="E11630:F11630"/>
    <mergeCell ref="E11631:F11631"/>
    <mergeCell ref="E11632:F11632"/>
    <mergeCell ref="E11633:F11633"/>
    <mergeCell ref="E11607:F11607"/>
    <mergeCell ref="E11586:F11586"/>
    <mergeCell ref="E11587:F11587"/>
    <mergeCell ref="E11590:F11590"/>
    <mergeCell ref="E11591:F11591"/>
    <mergeCell ref="E11592:F11592"/>
    <mergeCell ref="E11593:F11593"/>
    <mergeCell ref="E11594:F11594"/>
    <mergeCell ref="E11603:F11603"/>
    <mergeCell ref="E11614:H11614"/>
    <mergeCell ref="E11615:H11615"/>
    <mergeCell ref="E11616:H11616"/>
    <mergeCell ref="E11617:H11617"/>
    <mergeCell ref="E11618:H11618"/>
    <mergeCell ref="E11619:H11619"/>
    <mergeCell ref="E11622:F11622"/>
    <mergeCell ref="E11623:F11623"/>
    <mergeCell ref="E11624:F11624"/>
    <mergeCell ref="E11625:F11625"/>
    <mergeCell ref="E11719:F11719"/>
    <mergeCell ref="E11720:F11720"/>
    <mergeCell ref="E11721:F11721"/>
    <mergeCell ref="E11637:H11637"/>
    <mergeCell ref="E11638:H11638"/>
    <mergeCell ref="E11639:H11639"/>
    <mergeCell ref="E11642:F11642"/>
    <mergeCell ref="E11670:F11670"/>
    <mergeCell ref="E11671:F11671"/>
    <mergeCell ref="E11672:F11672"/>
    <mergeCell ref="E11677:H11677"/>
    <mergeCell ref="E11678:H11678"/>
    <mergeCell ref="E11679:H11679"/>
    <mergeCell ref="E11698:H11698"/>
    <mergeCell ref="E11699:H11699"/>
    <mergeCell ref="E11709:H11709"/>
    <mergeCell ref="E11710:H11710"/>
    <mergeCell ref="E11666:F11666"/>
    <mergeCell ref="E11688:F11688"/>
    <mergeCell ref="E11689:F11689"/>
    <mergeCell ref="E11675:H11675"/>
    <mergeCell ref="E11644:F11644"/>
    <mergeCell ref="E11657:F11657"/>
    <mergeCell ref="E11676:H11676"/>
    <mergeCell ref="E11681:F11681"/>
    <mergeCell ref="E11682:F11682"/>
    <mergeCell ref="E11683:F11683"/>
    <mergeCell ref="E11684:F11684"/>
    <mergeCell ref="E11656:F11656"/>
    <mergeCell ref="E11665:F11665"/>
    <mergeCell ref="E11685:F11685"/>
    <mergeCell ref="E11686:F11686"/>
    <mergeCell ref="E11690:F11690"/>
    <mergeCell ref="E11691:F11691"/>
    <mergeCell ref="E11544:F11544"/>
    <mergeCell ref="E11545:F11545"/>
    <mergeCell ref="E11546:F11546"/>
    <mergeCell ref="E11572:F11572"/>
    <mergeCell ref="E11573:F11573"/>
    <mergeCell ref="E11574:F11574"/>
    <mergeCell ref="E11584:F11584"/>
    <mergeCell ref="E11585:F11585"/>
    <mergeCell ref="E11588:F11588"/>
    <mergeCell ref="E11589:F11589"/>
    <mergeCell ref="E11552:F11552"/>
    <mergeCell ref="E11551:F11551"/>
    <mergeCell ref="E11553:F11553"/>
    <mergeCell ref="E11608:F11608"/>
    <mergeCell ref="E11609:F11609"/>
    <mergeCell ref="E11634:H11634"/>
    <mergeCell ref="E11439:H11439"/>
    <mergeCell ref="E11440:H11440"/>
    <mergeCell ref="E11441:H11441"/>
    <mergeCell ref="E11442:H11442"/>
    <mergeCell ref="E11443:H11443"/>
    <mergeCell ref="E11444:H11444"/>
    <mergeCell ref="E11445:H11445"/>
    <mergeCell ref="E11496:F11496"/>
    <mergeCell ref="E11497:F11497"/>
    <mergeCell ref="E11498:F11498"/>
    <mergeCell ref="E11499:F11499"/>
    <mergeCell ref="E11507:H11507"/>
    <mergeCell ref="E11510:H11510"/>
    <mergeCell ref="E11511:H11511"/>
    <mergeCell ref="E11512:H11512"/>
    <mergeCell ref="E11468:F11468"/>
    <mergeCell ref="E11500:F11500"/>
    <mergeCell ref="E11503:F11503"/>
    <mergeCell ref="E11504:F11504"/>
    <mergeCell ref="E11505:F11505"/>
    <mergeCell ref="E11508:F11508"/>
    <mergeCell ref="E11509:F11509"/>
    <mergeCell ref="E11534:H11534"/>
    <mergeCell ref="E11535:H11535"/>
    <mergeCell ref="E11536:H11536"/>
    <mergeCell ref="E11517:H11517"/>
    <mergeCell ref="E11518:H11518"/>
    <mergeCell ref="E11519:H11519"/>
    <mergeCell ref="E11520:H11520"/>
    <mergeCell ref="E11521:H11521"/>
    <mergeCell ref="E11523:H11523"/>
    <mergeCell ref="E11501:F11501"/>
    <mergeCell ref="E11524:F11524"/>
    <mergeCell ref="E11464:H11464"/>
    <mergeCell ref="E11470:H11470"/>
    <mergeCell ref="E11475:F11475"/>
    <mergeCell ref="E11476:F11476"/>
    <mergeCell ref="E11477:F11477"/>
    <mergeCell ref="E11478:F11478"/>
    <mergeCell ref="E11487:H11487"/>
    <mergeCell ref="E11488:H11488"/>
    <mergeCell ref="E11489:H11489"/>
    <mergeCell ref="E11490:H11490"/>
    <mergeCell ref="E11493:F11493"/>
    <mergeCell ref="E11494:F11494"/>
    <mergeCell ref="E11491:H11491"/>
    <mergeCell ref="E11492:F11492"/>
    <mergeCell ref="E11513:H11513"/>
    <mergeCell ref="E11180:F11180"/>
    <mergeCell ref="E11188:H11188"/>
    <mergeCell ref="E11189:H11189"/>
    <mergeCell ref="E11190:H11190"/>
    <mergeCell ref="E11199:F11199"/>
    <mergeCell ref="E11200:F11200"/>
    <mergeCell ref="E11201:F11201"/>
    <mergeCell ref="E11209:H11209"/>
    <mergeCell ref="E11219:F11219"/>
    <mergeCell ref="E11220:F11220"/>
    <mergeCell ref="E11239:F11239"/>
    <mergeCell ref="E11247:H11247"/>
    <mergeCell ref="E11257:F11257"/>
    <mergeCell ref="E11258:F11258"/>
    <mergeCell ref="E11265:H11265"/>
    <mergeCell ref="E11266:H11266"/>
    <mergeCell ref="E11268:H11268"/>
    <mergeCell ref="E11269:H11269"/>
    <mergeCell ref="E11325:F11325"/>
    <mergeCell ref="E11329:H11329"/>
    <mergeCell ref="E11332:H11332"/>
    <mergeCell ref="E11333:H11333"/>
    <mergeCell ref="E11334:H11334"/>
    <mergeCell ref="E11335:H11335"/>
    <mergeCell ref="E11336:H11336"/>
    <mergeCell ref="E11337:H11337"/>
    <mergeCell ref="E11338:H11338"/>
    <mergeCell ref="E11339:H11339"/>
    <mergeCell ref="E11340:H11340"/>
    <mergeCell ref="E11327:F11327"/>
    <mergeCell ref="E11285:F11285"/>
    <mergeCell ref="E11314:F11314"/>
    <mergeCell ref="E11315:F11315"/>
    <mergeCell ref="E11316:F11316"/>
    <mergeCell ref="E11253:F11253"/>
    <mergeCell ref="E11228:H11228"/>
    <mergeCell ref="E11221:H11221"/>
    <mergeCell ref="E11222:H11222"/>
    <mergeCell ref="E11223:H11223"/>
    <mergeCell ref="E11224:H11224"/>
    <mergeCell ref="E11225:H11225"/>
    <mergeCell ref="E11229:F11229"/>
    <mergeCell ref="E11434:F11434"/>
    <mergeCell ref="E11481:F11481"/>
    <mergeCell ref="E11260:H11260"/>
    <mergeCell ref="E11286:F11286"/>
    <mergeCell ref="E11287:F11287"/>
    <mergeCell ref="E11290:F11290"/>
    <mergeCell ref="E11301:F11301"/>
    <mergeCell ref="E10920:F10920"/>
    <mergeCell ref="E11308:H11308"/>
    <mergeCell ref="E11283:H11283"/>
    <mergeCell ref="E11293:F11293"/>
    <mergeCell ref="E11294:F11294"/>
    <mergeCell ref="E11295:F11295"/>
    <mergeCell ref="E11297:F11297"/>
    <mergeCell ref="E11307:F11307"/>
    <mergeCell ref="E11309:H11309"/>
    <mergeCell ref="E11310:H11310"/>
    <mergeCell ref="E11311:H11311"/>
    <mergeCell ref="E11312:H11312"/>
    <mergeCell ref="E11313:H11313"/>
    <mergeCell ref="E11278:F11278"/>
    <mergeCell ref="E11317:F11317"/>
    <mergeCell ref="E11318:F11318"/>
    <mergeCell ref="E11330:F11330"/>
    <mergeCell ref="E11141:H11141"/>
    <mergeCell ref="E11142:H11142"/>
    <mergeCell ref="E11143:H11143"/>
    <mergeCell ref="E11144:H11144"/>
    <mergeCell ref="E11145:H11145"/>
    <mergeCell ref="E11115:H11115"/>
    <mergeCell ref="E11128:F11128"/>
    <mergeCell ref="E11129:F11129"/>
    <mergeCell ref="E11136:H11136"/>
    <mergeCell ref="E11137:H11137"/>
    <mergeCell ref="E11298:F11298"/>
    <mergeCell ref="E11299:F11299"/>
    <mergeCell ref="E11300:F11300"/>
    <mergeCell ref="E11302:F11302"/>
    <mergeCell ref="E11305:F11305"/>
    <mergeCell ref="E11306:F11306"/>
    <mergeCell ref="E11125:F11125"/>
    <mergeCell ref="E11131:H11131"/>
    <mergeCell ref="E11132:F11132"/>
    <mergeCell ref="E11133:F11133"/>
    <mergeCell ref="E11138:H11138"/>
    <mergeCell ref="E11139:H11139"/>
    <mergeCell ref="E11140:H11140"/>
    <mergeCell ref="E11171:F11171"/>
    <mergeCell ref="E11172:F11172"/>
    <mergeCell ref="E11173:F11173"/>
    <mergeCell ref="E11174:F11174"/>
    <mergeCell ref="E11216:F11216"/>
    <mergeCell ref="E11217:F11217"/>
    <mergeCell ref="E11151:F11151"/>
    <mergeCell ref="E11022:F11022"/>
    <mergeCell ref="E11023:F11023"/>
    <mergeCell ref="E11024:F11024"/>
    <mergeCell ref="E11025:F11025"/>
    <mergeCell ref="E11029:H11029"/>
    <mergeCell ref="E11030:H11030"/>
    <mergeCell ref="E11031:H11031"/>
    <mergeCell ref="E11032:H11032"/>
    <mergeCell ref="E11033:H11033"/>
    <mergeCell ref="E11034:H11034"/>
    <mergeCell ref="E11035:H11035"/>
    <mergeCell ref="E11036:H11036"/>
    <mergeCell ref="E11039:F11039"/>
    <mergeCell ref="E10951:F10951"/>
    <mergeCell ref="E10952:F10952"/>
    <mergeCell ref="E11122:F11122"/>
    <mergeCell ref="E11123:F11123"/>
    <mergeCell ref="E10724:H10724"/>
    <mergeCell ref="E11069:F11069"/>
    <mergeCell ref="E11096:F11096"/>
    <mergeCell ref="E11068:F11068"/>
    <mergeCell ref="E11056:H11056"/>
    <mergeCell ref="E11057:H11057"/>
    <mergeCell ref="E11058:H11058"/>
    <mergeCell ref="E11060:F11060"/>
    <mergeCell ref="E11061:F11061"/>
    <mergeCell ref="E11062:F11062"/>
    <mergeCell ref="E11063:F11063"/>
    <mergeCell ref="E11064:F11064"/>
    <mergeCell ref="E11065:F11065"/>
    <mergeCell ref="E11066:F11066"/>
    <mergeCell ref="E11067:F11067"/>
    <mergeCell ref="E11071:H11071"/>
    <mergeCell ref="E11072:H11072"/>
    <mergeCell ref="E11073:H11073"/>
    <mergeCell ref="E11074:H11074"/>
    <mergeCell ref="E11075:H11075"/>
    <mergeCell ref="E11076:H11076"/>
    <mergeCell ref="E11077:H11077"/>
    <mergeCell ref="E11078:H11078"/>
    <mergeCell ref="E11081:F11081"/>
    <mergeCell ref="E11082:F11082"/>
    <mergeCell ref="E11088:F11088"/>
    <mergeCell ref="E10907:H10907"/>
    <mergeCell ref="E10911:H10911"/>
    <mergeCell ref="E10912:H10912"/>
    <mergeCell ref="E10913:H10913"/>
    <mergeCell ref="E10923:F10923"/>
    <mergeCell ref="E10928:H10928"/>
    <mergeCell ref="E10929:H10929"/>
    <mergeCell ref="E10932:H10932"/>
    <mergeCell ref="E10914:F10914"/>
    <mergeCell ref="E10915:F10915"/>
    <mergeCell ref="E10933:H10933"/>
    <mergeCell ref="E10934:H10934"/>
    <mergeCell ref="E10935:H10935"/>
    <mergeCell ref="E10936:H10936"/>
    <mergeCell ref="E10937:H10937"/>
    <mergeCell ref="E10938:H10938"/>
    <mergeCell ref="E10939:H10939"/>
    <mergeCell ref="E10960:H10960"/>
    <mergeCell ref="E10962:H10962"/>
    <mergeCell ref="E10963:H10963"/>
    <mergeCell ref="E10968:F10968"/>
    <mergeCell ref="E10969:F10969"/>
    <mergeCell ref="E10970:F10970"/>
    <mergeCell ref="E10971:F10971"/>
    <mergeCell ref="E10972:F10972"/>
    <mergeCell ref="E10973:F10973"/>
    <mergeCell ref="E10974:F10974"/>
    <mergeCell ref="E10975:F10975"/>
    <mergeCell ref="E10976:F10976"/>
    <mergeCell ref="E10977:F10977"/>
    <mergeCell ref="E10983:H10983"/>
    <mergeCell ref="E10984:H10984"/>
    <mergeCell ref="E10985:H10985"/>
    <mergeCell ref="E10946:F10946"/>
    <mergeCell ref="E10916:F10916"/>
    <mergeCell ref="E10917:F10917"/>
    <mergeCell ref="E10918:F10918"/>
    <mergeCell ref="E10919:F10919"/>
    <mergeCell ref="E10516:H10516"/>
    <mergeCell ref="E10921:F10921"/>
    <mergeCell ref="E10922:F10922"/>
    <mergeCell ref="E10924:F10924"/>
    <mergeCell ref="E10925:F10925"/>
    <mergeCell ref="E10930:F10930"/>
    <mergeCell ref="E10931:F10931"/>
    <mergeCell ref="E10926:F10926"/>
    <mergeCell ref="E10927:F10927"/>
    <mergeCell ref="E10697:F10697"/>
    <mergeCell ref="E10703:F10703"/>
    <mergeCell ref="E10673:F10673"/>
    <mergeCell ref="E10676:F10676"/>
    <mergeCell ref="E10674:F10674"/>
    <mergeCell ref="E10675:F10675"/>
    <mergeCell ref="E10698:H10698"/>
    <mergeCell ref="E10699:H10699"/>
    <mergeCell ref="E10700:H10700"/>
    <mergeCell ref="E10701:H10701"/>
    <mergeCell ref="E10868:F10868"/>
    <mergeCell ref="E10869:F10869"/>
    <mergeCell ref="E10870:F10870"/>
    <mergeCell ref="E10875:H10875"/>
    <mergeCell ref="E10876:H10876"/>
    <mergeCell ref="E10877:H10877"/>
    <mergeCell ref="E10878:H10878"/>
    <mergeCell ref="E10880:H10880"/>
    <mergeCell ref="E10883:H10883"/>
    <mergeCell ref="E10884:H10884"/>
    <mergeCell ref="E10885:H10885"/>
    <mergeCell ref="E10889:F10889"/>
    <mergeCell ref="E10890:F10890"/>
    <mergeCell ref="E10891:F10891"/>
    <mergeCell ref="E10892:F10892"/>
    <mergeCell ref="E10895:F10895"/>
    <mergeCell ref="E10896:F10896"/>
    <mergeCell ref="E10897:F10897"/>
    <mergeCell ref="E10898:F10898"/>
    <mergeCell ref="E10900:F10900"/>
    <mergeCell ref="E10901:F10901"/>
    <mergeCell ref="E10902:F10902"/>
    <mergeCell ref="E10904:F10904"/>
    <mergeCell ref="E10704:F10704"/>
    <mergeCell ref="E10706:F10706"/>
    <mergeCell ref="E10707:F10707"/>
    <mergeCell ref="E10725:F10725"/>
    <mergeCell ref="E10726:F10726"/>
    <mergeCell ref="E10727:F10727"/>
    <mergeCell ref="E10728:F10728"/>
    <mergeCell ref="E10729:F10729"/>
    <mergeCell ref="E10730:F10730"/>
    <mergeCell ref="E10740:H10740"/>
    <mergeCell ref="E10694:F10694"/>
    <mergeCell ref="E10695:F10695"/>
    <mergeCell ref="E10705:F10705"/>
    <mergeCell ref="E10708:F10708"/>
    <mergeCell ref="E10709:F10709"/>
    <mergeCell ref="E10711:F10711"/>
    <mergeCell ref="E10712:F10712"/>
    <mergeCell ref="E10719:H10719"/>
    <mergeCell ref="E10720:H10720"/>
    <mergeCell ref="E10721:H10721"/>
    <mergeCell ref="E10722:H10722"/>
    <mergeCell ref="E10723:H10723"/>
    <mergeCell ref="E10515:F10515"/>
    <mergeCell ref="E10731:F10731"/>
    <mergeCell ref="E10738:F10738"/>
    <mergeCell ref="E10761:F10761"/>
    <mergeCell ref="E10762:F10762"/>
    <mergeCell ref="E10763:F10763"/>
    <mergeCell ref="E10765:F10765"/>
    <mergeCell ref="E10766:F10766"/>
    <mergeCell ref="E10767:F10767"/>
    <mergeCell ref="E10398:F10398"/>
    <mergeCell ref="E10404:H10404"/>
    <mergeCell ref="E10405:H10405"/>
    <mergeCell ref="E10406:H10406"/>
    <mergeCell ref="E10446:H10446"/>
    <mergeCell ref="E10432:F10432"/>
    <mergeCell ref="E10433:F10433"/>
    <mergeCell ref="E10434:F10434"/>
    <mergeCell ref="E10443:H10443"/>
    <mergeCell ref="E10444:H10444"/>
    <mergeCell ref="E10445:H10445"/>
    <mergeCell ref="E10403:H10403"/>
    <mergeCell ref="E10419:F10419"/>
    <mergeCell ref="E10400:H10400"/>
    <mergeCell ref="E10401:H10401"/>
    <mergeCell ref="E10402:H10402"/>
    <mergeCell ref="E10447:H10447"/>
    <mergeCell ref="E10451:F10451"/>
    <mergeCell ref="E10452:F10452"/>
    <mergeCell ref="E10453:F10453"/>
    <mergeCell ref="E10454:F10454"/>
    <mergeCell ref="E10455:F10455"/>
    <mergeCell ref="E10462:H10462"/>
    <mergeCell ref="E10463:H10463"/>
    <mergeCell ref="E10464:H10464"/>
    <mergeCell ref="E10465:H10465"/>
    <mergeCell ref="E10466:H10466"/>
    <mergeCell ref="E10467:H10467"/>
    <mergeCell ref="E10468:H10468"/>
    <mergeCell ref="E10469:H10469"/>
    <mergeCell ref="E10470:F10470"/>
    <mergeCell ref="E10539:F10539"/>
    <mergeCell ref="E10542:F10542"/>
    <mergeCell ref="E10510:F10510"/>
    <mergeCell ref="E10512:F10512"/>
    <mergeCell ref="E10513:F10513"/>
    <mergeCell ref="E10479:F10479"/>
    <mergeCell ref="E10493:F10493"/>
    <mergeCell ref="E10494:F10494"/>
    <mergeCell ref="E10478:F10478"/>
    <mergeCell ref="E10482:H10482"/>
    <mergeCell ref="E10483:H10483"/>
    <mergeCell ref="E10484:H10484"/>
    <mergeCell ref="E10477:F10477"/>
    <mergeCell ref="E10480:H10480"/>
    <mergeCell ref="E10481:H10481"/>
    <mergeCell ref="E10437:F10437"/>
    <mergeCell ref="E10485:H10485"/>
    <mergeCell ref="E10486:H10486"/>
    <mergeCell ref="E10487:H10487"/>
    <mergeCell ref="E10440:F10440"/>
    <mergeCell ref="E10474:F10474"/>
    <mergeCell ref="E10495:F10495"/>
    <mergeCell ref="E10496:F10496"/>
    <mergeCell ref="E10505:H10505"/>
    <mergeCell ref="E10313:F10313"/>
    <mergeCell ref="E10502:H10502"/>
    <mergeCell ref="E10503:H10503"/>
    <mergeCell ref="E10490:F10490"/>
    <mergeCell ref="E10491:F10491"/>
    <mergeCell ref="E10527:F10527"/>
    <mergeCell ref="E10519:H10519"/>
    <mergeCell ref="E10517:H10517"/>
    <mergeCell ref="E10518:H10518"/>
    <mergeCell ref="E10380:H10380"/>
    <mergeCell ref="E10381:H10381"/>
    <mergeCell ref="E10386:H10386"/>
    <mergeCell ref="E10382:H10382"/>
    <mergeCell ref="E10383:H10383"/>
    <mergeCell ref="E10384:H10384"/>
    <mergeCell ref="E10409:F10409"/>
    <mergeCell ref="E10410:F10410"/>
    <mergeCell ref="E10411:F10411"/>
    <mergeCell ref="E10412:F10412"/>
    <mergeCell ref="E10385:H10385"/>
    <mergeCell ref="E10417:F10417"/>
    <mergeCell ref="E10418:F10418"/>
    <mergeCell ref="E10420:H10420"/>
    <mergeCell ref="E10430:F10430"/>
    <mergeCell ref="E10431:F10431"/>
    <mergeCell ref="E10395:F10395"/>
    <mergeCell ref="E10396:F10396"/>
    <mergeCell ref="E10397:F10397"/>
    <mergeCell ref="E10377:F10377"/>
    <mergeCell ref="E10378:F10378"/>
    <mergeCell ref="E10379:F10379"/>
    <mergeCell ref="E10387:H10387"/>
    <mergeCell ref="E10352:H10352"/>
    <mergeCell ref="E10475:F10475"/>
    <mergeCell ref="E10442:H10442"/>
    <mergeCell ref="E10457:F10457"/>
    <mergeCell ref="E10456:F10456"/>
    <mergeCell ref="E10448:H10448"/>
    <mergeCell ref="E10449:H10449"/>
    <mergeCell ref="E10450:H10450"/>
    <mergeCell ref="E10458:F10458"/>
    <mergeCell ref="E10459:F10459"/>
    <mergeCell ref="E10460:F10460"/>
    <mergeCell ref="E10461:F10461"/>
    <mergeCell ref="E10364:H10364"/>
    <mergeCell ref="E10365:H10365"/>
    <mergeCell ref="E10366:H10366"/>
    <mergeCell ref="E10367:H10367"/>
    <mergeCell ref="E10368:H10368"/>
    <mergeCell ref="E10369:H10369"/>
    <mergeCell ref="E10370:F10370"/>
    <mergeCell ref="E10373:F10373"/>
    <mergeCell ref="E10374:F10374"/>
    <mergeCell ref="E10375:F10375"/>
    <mergeCell ref="E10376:F10376"/>
    <mergeCell ref="E10547:F10547"/>
    <mergeCell ref="E10548:F10548"/>
    <mergeCell ref="E10549:F10549"/>
    <mergeCell ref="E10476:F10476"/>
    <mergeCell ref="E10529:H10529"/>
    <mergeCell ref="E10530:H10530"/>
    <mergeCell ref="E10531:H10531"/>
    <mergeCell ref="E10533:F10533"/>
    <mergeCell ref="E10534:F10534"/>
    <mergeCell ref="E10536:F10536"/>
    <mergeCell ref="E10537:F10537"/>
    <mergeCell ref="E10538:F10538"/>
    <mergeCell ref="E10390:F10390"/>
    <mergeCell ref="E10391:F10391"/>
    <mergeCell ref="E10388:F10388"/>
    <mergeCell ref="E10399:H10399"/>
    <mergeCell ref="E10416:F10416"/>
    <mergeCell ref="E10393:F10393"/>
    <mergeCell ref="E10421:H10421"/>
    <mergeCell ref="E10422:H10422"/>
    <mergeCell ref="E10423:H10423"/>
    <mergeCell ref="E10435:F10435"/>
    <mergeCell ref="E10526:F10526"/>
    <mergeCell ref="E10488:F10488"/>
    <mergeCell ref="E10489:F10489"/>
    <mergeCell ref="E10497:F10497"/>
    <mergeCell ref="E10498:H10498"/>
    <mergeCell ref="E10499:H10499"/>
    <mergeCell ref="E10500:H10500"/>
    <mergeCell ref="E10501:H10501"/>
    <mergeCell ref="E10506:F10506"/>
    <mergeCell ref="E10507:F10507"/>
    <mergeCell ref="E10508:F10508"/>
    <mergeCell ref="E10509:F10509"/>
    <mergeCell ref="E10511:F10511"/>
    <mergeCell ref="E10514:F10514"/>
    <mergeCell ref="E10394:F10394"/>
    <mergeCell ref="E10407:H10407"/>
    <mergeCell ref="E10408:H10408"/>
    <mergeCell ref="E10415:F10415"/>
    <mergeCell ref="E10438:F10438"/>
    <mergeCell ref="E10389:F10389"/>
    <mergeCell ref="E10392:F10392"/>
    <mergeCell ref="E10520:H10520"/>
    <mergeCell ref="E10521:H10521"/>
    <mergeCell ref="E10522:H10522"/>
    <mergeCell ref="E10523:H10523"/>
    <mergeCell ref="E10524:F10524"/>
    <mergeCell ref="E10413:F10413"/>
    <mergeCell ref="E10414:F10414"/>
    <mergeCell ref="E10424:H10424"/>
    <mergeCell ref="E10425:H10425"/>
    <mergeCell ref="E10426:H10426"/>
    <mergeCell ref="E10427:H10427"/>
    <mergeCell ref="E10492:F10492"/>
    <mergeCell ref="E10471:F10471"/>
    <mergeCell ref="E10472:F10472"/>
    <mergeCell ref="E10473:F10473"/>
    <mergeCell ref="E10428:H10428"/>
    <mergeCell ref="E10429:H10429"/>
    <mergeCell ref="E10436:F10436"/>
    <mergeCell ref="E10439:F10439"/>
    <mergeCell ref="E10441:H10441"/>
    <mergeCell ref="E10504:H10504"/>
    <mergeCell ref="E10289:F10289"/>
    <mergeCell ref="E10551:H10551"/>
    <mergeCell ref="E10248:F10248"/>
    <mergeCell ref="E10249:F10249"/>
    <mergeCell ref="E10250:F10250"/>
    <mergeCell ref="E10255:H10255"/>
    <mergeCell ref="E10256:H10256"/>
    <mergeCell ref="E10257:H10257"/>
    <mergeCell ref="E10258:H10258"/>
    <mergeCell ref="E10266:H10266"/>
    <mergeCell ref="E10269:F10269"/>
    <mergeCell ref="E10270:F10270"/>
    <mergeCell ref="E10277:H10277"/>
    <mergeCell ref="E10278:H10278"/>
    <mergeCell ref="E10287:H10287"/>
    <mergeCell ref="E10291:F10291"/>
    <mergeCell ref="E10310:F10310"/>
    <mergeCell ref="E10300:F10300"/>
    <mergeCell ref="E10302:F10302"/>
    <mergeCell ref="E10303:F10303"/>
    <mergeCell ref="E10321:F10321"/>
    <mergeCell ref="E10311:F10311"/>
    <mergeCell ref="E10312:F10312"/>
    <mergeCell ref="E10335:H10335"/>
    <mergeCell ref="E10336:H10336"/>
    <mergeCell ref="E10338:F10338"/>
    <mergeCell ref="E10342:H10342"/>
    <mergeCell ref="E10344:F10344"/>
    <mergeCell ref="E10345:H10345"/>
    <mergeCell ref="E10346:H10346"/>
    <mergeCell ref="E10347:H10347"/>
    <mergeCell ref="E10349:F10349"/>
    <mergeCell ref="E10350:F10350"/>
    <mergeCell ref="E10353:F10353"/>
    <mergeCell ref="E10354:F10354"/>
    <mergeCell ref="E10254:H10254"/>
    <mergeCell ref="E10271:H10271"/>
    <mergeCell ref="E10272:H10272"/>
    <mergeCell ref="E10279:F10279"/>
    <mergeCell ref="E10280:F10280"/>
    <mergeCell ref="E10281:F10281"/>
    <mergeCell ref="E10292:H10292"/>
    <mergeCell ref="E10293:H10293"/>
    <mergeCell ref="E10294:H10294"/>
    <mergeCell ref="E10351:H10351"/>
    <mergeCell ref="E10332:H10332"/>
    <mergeCell ref="E10333:H10333"/>
    <mergeCell ref="E10334:H10334"/>
    <mergeCell ref="E10318:H10318"/>
    <mergeCell ref="E10322:F10322"/>
    <mergeCell ref="E10323:F10323"/>
    <mergeCell ref="E10324:F10324"/>
    <mergeCell ref="E10309:F10309"/>
    <mergeCell ref="E10337:F10337"/>
    <mergeCell ref="E10339:F10339"/>
    <mergeCell ref="E10340:F10340"/>
    <mergeCell ref="E10341:F10341"/>
    <mergeCell ref="E10343:F10343"/>
    <mergeCell ref="E10301:H10301"/>
    <mergeCell ref="E10304:H10304"/>
    <mergeCell ref="E10305:H10305"/>
    <mergeCell ref="E10306:H10306"/>
    <mergeCell ref="E10307:H10307"/>
    <mergeCell ref="E10308:H10308"/>
    <mergeCell ref="E9963:F9963"/>
    <mergeCell ref="E9964:F9964"/>
    <mergeCell ref="E10023:H10023"/>
    <mergeCell ref="E10024:H10024"/>
    <mergeCell ref="E9980:F9980"/>
    <mergeCell ref="E9981:F9981"/>
    <mergeCell ref="E9982:F9982"/>
    <mergeCell ref="E9983:F9983"/>
    <mergeCell ref="E9984:F9984"/>
    <mergeCell ref="E10010:H10010"/>
    <mergeCell ref="E10247:F10247"/>
    <mergeCell ref="E10161:H10161"/>
    <mergeCell ref="E10162:H10162"/>
    <mergeCell ref="E10163:H10163"/>
    <mergeCell ref="E10165:H10165"/>
    <mergeCell ref="E10166:H10166"/>
    <mergeCell ref="E10167:H10167"/>
    <mergeCell ref="E10173:F10173"/>
    <mergeCell ref="E10174:F10174"/>
    <mergeCell ref="E10175:F10175"/>
    <mergeCell ref="E10181:H10181"/>
    <mergeCell ref="E10184:F10184"/>
    <mergeCell ref="E10185:F10185"/>
    <mergeCell ref="E10187:H10187"/>
    <mergeCell ref="E10188:H10188"/>
    <mergeCell ref="E10189:H10189"/>
    <mergeCell ref="E10154:F10154"/>
    <mergeCell ref="E10164:H10164"/>
    <mergeCell ref="E10168:H10168"/>
    <mergeCell ref="E10192:H10192"/>
    <mergeCell ref="E10193:H10193"/>
    <mergeCell ref="E10194:F10194"/>
    <mergeCell ref="E10195:F10195"/>
    <mergeCell ref="E10196:F10196"/>
    <mergeCell ref="E10197:F10197"/>
    <mergeCell ref="E10198:F10198"/>
    <mergeCell ref="E10199:F10199"/>
    <mergeCell ref="E10200:F10200"/>
    <mergeCell ref="E10201:F10201"/>
    <mergeCell ref="E10202:F10202"/>
    <mergeCell ref="E10204:F10204"/>
    <mergeCell ref="E10205:F10205"/>
    <mergeCell ref="E10206:F10206"/>
    <mergeCell ref="E10207:F10207"/>
    <mergeCell ref="E10176:F10176"/>
    <mergeCell ref="E10190:H10190"/>
    <mergeCell ref="E10159:H10159"/>
    <mergeCell ref="E10160:H10160"/>
    <mergeCell ref="E10235:H10235"/>
    <mergeCell ref="E10236:H10236"/>
    <mergeCell ref="E10237:H10237"/>
    <mergeCell ref="E10238:H10238"/>
    <mergeCell ref="E10245:F10245"/>
    <mergeCell ref="E10218:F10218"/>
    <mergeCell ref="E10219:F10219"/>
    <mergeCell ref="E10220:F10220"/>
    <mergeCell ref="E10221:F10221"/>
    <mergeCell ref="E10239:F10239"/>
    <mergeCell ref="E10240:F10240"/>
    <mergeCell ref="E10241:F10241"/>
    <mergeCell ref="E10242:F10242"/>
    <mergeCell ref="E10243:F10243"/>
    <mergeCell ref="E10244:F10244"/>
    <mergeCell ref="E10246:H10246"/>
    <mergeCell ref="E9766:H9766"/>
    <mergeCell ref="E9773:F9773"/>
    <mergeCell ref="E9774:F9774"/>
    <mergeCell ref="E9775:F9775"/>
    <mergeCell ref="E9781:F9781"/>
    <mergeCell ref="E9751:F9751"/>
    <mergeCell ref="E10065:F10065"/>
    <mergeCell ref="E10048:F10048"/>
    <mergeCell ref="E10049:F10049"/>
    <mergeCell ref="E10050:F10050"/>
    <mergeCell ref="E10052:H10052"/>
    <mergeCell ref="E10056:F10056"/>
    <mergeCell ref="E9917:F9917"/>
    <mergeCell ref="E9918:F9918"/>
    <mergeCell ref="E9919:F9919"/>
    <mergeCell ref="E9920:F9920"/>
    <mergeCell ref="E9921:F9921"/>
    <mergeCell ref="E9922:F9922"/>
    <mergeCell ref="E9936:F9936"/>
    <mergeCell ref="E9937:F9937"/>
    <mergeCell ref="E9938:F9938"/>
    <mergeCell ref="E9939:F9939"/>
    <mergeCell ref="E9940:F9940"/>
    <mergeCell ref="E9944:H9944"/>
    <mergeCell ref="E9945:H9945"/>
    <mergeCell ref="E9946:H9946"/>
    <mergeCell ref="E9948:F9948"/>
    <mergeCell ref="E9949:F9949"/>
    <mergeCell ref="E9950:F9950"/>
    <mergeCell ref="E9951:F9951"/>
    <mergeCell ref="E9952:F9952"/>
    <mergeCell ref="E9960:F9960"/>
    <mergeCell ref="E9962:H9962"/>
    <mergeCell ref="E9965:H9965"/>
    <mergeCell ref="E9966:H9966"/>
    <mergeCell ref="E9967:H9967"/>
    <mergeCell ref="E9968:H9968"/>
    <mergeCell ref="E9969:H9969"/>
    <mergeCell ref="E9970:H9970"/>
    <mergeCell ref="E9971:H9971"/>
    <mergeCell ref="E9958:F9958"/>
    <mergeCell ref="E9959:F9959"/>
    <mergeCell ref="E9993:H9993"/>
    <mergeCell ref="E10045:H10045"/>
    <mergeCell ref="E10057:H10057"/>
    <mergeCell ref="E10031:F10031"/>
    <mergeCell ref="E10032:F10032"/>
    <mergeCell ref="E10034:F10034"/>
    <mergeCell ref="E10035:F10035"/>
    <mergeCell ref="E10037:F10037"/>
    <mergeCell ref="E10041:H10041"/>
    <mergeCell ref="E10042:H10042"/>
    <mergeCell ref="E10043:H10043"/>
    <mergeCell ref="E10044:H10044"/>
    <mergeCell ref="E10004:F10004"/>
    <mergeCell ref="E9943:H9943"/>
    <mergeCell ref="E9975:H9975"/>
    <mergeCell ref="E9976:H9976"/>
    <mergeCell ref="E9977:H9977"/>
    <mergeCell ref="E10005:F10005"/>
    <mergeCell ref="E10006:F10006"/>
    <mergeCell ref="E10007:F10007"/>
    <mergeCell ref="E10008:F10008"/>
    <mergeCell ref="E10009:F10009"/>
    <mergeCell ref="E9701:H9701"/>
    <mergeCell ref="E9702:F9702"/>
    <mergeCell ref="E9703:F9703"/>
    <mergeCell ref="E9704:F9704"/>
    <mergeCell ref="E9705:F9705"/>
    <mergeCell ref="E9708:H9708"/>
    <mergeCell ref="E9711:F9711"/>
    <mergeCell ref="E9713:H9713"/>
    <mergeCell ref="E9714:H9714"/>
    <mergeCell ref="E9715:H9715"/>
    <mergeCell ref="E9716:H9716"/>
    <mergeCell ref="E9717:H9717"/>
    <mergeCell ref="E9718:H9718"/>
    <mergeCell ref="E9719:H9719"/>
    <mergeCell ref="E9720:H9720"/>
    <mergeCell ref="E9727:F9727"/>
    <mergeCell ref="E9728:H9728"/>
    <mergeCell ref="E9729:F9729"/>
    <mergeCell ref="E9730:F9730"/>
    <mergeCell ref="E9731:F9731"/>
    <mergeCell ref="E9732:F9732"/>
    <mergeCell ref="E9734:H9734"/>
    <mergeCell ref="E9735:H9735"/>
    <mergeCell ref="E9736:H9736"/>
    <mergeCell ref="E9737:H9737"/>
    <mergeCell ref="E9738:H9738"/>
    <mergeCell ref="E9739:H9739"/>
    <mergeCell ref="E9740:H9740"/>
    <mergeCell ref="E9742:H9742"/>
    <mergeCell ref="E9745:H9745"/>
    <mergeCell ref="E9746:H9746"/>
    <mergeCell ref="E9747:H9747"/>
    <mergeCell ref="E9748:H9748"/>
    <mergeCell ref="E9723:F9723"/>
    <mergeCell ref="E9724:F9724"/>
    <mergeCell ref="E9725:F9725"/>
    <mergeCell ref="E9726:F9726"/>
    <mergeCell ref="E9707:F9707"/>
    <mergeCell ref="E9709:F9709"/>
    <mergeCell ref="E9710:F9710"/>
    <mergeCell ref="E9712:F9712"/>
    <mergeCell ref="E9722:F9722"/>
    <mergeCell ref="E9721:F9721"/>
    <mergeCell ref="E9733:H9733"/>
    <mergeCell ref="E9635:H9635"/>
    <mergeCell ref="E9636:H9636"/>
    <mergeCell ref="E9637:H9637"/>
    <mergeCell ref="E9646:H9646"/>
    <mergeCell ref="E9647:F9647"/>
    <mergeCell ref="E9648:F9648"/>
    <mergeCell ref="E9649:F9649"/>
    <mergeCell ref="E9650:F9650"/>
    <mergeCell ref="E9655:H9655"/>
    <mergeCell ref="E9656:H9656"/>
    <mergeCell ref="E9657:H9657"/>
    <mergeCell ref="E9658:H9658"/>
    <mergeCell ref="E9659:H9659"/>
    <mergeCell ref="E9660:H9660"/>
    <mergeCell ref="E9669:F9669"/>
    <mergeCell ref="E9670:F9670"/>
    <mergeCell ref="E9671:F9671"/>
    <mergeCell ref="E9672:F9672"/>
    <mergeCell ref="E9676:H9676"/>
    <mergeCell ref="E9677:H9677"/>
    <mergeCell ref="E9678:H9678"/>
    <mergeCell ref="E9679:H9679"/>
    <mergeCell ref="E9680:H9680"/>
    <mergeCell ref="E9681:H9681"/>
    <mergeCell ref="E9682:H9682"/>
    <mergeCell ref="E9690:F9690"/>
    <mergeCell ref="E9691:F9691"/>
    <mergeCell ref="E9692:F9692"/>
    <mergeCell ref="E9693:F9693"/>
    <mergeCell ref="E9697:H9697"/>
    <mergeCell ref="E9698:H9698"/>
    <mergeCell ref="E9699:H9699"/>
    <mergeCell ref="E9700:H9700"/>
    <mergeCell ref="E9643:F9643"/>
    <mergeCell ref="E9644:F9644"/>
    <mergeCell ref="E9645:F9645"/>
    <mergeCell ref="E9641:F9641"/>
    <mergeCell ref="E9673:H9673"/>
    <mergeCell ref="E9664:F9664"/>
    <mergeCell ref="E9665:F9665"/>
    <mergeCell ref="E9638:F9638"/>
    <mergeCell ref="E9639:F9639"/>
    <mergeCell ref="E9640:F9640"/>
    <mergeCell ref="E9642:F9642"/>
    <mergeCell ref="E9663:F9663"/>
    <mergeCell ref="E9687:F9687"/>
    <mergeCell ref="E9688:F9688"/>
    <mergeCell ref="E9695:H9695"/>
    <mergeCell ref="E9654:H9654"/>
    <mergeCell ref="E9662:F9662"/>
    <mergeCell ref="E9689:H9689"/>
    <mergeCell ref="E9668:H9668"/>
    <mergeCell ref="E9674:H9674"/>
    <mergeCell ref="E9675:H9675"/>
    <mergeCell ref="E9651:H9651"/>
    <mergeCell ref="E9652:H9652"/>
    <mergeCell ref="E9653:H9653"/>
    <mergeCell ref="E9661:F9661"/>
    <mergeCell ref="E9696:H9696"/>
    <mergeCell ref="E9616:H9616"/>
    <mergeCell ref="E9617:H9617"/>
    <mergeCell ref="E9625:H9625"/>
    <mergeCell ref="E9626:F9626"/>
    <mergeCell ref="E9627:F9627"/>
    <mergeCell ref="E9628:F9628"/>
    <mergeCell ref="E9629:F9629"/>
    <mergeCell ref="E9634:H9634"/>
    <mergeCell ref="E9606:H9606"/>
    <mergeCell ref="E9607:H9607"/>
    <mergeCell ref="E9608:H9608"/>
    <mergeCell ref="E9609:H9609"/>
    <mergeCell ref="E9610:H9610"/>
    <mergeCell ref="E9611:H9611"/>
    <mergeCell ref="E9612:H9612"/>
    <mergeCell ref="E9619:F9619"/>
    <mergeCell ref="E9620:F9620"/>
    <mergeCell ref="E9618:F9618"/>
    <mergeCell ref="E9622:F9622"/>
    <mergeCell ref="E9623:F9623"/>
    <mergeCell ref="E9630:H9630"/>
    <mergeCell ref="E9631:H9631"/>
    <mergeCell ref="E9605:H9605"/>
    <mergeCell ref="E9594:H9594"/>
    <mergeCell ref="E9595:H9595"/>
    <mergeCell ref="E9602:F9602"/>
    <mergeCell ref="E9603:F9603"/>
    <mergeCell ref="E9621:F9621"/>
    <mergeCell ref="E9596:H9596"/>
    <mergeCell ref="E9604:H9604"/>
    <mergeCell ref="E9624:F9624"/>
    <mergeCell ref="E9632:H9632"/>
    <mergeCell ref="E9633:H9633"/>
    <mergeCell ref="E9597:F9597"/>
    <mergeCell ref="E9598:F9598"/>
    <mergeCell ref="E9599:F9599"/>
    <mergeCell ref="E9600:H9600"/>
    <mergeCell ref="E9601:H9601"/>
    <mergeCell ref="E9613:H9613"/>
    <mergeCell ref="E9614:H9614"/>
    <mergeCell ref="E9615:H9615"/>
    <mergeCell ref="E9570:H9570"/>
    <mergeCell ref="E9568:F9568"/>
    <mergeCell ref="E9545:H9545"/>
    <mergeCell ref="E9531:H9531"/>
    <mergeCell ref="E9532:H9532"/>
    <mergeCell ref="E9533:H9533"/>
    <mergeCell ref="E9534:H9534"/>
    <mergeCell ref="E9535:H9535"/>
    <mergeCell ref="E9536:H9536"/>
    <mergeCell ref="E9538:H9538"/>
    <mergeCell ref="E9541:H9541"/>
    <mergeCell ref="E9542:H9542"/>
    <mergeCell ref="E9543:H9543"/>
    <mergeCell ref="E9544:H9544"/>
    <mergeCell ref="E9547:F9547"/>
    <mergeCell ref="E9548:F9548"/>
    <mergeCell ref="E9549:F9549"/>
    <mergeCell ref="E9550:F9550"/>
    <mergeCell ref="E9551:F9551"/>
    <mergeCell ref="E9552:F9552"/>
    <mergeCell ref="E9553:F9553"/>
    <mergeCell ref="E9563:H9563"/>
    <mergeCell ref="E9569:F9569"/>
    <mergeCell ref="E9578:F9578"/>
    <mergeCell ref="E9591:H9591"/>
    <mergeCell ref="E9586:F9586"/>
    <mergeCell ref="E9587:F9587"/>
    <mergeCell ref="E9588:F9588"/>
    <mergeCell ref="E9589:F9589"/>
    <mergeCell ref="E9590:F9590"/>
    <mergeCell ref="E9571:F9571"/>
    <mergeCell ref="E9508:F9508"/>
    <mergeCell ref="E9511:H9511"/>
    <mergeCell ref="E9512:H9512"/>
    <mergeCell ref="E9513:H9513"/>
    <mergeCell ref="E9514:H9514"/>
    <mergeCell ref="E9515:H9515"/>
    <mergeCell ref="E9516:H9516"/>
    <mergeCell ref="E9523:F9523"/>
    <mergeCell ref="E9525:F9525"/>
    <mergeCell ref="E9526:F9526"/>
    <mergeCell ref="E9527:F9527"/>
    <mergeCell ref="E9528:F9528"/>
    <mergeCell ref="E9582:H9582"/>
    <mergeCell ref="E9583:H9583"/>
    <mergeCell ref="E9584:H9584"/>
    <mergeCell ref="E9585:H9585"/>
    <mergeCell ref="E9564:F9564"/>
    <mergeCell ref="E9565:F9565"/>
    <mergeCell ref="E9567:F9567"/>
    <mergeCell ref="E9559:F9559"/>
    <mergeCell ref="E9560:F9560"/>
    <mergeCell ref="E9561:F9561"/>
    <mergeCell ref="E9562:F9562"/>
    <mergeCell ref="E9482:F9482"/>
    <mergeCell ref="E9488:F9488"/>
    <mergeCell ref="E9521:F9521"/>
    <mergeCell ref="E9522:F9522"/>
    <mergeCell ref="E9483:F9483"/>
    <mergeCell ref="E9479:F9479"/>
    <mergeCell ref="E9480:F9480"/>
    <mergeCell ref="E9485:F9485"/>
    <mergeCell ref="E9486:F9486"/>
    <mergeCell ref="E9487:F9487"/>
    <mergeCell ref="E9481:F9481"/>
    <mergeCell ref="E9509:H9509"/>
    <mergeCell ref="E9510:H9510"/>
    <mergeCell ref="E9517:F9517"/>
    <mergeCell ref="E9518:F9518"/>
    <mergeCell ref="E9519:F9519"/>
    <mergeCell ref="E9520:F9520"/>
    <mergeCell ref="E9504:H9504"/>
    <mergeCell ref="E9524:H9524"/>
    <mergeCell ref="E9592:F9592"/>
    <mergeCell ref="E9593:F9593"/>
    <mergeCell ref="E9463:F9463"/>
    <mergeCell ref="E9465:F9465"/>
    <mergeCell ref="E9437:F9437"/>
    <mergeCell ref="E9427:H9427"/>
    <mergeCell ref="E9428:H9428"/>
    <mergeCell ref="E9429:H9429"/>
    <mergeCell ref="E9430:H9430"/>
    <mergeCell ref="E9431:H9431"/>
    <mergeCell ref="E9472:H9472"/>
    <mergeCell ref="E9477:F9477"/>
    <mergeCell ref="E9478:F9478"/>
    <mergeCell ref="E9484:H9484"/>
    <mergeCell ref="E9489:H9489"/>
    <mergeCell ref="E9490:H9490"/>
    <mergeCell ref="E9491:H9491"/>
    <mergeCell ref="E9492:H9492"/>
    <mergeCell ref="E9493:H9493"/>
    <mergeCell ref="E9495:H9495"/>
    <mergeCell ref="E9475:H9475"/>
    <mergeCell ref="E9476:H9476"/>
    <mergeCell ref="E9473:H9473"/>
    <mergeCell ref="E9474:H9474"/>
    <mergeCell ref="E9496:H9496"/>
    <mergeCell ref="E9497:F9497"/>
    <mergeCell ref="E9498:F9498"/>
    <mergeCell ref="E9499:F9499"/>
    <mergeCell ref="E9500:F9500"/>
    <mergeCell ref="E9501:F9501"/>
    <mergeCell ref="E9502:F9502"/>
    <mergeCell ref="E9503:F9503"/>
    <mergeCell ref="E9505:F9505"/>
    <mergeCell ref="E9506:F9506"/>
    <mergeCell ref="E9507:F9507"/>
    <mergeCell ref="E9572:F9572"/>
    <mergeCell ref="E9573:F9573"/>
    <mergeCell ref="E9574:F9574"/>
    <mergeCell ref="E9575:F9575"/>
    <mergeCell ref="E9576:F9576"/>
    <mergeCell ref="E9577:F9577"/>
    <mergeCell ref="G9577:H9577"/>
    <mergeCell ref="E9579:H9579"/>
    <mergeCell ref="E9580:H9580"/>
    <mergeCell ref="E9581:H9581"/>
    <mergeCell ref="E9284:H9284"/>
    <mergeCell ref="E9289:F9289"/>
    <mergeCell ref="E9294:H9294"/>
    <mergeCell ref="E9295:H9295"/>
    <mergeCell ref="E9296:H9296"/>
    <mergeCell ref="E9297:H9297"/>
    <mergeCell ref="E9298:H9298"/>
    <mergeCell ref="E9264:H9264"/>
    <mergeCell ref="E9265:H9265"/>
    <mergeCell ref="E9266:H9266"/>
    <mergeCell ref="E9285:F9285"/>
    <mergeCell ref="E9274:F9274"/>
    <mergeCell ref="E9288:F9288"/>
    <mergeCell ref="E9291:F9291"/>
    <mergeCell ref="E9278:H9278"/>
    <mergeCell ref="E9301:H9301"/>
    <mergeCell ref="E9302:F9302"/>
    <mergeCell ref="E9303:F9303"/>
    <mergeCell ref="E9304:F9304"/>
    <mergeCell ref="E9305:F9305"/>
    <mergeCell ref="E9306:F9306"/>
    <mergeCell ref="E9307:F9307"/>
    <mergeCell ref="E9312:H9312"/>
    <mergeCell ref="E9308:F9308"/>
    <mergeCell ref="E9309:F9309"/>
    <mergeCell ref="E9310:F9310"/>
    <mergeCell ref="E9311:F9311"/>
    <mergeCell ref="E9299:H9299"/>
    <mergeCell ref="E9300:H9300"/>
    <mergeCell ref="E9286:F9286"/>
    <mergeCell ref="E9275:F9275"/>
    <mergeCell ref="E9279:H9279"/>
    <mergeCell ref="E9352:F9352"/>
    <mergeCell ref="E9323:F9323"/>
    <mergeCell ref="E9325:H9325"/>
    <mergeCell ref="E9326:H9326"/>
    <mergeCell ref="E9327:H9327"/>
    <mergeCell ref="E9329:F9329"/>
    <mergeCell ref="E9330:F9330"/>
    <mergeCell ref="E9331:F9331"/>
    <mergeCell ref="E9332:F9332"/>
    <mergeCell ref="E9333:F9333"/>
    <mergeCell ref="E9334:F9334"/>
    <mergeCell ref="E9335:F9335"/>
    <mergeCell ref="E9336:F9336"/>
    <mergeCell ref="E9337:F9337"/>
    <mergeCell ref="E9338:F9338"/>
    <mergeCell ref="E9339:F9339"/>
    <mergeCell ref="E9340:F9340"/>
    <mergeCell ref="E9341:F9341"/>
    <mergeCell ref="E9343:F9343"/>
    <mergeCell ref="E9344:F9344"/>
    <mergeCell ref="E9272:F9272"/>
    <mergeCell ref="E9280:H9280"/>
    <mergeCell ref="E9267:F9267"/>
    <mergeCell ref="E9268:F9268"/>
    <mergeCell ref="E9269:F9269"/>
    <mergeCell ref="E9270:F9270"/>
    <mergeCell ref="E9271:F9271"/>
    <mergeCell ref="E9112:H9112"/>
    <mergeCell ref="E9113:H9113"/>
    <mergeCell ref="E9114:H9114"/>
    <mergeCell ref="E9115:H9115"/>
    <mergeCell ref="E9123:F9123"/>
    <mergeCell ref="E9124:F9124"/>
    <mergeCell ref="E9127:H9127"/>
    <mergeCell ref="E9128:H9128"/>
    <mergeCell ref="E9135:F9135"/>
    <mergeCell ref="E9136:F9136"/>
    <mergeCell ref="E9137:F9137"/>
    <mergeCell ref="E9138:F9138"/>
    <mergeCell ref="E9139:F9139"/>
    <mergeCell ref="E9098:F9098"/>
    <mergeCell ref="E9099:F9099"/>
    <mergeCell ref="E9120:F9120"/>
    <mergeCell ref="E9121:F9121"/>
    <mergeCell ref="E9122:F9122"/>
    <mergeCell ref="E9129:H9129"/>
    <mergeCell ref="E9130:H9130"/>
    <mergeCell ref="E9131:H9131"/>
    <mergeCell ref="E9132:H9132"/>
    <mergeCell ref="E9133:H9133"/>
    <mergeCell ref="E9100:F9100"/>
    <mergeCell ref="E9101:F9101"/>
    <mergeCell ref="E9108:H9108"/>
    <mergeCell ref="E9117:F9117"/>
    <mergeCell ref="E9118:F9118"/>
    <mergeCell ref="E9119:F9119"/>
    <mergeCell ref="E9239:H9239"/>
    <mergeCell ref="E9240:H9240"/>
    <mergeCell ref="E9241:H9241"/>
    <mergeCell ref="E9242:H9242"/>
    <mergeCell ref="E9225:H9225"/>
    <mergeCell ref="E9226:H9226"/>
    <mergeCell ref="E9198:F9198"/>
    <mergeCell ref="E9190:F9190"/>
    <mergeCell ref="E9191:F9191"/>
    <mergeCell ref="E9155:F9155"/>
    <mergeCell ref="E9156:F9156"/>
    <mergeCell ref="E9125:F9125"/>
    <mergeCell ref="E9126:F9126"/>
    <mergeCell ref="E9134:H9134"/>
    <mergeCell ref="E9116:F9116"/>
    <mergeCell ref="E9140:F9140"/>
    <mergeCell ref="E9141:F9141"/>
    <mergeCell ref="E9142:F9142"/>
    <mergeCell ref="E9143:F9143"/>
    <mergeCell ref="E9147:H9147"/>
    <mergeCell ref="E9148:H9148"/>
    <mergeCell ref="E9149:H9149"/>
    <mergeCell ref="E9150:H9150"/>
    <mergeCell ref="E9151:H9151"/>
    <mergeCell ref="E9152:H9152"/>
    <mergeCell ref="E9153:H9153"/>
    <mergeCell ref="E9154:H9154"/>
    <mergeCell ref="E9162:H9162"/>
    <mergeCell ref="E9163:H9163"/>
    <mergeCell ref="E9166:F9166"/>
    <mergeCell ref="E9167:F9167"/>
    <mergeCell ref="E9168:F9168"/>
    <mergeCell ref="E9199:F9199"/>
    <mergeCell ref="E9200:F9200"/>
    <mergeCell ref="E9201:F9201"/>
    <mergeCell ref="E9103:F9103"/>
    <mergeCell ref="E9104:F9104"/>
    <mergeCell ref="E9105:F9105"/>
    <mergeCell ref="E9106:F9106"/>
    <mergeCell ref="E9107:F9107"/>
    <mergeCell ref="E9109:H9109"/>
    <mergeCell ref="E9110:H9110"/>
    <mergeCell ref="E9111:H9111"/>
    <mergeCell ref="E9040:F9040"/>
    <mergeCell ref="E9041:F9041"/>
    <mergeCell ref="E9042:F9042"/>
    <mergeCell ref="E9043:F9043"/>
    <mergeCell ref="E9044:F9044"/>
    <mergeCell ref="E9049:H9049"/>
    <mergeCell ref="E9050:H9050"/>
    <mergeCell ref="E9051:H9051"/>
    <mergeCell ref="E9059:F9059"/>
    <mergeCell ref="E9061:F9061"/>
    <mergeCell ref="E9064:F9064"/>
    <mergeCell ref="E9065:F9065"/>
    <mergeCell ref="E9066:F9066"/>
    <mergeCell ref="E9067:F9067"/>
    <mergeCell ref="E9068:F9068"/>
    <mergeCell ref="E9069:F9069"/>
    <mergeCell ref="E9074:H9074"/>
    <mergeCell ref="E9075:H9075"/>
    <mergeCell ref="E9076:H9076"/>
    <mergeCell ref="E9077:H9077"/>
    <mergeCell ref="E9078:H9078"/>
    <mergeCell ref="E9079:H9079"/>
    <mergeCell ref="E9080:H9080"/>
    <mergeCell ref="E9073:F9073"/>
    <mergeCell ref="E9070:F9070"/>
    <mergeCell ref="E9071:F9071"/>
    <mergeCell ref="E9046:F9046"/>
    <mergeCell ref="E9047:F9047"/>
    <mergeCell ref="E9048:F9048"/>
    <mergeCell ref="E9056:H9056"/>
    <mergeCell ref="E9057:H9057"/>
    <mergeCell ref="E9058:H9058"/>
    <mergeCell ref="E9053:H9053"/>
    <mergeCell ref="E9052:H9052"/>
    <mergeCell ref="E9045:F9045"/>
    <mergeCell ref="E9086:F9086"/>
    <mergeCell ref="E9089:H9089"/>
    <mergeCell ref="E9090:H9090"/>
    <mergeCell ref="E9091:H9091"/>
    <mergeCell ref="E9082:F9082"/>
    <mergeCell ref="E9083:F9083"/>
    <mergeCell ref="E9084:F9084"/>
    <mergeCell ref="E9085:F9085"/>
    <mergeCell ref="E9087:F9087"/>
    <mergeCell ref="E9088:F9088"/>
    <mergeCell ref="E9092:H9092"/>
    <mergeCell ref="E9093:H9093"/>
    <mergeCell ref="E9094:H9094"/>
    <mergeCell ref="E9095:H9095"/>
    <mergeCell ref="E9096:H9096"/>
    <mergeCell ref="E9097:F9097"/>
    <mergeCell ref="E9029:H9029"/>
    <mergeCell ref="E9030:H9030"/>
    <mergeCell ref="E9031:H9031"/>
    <mergeCell ref="E9032:H9032"/>
    <mergeCell ref="E9033:H9033"/>
    <mergeCell ref="E9034:H9034"/>
    <mergeCell ref="E9037:F9037"/>
    <mergeCell ref="E9038:F9038"/>
    <mergeCell ref="E9039:F9039"/>
    <mergeCell ref="E9035:F9035"/>
    <mergeCell ref="E9036:F9036"/>
    <mergeCell ref="E9054:H9054"/>
    <mergeCell ref="E9055:H9055"/>
    <mergeCell ref="E9025:F9025"/>
    <mergeCell ref="E8990:F8990"/>
    <mergeCell ref="E8992:F8992"/>
    <mergeCell ref="E9014:F9014"/>
    <mergeCell ref="E8910:F8910"/>
    <mergeCell ref="E8912:F8912"/>
    <mergeCell ref="E8913:F8913"/>
    <mergeCell ref="E8916:H8916"/>
    <mergeCell ref="E8917:H8917"/>
    <mergeCell ref="E8918:H8918"/>
    <mergeCell ref="E8919:H8919"/>
    <mergeCell ref="E8920:H8920"/>
    <mergeCell ref="E8921:H8921"/>
    <mergeCell ref="E8922:H8922"/>
    <mergeCell ref="E8923:H8923"/>
    <mergeCell ref="E8926:F8926"/>
    <mergeCell ref="E8927:F8927"/>
    <mergeCell ref="E8928:F8928"/>
    <mergeCell ref="E8929:F8929"/>
    <mergeCell ref="E8931:F8931"/>
    <mergeCell ref="E8932:F8932"/>
    <mergeCell ref="E8933:F8933"/>
    <mergeCell ref="E8935:H8935"/>
    <mergeCell ref="E8936:H8936"/>
    <mergeCell ref="E8948:H8948"/>
    <mergeCell ref="E8949:H8949"/>
    <mergeCell ref="E8950:H8950"/>
    <mergeCell ref="E8951:H8951"/>
    <mergeCell ref="E8934:F8934"/>
    <mergeCell ref="E8924:F8924"/>
    <mergeCell ref="E9001:H9001"/>
    <mergeCell ref="E9002:H9002"/>
    <mergeCell ref="E9003:H9003"/>
    <mergeCell ref="E9004:H9004"/>
    <mergeCell ref="E8989:F8989"/>
    <mergeCell ref="E8966:F8966"/>
    <mergeCell ref="E8983:F8983"/>
    <mergeCell ref="E8984:F8984"/>
    <mergeCell ref="E8985:F8985"/>
    <mergeCell ref="E8986:F8986"/>
    <mergeCell ref="E8943:F8943"/>
    <mergeCell ref="E8944:F8944"/>
    <mergeCell ref="E8957:H8957"/>
    <mergeCell ref="E8967:F8967"/>
    <mergeCell ref="E8942:H8942"/>
    <mergeCell ref="E8862:H8862"/>
    <mergeCell ref="E8866:F8866"/>
    <mergeCell ref="E8870:H8870"/>
    <mergeCell ref="E8872:F8872"/>
    <mergeCell ref="E8873:F8873"/>
    <mergeCell ref="E8874:F8874"/>
    <mergeCell ref="E8879:H8879"/>
    <mergeCell ref="E8880:H8880"/>
    <mergeCell ref="E8679:F8679"/>
    <mergeCell ref="E8736:F8736"/>
    <mergeCell ref="E8691:F8691"/>
    <mergeCell ref="E8680:F8680"/>
    <mergeCell ref="E8697:H8697"/>
    <mergeCell ref="E8700:F8700"/>
    <mergeCell ref="E8701:F8701"/>
    <mergeCell ref="E8702:F8702"/>
    <mergeCell ref="E8703:F8703"/>
    <mergeCell ref="E8704:F8704"/>
    <mergeCell ref="E8705:F8705"/>
    <mergeCell ref="E8748:F8748"/>
    <mergeCell ref="E8757:H8757"/>
    <mergeCell ref="E8798:F8798"/>
    <mergeCell ref="E8799:F8799"/>
    <mergeCell ref="E8762:H8762"/>
    <mergeCell ref="E8763:H8763"/>
    <mergeCell ref="E8764:H8764"/>
    <mergeCell ref="E8777:F8777"/>
    <mergeCell ref="E8894:F8894"/>
    <mergeCell ref="E8896:H8896"/>
    <mergeCell ref="E8897:H8897"/>
    <mergeCell ref="E8898:H8898"/>
    <mergeCell ref="E8903:F8903"/>
    <mergeCell ref="E8863:F8863"/>
    <mergeCell ref="E8864:F8864"/>
    <mergeCell ref="E8855:H8855"/>
    <mergeCell ref="E8849:F8849"/>
    <mergeCell ref="E8851:F8851"/>
    <mergeCell ref="E8852:F8852"/>
    <mergeCell ref="E8853:F8853"/>
    <mergeCell ref="E8854:F8854"/>
    <mergeCell ref="E8884:F8884"/>
    <mergeCell ref="E8885:F8885"/>
    <mergeCell ref="E8886:F8886"/>
    <mergeCell ref="E8887:F8887"/>
    <mergeCell ref="E8888:F8888"/>
    <mergeCell ref="E8895:H8895"/>
    <mergeCell ref="E8899:H8899"/>
    <mergeCell ref="E8900:H8900"/>
    <mergeCell ref="E8901:H8901"/>
    <mergeCell ref="E8754:H8754"/>
    <mergeCell ref="E8755:H8755"/>
    <mergeCell ref="E8842:F8842"/>
    <mergeCell ref="E8846:F8846"/>
    <mergeCell ref="E8847:F8847"/>
    <mergeCell ref="E8848:F8848"/>
    <mergeCell ref="E8850:H8850"/>
    <mergeCell ref="E8867:F8867"/>
    <mergeCell ref="E8868:F8868"/>
    <mergeCell ref="E8756:H8756"/>
    <mergeCell ref="E8758:H8758"/>
    <mergeCell ref="E8759:H8759"/>
    <mergeCell ref="E8760:H8760"/>
    <mergeCell ref="E8761:H8761"/>
    <mergeCell ref="E8771:H8771"/>
    <mergeCell ref="E8772:H8772"/>
    <mergeCell ref="E8781:H8781"/>
    <mergeCell ref="E8785:F8785"/>
    <mergeCell ref="E8803:H8803"/>
    <mergeCell ref="E8817:H8817"/>
    <mergeCell ref="E8827:H8827"/>
    <mergeCell ref="E8836:H8836"/>
    <mergeCell ref="E8844:F8844"/>
    <mergeCell ref="E8845:F8845"/>
    <mergeCell ref="E8814:H8814"/>
    <mergeCell ref="E8815:H8815"/>
    <mergeCell ref="E8819:F8819"/>
    <mergeCell ref="E8824:F8824"/>
    <mergeCell ref="E8825:F8825"/>
    <mergeCell ref="E8818:F8818"/>
    <mergeCell ref="E8497:H8497"/>
    <mergeCell ref="E8524:F8524"/>
    <mergeCell ref="E8525:F8525"/>
    <mergeCell ref="E8528:F8528"/>
    <mergeCell ref="E8765:H8765"/>
    <mergeCell ref="E8773:F8773"/>
    <mergeCell ref="E8774:F8774"/>
    <mergeCell ref="E8775:F8775"/>
    <mergeCell ref="E8563:H8563"/>
    <mergeCell ref="E8555:F8555"/>
    <mergeCell ref="E8557:H8557"/>
    <mergeCell ref="E8558:H8558"/>
    <mergeCell ref="E8559:H8559"/>
    <mergeCell ref="E8560:H8560"/>
    <mergeCell ref="E8561:H8561"/>
    <mergeCell ref="E8562:H8562"/>
    <mergeCell ref="E8565:F8565"/>
    <mergeCell ref="E8566:F8566"/>
    <mergeCell ref="E8567:F8567"/>
    <mergeCell ref="E8568:F8568"/>
    <mergeCell ref="E8569:F8569"/>
    <mergeCell ref="E8570:F8570"/>
    <mergeCell ref="E8571:F8571"/>
    <mergeCell ref="E8572:F8572"/>
    <mergeCell ref="E8574:F8574"/>
    <mergeCell ref="E8575:F8575"/>
    <mergeCell ref="E8576:F8576"/>
    <mergeCell ref="E8595:F8595"/>
    <mergeCell ref="E8601:H8601"/>
    <mergeCell ref="E8602:H8602"/>
    <mergeCell ref="E8603:H8603"/>
    <mergeCell ref="E8604:H8604"/>
    <mergeCell ref="E8605:H8605"/>
    <mergeCell ref="E8606:H8606"/>
    <mergeCell ref="E8607:H8607"/>
    <mergeCell ref="E8608:H8608"/>
    <mergeCell ref="E8612:F8612"/>
    <mergeCell ref="E8622:H8622"/>
    <mergeCell ref="E8624:H8624"/>
    <mergeCell ref="E8625:H8625"/>
    <mergeCell ref="E8626:H8626"/>
    <mergeCell ref="E8596:F8596"/>
    <mergeCell ref="E8597:F8597"/>
    <mergeCell ref="E8598:F8598"/>
    <mergeCell ref="E8599:F8599"/>
    <mergeCell ref="E8600:F8600"/>
    <mergeCell ref="E8609:F8609"/>
    <mergeCell ref="E8610:F8610"/>
    <mergeCell ref="E8611:F8611"/>
    <mergeCell ref="E8613:F8613"/>
    <mergeCell ref="E8614:F8614"/>
    <mergeCell ref="E8615:F8615"/>
    <mergeCell ref="E8616:F8616"/>
    <mergeCell ref="E8617:F8617"/>
    <mergeCell ref="E8618:F8618"/>
    <mergeCell ref="E8619:F8619"/>
    <mergeCell ref="E8620:F8620"/>
    <mergeCell ref="E8640:F8640"/>
    <mergeCell ref="E8693:F8693"/>
    <mergeCell ref="E8694:F8694"/>
    <mergeCell ref="E8698:H8698"/>
    <mergeCell ref="E8713:F8713"/>
    <mergeCell ref="E8714:F8714"/>
    <mergeCell ref="E8716:F8716"/>
    <mergeCell ref="E8621:F8621"/>
    <mergeCell ref="E8744:F8744"/>
    <mergeCell ref="E8745:F8745"/>
    <mergeCell ref="E8746:F8746"/>
    <mergeCell ref="E8747:F8747"/>
    <mergeCell ref="E8751:H8751"/>
    <mergeCell ref="E8766:H8766"/>
    <mergeCell ref="E8461:H8461"/>
    <mergeCell ref="E8512:F8512"/>
    <mergeCell ref="E8513:F8513"/>
    <mergeCell ref="E8514:F8514"/>
    <mergeCell ref="E8515:F8515"/>
    <mergeCell ref="E8516:F8516"/>
    <mergeCell ref="E8517:F8517"/>
    <mergeCell ref="G8517:H8517"/>
    <mergeCell ref="E8518:F8518"/>
    <mergeCell ref="E8519:F8519"/>
    <mergeCell ref="E8520:H8520"/>
    <mergeCell ref="E8521:H8521"/>
    <mergeCell ref="E8522:H8522"/>
    <mergeCell ref="E8526:H8526"/>
    <mergeCell ref="E8527:H8527"/>
    <mergeCell ref="E8529:F8529"/>
    <mergeCell ref="E8530:H8530"/>
    <mergeCell ref="E8531:H8531"/>
    <mergeCell ref="E8532:H8532"/>
    <mergeCell ref="E8533:H8533"/>
    <mergeCell ref="E8542:H8542"/>
    <mergeCell ref="E8543:H8543"/>
    <mergeCell ref="E8551:F8551"/>
    <mergeCell ref="E8556:F8556"/>
    <mergeCell ref="E8564:H8564"/>
    <mergeCell ref="E8573:F8573"/>
    <mergeCell ref="E8578:F8578"/>
    <mergeCell ref="E8586:H8586"/>
    <mergeCell ref="E8587:F8587"/>
    <mergeCell ref="E8590:F8590"/>
    <mergeCell ref="E8591:F8591"/>
    <mergeCell ref="E8592:F8592"/>
    <mergeCell ref="E8593:F8593"/>
    <mergeCell ref="E8462:H8462"/>
    <mergeCell ref="E8463:H8463"/>
    <mergeCell ref="E8472:F8472"/>
    <mergeCell ref="E8473:F8473"/>
    <mergeCell ref="E8484:F8484"/>
    <mergeCell ref="E8485:F8485"/>
    <mergeCell ref="E8487:H8487"/>
    <mergeCell ref="E8488:H8488"/>
    <mergeCell ref="E8489:H8489"/>
    <mergeCell ref="E8490:H8490"/>
    <mergeCell ref="E8491:H8491"/>
    <mergeCell ref="E8498:F8498"/>
    <mergeCell ref="E8499:F8499"/>
    <mergeCell ref="E8500:F8500"/>
    <mergeCell ref="E8466:F8466"/>
    <mergeCell ref="E8467:F8467"/>
    <mergeCell ref="E8468:F8468"/>
    <mergeCell ref="E8470:F8470"/>
    <mergeCell ref="E8471:F8471"/>
    <mergeCell ref="E8474:H8474"/>
    <mergeCell ref="E8475:H8475"/>
    <mergeCell ref="E8476:H8476"/>
    <mergeCell ref="E8477:H8477"/>
    <mergeCell ref="E8478:H8478"/>
    <mergeCell ref="E8482:F8482"/>
    <mergeCell ref="E8483:H8483"/>
    <mergeCell ref="E8486:H8486"/>
    <mergeCell ref="E8492:F8492"/>
    <mergeCell ref="E8353:H8353"/>
    <mergeCell ref="E8358:H8358"/>
    <mergeCell ref="E8359:H8359"/>
    <mergeCell ref="E8369:F8369"/>
    <mergeCell ref="E8370:F8370"/>
    <mergeCell ref="E8371:F8371"/>
    <mergeCell ref="E8372:F8372"/>
    <mergeCell ref="E8400:H8400"/>
    <mergeCell ref="E8401:H8401"/>
    <mergeCell ref="E8402:H8402"/>
    <mergeCell ref="E8403:H8403"/>
    <mergeCell ref="E8404:H8404"/>
    <mergeCell ref="E8405:H8405"/>
    <mergeCell ref="E8429:F8429"/>
    <mergeCell ref="E8430:F8430"/>
    <mergeCell ref="E8431:F8431"/>
    <mergeCell ref="E8432:F8432"/>
    <mergeCell ref="E8434:F8434"/>
    <mergeCell ref="E8435:F8435"/>
    <mergeCell ref="E8436:F8436"/>
    <mergeCell ref="E8437:F8437"/>
    <mergeCell ref="E8438:H8438"/>
    <mergeCell ref="E8439:H8439"/>
    <mergeCell ref="E8440:H8440"/>
    <mergeCell ref="E8441:H8441"/>
    <mergeCell ref="E8442:H8442"/>
    <mergeCell ref="E8443:H8443"/>
    <mergeCell ref="E8444:H8444"/>
    <mergeCell ref="E8445:H8445"/>
    <mergeCell ref="E8446:F8446"/>
    <mergeCell ref="E8447:F8447"/>
    <mergeCell ref="E8448:F8448"/>
    <mergeCell ref="E8449:F8449"/>
    <mergeCell ref="E8426:H8426"/>
    <mergeCell ref="E8427:H8427"/>
    <mergeCell ref="E8451:H8451"/>
    <mergeCell ref="E8457:H8457"/>
    <mergeCell ref="E8458:H8458"/>
    <mergeCell ref="E8397:F8397"/>
    <mergeCell ref="E8398:F8398"/>
    <mergeCell ref="E8407:H8407"/>
    <mergeCell ref="E8409:F8409"/>
    <mergeCell ref="E8415:H8415"/>
    <mergeCell ref="E8420:H8420"/>
    <mergeCell ref="E8421:H8421"/>
    <mergeCell ref="E8269:F8269"/>
    <mergeCell ref="E8272:F8272"/>
    <mergeCell ref="E8258:H8258"/>
    <mergeCell ref="E8259:H8259"/>
    <mergeCell ref="E8260:H8260"/>
    <mergeCell ref="E8261:H8261"/>
    <mergeCell ref="E8262:F8262"/>
    <mergeCell ref="E8256:H8256"/>
    <mergeCell ref="E8188:F8188"/>
    <mergeCell ref="E8189:F8189"/>
    <mergeCell ref="E8190:F8190"/>
    <mergeCell ref="E8191:F8191"/>
    <mergeCell ref="E8192:F8192"/>
    <mergeCell ref="E8194:H8194"/>
    <mergeCell ref="E8195:H8195"/>
    <mergeCell ref="E8196:H8196"/>
    <mergeCell ref="E8197:H8197"/>
    <mergeCell ref="E8355:F8355"/>
    <mergeCell ref="E8356:F8356"/>
    <mergeCell ref="E8357:F8357"/>
    <mergeCell ref="E8360:H8360"/>
    <mergeCell ref="E8361:H8361"/>
    <mergeCell ref="E8362:H8362"/>
    <mergeCell ref="E8363:H8363"/>
    <mergeCell ref="E8364:H8364"/>
    <mergeCell ref="E8366:F8366"/>
    <mergeCell ref="E8367:F8367"/>
    <mergeCell ref="E8368:F8368"/>
    <mergeCell ref="E8373:H8373"/>
    <mergeCell ref="E8224:F8224"/>
    <mergeCell ref="E8235:H8235"/>
    <mergeCell ref="E8236:H8236"/>
    <mergeCell ref="E8237:H8237"/>
    <mergeCell ref="E8238:H8238"/>
    <mergeCell ref="E8243:F8243"/>
    <mergeCell ref="E8314:H8314"/>
    <mergeCell ref="E8315:H8315"/>
    <mergeCell ref="E8282:F8282"/>
    <mergeCell ref="E8283:F8283"/>
    <mergeCell ref="E8285:F8285"/>
    <mergeCell ref="E8317:F8317"/>
    <mergeCell ref="E8318:F8318"/>
    <mergeCell ref="E8319:F8319"/>
    <mergeCell ref="E8320:F8320"/>
    <mergeCell ref="E8321:F8321"/>
    <mergeCell ref="E8296:F8296"/>
    <mergeCell ref="E8297:F8297"/>
    <mergeCell ref="E8298:F8298"/>
    <mergeCell ref="E8299:F8299"/>
    <mergeCell ref="E8300:F8300"/>
    <mergeCell ref="E8326:F8326"/>
    <mergeCell ref="E8306:F8306"/>
    <mergeCell ref="E8049:H8049"/>
    <mergeCell ref="E8083:F8083"/>
    <mergeCell ref="E8084:F8084"/>
    <mergeCell ref="E8055:H8055"/>
    <mergeCell ref="E8092:H8092"/>
    <mergeCell ref="E8179:H8179"/>
    <mergeCell ref="E8180:H8180"/>
    <mergeCell ref="E8181:H8181"/>
    <mergeCell ref="E8182:F8182"/>
    <mergeCell ref="E8152:H8152"/>
    <mergeCell ref="E8153:H8153"/>
    <mergeCell ref="E8154:H8154"/>
    <mergeCell ref="E8155:H8155"/>
    <mergeCell ref="E8159:H8159"/>
    <mergeCell ref="E8160:H8160"/>
    <mergeCell ref="E8161:H8161"/>
    <mergeCell ref="E8162:H8162"/>
    <mergeCell ref="E8392:F8392"/>
    <mergeCell ref="E8393:F8393"/>
    <mergeCell ref="E8395:F8395"/>
    <mergeCell ref="E8323:F8323"/>
    <mergeCell ref="E8281:F8281"/>
    <mergeCell ref="E8277:H8277"/>
    <mergeCell ref="E8278:H8278"/>
    <mergeCell ref="E8279:H8279"/>
    <mergeCell ref="E8280:H8280"/>
    <mergeCell ref="E8286:H8286"/>
    <mergeCell ref="E8377:F8377"/>
    <mergeCell ref="E8386:H8386"/>
    <mergeCell ref="E8387:H8387"/>
    <mergeCell ref="E8307:F8307"/>
    <mergeCell ref="E8312:H8312"/>
    <mergeCell ref="E8313:H8313"/>
    <mergeCell ref="E8129:F8129"/>
    <mergeCell ref="E8130:F8130"/>
    <mergeCell ref="E8131:F8131"/>
    <mergeCell ref="E8132:F8132"/>
    <mergeCell ref="E8145:F8145"/>
    <mergeCell ref="E8146:F8146"/>
    <mergeCell ref="E8185:F8185"/>
    <mergeCell ref="E8186:F8186"/>
    <mergeCell ref="E8204:F8204"/>
    <mergeCell ref="E8205:F8205"/>
    <mergeCell ref="E8206:F8206"/>
    <mergeCell ref="E8193:F8193"/>
    <mergeCell ref="E8233:F8233"/>
    <mergeCell ref="E8234:F8234"/>
    <mergeCell ref="E8239:H8239"/>
    <mergeCell ref="E8240:H8240"/>
    <mergeCell ref="E8241:H8241"/>
    <mergeCell ref="E8242:H8242"/>
    <mergeCell ref="E8217:H8217"/>
    <mergeCell ref="E8270:F8270"/>
    <mergeCell ref="E8271:F8271"/>
    <mergeCell ref="E8273:H8273"/>
    <mergeCell ref="E8274:H8274"/>
    <mergeCell ref="E8275:H8275"/>
    <mergeCell ref="E8276:H8276"/>
    <mergeCell ref="E8263:F8263"/>
    <mergeCell ref="E8264:F8264"/>
    <mergeCell ref="E8265:F8265"/>
    <mergeCell ref="E8266:F8266"/>
    <mergeCell ref="E8267:F8267"/>
    <mergeCell ref="E8268:F8268"/>
    <mergeCell ref="E8073:H8073"/>
    <mergeCell ref="E8074:H8074"/>
    <mergeCell ref="E8080:F8080"/>
    <mergeCell ref="E8081:F8081"/>
    <mergeCell ref="E8082:F8082"/>
    <mergeCell ref="E8098:H8098"/>
    <mergeCell ref="E8099:H8099"/>
    <mergeCell ref="E8102:F8102"/>
    <mergeCell ref="E8103:F8103"/>
    <mergeCell ref="E8104:F8104"/>
    <mergeCell ref="E8100:H8100"/>
    <mergeCell ref="E8057:F8057"/>
    <mergeCell ref="E8058:F8058"/>
    <mergeCell ref="E8059:F8059"/>
    <mergeCell ref="E8060:F8060"/>
    <mergeCell ref="E8061:F8061"/>
    <mergeCell ref="E8067:H8067"/>
    <mergeCell ref="E8068:H8068"/>
    <mergeCell ref="E8069:H8069"/>
    <mergeCell ref="E8070:H8070"/>
    <mergeCell ref="E8071:H8071"/>
    <mergeCell ref="E8075:F8075"/>
    <mergeCell ref="E8076:F8076"/>
    <mergeCell ref="E8077:F8077"/>
    <mergeCell ref="E8078:F8078"/>
    <mergeCell ref="E8079:F8079"/>
    <mergeCell ref="E8085:H8085"/>
    <mergeCell ref="E8086:H8086"/>
    <mergeCell ref="E8087:H8087"/>
    <mergeCell ref="E8088:H8088"/>
    <mergeCell ref="E8089:H8089"/>
    <mergeCell ref="E8090:H8090"/>
    <mergeCell ref="E8093:F8093"/>
    <mergeCell ref="E8095:F8095"/>
    <mergeCell ref="E8096:F8096"/>
    <mergeCell ref="E8091:H8091"/>
    <mergeCell ref="E7675:H7675"/>
    <mergeCell ref="E7676:H7676"/>
    <mergeCell ref="E7677:H7677"/>
    <mergeCell ref="E7678:H7678"/>
    <mergeCell ref="E7684:F7684"/>
    <mergeCell ref="E7685:F7685"/>
    <mergeCell ref="E7686:F7686"/>
    <mergeCell ref="E7688:F7688"/>
    <mergeCell ref="E7689:F7689"/>
    <mergeCell ref="E7943:F7943"/>
    <mergeCell ref="E7944:F7944"/>
    <mergeCell ref="E7749:F7749"/>
    <mergeCell ref="E7752:F7752"/>
    <mergeCell ref="E7945:F7945"/>
    <mergeCell ref="E7946:F7946"/>
    <mergeCell ref="E7947:F7947"/>
    <mergeCell ref="E7948:F7948"/>
    <mergeCell ref="E8174:H8174"/>
    <mergeCell ref="E8175:H8175"/>
    <mergeCell ref="E8176:H8176"/>
    <mergeCell ref="E8177:H8177"/>
    <mergeCell ref="E8178:H8178"/>
    <mergeCell ref="E8105:F8105"/>
    <mergeCell ref="E8106:F8106"/>
    <mergeCell ref="E8107:F8107"/>
    <mergeCell ref="E8108:F8108"/>
    <mergeCell ref="E8109:F8109"/>
    <mergeCell ref="E8110:F8110"/>
    <mergeCell ref="E8144:H8144"/>
    <mergeCell ref="E8156:H8156"/>
    <mergeCell ref="E8157:H8157"/>
    <mergeCell ref="E8158:H8158"/>
    <mergeCell ref="E8170:F8170"/>
    <mergeCell ref="E8171:F8171"/>
    <mergeCell ref="E8172:F8172"/>
    <mergeCell ref="E8120:F8120"/>
    <mergeCell ref="E8121:F8121"/>
    <mergeCell ref="E8122:F8122"/>
    <mergeCell ref="E8125:H8125"/>
    <mergeCell ref="E8126:H8126"/>
    <mergeCell ref="E8127:H8127"/>
    <mergeCell ref="E8128:H8128"/>
    <mergeCell ref="E8138:F8138"/>
    <mergeCell ref="E8139:F8139"/>
    <mergeCell ref="E8140:F8140"/>
    <mergeCell ref="E8141:F8141"/>
    <mergeCell ref="E8142:F8142"/>
    <mergeCell ref="E8149:H8149"/>
    <mergeCell ref="E8163:F8163"/>
    <mergeCell ref="E8164:F8164"/>
    <mergeCell ref="E8165:F8165"/>
    <mergeCell ref="E8166:F8166"/>
    <mergeCell ref="E8167:F8167"/>
    <mergeCell ref="E8134:F8134"/>
    <mergeCell ref="E8135:F8135"/>
    <mergeCell ref="E8147:F8147"/>
    <mergeCell ref="E8148:F8148"/>
    <mergeCell ref="E8151:H8151"/>
    <mergeCell ref="E8062:F8062"/>
    <mergeCell ref="E8063:F8063"/>
    <mergeCell ref="E8065:F8065"/>
    <mergeCell ref="E8066:F8066"/>
    <mergeCell ref="E8001:F8001"/>
    <mergeCell ref="E8002:F8002"/>
    <mergeCell ref="E7615:H7615"/>
    <mergeCell ref="E7619:F7619"/>
    <mergeCell ref="E7620:F7620"/>
    <mergeCell ref="E7621:F7621"/>
    <mergeCell ref="E7622:F7622"/>
    <mergeCell ref="E7623:F7623"/>
    <mergeCell ref="E7624:F7624"/>
    <mergeCell ref="E7625:F7625"/>
    <mergeCell ref="E7626:F7626"/>
    <mergeCell ref="E7627:F7627"/>
    <mergeCell ref="E7628:F7628"/>
    <mergeCell ref="E7616:H7616"/>
    <mergeCell ref="E7617:H7617"/>
    <mergeCell ref="E8004:F8004"/>
    <mergeCell ref="E8005:F8005"/>
    <mergeCell ref="E7949:F7949"/>
    <mergeCell ref="E7951:F7951"/>
    <mergeCell ref="E7957:H7957"/>
    <mergeCell ref="E8006:F8006"/>
    <mergeCell ref="E7952:H7952"/>
    <mergeCell ref="E7975:H7975"/>
    <mergeCell ref="E7966:F7966"/>
    <mergeCell ref="E7967:F7967"/>
    <mergeCell ref="E7968:F7968"/>
    <mergeCell ref="E7969:F7969"/>
    <mergeCell ref="E7970:F7970"/>
    <mergeCell ref="E7629:F7629"/>
    <mergeCell ref="E7642:H7642"/>
    <mergeCell ref="E7643:H7643"/>
    <mergeCell ref="E7644:H7644"/>
    <mergeCell ref="E7645:H7645"/>
    <mergeCell ref="E7646:H7646"/>
    <mergeCell ref="E7648:F7648"/>
    <mergeCell ref="E7649:F7649"/>
    <mergeCell ref="E7650:F7650"/>
    <mergeCell ref="E7651:F7651"/>
    <mergeCell ref="E7652:F7652"/>
    <mergeCell ref="E7653:F7653"/>
    <mergeCell ref="E7654:F7654"/>
    <mergeCell ref="E7655:F7655"/>
    <mergeCell ref="E7662:H7662"/>
    <mergeCell ref="E7665:H7665"/>
    <mergeCell ref="E7666:H7666"/>
    <mergeCell ref="E7667:H7667"/>
    <mergeCell ref="E7668:H7668"/>
    <mergeCell ref="E7669:H7669"/>
    <mergeCell ref="E7670:H7670"/>
    <mergeCell ref="E7671:H7671"/>
    <mergeCell ref="E7672:H7672"/>
    <mergeCell ref="E7673:H7673"/>
    <mergeCell ref="E7679:F7679"/>
    <mergeCell ref="E7680:F7680"/>
    <mergeCell ref="E7681:F7681"/>
    <mergeCell ref="E7682:F7682"/>
    <mergeCell ref="E7683:F7683"/>
    <mergeCell ref="E7690:H7690"/>
    <mergeCell ref="E7691:H7691"/>
    <mergeCell ref="E7692:H7692"/>
    <mergeCell ref="E7693:H7693"/>
    <mergeCell ref="E7630:F7630"/>
    <mergeCell ref="E7663:F7663"/>
    <mergeCell ref="E7659:F7659"/>
    <mergeCell ref="E7660:F7660"/>
    <mergeCell ref="E7674:H7674"/>
    <mergeCell ref="E7591:F7591"/>
    <mergeCell ref="E7592:F7592"/>
    <mergeCell ref="E7593:F7593"/>
    <mergeCell ref="E7594:F7594"/>
    <mergeCell ref="E7595:F7595"/>
    <mergeCell ref="E7596:F7596"/>
    <mergeCell ref="E7597:F7597"/>
    <mergeCell ref="E7602:H7602"/>
    <mergeCell ref="E7603:H7603"/>
    <mergeCell ref="E7604:H7604"/>
    <mergeCell ref="E7605:H7605"/>
    <mergeCell ref="E7539:H7539"/>
    <mergeCell ref="E7540:H7540"/>
    <mergeCell ref="E7541:H7541"/>
    <mergeCell ref="E7542:H7542"/>
    <mergeCell ref="E7556:F7556"/>
    <mergeCell ref="E7557:F7557"/>
    <mergeCell ref="E7573:F7573"/>
    <mergeCell ref="E7574:F7574"/>
    <mergeCell ref="E7575:F7575"/>
    <mergeCell ref="E7576:F7576"/>
    <mergeCell ref="E7577:F7577"/>
    <mergeCell ref="E7578:F7578"/>
    <mergeCell ref="E7579:F7579"/>
    <mergeCell ref="E7588:F7588"/>
    <mergeCell ref="E7589:F7589"/>
    <mergeCell ref="E7598:F7598"/>
    <mergeCell ref="E7606:H7606"/>
    <mergeCell ref="E7607:H7607"/>
    <mergeCell ref="E7608:H7608"/>
    <mergeCell ref="E7609:H7609"/>
    <mergeCell ref="E7612:F7612"/>
    <mergeCell ref="E7613:F7613"/>
    <mergeCell ref="E7549:F7549"/>
    <mergeCell ref="E7550:F7550"/>
    <mergeCell ref="E7590:F7590"/>
    <mergeCell ref="E7582:H7582"/>
    <mergeCell ref="E7600:F7600"/>
    <mergeCell ref="E7429:H7429"/>
    <mergeCell ref="E7435:F7435"/>
    <mergeCell ref="E7437:F7437"/>
    <mergeCell ref="E7438:F7438"/>
    <mergeCell ref="E7424:F7424"/>
    <mergeCell ref="E7425:F7425"/>
    <mergeCell ref="E7426:F7426"/>
    <mergeCell ref="E7433:H7433"/>
    <mergeCell ref="E7434:H7434"/>
    <mergeCell ref="E7446:F7446"/>
    <mergeCell ref="E7447:F7447"/>
    <mergeCell ref="E7450:F7450"/>
    <mergeCell ref="E7451:F7451"/>
    <mergeCell ref="E7522:F7522"/>
    <mergeCell ref="E7523:F7523"/>
    <mergeCell ref="E7524:F7524"/>
    <mergeCell ref="E7525:F7525"/>
    <mergeCell ref="E7526:F7526"/>
    <mergeCell ref="E7528:H7528"/>
    <mergeCell ref="E7533:H7533"/>
    <mergeCell ref="E7534:H7534"/>
    <mergeCell ref="E7535:H7535"/>
    <mergeCell ref="E7514:H7514"/>
    <mergeCell ref="E7515:H7515"/>
    <mergeCell ref="E7516:H7516"/>
    <mergeCell ref="E7517:H7517"/>
    <mergeCell ref="E7520:F7520"/>
    <mergeCell ref="E7521:F7521"/>
    <mergeCell ref="E7554:F7554"/>
    <mergeCell ref="E7555:F7555"/>
    <mergeCell ref="E7558:H7558"/>
    <mergeCell ref="E7559:H7559"/>
    <mergeCell ref="E7560:H7560"/>
    <mergeCell ref="E7478:H7478"/>
    <mergeCell ref="E7481:H7481"/>
    <mergeCell ref="E7482:H7482"/>
    <mergeCell ref="E7483:H7483"/>
    <mergeCell ref="E7511:H7511"/>
    <mergeCell ref="E7512:H7512"/>
    <mergeCell ref="E7513:H7513"/>
    <mergeCell ref="E7494:H7494"/>
    <mergeCell ref="E7498:F7498"/>
    <mergeCell ref="E7499:F7499"/>
    <mergeCell ref="E7500:F7500"/>
    <mergeCell ref="E7501:F7501"/>
    <mergeCell ref="E7502:F7502"/>
    <mergeCell ref="E7503:F7503"/>
    <mergeCell ref="E7504:F7504"/>
    <mergeCell ref="E7510:H7510"/>
    <mergeCell ref="E7536:H7536"/>
    <mergeCell ref="E7537:H7537"/>
    <mergeCell ref="E7538:H7538"/>
    <mergeCell ref="E7543:F7543"/>
    <mergeCell ref="E7544:F7544"/>
    <mergeCell ref="E7545:F7545"/>
    <mergeCell ref="E7546:F7546"/>
    <mergeCell ref="E7548:F7548"/>
    <mergeCell ref="E7551:F7551"/>
    <mergeCell ref="E7552:F7552"/>
    <mergeCell ref="E7553:F7553"/>
    <mergeCell ref="E7531:F7531"/>
    <mergeCell ref="E7532:F7532"/>
    <mergeCell ref="E7529:F7529"/>
    <mergeCell ref="E7530:F7530"/>
    <mergeCell ref="E7245:F7245"/>
    <mergeCell ref="E7246:F7246"/>
    <mergeCell ref="E7253:H7253"/>
    <mergeCell ref="E7254:H7254"/>
    <mergeCell ref="E7255:H7255"/>
    <mergeCell ref="E7256:H7256"/>
    <mergeCell ref="E7257:H7257"/>
    <mergeCell ref="E7258:H7258"/>
    <mergeCell ref="E7263:F7263"/>
    <mergeCell ref="E7264:F7264"/>
    <mergeCell ref="E7247:F7247"/>
    <mergeCell ref="E7248:F7248"/>
    <mergeCell ref="E7249:F7249"/>
    <mergeCell ref="E7250:F7250"/>
    <mergeCell ref="E7259:H7259"/>
    <mergeCell ref="E7251:F7251"/>
    <mergeCell ref="E7480:F7480"/>
    <mergeCell ref="E7484:H7484"/>
    <mergeCell ref="E7485:H7485"/>
    <mergeCell ref="E7486:H7486"/>
    <mergeCell ref="E7487:H7487"/>
    <mergeCell ref="E7488:H7488"/>
    <mergeCell ref="E7431:H7431"/>
    <mergeCell ref="E7418:F7418"/>
    <mergeCell ref="E7351:F7351"/>
    <mergeCell ref="E7430:H7430"/>
    <mergeCell ref="E7333:F7333"/>
    <mergeCell ref="E7290:F7290"/>
    <mergeCell ref="E7396:F7396"/>
    <mergeCell ref="E7398:F7398"/>
    <mergeCell ref="E7399:F7399"/>
    <mergeCell ref="E7383:H7383"/>
    <mergeCell ref="E7384:H7384"/>
    <mergeCell ref="E7397:F7397"/>
    <mergeCell ref="E7394:F7394"/>
    <mergeCell ref="E7411:H7411"/>
    <mergeCell ref="E7412:H7412"/>
    <mergeCell ref="E7419:F7419"/>
    <mergeCell ref="E7421:F7421"/>
    <mergeCell ref="E7391:F7391"/>
    <mergeCell ref="E7392:F7392"/>
    <mergeCell ref="E7393:F7393"/>
    <mergeCell ref="E7405:H7405"/>
    <mergeCell ref="E7406:H7406"/>
    <mergeCell ref="E7420:F7420"/>
    <mergeCell ref="E7271:F7271"/>
    <mergeCell ref="E7252:F7252"/>
    <mergeCell ref="E7260:H7260"/>
    <mergeCell ref="E7267:H7267"/>
    <mergeCell ref="E7268:H7268"/>
    <mergeCell ref="E7278:F7278"/>
    <mergeCell ref="E7379:F7379"/>
    <mergeCell ref="E7337:H7337"/>
    <mergeCell ref="E7376:F7376"/>
    <mergeCell ref="E7377:F7377"/>
    <mergeCell ref="E7380:F7380"/>
    <mergeCell ref="E7381:F7381"/>
    <mergeCell ref="E7382:F7382"/>
    <mergeCell ref="E7407:H7407"/>
    <mergeCell ref="E7413:F7413"/>
    <mergeCell ref="E7414:F7414"/>
    <mergeCell ref="E7415:F7415"/>
    <mergeCell ref="E7427:H7427"/>
    <mergeCell ref="E7428:H7428"/>
    <mergeCell ref="E7029:H7029"/>
    <mergeCell ref="E7030:H7030"/>
    <mergeCell ref="E7031:H7031"/>
    <mergeCell ref="E7032:H7032"/>
    <mergeCell ref="E7033:H7033"/>
    <mergeCell ref="E7037:F7037"/>
    <mergeCell ref="E7038:F7038"/>
    <mergeCell ref="E7053:H7053"/>
    <mergeCell ref="E7055:H7055"/>
    <mergeCell ref="E7056:H7056"/>
    <mergeCell ref="E7057:H7057"/>
    <mergeCell ref="E7058:H7058"/>
    <mergeCell ref="E7046:F7046"/>
    <mergeCell ref="E7017:F7017"/>
    <mergeCell ref="E7012:H7012"/>
    <mergeCell ref="E7013:H7013"/>
    <mergeCell ref="E7014:H7014"/>
    <mergeCell ref="E7016:F7016"/>
    <mergeCell ref="E7021:F7021"/>
    <mergeCell ref="E7022:F7022"/>
    <mergeCell ref="E7023:F7023"/>
    <mergeCell ref="E7025:F7025"/>
    <mergeCell ref="E7026:F7026"/>
    <mergeCell ref="E7027:F7027"/>
    <mergeCell ref="E7028:F7028"/>
    <mergeCell ref="E7035:H7035"/>
    <mergeCell ref="E7036:H7036"/>
    <mergeCell ref="E7034:H7034"/>
    <mergeCell ref="E7039:F7039"/>
    <mergeCell ref="E7043:F7043"/>
    <mergeCell ref="E7049:F7049"/>
    <mergeCell ref="E7050:F7050"/>
    <mergeCell ref="E7051:F7051"/>
    <mergeCell ref="E7052:F7052"/>
    <mergeCell ref="E7018:F7018"/>
    <mergeCell ref="E7019:F7019"/>
    <mergeCell ref="E7020:F7020"/>
    <mergeCell ref="E7045:F7045"/>
    <mergeCell ref="E7054:H7054"/>
    <mergeCell ref="E7044:F7044"/>
    <mergeCell ref="E6983:F6983"/>
    <mergeCell ref="E6984:F6984"/>
    <mergeCell ref="E6985:F6985"/>
    <mergeCell ref="E6986:H6986"/>
    <mergeCell ref="E6934:F6934"/>
    <mergeCell ref="E6935:F6935"/>
    <mergeCell ref="E7007:F7007"/>
    <mergeCell ref="E6994:F6994"/>
    <mergeCell ref="E6953:F6953"/>
    <mergeCell ref="E6962:H6962"/>
    <mergeCell ref="E6970:F6970"/>
    <mergeCell ref="E6971:F6971"/>
    <mergeCell ref="E6972:F6972"/>
    <mergeCell ref="E6973:F6973"/>
    <mergeCell ref="E6976:F6976"/>
    <mergeCell ref="E6977:F6977"/>
    <mergeCell ref="E6978:F6978"/>
    <mergeCell ref="E6956:F6956"/>
    <mergeCell ref="E6955:F6955"/>
    <mergeCell ref="E6942:H6942"/>
    <mergeCell ref="E6943:H6943"/>
    <mergeCell ref="E6946:F6946"/>
    <mergeCell ref="E6947:F6947"/>
    <mergeCell ref="E6948:F6948"/>
    <mergeCell ref="E6949:F6949"/>
    <mergeCell ref="E6950:F6950"/>
    <mergeCell ref="E6987:H6987"/>
    <mergeCell ref="E6988:H6988"/>
    <mergeCell ref="E6989:H6989"/>
    <mergeCell ref="E6990:H6990"/>
    <mergeCell ref="E6991:H6991"/>
    <mergeCell ref="E6992:H6992"/>
    <mergeCell ref="E6993:H6993"/>
    <mergeCell ref="E6999:F6999"/>
    <mergeCell ref="E7000:F7000"/>
    <mergeCell ref="E7001:F7001"/>
    <mergeCell ref="E7002:F7002"/>
    <mergeCell ref="E7003:F7003"/>
    <mergeCell ref="E7004:F7004"/>
    <mergeCell ref="E7005:F7005"/>
    <mergeCell ref="E7006:F7006"/>
    <mergeCell ref="E6974:F6974"/>
    <mergeCell ref="E6975:F6975"/>
    <mergeCell ref="E6998:F6998"/>
    <mergeCell ref="E6951:F6951"/>
    <mergeCell ref="E6952:F6952"/>
    <mergeCell ref="E6954:F6954"/>
    <mergeCell ref="E6957:F6957"/>
    <mergeCell ref="E6963:H6963"/>
    <mergeCell ref="E6964:H6964"/>
    <mergeCell ref="E6965:H6965"/>
    <mergeCell ref="E6822:F6822"/>
    <mergeCell ref="E6823:F6823"/>
    <mergeCell ref="E6847:F6847"/>
    <mergeCell ref="E6848:F6848"/>
    <mergeCell ref="E6849:F6849"/>
    <mergeCell ref="E6850:F6850"/>
    <mergeCell ref="E6851:F6851"/>
    <mergeCell ref="E6852:F6852"/>
    <mergeCell ref="E6853:F6853"/>
    <mergeCell ref="E6854:F6854"/>
    <mergeCell ref="E6855:H6855"/>
    <mergeCell ref="E6856:H6856"/>
    <mergeCell ref="E6857:H6857"/>
    <mergeCell ref="E6858:H6858"/>
    <mergeCell ref="E6859:H6859"/>
    <mergeCell ref="E6860:H6860"/>
    <mergeCell ref="E6861:H6861"/>
    <mergeCell ref="E6862:H6862"/>
    <mergeCell ref="E6863:H6863"/>
    <mergeCell ref="E6864:H6864"/>
    <mergeCell ref="E6869:F6869"/>
    <mergeCell ref="E6805:F6805"/>
    <mergeCell ref="E6815:F6815"/>
    <mergeCell ref="E6844:F6844"/>
    <mergeCell ref="E6845:F6845"/>
    <mergeCell ref="E6846:F6846"/>
    <mergeCell ref="E6842:F6842"/>
    <mergeCell ref="E6843:F6843"/>
    <mergeCell ref="E6831:H6831"/>
    <mergeCell ref="E6870:F6870"/>
    <mergeCell ref="E6871:F6871"/>
    <mergeCell ref="E6872:F6872"/>
    <mergeCell ref="E6873:F6873"/>
    <mergeCell ref="E6833:H6833"/>
    <mergeCell ref="E6865:F6865"/>
    <mergeCell ref="E6835:F6835"/>
    <mergeCell ref="E6836:F6836"/>
    <mergeCell ref="E6825:H6825"/>
    <mergeCell ref="E6826:H6826"/>
    <mergeCell ref="E6827:H6827"/>
    <mergeCell ref="E6828:H6828"/>
    <mergeCell ref="E6829:H6829"/>
    <mergeCell ref="E6830:H6830"/>
    <mergeCell ref="E6834:F6834"/>
    <mergeCell ref="E6840:F6840"/>
    <mergeCell ref="E6841:F6841"/>
    <mergeCell ref="E6866:F6866"/>
    <mergeCell ref="E6838:F6838"/>
    <mergeCell ref="E6839:F6839"/>
    <mergeCell ref="E6824:H6824"/>
    <mergeCell ref="E6837:F6837"/>
    <mergeCell ref="E6867:F6867"/>
    <mergeCell ref="E6868:F6868"/>
    <mergeCell ref="E6832:H6832"/>
    <mergeCell ref="E6766:H6766"/>
    <mergeCell ref="E6767:H6767"/>
    <mergeCell ref="E6768:H6768"/>
    <mergeCell ref="E6769:H6769"/>
    <mergeCell ref="E6770:H6770"/>
    <mergeCell ref="E6771:H6771"/>
    <mergeCell ref="E6772:H6772"/>
    <mergeCell ref="E6773:H6773"/>
    <mergeCell ref="E6774:H6774"/>
    <mergeCell ref="E6775:H6775"/>
    <mergeCell ref="E6776:H6776"/>
    <mergeCell ref="E6777:H6777"/>
    <mergeCell ref="E6788:F6788"/>
    <mergeCell ref="E6795:F6795"/>
    <mergeCell ref="E6791:F6791"/>
    <mergeCell ref="E6792:F6792"/>
    <mergeCell ref="E6793:F6793"/>
    <mergeCell ref="E6759:F6759"/>
    <mergeCell ref="E6796:F6796"/>
    <mergeCell ref="E6802:H6802"/>
    <mergeCell ref="E6803:H6803"/>
    <mergeCell ref="E6804:H6804"/>
    <mergeCell ref="E6807:F6807"/>
    <mergeCell ref="E6810:F6810"/>
    <mergeCell ref="E6811:F6811"/>
    <mergeCell ref="E6812:F6812"/>
    <mergeCell ref="E6816:F6816"/>
    <mergeCell ref="E6817:F6817"/>
    <mergeCell ref="E6820:F6820"/>
    <mergeCell ref="E6821:F6821"/>
    <mergeCell ref="E6794:F6794"/>
    <mergeCell ref="E6780:F6780"/>
    <mergeCell ref="E6781:F6781"/>
    <mergeCell ref="E6782:F6782"/>
    <mergeCell ref="E6783:F6783"/>
    <mergeCell ref="E6784:F6784"/>
    <mergeCell ref="E6785:F6785"/>
    <mergeCell ref="E6786:F6786"/>
    <mergeCell ref="E6787:F6787"/>
    <mergeCell ref="E6789:F6789"/>
    <mergeCell ref="E6790:F6790"/>
    <mergeCell ref="E6797:H6797"/>
    <mergeCell ref="E6798:H6798"/>
    <mergeCell ref="E6799:H6799"/>
    <mergeCell ref="E6800:H6800"/>
    <mergeCell ref="E6801:H6801"/>
    <mergeCell ref="E6808:F6808"/>
    <mergeCell ref="E6809:F6809"/>
    <mergeCell ref="E6813:F6813"/>
    <mergeCell ref="E6814:F6814"/>
    <mergeCell ref="E6806:F6806"/>
    <mergeCell ref="E6778:H6778"/>
    <mergeCell ref="E6779:F6779"/>
    <mergeCell ref="E6762:H6762"/>
    <mergeCell ref="E6819:F6819"/>
    <mergeCell ref="E6818:F6818"/>
    <mergeCell ref="E6754:F6754"/>
    <mergeCell ref="E6755:F6755"/>
    <mergeCell ref="E6757:F6757"/>
    <mergeCell ref="E6760:F6760"/>
    <mergeCell ref="E6696:F6696"/>
    <mergeCell ref="E6697:F6697"/>
    <mergeCell ref="E6698:F6698"/>
    <mergeCell ref="E6702:F6702"/>
    <mergeCell ref="E6708:H6708"/>
    <mergeCell ref="E6709:H6709"/>
    <mergeCell ref="E6710:H6710"/>
    <mergeCell ref="E6738:F6738"/>
    <mergeCell ref="E6737:F6737"/>
    <mergeCell ref="E6747:F6747"/>
    <mergeCell ref="E6724:F6724"/>
    <mergeCell ref="E6740:F6740"/>
    <mergeCell ref="E6734:F6734"/>
    <mergeCell ref="E6735:F6735"/>
    <mergeCell ref="E6733:F6733"/>
    <mergeCell ref="E6743:H6743"/>
    <mergeCell ref="E6728:F6728"/>
    <mergeCell ref="E6730:F6730"/>
    <mergeCell ref="E6739:F6739"/>
    <mergeCell ref="E6756:F6756"/>
    <mergeCell ref="E6758:F6758"/>
    <mergeCell ref="E6721:H6721"/>
    <mergeCell ref="E6722:H6722"/>
    <mergeCell ref="E6725:F6725"/>
    <mergeCell ref="E6726:F6726"/>
    <mergeCell ref="E6727:F6727"/>
    <mergeCell ref="E6763:F6763"/>
    <mergeCell ref="E6764:F6764"/>
    <mergeCell ref="E6765:H6765"/>
    <mergeCell ref="E6694:H6694"/>
    <mergeCell ref="E6659:H6659"/>
    <mergeCell ref="E6652:H6652"/>
    <mergeCell ref="E6657:H6657"/>
    <mergeCell ref="E6695:H6695"/>
    <mergeCell ref="E6699:F6699"/>
    <mergeCell ref="E6704:F6704"/>
    <mergeCell ref="E6705:F6705"/>
    <mergeCell ref="E6712:H6712"/>
    <mergeCell ref="E6713:H6713"/>
    <mergeCell ref="E6719:H6719"/>
    <mergeCell ref="E6658:H6658"/>
    <mergeCell ref="E6666:F6666"/>
    <mergeCell ref="E6681:F6681"/>
    <mergeCell ref="E6682:F6682"/>
    <mergeCell ref="E6689:H6689"/>
    <mergeCell ref="E6690:H6690"/>
    <mergeCell ref="E6703:F6703"/>
    <mergeCell ref="E6711:H6711"/>
    <mergeCell ref="E6716:F6716"/>
    <mergeCell ref="E6717:F6717"/>
    <mergeCell ref="E6731:F6731"/>
    <mergeCell ref="E6732:F6732"/>
    <mergeCell ref="E6742:H6742"/>
    <mergeCell ref="E6744:H6744"/>
    <mergeCell ref="E6745:H6745"/>
    <mergeCell ref="E6746:H6746"/>
    <mergeCell ref="E6748:F6748"/>
    <mergeCell ref="E6749:F6749"/>
    <mergeCell ref="E6750:F6750"/>
    <mergeCell ref="E6751:F6751"/>
    <mergeCell ref="E6752:F6752"/>
    <mergeCell ref="E6753:F6753"/>
    <mergeCell ref="E6720:H6720"/>
    <mergeCell ref="E6714:F6714"/>
    <mergeCell ref="E6700:F6700"/>
    <mergeCell ref="E6701:F6701"/>
    <mergeCell ref="E6706:H6706"/>
    <mergeCell ref="E6707:H6707"/>
    <mergeCell ref="E6650:H6650"/>
    <mergeCell ref="E6653:H6653"/>
    <mergeCell ref="E6654:H6654"/>
    <mergeCell ref="E6633:H6633"/>
    <mergeCell ref="E6634:H6634"/>
    <mergeCell ref="E6624:F6624"/>
    <mergeCell ref="E6625:F6625"/>
    <mergeCell ref="E6655:H6655"/>
    <mergeCell ref="E6656:H6656"/>
    <mergeCell ref="E6660:F6660"/>
    <mergeCell ref="E6661:F6661"/>
    <mergeCell ref="E6662:F6662"/>
    <mergeCell ref="E6663:F6663"/>
    <mergeCell ref="E6664:F6664"/>
    <mergeCell ref="E6665:F6665"/>
    <mergeCell ref="E6626:F6626"/>
    <mergeCell ref="E6670:H6670"/>
    <mergeCell ref="E6671:H6671"/>
    <mergeCell ref="E6672:H6672"/>
    <mergeCell ref="E6673:H6673"/>
    <mergeCell ref="E6674:H6674"/>
    <mergeCell ref="E6675:H6675"/>
    <mergeCell ref="E6676:H6676"/>
    <mergeCell ref="E6677:H6677"/>
    <mergeCell ref="E6678:F6678"/>
    <mergeCell ref="E6683:F6683"/>
    <mergeCell ref="E6684:F6684"/>
    <mergeCell ref="E6685:F6685"/>
    <mergeCell ref="E6686:F6686"/>
    <mergeCell ref="E6687:F6687"/>
    <mergeCell ref="E6691:H6691"/>
    <mergeCell ref="E6692:H6692"/>
    <mergeCell ref="E6693:H6693"/>
    <mergeCell ref="E6632:H6632"/>
    <mergeCell ref="E6638:F6638"/>
    <mergeCell ref="E6639:F6639"/>
    <mergeCell ref="E6640:F6640"/>
    <mergeCell ref="E6643:H6643"/>
    <mergeCell ref="E6644:H6644"/>
    <mergeCell ref="E6645:H6645"/>
    <mergeCell ref="E6646:H6646"/>
    <mergeCell ref="E6647:H6647"/>
    <mergeCell ref="E6648:H6648"/>
    <mergeCell ref="E6649:H6649"/>
    <mergeCell ref="E6635:H6635"/>
    <mergeCell ref="E6636:H6636"/>
    <mergeCell ref="E6637:H6637"/>
    <mergeCell ref="E6669:F6669"/>
    <mergeCell ref="E6679:F6679"/>
    <mergeCell ref="E6680:F6680"/>
    <mergeCell ref="E6688:H6688"/>
    <mergeCell ref="E6651:F6651"/>
    <mergeCell ref="E6642:F6642"/>
    <mergeCell ref="E6667:F6667"/>
    <mergeCell ref="E6668:F6668"/>
    <mergeCell ref="E6631:H6631"/>
    <mergeCell ref="E6641:F6641"/>
    <mergeCell ref="E6473:H6473"/>
    <mergeCell ref="E6474:H6474"/>
    <mergeCell ref="E6475:H6475"/>
    <mergeCell ref="E6476:H6476"/>
    <mergeCell ref="E6477:H6477"/>
    <mergeCell ref="E6480:F6480"/>
    <mergeCell ref="E6481:F6481"/>
    <mergeCell ref="E6482:F6482"/>
    <mergeCell ref="E6483:F6483"/>
    <mergeCell ref="E6484:F6484"/>
    <mergeCell ref="E6485:F6485"/>
    <mergeCell ref="E6486:F6486"/>
    <mergeCell ref="E6487:H6487"/>
    <mergeCell ref="E6492:H6492"/>
    <mergeCell ref="E6493:H6493"/>
    <mergeCell ref="E6427:F6427"/>
    <mergeCell ref="E6436:H6436"/>
    <mergeCell ref="E6440:H6440"/>
    <mergeCell ref="E6457:H6457"/>
    <mergeCell ref="E6458:H6458"/>
    <mergeCell ref="E6459:H6459"/>
    <mergeCell ref="E6460:H6460"/>
    <mergeCell ref="E6470:F6470"/>
    <mergeCell ref="E6431:H6431"/>
    <mergeCell ref="E6432:H6432"/>
    <mergeCell ref="E6433:H6433"/>
    <mergeCell ref="E6434:H6434"/>
    <mergeCell ref="E6435:H6435"/>
    <mergeCell ref="E6446:F6446"/>
    <mergeCell ref="E6450:F6450"/>
    <mergeCell ref="E6451:F6451"/>
    <mergeCell ref="E6452:F6452"/>
    <mergeCell ref="E6466:F6466"/>
    <mergeCell ref="E6479:H6479"/>
    <mergeCell ref="E6488:F6488"/>
    <mergeCell ref="E6489:F6489"/>
    <mergeCell ref="E6491:F6491"/>
    <mergeCell ref="E6468:F6468"/>
    <mergeCell ref="E6469:F6469"/>
    <mergeCell ref="E6456:H6456"/>
    <mergeCell ref="E6464:F6464"/>
    <mergeCell ref="E6465:F6465"/>
    <mergeCell ref="E6478:H6478"/>
    <mergeCell ref="E6453:H6453"/>
    <mergeCell ref="E6454:H6454"/>
    <mergeCell ref="E6423:F6423"/>
    <mergeCell ref="E6455:H6455"/>
    <mergeCell ref="E6414:F6414"/>
    <mergeCell ref="E6416:F6416"/>
    <mergeCell ref="E6417:F6417"/>
    <mergeCell ref="E6421:F6421"/>
    <mergeCell ref="E6422:F6422"/>
    <mergeCell ref="E6403:F6403"/>
    <mergeCell ref="E6374:F6374"/>
    <mergeCell ref="E6375:F6375"/>
    <mergeCell ref="E6376:F6376"/>
    <mergeCell ref="E6378:H6378"/>
    <mergeCell ref="E6383:H6383"/>
    <mergeCell ref="E6384:H6384"/>
    <mergeCell ref="E6385:H6385"/>
    <mergeCell ref="E6387:H6387"/>
    <mergeCell ref="E6388:H6388"/>
    <mergeCell ref="E6389:H6389"/>
    <mergeCell ref="E6390:H6390"/>
    <mergeCell ref="E6397:F6397"/>
    <mergeCell ref="E6399:H6399"/>
    <mergeCell ref="E6410:H6410"/>
    <mergeCell ref="E6411:H6411"/>
    <mergeCell ref="E6412:H6412"/>
    <mergeCell ref="E6413:H6413"/>
    <mergeCell ref="E6439:H6439"/>
    <mergeCell ref="E6443:F6443"/>
    <mergeCell ref="E6373:F6373"/>
    <mergeCell ref="E6463:F6463"/>
    <mergeCell ref="E6467:H6467"/>
    <mergeCell ref="E6472:H6472"/>
    <mergeCell ref="E6310:F6310"/>
    <mergeCell ref="E6328:F6328"/>
    <mergeCell ref="E6329:F6329"/>
    <mergeCell ref="E6330:F6330"/>
    <mergeCell ref="E6386:H6386"/>
    <mergeCell ref="E6392:F6392"/>
    <mergeCell ref="E6393:F6393"/>
    <mergeCell ref="E6394:F6394"/>
    <mergeCell ref="E6395:F6395"/>
    <mergeCell ref="E6396:F6396"/>
    <mergeCell ref="E6377:F6377"/>
    <mergeCell ref="E6371:F6371"/>
    <mergeCell ref="E6380:F6380"/>
    <mergeCell ref="E6406:H6406"/>
    <mergeCell ref="E6405:H6405"/>
    <mergeCell ref="E6409:H6409"/>
    <mergeCell ref="E6381:F6381"/>
    <mergeCell ref="E6382:F6382"/>
    <mergeCell ref="E6401:F6401"/>
    <mergeCell ref="E6402:F6402"/>
    <mergeCell ref="E6404:H6404"/>
    <mergeCell ref="E6407:H6407"/>
    <mergeCell ref="E6408:H6408"/>
    <mergeCell ref="E6420:F6420"/>
    <mergeCell ref="E6424:F6424"/>
    <mergeCell ref="E6425:F6425"/>
    <mergeCell ref="E6426:H6426"/>
    <mergeCell ref="E6428:F6428"/>
    <mergeCell ref="E6429:F6429"/>
    <mergeCell ref="E6430:F6430"/>
    <mergeCell ref="E6441:F6441"/>
    <mergeCell ref="E6442:F6442"/>
    <mergeCell ref="E6448:H6448"/>
    <mergeCell ref="E6281:F6281"/>
    <mergeCell ref="E6282:F6282"/>
    <mergeCell ref="E6283:F6283"/>
    <mergeCell ref="E6284:F6284"/>
    <mergeCell ref="E6290:H6290"/>
    <mergeCell ref="E6291:H6291"/>
    <mergeCell ref="E6292:H6292"/>
    <mergeCell ref="E6294:H6294"/>
    <mergeCell ref="E6285:F6285"/>
    <mergeCell ref="E6295:H6295"/>
    <mergeCell ref="E6286:F6286"/>
    <mergeCell ref="E6287:F6287"/>
    <mergeCell ref="E6296:H6296"/>
    <mergeCell ref="E6297:H6297"/>
    <mergeCell ref="E6298:F6298"/>
    <mergeCell ref="E6300:F6300"/>
    <mergeCell ref="E6301:F6301"/>
    <mergeCell ref="E6306:H6306"/>
    <mergeCell ref="E6307:G6307"/>
    <mergeCell ref="E6314:F6314"/>
    <mergeCell ref="E6319:F6319"/>
    <mergeCell ref="E6311:F6311"/>
    <mergeCell ref="E6312:F6312"/>
    <mergeCell ref="E6313:F6313"/>
    <mergeCell ref="E6315:F6315"/>
    <mergeCell ref="E6316:F6316"/>
    <mergeCell ref="E6346:F6346"/>
    <mergeCell ref="E6352:H6352"/>
    <mergeCell ref="E6353:G6353"/>
    <mergeCell ref="E6354:G6354"/>
    <mergeCell ref="E6288:F6288"/>
    <mergeCell ref="E6289:F6289"/>
    <mergeCell ref="E6308:F6308"/>
    <mergeCell ref="E6317:F6317"/>
    <mergeCell ref="E6318:F6318"/>
    <mergeCell ref="E6334:H6334"/>
    <mergeCell ref="E6338:F6338"/>
    <mergeCell ref="E6327:F6327"/>
    <mergeCell ref="E6321:F6321"/>
    <mergeCell ref="E6322:F6322"/>
    <mergeCell ref="E6323:F6323"/>
    <mergeCell ref="E6325:F6325"/>
    <mergeCell ref="E6326:F6326"/>
    <mergeCell ref="E6332:H6332"/>
    <mergeCell ref="E6333:H6333"/>
    <mergeCell ref="E6335:H6335"/>
    <mergeCell ref="E6336:H6336"/>
    <mergeCell ref="E6337:H6337"/>
    <mergeCell ref="E6339:F6339"/>
    <mergeCell ref="E6340:F6340"/>
    <mergeCell ref="E6341:F6341"/>
    <mergeCell ref="E6342:F6342"/>
    <mergeCell ref="E6343:F6343"/>
    <mergeCell ref="E6344:F6344"/>
    <mergeCell ref="E6345:F6345"/>
    <mergeCell ref="E6347:F6347"/>
    <mergeCell ref="E6348:F6348"/>
    <mergeCell ref="E6349:F6349"/>
    <mergeCell ref="E6350:F6350"/>
    <mergeCell ref="E6304:H6304"/>
    <mergeCell ref="E6293:H6293"/>
    <mergeCell ref="E6303:H6303"/>
    <mergeCell ref="E6305:H6305"/>
    <mergeCell ref="E6309:F6309"/>
    <mergeCell ref="E6120:F6120"/>
    <mergeCell ref="E6121:F6121"/>
    <mergeCell ref="E6127:H6127"/>
    <mergeCell ref="E6128:H6128"/>
    <mergeCell ref="E6085:F6085"/>
    <mergeCell ref="E6125:F6125"/>
    <mergeCell ref="E6097:H6097"/>
    <mergeCell ref="E6080:F6080"/>
    <mergeCell ref="E6081:F6081"/>
    <mergeCell ref="E6082:F6082"/>
    <mergeCell ref="E6083:F6083"/>
    <mergeCell ref="E6084:F6084"/>
    <mergeCell ref="E6113:F6113"/>
    <mergeCell ref="E6090:F6090"/>
    <mergeCell ref="E6126:F6126"/>
    <mergeCell ref="E6098:H6098"/>
    <mergeCell ref="E6099:H6099"/>
    <mergeCell ref="E6122:F6122"/>
    <mergeCell ref="E6130:H6130"/>
    <mergeCell ref="E6143:F6143"/>
    <mergeCell ref="E6144:F6144"/>
    <mergeCell ref="E6145:F6145"/>
    <mergeCell ref="E6157:H6157"/>
    <mergeCell ref="E6193:F6193"/>
    <mergeCell ref="E6158:H6158"/>
    <mergeCell ref="E6159:H6159"/>
    <mergeCell ref="E6220:H6220"/>
    <mergeCell ref="E6221:H6221"/>
    <mergeCell ref="E6224:H6224"/>
    <mergeCell ref="E6225:H6225"/>
    <mergeCell ref="E6226:F6226"/>
    <mergeCell ref="E6227:F6227"/>
    <mergeCell ref="E6228:F6228"/>
    <mergeCell ref="E6200:F6200"/>
    <mergeCell ref="E6223:H6223"/>
    <mergeCell ref="E6183:H6183"/>
    <mergeCell ref="E6195:F6195"/>
    <mergeCell ref="E6212:H6212"/>
    <mergeCell ref="E6215:H6215"/>
    <mergeCell ref="E6216:H6216"/>
    <mergeCell ref="E6218:H6218"/>
    <mergeCell ref="E6219:H6219"/>
    <mergeCell ref="E6169:F6169"/>
    <mergeCell ref="E6170:F6170"/>
    <mergeCell ref="E6171:F6171"/>
    <mergeCell ref="E6172:F6172"/>
    <mergeCell ref="E6173:F6173"/>
    <mergeCell ref="E6184:H6184"/>
    <mergeCell ref="E6185:H6185"/>
    <mergeCell ref="E6186:H6186"/>
    <mergeCell ref="E6177:F6177"/>
    <mergeCell ref="E6178:F6178"/>
    <mergeCell ref="E6179:F6179"/>
    <mergeCell ref="E6202:F6202"/>
    <mergeCell ref="E6203:F6203"/>
    <mergeCell ref="E6204:F6204"/>
    <mergeCell ref="E6205:F6205"/>
    <mergeCell ref="E6206:F6206"/>
    <mergeCell ref="E6209:H6209"/>
    <mergeCell ref="E6210:H6210"/>
    <mergeCell ref="E6211:H6211"/>
    <mergeCell ref="E6213:H6213"/>
    <mergeCell ref="E6214:H6214"/>
    <mergeCell ref="E6217:F6217"/>
    <mergeCell ref="E6073:H6073"/>
    <mergeCell ref="E6182:F6182"/>
    <mergeCell ref="E6161:H6161"/>
    <mergeCell ref="E6162:H6162"/>
    <mergeCell ref="E6174:F6174"/>
    <mergeCell ref="E6175:F6175"/>
    <mergeCell ref="E6176:F6176"/>
    <mergeCell ref="E6187:H6187"/>
    <mergeCell ref="E6188:H6188"/>
    <mergeCell ref="E6189:H6189"/>
    <mergeCell ref="E6160:H6160"/>
    <mergeCell ref="E6190:H6190"/>
    <mergeCell ref="E6191:H6191"/>
    <mergeCell ref="E6192:H6192"/>
    <mergeCell ref="E6194:F6194"/>
    <mergeCell ref="E6201:F6201"/>
    <mergeCell ref="E5877:F5877"/>
    <mergeCell ref="E5878:F5878"/>
    <mergeCell ref="E5879:F5879"/>
    <mergeCell ref="E5888:H5888"/>
    <mergeCell ref="E5956:H5956"/>
    <mergeCell ref="E5961:F5961"/>
    <mergeCell ref="E5933:H5933"/>
    <mergeCell ref="E5935:H5935"/>
    <mergeCell ref="E5944:F5944"/>
    <mergeCell ref="E5945:F5945"/>
    <mergeCell ref="E5889:H5889"/>
    <mergeCell ref="E5890:H5890"/>
    <mergeCell ref="E5891:H5891"/>
    <mergeCell ref="E5897:F5897"/>
    <mergeCell ref="E5898:F5898"/>
    <mergeCell ref="E5899:F5899"/>
    <mergeCell ref="E5907:F5907"/>
    <mergeCell ref="E5909:H5909"/>
    <mergeCell ref="E5910:H5910"/>
    <mergeCell ref="E5911:H5911"/>
    <mergeCell ref="E5919:F5919"/>
    <mergeCell ref="E5928:F5928"/>
    <mergeCell ref="E5931:H5931"/>
    <mergeCell ref="E5932:H5932"/>
    <mergeCell ref="E5947:F5947"/>
    <mergeCell ref="E5952:F5952"/>
    <mergeCell ref="E5960:H5960"/>
    <mergeCell ref="E6006:H6006"/>
    <mergeCell ref="E5983:F5983"/>
    <mergeCell ref="E6002:F6002"/>
    <mergeCell ref="E5990:H5990"/>
    <mergeCell ref="E5997:F5997"/>
    <mergeCell ref="E5998:F5998"/>
    <mergeCell ref="E5999:F5999"/>
    <mergeCell ref="E6000:F6000"/>
    <mergeCell ref="E6003:H6003"/>
    <mergeCell ref="E6004:H6004"/>
    <mergeCell ref="E6005:H6005"/>
    <mergeCell ref="E5912:H5912"/>
    <mergeCell ref="E5881:F5881"/>
    <mergeCell ref="E5887:H5887"/>
    <mergeCell ref="E5900:F5900"/>
    <mergeCell ref="E5901:F5901"/>
    <mergeCell ref="E5921:F5921"/>
    <mergeCell ref="E5937:H5937"/>
    <mergeCell ref="E5946:F5946"/>
    <mergeCell ref="E5948:F5948"/>
    <mergeCell ref="E5949:F5949"/>
    <mergeCell ref="E5883:F5883"/>
    <mergeCell ref="E5917:H5917"/>
    <mergeCell ref="E5918:H5918"/>
    <mergeCell ref="E5926:F5926"/>
    <mergeCell ref="E5681:H5681"/>
    <mergeCell ref="E5682:H5682"/>
    <mergeCell ref="E5683:H5683"/>
    <mergeCell ref="E5688:F5688"/>
    <mergeCell ref="E5690:F5690"/>
    <mergeCell ref="E5691:F5691"/>
    <mergeCell ref="E5692:F5692"/>
    <mergeCell ref="E5693:F5693"/>
    <mergeCell ref="E5696:H5696"/>
    <mergeCell ref="E5697:H5697"/>
    <mergeCell ref="E5698:H5698"/>
    <mergeCell ref="E5699:H5699"/>
    <mergeCell ref="E5700:H5700"/>
    <mergeCell ref="E5701:H5701"/>
    <mergeCell ref="E5702:H5702"/>
    <mergeCell ref="E5739:H5739"/>
    <mergeCell ref="E5740:H5740"/>
    <mergeCell ref="E5741:H5741"/>
    <mergeCell ref="E5742:H5742"/>
    <mergeCell ref="E5743:H5743"/>
    <mergeCell ref="E5744:H5744"/>
    <mergeCell ref="E5745:H5745"/>
    <mergeCell ref="E5746:H5746"/>
    <mergeCell ref="E5747:H5747"/>
    <mergeCell ref="E5748:H5748"/>
    <mergeCell ref="E5749:F5749"/>
    <mergeCell ref="E5750:F5750"/>
    <mergeCell ref="E5751:F5751"/>
    <mergeCell ref="E5752:F5752"/>
    <mergeCell ref="E5753:F5753"/>
    <mergeCell ref="E5755:H5755"/>
    <mergeCell ref="E5760:H5760"/>
    <mergeCell ref="E5761:H5761"/>
    <mergeCell ref="E5713:F5713"/>
    <mergeCell ref="E5720:H5720"/>
    <mergeCell ref="E5721:H5721"/>
    <mergeCell ref="E5724:F5724"/>
    <mergeCell ref="E5725:F5725"/>
    <mergeCell ref="E5726:F5726"/>
    <mergeCell ref="E5728:F5728"/>
    <mergeCell ref="E5732:H5732"/>
    <mergeCell ref="E5733:H5733"/>
    <mergeCell ref="E5734:H5734"/>
    <mergeCell ref="E5735:H5735"/>
    <mergeCell ref="E5736:H5736"/>
    <mergeCell ref="E5737:H5737"/>
    <mergeCell ref="E5738:H5738"/>
    <mergeCell ref="E5686:F5686"/>
    <mergeCell ref="E5717:H5717"/>
    <mergeCell ref="E5685:F5685"/>
    <mergeCell ref="E5759:F5759"/>
    <mergeCell ref="E5689:H5689"/>
    <mergeCell ref="E5754:F5754"/>
    <mergeCell ref="E5756:F5756"/>
    <mergeCell ref="E5710:F5710"/>
    <mergeCell ref="E5768:F5768"/>
    <mergeCell ref="E5773:F5773"/>
    <mergeCell ref="E5775:F5775"/>
    <mergeCell ref="E5776:F5776"/>
    <mergeCell ref="E5777:F5777"/>
    <mergeCell ref="E5665:F5665"/>
    <mergeCell ref="E5666:F5666"/>
    <mergeCell ref="E5667:F5667"/>
    <mergeCell ref="E5668:F5668"/>
    <mergeCell ref="E5670:F5670"/>
    <mergeCell ref="E5671:F5671"/>
    <mergeCell ref="E5674:H5674"/>
    <mergeCell ref="E5675:H5675"/>
    <mergeCell ref="E5676:H5676"/>
    <mergeCell ref="E5677:H5677"/>
    <mergeCell ref="E5678:H5678"/>
    <mergeCell ref="E5679:H5679"/>
    <mergeCell ref="E5680:H5680"/>
    <mergeCell ref="E5646:H5646"/>
    <mergeCell ref="E5649:F5649"/>
    <mergeCell ref="E5650:F5650"/>
    <mergeCell ref="E5669:H5669"/>
    <mergeCell ref="E5661:F5661"/>
    <mergeCell ref="E5662:F5662"/>
    <mergeCell ref="E5663:F5663"/>
    <mergeCell ref="E5672:F5672"/>
    <mergeCell ref="E5634:H5634"/>
    <mergeCell ref="E5635:H5635"/>
    <mergeCell ref="E5636:H5636"/>
    <mergeCell ref="E5637:H5637"/>
    <mergeCell ref="E5638:H5638"/>
    <mergeCell ref="E5639:H5639"/>
    <mergeCell ref="E5640:F5640"/>
    <mergeCell ref="E5641:F5641"/>
    <mergeCell ref="E5642:F5642"/>
    <mergeCell ref="E5643:F5643"/>
    <mergeCell ref="E5644:F5644"/>
    <mergeCell ref="E5645:F5645"/>
    <mergeCell ref="E5647:F5647"/>
    <mergeCell ref="E5651:H5651"/>
    <mergeCell ref="E5652:H5652"/>
    <mergeCell ref="E5653:H5653"/>
    <mergeCell ref="E5654:H5654"/>
    <mergeCell ref="E5655:H5655"/>
    <mergeCell ref="E5656:H5656"/>
    <mergeCell ref="E5648:F5648"/>
    <mergeCell ref="E5608:H5608"/>
    <mergeCell ref="E5609:H5609"/>
    <mergeCell ref="E5610:H5610"/>
    <mergeCell ref="E5611:H5611"/>
    <mergeCell ref="E5612:H5612"/>
    <mergeCell ref="E5613:H5613"/>
    <mergeCell ref="E5614:H5614"/>
    <mergeCell ref="E5615:H5615"/>
    <mergeCell ref="E5622:F5622"/>
    <mergeCell ref="E5623:F5623"/>
    <mergeCell ref="E5627:H5627"/>
    <mergeCell ref="E5628:F5628"/>
    <mergeCell ref="E5629:F5629"/>
    <mergeCell ref="E5630:F5630"/>
    <mergeCell ref="E5631:F5631"/>
    <mergeCell ref="E5632:H5632"/>
    <mergeCell ref="E5633:H5633"/>
    <mergeCell ref="E5603:F5603"/>
    <mergeCell ref="E5604:F5604"/>
    <mergeCell ref="E5616:H5616"/>
    <mergeCell ref="E5617:H5617"/>
    <mergeCell ref="E5618:H5618"/>
    <mergeCell ref="E5619:H5619"/>
    <mergeCell ref="E5620:H5620"/>
    <mergeCell ref="E5621:H5621"/>
    <mergeCell ref="E5624:F5624"/>
    <mergeCell ref="E5625:F5625"/>
    <mergeCell ref="E5626:F5626"/>
    <mergeCell ref="E5657:H5657"/>
    <mergeCell ref="E5658:H5658"/>
    <mergeCell ref="E5659:H5659"/>
    <mergeCell ref="E5660:H5660"/>
    <mergeCell ref="E5664:F5664"/>
    <mergeCell ref="E5575:F5575"/>
    <mergeCell ref="E5576:F5576"/>
    <mergeCell ref="E5580:F5580"/>
    <mergeCell ref="E5582:H5582"/>
    <mergeCell ref="E5583:H5583"/>
    <mergeCell ref="E5584:H5584"/>
    <mergeCell ref="E5585:H5585"/>
    <mergeCell ref="E5586:H5586"/>
    <mergeCell ref="E5593:F5593"/>
    <mergeCell ref="E5594:F5594"/>
    <mergeCell ref="E5595:F5595"/>
    <mergeCell ref="E5596:F5596"/>
    <mergeCell ref="E5597:F5597"/>
    <mergeCell ref="E5598:F5598"/>
    <mergeCell ref="E5599:F5599"/>
    <mergeCell ref="E5600:F5600"/>
    <mergeCell ref="E5602:H5602"/>
    <mergeCell ref="E5605:F5605"/>
    <mergeCell ref="E5606:F5606"/>
    <mergeCell ref="E5607:H5607"/>
    <mergeCell ref="E5285:F5285"/>
    <mergeCell ref="E5236:F5236"/>
    <mergeCell ref="E5237:F5237"/>
    <mergeCell ref="E5238:F5238"/>
    <mergeCell ref="E5240:F5240"/>
    <mergeCell ref="E5241:F5241"/>
    <mergeCell ref="E5242:F5242"/>
    <mergeCell ref="E5239:F5239"/>
    <mergeCell ref="E5235:F5235"/>
    <mergeCell ref="E5243:H5243"/>
    <mergeCell ref="E5244:H5244"/>
    <mergeCell ref="E5245:H5245"/>
    <mergeCell ref="E5246:H5246"/>
    <mergeCell ref="E5251:F5251"/>
    <mergeCell ref="E5260:F5260"/>
    <mergeCell ref="E5262:F5262"/>
    <mergeCell ref="E5264:F5264"/>
    <mergeCell ref="E5266:F5266"/>
    <mergeCell ref="E5277:F5277"/>
    <mergeCell ref="E5265:F5265"/>
    <mergeCell ref="E5278:F5278"/>
    <mergeCell ref="E5279:F5279"/>
    <mergeCell ref="E5283:F5283"/>
    <mergeCell ref="E5284:F5284"/>
    <mergeCell ref="E5286:F5286"/>
    <mergeCell ref="E5288:F5288"/>
    <mergeCell ref="E5289:F5289"/>
    <mergeCell ref="E5292:F5292"/>
    <mergeCell ref="E5303:H5303"/>
    <mergeCell ref="E5304:H5304"/>
    <mergeCell ref="E5308:F5308"/>
    <mergeCell ref="E5309:F5309"/>
    <mergeCell ref="E5310:F5310"/>
    <mergeCell ref="E5311:F5311"/>
    <mergeCell ref="E5312:F5312"/>
    <mergeCell ref="E5313:F5313"/>
    <mergeCell ref="E5314:F5314"/>
    <mergeCell ref="E5315:F5315"/>
    <mergeCell ref="E5316:F5316"/>
    <mergeCell ref="E5317:F5317"/>
    <mergeCell ref="E5318:F5318"/>
    <mergeCell ref="E5290:F5290"/>
    <mergeCell ref="E5291:F5291"/>
    <mergeCell ref="E5294:F5294"/>
    <mergeCell ref="E5184:H5184"/>
    <mergeCell ref="E5185:H5185"/>
    <mergeCell ref="E5186:H5186"/>
    <mergeCell ref="E5187:H5187"/>
    <mergeCell ref="E5188:H5188"/>
    <mergeCell ref="E5197:F5197"/>
    <mergeCell ref="E5198:F5198"/>
    <mergeCell ref="E5199:F5199"/>
    <mergeCell ref="E5205:H5205"/>
    <mergeCell ref="E5206:H5206"/>
    <mergeCell ref="E5207:H5207"/>
    <mergeCell ref="E5209:H5209"/>
    <mergeCell ref="E5210:H5210"/>
    <mergeCell ref="E5211:H5211"/>
    <mergeCell ref="E5212:H5212"/>
    <mergeCell ref="E5213:H5213"/>
    <mergeCell ref="E5214:H5214"/>
    <mergeCell ref="E5215:H5215"/>
    <mergeCell ref="E5216:H5216"/>
    <mergeCell ref="E5219:F5219"/>
    <mergeCell ref="E5220:F5220"/>
    <mergeCell ref="E5221:F5221"/>
    <mergeCell ref="E5222:F5222"/>
    <mergeCell ref="E5223:F5223"/>
    <mergeCell ref="E5224:F5224"/>
    <mergeCell ref="E5181:H5181"/>
    <mergeCell ref="E5202:H5202"/>
    <mergeCell ref="E5203:H5203"/>
    <mergeCell ref="E5204:H5204"/>
    <mergeCell ref="E5225:F5225"/>
    <mergeCell ref="E5227:H5227"/>
    <mergeCell ref="E5189:F5189"/>
    <mergeCell ref="E5190:F5190"/>
    <mergeCell ref="E5191:F5191"/>
    <mergeCell ref="E5192:F5192"/>
    <mergeCell ref="E5193:F5193"/>
    <mergeCell ref="E5200:H5200"/>
    <mergeCell ref="E5201:H5201"/>
    <mergeCell ref="E5208:F5208"/>
    <mergeCell ref="E5217:F5217"/>
    <mergeCell ref="E5218:F5218"/>
    <mergeCell ref="E5226:H5226"/>
    <mergeCell ref="E5037:F5037"/>
    <mergeCell ref="E5038:F5038"/>
    <mergeCell ref="E5039:F5039"/>
    <mergeCell ref="E5040:F5040"/>
    <mergeCell ref="E5075:H5075"/>
    <mergeCell ref="E5076:H5076"/>
    <mergeCell ref="E5077:H5077"/>
    <mergeCell ref="E5083:F5083"/>
    <mergeCell ref="E5021:F5021"/>
    <mergeCell ref="E5022:F5022"/>
    <mergeCell ref="E5024:F5024"/>
    <mergeCell ref="E5028:H5028"/>
    <mergeCell ref="E5053:H5053"/>
    <mergeCell ref="E5054:H5054"/>
    <mergeCell ref="E5012:H5012"/>
    <mergeCell ref="E5013:H5013"/>
    <mergeCell ref="E5055:H5055"/>
    <mergeCell ref="E5056:H5056"/>
    <mergeCell ref="E5057:H5057"/>
    <mergeCell ref="E5064:F5064"/>
    <mergeCell ref="E5065:F5065"/>
    <mergeCell ref="E5066:F5066"/>
    <mergeCell ref="E5067:F5067"/>
    <mergeCell ref="E5068:F5068"/>
    <mergeCell ref="E5069:F5069"/>
    <mergeCell ref="E5070:F5070"/>
    <mergeCell ref="E5071:F5071"/>
    <mergeCell ref="E5078:H5078"/>
    <mergeCell ref="E5079:H5079"/>
    <mergeCell ref="E5080:H5080"/>
    <mergeCell ref="E5081:H5081"/>
    <mergeCell ref="E5041:F5041"/>
    <mergeCell ref="E5042:F5042"/>
    <mergeCell ref="E5043:F5043"/>
    <mergeCell ref="E5044:F5044"/>
    <mergeCell ref="E5047:F5047"/>
    <mergeCell ref="E5048:F5048"/>
    <mergeCell ref="E5050:H5050"/>
    <mergeCell ref="E5052:H5052"/>
    <mergeCell ref="E5074:F5074"/>
    <mergeCell ref="E5030:H5030"/>
    <mergeCell ref="E5031:F5031"/>
    <mergeCell ref="E5032:F5032"/>
    <mergeCell ref="E5033:F5033"/>
    <mergeCell ref="E5034:F5034"/>
    <mergeCell ref="E5035:F5035"/>
    <mergeCell ref="E5036:F5036"/>
    <mergeCell ref="E5046:H5046"/>
    <mergeCell ref="E5049:H5049"/>
    <mergeCell ref="E5051:H5051"/>
    <mergeCell ref="E5058:H5058"/>
    <mergeCell ref="E5059:H5059"/>
    <mergeCell ref="E5060:H5060"/>
    <mergeCell ref="E5061:H5061"/>
    <mergeCell ref="E5062:H5062"/>
    <mergeCell ref="E5063:H5063"/>
    <mergeCell ref="E4987:F4987"/>
    <mergeCell ref="E4988:F4988"/>
    <mergeCell ref="E4989:F4989"/>
    <mergeCell ref="E4990:F4990"/>
    <mergeCell ref="E4999:H4999"/>
    <mergeCell ref="E5000:H5000"/>
    <mergeCell ref="E5001:H5001"/>
    <mergeCell ref="E5002:H5002"/>
    <mergeCell ref="E4897:F4897"/>
    <mergeCell ref="E4898:F4898"/>
    <mergeCell ref="E4905:H4905"/>
    <mergeCell ref="E4906:H4906"/>
    <mergeCell ref="E4913:F4913"/>
    <mergeCell ref="E4918:F4918"/>
    <mergeCell ref="E4919:F4919"/>
    <mergeCell ref="E4920:F4920"/>
    <mergeCell ref="E4921:F4921"/>
    <mergeCell ref="E4922:F4922"/>
    <mergeCell ref="E4923:F4923"/>
    <mergeCell ref="E4924:F4924"/>
    <mergeCell ref="E4927:H4927"/>
    <mergeCell ref="E4928:H4928"/>
    <mergeCell ref="E4929:H4929"/>
    <mergeCell ref="E4930:H4930"/>
    <mergeCell ref="E4931:H4931"/>
    <mergeCell ref="E4932:H4932"/>
    <mergeCell ref="E4933:H4933"/>
    <mergeCell ref="E4934:H4934"/>
    <mergeCell ref="E4939:F4939"/>
    <mergeCell ref="E4944:F4944"/>
    <mergeCell ref="E4945:F4945"/>
    <mergeCell ref="E4946:F4946"/>
    <mergeCell ref="E4947:F4947"/>
    <mergeCell ref="E4948:F4948"/>
    <mergeCell ref="E4949:F4949"/>
    <mergeCell ref="E4950:F4950"/>
    <mergeCell ref="E4951:F4951"/>
    <mergeCell ref="E4952:H4952"/>
    <mergeCell ref="E4953:H4953"/>
    <mergeCell ref="E4911:F4911"/>
    <mergeCell ref="E4893:F4893"/>
    <mergeCell ref="E4774:H4774"/>
    <mergeCell ref="E4775:H4775"/>
    <mergeCell ref="E4778:F4778"/>
    <mergeCell ref="E4779:F4779"/>
    <mergeCell ref="E4780:F4780"/>
    <mergeCell ref="E4781:F4781"/>
    <mergeCell ref="E4782:F4782"/>
    <mergeCell ref="E4783:F4783"/>
    <mergeCell ref="E4954:H4954"/>
    <mergeCell ref="E4955:H4955"/>
    <mergeCell ref="E4956:H4956"/>
    <mergeCell ref="E4957:H4957"/>
    <mergeCell ref="E4959:H4959"/>
    <mergeCell ref="E4963:F4963"/>
    <mergeCell ref="E4964:F4964"/>
    <mergeCell ref="E4965:F4965"/>
    <mergeCell ref="E4966:F4966"/>
    <mergeCell ref="E4967:F4967"/>
    <mergeCell ref="E4968:F4968"/>
    <mergeCell ref="E4969:F4969"/>
    <mergeCell ref="E4970:F4970"/>
    <mergeCell ref="E4975:H4975"/>
    <mergeCell ref="E4976:H4976"/>
    <mergeCell ref="E4977:H4977"/>
    <mergeCell ref="E4979:H4979"/>
    <mergeCell ref="E4980:H4980"/>
    <mergeCell ref="E4981:H4981"/>
    <mergeCell ref="E4982:H4982"/>
    <mergeCell ref="E4983:F4983"/>
    <mergeCell ref="E4984:F4984"/>
    <mergeCell ref="E4985:F4985"/>
    <mergeCell ref="E4986:F4986"/>
    <mergeCell ref="E4800:F4800"/>
    <mergeCell ref="E4801:F4801"/>
    <mergeCell ref="E4768:F4768"/>
    <mergeCell ref="E4769:F4769"/>
    <mergeCell ref="E4784:F4784"/>
    <mergeCell ref="E4785:F4785"/>
    <mergeCell ref="E4786:F4786"/>
    <mergeCell ref="E4776:H4776"/>
    <mergeCell ref="E4777:H4777"/>
    <mergeCell ref="E4848:F4848"/>
    <mergeCell ref="E4849:F4849"/>
    <mergeCell ref="E4850:F4850"/>
    <mergeCell ref="E4851:F4851"/>
    <mergeCell ref="E4863:H4863"/>
    <mergeCell ref="E4865:F4865"/>
    <mergeCell ref="E4866:F4866"/>
    <mergeCell ref="E4868:H4868"/>
    <mergeCell ref="E4869:H4869"/>
    <mergeCell ref="E4870:H4870"/>
    <mergeCell ref="E4882:F4882"/>
    <mergeCell ref="E4883:F4883"/>
    <mergeCell ref="E4847:H4847"/>
    <mergeCell ref="E4864:F4864"/>
    <mergeCell ref="E4884:F4884"/>
    <mergeCell ref="E4892:F4892"/>
    <mergeCell ref="E4887:F4887"/>
    <mergeCell ref="E4856:F4856"/>
    <mergeCell ref="E4857:F4857"/>
    <mergeCell ref="E4879:H4879"/>
    <mergeCell ref="E4880:H4880"/>
    <mergeCell ref="E4881:H4881"/>
    <mergeCell ref="E4806:H4806"/>
    <mergeCell ref="E4760:F4760"/>
    <mergeCell ref="E4761:F4761"/>
    <mergeCell ref="E4762:F4762"/>
    <mergeCell ref="E4807:H4807"/>
    <mergeCell ref="E4833:F4833"/>
    <mergeCell ref="E4835:F4835"/>
    <mergeCell ref="E4836:F4836"/>
    <mergeCell ref="E4838:F4838"/>
    <mergeCell ref="E4839:F4839"/>
    <mergeCell ref="E4824:F4824"/>
    <mergeCell ref="E4825:F4825"/>
    <mergeCell ref="E4826:F4826"/>
    <mergeCell ref="E4788:H4788"/>
    <mergeCell ref="E4789:H4789"/>
    <mergeCell ref="E4790:H4790"/>
    <mergeCell ref="E4791:H4791"/>
    <mergeCell ref="E4792:H4792"/>
    <mergeCell ref="E4793:H4793"/>
    <mergeCell ref="E4794:H4794"/>
    <mergeCell ref="E4680:F4680"/>
    <mergeCell ref="E4690:H4690"/>
    <mergeCell ref="E4691:H4691"/>
    <mergeCell ref="E4692:H4692"/>
    <mergeCell ref="E4693:H4693"/>
    <mergeCell ref="E4694:H4694"/>
    <mergeCell ref="E4695:H4695"/>
    <mergeCell ref="E4696:H4696"/>
    <mergeCell ref="E4697:H4697"/>
    <mergeCell ref="E4698:H4698"/>
    <mergeCell ref="E4699:H4699"/>
    <mergeCell ref="E4701:F4701"/>
    <mergeCell ref="E4702:F4702"/>
    <mergeCell ref="E4703:F4703"/>
    <mergeCell ref="E4704:F4704"/>
    <mergeCell ref="E4705:F4705"/>
    <mergeCell ref="E4706:F4706"/>
    <mergeCell ref="E4707:F4707"/>
    <mergeCell ref="E4708:F4708"/>
    <mergeCell ref="E4709:F4709"/>
    <mergeCell ref="E4710:F4710"/>
    <mergeCell ref="E4712:H4712"/>
    <mergeCell ref="E4713:H4713"/>
    <mergeCell ref="E4714:H4714"/>
    <mergeCell ref="E4715:H4715"/>
    <mergeCell ref="E4716:H4716"/>
    <mergeCell ref="E4717:H4717"/>
    <mergeCell ref="E4718:H4718"/>
    <mergeCell ref="E4719:H4719"/>
    <mergeCell ref="E4720:H4720"/>
    <mergeCell ref="E4721:H4721"/>
    <mergeCell ref="E4741:H4741"/>
    <mergeCell ref="E4746:F4746"/>
    <mergeCell ref="E4682:F4682"/>
    <mergeCell ref="E4684:F4684"/>
    <mergeCell ref="E4728:F4728"/>
    <mergeCell ref="E4736:H4736"/>
    <mergeCell ref="E4732:H4732"/>
    <mergeCell ref="E4733:H4733"/>
    <mergeCell ref="E4734:H4734"/>
    <mergeCell ref="E4735:H4735"/>
    <mergeCell ref="E4737:H4737"/>
    <mergeCell ref="E4738:H4738"/>
    <mergeCell ref="E4729:F4729"/>
    <mergeCell ref="E4722:F4722"/>
    <mergeCell ref="E4726:F4726"/>
    <mergeCell ref="E4727:F4727"/>
    <mergeCell ref="E4730:F4730"/>
    <mergeCell ref="E4731:F4731"/>
    <mergeCell ref="E4683:F4683"/>
    <mergeCell ref="E4689:F4689"/>
    <mergeCell ref="E4685:F4685"/>
    <mergeCell ref="E4681:F4681"/>
    <mergeCell ref="E4687:F4687"/>
    <mergeCell ref="E4723:F4723"/>
    <mergeCell ref="E4686:F4686"/>
    <mergeCell ref="E4688:F4688"/>
    <mergeCell ref="E4739:H4739"/>
    <mergeCell ref="E4740:H4740"/>
    <mergeCell ref="E4742:F4742"/>
    <mergeCell ref="E4743:F4743"/>
    <mergeCell ref="E4744:F4744"/>
    <mergeCell ref="E4745:F4745"/>
    <mergeCell ref="E4655:H4655"/>
    <mergeCell ref="E4656:H4656"/>
    <mergeCell ref="E4657:H4657"/>
    <mergeCell ref="E4631:F4631"/>
    <mergeCell ref="E4632:F4632"/>
    <mergeCell ref="E4586:H4586"/>
    <mergeCell ref="E4589:H4589"/>
    <mergeCell ref="E4593:F4593"/>
    <mergeCell ref="E4599:F4599"/>
    <mergeCell ref="E4600:F4600"/>
    <mergeCell ref="E4633:F4633"/>
    <mergeCell ref="E4634:F4634"/>
    <mergeCell ref="E4627:F4627"/>
    <mergeCell ref="E4628:F4628"/>
    <mergeCell ref="E4629:F4629"/>
    <mergeCell ref="E4588:H4588"/>
    <mergeCell ref="E4636:F4636"/>
    <mergeCell ref="E4637:F4637"/>
    <mergeCell ref="E4638:F4638"/>
    <mergeCell ref="E4642:H4642"/>
    <mergeCell ref="E4648:H4648"/>
    <mergeCell ref="E4572:F4572"/>
    <mergeCell ref="E4574:F4574"/>
    <mergeCell ref="E4575:F4575"/>
    <mergeCell ref="E4576:F4576"/>
    <mergeCell ref="E4577:F4577"/>
    <mergeCell ref="E4578:F4578"/>
    <mergeCell ref="E4582:H4582"/>
    <mergeCell ref="E4584:H4584"/>
    <mergeCell ref="E4590:F4590"/>
    <mergeCell ref="E4592:F4592"/>
    <mergeCell ref="E4602:F4602"/>
    <mergeCell ref="E4603:F4603"/>
    <mergeCell ref="E4617:F4617"/>
    <mergeCell ref="E4618:F4618"/>
    <mergeCell ref="E4619:F4619"/>
    <mergeCell ref="E4620:F4620"/>
    <mergeCell ref="E4630:F4630"/>
    <mergeCell ref="E4604:F4604"/>
    <mergeCell ref="E4601:F4601"/>
    <mergeCell ref="E4606:F4606"/>
    <mergeCell ref="E4607:F4607"/>
    <mergeCell ref="E4605:F4605"/>
    <mergeCell ref="E4640:F4640"/>
    <mergeCell ref="E4643:F4643"/>
    <mergeCell ref="E4644:F4644"/>
    <mergeCell ref="E4645:F4645"/>
    <mergeCell ref="E4646:F4646"/>
    <mergeCell ref="E4649:H4649"/>
    <mergeCell ref="E4650:H4650"/>
    <mergeCell ref="E4651:H4651"/>
    <mergeCell ref="E4652:H4652"/>
    <mergeCell ref="E4653:H4653"/>
    <mergeCell ref="E4654:H4654"/>
    <mergeCell ref="E4626:H4626"/>
    <mergeCell ref="E4639:F4639"/>
    <mergeCell ref="E4625:H4625"/>
    <mergeCell ref="E4579:F4579"/>
    <mergeCell ref="E4580:F4580"/>
    <mergeCell ref="E4581:F4581"/>
    <mergeCell ref="E4583:H4583"/>
    <mergeCell ref="E4585:H4585"/>
    <mergeCell ref="E4587:H4587"/>
    <mergeCell ref="E4597:H4597"/>
    <mergeCell ref="E4562:F4562"/>
    <mergeCell ref="E4563:F4563"/>
    <mergeCell ref="E4476:F4476"/>
    <mergeCell ref="E4477:F4477"/>
    <mergeCell ref="E4478:F4478"/>
    <mergeCell ref="E4479:F4479"/>
    <mergeCell ref="E4480:F4480"/>
    <mergeCell ref="E4481:F4481"/>
    <mergeCell ref="E4482:F4482"/>
    <mergeCell ref="E4483:F4483"/>
    <mergeCell ref="E4485:F4485"/>
    <mergeCell ref="E4488:H4488"/>
    <mergeCell ref="E4492:H4492"/>
    <mergeCell ref="E4493:H4493"/>
    <mergeCell ref="E4494:H4494"/>
    <mergeCell ref="E4495:H4495"/>
    <mergeCell ref="E4496:H4496"/>
    <mergeCell ref="E4497:H4497"/>
    <mergeCell ref="E4505:F4505"/>
    <mergeCell ref="E4509:H4509"/>
    <mergeCell ref="E4510:H4510"/>
    <mergeCell ref="E4511:H4511"/>
    <mergeCell ref="E4512:H4512"/>
    <mergeCell ref="E4513:H4513"/>
    <mergeCell ref="E4514:H4514"/>
    <mergeCell ref="E4515:H4515"/>
    <mergeCell ref="E4516:H4516"/>
    <mergeCell ref="E4421:H4421"/>
    <mergeCell ref="E4430:H4430"/>
    <mergeCell ref="E4431:H4431"/>
    <mergeCell ref="E4432:H4432"/>
    <mergeCell ref="E4433:H4433"/>
    <mergeCell ref="E4440:F4440"/>
    <mergeCell ref="E4441:F4441"/>
    <mergeCell ref="E4442:F4442"/>
    <mergeCell ref="E4443:F4443"/>
    <mergeCell ref="E4444:F4444"/>
    <mergeCell ref="E4448:H4448"/>
    <mergeCell ref="E4449:H4449"/>
    <mergeCell ref="E4450:H4450"/>
    <mergeCell ref="E4451:H4451"/>
    <mergeCell ref="E4452:H4452"/>
    <mergeCell ref="E4458:F4458"/>
    <mergeCell ref="E4459:F4459"/>
    <mergeCell ref="E4460:F4460"/>
    <mergeCell ref="E4461:F4461"/>
    <mergeCell ref="E4462:F4462"/>
    <mergeCell ref="E4501:F4501"/>
    <mergeCell ref="E4518:F4518"/>
    <mergeCell ref="E4519:F4519"/>
    <mergeCell ref="E4520:F4520"/>
    <mergeCell ref="E4521:F4521"/>
    <mergeCell ref="E4522:F4522"/>
    <mergeCell ref="E4523:F4523"/>
    <mergeCell ref="E4524:F4524"/>
    <mergeCell ref="E4517:F4517"/>
    <mergeCell ref="E4463:F4463"/>
    <mergeCell ref="E4464:F4464"/>
    <mergeCell ref="E4559:F4559"/>
    <mergeCell ref="E4560:F4560"/>
    <mergeCell ref="E4504:F4504"/>
    <mergeCell ref="E4506:F4506"/>
    <mergeCell ref="E4507:F4507"/>
    <mergeCell ref="E4508:F4508"/>
    <mergeCell ref="E4553:F4553"/>
    <mergeCell ref="E4554:F4554"/>
    <mergeCell ref="E4453:F4453"/>
    <mergeCell ref="E4454:F4454"/>
    <mergeCell ref="E4467:H4467"/>
    <mergeCell ref="E4545:H4545"/>
    <mergeCell ref="E4548:H4548"/>
    <mergeCell ref="E4536:F4536"/>
    <mergeCell ref="E4537:F4537"/>
    <mergeCell ref="E4538:F4538"/>
    <mergeCell ref="E4551:H4551"/>
    <mergeCell ref="E4552:H4552"/>
    <mergeCell ref="E4471:H4471"/>
    <mergeCell ref="E4472:H4472"/>
    <mergeCell ref="E4473:H4473"/>
    <mergeCell ref="E4276:F4276"/>
    <mergeCell ref="E4277:F4277"/>
    <mergeCell ref="E4281:H4281"/>
    <mergeCell ref="E4282:H4282"/>
    <mergeCell ref="E4283:H4283"/>
    <mergeCell ref="E4284:H4284"/>
    <mergeCell ref="E4285:H4285"/>
    <mergeCell ref="E4288:F4288"/>
    <mergeCell ref="E4289:F4289"/>
    <mergeCell ref="E4298:H4298"/>
    <mergeCell ref="E4299:H4299"/>
    <mergeCell ref="E4300:H4300"/>
    <mergeCell ref="E4301:H4301"/>
    <mergeCell ref="E4302:H4302"/>
    <mergeCell ref="E4303:H4303"/>
    <mergeCell ref="E4304:H4304"/>
    <mergeCell ref="E4305:H4305"/>
    <mergeCell ref="E4312:F4312"/>
    <mergeCell ref="E4316:H4316"/>
    <mergeCell ref="E4317:H4317"/>
    <mergeCell ref="E4318:H4318"/>
    <mergeCell ref="E4319:H4319"/>
    <mergeCell ref="E4320:H4320"/>
    <mergeCell ref="E4324:F4324"/>
    <mergeCell ref="E4325:F4325"/>
    <mergeCell ref="E4334:H4334"/>
    <mergeCell ref="E4335:H4335"/>
    <mergeCell ref="E4336:H4336"/>
    <mergeCell ref="E4337:H4337"/>
    <mergeCell ref="E4338:H4338"/>
    <mergeCell ref="E4339:H4339"/>
    <mergeCell ref="E4341:H4341"/>
    <mergeCell ref="E4343:F4343"/>
    <mergeCell ref="E4342:F4342"/>
    <mergeCell ref="E4331:F4331"/>
    <mergeCell ref="E4332:F4332"/>
    <mergeCell ref="E4333:F4333"/>
    <mergeCell ref="E4315:F4315"/>
    <mergeCell ref="E4278:H4278"/>
    <mergeCell ref="E4280:H4280"/>
    <mergeCell ref="E4296:F4296"/>
    <mergeCell ref="E4297:F4297"/>
    <mergeCell ref="E4307:F4307"/>
    <mergeCell ref="E4308:F4308"/>
    <mergeCell ref="E4321:H4321"/>
    <mergeCell ref="E4322:H4322"/>
    <mergeCell ref="E4326:F4326"/>
    <mergeCell ref="E4327:F4327"/>
    <mergeCell ref="E4295:F4295"/>
    <mergeCell ref="E4309:F4309"/>
    <mergeCell ref="E4310:F4310"/>
    <mergeCell ref="E4311:F4311"/>
    <mergeCell ref="E4313:F4313"/>
    <mergeCell ref="E4314:F4314"/>
    <mergeCell ref="E4323:H4323"/>
    <mergeCell ref="E4340:H4340"/>
    <mergeCell ref="E4330:F4330"/>
    <mergeCell ref="E4294:F4294"/>
    <mergeCell ref="E4306:F4306"/>
    <mergeCell ref="E4231:F4231"/>
    <mergeCell ref="E4232:F4232"/>
    <mergeCell ref="E4233:F4233"/>
    <mergeCell ref="E4234:F4234"/>
    <mergeCell ref="E4239:H4239"/>
    <mergeCell ref="E4240:H4240"/>
    <mergeCell ref="E4241:H4241"/>
    <mergeCell ref="E4242:H4242"/>
    <mergeCell ref="E4243:H4243"/>
    <mergeCell ref="E4244:H4244"/>
    <mergeCell ref="E4245:H4245"/>
    <mergeCell ref="E4246:H4246"/>
    <mergeCell ref="E4249:F4249"/>
    <mergeCell ref="E4250:F4250"/>
    <mergeCell ref="E4251:F4251"/>
    <mergeCell ref="E4252:F4252"/>
    <mergeCell ref="E4253:F4253"/>
    <mergeCell ref="E4254:F4254"/>
    <mergeCell ref="E4255:F4255"/>
    <mergeCell ref="E4256:F4256"/>
    <mergeCell ref="E4258:H4258"/>
    <mergeCell ref="E4259:H4259"/>
    <mergeCell ref="E4260:H4260"/>
    <mergeCell ref="E4261:H4261"/>
    <mergeCell ref="E4262:H4262"/>
    <mergeCell ref="E4263:H4263"/>
    <mergeCell ref="E4264:H4264"/>
    <mergeCell ref="E4265:H4265"/>
    <mergeCell ref="E4266:H4266"/>
    <mergeCell ref="E4267:H4267"/>
    <mergeCell ref="E4273:F4273"/>
    <mergeCell ref="E4274:F4274"/>
    <mergeCell ref="E4275:F4275"/>
    <mergeCell ref="E4292:F4292"/>
    <mergeCell ref="E4328:F4328"/>
    <mergeCell ref="E4173:H4173"/>
    <mergeCell ref="E4177:F4177"/>
    <mergeCell ref="E4179:F4179"/>
    <mergeCell ref="E4180:F4180"/>
    <mergeCell ref="E4181:F4181"/>
    <mergeCell ref="E4182:F4182"/>
    <mergeCell ref="E4183:F4183"/>
    <mergeCell ref="E4188:H4188"/>
    <mergeCell ref="E4189:H4189"/>
    <mergeCell ref="E4190:H4190"/>
    <mergeCell ref="E4191:H4191"/>
    <mergeCell ref="E4192:H4192"/>
    <mergeCell ref="E4193:H4193"/>
    <mergeCell ref="E4202:F4202"/>
    <mergeCell ref="E4203:F4203"/>
    <mergeCell ref="E4204:F4204"/>
    <mergeCell ref="E4205:F4205"/>
    <mergeCell ref="E4206:F4206"/>
    <mergeCell ref="E4207:F4207"/>
    <mergeCell ref="E4215:H4215"/>
    <mergeCell ref="E4216:H4216"/>
    <mergeCell ref="E4217:H4217"/>
    <mergeCell ref="E4218:H4218"/>
    <mergeCell ref="E4219:H4219"/>
    <mergeCell ref="E4220:H4220"/>
    <mergeCell ref="E4221:H4221"/>
    <mergeCell ref="E4222:H4222"/>
    <mergeCell ref="E4223:H4223"/>
    <mergeCell ref="E4224:H4224"/>
    <mergeCell ref="E4225:H4225"/>
    <mergeCell ref="E4226:H4226"/>
    <mergeCell ref="E4229:F4229"/>
    <mergeCell ref="E4230:F4230"/>
    <mergeCell ref="E4213:F4213"/>
    <mergeCell ref="E4214:F4214"/>
    <mergeCell ref="E4196:F4196"/>
    <mergeCell ref="E4197:F4197"/>
    <mergeCell ref="E4210:H4210"/>
    <mergeCell ref="E4185:F4185"/>
    <mergeCell ref="E4186:F4186"/>
    <mergeCell ref="E4187:F4187"/>
    <mergeCell ref="E4194:F4194"/>
    <mergeCell ref="E4195:F4195"/>
    <mergeCell ref="E4211:F4211"/>
    <mergeCell ref="E4212:F4212"/>
    <mergeCell ref="E4117:H4117"/>
    <mergeCell ref="E4118:H4118"/>
    <mergeCell ref="E4119:H4119"/>
    <mergeCell ref="E4120:H4120"/>
    <mergeCell ref="E4121:H4121"/>
    <mergeCell ref="E4122:H4122"/>
    <mergeCell ref="E4124:F4124"/>
    <mergeCell ref="E4125:F4125"/>
    <mergeCell ref="E4126:F4126"/>
    <mergeCell ref="E4127:F4127"/>
    <mergeCell ref="E4128:F4128"/>
    <mergeCell ref="E4129:F4129"/>
    <mergeCell ref="E4135:H4135"/>
    <mergeCell ref="E4136:H4136"/>
    <mergeCell ref="E4137:H4137"/>
    <mergeCell ref="E4138:H4138"/>
    <mergeCell ref="E4139:H4139"/>
    <mergeCell ref="E4140:H4140"/>
    <mergeCell ref="E4141:H4141"/>
    <mergeCell ref="E4142:H4142"/>
    <mergeCell ref="E4143:F4143"/>
    <mergeCell ref="E4144:F4144"/>
    <mergeCell ref="E4147:F4147"/>
    <mergeCell ref="E4156:F4156"/>
    <mergeCell ref="E4160:H4160"/>
    <mergeCell ref="E4161:H4161"/>
    <mergeCell ref="E4162:H4162"/>
    <mergeCell ref="E4163:H4163"/>
    <mergeCell ref="E4164:H4164"/>
    <mergeCell ref="E4165:H4165"/>
    <mergeCell ref="E4170:H4170"/>
    <mergeCell ref="E4171:H4171"/>
    <mergeCell ref="E4172:H4172"/>
    <mergeCell ref="E4130:F4130"/>
    <mergeCell ref="E4153:H4153"/>
    <mergeCell ref="E4154:H4154"/>
    <mergeCell ref="E4167:F4167"/>
    <mergeCell ref="E4131:F4131"/>
    <mergeCell ref="E4132:F4132"/>
    <mergeCell ref="E4133:F4133"/>
    <mergeCell ref="E4152:H4152"/>
    <mergeCell ref="E4123:F4123"/>
    <mergeCell ref="E4155:H4155"/>
    <mergeCell ref="E4157:H4157"/>
    <mergeCell ref="E4158:H4158"/>
    <mergeCell ref="E4159:H4159"/>
    <mergeCell ref="E4149:H4149"/>
    <mergeCell ref="E4134:F4134"/>
    <mergeCell ref="E4009:H4009"/>
    <mergeCell ref="E4010:H4010"/>
    <mergeCell ref="E4011:H4011"/>
    <mergeCell ref="E4012:H4012"/>
    <mergeCell ref="E4013:H4013"/>
    <mergeCell ref="E4020:F4020"/>
    <mergeCell ref="E4021:F4021"/>
    <mergeCell ref="E4033:H4033"/>
    <mergeCell ref="E4034:H4034"/>
    <mergeCell ref="E4035:H4035"/>
    <mergeCell ref="E4041:F4041"/>
    <mergeCell ref="E4042:F4042"/>
    <mergeCell ref="E4043:F4043"/>
    <mergeCell ref="E4054:H4054"/>
    <mergeCell ref="E4055:H4055"/>
    <mergeCell ref="E4056:H4056"/>
    <mergeCell ref="E4064:F4064"/>
    <mergeCell ref="E4076:F4076"/>
    <mergeCell ref="E4077:F4077"/>
    <mergeCell ref="E4084:H4084"/>
    <mergeCell ref="E4085:H4085"/>
    <mergeCell ref="E4095:F4095"/>
    <mergeCell ref="E4096:F4096"/>
    <mergeCell ref="E4103:H4103"/>
    <mergeCell ref="E4104:H4104"/>
    <mergeCell ref="E4107:F4107"/>
    <mergeCell ref="E4108:F4108"/>
    <mergeCell ref="E4109:F4109"/>
    <mergeCell ref="E4110:F4110"/>
    <mergeCell ref="E4111:F4111"/>
    <mergeCell ref="E4115:H4115"/>
    <mergeCell ref="E4116:H4116"/>
    <mergeCell ref="E4017:H4017"/>
    <mergeCell ref="E4018:H4018"/>
    <mergeCell ref="E4019:H4019"/>
    <mergeCell ref="E4022:F4022"/>
    <mergeCell ref="E4024:F4024"/>
    <mergeCell ref="E4025:F4025"/>
    <mergeCell ref="E4027:F4027"/>
    <mergeCell ref="E4028:F4028"/>
    <mergeCell ref="E4030:F4030"/>
    <mergeCell ref="E4038:H4038"/>
    <mergeCell ref="E4105:F4105"/>
    <mergeCell ref="E4106:F4106"/>
    <mergeCell ref="E4100:H4100"/>
    <mergeCell ref="E4112:F4112"/>
    <mergeCell ref="E4071:F4071"/>
    <mergeCell ref="E4072:F4072"/>
    <mergeCell ref="E4073:F4073"/>
    <mergeCell ref="E4074:F4074"/>
    <mergeCell ref="E4075:F4075"/>
    <mergeCell ref="E4058:H4058"/>
    <mergeCell ref="E4059:H4059"/>
    <mergeCell ref="E4060:H4060"/>
    <mergeCell ref="E4061:H4061"/>
    <mergeCell ref="E4062:H4062"/>
    <mergeCell ref="E4063:H4063"/>
    <mergeCell ref="E4047:F4047"/>
    <mergeCell ref="E4114:F4114"/>
    <mergeCell ref="E4097:H4097"/>
    <mergeCell ref="E4098:H4098"/>
    <mergeCell ref="E4099:H4099"/>
    <mergeCell ref="E4052:F4052"/>
    <mergeCell ref="E4080:H4080"/>
    <mergeCell ref="E3964:F3964"/>
    <mergeCell ref="E3965:F3965"/>
    <mergeCell ref="E3982:H3982"/>
    <mergeCell ref="E3983:H3983"/>
    <mergeCell ref="E3984:H3984"/>
    <mergeCell ref="E3985:H3985"/>
    <mergeCell ref="E3986:F3986"/>
    <mergeCell ref="E3987:F3987"/>
    <mergeCell ref="E3988:F3988"/>
    <mergeCell ref="E3989:F3989"/>
    <mergeCell ref="E3990:F3990"/>
    <mergeCell ref="E3991:F3991"/>
    <mergeCell ref="E3992:F3992"/>
    <mergeCell ref="E3993:F3993"/>
    <mergeCell ref="E3994:F3994"/>
    <mergeCell ref="E3995:F3995"/>
    <mergeCell ref="E3996:F3996"/>
    <mergeCell ref="E3997:F3997"/>
    <mergeCell ref="E3998:F3998"/>
    <mergeCell ref="E3999:F3999"/>
    <mergeCell ref="E4001:H4001"/>
    <mergeCell ref="E4006:H4006"/>
    <mergeCell ref="E4007:H4007"/>
    <mergeCell ref="E3972:F3972"/>
    <mergeCell ref="E3973:F3973"/>
    <mergeCell ref="E3974:F3974"/>
    <mergeCell ref="E3975:F3975"/>
    <mergeCell ref="E3976:F3976"/>
    <mergeCell ref="E3978:F3978"/>
    <mergeCell ref="E3979:F3979"/>
    <mergeCell ref="E3967:F3967"/>
    <mergeCell ref="E3968:F3968"/>
    <mergeCell ref="E4008:H4008"/>
    <mergeCell ref="E3966:F3966"/>
    <mergeCell ref="E3941:F3941"/>
    <mergeCell ref="E3910:H3910"/>
    <mergeCell ref="E3927:H3927"/>
    <mergeCell ref="E3928:H3928"/>
    <mergeCell ref="E3923:H3923"/>
    <mergeCell ref="E3924:H3924"/>
    <mergeCell ref="E3925:H3925"/>
    <mergeCell ref="E3903:F3903"/>
    <mergeCell ref="E3904:F3904"/>
    <mergeCell ref="E3911:H3911"/>
    <mergeCell ref="E3912:H3912"/>
    <mergeCell ref="E3918:H3918"/>
    <mergeCell ref="E3919:H3919"/>
    <mergeCell ref="E3920:H3920"/>
    <mergeCell ref="E3921:H3921"/>
    <mergeCell ref="E3922:H3922"/>
    <mergeCell ref="E3899:F3899"/>
    <mergeCell ref="E3900:F3900"/>
    <mergeCell ref="E3902:F3902"/>
    <mergeCell ref="E3929:H3929"/>
    <mergeCell ref="E3930:H3930"/>
    <mergeCell ref="E3948:H3948"/>
    <mergeCell ref="E3949:H3949"/>
    <mergeCell ref="E3950:H3950"/>
    <mergeCell ref="E3956:H3956"/>
    <mergeCell ref="E3951:F3951"/>
    <mergeCell ref="E3954:F3954"/>
    <mergeCell ref="E3957:H3957"/>
    <mergeCell ref="E3958:H3958"/>
    <mergeCell ref="E3959:H3959"/>
    <mergeCell ref="E3961:F3961"/>
    <mergeCell ref="E3962:F3962"/>
    <mergeCell ref="E3963:F3963"/>
    <mergeCell ref="E3943:H3943"/>
    <mergeCell ref="E3953:F3953"/>
    <mergeCell ref="E3894:H3894"/>
    <mergeCell ref="E3895:H3895"/>
    <mergeCell ref="E3896:H3896"/>
    <mergeCell ref="E3897:H3897"/>
    <mergeCell ref="E3905:F3905"/>
    <mergeCell ref="E3906:F3906"/>
    <mergeCell ref="E3907:F3907"/>
    <mergeCell ref="E3908:F3908"/>
    <mergeCell ref="E3909:F3909"/>
    <mergeCell ref="E3913:H3913"/>
    <mergeCell ref="E3914:H3914"/>
    <mergeCell ref="E3915:H3915"/>
    <mergeCell ref="E3916:H3916"/>
    <mergeCell ref="E3917:H3917"/>
    <mergeCell ref="E3926:H3926"/>
    <mergeCell ref="E3870:H3870"/>
    <mergeCell ref="E3871:H3871"/>
    <mergeCell ref="E3872:H3872"/>
    <mergeCell ref="E3873:H3873"/>
    <mergeCell ref="E3874:H3874"/>
    <mergeCell ref="E3875:H3875"/>
    <mergeCell ref="E3876:H3876"/>
    <mergeCell ref="E3877:H3877"/>
    <mergeCell ref="E3878:H3878"/>
    <mergeCell ref="E3882:F3882"/>
    <mergeCell ref="E3931:F3931"/>
    <mergeCell ref="E3932:F3932"/>
    <mergeCell ref="E3933:F3933"/>
    <mergeCell ref="E3934:F3934"/>
    <mergeCell ref="E3935:F3935"/>
    <mergeCell ref="E3936:F3936"/>
    <mergeCell ref="E3939:F3939"/>
    <mergeCell ref="E3940:F3940"/>
    <mergeCell ref="E3898:F3898"/>
    <mergeCell ref="E3901:F3901"/>
    <mergeCell ref="E3828:H3828"/>
    <mergeCell ref="E3829:H3829"/>
    <mergeCell ref="E3830:H3830"/>
    <mergeCell ref="E3831:H3831"/>
    <mergeCell ref="E3832:H3832"/>
    <mergeCell ref="E3842:F3842"/>
    <mergeCell ref="E3843:F3843"/>
    <mergeCell ref="E3844:F3844"/>
    <mergeCell ref="E3845:F3845"/>
    <mergeCell ref="E3850:H3850"/>
    <mergeCell ref="E3849:H3849"/>
    <mergeCell ref="E3840:F3840"/>
    <mergeCell ref="E3841:F3841"/>
    <mergeCell ref="E3846:H3846"/>
    <mergeCell ref="E3847:H3847"/>
    <mergeCell ref="E3848:H3848"/>
    <mergeCell ref="E3835:F3835"/>
    <mergeCell ref="E3833:F3833"/>
    <mergeCell ref="E3836:F3836"/>
    <mergeCell ref="E3834:F3834"/>
    <mergeCell ref="E3813:F3813"/>
    <mergeCell ref="E3837:F3837"/>
    <mergeCell ref="E3838:F3838"/>
    <mergeCell ref="E3839:F3839"/>
    <mergeCell ref="E3885:F3885"/>
    <mergeCell ref="E3860:F3860"/>
    <mergeCell ref="E3861:F3861"/>
    <mergeCell ref="E3879:F3879"/>
    <mergeCell ref="E3880:F3880"/>
    <mergeCell ref="E3869:H3869"/>
    <mergeCell ref="E3856:F3856"/>
    <mergeCell ref="E3851:H3851"/>
    <mergeCell ref="E3852:H3852"/>
    <mergeCell ref="E3853:H3853"/>
    <mergeCell ref="E3854:H3854"/>
    <mergeCell ref="E3855:H3855"/>
    <mergeCell ref="E3862:F3862"/>
    <mergeCell ref="E3863:F3863"/>
    <mergeCell ref="E3864:F3864"/>
    <mergeCell ref="E3865:F3865"/>
    <mergeCell ref="E3866:F3866"/>
    <mergeCell ref="E3867:F3867"/>
    <mergeCell ref="E3868:F3868"/>
    <mergeCell ref="E3801:H3801"/>
    <mergeCell ref="E3802:H3802"/>
    <mergeCell ref="E3748:F3748"/>
    <mergeCell ref="E3789:F3789"/>
    <mergeCell ref="E3790:F3790"/>
    <mergeCell ref="E3796:H3796"/>
    <mergeCell ref="E3758:F3758"/>
    <mergeCell ref="E3759:F3759"/>
    <mergeCell ref="E3760:F3760"/>
    <mergeCell ref="E3761:F3761"/>
    <mergeCell ref="E3803:H3803"/>
    <mergeCell ref="E3804:H3804"/>
    <mergeCell ref="E3805:H3805"/>
    <mergeCell ref="E3806:H3806"/>
    <mergeCell ref="E3807:H3807"/>
    <mergeCell ref="E3808:H3808"/>
    <mergeCell ref="E3809:H3809"/>
    <mergeCell ref="E3810:H3810"/>
    <mergeCell ref="E3811:H3811"/>
    <mergeCell ref="E3812:H3812"/>
    <mergeCell ref="E3815:F3815"/>
    <mergeCell ref="E3816:F3816"/>
    <mergeCell ref="E3817:F3817"/>
    <mergeCell ref="E3818:F3818"/>
    <mergeCell ref="E3819:F3819"/>
    <mergeCell ref="E3820:F3820"/>
    <mergeCell ref="E3821:F3821"/>
    <mergeCell ref="E3822:F3822"/>
    <mergeCell ref="E3823:F3823"/>
    <mergeCell ref="E3824:F3824"/>
    <mergeCell ref="E3825:H3825"/>
    <mergeCell ref="E3826:H3826"/>
    <mergeCell ref="E3827:H3827"/>
    <mergeCell ref="E3782:F3782"/>
    <mergeCell ref="E3783:F3783"/>
    <mergeCell ref="E3784:F3784"/>
    <mergeCell ref="E3785:F3785"/>
    <mergeCell ref="E3786:F3786"/>
    <mergeCell ref="E3787:F3787"/>
    <mergeCell ref="E3788:F3788"/>
    <mergeCell ref="E3814:F3814"/>
    <mergeCell ref="E3601:H3601"/>
    <mergeCell ref="E3602:H3602"/>
    <mergeCell ref="E3603:H3603"/>
    <mergeCell ref="E3611:F3611"/>
    <mergeCell ref="E3612:F3612"/>
    <mergeCell ref="E3625:H3625"/>
    <mergeCell ref="E3633:F3633"/>
    <mergeCell ref="E3645:F3645"/>
    <mergeCell ref="E3646:F3646"/>
    <mergeCell ref="E3647:F3647"/>
    <mergeCell ref="E3653:H3653"/>
    <mergeCell ref="E3654:H3654"/>
    <mergeCell ref="E3655:H3655"/>
    <mergeCell ref="E3656:H3656"/>
    <mergeCell ref="E3657:H3657"/>
    <mergeCell ref="E3665:F3665"/>
    <mergeCell ref="E3666:F3666"/>
    <mergeCell ref="E3667:F3667"/>
    <mergeCell ref="E3668:F3668"/>
    <mergeCell ref="E3669:F3669"/>
    <mergeCell ref="E3660:F3660"/>
    <mergeCell ref="E3661:F3661"/>
    <mergeCell ref="E3662:F3662"/>
    <mergeCell ref="E3630:H3630"/>
    <mergeCell ref="E3634:F3634"/>
    <mergeCell ref="E3635:F3635"/>
    <mergeCell ref="E3636:F3636"/>
    <mergeCell ref="E3637:F3637"/>
    <mergeCell ref="E3638:F3638"/>
    <mergeCell ref="E3639:F3639"/>
    <mergeCell ref="E3640:F3640"/>
    <mergeCell ref="E3632:H3632"/>
    <mergeCell ref="E3631:H3631"/>
    <mergeCell ref="E3648:H3648"/>
    <mergeCell ref="E3649:H3649"/>
    <mergeCell ref="E3650:H3650"/>
    <mergeCell ref="E3651:H3651"/>
    <mergeCell ref="E3652:H3652"/>
    <mergeCell ref="E3658:F3658"/>
    <mergeCell ref="E3659:F3659"/>
    <mergeCell ref="E3663:F3663"/>
    <mergeCell ref="E3604:H3604"/>
    <mergeCell ref="E3605:H3605"/>
    <mergeCell ref="E3606:H3606"/>
    <mergeCell ref="E3641:F3641"/>
    <mergeCell ref="E3642:F3642"/>
    <mergeCell ref="E3643:F3643"/>
    <mergeCell ref="E3644:F3644"/>
    <mergeCell ref="E3561:F3561"/>
    <mergeCell ref="E3563:F3563"/>
    <mergeCell ref="E3564:F3564"/>
    <mergeCell ref="E3565:F3565"/>
    <mergeCell ref="E3566:F3566"/>
    <mergeCell ref="E3567:F3567"/>
    <mergeCell ref="E3568:F3568"/>
    <mergeCell ref="E3569:F3569"/>
    <mergeCell ref="E3571:H3571"/>
    <mergeCell ref="E3572:H3572"/>
    <mergeCell ref="E3573:H3573"/>
    <mergeCell ref="E3574:H3574"/>
    <mergeCell ref="E3575:H3575"/>
    <mergeCell ref="E3583:F3583"/>
    <mergeCell ref="E3584:F3584"/>
    <mergeCell ref="E3585:F3585"/>
    <mergeCell ref="E3586:F3586"/>
    <mergeCell ref="E3555:F3555"/>
    <mergeCell ref="E3587:F3587"/>
    <mergeCell ref="E3588:F3588"/>
    <mergeCell ref="E3589:F3589"/>
    <mergeCell ref="E3590:F3590"/>
    <mergeCell ref="E3592:H3592"/>
    <mergeCell ref="E3593:G3593"/>
    <mergeCell ref="E3594:G3594"/>
    <mergeCell ref="E3595:G3595"/>
    <mergeCell ref="E3596:G3596"/>
    <mergeCell ref="E3597:H3597"/>
    <mergeCell ref="E3582:F3582"/>
    <mergeCell ref="E3598:H3598"/>
    <mergeCell ref="E3599:H3599"/>
    <mergeCell ref="E3600:H3600"/>
    <mergeCell ref="E3559:F3559"/>
    <mergeCell ref="E3343:H3343"/>
    <mergeCell ref="E3344:H3344"/>
    <mergeCell ref="E3345:H3345"/>
    <mergeCell ref="E3346:H3346"/>
    <mergeCell ref="E3347:H3347"/>
    <mergeCell ref="E3348:H3348"/>
    <mergeCell ref="E3349:H3349"/>
    <mergeCell ref="E3352:F3352"/>
    <mergeCell ref="E3353:F3353"/>
    <mergeCell ref="E3354:F3354"/>
    <mergeCell ref="E3355:F3355"/>
    <mergeCell ref="E3356:F3356"/>
    <mergeCell ref="E3357:F3357"/>
    <mergeCell ref="E3358:F3358"/>
    <mergeCell ref="E3359:F3359"/>
    <mergeCell ref="E3360:F3360"/>
    <mergeCell ref="E3361:F3361"/>
    <mergeCell ref="E3362:F3362"/>
    <mergeCell ref="E3363:F3363"/>
    <mergeCell ref="E3372:H3372"/>
    <mergeCell ref="E3332:F3332"/>
    <mergeCell ref="E3339:F3339"/>
    <mergeCell ref="E3373:H3373"/>
    <mergeCell ref="E3374:H3374"/>
    <mergeCell ref="E3386:F3386"/>
    <mergeCell ref="E3387:F3387"/>
    <mergeCell ref="E3388:F3388"/>
    <mergeCell ref="E3394:H3394"/>
    <mergeCell ref="E3395:H3395"/>
    <mergeCell ref="E3396:H3396"/>
    <mergeCell ref="E3397:H3397"/>
    <mergeCell ref="E3398:H3398"/>
    <mergeCell ref="E3399:H3399"/>
    <mergeCell ref="E3389:H3389"/>
    <mergeCell ref="E3390:H3390"/>
    <mergeCell ref="E3391:H3391"/>
    <mergeCell ref="E3392:H3392"/>
    <mergeCell ref="E3393:H3393"/>
    <mergeCell ref="E3364:H3364"/>
    <mergeCell ref="E3365:H3365"/>
    <mergeCell ref="E3366:H3366"/>
    <mergeCell ref="E3367:H3367"/>
    <mergeCell ref="E3368:H3368"/>
    <mergeCell ref="E3369:H3369"/>
    <mergeCell ref="E3370:H3370"/>
    <mergeCell ref="E3371:H3371"/>
    <mergeCell ref="E3376:F3376"/>
    <mergeCell ref="E3377:F3377"/>
    <mergeCell ref="E3378:F3378"/>
    <mergeCell ref="E3379:F3379"/>
    <mergeCell ref="E3380:F3380"/>
    <mergeCell ref="E3381:F3381"/>
    <mergeCell ref="E3382:F3382"/>
    <mergeCell ref="E3383:F3383"/>
    <mergeCell ref="E3384:F3384"/>
    <mergeCell ref="E3385:F3385"/>
    <mergeCell ref="E3350:F3350"/>
    <mergeCell ref="E3351:F3351"/>
    <mergeCell ref="E3375:F3375"/>
    <mergeCell ref="E3319:H3319"/>
    <mergeCell ref="E3320:H3320"/>
    <mergeCell ref="E3321:H3321"/>
    <mergeCell ref="E3322:H3322"/>
    <mergeCell ref="E3264:F3264"/>
    <mergeCell ref="E3311:F3311"/>
    <mergeCell ref="E3312:F3312"/>
    <mergeCell ref="E3313:F3313"/>
    <mergeCell ref="E3314:F3314"/>
    <mergeCell ref="E3323:H3323"/>
    <mergeCell ref="E3324:H3324"/>
    <mergeCell ref="E3325:H3325"/>
    <mergeCell ref="E3326:H3326"/>
    <mergeCell ref="E3327:H3327"/>
    <mergeCell ref="E3328:H3328"/>
    <mergeCell ref="E3333:F3333"/>
    <mergeCell ref="E3334:F3334"/>
    <mergeCell ref="E3335:F3335"/>
    <mergeCell ref="E3336:F3336"/>
    <mergeCell ref="E3337:F3337"/>
    <mergeCell ref="E3338:F3338"/>
    <mergeCell ref="E3342:H3342"/>
    <mergeCell ref="E3299:F3299"/>
    <mergeCell ref="E3330:F3330"/>
    <mergeCell ref="E3331:F3331"/>
    <mergeCell ref="E3329:F3329"/>
    <mergeCell ref="E3340:F3340"/>
    <mergeCell ref="E3341:F3341"/>
    <mergeCell ref="E3300:F3300"/>
    <mergeCell ref="E3307:F3307"/>
    <mergeCell ref="E3308:F3308"/>
    <mergeCell ref="E3297:F3297"/>
    <mergeCell ref="E3267:F3267"/>
    <mergeCell ref="E3266:F3266"/>
    <mergeCell ref="E3279:F3279"/>
    <mergeCell ref="E3289:H3289"/>
    <mergeCell ref="E3290:H3290"/>
    <mergeCell ref="E3291:H3291"/>
    <mergeCell ref="E3292:H3292"/>
    <mergeCell ref="E3293:H3293"/>
    <mergeCell ref="E3294:H3294"/>
    <mergeCell ref="E3271:H3271"/>
    <mergeCell ref="E3272:H3272"/>
    <mergeCell ref="E3273:H3273"/>
    <mergeCell ref="E3270:H3270"/>
    <mergeCell ref="E3274:F3274"/>
    <mergeCell ref="E3275:F3275"/>
    <mergeCell ref="E3276:F3276"/>
    <mergeCell ref="E3277:F3277"/>
    <mergeCell ref="E3278:F3278"/>
    <mergeCell ref="E3280:F3280"/>
    <mergeCell ref="E3282:F3282"/>
    <mergeCell ref="E3283:F3283"/>
    <mergeCell ref="E3284:F3284"/>
    <mergeCell ref="E3286:F3286"/>
    <mergeCell ref="E3287:F3287"/>
    <mergeCell ref="E3288:G3288"/>
    <mergeCell ref="E3295:F3295"/>
    <mergeCell ref="E3296:F3296"/>
    <mergeCell ref="E3298:F3298"/>
    <mergeCell ref="E3301:F3301"/>
    <mergeCell ref="E3302:F3302"/>
    <mergeCell ref="E3303:F3303"/>
    <mergeCell ref="E3304:F3304"/>
    <mergeCell ref="E3216:H3216"/>
    <mergeCell ref="E3217:H3217"/>
    <mergeCell ref="E3224:F3224"/>
    <mergeCell ref="E3225:F3225"/>
    <mergeCell ref="E3230:F3230"/>
    <mergeCell ref="E3231:F3231"/>
    <mergeCell ref="E3232:F3232"/>
    <mergeCell ref="E3233:F3233"/>
    <mergeCell ref="E3234:F3234"/>
    <mergeCell ref="E3235:F3235"/>
    <mergeCell ref="E3238:H3238"/>
    <mergeCell ref="E3239:H3239"/>
    <mergeCell ref="E3240:H3240"/>
    <mergeCell ref="E3241:H3241"/>
    <mergeCell ref="E3242:H3242"/>
    <mergeCell ref="E3243:H3243"/>
    <mergeCell ref="E3250:F3250"/>
    <mergeCell ref="E3251:F3251"/>
    <mergeCell ref="E3252:F3252"/>
    <mergeCell ref="E3253:F3253"/>
    <mergeCell ref="E3254:F3254"/>
    <mergeCell ref="E3255:F3255"/>
    <mergeCell ref="E3258:H3258"/>
    <mergeCell ref="E3259:H3259"/>
    <mergeCell ref="E3260:H3260"/>
    <mergeCell ref="E3261:H3261"/>
    <mergeCell ref="E3262:H3262"/>
    <mergeCell ref="E3201:H3201"/>
    <mergeCell ref="E3202:H3202"/>
    <mergeCell ref="E3203:H3203"/>
    <mergeCell ref="E3206:F3206"/>
    <mergeCell ref="E3212:F3212"/>
    <mergeCell ref="E3213:F3213"/>
    <mergeCell ref="E3214:F3214"/>
    <mergeCell ref="E3215:F3215"/>
    <mergeCell ref="E3220:H3220"/>
    <mergeCell ref="E3221:H3221"/>
    <mergeCell ref="E3222:H3222"/>
    <mergeCell ref="E3223:H3223"/>
    <mergeCell ref="E3249:F3249"/>
    <mergeCell ref="E3257:H3257"/>
    <mergeCell ref="E3207:F3207"/>
    <mergeCell ref="E3208:F3208"/>
    <mergeCell ref="E3209:F3209"/>
    <mergeCell ref="E3210:F3210"/>
    <mergeCell ref="E3211:F3211"/>
    <mergeCell ref="E3218:H3218"/>
    <mergeCell ref="E3219:H3219"/>
    <mergeCell ref="E3227:F3227"/>
    <mergeCell ref="E3228:F3228"/>
    <mergeCell ref="E3229:F3229"/>
    <mergeCell ref="E3244:F3244"/>
    <mergeCell ref="E3245:F3245"/>
    <mergeCell ref="E3246:F3246"/>
    <mergeCell ref="E3247:F3247"/>
    <mergeCell ref="E3248:F3248"/>
    <mergeCell ref="E3226:F3226"/>
    <mergeCell ref="E3236:H3236"/>
    <mergeCell ref="E3237:H3237"/>
    <mergeCell ref="E3256:H3256"/>
    <mergeCell ref="E3204:F3204"/>
    <mergeCell ref="E3205:F3205"/>
    <mergeCell ref="E3192:F3192"/>
    <mergeCell ref="E3193:F3193"/>
    <mergeCell ref="E3188:F3188"/>
    <mergeCell ref="E3189:F3189"/>
    <mergeCell ref="E3190:F3190"/>
    <mergeCell ref="E3187:F3187"/>
    <mergeCell ref="E3172:H3172"/>
    <mergeCell ref="E3173:H3173"/>
    <mergeCell ref="E3174:H3174"/>
    <mergeCell ref="E3175:H3175"/>
    <mergeCell ref="E3182:F3182"/>
    <mergeCell ref="E3183:F3183"/>
    <mergeCell ref="E3184:F3184"/>
    <mergeCell ref="E3200:H3200"/>
    <mergeCell ref="E3194:H3194"/>
    <mergeCell ref="E3195:H3195"/>
    <mergeCell ref="E3196:H3196"/>
    <mergeCell ref="E3197:H3197"/>
    <mergeCell ref="E3198:H3198"/>
    <mergeCell ref="E3199:H3199"/>
    <mergeCell ref="E3176:H3176"/>
    <mergeCell ref="E3177:H3177"/>
    <mergeCell ref="E3178:H3178"/>
    <mergeCell ref="E3185:F3185"/>
    <mergeCell ref="E3186:F3186"/>
    <mergeCell ref="E3158:F3158"/>
    <mergeCell ref="E3159:F3159"/>
    <mergeCell ref="E3160:F3160"/>
    <mergeCell ref="E3161:F3161"/>
    <mergeCell ref="E3114:F3114"/>
    <mergeCell ref="E3115:F3115"/>
    <mergeCell ref="E3116:F3116"/>
    <mergeCell ref="E3118:H3118"/>
    <mergeCell ref="E3123:H3123"/>
    <mergeCell ref="E3124:H3124"/>
    <mergeCell ref="E3125:H3125"/>
    <mergeCell ref="E3179:H3179"/>
    <mergeCell ref="E3180:H3180"/>
    <mergeCell ref="E3171:F3171"/>
    <mergeCell ref="E3166:F3166"/>
    <mergeCell ref="E3167:F3167"/>
    <mergeCell ref="E3168:F3168"/>
    <mergeCell ref="E3169:F3169"/>
    <mergeCell ref="E3170:F3170"/>
    <mergeCell ref="E3126:H3126"/>
    <mergeCell ref="E3127:H3127"/>
    <mergeCell ref="E3128:H3128"/>
    <mergeCell ref="E3129:H3129"/>
    <mergeCell ref="E3130:H3130"/>
    <mergeCell ref="E3131:H3131"/>
    <mergeCell ref="E3138:F3138"/>
    <mergeCell ref="E3139:F3139"/>
    <mergeCell ref="E3140:F3140"/>
    <mergeCell ref="E3150:H3150"/>
    <mergeCell ref="E3151:H3151"/>
    <mergeCell ref="E3152:H3152"/>
    <mergeCell ref="E3104:F3104"/>
    <mergeCell ref="E3105:F3105"/>
    <mergeCell ref="E3106:F3106"/>
    <mergeCell ref="E3142:F3142"/>
    <mergeCell ref="E3145:F3145"/>
    <mergeCell ref="E3146:F3146"/>
    <mergeCell ref="E3147:F3147"/>
    <mergeCell ref="E3148:F3148"/>
    <mergeCell ref="E3149:F3149"/>
    <mergeCell ref="E3108:F3108"/>
    <mergeCell ref="E3109:F3109"/>
    <mergeCell ref="E3117:H3117"/>
    <mergeCell ref="E3122:F3122"/>
    <mergeCell ref="E3132:H3132"/>
    <mergeCell ref="E3133:H3133"/>
    <mergeCell ref="E3134:H3134"/>
    <mergeCell ref="E3135:H3135"/>
    <mergeCell ref="E3136:H3136"/>
    <mergeCell ref="E3137:H3137"/>
    <mergeCell ref="E3181:H3181"/>
    <mergeCell ref="E3191:F3191"/>
    <mergeCell ref="E3001:H3001"/>
    <mergeCell ref="E3002:H3002"/>
    <mergeCell ref="E2963:H2963"/>
    <mergeCell ref="E2964:H2964"/>
    <mergeCell ref="E2965:H2965"/>
    <mergeCell ref="E2970:F2970"/>
    <mergeCell ref="E2971:F2971"/>
    <mergeCell ref="E3079:F3079"/>
    <mergeCell ref="E3082:F3082"/>
    <mergeCell ref="E3083:F3083"/>
    <mergeCell ref="E3084:F3084"/>
    <mergeCell ref="E3085:F3085"/>
    <mergeCell ref="E3087:F3087"/>
    <mergeCell ref="E3088:F3088"/>
    <mergeCell ref="E3089:F3089"/>
    <mergeCell ref="E3090:F3090"/>
    <mergeCell ref="E3091:F3091"/>
    <mergeCell ref="E3046:F3046"/>
    <mergeCell ref="E3051:F3051"/>
    <mergeCell ref="E3093:F3093"/>
    <mergeCell ref="E3094:F3094"/>
    <mergeCell ref="E3095:F3095"/>
    <mergeCell ref="E3096:H3096"/>
    <mergeCell ref="E3097:H3097"/>
    <mergeCell ref="E3098:H3098"/>
    <mergeCell ref="E3099:H3099"/>
    <mergeCell ref="E3100:H3100"/>
    <mergeCell ref="E3101:H3101"/>
    <mergeCell ref="E3102:H3102"/>
    <mergeCell ref="E3110:F3110"/>
    <mergeCell ref="E3111:F3111"/>
    <mergeCell ref="E3112:F3112"/>
    <mergeCell ref="E3113:F3113"/>
    <mergeCell ref="E3040:H3040"/>
    <mergeCell ref="E3041:H3041"/>
    <mergeCell ref="E3042:H3042"/>
    <mergeCell ref="E3043:H3043"/>
    <mergeCell ref="E3044:H3044"/>
    <mergeCell ref="E3045:H3045"/>
    <mergeCell ref="E3052:H3052"/>
    <mergeCell ref="E3053:H3053"/>
    <mergeCell ref="E3054:H3054"/>
    <mergeCell ref="E3055:H3055"/>
    <mergeCell ref="E3056:H3056"/>
    <mergeCell ref="E3057:H3057"/>
    <mergeCell ref="E3058:H3058"/>
    <mergeCell ref="E3059:H3059"/>
    <mergeCell ref="E3060:F3060"/>
    <mergeCell ref="E3062:F3062"/>
    <mergeCell ref="E3063:F3063"/>
    <mergeCell ref="E3065:H3065"/>
    <mergeCell ref="E3066:H3066"/>
    <mergeCell ref="E3067:H3067"/>
    <mergeCell ref="E3068:H3068"/>
    <mergeCell ref="E3069:H3069"/>
    <mergeCell ref="E3078:F3078"/>
    <mergeCell ref="E3000:H3000"/>
    <mergeCell ref="E2956:F2956"/>
    <mergeCell ref="E2957:F2957"/>
    <mergeCell ref="E2958:F2958"/>
    <mergeCell ref="E2959:F2959"/>
    <mergeCell ref="E2966:H2966"/>
    <mergeCell ref="E2967:H2967"/>
    <mergeCell ref="E2968:H2968"/>
    <mergeCell ref="E2969:H2969"/>
    <mergeCell ref="E2974:F2974"/>
    <mergeCell ref="E2975:F2975"/>
    <mergeCell ref="E2976:F2976"/>
    <mergeCell ref="E2977:F2977"/>
    <mergeCell ref="E2978:F2978"/>
    <mergeCell ref="E2980:F2980"/>
    <mergeCell ref="E2952:F2952"/>
    <mergeCell ref="E2953:F2953"/>
    <mergeCell ref="E2954:F2954"/>
    <mergeCell ref="E2955:F2955"/>
    <mergeCell ref="E2972:F2972"/>
    <mergeCell ref="E2973:F2973"/>
    <mergeCell ref="E2981:H2981"/>
    <mergeCell ref="E2982:H2982"/>
    <mergeCell ref="E2983:H2983"/>
    <mergeCell ref="E2984:H2984"/>
    <mergeCell ref="E2985:H2985"/>
    <mergeCell ref="E2986:H2986"/>
    <mergeCell ref="E2987:H2987"/>
    <mergeCell ref="E2988:H2988"/>
    <mergeCell ref="E2993:F2993"/>
    <mergeCell ref="E2994:F2994"/>
    <mergeCell ref="E2995:F2995"/>
    <mergeCell ref="E2996:F2996"/>
    <mergeCell ref="E2997:F2997"/>
    <mergeCell ref="E2998:F2998"/>
    <mergeCell ref="E2999:F2999"/>
    <mergeCell ref="E3023:H3023"/>
    <mergeCell ref="E2626:F2626"/>
    <mergeCell ref="E2627:F2627"/>
    <mergeCell ref="E2628:F2628"/>
    <mergeCell ref="E2629:F2629"/>
    <mergeCell ref="E2636:H2636"/>
    <mergeCell ref="E2637:H2637"/>
    <mergeCell ref="E2638:H2638"/>
    <mergeCell ref="E2639:H2639"/>
    <mergeCell ref="E2641:H2641"/>
    <mergeCell ref="E2642:H2642"/>
    <mergeCell ref="E2643:H2643"/>
    <mergeCell ref="E2646:F2646"/>
    <mergeCell ref="E2647:F2647"/>
    <mergeCell ref="E2671:F2671"/>
    <mergeCell ref="E2677:F2677"/>
    <mergeCell ref="E2678:F2678"/>
    <mergeCell ref="E2679:F2679"/>
    <mergeCell ref="E2689:F2689"/>
    <mergeCell ref="E2692:H2692"/>
    <mergeCell ref="E2694:F2694"/>
    <mergeCell ref="E2702:H2702"/>
    <mergeCell ref="E2703:H2703"/>
    <mergeCell ref="E2704:H2704"/>
    <mergeCell ref="E2705:H2705"/>
    <mergeCell ref="E2706:H2706"/>
    <mergeCell ref="E2707:H2707"/>
    <mergeCell ref="E2708:H2708"/>
    <mergeCell ref="E2714:F2714"/>
    <mergeCell ref="E2715:F2715"/>
    <mergeCell ref="E2716:F2716"/>
    <mergeCell ref="E2717:F2717"/>
    <mergeCell ref="E2659:F2659"/>
    <mergeCell ref="E2675:H2675"/>
    <mergeCell ref="E2688:F2688"/>
    <mergeCell ref="E2690:F2690"/>
    <mergeCell ref="E2695:H2695"/>
    <mergeCell ref="E2672:H2672"/>
    <mergeCell ref="E2673:H2673"/>
    <mergeCell ref="E2680:F2680"/>
    <mergeCell ref="E2681:F2681"/>
    <mergeCell ref="E2682:F2682"/>
    <mergeCell ref="E2683:F2683"/>
    <mergeCell ref="E2684:F2684"/>
    <mergeCell ref="E2685:F2685"/>
    <mergeCell ref="E2686:F2686"/>
    <mergeCell ref="E2687:F2687"/>
    <mergeCell ref="E2658:F2658"/>
    <mergeCell ref="E2653:F2653"/>
    <mergeCell ref="E2654:F2654"/>
    <mergeCell ref="E2655:F2655"/>
    <mergeCell ref="E2656:F2656"/>
    <mergeCell ref="E2657:F2657"/>
    <mergeCell ref="E2661:F2661"/>
    <mergeCell ref="E2662:F2662"/>
    <mergeCell ref="E2663:F2663"/>
    <mergeCell ref="E2664:F2664"/>
    <mergeCell ref="E2696:H2696"/>
    <mergeCell ref="E2697:H2697"/>
    <mergeCell ref="E2698:H2698"/>
    <mergeCell ref="E2699:H2699"/>
    <mergeCell ref="E2700:H2700"/>
    <mergeCell ref="E2634:F2634"/>
    <mergeCell ref="E2635:F2635"/>
    <mergeCell ref="E2631:F2631"/>
    <mergeCell ref="E2537:F2537"/>
    <mergeCell ref="E2538:H2538"/>
    <mergeCell ref="E2621:H2621"/>
    <mergeCell ref="E2625:F2625"/>
    <mergeCell ref="E2461:F2461"/>
    <mergeCell ref="E2466:F2466"/>
    <mergeCell ref="E2559:H2559"/>
    <mergeCell ref="E2560:H2560"/>
    <mergeCell ref="E2561:H2561"/>
    <mergeCell ref="E2562:H2562"/>
    <mergeCell ref="E2563:H2563"/>
    <mergeCell ref="E2564:H2564"/>
    <mergeCell ref="E2565:H2565"/>
    <mergeCell ref="E2566:H2566"/>
    <mergeCell ref="E2567:H2567"/>
    <mergeCell ref="E2571:F2571"/>
    <mergeCell ref="E2572:F2572"/>
    <mergeCell ref="E2573:F2573"/>
    <mergeCell ref="E2574:F2574"/>
    <mergeCell ref="E2578:F2578"/>
    <mergeCell ref="E2588:F2588"/>
    <mergeCell ref="E2589:F2589"/>
    <mergeCell ref="E2592:F2592"/>
    <mergeCell ref="E2593:F2593"/>
    <mergeCell ref="E2598:H2598"/>
    <mergeCell ref="E2600:H2600"/>
    <mergeCell ref="E2601:H2601"/>
    <mergeCell ref="E2602:H2602"/>
    <mergeCell ref="E2603:H2603"/>
    <mergeCell ref="E2604:H2604"/>
    <mergeCell ref="E2610:F2610"/>
    <mergeCell ref="E2611:F2611"/>
    <mergeCell ref="E2612:F2612"/>
    <mergeCell ref="E2613:F2613"/>
    <mergeCell ref="E2614:F2614"/>
    <mergeCell ref="E2505:F2505"/>
    <mergeCell ref="E2599:H2599"/>
    <mergeCell ref="E2513:H2513"/>
    <mergeCell ref="E2521:H2521"/>
    <mergeCell ref="E2526:H2526"/>
    <mergeCell ref="E2553:F2553"/>
    <mergeCell ref="E2554:F2554"/>
    <mergeCell ref="E2506:F2506"/>
    <mergeCell ref="E2514:H2514"/>
    <mergeCell ref="E2520:H2520"/>
    <mergeCell ref="E2522:H2522"/>
    <mergeCell ref="E2591:F2591"/>
    <mergeCell ref="E2594:F2594"/>
    <mergeCell ref="E2487:F2487"/>
    <mergeCell ref="E2488:F2488"/>
    <mergeCell ref="E2507:F2507"/>
    <mergeCell ref="E2508:F2508"/>
    <mergeCell ref="E2471:F2471"/>
    <mergeCell ref="E2472:F2472"/>
    <mergeCell ref="E2586:H2586"/>
    <mergeCell ref="E2590:F2590"/>
    <mergeCell ref="E2523:H2523"/>
    <mergeCell ref="E2524:H2524"/>
    <mergeCell ref="E2525:H2525"/>
    <mergeCell ref="E2528:F2528"/>
    <mergeCell ref="E2530:F2530"/>
    <mergeCell ref="E2531:F2531"/>
    <mergeCell ref="E2546:F2546"/>
    <mergeCell ref="E2547:F2547"/>
    <mergeCell ref="E2311:F2311"/>
    <mergeCell ref="E2304:F2304"/>
    <mergeCell ref="E2305:F2305"/>
    <mergeCell ref="E2318:H2318"/>
    <mergeCell ref="E2319:H2319"/>
    <mergeCell ref="E2320:H2320"/>
    <mergeCell ref="E2321:H2321"/>
    <mergeCell ref="E2322:H2322"/>
    <mergeCell ref="E2323:H2323"/>
    <mergeCell ref="E2324:H2324"/>
    <mergeCell ref="E2325:H2325"/>
    <mergeCell ref="E2326:H2326"/>
    <mergeCell ref="E2327:H2327"/>
    <mergeCell ref="E2332:F2332"/>
    <mergeCell ref="E2333:F2333"/>
    <mergeCell ref="E2334:F2334"/>
    <mergeCell ref="E2335:F2335"/>
    <mergeCell ref="E2337:F2337"/>
    <mergeCell ref="E2340:F2340"/>
    <mergeCell ref="E2341:F2341"/>
    <mergeCell ref="E2342:F2342"/>
    <mergeCell ref="E2343:F2343"/>
    <mergeCell ref="E2345:H2345"/>
    <mergeCell ref="E2346:H2346"/>
    <mergeCell ref="E2347:H2347"/>
    <mergeCell ref="E2348:H2348"/>
    <mergeCell ref="E2349:H2349"/>
    <mergeCell ref="E2350:H2350"/>
    <mergeCell ref="E2351:H2351"/>
    <mergeCell ref="E2339:F2339"/>
    <mergeCell ref="E2344:H2344"/>
    <mergeCell ref="E2313:H2313"/>
    <mergeCell ref="E2314:F2314"/>
    <mergeCell ref="E2315:F2315"/>
    <mergeCell ref="E2316:F2316"/>
    <mergeCell ref="E2317:F2317"/>
    <mergeCell ref="E2328:H2328"/>
    <mergeCell ref="E2329:H2329"/>
    <mergeCell ref="E2330:H2330"/>
    <mergeCell ref="E2331:H2331"/>
    <mergeCell ref="E2336:F2336"/>
    <mergeCell ref="E2338:F2338"/>
    <mergeCell ref="E2511:F2511"/>
    <mergeCell ref="E2512:F2512"/>
    <mergeCell ref="E2515:H2515"/>
    <mergeCell ref="E2516:H2516"/>
    <mergeCell ref="E2517:H2517"/>
    <mergeCell ref="E2518:H2518"/>
    <mergeCell ref="E2519:H2519"/>
    <mergeCell ref="E2527:F2527"/>
    <mergeCell ref="E2529:F2529"/>
    <mergeCell ref="E2532:F2532"/>
    <mergeCell ref="E2533:F2533"/>
    <mergeCell ref="E2534:F2534"/>
    <mergeCell ref="E2179:F2179"/>
    <mergeCell ref="E2190:H2190"/>
    <mergeCell ref="E2191:H2191"/>
    <mergeCell ref="E2192:H2192"/>
    <mergeCell ref="E2198:F2198"/>
    <mergeCell ref="E2199:F2199"/>
    <mergeCell ref="E2200:F2200"/>
    <mergeCell ref="E2210:H2210"/>
    <mergeCell ref="E2211:H2211"/>
    <mergeCell ref="E2212:H2212"/>
    <mergeCell ref="E2213:H2213"/>
    <mergeCell ref="E2214:H2214"/>
    <mergeCell ref="E2218:F2218"/>
    <mergeCell ref="E2219:F2219"/>
    <mergeCell ref="E2220:F2220"/>
    <mergeCell ref="E2221:F2221"/>
    <mergeCell ref="E2222:F2222"/>
    <mergeCell ref="E2223:F2223"/>
    <mergeCell ref="E2224:F2224"/>
    <mergeCell ref="E2231:H2231"/>
    <mergeCell ref="E2232:H2232"/>
    <mergeCell ref="E2233:H2233"/>
    <mergeCell ref="E2234:H2234"/>
    <mergeCell ref="E2235:H2235"/>
    <mergeCell ref="E2236:H2236"/>
    <mergeCell ref="E2237:H2237"/>
    <mergeCell ref="E2238:H2238"/>
    <mergeCell ref="E2242:F2242"/>
    <mergeCell ref="E2243:F2243"/>
    <mergeCell ref="E2244:F2244"/>
    <mergeCell ref="E2245:F2245"/>
    <mergeCell ref="E2246:F2246"/>
    <mergeCell ref="E2247:F2247"/>
    <mergeCell ref="E2189:F2189"/>
    <mergeCell ref="E2195:H2195"/>
    <mergeCell ref="E2197:H2197"/>
    <mergeCell ref="E2201:F2201"/>
    <mergeCell ref="E2202:F2202"/>
    <mergeCell ref="E2203:F2203"/>
    <mergeCell ref="E2204:F2204"/>
    <mergeCell ref="E2205:F2205"/>
    <mergeCell ref="E2206:F2206"/>
    <mergeCell ref="E2207:F2207"/>
    <mergeCell ref="E2193:H2193"/>
    <mergeCell ref="E2184:F2184"/>
    <mergeCell ref="E2194:H2194"/>
    <mergeCell ref="E2196:H2196"/>
    <mergeCell ref="E2239:F2239"/>
    <mergeCell ref="E2208:F2208"/>
    <mergeCell ref="E2209:F2209"/>
    <mergeCell ref="E2215:H2215"/>
    <mergeCell ref="E2216:H2216"/>
    <mergeCell ref="E2225:F2225"/>
    <mergeCell ref="E2226:F2226"/>
    <mergeCell ref="E2227:F2227"/>
    <mergeCell ref="E2228:F2228"/>
    <mergeCell ref="E2229:F2229"/>
    <mergeCell ref="E2230:F2230"/>
    <mergeCell ref="E2217:H2217"/>
    <mergeCell ref="E2240:F2240"/>
    <mergeCell ref="E2241:F2241"/>
    <mergeCell ref="E2149:H2149"/>
    <mergeCell ref="E2155:F2155"/>
    <mergeCell ref="E2156:F2156"/>
    <mergeCell ref="E2159:F2159"/>
    <mergeCell ref="E2160:F2160"/>
    <mergeCell ref="E2161:F2161"/>
    <mergeCell ref="E2162:F2162"/>
    <mergeCell ref="E2163:F2163"/>
    <mergeCell ref="E2164:F2164"/>
    <mergeCell ref="E2165:F2165"/>
    <mergeCell ref="E2176:F2176"/>
    <mergeCell ref="E2177:F2177"/>
    <mergeCell ref="E2140:H2140"/>
    <mergeCell ref="E2141:H2141"/>
    <mergeCell ref="E2150:F2150"/>
    <mergeCell ref="E2151:F2151"/>
    <mergeCell ref="E2152:F2152"/>
    <mergeCell ref="E2153:F2153"/>
    <mergeCell ref="E2154:F2154"/>
    <mergeCell ref="E2157:F2157"/>
    <mergeCell ref="E2158:F2158"/>
    <mergeCell ref="E2166:H2166"/>
    <mergeCell ref="E2168:H2168"/>
    <mergeCell ref="E2169:H2169"/>
    <mergeCell ref="E2170:H2170"/>
    <mergeCell ref="E2171:H2171"/>
    <mergeCell ref="E2172:H2172"/>
    <mergeCell ref="E2173:H2173"/>
    <mergeCell ref="E2174:H2174"/>
    <mergeCell ref="E2175:H2175"/>
    <mergeCell ref="E2167:H2167"/>
    <mergeCell ref="E2128:F2128"/>
    <mergeCell ref="E2178:F2178"/>
    <mergeCell ref="E2135:F2135"/>
    <mergeCell ref="E2136:F2136"/>
    <mergeCell ref="E2137:F2137"/>
    <mergeCell ref="E2138:F2138"/>
    <mergeCell ref="E2139:F2139"/>
    <mergeCell ref="E2142:H2142"/>
    <mergeCell ref="E2143:H2143"/>
    <mergeCell ref="E2144:H2144"/>
    <mergeCell ref="E2145:H2145"/>
    <mergeCell ref="E2146:H2146"/>
    <mergeCell ref="E2147:H2147"/>
    <mergeCell ref="E2148:H2148"/>
    <mergeCell ref="E2129:F2129"/>
    <mergeCell ref="E2130:F2130"/>
    <mergeCell ref="E2131:F2131"/>
    <mergeCell ref="E2132:F2132"/>
    <mergeCell ref="E2133:F2133"/>
    <mergeCell ref="E2134:F2134"/>
    <mergeCell ref="E2116:F2116"/>
    <mergeCell ref="E2117:F2117"/>
    <mergeCell ref="E2127:F2127"/>
    <mergeCell ref="E2095:H2095"/>
    <mergeCell ref="E2096:H2096"/>
    <mergeCell ref="E2105:F2105"/>
    <mergeCell ref="E2094:H2094"/>
    <mergeCell ref="E2097:H2097"/>
    <mergeCell ref="E2093:H2093"/>
    <mergeCell ref="E2098:H2098"/>
    <mergeCell ref="E2099:H2099"/>
    <mergeCell ref="E2100:H2100"/>
    <mergeCell ref="E2101:H2101"/>
    <mergeCell ref="E2102:H2102"/>
    <mergeCell ref="E2103:H2103"/>
    <mergeCell ref="E2104:H2104"/>
    <mergeCell ref="E2118:H2118"/>
    <mergeCell ref="E2119:H2119"/>
    <mergeCell ref="E2120:H2120"/>
    <mergeCell ref="E2121:H2121"/>
    <mergeCell ref="E2122:H2122"/>
    <mergeCell ref="E2123:H2123"/>
    <mergeCell ref="E2065:F2065"/>
    <mergeCell ref="E2124:H2124"/>
    <mergeCell ref="E2125:H2125"/>
    <mergeCell ref="E2126:F2126"/>
    <mergeCell ref="E1926:F1926"/>
    <mergeCell ref="E1927:F1927"/>
    <mergeCell ref="E2060:H2060"/>
    <mergeCell ref="E2061:H2061"/>
    <mergeCell ref="E2062:H2062"/>
    <mergeCell ref="E2086:H2086"/>
    <mergeCell ref="E2087:H2087"/>
    <mergeCell ref="E2088:H2088"/>
    <mergeCell ref="E2089:H2089"/>
    <mergeCell ref="E2090:H2090"/>
    <mergeCell ref="E2091:H2091"/>
    <mergeCell ref="E2092:H2092"/>
    <mergeCell ref="E1947:F1947"/>
    <mergeCell ref="E1976:H1976"/>
    <mergeCell ref="E1977:H1977"/>
    <mergeCell ref="E1978:H1978"/>
    <mergeCell ref="E1979:H1979"/>
    <mergeCell ref="E1980:H1980"/>
    <mergeCell ref="E1983:F1983"/>
    <mergeCell ref="E1984:F1984"/>
    <mergeCell ref="E1985:F1985"/>
    <mergeCell ref="E2115:F2115"/>
    <mergeCell ref="E2106:F2106"/>
    <mergeCell ref="E2107:F2107"/>
    <mergeCell ref="E2108:F2108"/>
    <mergeCell ref="E2109:F2109"/>
    <mergeCell ref="E2110:F2110"/>
    <mergeCell ref="E2111:F2111"/>
    <mergeCell ref="E2112:F2112"/>
    <mergeCell ref="E2113:F2113"/>
    <mergeCell ref="E2114:F2114"/>
    <mergeCell ref="E2055:F2055"/>
    <mergeCell ref="E2056:F2056"/>
    <mergeCell ref="E1994:H1994"/>
    <mergeCell ref="E1993:F1993"/>
    <mergeCell ref="E2057:F2057"/>
    <mergeCell ref="E2058:F2058"/>
    <mergeCell ref="E2011:F2011"/>
    <mergeCell ref="E2006:F2006"/>
    <mergeCell ref="E2007:F2007"/>
    <mergeCell ref="E2012:F2012"/>
    <mergeCell ref="E2013:F2013"/>
    <mergeCell ref="E1960:H1960"/>
    <mergeCell ref="E1961:H1961"/>
    <mergeCell ref="E1971:F1971"/>
    <mergeCell ref="E1972:F1972"/>
    <mergeCell ref="E1973:F1973"/>
    <mergeCell ref="E1981:H1981"/>
    <mergeCell ref="E1982:F1982"/>
    <mergeCell ref="E1991:F1991"/>
    <mergeCell ref="E1946:F1946"/>
    <mergeCell ref="E1935:H1935"/>
    <mergeCell ref="E1936:H1936"/>
    <mergeCell ref="E2083:F2083"/>
    <mergeCell ref="E2084:H2084"/>
    <mergeCell ref="E2085:H2085"/>
    <mergeCell ref="E2052:F2052"/>
    <mergeCell ref="E2053:F2053"/>
    <mergeCell ref="E2054:F2054"/>
    <mergeCell ref="E2028:H2028"/>
    <mergeCell ref="E1703:F1703"/>
    <mergeCell ref="E1704:F1704"/>
    <mergeCell ref="E1695:H1695"/>
    <mergeCell ref="E1864:F1864"/>
    <mergeCell ref="E1865:F1865"/>
    <mergeCell ref="E1908:H1908"/>
    <mergeCell ref="E1909:H1909"/>
    <mergeCell ref="E1910:H1910"/>
    <mergeCell ref="E1911:H1911"/>
    <mergeCell ref="E1967:F1967"/>
    <mergeCell ref="E1968:F1968"/>
    <mergeCell ref="E1969:F1969"/>
    <mergeCell ref="E1970:F1970"/>
    <mergeCell ref="E1965:F1965"/>
    <mergeCell ref="E1974:H1974"/>
    <mergeCell ref="E1975:H1975"/>
    <mergeCell ref="E1986:F1986"/>
    <mergeCell ref="E1987:F1987"/>
    <mergeCell ref="E1988:F1988"/>
    <mergeCell ref="E1989:F1989"/>
    <mergeCell ref="E1990:F1990"/>
    <mergeCell ref="E1962:F1962"/>
    <mergeCell ref="E1966:F1966"/>
    <mergeCell ref="E1912:H1912"/>
    <mergeCell ref="E1917:F1917"/>
    <mergeCell ref="E1918:F1918"/>
    <mergeCell ref="E1919:F1919"/>
    <mergeCell ref="E1920:F1920"/>
    <mergeCell ref="E1921:F1921"/>
    <mergeCell ref="E1922:F1922"/>
    <mergeCell ref="E1930:H1930"/>
    <mergeCell ref="E1938:H1938"/>
    <mergeCell ref="E1940:F1940"/>
    <mergeCell ref="E1931:H1931"/>
    <mergeCell ref="E1932:H1932"/>
    <mergeCell ref="E1914:F1914"/>
    <mergeCell ref="E1915:F1915"/>
    <mergeCell ref="E1923:F1923"/>
    <mergeCell ref="E1924:F1924"/>
    <mergeCell ref="E1925:F1925"/>
    <mergeCell ref="E1877:H1877"/>
    <mergeCell ref="E1878:H1878"/>
    <mergeCell ref="E1738:H1738"/>
    <mergeCell ref="E1739:H1739"/>
    <mergeCell ref="E1740:H1740"/>
    <mergeCell ref="E1741:H1741"/>
    <mergeCell ref="E1742:H1742"/>
    <mergeCell ref="E1743:H1743"/>
    <mergeCell ref="E1748:F1748"/>
    <mergeCell ref="E1749:F1749"/>
    <mergeCell ref="E1794:F1794"/>
    <mergeCell ref="E1795:F1795"/>
    <mergeCell ref="E1796:F1796"/>
    <mergeCell ref="E1798:F1798"/>
    <mergeCell ref="E1799:F1799"/>
    <mergeCell ref="E1802:H1802"/>
    <mergeCell ref="E1803:H1803"/>
    <mergeCell ref="E1804:H1804"/>
    <mergeCell ref="E1805:H1805"/>
    <mergeCell ref="E1860:H1860"/>
    <mergeCell ref="E1866:F1866"/>
    <mergeCell ref="E1862:F1862"/>
    <mergeCell ref="E1863:F1863"/>
    <mergeCell ref="E1750:F1750"/>
    <mergeCell ref="E1751:F1751"/>
    <mergeCell ref="E1752:F1752"/>
    <mergeCell ref="E1753:F1753"/>
    <mergeCell ref="E1754:F1754"/>
    <mergeCell ref="E1755:F1755"/>
    <mergeCell ref="E1756:F1756"/>
    <mergeCell ref="E1758:H1758"/>
    <mergeCell ref="E1759:H1759"/>
    <mergeCell ref="E1760:H1760"/>
    <mergeCell ref="E1761:H1761"/>
    <mergeCell ref="E1762:H1762"/>
    <mergeCell ref="E1763:H1763"/>
    <mergeCell ref="E1764:H1764"/>
    <mergeCell ref="E1770:H1770"/>
    <mergeCell ref="E1771:H1771"/>
    <mergeCell ref="E1772:H1772"/>
    <mergeCell ref="E1775:F1775"/>
    <mergeCell ref="E1776:F1776"/>
    <mergeCell ref="E1777:F1777"/>
    <mergeCell ref="E1806:F1806"/>
    <mergeCell ref="E1807:F1807"/>
    <mergeCell ref="E1808:F1808"/>
    <mergeCell ref="E1781:F1781"/>
    <mergeCell ref="E1783:F1783"/>
    <mergeCell ref="E1784:F1784"/>
    <mergeCell ref="E1577:H1577"/>
    <mergeCell ref="E1578:H1578"/>
    <mergeCell ref="E1581:F1581"/>
    <mergeCell ref="E1582:F1582"/>
    <mergeCell ref="E1588:F1588"/>
    <mergeCell ref="E1592:F1592"/>
    <mergeCell ref="E1593:F1593"/>
    <mergeCell ref="E1570:F1570"/>
    <mergeCell ref="E1590:F1590"/>
    <mergeCell ref="E1579:F1579"/>
    <mergeCell ref="E1608:F1608"/>
    <mergeCell ref="E1633:F1633"/>
    <mergeCell ref="E1668:F1668"/>
    <mergeCell ref="E1669:F1669"/>
    <mergeCell ref="E1665:F1665"/>
    <mergeCell ref="E1666:F1666"/>
    <mergeCell ref="E1659:F1659"/>
    <mergeCell ref="E1660:F1660"/>
    <mergeCell ref="E1661:F1661"/>
    <mergeCell ref="E1662:F1662"/>
    <mergeCell ref="E1663:F1663"/>
    <mergeCell ref="E1664:F1664"/>
    <mergeCell ref="E1657:F1657"/>
    <mergeCell ref="E1598:F1598"/>
    <mergeCell ref="E1599:F1599"/>
    <mergeCell ref="E1600:F1600"/>
    <mergeCell ref="E1601:F1601"/>
    <mergeCell ref="E1602:F1602"/>
    <mergeCell ref="E1603:F1603"/>
    <mergeCell ref="E1618:H1618"/>
    <mergeCell ref="E1619:H1619"/>
    <mergeCell ref="E1620:H1620"/>
    <mergeCell ref="E1621:H1621"/>
    <mergeCell ref="E1622:H1622"/>
    <mergeCell ref="E1624:F1624"/>
    <mergeCell ref="E1640:F1640"/>
    <mergeCell ref="E1641:F1641"/>
    <mergeCell ref="E1617:F1617"/>
    <mergeCell ref="E1634:F1634"/>
    <mergeCell ref="E1563:F1563"/>
    <mergeCell ref="E1564:F1564"/>
    <mergeCell ref="E1565:F1565"/>
    <mergeCell ref="E1566:F1566"/>
    <mergeCell ref="E1567:F1567"/>
    <mergeCell ref="E1568:F1568"/>
    <mergeCell ref="E1846:F1846"/>
    <mergeCell ref="E1847:F1847"/>
    <mergeCell ref="E1848:F1848"/>
    <mergeCell ref="E1849:F1849"/>
    <mergeCell ref="E1850:F1850"/>
    <mergeCell ref="E1851:F1851"/>
    <mergeCell ref="E1852:F1852"/>
    <mergeCell ref="E1853:H1853"/>
    <mergeCell ref="E1854:H1854"/>
    <mergeCell ref="E1855:H1855"/>
    <mergeCell ref="E1856:H1856"/>
    <mergeCell ref="E1857:H1857"/>
    <mergeCell ref="E1785:F1785"/>
    <mergeCell ref="E1786:F1786"/>
    <mergeCell ref="E1787:F1787"/>
    <mergeCell ref="E1788:F1788"/>
    <mergeCell ref="E1789:F1789"/>
    <mergeCell ref="E1734:F1734"/>
    <mergeCell ref="E1744:F1744"/>
    <mergeCell ref="E1745:F1745"/>
    <mergeCell ref="E1838:F1838"/>
    <mergeCell ref="E1839:F1839"/>
    <mergeCell ref="E1705:F1705"/>
    <mergeCell ref="E1651:H1651"/>
    <mergeCell ref="E1652:H1652"/>
    <mergeCell ref="E1653:H1653"/>
    <mergeCell ref="E1654:H1654"/>
    <mergeCell ref="E1655:H1655"/>
    <mergeCell ref="E1656:H1656"/>
    <mergeCell ref="E1667:F1667"/>
    <mergeCell ref="E1670:H1670"/>
    <mergeCell ref="E1671:H1671"/>
    <mergeCell ref="E1672:H1672"/>
    <mergeCell ref="E1673:H1673"/>
    <mergeCell ref="E1674:H1674"/>
    <mergeCell ref="E1675:H1675"/>
    <mergeCell ref="E1678:F1678"/>
    <mergeCell ref="E1679:F1679"/>
    <mergeCell ref="E1680:F1680"/>
    <mergeCell ref="E1692:H1692"/>
    <mergeCell ref="E1693:H1693"/>
    <mergeCell ref="E1694:H1694"/>
    <mergeCell ref="E1696:H1696"/>
    <mergeCell ref="E1625:F1625"/>
    <mergeCell ref="E1626:F1626"/>
    <mergeCell ref="E1627:F1627"/>
    <mergeCell ref="E1628:F1628"/>
    <mergeCell ref="E1629:F1629"/>
    <mergeCell ref="E1843:F1843"/>
    <mergeCell ref="E1683:F1683"/>
    <mergeCell ref="E1687:F1687"/>
    <mergeCell ref="E1688:F1688"/>
    <mergeCell ref="E1684:F1684"/>
    <mergeCell ref="E1685:F1685"/>
    <mergeCell ref="E1686:F1686"/>
    <mergeCell ref="E1605:F1605"/>
    <mergeCell ref="E1606:F1606"/>
    <mergeCell ref="E1607:F1607"/>
    <mergeCell ref="E1545:F1545"/>
    <mergeCell ref="E1546:F1546"/>
    <mergeCell ref="E1547:F1547"/>
    <mergeCell ref="E1553:H1553"/>
    <mergeCell ref="E1554:H1554"/>
    <mergeCell ref="E1555:H1555"/>
    <mergeCell ref="E1584:H1584"/>
    <mergeCell ref="E1585:H1585"/>
    <mergeCell ref="E1586:H1586"/>
    <mergeCell ref="E1597:F1597"/>
    <mergeCell ref="E1452:F1452"/>
    <mergeCell ref="E1453:F1453"/>
    <mergeCell ref="E1513:F1513"/>
    <mergeCell ref="E1516:F1516"/>
    <mergeCell ref="E1538:F1538"/>
    <mergeCell ref="E1539:F1539"/>
    <mergeCell ref="E1515:F1515"/>
    <mergeCell ref="E1512:F1512"/>
    <mergeCell ref="E1514:F1514"/>
    <mergeCell ref="E1517:F1517"/>
    <mergeCell ref="E1526:H1526"/>
    <mergeCell ref="E1537:F1537"/>
    <mergeCell ref="E1542:F1542"/>
    <mergeCell ref="E1476:F1476"/>
    <mergeCell ref="E1478:F1478"/>
    <mergeCell ref="E1477:F1477"/>
    <mergeCell ref="E1496:F1496"/>
    <mergeCell ref="E1534:F1534"/>
    <mergeCell ref="E1548:H1548"/>
    <mergeCell ref="E1549:H1549"/>
    <mergeCell ref="E1550:H1550"/>
    <mergeCell ref="E1551:H1551"/>
    <mergeCell ref="E1552:H1552"/>
    <mergeCell ref="E1556:F1556"/>
    <mergeCell ref="E1557:F1557"/>
    <mergeCell ref="E1558:F1558"/>
    <mergeCell ref="E1559:F1559"/>
    <mergeCell ref="E1560:F1560"/>
    <mergeCell ref="E1561:F1561"/>
    <mergeCell ref="E1562:F1562"/>
    <mergeCell ref="E1571:H1571"/>
    <mergeCell ref="E1572:H1572"/>
    <mergeCell ref="E1573:H1573"/>
    <mergeCell ref="E1574:H1574"/>
    <mergeCell ref="E1511:H1511"/>
    <mergeCell ref="E1518:F1518"/>
    <mergeCell ref="E1519:F1519"/>
    <mergeCell ref="E1520:F1520"/>
    <mergeCell ref="E1521:F1521"/>
    <mergeCell ref="E1522:F1522"/>
    <mergeCell ref="E1523:F1523"/>
    <mergeCell ref="E1524:F1524"/>
    <mergeCell ref="E1525:F1525"/>
    <mergeCell ref="E1527:H1527"/>
    <mergeCell ref="E1528:H1528"/>
    <mergeCell ref="E1529:H1529"/>
    <mergeCell ref="E1530:H1530"/>
    <mergeCell ref="E1531:H1531"/>
    <mergeCell ref="E1532:H1532"/>
    <mergeCell ref="E1533:H1533"/>
    <mergeCell ref="E1536:F1536"/>
    <mergeCell ref="E1569:F1569"/>
    <mergeCell ref="E1575:H1575"/>
    <mergeCell ref="E1576:H1576"/>
    <mergeCell ref="E1147:F1147"/>
    <mergeCell ref="E1152:F1152"/>
    <mergeCell ref="E1153:F1153"/>
    <mergeCell ref="E1154:F1154"/>
    <mergeCell ref="E1155:F1155"/>
    <mergeCell ref="E1156:F1156"/>
    <mergeCell ref="E1157:F1157"/>
    <mergeCell ref="E1158:F1158"/>
    <mergeCell ref="E1159:F1159"/>
    <mergeCell ref="E1160:F1160"/>
    <mergeCell ref="E1163:F1163"/>
    <mergeCell ref="E1164:F1164"/>
    <mergeCell ref="E1165:H1165"/>
    <mergeCell ref="E1166:H1166"/>
    <mergeCell ref="E1167:H1167"/>
    <mergeCell ref="E1168:H1168"/>
    <mergeCell ref="E1497:F1497"/>
    <mergeCell ref="E1498:F1498"/>
    <mergeCell ref="E1504:H1504"/>
    <mergeCell ref="E1505:H1505"/>
    <mergeCell ref="E1506:H1506"/>
    <mergeCell ref="E1507:H1507"/>
    <mergeCell ref="E1508:H1508"/>
    <mergeCell ref="E1509:H1509"/>
    <mergeCell ref="E1510:H1510"/>
    <mergeCell ref="E1297:H1297"/>
    <mergeCell ref="E1306:F1306"/>
    <mergeCell ref="E1307:F1307"/>
    <mergeCell ref="E1308:F1308"/>
    <mergeCell ref="E1309:F1309"/>
    <mergeCell ref="E1314:H1314"/>
    <mergeCell ref="E1322:F1322"/>
    <mergeCell ref="E1336:H1336"/>
    <mergeCell ref="E1315:H1315"/>
    <mergeCell ref="E1316:H1316"/>
    <mergeCell ref="E1323:F1323"/>
    <mergeCell ref="E1324:F1324"/>
    <mergeCell ref="E1325:F1325"/>
    <mergeCell ref="E1327:F1327"/>
    <mergeCell ref="E1337:H1337"/>
    <mergeCell ref="E1338:H1338"/>
    <mergeCell ref="E1295:H1295"/>
    <mergeCell ref="E1296:H1296"/>
    <mergeCell ref="E1400:F1400"/>
    <mergeCell ref="E1401:H1401"/>
    <mergeCell ref="E1402:H1402"/>
    <mergeCell ref="E1403:H1403"/>
    <mergeCell ref="E1404:H1404"/>
    <mergeCell ref="E1405:H1405"/>
    <mergeCell ref="E1406:H1406"/>
    <mergeCell ref="E1407:H1407"/>
    <mergeCell ref="E1408:H1408"/>
    <mergeCell ref="E1414:H1414"/>
    <mergeCell ref="E1427:F1427"/>
    <mergeCell ref="E1428:F1428"/>
    <mergeCell ref="E1430:H1430"/>
    <mergeCell ref="E1438:F1438"/>
    <mergeCell ref="E1439:F1439"/>
    <mergeCell ref="E1298:F1298"/>
    <mergeCell ref="E1299:F1299"/>
    <mergeCell ref="E1300:F1300"/>
    <mergeCell ref="E1301:F1301"/>
    <mergeCell ref="E1310:H1310"/>
    <mergeCell ref="E1311:H1311"/>
    <mergeCell ref="E1051:F1051"/>
    <mergeCell ref="E1052:F1052"/>
    <mergeCell ref="E1053:F1053"/>
    <mergeCell ref="E1029:H1029"/>
    <mergeCell ref="E1030:H1030"/>
    <mergeCell ref="E1039:F1039"/>
    <mergeCell ref="E1040:F1040"/>
    <mergeCell ref="E1042:F1042"/>
    <mergeCell ref="E1054:H1054"/>
    <mergeCell ref="E1055:H1055"/>
    <mergeCell ref="E1056:H1056"/>
    <mergeCell ref="E1057:H1057"/>
    <mergeCell ref="E1058:H1058"/>
    <mergeCell ref="E1059:H1059"/>
    <mergeCell ref="E1060:H1060"/>
    <mergeCell ref="E1061:H1061"/>
    <mergeCell ref="E1346:H1346"/>
    <mergeCell ref="E1356:F1356"/>
    <mergeCell ref="E1357:F1357"/>
    <mergeCell ref="E1358:F1358"/>
    <mergeCell ref="E1359:F1359"/>
    <mergeCell ref="E1360:F1360"/>
    <mergeCell ref="E1361:F1361"/>
    <mergeCell ref="E1326:F1326"/>
    <mergeCell ref="E1302:F1302"/>
    <mergeCell ref="E1303:F1303"/>
    <mergeCell ref="E1304:F1304"/>
    <mergeCell ref="E1305:F1305"/>
    <mergeCell ref="E1162:H1162"/>
    <mergeCell ref="E1173:H1173"/>
    <mergeCell ref="E1174:H1174"/>
    <mergeCell ref="E1175:H1175"/>
    <mergeCell ref="E1176:H1176"/>
    <mergeCell ref="E1177:H1177"/>
    <mergeCell ref="E1178:H1178"/>
    <mergeCell ref="E1201:F1201"/>
    <mergeCell ref="E1204:F1204"/>
    <mergeCell ref="E1205:F1205"/>
    <mergeCell ref="E1206:F1206"/>
    <mergeCell ref="E1207:F1207"/>
    <mergeCell ref="E1208:F1208"/>
    <mergeCell ref="E1209:F1209"/>
    <mergeCell ref="E1214:H1214"/>
    <mergeCell ref="E1215:H1215"/>
    <mergeCell ref="E1216:H1216"/>
    <mergeCell ref="E1217:H1217"/>
    <mergeCell ref="E1120:F1120"/>
    <mergeCell ref="E1121:F1121"/>
    <mergeCell ref="E1122:F1122"/>
    <mergeCell ref="E1123:F1123"/>
    <mergeCell ref="E1124:F1124"/>
    <mergeCell ref="E1125:F1125"/>
    <mergeCell ref="E1126:F1126"/>
    <mergeCell ref="E1128:F1128"/>
    <mergeCell ref="E1129:F1129"/>
    <mergeCell ref="E1130:F1130"/>
    <mergeCell ref="E1131:F1131"/>
    <mergeCell ref="E1132:F1132"/>
    <mergeCell ref="E1134:F1134"/>
    <mergeCell ref="E1142:H1142"/>
    <mergeCell ref="E1148:F1148"/>
    <mergeCell ref="E1149:F1149"/>
    <mergeCell ref="E1150:F1150"/>
    <mergeCell ref="E1151:F1151"/>
    <mergeCell ref="E1009:H1009"/>
    <mergeCell ref="E1010:H1010"/>
    <mergeCell ref="E1011:H1011"/>
    <mergeCell ref="E1012:H1012"/>
    <mergeCell ref="E1017:F1017"/>
    <mergeCell ref="E1018:F1018"/>
    <mergeCell ref="E1019:F1019"/>
    <mergeCell ref="E1020:F1020"/>
    <mergeCell ref="E1021:F1021"/>
    <mergeCell ref="E1022:F1022"/>
    <mergeCell ref="E1023:F1023"/>
    <mergeCell ref="E1024:F1024"/>
    <mergeCell ref="E1025:F1025"/>
    <mergeCell ref="E1026:F1026"/>
    <mergeCell ref="E1027:F1027"/>
    <mergeCell ref="E1028:F1028"/>
    <mergeCell ref="E1031:H1031"/>
    <mergeCell ref="E1032:H1032"/>
    <mergeCell ref="E1033:H1033"/>
    <mergeCell ref="E1034:H1034"/>
    <mergeCell ref="E1035:H1035"/>
    <mergeCell ref="E1036:H1036"/>
    <mergeCell ref="E1037:H1037"/>
    <mergeCell ref="E1038:H1038"/>
    <mergeCell ref="E1041:F1041"/>
    <mergeCell ref="E1043:F1043"/>
    <mergeCell ref="E1044:F1044"/>
    <mergeCell ref="E1045:F1045"/>
    <mergeCell ref="E1046:F1046"/>
    <mergeCell ref="E1047:F1047"/>
    <mergeCell ref="E1048:F1048"/>
    <mergeCell ref="E1049:F1049"/>
    <mergeCell ref="E1050:F1050"/>
    <mergeCell ref="E1186:F1186"/>
    <mergeCell ref="E1187:F1187"/>
    <mergeCell ref="E1074:F1074"/>
    <mergeCell ref="E1075:F1075"/>
    <mergeCell ref="E1077:H1077"/>
    <mergeCell ref="E1078:H1078"/>
    <mergeCell ref="E1079:H1079"/>
    <mergeCell ref="E1080:H1080"/>
    <mergeCell ref="E1081:H1081"/>
    <mergeCell ref="E1082:H1082"/>
    <mergeCell ref="E1083:H1083"/>
    <mergeCell ref="E1096:F1096"/>
    <mergeCell ref="E1097:F1097"/>
    <mergeCell ref="E1098:F1098"/>
    <mergeCell ref="E1104:H1104"/>
    <mergeCell ref="E1062:F1062"/>
    <mergeCell ref="E1063:F1063"/>
    <mergeCell ref="E1064:F1064"/>
    <mergeCell ref="E1065:F1065"/>
    <mergeCell ref="E1066:F1066"/>
    <mergeCell ref="E1107:F1107"/>
    <mergeCell ref="E1109:F1109"/>
    <mergeCell ref="E1110:F1110"/>
    <mergeCell ref="E1113:H1113"/>
    <mergeCell ref="E1114:H1114"/>
    <mergeCell ref="E1135:F1135"/>
    <mergeCell ref="E1136:F1136"/>
    <mergeCell ref="E1137:F1137"/>
    <mergeCell ref="E1138:F1138"/>
    <mergeCell ref="E1139:F1139"/>
    <mergeCell ref="E1140:F1140"/>
    <mergeCell ref="E1143:H1143"/>
    <mergeCell ref="E1144:H1144"/>
    <mergeCell ref="E1145:H1145"/>
    <mergeCell ref="E1146:H1146"/>
    <mergeCell ref="E1070:F1070"/>
    <mergeCell ref="E1071:F1071"/>
    <mergeCell ref="E1072:F1072"/>
    <mergeCell ref="E1073:F1073"/>
    <mergeCell ref="E1117:F1117"/>
    <mergeCell ref="E1118:F1118"/>
    <mergeCell ref="E1119:F1119"/>
    <mergeCell ref="E1116:F1116"/>
    <mergeCell ref="E1089:F1089"/>
    <mergeCell ref="E1090:F1090"/>
    <mergeCell ref="E1091:F1091"/>
    <mergeCell ref="E1092:F1092"/>
    <mergeCell ref="E1093:F1093"/>
    <mergeCell ref="E1094:F1094"/>
    <mergeCell ref="E1095:F1095"/>
    <mergeCell ref="E1106:H1106"/>
    <mergeCell ref="E1112:H1112"/>
    <mergeCell ref="E1067:F1067"/>
    <mergeCell ref="E1068:F1068"/>
    <mergeCell ref="E1069:F1069"/>
    <mergeCell ref="E1170:H1170"/>
    <mergeCell ref="E1171:H1171"/>
    <mergeCell ref="E1172:H1172"/>
    <mergeCell ref="E1179:F1179"/>
    <mergeCell ref="E1180:F1180"/>
    <mergeCell ref="E1181:F1181"/>
    <mergeCell ref="E1182:F1182"/>
    <mergeCell ref="E1183:F1183"/>
    <mergeCell ref="E1184:F1184"/>
    <mergeCell ref="E946:F946"/>
    <mergeCell ref="E947:F947"/>
    <mergeCell ref="E948:F948"/>
    <mergeCell ref="E949:F949"/>
    <mergeCell ref="E950:F950"/>
    <mergeCell ref="E951:F951"/>
    <mergeCell ref="E953:H953"/>
    <mergeCell ref="E954:H954"/>
    <mergeCell ref="E955:H955"/>
    <mergeCell ref="E956:H956"/>
    <mergeCell ref="E957:H957"/>
    <mergeCell ref="E958:F958"/>
    <mergeCell ref="E959:F959"/>
    <mergeCell ref="E960:F960"/>
    <mergeCell ref="E961:F961"/>
    <mergeCell ref="E962:F962"/>
    <mergeCell ref="E963:F963"/>
    <mergeCell ref="E964:F964"/>
    <mergeCell ref="E965:F965"/>
    <mergeCell ref="E966:F966"/>
    <mergeCell ref="E967:F967"/>
    <mergeCell ref="E968:F968"/>
    <mergeCell ref="E969:F969"/>
    <mergeCell ref="E970:F970"/>
    <mergeCell ref="E971:F971"/>
    <mergeCell ref="E974:F974"/>
    <mergeCell ref="E975:F975"/>
    <mergeCell ref="E973:H973"/>
    <mergeCell ref="E1185:F1185"/>
    <mergeCell ref="E990:F990"/>
    <mergeCell ref="E991:F991"/>
    <mergeCell ref="E992:F992"/>
    <mergeCell ref="E993:F993"/>
    <mergeCell ref="E994:F994"/>
    <mergeCell ref="E995:F995"/>
    <mergeCell ref="E996:F996"/>
    <mergeCell ref="E997:F997"/>
    <mergeCell ref="E998:F998"/>
    <mergeCell ref="E999:F999"/>
    <mergeCell ref="E1005:H1005"/>
    <mergeCell ref="E1006:H1006"/>
    <mergeCell ref="E1007:H1007"/>
    <mergeCell ref="E977:H977"/>
    <mergeCell ref="E978:H978"/>
    <mergeCell ref="E976:H976"/>
    <mergeCell ref="E979:H979"/>
    <mergeCell ref="E1013:F1013"/>
    <mergeCell ref="E1014:F1014"/>
    <mergeCell ref="E980:H980"/>
    <mergeCell ref="E981:H981"/>
    <mergeCell ref="E982:H982"/>
    <mergeCell ref="E983:H983"/>
    <mergeCell ref="E984:H984"/>
    <mergeCell ref="E985:H985"/>
    <mergeCell ref="E986:H986"/>
    <mergeCell ref="E987:H987"/>
    <mergeCell ref="E988:H988"/>
    <mergeCell ref="E989:H989"/>
    <mergeCell ref="E1000:F1000"/>
    <mergeCell ref="E1001:F1001"/>
    <mergeCell ref="E1002:F1002"/>
    <mergeCell ref="E1003:F1003"/>
    <mergeCell ref="E1004:F1004"/>
    <mergeCell ref="E1008:H1008"/>
    <mergeCell ref="E874:F874"/>
    <mergeCell ref="E875:F875"/>
    <mergeCell ref="E876:F876"/>
    <mergeCell ref="E877:F877"/>
    <mergeCell ref="E878:F878"/>
    <mergeCell ref="E863:H863"/>
    <mergeCell ref="E864:H864"/>
    <mergeCell ref="E837:H837"/>
    <mergeCell ref="E838:H838"/>
    <mergeCell ref="E861:H861"/>
    <mergeCell ref="E862:H862"/>
    <mergeCell ref="E826:F826"/>
    <mergeCell ref="E827:F827"/>
    <mergeCell ref="E828:F828"/>
    <mergeCell ref="E829:F829"/>
    <mergeCell ref="E830:F830"/>
    <mergeCell ref="E831:F831"/>
    <mergeCell ref="E832:F832"/>
    <mergeCell ref="E833:F833"/>
    <mergeCell ref="E834:F834"/>
    <mergeCell ref="E835:F835"/>
    <mergeCell ref="E836:F836"/>
    <mergeCell ref="E839:H839"/>
    <mergeCell ref="E840:H840"/>
    <mergeCell ref="E841:H841"/>
    <mergeCell ref="E842:H842"/>
    <mergeCell ref="E843:H843"/>
    <mergeCell ref="E844:H844"/>
    <mergeCell ref="E845:H845"/>
    <mergeCell ref="E846:H846"/>
    <mergeCell ref="E847:F847"/>
    <mergeCell ref="E849:F849"/>
    <mergeCell ref="E850:F850"/>
    <mergeCell ref="E851:F851"/>
    <mergeCell ref="E852:F852"/>
    <mergeCell ref="E853:F853"/>
    <mergeCell ref="E856:F856"/>
    <mergeCell ref="E857:F857"/>
    <mergeCell ref="E858:F858"/>
    <mergeCell ref="E859:F859"/>
    <mergeCell ref="E803:F803"/>
    <mergeCell ref="E804:F804"/>
    <mergeCell ref="E805:H805"/>
    <mergeCell ref="E806:H806"/>
    <mergeCell ref="E808:H808"/>
    <mergeCell ref="E813:H813"/>
    <mergeCell ref="E814:H814"/>
    <mergeCell ref="E815:H815"/>
    <mergeCell ref="E816:H816"/>
    <mergeCell ref="E817:H817"/>
    <mergeCell ref="E818:H818"/>
    <mergeCell ref="E819:H819"/>
    <mergeCell ref="E820:F820"/>
    <mergeCell ref="E821:F821"/>
    <mergeCell ref="E822:F822"/>
    <mergeCell ref="E823:F823"/>
    <mergeCell ref="E824:F824"/>
    <mergeCell ref="E825:F825"/>
    <mergeCell ref="E807:H807"/>
    <mergeCell ref="E809:H809"/>
    <mergeCell ref="E810:H810"/>
    <mergeCell ref="E811:H811"/>
    <mergeCell ref="E812:H812"/>
    <mergeCell ref="E860:F860"/>
    <mergeCell ref="E865:H865"/>
    <mergeCell ref="E866:H866"/>
    <mergeCell ref="E867:H867"/>
    <mergeCell ref="E868:H868"/>
    <mergeCell ref="E869:F869"/>
    <mergeCell ref="E870:F870"/>
    <mergeCell ref="E871:F871"/>
    <mergeCell ref="E872:F872"/>
    <mergeCell ref="E873:F873"/>
    <mergeCell ref="E720:F720"/>
    <mergeCell ref="E721:F721"/>
    <mergeCell ref="E722:F722"/>
    <mergeCell ref="E723:F723"/>
    <mergeCell ref="E772:F772"/>
    <mergeCell ref="E774:F774"/>
    <mergeCell ref="E775:F775"/>
    <mergeCell ref="E776:F776"/>
    <mergeCell ref="E777:F777"/>
    <mergeCell ref="E778:F778"/>
    <mergeCell ref="E779:F779"/>
    <mergeCell ref="E780:F780"/>
    <mergeCell ref="E782:H782"/>
    <mergeCell ref="E783:H783"/>
    <mergeCell ref="E784:H784"/>
    <mergeCell ref="E785:H785"/>
    <mergeCell ref="E786:H786"/>
    <mergeCell ref="E787:F787"/>
    <mergeCell ref="E788:F788"/>
    <mergeCell ref="E789:F789"/>
    <mergeCell ref="E790:F790"/>
    <mergeCell ref="E791:F791"/>
    <mergeCell ref="E792:F792"/>
    <mergeCell ref="E793:F793"/>
    <mergeCell ref="E794:F794"/>
    <mergeCell ref="E795:F795"/>
    <mergeCell ref="E729:F729"/>
    <mergeCell ref="E796:F796"/>
    <mergeCell ref="E797:F797"/>
    <mergeCell ref="E798:F798"/>
    <mergeCell ref="E799:F799"/>
    <mergeCell ref="E800:F800"/>
    <mergeCell ref="E802:H802"/>
    <mergeCell ref="E572:F572"/>
    <mergeCell ref="E573:F573"/>
    <mergeCell ref="E574:F574"/>
    <mergeCell ref="E575:F575"/>
    <mergeCell ref="E576:F576"/>
    <mergeCell ref="E577:F577"/>
    <mergeCell ref="E578:F578"/>
    <mergeCell ref="E584:H584"/>
    <mergeCell ref="E585:H585"/>
    <mergeCell ref="E586:H586"/>
    <mergeCell ref="E587:H587"/>
    <mergeCell ref="E588:H588"/>
    <mergeCell ref="E593:F593"/>
    <mergeCell ref="E605:F605"/>
    <mergeCell ref="E609:H609"/>
    <mergeCell ref="E610:H610"/>
    <mergeCell ref="E611:H611"/>
    <mergeCell ref="E612:H612"/>
    <mergeCell ref="E613:H613"/>
    <mergeCell ref="E614:H614"/>
    <mergeCell ref="E615:H615"/>
    <mergeCell ref="E617:F617"/>
    <mergeCell ref="E618:F618"/>
    <mergeCell ref="E619:F619"/>
    <mergeCell ref="E620:F620"/>
    <mergeCell ref="E634:H634"/>
    <mergeCell ref="E636:H636"/>
    <mergeCell ref="E637:H637"/>
    <mergeCell ref="E638:H638"/>
    <mergeCell ref="E639:H639"/>
    <mergeCell ref="E644:F644"/>
    <mergeCell ref="E643:H643"/>
    <mergeCell ref="E579:H579"/>
    <mergeCell ref="E580:H580"/>
    <mergeCell ref="E581:H581"/>
    <mergeCell ref="E582:H582"/>
    <mergeCell ref="E583:H583"/>
    <mergeCell ref="E589:H589"/>
    <mergeCell ref="E594:F594"/>
    <mergeCell ref="E595:F595"/>
    <mergeCell ref="E596:F596"/>
    <mergeCell ref="E597:F597"/>
    <mergeCell ref="E599:F599"/>
    <mergeCell ref="E602:F602"/>
    <mergeCell ref="E603:F603"/>
    <mergeCell ref="E604:F604"/>
    <mergeCell ref="E606:F606"/>
    <mergeCell ref="E590:H590"/>
    <mergeCell ref="E591:H591"/>
    <mergeCell ref="E616:H616"/>
    <mergeCell ref="E592:H592"/>
    <mergeCell ref="E598:F598"/>
    <mergeCell ref="E600:F600"/>
    <mergeCell ref="E601:F601"/>
    <mergeCell ref="E623:F623"/>
    <mergeCell ref="E635:H635"/>
    <mergeCell ref="E640:H640"/>
    <mergeCell ref="E621:F621"/>
    <mergeCell ref="E622:F622"/>
    <mergeCell ref="E607:F607"/>
    <mergeCell ref="E608:F608"/>
    <mergeCell ref="E641:H641"/>
    <mergeCell ref="E476:F476"/>
    <mergeCell ref="E477:F477"/>
    <mergeCell ref="E485:H485"/>
    <mergeCell ref="E486:H486"/>
    <mergeCell ref="E487:H487"/>
    <mergeCell ref="E488:H488"/>
    <mergeCell ref="E489:H489"/>
    <mergeCell ref="E490:H490"/>
    <mergeCell ref="E497:H497"/>
    <mergeCell ref="E504:F504"/>
    <mergeCell ref="E505:F505"/>
    <mergeCell ref="E506:F506"/>
    <mergeCell ref="E507:F507"/>
    <mergeCell ref="E508:F508"/>
    <mergeCell ref="E509:F509"/>
    <mergeCell ref="E510:F510"/>
    <mergeCell ref="E535:F535"/>
    <mergeCell ref="E536:F536"/>
    <mergeCell ref="E537:F537"/>
    <mergeCell ref="E538:F538"/>
    <mergeCell ref="E539:F539"/>
    <mergeCell ref="E540:F540"/>
    <mergeCell ref="E558:H558"/>
    <mergeCell ref="E559:H559"/>
    <mergeCell ref="E560:H560"/>
    <mergeCell ref="E561:H561"/>
    <mergeCell ref="E562:H562"/>
    <mergeCell ref="E563:H563"/>
    <mergeCell ref="E565:F565"/>
    <mergeCell ref="E566:F566"/>
    <mergeCell ref="E567:F567"/>
    <mergeCell ref="E568:F568"/>
    <mergeCell ref="E569:F569"/>
    <mergeCell ref="E492:F492"/>
    <mergeCell ref="E493:F493"/>
    <mergeCell ref="E494:F494"/>
    <mergeCell ref="E495:F495"/>
    <mergeCell ref="E496:F496"/>
    <mergeCell ref="E498:F498"/>
    <mergeCell ref="E499:F499"/>
    <mergeCell ref="E500:F500"/>
    <mergeCell ref="E501:F501"/>
    <mergeCell ref="E502:F502"/>
    <mergeCell ref="E518:F518"/>
    <mergeCell ref="E503:H503"/>
    <mergeCell ref="E515:F515"/>
    <mergeCell ref="E528:F528"/>
    <mergeCell ref="E529:F529"/>
    <mergeCell ref="E530:F530"/>
    <mergeCell ref="E531:F531"/>
    <mergeCell ref="E532:F532"/>
    <mergeCell ref="E514:F514"/>
    <mergeCell ref="E516:F516"/>
    <mergeCell ref="E517:F517"/>
    <mergeCell ref="E511:F511"/>
    <mergeCell ref="E512:F512"/>
    <mergeCell ref="E513:F513"/>
    <mergeCell ref="E491:F491"/>
    <mergeCell ref="E544:F544"/>
    <mergeCell ref="E545:F545"/>
    <mergeCell ref="E541:F541"/>
    <mergeCell ref="E523:F523"/>
    <mergeCell ref="E524:F524"/>
    <mergeCell ref="E525:F525"/>
    <mergeCell ref="E428:H428"/>
    <mergeCell ref="E429:H429"/>
    <mergeCell ref="E430:H430"/>
    <mergeCell ref="E431:H431"/>
    <mergeCell ref="E434:F434"/>
    <mergeCell ref="E435:F435"/>
    <mergeCell ref="E436:F436"/>
    <mergeCell ref="E437:F437"/>
    <mergeCell ref="E438:F438"/>
    <mergeCell ref="E440:F440"/>
    <mergeCell ref="E441:F441"/>
    <mergeCell ref="E442:F442"/>
    <mergeCell ref="E443:F443"/>
    <mergeCell ref="E445:H445"/>
    <mergeCell ref="E446:H446"/>
    <mergeCell ref="E447:H447"/>
    <mergeCell ref="E448:H448"/>
    <mergeCell ref="E449:H449"/>
    <mergeCell ref="E450:H450"/>
    <mergeCell ref="E451:H451"/>
    <mergeCell ref="E453:H453"/>
    <mergeCell ref="E454:H454"/>
    <mergeCell ref="E458:H458"/>
    <mergeCell ref="E459:H459"/>
    <mergeCell ref="E462:H462"/>
    <mergeCell ref="E463:H463"/>
    <mergeCell ref="E464:H464"/>
    <mergeCell ref="E465:H465"/>
    <mergeCell ref="E471:F471"/>
    <mergeCell ref="E472:F472"/>
    <mergeCell ref="E473:F473"/>
    <mergeCell ref="E474:F474"/>
    <mergeCell ref="E475:F475"/>
    <mergeCell ref="E444:H444"/>
    <mergeCell ref="E439:H439"/>
    <mergeCell ref="E432:F432"/>
    <mergeCell ref="E466:F466"/>
    <mergeCell ref="E469:F469"/>
    <mergeCell ref="E470:F470"/>
    <mergeCell ref="E455:F455"/>
    <mergeCell ref="E452:F452"/>
    <mergeCell ref="E468:F468"/>
    <mergeCell ref="E467:F467"/>
    <mergeCell ref="E456:F456"/>
    <mergeCell ref="E457:F457"/>
    <mergeCell ref="E460:F460"/>
    <mergeCell ref="E461:F461"/>
    <mergeCell ref="E362:H362"/>
    <mergeCell ref="E363:H363"/>
    <mergeCell ref="E366:F366"/>
    <mergeCell ref="E367:F367"/>
    <mergeCell ref="E368:F368"/>
    <mergeCell ref="E369:F369"/>
    <mergeCell ref="E370:F370"/>
    <mergeCell ref="E371:F371"/>
    <mergeCell ref="E372:F372"/>
    <mergeCell ref="E373:F373"/>
    <mergeCell ref="E379:H379"/>
    <mergeCell ref="E384:H384"/>
    <mergeCell ref="E364:F364"/>
    <mergeCell ref="E385:H385"/>
    <mergeCell ref="E386:H386"/>
    <mergeCell ref="E387:H387"/>
    <mergeCell ref="E388:H388"/>
    <mergeCell ref="E389:H389"/>
    <mergeCell ref="E390:H390"/>
    <mergeCell ref="E391:H391"/>
    <mergeCell ref="E400:F400"/>
    <mergeCell ref="E401:F401"/>
    <mergeCell ref="E402:F402"/>
    <mergeCell ref="E403:F403"/>
    <mergeCell ref="E408:H408"/>
    <mergeCell ref="E409:H409"/>
    <mergeCell ref="E410:H410"/>
    <mergeCell ref="E411:H411"/>
    <mergeCell ref="E419:H419"/>
    <mergeCell ref="E424:H424"/>
    <mergeCell ref="E425:H425"/>
    <mergeCell ref="E426:H426"/>
    <mergeCell ref="E427:H427"/>
    <mergeCell ref="E377:F377"/>
    <mergeCell ref="E378:F378"/>
    <mergeCell ref="E380:F380"/>
    <mergeCell ref="E381:F381"/>
    <mergeCell ref="E382:F382"/>
    <mergeCell ref="E383:F383"/>
    <mergeCell ref="E376:F376"/>
    <mergeCell ref="E420:F420"/>
    <mergeCell ref="E421:F421"/>
    <mergeCell ref="E422:F422"/>
    <mergeCell ref="E423:F423"/>
    <mergeCell ref="E396:F396"/>
    <mergeCell ref="E404:H404"/>
    <mergeCell ref="E405:H405"/>
    <mergeCell ref="E415:F415"/>
    <mergeCell ref="E416:F416"/>
    <mergeCell ref="E417:F417"/>
    <mergeCell ref="E418:F418"/>
    <mergeCell ref="E414:F414"/>
    <mergeCell ref="E399:H399"/>
    <mergeCell ref="E397:F397"/>
    <mergeCell ref="E398:F398"/>
    <mergeCell ref="E406:H406"/>
    <mergeCell ref="E407:H407"/>
    <mergeCell ref="E327:H327"/>
    <mergeCell ref="E330:F330"/>
    <mergeCell ref="E331:F331"/>
    <mergeCell ref="E332:F332"/>
    <mergeCell ref="E333:F333"/>
    <mergeCell ref="E334:F334"/>
    <mergeCell ref="E335:F335"/>
    <mergeCell ref="E336:F336"/>
    <mergeCell ref="E338:F338"/>
    <mergeCell ref="E339:F339"/>
    <mergeCell ref="E340:F340"/>
    <mergeCell ref="E341:F341"/>
    <mergeCell ref="E344:H344"/>
    <mergeCell ref="E352:H352"/>
    <mergeCell ref="E357:H357"/>
    <mergeCell ref="E358:H358"/>
    <mergeCell ref="E359:H359"/>
    <mergeCell ref="E360:H360"/>
    <mergeCell ref="E349:F349"/>
    <mergeCell ref="E350:F350"/>
    <mergeCell ref="E345:F345"/>
    <mergeCell ref="E346:F346"/>
    <mergeCell ref="E342:H342"/>
    <mergeCell ref="E343:H343"/>
    <mergeCell ref="E347:F347"/>
    <mergeCell ref="E348:F348"/>
    <mergeCell ref="E351:F351"/>
    <mergeCell ref="E353:F353"/>
    <mergeCell ref="E354:F354"/>
    <mergeCell ref="E355:F355"/>
    <mergeCell ref="E356:F356"/>
    <mergeCell ref="E337:H337"/>
    <mergeCell ref="E361:H361"/>
    <mergeCell ref="E294:F294"/>
    <mergeCell ref="E295:F295"/>
    <mergeCell ref="E296:H296"/>
    <mergeCell ref="E297:H297"/>
    <mergeCell ref="E298:H298"/>
    <mergeCell ref="E299:F299"/>
    <mergeCell ref="E300:F300"/>
    <mergeCell ref="E301:F301"/>
    <mergeCell ref="E302:F302"/>
    <mergeCell ref="E303:F303"/>
    <mergeCell ref="E304:F304"/>
    <mergeCell ref="E305:F305"/>
    <mergeCell ref="E306:F306"/>
    <mergeCell ref="E308:F308"/>
    <mergeCell ref="E309:F309"/>
    <mergeCell ref="E310:F310"/>
    <mergeCell ref="E311:F311"/>
    <mergeCell ref="E312:H312"/>
    <mergeCell ref="E313:H313"/>
    <mergeCell ref="E314:H314"/>
    <mergeCell ref="E315:F315"/>
    <mergeCell ref="E316:F316"/>
    <mergeCell ref="E317:F317"/>
    <mergeCell ref="E318:F318"/>
    <mergeCell ref="E319:F319"/>
    <mergeCell ref="E320:F320"/>
    <mergeCell ref="E321:F321"/>
    <mergeCell ref="E322:H322"/>
    <mergeCell ref="E307:H307"/>
    <mergeCell ref="E323:F323"/>
    <mergeCell ref="E324:F324"/>
    <mergeCell ref="E325:F325"/>
    <mergeCell ref="E326:F326"/>
    <mergeCell ref="E259:F259"/>
    <mergeCell ref="E260:F260"/>
    <mergeCell ref="E261:F261"/>
    <mergeCell ref="E262:F262"/>
    <mergeCell ref="E263:F263"/>
    <mergeCell ref="E264:H264"/>
    <mergeCell ref="E265:F265"/>
    <mergeCell ref="E266:F266"/>
    <mergeCell ref="E267:F267"/>
    <mergeCell ref="E268:F268"/>
    <mergeCell ref="E269:H269"/>
    <mergeCell ref="E270:H270"/>
    <mergeCell ref="E274:H274"/>
    <mergeCell ref="E275:H275"/>
    <mergeCell ref="E276:H276"/>
    <mergeCell ref="E277:H277"/>
    <mergeCell ref="E271:H271"/>
    <mergeCell ref="E278:H278"/>
    <mergeCell ref="E279:H279"/>
    <mergeCell ref="E280:H280"/>
    <mergeCell ref="E281:H281"/>
    <mergeCell ref="E282:H282"/>
    <mergeCell ref="E283:F283"/>
    <mergeCell ref="E284:F284"/>
    <mergeCell ref="E285:F285"/>
    <mergeCell ref="E286:F286"/>
    <mergeCell ref="E287:F287"/>
    <mergeCell ref="E288:F288"/>
    <mergeCell ref="E289:F289"/>
    <mergeCell ref="E290:F290"/>
    <mergeCell ref="E291:H291"/>
    <mergeCell ref="E292:F292"/>
    <mergeCell ref="E293:F293"/>
    <mergeCell ref="E223:F223"/>
    <mergeCell ref="E224:F224"/>
    <mergeCell ref="E225:F225"/>
    <mergeCell ref="E226:F226"/>
    <mergeCell ref="E227:F227"/>
    <mergeCell ref="E228:F228"/>
    <mergeCell ref="E229:F229"/>
    <mergeCell ref="E230:F230"/>
    <mergeCell ref="E231:H231"/>
    <mergeCell ref="E232:H232"/>
    <mergeCell ref="E233:F233"/>
    <mergeCell ref="E234:F234"/>
    <mergeCell ref="E235:F235"/>
    <mergeCell ref="E236:F236"/>
    <mergeCell ref="E237:H237"/>
    <mergeCell ref="E238:H238"/>
    <mergeCell ref="E239:F239"/>
    <mergeCell ref="E240:F240"/>
    <mergeCell ref="E241:F241"/>
    <mergeCell ref="E242:F242"/>
    <mergeCell ref="E243:F243"/>
    <mergeCell ref="E244:F244"/>
    <mergeCell ref="E245:F245"/>
    <mergeCell ref="E246:F246"/>
    <mergeCell ref="E247:H247"/>
    <mergeCell ref="E250:F250"/>
    <mergeCell ref="E251:F251"/>
    <mergeCell ref="E252:F252"/>
    <mergeCell ref="E253:F253"/>
    <mergeCell ref="E254:H254"/>
    <mergeCell ref="E256:F256"/>
    <mergeCell ref="E257:F257"/>
    <mergeCell ref="E258:F258"/>
    <mergeCell ref="E105:H105"/>
    <mergeCell ref="E106:H106"/>
    <mergeCell ref="E107:H107"/>
    <mergeCell ref="E168:H168"/>
    <mergeCell ref="E170:F170"/>
    <mergeCell ref="E171:F171"/>
    <mergeCell ref="E172:F172"/>
    <mergeCell ref="E173:F173"/>
    <mergeCell ref="E174:F174"/>
    <mergeCell ref="E175:F175"/>
    <mergeCell ref="E128:H128"/>
    <mergeCell ref="E129:H129"/>
    <mergeCell ref="E130:H130"/>
    <mergeCell ref="E131:F131"/>
    <mergeCell ref="E133:F133"/>
    <mergeCell ref="E134:F134"/>
    <mergeCell ref="E136:H136"/>
    <mergeCell ref="E137:H137"/>
    <mergeCell ref="E138:H138"/>
    <mergeCell ref="E140:F140"/>
    <mergeCell ref="E141:F141"/>
    <mergeCell ref="E142:F142"/>
    <mergeCell ref="E143:F143"/>
    <mergeCell ref="E144:F144"/>
    <mergeCell ref="E145:F145"/>
    <mergeCell ref="E146:F146"/>
    <mergeCell ref="E147:F147"/>
    <mergeCell ref="E148:F148"/>
    <mergeCell ref="E149:F149"/>
    <mergeCell ref="E150:F150"/>
    <mergeCell ref="E152:F152"/>
    <mergeCell ref="E153:F153"/>
    <mergeCell ref="E154:F154"/>
    <mergeCell ref="E155:F155"/>
    <mergeCell ref="E156:F156"/>
    <mergeCell ref="E158:F158"/>
    <mergeCell ref="E165:H165"/>
    <mergeCell ref="E166:H166"/>
    <mergeCell ref="E167:H167"/>
    <mergeCell ref="E119:F119"/>
    <mergeCell ref="E120:F120"/>
    <mergeCell ref="E121:F121"/>
    <mergeCell ref="E122:F122"/>
    <mergeCell ref="E127:H127"/>
    <mergeCell ref="E11:H11"/>
    <mergeCell ref="E16:H16"/>
    <mergeCell ref="E35:H35"/>
    <mergeCell ref="E49:H49"/>
    <mergeCell ref="E50:H50"/>
    <mergeCell ref="E51:H51"/>
    <mergeCell ref="E52:H52"/>
    <mergeCell ref="E53:H53"/>
    <mergeCell ref="E54:H54"/>
    <mergeCell ref="E55:H55"/>
    <mergeCell ref="E56:H56"/>
    <mergeCell ref="E57:H57"/>
    <mergeCell ref="E58:F58"/>
    <mergeCell ref="E59:F59"/>
    <mergeCell ref="E60:F60"/>
    <mergeCell ref="E14650:F14650"/>
    <mergeCell ref="E14652:F14652"/>
    <mergeCell ref="E14654:F14654"/>
    <mergeCell ref="E14655:F14655"/>
    <mergeCell ref="E14656:F14656"/>
    <mergeCell ref="E14674:F14674"/>
    <mergeCell ref="E61:F61"/>
    <mergeCell ref="E62:F62"/>
    <mergeCell ref="E63:F63"/>
    <mergeCell ref="E64:F64"/>
    <mergeCell ref="E65:F65"/>
    <mergeCell ref="E66:F66"/>
    <mergeCell ref="E67:F67"/>
    <mergeCell ref="E68:F68"/>
    <mergeCell ref="E69:H69"/>
    <mergeCell ref="E70:H70"/>
    <mergeCell ref="E71:H71"/>
    <mergeCell ref="E72:H72"/>
    <mergeCell ref="E73:H73"/>
    <mergeCell ref="E74:H74"/>
    <mergeCell ref="E75:H75"/>
    <mergeCell ref="E76:H76"/>
    <mergeCell ref="E77:F77"/>
    <mergeCell ref="E78:F78"/>
    <mergeCell ref="E79:F79"/>
    <mergeCell ref="E80:F80"/>
    <mergeCell ref="E81:F81"/>
    <mergeCell ref="E82:F82"/>
    <mergeCell ref="E83:F83"/>
    <mergeCell ref="E84:F84"/>
    <mergeCell ref="E85:F85"/>
    <mergeCell ref="E86:F86"/>
    <mergeCell ref="E87:H87"/>
    <mergeCell ref="E88:H88"/>
    <mergeCell ref="E89:H89"/>
    <mergeCell ref="E91:H91"/>
    <mergeCell ref="E95:F95"/>
    <mergeCell ref="E96:F96"/>
    <mergeCell ref="E97:F97"/>
    <mergeCell ref="E98:F98"/>
    <mergeCell ref="E99:F99"/>
    <mergeCell ref="E100:F100"/>
    <mergeCell ref="E101:F101"/>
    <mergeCell ref="E102:F102"/>
    <mergeCell ref="E103:F103"/>
    <mergeCell ref="E104:H104"/>
    <mergeCell ref="E14468:H14468"/>
    <mergeCell ref="E14473:F14473"/>
    <mergeCell ref="E14487:F14487"/>
    <mergeCell ref="E14645:H14645"/>
    <mergeCell ref="E14653:F14653"/>
    <mergeCell ref="E14694:H14694"/>
    <mergeCell ref="E14695:H14695"/>
    <mergeCell ref="E14702:H14702"/>
    <mergeCell ref="E14716:F14716"/>
    <mergeCell ref="E14625:H14625"/>
    <mergeCell ref="E14631:F14631"/>
    <mergeCell ref="E14633:F14633"/>
    <mergeCell ref="E17:F17"/>
    <mergeCell ref="E18:F18"/>
    <mergeCell ref="E19:F19"/>
    <mergeCell ref="E20:F20"/>
    <mergeCell ref="E21:F21"/>
    <mergeCell ref="E22:F22"/>
    <mergeCell ref="E23:F23"/>
    <mergeCell ref="E24:F24"/>
    <mergeCell ref="E25:F25"/>
    <mergeCell ref="E26:F26"/>
    <mergeCell ref="E27:F27"/>
    <mergeCell ref="E28:H28"/>
    <mergeCell ref="E29:H29"/>
    <mergeCell ref="E30:H30"/>
    <mergeCell ref="E31:H31"/>
    <mergeCell ref="E32:H32"/>
    <mergeCell ref="E33:H33"/>
    <mergeCell ref="E34:H34"/>
    <mergeCell ref="E36:F36"/>
    <mergeCell ref="E37:F37"/>
    <mergeCell ref="E38:F38"/>
    <mergeCell ref="E39:F39"/>
    <mergeCell ref="E40:F40"/>
    <mergeCell ref="E41:F41"/>
    <mergeCell ref="E42:F42"/>
    <mergeCell ref="E43:F43"/>
    <mergeCell ref="E44:F44"/>
    <mergeCell ref="E45:F45"/>
    <mergeCell ref="E46:F46"/>
    <mergeCell ref="E47:F47"/>
    <mergeCell ref="E48:H48"/>
    <mergeCell ref="E108:H108"/>
    <mergeCell ref="E109:H109"/>
    <mergeCell ref="E110:H110"/>
    <mergeCell ref="E111:H111"/>
    <mergeCell ref="E112:F112"/>
    <mergeCell ref="E113:F113"/>
    <mergeCell ref="E114:F114"/>
    <mergeCell ref="E115:F115"/>
    <mergeCell ref="E116:F116"/>
    <mergeCell ref="E117:F117"/>
    <mergeCell ref="E118:F118"/>
    <mergeCell ref="E159:F159"/>
    <mergeCell ref="E160:F160"/>
    <mergeCell ref="E124:H124"/>
    <mergeCell ref="E125:H125"/>
    <mergeCell ref="E126:H126"/>
    <mergeCell ref="E123:H123"/>
    <mergeCell ref="E161:F161"/>
    <mergeCell ref="E162:F162"/>
    <mergeCell ref="E163:F163"/>
    <mergeCell ref="E164:F164"/>
    <mergeCell ref="E14121:H14121"/>
    <mergeCell ref="E14122:H14122"/>
    <mergeCell ref="E14123:H14123"/>
    <mergeCell ref="E14688:H14688"/>
    <mergeCell ref="E14689:H14689"/>
    <mergeCell ref="E14690:H14690"/>
    <mergeCell ref="E14696:F14696"/>
    <mergeCell ref="E14693:H14693"/>
    <mergeCell ref="E14699:F14699"/>
    <mergeCell ref="E14700:F14700"/>
    <mergeCell ref="E14701:F14701"/>
    <mergeCell ref="E14703:F14703"/>
    <mergeCell ref="E14704:F14704"/>
    <mergeCell ref="E14705:F14705"/>
    <mergeCell ref="E14706:F14706"/>
    <mergeCell ref="E14710:H14710"/>
    <mergeCell ref="E14675:F14675"/>
    <mergeCell ref="E14676:F14676"/>
    <mergeCell ref="E14679:F14679"/>
    <mergeCell ref="E14691:H14691"/>
    <mergeCell ref="E14692:H14692"/>
    <mergeCell ref="E14713:H14713"/>
    <mergeCell ref="E14714:H14714"/>
    <mergeCell ref="E14663:F14663"/>
    <mergeCell ref="E14664:F14664"/>
    <mergeCell ref="E14116:H14116"/>
    <mergeCell ref="E14117:H14117"/>
    <mergeCell ref="E14142:F14142"/>
    <mergeCell ref="E14079:F14079"/>
    <mergeCell ref="E14080:F14080"/>
    <mergeCell ref="E14081:F14081"/>
    <mergeCell ref="E14082:F14082"/>
    <mergeCell ref="E14083:F14083"/>
    <mergeCell ref="E14091:H14091"/>
    <mergeCell ref="E14092:H14092"/>
    <mergeCell ref="E14568:H14568"/>
    <mergeCell ref="E14569:H14569"/>
    <mergeCell ref="E14570:H14570"/>
    <mergeCell ref="E14571:H14571"/>
    <mergeCell ref="E14572:H14572"/>
    <mergeCell ref="E14579:F14579"/>
    <mergeCell ref="E14580:F14580"/>
    <mergeCell ref="E14581:F14581"/>
    <mergeCell ref="E14582:F14582"/>
    <mergeCell ref="E14583:F14583"/>
    <mergeCell ref="E14584:F14584"/>
    <mergeCell ref="E14576:F14576"/>
    <mergeCell ref="E14577:F14577"/>
    <mergeCell ref="E14585:H14585"/>
    <mergeCell ref="E14586:H14586"/>
    <mergeCell ref="E14587:H14587"/>
    <mergeCell ref="E14588:H14588"/>
    <mergeCell ref="E14589:H14589"/>
    <mergeCell ref="E14590:H14590"/>
    <mergeCell ref="E14591:H14591"/>
    <mergeCell ref="E14592:H14592"/>
    <mergeCell ref="E14431:F14431"/>
    <mergeCell ref="E14432:F14432"/>
    <mergeCell ref="E14439:H14439"/>
    <mergeCell ref="E14440:H14440"/>
    <mergeCell ref="E14486:F14486"/>
    <mergeCell ref="E14465:H14465"/>
    <mergeCell ref="E14466:H14466"/>
    <mergeCell ref="E14467:H14467"/>
    <mergeCell ref="E14488:F14488"/>
    <mergeCell ref="E14493:H14493"/>
    <mergeCell ref="E14524:H14524"/>
    <mergeCell ref="E14492:H14492"/>
    <mergeCell ref="E14494:H14494"/>
    <mergeCell ref="E14495:H14495"/>
    <mergeCell ref="E14498:F14498"/>
    <mergeCell ref="E14499:F14499"/>
    <mergeCell ref="E14500:F14500"/>
    <mergeCell ref="E14501:F14501"/>
    <mergeCell ref="E14502:F14502"/>
    <mergeCell ref="E14503:F14503"/>
    <mergeCell ref="E14504:F14504"/>
    <mergeCell ref="E14505:F14505"/>
    <mergeCell ref="E14506:F14506"/>
    <mergeCell ref="E14507:F14507"/>
    <mergeCell ref="E14508:F14508"/>
    <mergeCell ref="E14511:F14511"/>
    <mergeCell ref="E14513:H14513"/>
    <mergeCell ref="E14516:H14516"/>
    <mergeCell ref="E14517:H14517"/>
    <mergeCell ref="E14518:H14518"/>
    <mergeCell ref="E14062:F14062"/>
    <mergeCell ref="E14063:F14063"/>
    <mergeCell ref="E14064:F14064"/>
    <mergeCell ref="E14156:F14156"/>
    <mergeCell ref="E14157:F14157"/>
    <mergeCell ref="E14158:F14158"/>
    <mergeCell ref="E14159:F14159"/>
    <mergeCell ref="E14160:F14160"/>
    <mergeCell ref="E13887:F13887"/>
    <mergeCell ref="E13963:F13963"/>
    <mergeCell ref="E13964:F13964"/>
    <mergeCell ref="E13965:F13965"/>
    <mergeCell ref="E13966:F13966"/>
    <mergeCell ref="E13973:H13973"/>
    <mergeCell ref="E13981:F13981"/>
    <mergeCell ref="E13982:F13982"/>
    <mergeCell ref="E13983:F13983"/>
    <mergeCell ref="E13927:F13927"/>
    <mergeCell ref="E13928:F13928"/>
    <mergeCell ref="E13942:H13942"/>
    <mergeCell ref="E13947:F13947"/>
    <mergeCell ref="E13949:F13949"/>
    <mergeCell ref="E13967:F13967"/>
    <mergeCell ref="E13901:F13901"/>
    <mergeCell ref="E13902:F13902"/>
    <mergeCell ref="E13903:F13903"/>
    <mergeCell ref="E13904:F13904"/>
    <mergeCell ref="E13905:F13905"/>
    <mergeCell ref="E13906:F13906"/>
    <mergeCell ref="E13909:H13909"/>
    <mergeCell ref="E13910:H13910"/>
    <mergeCell ref="E13911:H13911"/>
    <mergeCell ref="E13912:H13912"/>
    <mergeCell ref="E14051:F14051"/>
    <mergeCell ref="E14052:F14052"/>
    <mergeCell ref="E14053:F14053"/>
    <mergeCell ref="E14099:F14099"/>
    <mergeCell ref="E14100:F14100"/>
    <mergeCell ref="E14120:H14120"/>
    <mergeCell ref="E13994:H13994"/>
    <mergeCell ref="E13995:H13995"/>
    <mergeCell ref="E13996:H13996"/>
    <mergeCell ref="E13997:H13997"/>
    <mergeCell ref="E14007:F14007"/>
    <mergeCell ref="E14395:H14395"/>
    <mergeCell ref="E14141:F14141"/>
    <mergeCell ref="E14146:H14146"/>
    <mergeCell ref="E14147:H14147"/>
    <mergeCell ref="E14148:H14148"/>
    <mergeCell ref="E14149:H14149"/>
    <mergeCell ref="E14150:H14150"/>
    <mergeCell ref="E14151:H14151"/>
    <mergeCell ref="E14152:H14152"/>
    <mergeCell ref="E14153:H14153"/>
    <mergeCell ref="E14101:F14101"/>
    <mergeCell ref="E14102:F14102"/>
    <mergeCell ref="E14103:F14103"/>
    <mergeCell ref="E14109:F14109"/>
    <mergeCell ref="E14110:F14110"/>
    <mergeCell ref="E14115:H14115"/>
    <mergeCell ref="E13733:F13733"/>
    <mergeCell ref="E13734:F13734"/>
    <mergeCell ref="E13735:F13735"/>
    <mergeCell ref="E13742:F13742"/>
    <mergeCell ref="E13743:F13743"/>
    <mergeCell ref="E13752:F13752"/>
    <mergeCell ref="E13753:F13753"/>
    <mergeCell ref="E13754:F13754"/>
    <mergeCell ref="E13755:F13755"/>
    <mergeCell ref="E13756:F13756"/>
    <mergeCell ref="E13757:F13757"/>
    <mergeCell ref="E13736:F13736"/>
    <mergeCell ref="E13737:F13737"/>
    <mergeCell ref="E13738:F13738"/>
    <mergeCell ref="E13739:F13739"/>
    <mergeCell ref="E13740:F13740"/>
    <mergeCell ref="E13741:F13741"/>
    <mergeCell ref="E13763:F13763"/>
    <mergeCell ref="E13744:F13744"/>
    <mergeCell ref="E13745:F13745"/>
    <mergeCell ref="E13746:F13746"/>
    <mergeCell ref="E13747:F13747"/>
    <mergeCell ref="E13748:F13748"/>
    <mergeCell ref="E13749:F13749"/>
    <mergeCell ref="E13750:F13750"/>
    <mergeCell ref="E13751:F13751"/>
    <mergeCell ref="E13758:H13758"/>
    <mergeCell ref="E13759:H13759"/>
    <mergeCell ref="E13760:H13760"/>
    <mergeCell ref="E13761:H13761"/>
    <mergeCell ref="E13762:H13762"/>
    <mergeCell ref="E13764:F13764"/>
    <mergeCell ref="E13765:F13765"/>
    <mergeCell ref="E13801:F13801"/>
    <mergeCell ref="E13804:H13804"/>
    <mergeCell ref="E13802:F13802"/>
    <mergeCell ref="E13803:F13803"/>
    <mergeCell ref="E13772:F13772"/>
    <mergeCell ref="E13773:F13773"/>
    <mergeCell ref="E13774:F13774"/>
    <mergeCell ref="E13775:F13775"/>
    <mergeCell ref="E13777:F13777"/>
    <mergeCell ref="E13778:F13778"/>
    <mergeCell ref="E13786:H13786"/>
    <mergeCell ref="E13766:F13766"/>
    <mergeCell ref="E13767:F13767"/>
    <mergeCell ref="E13805:H13805"/>
    <mergeCell ref="E13806:H13806"/>
    <mergeCell ref="E13807:H13807"/>
    <mergeCell ref="E13657:H13657"/>
    <mergeCell ref="E13658:H13658"/>
    <mergeCell ref="E13659:H13659"/>
    <mergeCell ref="E13660:H13660"/>
    <mergeCell ref="E13661:H13661"/>
    <mergeCell ref="E13667:F13667"/>
    <mergeCell ref="E13668:F13668"/>
    <mergeCell ref="E13669:F13669"/>
    <mergeCell ref="E13670:F13670"/>
    <mergeCell ref="E13671:F13671"/>
    <mergeCell ref="E13672:F13672"/>
    <mergeCell ref="E13673:F13673"/>
    <mergeCell ref="E13674:F13674"/>
    <mergeCell ref="E13675:F13675"/>
    <mergeCell ref="E13676:F13676"/>
    <mergeCell ref="E13681:H13681"/>
    <mergeCell ref="E13682:H13682"/>
    <mergeCell ref="E13683:H13683"/>
    <mergeCell ref="E13684:H13684"/>
    <mergeCell ref="E13695:F13695"/>
    <mergeCell ref="E13678:H13678"/>
    <mergeCell ref="E13679:H13679"/>
    <mergeCell ref="E13680:H13680"/>
    <mergeCell ref="E13690:F13690"/>
    <mergeCell ref="E13691:F13691"/>
    <mergeCell ref="E13692:F13692"/>
    <mergeCell ref="E13693:F13693"/>
    <mergeCell ref="E13694:F13694"/>
    <mergeCell ref="E13385:H13385"/>
    <mergeCell ref="E13386:H13386"/>
    <mergeCell ref="E13387:H13387"/>
    <mergeCell ref="E13394:F13394"/>
    <mergeCell ref="E13397:F13397"/>
    <mergeCell ref="E13398:F13398"/>
    <mergeCell ref="E13399:F13399"/>
    <mergeCell ref="E13400:F13400"/>
    <mergeCell ref="E13401:F13401"/>
    <mergeCell ref="E13402:F13402"/>
    <mergeCell ref="E13405:F13405"/>
    <mergeCell ref="E13406:F13406"/>
    <mergeCell ref="E13411:H13411"/>
    <mergeCell ref="E13412:H13412"/>
    <mergeCell ref="E13413:H13413"/>
    <mergeCell ref="E13414:H13414"/>
    <mergeCell ref="E13415:H13415"/>
    <mergeCell ref="E13416:H13416"/>
    <mergeCell ref="E13417:H13417"/>
    <mergeCell ref="E13418:H13418"/>
    <mergeCell ref="E13419:H13419"/>
    <mergeCell ref="E13420:H13420"/>
    <mergeCell ref="E13409:H13409"/>
    <mergeCell ref="E13597:F13597"/>
    <mergeCell ref="E13580:H13580"/>
    <mergeCell ref="E13581:H13581"/>
    <mergeCell ref="E13582:H13582"/>
    <mergeCell ref="E13583:H13583"/>
    <mergeCell ref="E13586:F13586"/>
    <mergeCell ref="E13587:F13587"/>
    <mergeCell ref="E13588:F13588"/>
    <mergeCell ref="E13589:F13589"/>
    <mergeCell ref="E13590:F13590"/>
    <mergeCell ref="E13591:F13591"/>
    <mergeCell ref="E13577:F13577"/>
    <mergeCell ref="E13578:F13578"/>
    <mergeCell ref="E13489:H13489"/>
    <mergeCell ref="E13490:H13490"/>
    <mergeCell ref="E13491:H13491"/>
    <mergeCell ref="E13492:F13492"/>
    <mergeCell ref="E13493:F13493"/>
    <mergeCell ref="E13494:F13494"/>
    <mergeCell ref="E13495:F13495"/>
    <mergeCell ref="E13496:F13496"/>
    <mergeCell ref="E13497:F13497"/>
    <mergeCell ref="E13457:F13457"/>
    <mergeCell ref="E13458:F13458"/>
    <mergeCell ref="E13459:F13459"/>
    <mergeCell ref="E13460:F13460"/>
    <mergeCell ref="E13461:F13461"/>
    <mergeCell ref="E13464:F13464"/>
    <mergeCell ref="E13465:F13465"/>
    <mergeCell ref="E13462:F13462"/>
    <mergeCell ref="E13463:F13463"/>
    <mergeCell ref="E13468:H13468"/>
    <mergeCell ref="E13469:H13469"/>
    <mergeCell ref="E13470:H13470"/>
    <mergeCell ref="E13471:H13471"/>
    <mergeCell ref="E13472:H13472"/>
    <mergeCell ref="E13555:H13555"/>
    <mergeCell ref="E13556:H13556"/>
    <mergeCell ref="E13560:F13560"/>
    <mergeCell ref="E13379:F13379"/>
    <mergeCell ref="E13380:F13380"/>
    <mergeCell ref="E13381:F13381"/>
    <mergeCell ref="E13382:F13382"/>
    <mergeCell ref="E13336:F13336"/>
    <mergeCell ref="E13320:F13320"/>
    <mergeCell ref="E13321:F13321"/>
    <mergeCell ref="E13322:F13322"/>
    <mergeCell ref="E13430:H13430"/>
    <mergeCell ref="E13431:H13431"/>
    <mergeCell ref="E13443:F13443"/>
    <mergeCell ref="E13444:F13444"/>
    <mergeCell ref="E13445:F13445"/>
    <mergeCell ref="E13449:H13449"/>
    <mergeCell ref="E13450:H13450"/>
    <mergeCell ref="E13451:H13451"/>
    <mergeCell ref="E13452:H13452"/>
    <mergeCell ref="E13453:H13453"/>
    <mergeCell ref="E13404:H13404"/>
    <mergeCell ref="E13421:F13421"/>
    <mergeCell ref="E13422:F13422"/>
    <mergeCell ref="E13423:F13423"/>
    <mergeCell ref="E13438:F13438"/>
    <mergeCell ref="E13439:F13439"/>
    <mergeCell ref="E13440:F13440"/>
    <mergeCell ref="E13473:H13473"/>
    <mergeCell ref="E13474:H13474"/>
    <mergeCell ref="E13480:F13480"/>
    <mergeCell ref="E13481:F13481"/>
    <mergeCell ref="E13482:F13482"/>
    <mergeCell ref="E13483:F13483"/>
    <mergeCell ref="E13454:H13454"/>
    <mergeCell ref="E13424:F13424"/>
    <mergeCell ref="E13425:F13425"/>
    <mergeCell ref="E13426:F13426"/>
    <mergeCell ref="E13427:F13427"/>
    <mergeCell ref="E13428:F13428"/>
    <mergeCell ref="E13429:F13429"/>
    <mergeCell ref="E13432:H13432"/>
    <mergeCell ref="E13433:H13433"/>
    <mergeCell ref="E13434:H13434"/>
    <mergeCell ref="E13435:H13435"/>
    <mergeCell ref="E13436:H13436"/>
    <mergeCell ref="E13437:H13437"/>
    <mergeCell ref="E13446:F13446"/>
    <mergeCell ref="E13447:F13447"/>
    <mergeCell ref="E13391:F13391"/>
    <mergeCell ref="E13388:H13388"/>
    <mergeCell ref="E13455:H13455"/>
    <mergeCell ref="E13456:H13456"/>
    <mergeCell ref="E13466:H13466"/>
    <mergeCell ref="E13467:H13467"/>
    <mergeCell ref="E13475:F13475"/>
    <mergeCell ref="E13476:F13476"/>
    <mergeCell ref="E13477:F13477"/>
    <mergeCell ref="E13441:F13441"/>
    <mergeCell ref="E13442:F13442"/>
    <mergeCell ref="E13448:H13448"/>
    <mergeCell ref="E13393:F13393"/>
    <mergeCell ref="E13374:F13374"/>
    <mergeCell ref="E13375:F13375"/>
    <mergeCell ref="E13376:F13376"/>
    <mergeCell ref="E13377:F13377"/>
    <mergeCell ref="E13384:H13384"/>
    <mergeCell ref="E11540:H11540"/>
    <mergeCell ref="E11541:H11541"/>
    <mergeCell ref="E11547:F11547"/>
    <mergeCell ref="E11554:H11554"/>
    <mergeCell ref="E11555:H11555"/>
    <mergeCell ref="E11556:H11556"/>
    <mergeCell ref="E11557:H11557"/>
    <mergeCell ref="E11558:H11558"/>
    <mergeCell ref="E11559:H11559"/>
    <mergeCell ref="E11560:H11560"/>
    <mergeCell ref="E11561:H11561"/>
    <mergeCell ref="E11562:H11562"/>
    <mergeCell ref="E11563:H11563"/>
    <mergeCell ref="E11566:F11566"/>
    <mergeCell ref="E11567:F11567"/>
    <mergeCell ref="E11568:F11568"/>
    <mergeCell ref="E11569:F11569"/>
    <mergeCell ref="E11570:F11570"/>
    <mergeCell ref="E11571:F11571"/>
    <mergeCell ref="E11576:H11576"/>
    <mergeCell ref="E11577:H11577"/>
    <mergeCell ref="E11578:H11578"/>
    <mergeCell ref="E11579:H11579"/>
    <mergeCell ref="E11580:H11580"/>
    <mergeCell ref="E11581:H11581"/>
    <mergeCell ref="E11582:H11582"/>
    <mergeCell ref="E11583:H11583"/>
    <mergeCell ref="E11550:F11550"/>
    <mergeCell ref="E11640:H11640"/>
    <mergeCell ref="E11641:H11641"/>
    <mergeCell ref="E11575:F11575"/>
    <mergeCell ref="E13236:F13236"/>
    <mergeCell ref="E12954:F12954"/>
    <mergeCell ref="E12942:F12942"/>
    <mergeCell ref="E12988:H12988"/>
    <mergeCell ref="E12763:H12763"/>
    <mergeCell ref="E12803:H12803"/>
    <mergeCell ref="E12804:H12804"/>
    <mergeCell ref="E12941:F12941"/>
    <mergeCell ref="E12675:F12675"/>
    <mergeCell ref="E12989:H12989"/>
    <mergeCell ref="E13000:F13000"/>
    <mergeCell ref="E13001:F13001"/>
    <mergeCell ref="E12875:F12875"/>
    <mergeCell ref="E12893:F12893"/>
    <mergeCell ref="E12894:F12894"/>
    <mergeCell ref="E12895:F12895"/>
    <mergeCell ref="E12873:F12873"/>
    <mergeCell ref="E13032:H13032"/>
    <mergeCell ref="E13033:H13033"/>
    <mergeCell ref="E12892:F12892"/>
    <mergeCell ref="E12964:F12964"/>
    <mergeCell ref="E12965:F12965"/>
    <mergeCell ref="E12966:F12966"/>
    <mergeCell ref="E12670:F12670"/>
    <mergeCell ref="E12671:F12671"/>
    <mergeCell ref="E12672:F12672"/>
    <mergeCell ref="E12673:F12673"/>
    <mergeCell ref="E12674:F12674"/>
    <mergeCell ref="E12665:F12665"/>
    <mergeCell ref="E12666:F12666"/>
    <mergeCell ref="E12667:F12667"/>
    <mergeCell ref="E12637:F12637"/>
    <mergeCell ref="E12632:F12632"/>
    <mergeCell ref="E11853:H11853"/>
    <mergeCell ref="E11854:H11854"/>
    <mergeCell ref="E11861:F11861"/>
    <mergeCell ref="E11862:F11862"/>
    <mergeCell ref="E11909:F11909"/>
    <mergeCell ref="E11910:F11910"/>
    <mergeCell ref="E11915:H11915"/>
    <mergeCell ref="E11916:H11916"/>
    <mergeCell ref="E11917:H11917"/>
    <mergeCell ref="E11918:H11918"/>
    <mergeCell ref="E12913:F12913"/>
    <mergeCell ref="E11924:H11924"/>
    <mergeCell ref="E11933:F11933"/>
    <mergeCell ref="E11939:H11939"/>
    <mergeCell ref="E11940:H11940"/>
    <mergeCell ref="E11941:H11941"/>
    <mergeCell ref="E11942:H11942"/>
    <mergeCell ref="E11943:H11943"/>
    <mergeCell ref="E11936:F11936"/>
    <mergeCell ref="E11937:F11937"/>
    <mergeCell ref="E12113:H12113"/>
    <mergeCell ref="E12143:F12143"/>
    <mergeCell ref="E12144:F12144"/>
    <mergeCell ref="E12150:H12150"/>
    <mergeCell ref="E12115:F12115"/>
    <mergeCell ref="E12116:F12116"/>
    <mergeCell ref="E12136:F12136"/>
    <mergeCell ref="E12126:F12126"/>
    <mergeCell ref="E12146:F12146"/>
    <mergeCell ref="E12147:F12147"/>
    <mergeCell ref="E12070:F12070"/>
    <mergeCell ref="E12071:F12071"/>
    <mergeCell ref="E12072:F12072"/>
    <mergeCell ref="E12073:F12073"/>
    <mergeCell ref="E12074:F12074"/>
    <mergeCell ref="E12075:F12075"/>
    <mergeCell ref="E12076:F12076"/>
    <mergeCell ref="E12077:H12077"/>
    <mergeCell ref="E11522:H11522"/>
    <mergeCell ref="E11526:F11526"/>
    <mergeCell ref="E11527:F11527"/>
    <mergeCell ref="E11528:F11528"/>
    <mergeCell ref="E11529:F11529"/>
    <mergeCell ref="E11530:F11530"/>
    <mergeCell ref="E11525:F11525"/>
    <mergeCell ref="E11531:F11531"/>
    <mergeCell ref="E11532:F11532"/>
    <mergeCell ref="E11533:F11533"/>
    <mergeCell ref="E11595:H11595"/>
    <mergeCell ref="E11596:H11596"/>
    <mergeCell ref="E11597:H11597"/>
    <mergeCell ref="E11598:H11598"/>
    <mergeCell ref="E11599:H11599"/>
    <mergeCell ref="E11604:F11604"/>
    <mergeCell ref="E11605:F11605"/>
    <mergeCell ref="E11606:F11606"/>
    <mergeCell ref="E11600:H11600"/>
    <mergeCell ref="E11601:H11601"/>
    <mergeCell ref="E11602:H11602"/>
    <mergeCell ref="E11564:F11564"/>
    <mergeCell ref="E11565:F11565"/>
    <mergeCell ref="E11542:F11542"/>
    <mergeCell ref="E11543:F11543"/>
    <mergeCell ref="E12494:F12494"/>
    <mergeCell ref="E12658:H12658"/>
    <mergeCell ref="E12659:H12659"/>
    <mergeCell ref="E12660:H12660"/>
    <mergeCell ref="E12661:H12661"/>
    <mergeCell ref="E12662:H12662"/>
    <mergeCell ref="E12663:H12663"/>
    <mergeCell ref="E12912:F12912"/>
    <mergeCell ref="E12852:F12852"/>
    <mergeCell ref="E12853:F12853"/>
    <mergeCell ref="E12854:F12854"/>
    <mergeCell ref="E12855:F12855"/>
    <mergeCell ref="E12872:F12872"/>
    <mergeCell ref="E12761:H12761"/>
    <mergeCell ref="E12762:H12762"/>
    <mergeCell ref="E11959:F11959"/>
    <mergeCell ref="E11960:F11960"/>
    <mergeCell ref="E11961:F11961"/>
    <mergeCell ref="E11980:F11980"/>
    <mergeCell ref="E11981:F11981"/>
    <mergeCell ref="E11969:H11969"/>
    <mergeCell ref="E11957:F11957"/>
    <mergeCell ref="E11914:H11914"/>
    <mergeCell ref="E11920:H11920"/>
    <mergeCell ref="E11921:H11921"/>
    <mergeCell ref="E11922:H11922"/>
    <mergeCell ref="E11934:F11934"/>
    <mergeCell ref="E11886:F11886"/>
    <mergeCell ref="E11882:F11882"/>
    <mergeCell ref="E11883:F11883"/>
    <mergeCell ref="E11902:F11902"/>
    <mergeCell ref="E11903:F11903"/>
    <mergeCell ref="E11927:F11927"/>
    <mergeCell ref="E11930:F11930"/>
    <mergeCell ref="E11931:F11931"/>
    <mergeCell ref="E11932:F11932"/>
    <mergeCell ref="E11954:F11954"/>
    <mergeCell ref="E11919:H11919"/>
    <mergeCell ref="E11923:H11923"/>
    <mergeCell ref="E13067:F13067"/>
    <mergeCell ref="E13077:F13077"/>
    <mergeCell ref="E13078:F13078"/>
    <mergeCell ref="E13097:F13097"/>
    <mergeCell ref="E12828:H12828"/>
    <mergeCell ref="E12829:H12829"/>
    <mergeCell ref="E11841:H11841"/>
    <mergeCell ref="E11842:H11842"/>
    <mergeCell ref="E11843:H11843"/>
    <mergeCell ref="E12530:F12530"/>
    <mergeCell ref="E12532:F12532"/>
    <mergeCell ref="E12514:H12514"/>
    <mergeCell ref="E12515:H12515"/>
    <mergeCell ref="E12516:H12516"/>
    <mergeCell ref="E12548:F12548"/>
    <mergeCell ref="E12553:F12553"/>
    <mergeCell ref="E12567:F12567"/>
    <mergeCell ref="E12055:H12055"/>
    <mergeCell ref="E12041:F12041"/>
    <mergeCell ref="E12042:F12042"/>
    <mergeCell ref="E12043:F12043"/>
    <mergeCell ref="E12044:F12044"/>
    <mergeCell ref="E12045:F12045"/>
    <mergeCell ref="E12046:F12046"/>
    <mergeCell ref="E12047:F12047"/>
    <mergeCell ref="E12048:F12048"/>
    <mergeCell ref="E12061:H12061"/>
    <mergeCell ref="E12062:H12062"/>
    <mergeCell ref="E12010:H12010"/>
    <mergeCell ref="E12011:H12011"/>
    <mergeCell ref="E12012:H12012"/>
    <mergeCell ref="E12013:H12013"/>
    <mergeCell ref="E12014:H12014"/>
    <mergeCell ref="E12015:H12015"/>
    <mergeCell ref="E12087:F12087"/>
    <mergeCell ref="E12088:F12088"/>
    <mergeCell ref="E12016:H12016"/>
    <mergeCell ref="E12017:H12017"/>
    <mergeCell ref="E12018:H12018"/>
    <mergeCell ref="E12019:H12019"/>
    <mergeCell ref="E12025:F12025"/>
    <mergeCell ref="E12026:F12026"/>
    <mergeCell ref="E12027:F12027"/>
    <mergeCell ref="E12028:F12028"/>
    <mergeCell ref="E12029:F12029"/>
    <mergeCell ref="E12030:F12030"/>
    <mergeCell ref="E12031:F12031"/>
    <mergeCell ref="E12032:F12032"/>
    <mergeCell ref="E12991:H12991"/>
    <mergeCell ref="E12952:F12952"/>
    <mergeCell ref="E12603:H12603"/>
    <mergeCell ref="E12604:H12604"/>
    <mergeCell ref="E12605:H12605"/>
    <mergeCell ref="E12606:H12606"/>
    <mergeCell ref="E12607:H12607"/>
    <mergeCell ref="E11948:F11948"/>
    <mergeCell ref="E11949:F11949"/>
    <mergeCell ref="E11950:F11950"/>
    <mergeCell ref="E11951:F11951"/>
    <mergeCell ref="E11952:F11952"/>
    <mergeCell ref="E11953:F11953"/>
    <mergeCell ref="E11962:H11962"/>
    <mergeCell ref="E11938:F11938"/>
    <mergeCell ref="E11958:F11958"/>
    <mergeCell ref="E13219:F13219"/>
    <mergeCell ref="E13220:F13220"/>
    <mergeCell ref="E13221:F13221"/>
    <mergeCell ref="E13222:F13222"/>
    <mergeCell ref="E13223:F13223"/>
    <mergeCell ref="E13227:H13227"/>
    <mergeCell ref="E13228:H13228"/>
    <mergeCell ref="E13229:H13229"/>
    <mergeCell ref="E13230:H13230"/>
    <mergeCell ref="E13231:H13231"/>
    <mergeCell ref="E13237:F13237"/>
    <mergeCell ref="E13238:F13238"/>
    <mergeCell ref="E11230:F11230"/>
    <mergeCell ref="E11276:F11276"/>
    <mergeCell ref="E11884:F11884"/>
    <mergeCell ref="E11885:F11885"/>
    <mergeCell ref="E11288:F11288"/>
    <mergeCell ref="E12608:H12608"/>
    <mergeCell ref="E12618:F12618"/>
    <mergeCell ref="E12619:F12619"/>
    <mergeCell ref="E12472:F12472"/>
    <mergeCell ref="E12513:H12513"/>
    <mergeCell ref="E12528:F12528"/>
    <mergeCell ref="E12533:F12533"/>
    <mergeCell ref="E12534:F12534"/>
    <mergeCell ref="E12535:F12535"/>
    <mergeCell ref="E12536:F12536"/>
    <mergeCell ref="E12541:H12541"/>
    <mergeCell ref="E12542:H12542"/>
    <mergeCell ref="E12543:H12543"/>
    <mergeCell ref="E12544:H12544"/>
    <mergeCell ref="E12549:F12549"/>
    <mergeCell ref="E12554:F12554"/>
    <mergeCell ref="E12526:F12526"/>
    <mergeCell ref="E12527:F12527"/>
    <mergeCell ref="E12537:H12537"/>
    <mergeCell ref="E12538:H12538"/>
    <mergeCell ref="E12525:F12525"/>
    <mergeCell ref="E12547:F12547"/>
    <mergeCell ref="E12539:H12539"/>
    <mergeCell ref="E12503:F12503"/>
    <mergeCell ref="E12504:F12504"/>
    <mergeCell ref="E12505:F12505"/>
    <mergeCell ref="E12529:F12529"/>
    <mergeCell ref="E12575:F12575"/>
    <mergeCell ref="E12511:H12511"/>
    <mergeCell ref="E12610:F12610"/>
    <mergeCell ref="E12484:F12484"/>
    <mergeCell ref="E12485:F12485"/>
    <mergeCell ref="E12491:H12491"/>
    <mergeCell ref="E12576:F12576"/>
    <mergeCell ref="E12577:F12577"/>
    <mergeCell ref="E12487:H12487"/>
    <mergeCell ref="E12488:H12488"/>
    <mergeCell ref="E12489:H12489"/>
    <mergeCell ref="E12492:F12492"/>
    <mergeCell ref="E12493:F12493"/>
    <mergeCell ref="E11974:F11974"/>
    <mergeCell ref="E11975:F11975"/>
    <mergeCell ref="E11976:F11976"/>
    <mergeCell ref="E11977:F11977"/>
    <mergeCell ref="E11978:F11978"/>
    <mergeCell ref="E11979:F11979"/>
    <mergeCell ref="E11946:H11946"/>
    <mergeCell ref="E11041:F11041"/>
    <mergeCell ref="E11042:F11042"/>
    <mergeCell ref="E11304:F11304"/>
    <mergeCell ref="E11289:F11289"/>
    <mergeCell ref="E13217:F13217"/>
    <mergeCell ref="E13218:F13218"/>
    <mergeCell ref="E11292:F11292"/>
    <mergeCell ref="E11379:H11379"/>
    <mergeCell ref="E11998:F11998"/>
    <mergeCell ref="E11999:F11999"/>
    <mergeCell ref="E11414:F11414"/>
    <mergeCell ref="E12622:H12622"/>
    <mergeCell ref="E12624:H12624"/>
    <mergeCell ref="E12628:F12628"/>
    <mergeCell ref="E12629:F12629"/>
    <mergeCell ref="E12630:F12630"/>
    <mergeCell ref="E12403:F12403"/>
    <mergeCell ref="E12410:H12410"/>
    <mergeCell ref="E12490:H12490"/>
    <mergeCell ref="E12517:H12517"/>
    <mergeCell ref="E12531:F12531"/>
    <mergeCell ref="E12540:H12540"/>
    <mergeCell ref="E12550:F12550"/>
    <mergeCell ref="E12551:F12551"/>
    <mergeCell ref="E12552:F12552"/>
    <mergeCell ref="E12612:F12612"/>
    <mergeCell ref="E12613:F12613"/>
    <mergeCell ref="E12614:F12614"/>
    <mergeCell ref="E12615:F12615"/>
    <mergeCell ref="E12616:F12616"/>
    <mergeCell ref="E12617:F12617"/>
    <mergeCell ref="E12625:H12625"/>
    <mergeCell ref="E12344:F12344"/>
    <mergeCell ref="E12337:F12337"/>
    <mergeCell ref="E12391:F12391"/>
    <mergeCell ref="E12392:F12392"/>
    <mergeCell ref="E12393:F12393"/>
    <mergeCell ref="E12394:F12394"/>
    <mergeCell ref="E12355:H12355"/>
    <mergeCell ref="E12602:H12602"/>
    <mergeCell ref="E12495:F12495"/>
    <mergeCell ref="E12496:F12496"/>
    <mergeCell ref="E12382:H12382"/>
    <mergeCell ref="E12371:F12371"/>
    <mergeCell ref="E12372:F12372"/>
    <mergeCell ref="E12497:F12497"/>
    <mergeCell ref="E12498:F12498"/>
    <mergeCell ref="E12499:F12499"/>
    <mergeCell ref="E12500:F12500"/>
    <mergeCell ref="E12501:F12501"/>
    <mergeCell ref="E12502:F12502"/>
    <mergeCell ref="E12476:F12476"/>
    <mergeCell ref="E12390:F12390"/>
    <mergeCell ref="E12395:F12395"/>
    <mergeCell ref="E12396:F12396"/>
    <mergeCell ref="E12397:F12397"/>
    <mergeCell ref="E12443:F12443"/>
    <mergeCell ref="E11982:F11982"/>
    <mergeCell ref="E11997:F11997"/>
    <mergeCell ref="E11986:F11986"/>
    <mergeCell ref="E11970:H11970"/>
    <mergeCell ref="E11971:H11971"/>
    <mergeCell ref="E11972:F11972"/>
    <mergeCell ref="E11973:F11973"/>
    <mergeCell ref="E8883:F8883"/>
    <mergeCell ref="E8857:H8857"/>
    <mergeCell ref="E8858:H8858"/>
    <mergeCell ref="E8859:H8859"/>
    <mergeCell ref="E8860:H8860"/>
    <mergeCell ref="E8861:H8861"/>
    <mergeCell ref="E8767:H8767"/>
    <mergeCell ref="E9021:F9021"/>
    <mergeCell ref="E9022:F9022"/>
    <mergeCell ref="E9023:F9023"/>
    <mergeCell ref="E8891:F8891"/>
    <mergeCell ref="E9027:H9027"/>
    <mergeCell ref="E9024:F9024"/>
    <mergeCell ref="E9026:F9026"/>
    <mergeCell ref="E9028:H9028"/>
    <mergeCell ref="E9060:F9060"/>
    <mergeCell ref="E9062:F9062"/>
    <mergeCell ref="E9063:F9063"/>
    <mergeCell ref="E9081:H9081"/>
    <mergeCell ref="E8953:F8953"/>
    <mergeCell ref="E9906:F9906"/>
    <mergeCell ref="E9908:F9908"/>
    <mergeCell ref="E9865:H9865"/>
    <mergeCell ref="E8904:F8904"/>
    <mergeCell ref="E8905:F8905"/>
    <mergeCell ref="E8906:F8906"/>
    <mergeCell ref="E8907:F8907"/>
    <mergeCell ref="E9005:H9005"/>
    <mergeCell ref="E9006:H9006"/>
    <mergeCell ref="E11844:H11844"/>
    <mergeCell ref="E12469:F12469"/>
    <mergeCell ref="E8925:F8925"/>
    <mergeCell ref="E8902:H8902"/>
    <mergeCell ref="E12256:F12256"/>
    <mergeCell ref="E12257:F12257"/>
    <mergeCell ref="E12258:F12258"/>
    <mergeCell ref="E12269:F12269"/>
    <mergeCell ref="E11202:H11202"/>
    <mergeCell ref="E11203:H11203"/>
    <mergeCell ref="E11204:H11204"/>
    <mergeCell ref="E11205:H11205"/>
    <mergeCell ref="E11206:H11206"/>
    <mergeCell ref="E11210:F11210"/>
    <mergeCell ref="E11211:F11211"/>
    <mergeCell ref="E11212:F11212"/>
    <mergeCell ref="E11213:F11213"/>
    <mergeCell ref="E11214:F11214"/>
    <mergeCell ref="E11234:F11234"/>
    <mergeCell ref="E11235:F11235"/>
    <mergeCell ref="E11236:F11236"/>
    <mergeCell ref="E11237:F11237"/>
    <mergeCell ref="E11245:H11245"/>
    <mergeCell ref="E11246:H11246"/>
    <mergeCell ref="E11259:H11259"/>
    <mergeCell ref="E11267:F11267"/>
    <mergeCell ref="E11281:H11281"/>
    <mergeCell ref="E11282:H11282"/>
    <mergeCell ref="E11218:F11218"/>
    <mergeCell ref="E11238:F11238"/>
    <mergeCell ref="E11255:F11255"/>
    <mergeCell ref="E11256:F11256"/>
    <mergeCell ref="E11226:H11226"/>
    <mergeCell ref="E11227:H11227"/>
    <mergeCell ref="E11001:F11001"/>
    <mergeCell ref="E7741:H7741"/>
    <mergeCell ref="E7742:H7742"/>
    <mergeCell ref="E5072:F5072"/>
    <mergeCell ref="E5073:F5073"/>
    <mergeCell ref="E5006:F5006"/>
    <mergeCell ref="E4994:F4994"/>
    <mergeCell ref="E4998:H4998"/>
    <mergeCell ref="E8768:H8768"/>
    <mergeCell ref="E8881:H8881"/>
    <mergeCell ref="E8882:H8882"/>
    <mergeCell ref="E8877:H8877"/>
    <mergeCell ref="E8878:H8878"/>
    <mergeCell ref="E8790:H8790"/>
    <mergeCell ref="E8791:H8791"/>
    <mergeCell ref="E8792:H8792"/>
    <mergeCell ref="E8793:H8793"/>
    <mergeCell ref="E8796:F8796"/>
    <mergeCell ref="E8797:F8797"/>
    <mergeCell ref="E8988:H8988"/>
    <mergeCell ref="E8993:F8993"/>
    <mergeCell ref="E8994:F8994"/>
    <mergeCell ref="E8996:F8996"/>
    <mergeCell ref="E8997:F8997"/>
    <mergeCell ref="E11107:F11107"/>
    <mergeCell ref="E11108:F11108"/>
    <mergeCell ref="E11109:F11109"/>
    <mergeCell ref="E11111:H11111"/>
    <mergeCell ref="E11112:H11112"/>
    <mergeCell ref="E10988:H10988"/>
    <mergeCell ref="E10989:H10989"/>
    <mergeCell ref="E10990:H10990"/>
    <mergeCell ref="E10993:F10993"/>
    <mergeCell ref="E10994:F10994"/>
    <mergeCell ref="E10995:F10995"/>
    <mergeCell ref="E10996:F10996"/>
    <mergeCell ref="E10997:F10997"/>
    <mergeCell ref="E10998:F10998"/>
    <mergeCell ref="E10999:F10999"/>
    <mergeCell ref="E11000:F11000"/>
    <mergeCell ref="E8890:H8890"/>
    <mergeCell ref="E8893:F8893"/>
    <mergeCell ref="E8955:F8955"/>
    <mergeCell ref="E8956:F8956"/>
    <mergeCell ref="E8958:H8958"/>
    <mergeCell ref="E8959:H8959"/>
    <mergeCell ref="E8960:H8960"/>
    <mergeCell ref="E8961:H8961"/>
    <mergeCell ref="E8968:H8968"/>
    <mergeCell ref="E8973:F8973"/>
    <mergeCell ref="E8974:F8974"/>
    <mergeCell ref="E8975:F8975"/>
    <mergeCell ref="E8965:F8965"/>
    <mergeCell ref="E8982:H8982"/>
    <mergeCell ref="E8987:F8987"/>
    <mergeCell ref="E9018:F9018"/>
    <mergeCell ref="E9019:F9019"/>
    <mergeCell ref="E9020:F9020"/>
    <mergeCell ref="E11043:F11043"/>
    <mergeCell ref="E8969:F8969"/>
    <mergeCell ref="E8937:H8937"/>
    <mergeCell ref="E8938:H8938"/>
    <mergeCell ref="E8939:H8939"/>
    <mergeCell ref="E8940:H8940"/>
    <mergeCell ref="E8941:H8941"/>
    <mergeCell ref="E8661:F8661"/>
    <mergeCell ref="E8662:F8662"/>
    <mergeCell ref="E8671:F8671"/>
    <mergeCell ref="E8672:F8672"/>
    <mergeCell ref="E8673:F8673"/>
    <mergeCell ref="E8683:H8683"/>
    <mergeCell ref="E8684:H8684"/>
    <mergeCell ref="E8685:H8685"/>
    <mergeCell ref="E8686:H8686"/>
    <mergeCell ref="E8687:H8687"/>
    <mergeCell ref="E8688:H8688"/>
    <mergeCell ref="E8778:F8778"/>
    <mergeCell ref="E8826:F8826"/>
    <mergeCell ref="E8678:F8678"/>
    <mergeCell ref="E8670:H8670"/>
    <mergeCell ref="E8769:H8769"/>
    <mergeCell ref="E8770:H8770"/>
    <mergeCell ref="E8808:H8808"/>
    <mergeCell ref="E8809:H8809"/>
    <mergeCell ref="E8810:H8810"/>
    <mergeCell ref="E8811:H8811"/>
    <mergeCell ref="E8812:H8812"/>
    <mergeCell ref="E8813:H8813"/>
    <mergeCell ref="E8749:F8749"/>
    <mergeCell ref="E8677:F8677"/>
    <mergeCell ref="E8649:H8649"/>
    <mergeCell ref="E7818:F7818"/>
    <mergeCell ref="E7828:H7828"/>
    <mergeCell ref="E7878:F7878"/>
    <mergeCell ref="E7879:F7879"/>
    <mergeCell ref="E7884:H7884"/>
    <mergeCell ref="E7885:H7885"/>
    <mergeCell ref="E7886:H7886"/>
    <mergeCell ref="E7887:H7887"/>
    <mergeCell ref="E7888:H7888"/>
    <mergeCell ref="E7895:F7895"/>
    <mergeCell ref="E7896:F7896"/>
    <mergeCell ref="E8245:F8245"/>
    <mergeCell ref="E8246:F8246"/>
    <mergeCell ref="E8254:H8254"/>
    <mergeCell ref="E8255:H8255"/>
    <mergeCell ref="E8257:H8257"/>
    <mergeCell ref="E8779:F8779"/>
    <mergeCell ref="E8114:F8114"/>
    <mergeCell ref="E8115:F8115"/>
    <mergeCell ref="E8689:H8689"/>
    <mergeCell ref="E8681:F8681"/>
    <mergeCell ref="E8682:F8682"/>
    <mergeCell ref="E7868:F7868"/>
    <mergeCell ref="E7847:F7847"/>
    <mergeCell ref="E7855:H7855"/>
    <mergeCell ref="E7861:H7861"/>
    <mergeCell ref="E7862:H7862"/>
    <mergeCell ref="E7863:H7863"/>
    <mergeCell ref="E8207:F8207"/>
    <mergeCell ref="E8208:F8208"/>
    <mergeCell ref="E8211:F8211"/>
    <mergeCell ref="E8212:F8212"/>
    <mergeCell ref="E8213:F8213"/>
    <mergeCell ref="E8214:F8214"/>
    <mergeCell ref="E8215:F8215"/>
    <mergeCell ref="E8043:F8043"/>
    <mergeCell ref="E8047:F8047"/>
    <mergeCell ref="E8064:F8064"/>
    <mergeCell ref="E11002:F11002"/>
    <mergeCell ref="E11003:F11003"/>
    <mergeCell ref="E9858:F9858"/>
    <mergeCell ref="E9811:F9811"/>
    <mergeCell ref="E9812:F9812"/>
    <mergeCell ref="E9813:F9813"/>
    <mergeCell ref="E9817:H9817"/>
    <mergeCell ref="E9818:H9818"/>
    <mergeCell ref="E9830:F9830"/>
    <mergeCell ref="E9831:F9831"/>
    <mergeCell ref="E9832:F9832"/>
    <mergeCell ref="E9833:F9833"/>
    <mergeCell ref="E9834:F9834"/>
    <mergeCell ref="E9835:F9835"/>
    <mergeCell ref="E9836:F9836"/>
    <mergeCell ref="E9839:H9839"/>
    <mergeCell ref="E9840:H9840"/>
    <mergeCell ref="E9841:H9841"/>
    <mergeCell ref="E9842:H9842"/>
    <mergeCell ref="E9843:H9843"/>
    <mergeCell ref="E9844:H9844"/>
    <mergeCell ref="E9845:H9845"/>
    <mergeCell ref="E9846:H9846"/>
    <mergeCell ref="E9847:H9847"/>
    <mergeCell ref="E9848:H9848"/>
    <mergeCell ref="E9853:F9853"/>
    <mergeCell ref="E9854:F9854"/>
    <mergeCell ref="E9866:H9866"/>
    <mergeCell ref="E9867:H9867"/>
    <mergeCell ref="E9795:H9795"/>
    <mergeCell ref="E9796:H9796"/>
    <mergeCell ref="E8838:H8838"/>
    <mergeCell ref="E8839:H8839"/>
    <mergeCell ref="E8856:H8856"/>
    <mergeCell ref="E8871:F8871"/>
    <mergeCell ref="E9797:H9797"/>
    <mergeCell ref="E10084:F10084"/>
    <mergeCell ref="E10026:F10026"/>
    <mergeCell ref="E10027:F10027"/>
    <mergeCell ref="E10028:F10028"/>
    <mergeCell ref="E10029:F10029"/>
    <mergeCell ref="E10033:H10033"/>
    <mergeCell ref="E10036:F10036"/>
    <mergeCell ref="E10038:H10038"/>
    <mergeCell ref="E10039:H10039"/>
    <mergeCell ref="E10040:H10040"/>
    <mergeCell ref="E10046:F10046"/>
    <mergeCell ref="E10047:F10047"/>
    <mergeCell ref="E9985:F9985"/>
    <mergeCell ref="E9909:F9909"/>
    <mergeCell ref="E9913:H9913"/>
    <mergeCell ref="E9915:F9915"/>
    <mergeCell ref="E9916:F9916"/>
    <mergeCell ref="E9904:H9904"/>
    <mergeCell ref="E9905:H9905"/>
    <mergeCell ref="E9911:H9911"/>
    <mergeCell ref="E9912:H9912"/>
    <mergeCell ref="E9798:H9798"/>
    <mergeCell ref="E9799:H9799"/>
    <mergeCell ref="E9800:H9800"/>
    <mergeCell ref="E9801:H9801"/>
    <mergeCell ref="E9802:H9802"/>
    <mergeCell ref="E10011:F10011"/>
    <mergeCell ref="E10015:H10015"/>
    <mergeCell ref="E4595:H4595"/>
    <mergeCell ref="E4596:H4596"/>
    <mergeCell ref="E8729:F8729"/>
    <mergeCell ref="E8741:F8741"/>
    <mergeCell ref="E8742:F8742"/>
    <mergeCell ref="E8707:F8707"/>
    <mergeCell ref="E8708:F8708"/>
    <mergeCell ref="E8709:F8709"/>
    <mergeCell ref="E8710:F8710"/>
    <mergeCell ref="E8711:F8711"/>
    <mergeCell ref="E8712:F8712"/>
    <mergeCell ref="E8706:F8706"/>
    <mergeCell ref="E8800:F8800"/>
    <mergeCell ref="E8801:F8801"/>
    <mergeCell ref="E8630:F8630"/>
    <mergeCell ref="E8631:F8631"/>
    <mergeCell ref="E8632:F8632"/>
    <mergeCell ref="E8820:F8820"/>
    <mergeCell ref="E8821:F8821"/>
    <mergeCell ref="E8822:F8822"/>
    <mergeCell ref="E8823:F8823"/>
    <mergeCell ref="E4635:F4635"/>
    <mergeCell ref="E4661:F4661"/>
    <mergeCell ref="E4662:F4662"/>
    <mergeCell ref="E4663:F4663"/>
    <mergeCell ref="E4674:H4674"/>
    <mergeCell ref="E4676:H4676"/>
    <mergeCell ref="E4664:F4664"/>
    <mergeCell ref="E4647:H4647"/>
    <mergeCell ref="E4658:H4658"/>
    <mergeCell ref="E4659:H4659"/>
    <mergeCell ref="E4434:F4434"/>
    <mergeCell ref="E4435:F4435"/>
    <mergeCell ref="E4445:H4445"/>
    <mergeCell ref="E4446:H4446"/>
    <mergeCell ref="E4447:H4447"/>
    <mergeCell ref="E8221:H8221"/>
    <mergeCell ref="E8222:H8222"/>
    <mergeCell ref="E8223:H8223"/>
    <mergeCell ref="E8231:F8231"/>
    <mergeCell ref="E8232:F8232"/>
    <mergeCell ref="E8247:F8247"/>
    <mergeCell ref="E8248:F8248"/>
    <mergeCell ref="E8249:F8249"/>
    <mergeCell ref="E8250:F8250"/>
    <mergeCell ref="E8251:F8251"/>
    <mergeCell ref="E8322:F8322"/>
    <mergeCell ref="E8252:F8252"/>
    <mergeCell ref="E8253:F8253"/>
    <mergeCell ref="E8244:F8244"/>
    <mergeCell ref="E8290:F8290"/>
    <mergeCell ref="E8291:F8291"/>
    <mergeCell ref="E8292:F8292"/>
    <mergeCell ref="E8293:F8293"/>
    <mergeCell ref="E8294:F8294"/>
    <mergeCell ref="E8309:F8309"/>
    <mergeCell ref="E8310:F8310"/>
    <mergeCell ref="E8311:F8311"/>
    <mergeCell ref="E8316:H8316"/>
    <mergeCell ref="E8284:F8284"/>
    <mergeCell ref="E8287:H8287"/>
    <mergeCell ref="E8288:H8288"/>
    <mergeCell ref="E8295:F8295"/>
    <mergeCell ref="E8303:F8303"/>
    <mergeCell ref="E2788:F2788"/>
    <mergeCell ref="E2789:F2789"/>
    <mergeCell ref="E7825:F7825"/>
    <mergeCell ref="E7826:F7826"/>
    <mergeCell ref="E7827:F7827"/>
    <mergeCell ref="E4474:H4474"/>
    <mergeCell ref="E4475:F4475"/>
    <mergeCell ref="E4489:H4489"/>
    <mergeCell ref="E4941:F4941"/>
    <mergeCell ref="E4943:F4943"/>
    <mergeCell ref="E4958:H4958"/>
    <mergeCell ref="E5082:H5082"/>
    <mergeCell ref="E4711:F4711"/>
    <mergeCell ref="E4422:H4422"/>
    <mergeCell ref="E4424:H4424"/>
    <mergeCell ref="E4425:H4425"/>
    <mergeCell ref="E4874:H4874"/>
    <mergeCell ref="E4875:H4875"/>
    <mergeCell ref="E4876:H4876"/>
    <mergeCell ref="E4877:H4877"/>
    <mergeCell ref="E4878:H4878"/>
    <mergeCell ref="E4890:F4890"/>
    <mergeCell ref="E4891:F4891"/>
    <mergeCell ref="E4724:F4724"/>
    <mergeCell ref="E4725:F4725"/>
    <mergeCell ref="E4486:F4486"/>
    <mergeCell ref="E4665:F4665"/>
    <mergeCell ref="E4666:F4666"/>
    <mergeCell ref="E4667:F4667"/>
    <mergeCell ref="E4668:F4668"/>
    <mergeCell ref="E4669:F4669"/>
    <mergeCell ref="E4670:F4670"/>
    <mergeCell ref="E4675:H4675"/>
    <mergeCell ref="E4677:H4677"/>
    <mergeCell ref="E4678:H4678"/>
    <mergeCell ref="E4455:F4455"/>
    <mergeCell ref="E4456:F4456"/>
    <mergeCell ref="E4457:F4457"/>
    <mergeCell ref="E4427:H4427"/>
    <mergeCell ref="E4436:F4436"/>
    <mergeCell ref="E4437:F4437"/>
    <mergeCell ref="E4438:F4438"/>
    <mergeCell ref="E4439:F4439"/>
    <mergeCell ref="E4423:H4423"/>
    <mergeCell ref="E4465:H4465"/>
    <mergeCell ref="E4469:H4469"/>
    <mergeCell ref="E4470:H4470"/>
    <mergeCell ref="E4660:H4660"/>
    <mergeCell ref="E4487:F4487"/>
    <mergeCell ref="E4700:F4700"/>
    <mergeCell ref="E4484:F4484"/>
    <mergeCell ref="E4569:H4569"/>
    <mergeCell ref="E4561:F4561"/>
    <mergeCell ref="E4673:H4673"/>
    <mergeCell ref="E4672:H4672"/>
    <mergeCell ref="E4535:F4535"/>
    <mergeCell ref="E4502:F4502"/>
    <mergeCell ref="E4503:F4503"/>
    <mergeCell ref="E4564:H4564"/>
    <mergeCell ref="E4565:H4565"/>
    <mergeCell ref="E4566:H4566"/>
    <mergeCell ref="E4567:H4567"/>
    <mergeCell ref="E4570:H4570"/>
    <mergeCell ref="E4571:H4571"/>
    <mergeCell ref="E2772:H2772"/>
    <mergeCell ref="E2777:F2777"/>
    <mergeCell ref="E2778:F2778"/>
    <mergeCell ref="E2779:F2779"/>
    <mergeCell ref="E2780:F2780"/>
    <mergeCell ref="E2781:F2781"/>
    <mergeCell ref="E2782:F2782"/>
    <mergeCell ref="E2784:F2784"/>
    <mergeCell ref="E2850:F2850"/>
    <mergeCell ref="E2853:H2853"/>
    <mergeCell ref="E2854:H2854"/>
    <mergeCell ref="E2855:H2855"/>
    <mergeCell ref="E2856:H2856"/>
    <mergeCell ref="E2857:H2857"/>
    <mergeCell ref="E2864:H2864"/>
    <mergeCell ref="E2865:H2865"/>
    <mergeCell ref="E2870:F2870"/>
    <mergeCell ref="E2871:F2871"/>
    <mergeCell ref="E4609:F4609"/>
    <mergeCell ref="E4610:F4610"/>
    <mergeCell ref="E4611:F4611"/>
    <mergeCell ref="E4612:F4612"/>
    <mergeCell ref="E4613:F4613"/>
    <mergeCell ref="E4615:F4615"/>
    <mergeCell ref="E4616:F4616"/>
    <mergeCell ref="E4622:H4622"/>
    <mergeCell ref="E4623:H4623"/>
    <mergeCell ref="E4624:H4624"/>
    <mergeCell ref="E4671:H4671"/>
    <mergeCell ref="E4539:F4539"/>
    <mergeCell ref="E4540:F4540"/>
    <mergeCell ref="E2754:H2754"/>
    <mergeCell ref="E2755:H2755"/>
    <mergeCell ref="E2760:F2760"/>
    <mergeCell ref="E2765:F2765"/>
    <mergeCell ref="E2766:F2766"/>
    <mergeCell ref="E2767:F2767"/>
    <mergeCell ref="E2768:F2768"/>
    <mergeCell ref="E2773:H2773"/>
    <mergeCell ref="E2875:F2875"/>
    <mergeCell ref="E2877:F2877"/>
    <mergeCell ref="E2878:F2878"/>
    <mergeCell ref="E2791:H2791"/>
    <mergeCell ref="E2934:F2934"/>
    <mergeCell ref="E2935:F2935"/>
    <mergeCell ref="E2936:F2936"/>
    <mergeCell ref="E2764:F2764"/>
    <mergeCell ref="E2769:H2769"/>
    <mergeCell ref="E2802:F2802"/>
    <mergeCell ref="E2803:F2803"/>
    <mergeCell ref="E2804:F2804"/>
    <mergeCell ref="E2805:F2805"/>
    <mergeCell ref="E2812:H2812"/>
    <mergeCell ref="E2842:F2842"/>
    <mergeCell ref="E2843:F2843"/>
    <mergeCell ref="E2846:F2846"/>
    <mergeCell ref="E2847:F2847"/>
    <mergeCell ref="E2851:H2851"/>
    <mergeCell ref="E2859:F2859"/>
    <mergeCell ref="E2860:F2860"/>
    <mergeCell ref="E2862:F2862"/>
    <mergeCell ref="E2863:F2863"/>
    <mergeCell ref="E2866:H2866"/>
    <mergeCell ref="E2867:H2867"/>
    <mergeCell ref="E2793:H2793"/>
    <mergeCell ref="E2794:H2794"/>
    <mergeCell ref="E2795:H2795"/>
    <mergeCell ref="E2798:F2798"/>
    <mergeCell ref="E2799:F2799"/>
    <mergeCell ref="E2906:F2906"/>
    <mergeCell ref="E2907:F2907"/>
    <mergeCell ref="E2916:H2916"/>
    <mergeCell ref="E2921:H2921"/>
    <mergeCell ref="E2872:F2872"/>
    <mergeCell ref="E2873:F2873"/>
    <mergeCell ref="E2918:H2918"/>
    <mergeCell ref="E2881:F2881"/>
    <mergeCell ref="E2883:F2883"/>
    <mergeCell ref="E2901:F2901"/>
    <mergeCell ref="E2902:F2902"/>
    <mergeCell ref="E2903:F2903"/>
    <mergeCell ref="E2904:F2904"/>
    <mergeCell ref="E2905:F2905"/>
    <mergeCell ref="E2930:F2930"/>
    <mergeCell ref="E2931:F2931"/>
    <mergeCell ref="E2932:F2932"/>
    <mergeCell ref="E2712:F2712"/>
    <mergeCell ref="E4468:H4468"/>
    <mergeCell ref="E4176:F4176"/>
    <mergeCell ref="E4175:F4175"/>
    <mergeCell ref="E4145:F4145"/>
    <mergeCell ref="E4146:F4146"/>
    <mergeCell ref="E4148:H4148"/>
    <mergeCell ref="E4150:H4150"/>
    <mergeCell ref="E4414:F4414"/>
    <mergeCell ref="E4415:F4415"/>
    <mergeCell ref="E4403:F4403"/>
    <mergeCell ref="E4395:F4395"/>
    <mergeCell ref="E4402:F4402"/>
    <mergeCell ref="E4413:F4413"/>
    <mergeCell ref="E4360:F4360"/>
    <mergeCell ref="E4362:F4362"/>
    <mergeCell ref="E4363:F4363"/>
    <mergeCell ref="E4367:H4367"/>
    <mergeCell ref="E4383:F4383"/>
    <mergeCell ref="E4384:F4384"/>
    <mergeCell ref="E2893:H2893"/>
    <mergeCell ref="E2909:H2909"/>
    <mergeCell ref="E2898:F2898"/>
    <mergeCell ref="E2899:F2899"/>
    <mergeCell ref="E2900:F2900"/>
    <mergeCell ref="E2811:H2811"/>
    <mergeCell ref="E2820:F2820"/>
    <mergeCell ref="E2821:F2821"/>
    <mergeCell ref="E2822:F2822"/>
    <mergeCell ref="E2823:F2823"/>
    <mergeCell ref="E2824:F2824"/>
    <mergeCell ref="E2832:H2832"/>
    <mergeCell ref="E2810:F2810"/>
    <mergeCell ref="E2880:F2880"/>
    <mergeCell ref="E2887:H2887"/>
    <mergeCell ref="E2888:H2888"/>
    <mergeCell ref="E2889:H2889"/>
    <mergeCell ref="E2890:H2890"/>
    <mergeCell ref="E2891:H2891"/>
    <mergeCell ref="E2894:F2894"/>
    <mergeCell ref="E2895:F2895"/>
    <mergeCell ref="E2896:F2896"/>
    <mergeCell ref="E2917:H2917"/>
    <mergeCell ref="E2848:F2848"/>
    <mergeCell ref="E2849:F2849"/>
    <mergeCell ref="E2813:H2813"/>
    <mergeCell ref="E2814:H2814"/>
    <mergeCell ref="E2815:H2815"/>
    <mergeCell ref="E2816:H2816"/>
    <mergeCell ref="E2817:H2817"/>
    <mergeCell ref="E2818:H2818"/>
    <mergeCell ref="E2819:F2819"/>
    <mergeCell ref="E2825:F2825"/>
    <mergeCell ref="E2826:F2826"/>
    <mergeCell ref="E2827:F2827"/>
    <mergeCell ref="E2828:F2828"/>
    <mergeCell ref="E2829:F2829"/>
    <mergeCell ref="E2830:F2830"/>
    <mergeCell ref="E2831:F2831"/>
    <mergeCell ref="E2833:H2833"/>
    <mergeCell ref="E2834:H2834"/>
    <mergeCell ref="E2835:H2835"/>
    <mergeCell ref="E2836:H2836"/>
    <mergeCell ref="E2879:F2879"/>
    <mergeCell ref="E2897:F2897"/>
    <mergeCell ref="E2837:H2837"/>
    <mergeCell ref="E2838:H2838"/>
    <mergeCell ref="E2839:H2839"/>
    <mergeCell ref="E2841:F2841"/>
    <mergeCell ref="E2840:F2840"/>
    <mergeCell ref="E2910:H2910"/>
    <mergeCell ref="E2912:F2912"/>
    <mergeCell ref="E2913:F2913"/>
    <mergeCell ref="E2806:F2806"/>
    <mergeCell ref="E2807:F2807"/>
    <mergeCell ref="E2808:F2808"/>
    <mergeCell ref="E2844:F2844"/>
    <mergeCell ref="E2852:H2852"/>
    <mergeCell ref="E2858:H2858"/>
    <mergeCell ref="E2845:F2845"/>
    <mergeCell ref="E2868:H2868"/>
    <mergeCell ref="E2869:H2869"/>
    <mergeCell ref="E2876:H2876"/>
    <mergeCell ref="E2882:H2882"/>
    <mergeCell ref="E2884:F2884"/>
    <mergeCell ref="E2885:F2885"/>
    <mergeCell ref="E2886:F2886"/>
    <mergeCell ref="E2892:H2892"/>
    <mergeCell ref="E2911:F2911"/>
    <mergeCell ref="E2914:H2914"/>
    <mergeCell ref="E2915:H2915"/>
    <mergeCell ref="E2874:F2874"/>
    <mergeCell ref="E2535:F2535"/>
    <mergeCell ref="E2536:F2536"/>
    <mergeCell ref="E2786:F2786"/>
    <mergeCell ref="E2787:F2787"/>
    <mergeCell ref="E2797:H2797"/>
    <mergeCell ref="E2809:F2809"/>
    <mergeCell ref="E2640:H2640"/>
    <mergeCell ref="E2644:F2644"/>
    <mergeCell ref="E2649:H2649"/>
    <mergeCell ref="E2650:H2650"/>
    <mergeCell ref="E2651:H2651"/>
    <mergeCell ref="E2667:F2667"/>
    <mergeCell ref="E2668:F2668"/>
    <mergeCell ref="E2669:F2669"/>
    <mergeCell ref="E2713:F2713"/>
    <mergeCell ref="E2665:F2665"/>
    <mergeCell ref="E2745:H2745"/>
    <mergeCell ref="E2746:H2746"/>
    <mergeCell ref="E2747:H2747"/>
    <mergeCell ref="E2748:H2748"/>
    <mergeCell ref="E2749:H2749"/>
    <mergeCell ref="E2722:H2722"/>
    <mergeCell ref="E2723:H2723"/>
    <mergeCell ref="E2724:H2724"/>
    <mergeCell ref="E2727:H2727"/>
    <mergeCell ref="E2728:H2728"/>
    <mergeCell ref="E2734:F2734"/>
    <mergeCell ref="E2735:F2735"/>
    <mergeCell ref="E2736:F2736"/>
    <mergeCell ref="E2737:F2737"/>
    <mergeCell ref="E2738:F2738"/>
    <mergeCell ref="E2739:F2739"/>
    <mergeCell ref="E2740:F2740"/>
    <mergeCell ref="E2741:F2741"/>
    <mergeCell ref="E2742:F2742"/>
    <mergeCell ref="E2743:F2743"/>
    <mergeCell ref="E2744:F2744"/>
    <mergeCell ref="E2751:H2751"/>
    <mergeCell ref="E2752:H2752"/>
    <mergeCell ref="E2753:H2753"/>
    <mergeCell ref="E2750:H2750"/>
    <mergeCell ref="E2758:F2758"/>
    <mergeCell ref="E2759:F2759"/>
    <mergeCell ref="E2761:F2761"/>
    <mergeCell ref="E2762:F2762"/>
    <mergeCell ref="E2763:F2763"/>
    <mergeCell ref="E2800:F2800"/>
    <mergeCell ref="E2801:F2801"/>
    <mergeCell ref="E2770:H2770"/>
    <mergeCell ref="E2771:H2771"/>
    <mergeCell ref="E2710:F2710"/>
    <mergeCell ref="E2711:F2711"/>
    <mergeCell ref="E2608:F2608"/>
    <mergeCell ref="E2605:H2605"/>
    <mergeCell ref="E2543:H2543"/>
    <mergeCell ref="E2544:H2544"/>
    <mergeCell ref="E2620:H2620"/>
    <mergeCell ref="E2790:H2790"/>
    <mergeCell ref="E2774:H2774"/>
    <mergeCell ref="E2775:H2775"/>
    <mergeCell ref="E2776:H2776"/>
    <mergeCell ref="E2783:F2783"/>
    <mergeCell ref="E2785:H2785"/>
    <mergeCell ref="E2796:H2796"/>
    <mergeCell ref="E2630:F2630"/>
    <mergeCell ref="E2422:F2422"/>
    <mergeCell ref="E2423:F2423"/>
    <mergeCell ref="E2424:F2424"/>
    <mergeCell ref="E2425:F2425"/>
    <mergeCell ref="E2426:F2426"/>
    <mergeCell ref="E2427:F2427"/>
    <mergeCell ref="E2428:F2428"/>
    <mergeCell ref="E2429:F2429"/>
    <mergeCell ref="E2430:H2430"/>
    <mergeCell ref="E2431:H2431"/>
    <mergeCell ref="E2432:H2432"/>
    <mergeCell ref="E2433:H2433"/>
    <mergeCell ref="E2434:H2434"/>
    <mergeCell ref="E2435:H2435"/>
    <mergeCell ref="E2436:H2436"/>
    <mergeCell ref="E2437:H2437"/>
    <mergeCell ref="E2451:F2451"/>
    <mergeCell ref="E2456:H2456"/>
    <mergeCell ref="E2444:H2444"/>
    <mergeCell ref="E2453:F2453"/>
    <mergeCell ref="E2457:H2457"/>
    <mergeCell ref="E2458:H2458"/>
    <mergeCell ref="E2459:H2459"/>
    <mergeCell ref="E2467:F2467"/>
    <mergeCell ref="E2468:F2468"/>
    <mergeCell ref="E2469:F2469"/>
    <mergeCell ref="E2470:F2470"/>
    <mergeCell ref="E2387:F2387"/>
    <mergeCell ref="E2388:F2388"/>
    <mergeCell ref="E2391:H2391"/>
    <mergeCell ref="E2396:H2396"/>
    <mergeCell ref="E2418:F2418"/>
    <mergeCell ref="E2510:H2510"/>
    <mergeCell ref="E2478:F2478"/>
    <mergeCell ref="E2479:F2479"/>
    <mergeCell ref="E2498:F2498"/>
    <mergeCell ref="E2496:F2496"/>
    <mergeCell ref="E2497:F2497"/>
    <mergeCell ref="E2454:F2454"/>
    <mergeCell ref="E2476:F2476"/>
    <mergeCell ref="E2477:F2477"/>
    <mergeCell ref="E2480:F2480"/>
    <mergeCell ref="E2482:F2482"/>
    <mergeCell ref="E2495:F2495"/>
    <mergeCell ref="E2486:F2486"/>
    <mergeCell ref="E2494:H2494"/>
    <mergeCell ref="E2501:F2501"/>
    <mergeCell ref="E2491:H2491"/>
    <mergeCell ref="E2492:H2492"/>
    <mergeCell ref="E2493:H2493"/>
    <mergeCell ref="E2499:F2499"/>
    <mergeCell ref="E2500:F2500"/>
    <mergeCell ref="E2502:F2502"/>
    <mergeCell ref="E2503:F2503"/>
    <mergeCell ref="E2504:F2504"/>
    <mergeCell ref="E2483:F2483"/>
    <mergeCell ref="E2484:F2484"/>
    <mergeCell ref="E2485:F2485"/>
    <mergeCell ref="E2490:H2490"/>
    <mergeCell ref="E2440:F2440"/>
    <mergeCell ref="E2443:H2443"/>
    <mergeCell ref="E2473:F2473"/>
    <mergeCell ref="E2474:F2474"/>
    <mergeCell ref="E1913:F1913"/>
    <mergeCell ref="E1901:F1901"/>
    <mergeCell ref="E1902:F1902"/>
    <mergeCell ref="E1890:F1890"/>
    <mergeCell ref="E1891:F1891"/>
    <mergeCell ref="E1893:F1893"/>
    <mergeCell ref="E1894:F1894"/>
    <mergeCell ref="E1895:F1895"/>
    <mergeCell ref="E1896:F1896"/>
    <mergeCell ref="E1897:F1897"/>
    <mergeCell ref="E1899:F1899"/>
    <mergeCell ref="E1882:H1882"/>
    <mergeCell ref="E1883:H1883"/>
    <mergeCell ref="E1884:H1884"/>
    <mergeCell ref="E1858:H1858"/>
    <mergeCell ref="E1859:H1859"/>
    <mergeCell ref="E1824:H1824"/>
    <mergeCell ref="E1825:H1825"/>
    <mergeCell ref="E1826:H1826"/>
    <mergeCell ref="E2375:F2375"/>
    <mergeCell ref="E2376:F2376"/>
    <mergeCell ref="E2371:H2371"/>
    <mergeCell ref="E2372:H2372"/>
    <mergeCell ref="E2373:H2373"/>
    <mergeCell ref="E2374:H2374"/>
    <mergeCell ref="E1948:F1948"/>
    <mergeCell ref="E1949:F1949"/>
    <mergeCell ref="E2401:F2401"/>
    <mergeCell ref="E2379:F2379"/>
    <mergeCell ref="E2380:F2380"/>
    <mergeCell ref="E2381:F2381"/>
    <mergeCell ref="E2382:F2382"/>
    <mergeCell ref="E2383:F2383"/>
    <mergeCell ref="E2384:F2384"/>
    <mergeCell ref="E2385:F2385"/>
    <mergeCell ref="E2386:F2386"/>
    <mergeCell ref="E1903:H1903"/>
    <mergeCell ref="E1928:F1928"/>
    <mergeCell ref="E1929:F1929"/>
    <mergeCell ref="E1945:F1945"/>
    <mergeCell ref="E1904:H1904"/>
    <mergeCell ref="E1905:H1905"/>
    <mergeCell ref="E1906:H1906"/>
    <mergeCell ref="E1939:F1939"/>
    <mergeCell ref="E1916:F1916"/>
    <mergeCell ref="E1954:H1954"/>
    <mergeCell ref="E1963:F1963"/>
    <mergeCell ref="E1964:F1964"/>
    <mergeCell ref="E1941:F1941"/>
    <mergeCell ref="E1942:F1942"/>
    <mergeCell ref="E1950:F1950"/>
    <mergeCell ref="E1951:F1951"/>
    <mergeCell ref="E1952:F1952"/>
    <mergeCell ref="E1953:F1953"/>
    <mergeCell ref="E1955:H1955"/>
    <mergeCell ref="E1956:H1956"/>
    <mergeCell ref="E1957:H1957"/>
    <mergeCell ref="E1958:H1958"/>
    <mergeCell ref="E1959:H1959"/>
    <mergeCell ref="E1875:F1875"/>
    <mergeCell ref="E2273:F2273"/>
    <mergeCell ref="E2274:F2274"/>
    <mergeCell ref="E2275:F2275"/>
    <mergeCell ref="E2277:F2277"/>
    <mergeCell ref="E2278:F2278"/>
    <mergeCell ref="E2279:F2279"/>
    <mergeCell ref="E2280:F2280"/>
    <mergeCell ref="E2281:F2281"/>
    <mergeCell ref="E2282:F2282"/>
    <mergeCell ref="E2291:H2291"/>
    <mergeCell ref="E2298:F2298"/>
    <mergeCell ref="E2299:F2299"/>
    <mergeCell ref="E2300:F2300"/>
    <mergeCell ref="E2301:F2301"/>
    <mergeCell ref="E2302:F2302"/>
    <mergeCell ref="E2303:F2303"/>
    <mergeCell ref="E2402:F2402"/>
    <mergeCell ref="E2403:F2403"/>
    <mergeCell ref="E2404:F2404"/>
    <mergeCell ref="E2405:F2405"/>
    <mergeCell ref="E2406:F2406"/>
    <mergeCell ref="E2407:F2407"/>
    <mergeCell ref="E2408:F2408"/>
    <mergeCell ref="E2409:F2409"/>
    <mergeCell ref="E2410:H2410"/>
    <mergeCell ref="E2411:H2411"/>
    <mergeCell ref="E2412:H2412"/>
    <mergeCell ref="E2413:H2413"/>
    <mergeCell ref="E2632:F2632"/>
    <mergeCell ref="E2633:F2633"/>
    <mergeCell ref="E2730:F2730"/>
    <mergeCell ref="E2693:F2693"/>
    <mergeCell ref="E2701:H2701"/>
    <mergeCell ref="E2709:H2709"/>
    <mergeCell ref="E2729:H2729"/>
    <mergeCell ref="E11904:F11904"/>
    <mergeCell ref="E11956:F11956"/>
    <mergeCell ref="E11913:H11913"/>
    <mergeCell ref="E11874:F11874"/>
    <mergeCell ref="E11875:F11875"/>
    <mergeCell ref="E11876:F11876"/>
    <mergeCell ref="E11877:F11877"/>
    <mergeCell ref="E11887:H11887"/>
    <mergeCell ref="E11893:F11893"/>
    <mergeCell ref="E11894:F11894"/>
    <mergeCell ref="E11895:F11895"/>
    <mergeCell ref="E11935:F11935"/>
    <mergeCell ref="E11926:F11926"/>
    <mergeCell ref="E11905:F11905"/>
    <mergeCell ref="E11850:F11850"/>
    <mergeCell ref="E11848:F11848"/>
    <mergeCell ref="E11901:F11901"/>
    <mergeCell ref="E11852:H11852"/>
    <mergeCell ref="E11878:F11878"/>
    <mergeCell ref="E11879:F11879"/>
    <mergeCell ref="E11881:F11881"/>
    <mergeCell ref="E11890:H11890"/>
    <mergeCell ref="E11891:H11891"/>
    <mergeCell ref="E11892:H11892"/>
    <mergeCell ref="E11855:H11855"/>
    <mergeCell ref="E11865:F11865"/>
    <mergeCell ref="E11866:F11866"/>
    <mergeCell ref="E11867:F11867"/>
    <mergeCell ref="E11868:F11868"/>
    <mergeCell ref="E11900:F11900"/>
    <mergeCell ref="E11863:F11863"/>
    <mergeCell ref="E11859:F11859"/>
    <mergeCell ref="E11860:F11860"/>
    <mergeCell ref="E11837:F11837"/>
    <mergeCell ref="E11838:F11838"/>
    <mergeCell ref="E11839:F11839"/>
    <mergeCell ref="E11840:H11840"/>
    <mergeCell ref="E11687:F11687"/>
    <mergeCell ref="E10941:H10941"/>
    <mergeCell ref="E10942:H10942"/>
    <mergeCell ref="E10943:H10943"/>
    <mergeCell ref="E10944:H10944"/>
    <mergeCell ref="E10947:F10947"/>
    <mergeCell ref="E10948:F10948"/>
    <mergeCell ref="E10949:F10949"/>
    <mergeCell ref="E10945:H10945"/>
    <mergeCell ref="E11006:F11006"/>
    <mergeCell ref="E11004:F11004"/>
    <mergeCell ref="E11005:F11005"/>
    <mergeCell ref="E11007:F11007"/>
    <mergeCell ref="E11038:F11038"/>
    <mergeCell ref="E11049:F11049"/>
    <mergeCell ref="E11059:F11059"/>
    <mergeCell ref="E11089:F11089"/>
    <mergeCell ref="E11090:F11090"/>
    <mergeCell ref="E11091:F11091"/>
    <mergeCell ref="E11827:F11827"/>
    <mergeCell ref="E11828:F11828"/>
    <mergeCell ref="E11829:F11829"/>
    <mergeCell ref="E11279:F11279"/>
    <mergeCell ref="E11120:F11120"/>
    <mergeCell ref="E11121:F11121"/>
    <mergeCell ref="E11037:F11037"/>
    <mergeCell ref="E11079:F11079"/>
    <mergeCell ref="E11084:H11084"/>
    <mergeCell ref="E11085:H11085"/>
    <mergeCell ref="E11086:H11086"/>
    <mergeCell ref="E11110:F11110"/>
    <mergeCell ref="E11099:F11099"/>
    <mergeCell ref="E11100:F11100"/>
    <mergeCell ref="E11052:H11052"/>
    <mergeCell ref="E11053:H11053"/>
    <mergeCell ref="E11054:H11054"/>
    <mergeCell ref="E11047:F11047"/>
    <mergeCell ref="E11148:F11148"/>
    <mergeCell ref="E11149:F11149"/>
    <mergeCell ref="E11150:F11150"/>
    <mergeCell ref="E11048:F11048"/>
    <mergeCell ref="E11046:F11046"/>
    <mergeCell ref="E11051:H11051"/>
    <mergeCell ref="E11092:F11092"/>
    <mergeCell ref="E11093:F11093"/>
    <mergeCell ref="E11094:F11094"/>
    <mergeCell ref="E11095:F11095"/>
    <mergeCell ref="E11026:F11026"/>
    <mergeCell ref="E11027:F11027"/>
    <mergeCell ref="E11028:F11028"/>
    <mergeCell ref="E11055:H11055"/>
    <mergeCell ref="E11744:F11744"/>
    <mergeCell ref="E10992:H10992"/>
    <mergeCell ref="E11737:F11737"/>
    <mergeCell ref="E10979:F10979"/>
    <mergeCell ref="E10980:F10980"/>
    <mergeCell ref="E11050:F11050"/>
    <mergeCell ref="E11044:F11044"/>
    <mergeCell ref="E11045:F11045"/>
    <mergeCell ref="E11102:F11102"/>
    <mergeCell ref="E11832:F11832"/>
    <mergeCell ref="E11833:F11833"/>
    <mergeCell ref="E11834:F11834"/>
    <mergeCell ref="E11835:F11835"/>
    <mergeCell ref="E11836:F11836"/>
    <mergeCell ref="E10991:H10991"/>
    <mergeCell ref="E10986:H10986"/>
    <mergeCell ref="E10987:H10987"/>
    <mergeCell ref="E11008:H11008"/>
    <mergeCell ref="E11009:H11009"/>
    <mergeCell ref="E11010:H11010"/>
    <mergeCell ref="E11011:H11011"/>
    <mergeCell ref="E11012:H11012"/>
    <mergeCell ref="E11548:F11548"/>
    <mergeCell ref="E11013:H11013"/>
    <mergeCell ref="E11014:H11014"/>
    <mergeCell ref="E10066:F10066"/>
    <mergeCell ref="E10067:F10067"/>
    <mergeCell ref="E10068:F10068"/>
    <mergeCell ref="E10069:F10069"/>
    <mergeCell ref="E10155:H10155"/>
    <mergeCell ref="E10156:H10156"/>
    <mergeCell ref="E10158:F10158"/>
    <mergeCell ref="E10169:H10169"/>
    <mergeCell ref="E10157:F10157"/>
    <mergeCell ref="E10170:H10170"/>
    <mergeCell ref="E10171:H10171"/>
    <mergeCell ref="E10172:H10172"/>
    <mergeCell ref="E10182:F10182"/>
    <mergeCell ref="E10183:F10183"/>
    <mergeCell ref="E10210:H10210"/>
    <mergeCell ref="E10211:H10211"/>
    <mergeCell ref="E10212:H10212"/>
    <mergeCell ref="E10213:H10213"/>
    <mergeCell ref="E10214:H10214"/>
    <mergeCell ref="E10215:H10215"/>
    <mergeCell ref="E10077:H10077"/>
    <mergeCell ref="E10078:H10078"/>
    <mergeCell ref="E10079:H10079"/>
    <mergeCell ref="E11830:F11830"/>
    <mergeCell ref="E10299:H10299"/>
    <mergeCell ref="E10295:H10295"/>
    <mergeCell ref="E11097:F11097"/>
    <mergeCell ref="E10296:H10296"/>
    <mergeCell ref="E11103:F11103"/>
    <mergeCell ref="E11104:F11104"/>
    <mergeCell ref="E11106:F11106"/>
    <mergeCell ref="E11113:H11113"/>
    <mergeCell ref="E11114:H11114"/>
    <mergeCell ref="E11116:F11116"/>
    <mergeCell ref="E11117:F11117"/>
    <mergeCell ref="E11118:F11118"/>
    <mergeCell ref="E11119:F11119"/>
    <mergeCell ref="E11231:F11231"/>
    <mergeCell ref="E11232:F11232"/>
    <mergeCell ref="E11233:F11233"/>
    <mergeCell ref="E11240:H11240"/>
    <mergeCell ref="E11241:H11241"/>
    <mergeCell ref="E11242:H11242"/>
    <mergeCell ref="E11243:H11243"/>
    <mergeCell ref="E11244:H11244"/>
    <mergeCell ref="E11248:F11248"/>
    <mergeCell ref="E11249:F11249"/>
    <mergeCell ref="E11270:H11270"/>
    <mergeCell ref="E11831:F11831"/>
    <mergeCell ref="E10061:H10061"/>
    <mergeCell ref="E10062:H10062"/>
    <mergeCell ref="E10063:H10063"/>
    <mergeCell ref="E10064:H10064"/>
    <mergeCell ref="E9955:F9955"/>
    <mergeCell ref="E9929:F9929"/>
    <mergeCell ref="E9947:F9947"/>
    <mergeCell ref="E9923:F9923"/>
    <mergeCell ref="E9924:F9924"/>
    <mergeCell ref="E9926:F9926"/>
    <mergeCell ref="E9927:F9927"/>
    <mergeCell ref="E9953:F9953"/>
    <mergeCell ref="E9931:F9931"/>
    <mergeCell ref="E9954:F9954"/>
    <mergeCell ref="E9925:F9925"/>
    <mergeCell ref="E9930:F9930"/>
    <mergeCell ref="E10297:H10297"/>
    <mergeCell ref="E10298:H10298"/>
    <mergeCell ref="E10273:H10273"/>
    <mergeCell ref="E10274:H10274"/>
    <mergeCell ref="E10275:H10275"/>
    <mergeCell ref="E10276:H10276"/>
    <mergeCell ref="E10251:H10251"/>
    <mergeCell ref="E10252:H10252"/>
    <mergeCell ref="E10253:H10253"/>
    <mergeCell ref="E10259:F10259"/>
    <mergeCell ref="E10286:F10286"/>
    <mergeCell ref="E10290:F10290"/>
    <mergeCell ref="E10283:F10283"/>
    <mergeCell ref="E10268:F10268"/>
    <mergeCell ref="E10262:F10262"/>
    <mergeCell ref="E10261:F10261"/>
    <mergeCell ref="E10263:F10263"/>
    <mergeCell ref="E10260:F10260"/>
    <mergeCell ref="E10267:F10267"/>
    <mergeCell ref="E10265:F10265"/>
    <mergeCell ref="E10264:F10264"/>
    <mergeCell ref="E11291:F11291"/>
    <mergeCell ref="E11124:F11124"/>
    <mergeCell ref="E11040:F11040"/>
    <mergeCell ref="E10693:F10693"/>
    <mergeCell ref="E10978:F10978"/>
    <mergeCell ref="E10777:F10777"/>
    <mergeCell ref="E11101:F11101"/>
    <mergeCell ref="E11070:F11070"/>
    <mergeCell ref="E10847:F10847"/>
    <mergeCell ref="E9942:H9942"/>
    <mergeCell ref="E9972:H9972"/>
    <mergeCell ref="E9978:H9978"/>
    <mergeCell ref="E9973:H9973"/>
    <mergeCell ref="E9974:H9974"/>
    <mergeCell ref="E9932:F9932"/>
    <mergeCell ref="E9933:F9933"/>
    <mergeCell ref="E9934:F9934"/>
    <mergeCell ref="E9941:H9941"/>
    <mergeCell ref="E9956:F9956"/>
    <mergeCell ref="E9957:F9957"/>
    <mergeCell ref="E9999:H9999"/>
    <mergeCell ref="E10000:H10000"/>
    <mergeCell ref="E11271:H11271"/>
    <mergeCell ref="E11272:H11272"/>
    <mergeCell ref="E11273:H11273"/>
    <mergeCell ref="E11274:H11274"/>
    <mergeCell ref="E10016:H10016"/>
    <mergeCell ref="E10018:H10018"/>
    <mergeCell ref="E10019:H10019"/>
    <mergeCell ref="E10020:H10020"/>
    <mergeCell ref="E10021:H10021"/>
    <mergeCell ref="E10025:F10025"/>
    <mergeCell ref="E10055:F10055"/>
    <mergeCell ref="E10030:F10030"/>
    <mergeCell ref="E10051:F10051"/>
    <mergeCell ref="E10053:F10053"/>
    <mergeCell ref="E10054:F10054"/>
    <mergeCell ref="E9979:H9979"/>
    <mergeCell ref="E9988:H9988"/>
    <mergeCell ref="E9992:F9992"/>
    <mergeCell ref="E9994:H9994"/>
    <mergeCell ref="E9995:H9995"/>
    <mergeCell ref="E9996:H9996"/>
    <mergeCell ref="E9997:H9997"/>
    <mergeCell ref="E10058:H10058"/>
    <mergeCell ref="E10059:H10059"/>
    <mergeCell ref="E10060:H10060"/>
    <mergeCell ref="E10070:F10070"/>
    <mergeCell ref="E10071:H10071"/>
    <mergeCell ref="E9989:F9989"/>
    <mergeCell ref="E9990:F9990"/>
    <mergeCell ref="E9991:F9991"/>
    <mergeCell ref="E9998:H9998"/>
    <mergeCell ref="E10001:F10001"/>
    <mergeCell ref="E10002:F10002"/>
    <mergeCell ref="E10003:F10003"/>
    <mergeCell ref="E9986:F9986"/>
    <mergeCell ref="E9987:F9987"/>
    <mergeCell ref="E10012:F10012"/>
    <mergeCell ref="E10013:F10013"/>
    <mergeCell ref="E10014:F10014"/>
    <mergeCell ref="E10017:H10017"/>
    <mergeCell ref="E10022:H10022"/>
    <mergeCell ref="E9780:F9780"/>
    <mergeCell ref="E9786:H9786"/>
    <mergeCell ref="E9789:H9789"/>
    <mergeCell ref="E9683:F9683"/>
    <mergeCell ref="E9684:F9684"/>
    <mergeCell ref="E9685:F9685"/>
    <mergeCell ref="E9686:F9686"/>
    <mergeCell ref="E9694:H9694"/>
    <mergeCell ref="E9706:F9706"/>
    <mergeCell ref="E9144:F9144"/>
    <mergeCell ref="E9145:F9145"/>
    <mergeCell ref="E9804:H9804"/>
    <mergeCell ref="E9803:H9803"/>
    <mergeCell ref="E8743:F8743"/>
    <mergeCell ref="E8752:F8752"/>
    <mergeCell ref="E8753:F8753"/>
    <mergeCell ref="E8786:H8786"/>
    <mergeCell ref="E8787:H8787"/>
    <mergeCell ref="E8788:H8788"/>
    <mergeCell ref="E8789:H8789"/>
    <mergeCell ref="E8717:F8717"/>
    <mergeCell ref="E8718:F8718"/>
    <mergeCell ref="E8719:F8719"/>
    <mergeCell ref="E8720:F8720"/>
    <mergeCell ref="E8722:F8722"/>
    <mergeCell ref="E8723:F8723"/>
    <mergeCell ref="E8724:F8724"/>
    <mergeCell ref="E8731:H8731"/>
    <mergeCell ref="E8732:H8732"/>
    <mergeCell ref="E8733:H8733"/>
    <mergeCell ref="E8734:H8734"/>
    <mergeCell ref="E8735:H8735"/>
    <mergeCell ref="E8739:F8739"/>
    <mergeCell ref="E8740:F8740"/>
    <mergeCell ref="E8737:F8737"/>
    <mergeCell ref="E8738:F8738"/>
    <mergeCell ref="E8725:F8725"/>
    <mergeCell ref="E8726:F8726"/>
    <mergeCell ref="E8727:F8727"/>
    <mergeCell ref="E8728:F8728"/>
    <mergeCell ref="E9320:F9320"/>
    <mergeCell ref="E9243:H9243"/>
    <mergeCell ref="E9741:F9741"/>
    <mergeCell ref="E9743:F9743"/>
    <mergeCell ref="E9744:F9744"/>
    <mergeCell ref="E9758:H9758"/>
    <mergeCell ref="E9007:H9007"/>
    <mergeCell ref="E9008:H9008"/>
    <mergeCell ref="E9009:H9009"/>
    <mergeCell ref="E9010:H9010"/>
    <mergeCell ref="E9011:H9011"/>
    <mergeCell ref="E8875:H8875"/>
    <mergeCell ref="E8876:H8876"/>
    <mergeCell ref="E9277:H9277"/>
    <mergeCell ref="E8952:H8952"/>
    <mergeCell ref="E8954:H8954"/>
    <mergeCell ref="E9146:F9146"/>
    <mergeCell ref="E9157:F9157"/>
    <mergeCell ref="E9160:H9160"/>
    <mergeCell ref="E9161:H9161"/>
    <mergeCell ref="E9666:F9666"/>
    <mergeCell ref="E9667:F9667"/>
    <mergeCell ref="E9494:H9494"/>
    <mergeCell ref="E9749:H9749"/>
    <mergeCell ref="E10906:F10906"/>
    <mergeCell ref="E10828:F10828"/>
    <mergeCell ref="E10800:F10800"/>
    <mergeCell ref="E9863:H9863"/>
    <mergeCell ref="E9864:H9864"/>
    <mergeCell ref="E9893:F9893"/>
    <mergeCell ref="E9892:F9892"/>
    <mergeCell ref="E9873:F9873"/>
    <mergeCell ref="E9874:F9874"/>
    <mergeCell ref="E9879:H9879"/>
    <mergeCell ref="E10101:H10101"/>
    <mergeCell ref="E9764:F9764"/>
    <mergeCell ref="E9765:F9765"/>
    <mergeCell ref="E9769:H9769"/>
    <mergeCell ref="E9770:H9770"/>
    <mergeCell ref="E9771:H9771"/>
    <mergeCell ref="E9772:H9772"/>
    <mergeCell ref="E9778:H9778"/>
    <mergeCell ref="E9782:F9782"/>
    <mergeCell ref="E9784:F9784"/>
    <mergeCell ref="E9787:F9787"/>
    <mergeCell ref="E9788:F9788"/>
    <mergeCell ref="E9790:H9790"/>
    <mergeCell ref="E9791:H9791"/>
    <mergeCell ref="E9792:H9792"/>
    <mergeCell ref="E9793:H9793"/>
    <mergeCell ref="E9794:H9794"/>
    <mergeCell ref="E9767:H9767"/>
    <mergeCell ref="E9768:H9768"/>
    <mergeCell ref="E9776:F9776"/>
    <mergeCell ref="E9777:F9777"/>
    <mergeCell ref="E9779:F9779"/>
    <mergeCell ref="E9805:H9805"/>
    <mergeCell ref="E9806:F9806"/>
    <mergeCell ref="E9807:F9807"/>
    <mergeCell ref="E9808:F9808"/>
    <mergeCell ref="E9809:F9809"/>
    <mergeCell ref="E9810:F9810"/>
    <mergeCell ref="E9837:H9837"/>
    <mergeCell ref="E9838:H9838"/>
    <mergeCell ref="E9849:F9849"/>
    <mergeCell ref="E9850:F9850"/>
    <mergeCell ref="E9851:F9851"/>
    <mergeCell ref="E9860:H9860"/>
    <mergeCell ref="E9861:H9861"/>
    <mergeCell ref="E9862:H9862"/>
    <mergeCell ref="E9868:F9868"/>
    <mergeCell ref="E9869:F9869"/>
    <mergeCell ref="E9870:F9870"/>
    <mergeCell ref="E9871:F9871"/>
    <mergeCell ref="E9872:F9872"/>
    <mergeCell ref="E9852:F9852"/>
    <mergeCell ref="E9857:F9857"/>
    <mergeCell ref="E9785:H9785"/>
    <mergeCell ref="E10102:H10102"/>
    <mergeCell ref="E10107:F10107"/>
    <mergeCell ref="E10113:F10113"/>
    <mergeCell ref="E10074:F10074"/>
    <mergeCell ref="E10075:F10075"/>
    <mergeCell ref="E10089:F10089"/>
    <mergeCell ref="E10072:F10072"/>
    <mergeCell ref="E10090:F10090"/>
    <mergeCell ref="E10092:F10092"/>
    <mergeCell ref="E10105:H10105"/>
    <mergeCell ref="E9752:F9752"/>
    <mergeCell ref="E9753:F9753"/>
    <mergeCell ref="E9750:H9750"/>
    <mergeCell ref="E9754:F9754"/>
    <mergeCell ref="E9755:F9755"/>
    <mergeCell ref="E9756:F9756"/>
    <mergeCell ref="E9757:F9757"/>
    <mergeCell ref="E9759:F9759"/>
    <mergeCell ref="E9760:F9760"/>
    <mergeCell ref="E9761:F9761"/>
    <mergeCell ref="E9763:F9763"/>
    <mergeCell ref="E8892:F8892"/>
    <mergeCell ref="E8869:F8869"/>
    <mergeCell ref="E9762:H9762"/>
    <mergeCell ref="E9072:F9072"/>
    <mergeCell ref="E9196:H9196"/>
    <mergeCell ref="E9197:H9197"/>
    <mergeCell ref="E9202:F9202"/>
    <mergeCell ref="E9203:F9203"/>
    <mergeCell ref="E9204:F9204"/>
    <mergeCell ref="E9205:F9205"/>
    <mergeCell ref="E9206:F9206"/>
    <mergeCell ref="E9207:F9207"/>
    <mergeCell ref="E9208:F9208"/>
    <mergeCell ref="E9209:F9209"/>
    <mergeCell ref="E9210:F9210"/>
    <mergeCell ref="E9211:F9211"/>
    <mergeCell ref="E9212:H9212"/>
    <mergeCell ref="E9213:H9213"/>
    <mergeCell ref="E9216:H9216"/>
    <mergeCell ref="E9217:H9217"/>
    <mergeCell ref="E9218:H9218"/>
    <mergeCell ref="E9227:H9227"/>
    <mergeCell ref="E9228:H9228"/>
    <mergeCell ref="E9229:H9229"/>
    <mergeCell ref="E9224:H9224"/>
    <mergeCell ref="E9313:H9313"/>
    <mergeCell ref="E9314:H9314"/>
    <mergeCell ref="E9315:H9315"/>
    <mergeCell ref="E9316:H9316"/>
    <mergeCell ref="E9317:H9317"/>
    <mergeCell ref="E9318:H9318"/>
    <mergeCell ref="E9319:H9319"/>
    <mergeCell ref="E9322:F9322"/>
    <mergeCell ref="E9250:F9250"/>
    <mergeCell ref="E9251:F9251"/>
    <mergeCell ref="E9257:H9257"/>
    <mergeCell ref="E9258:H9258"/>
    <mergeCell ref="E9259:H9259"/>
    <mergeCell ref="E9260:H9260"/>
    <mergeCell ref="E9261:H9261"/>
    <mergeCell ref="E9262:H9262"/>
    <mergeCell ref="E9236:F9236"/>
    <mergeCell ref="E9237:F9237"/>
    <mergeCell ref="E9235:F9235"/>
    <mergeCell ref="E9244:H9244"/>
    <mergeCell ref="E9245:H9245"/>
    <mergeCell ref="E9246:H9246"/>
    <mergeCell ref="E9252:F9252"/>
    <mergeCell ref="E9253:F9253"/>
    <mergeCell ref="E9254:F9254"/>
    <mergeCell ref="E9255:F9255"/>
    <mergeCell ref="E9256:F9256"/>
    <mergeCell ref="E9263:H9263"/>
    <mergeCell ref="E7793:H7793"/>
    <mergeCell ref="E7794:H7794"/>
    <mergeCell ref="E7795:H7795"/>
    <mergeCell ref="E7796:F7796"/>
    <mergeCell ref="E7797:F7797"/>
    <mergeCell ref="E7798:F7798"/>
    <mergeCell ref="E7799:F7799"/>
    <mergeCell ref="E9012:H9012"/>
    <mergeCell ref="E9013:H9013"/>
    <mergeCell ref="E9015:F9015"/>
    <mergeCell ref="E9016:F9016"/>
    <mergeCell ref="E9017:F9017"/>
    <mergeCell ref="E9102:F9102"/>
    <mergeCell ref="E9247:F9247"/>
    <mergeCell ref="E9248:F9248"/>
    <mergeCell ref="E9249:F9249"/>
    <mergeCell ref="E8998:F8998"/>
    <mergeCell ref="E8999:F8999"/>
    <mergeCell ref="E7833:H7833"/>
    <mergeCell ref="E7834:H7834"/>
    <mergeCell ref="E7835:H7835"/>
    <mergeCell ref="E7829:H7829"/>
    <mergeCell ref="E9540:F9540"/>
    <mergeCell ref="E9537:F9537"/>
    <mergeCell ref="E8945:H8945"/>
    <mergeCell ref="E8946:H8946"/>
    <mergeCell ref="E8947:H8947"/>
    <mergeCell ref="E9468:F9468"/>
    <mergeCell ref="E8971:F8971"/>
    <mergeCell ref="E8970:F8970"/>
    <mergeCell ref="E8995:H8995"/>
    <mergeCell ref="E8889:F8889"/>
    <mergeCell ref="E8911:H8911"/>
    <mergeCell ref="E8908:F8908"/>
    <mergeCell ref="E8909:F8909"/>
    <mergeCell ref="E8976:F8976"/>
    <mergeCell ref="E8980:H8980"/>
    <mergeCell ref="E8981:H8981"/>
    <mergeCell ref="E8914:F8914"/>
    <mergeCell ref="E8915:F8915"/>
    <mergeCell ref="E8930:H8930"/>
    <mergeCell ref="E9281:H9281"/>
    <mergeCell ref="E9287:F9287"/>
    <mergeCell ref="E9293:F9293"/>
    <mergeCell ref="E9290:F9290"/>
    <mergeCell ref="E9292:F9292"/>
    <mergeCell ref="E8469:H8469"/>
    <mergeCell ref="E8433:H8433"/>
    <mergeCell ref="E8347:F8347"/>
    <mergeCell ref="E8348:F8348"/>
    <mergeCell ref="E8349:F8349"/>
    <mergeCell ref="E8350:F8350"/>
    <mergeCell ref="E8351:F8351"/>
    <mergeCell ref="E7852:H7852"/>
    <mergeCell ref="E7853:H7853"/>
    <mergeCell ref="E7854:H7854"/>
    <mergeCell ref="E7856:F7856"/>
    <mergeCell ref="E7858:F7858"/>
    <mergeCell ref="E7869:F7869"/>
    <mergeCell ref="E7859:F7859"/>
    <mergeCell ref="E7904:H7904"/>
    <mergeCell ref="E7909:H7909"/>
    <mergeCell ref="E8991:F8991"/>
    <mergeCell ref="E9000:H9000"/>
    <mergeCell ref="E7701:F7701"/>
    <mergeCell ref="E7702:F7702"/>
    <mergeCell ref="E7720:F7720"/>
    <mergeCell ref="E7721:F7721"/>
    <mergeCell ref="E7850:H7850"/>
    <mergeCell ref="E7851:H7851"/>
    <mergeCell ref="E7779:F7779"/>
    <mergeCell ref="E7780:F7780"/>
    <mergeCell ref="E7781:F7781"/>
    <mergeCell ref="E7789:H7789"/>
    <mergeCell ref="E7801:F7801"/>
    <mergeCell ref="E7802:F7802"/>
    <mergeCell ref="E7790:H7790"/>
    <mergeCell ref="E7791:H7791"/>
    <mergeCell ref="E7897:F7897"/>
    <mergeCell ref="E7898:F7898"/>
    <mergeCell ref="E7899:F7899"/>
    <mergeCell ref="E7900:F7900"/>
    <mergeCell ref="E7901:F7901"/>
    <mergeCell ref="E7902:F7902"/>
    <mergeCell ref="E8962:F8962"/>
    <mergeCell ref="E8963:F8963"/>
    <mergeCell ref="E8964:F8964"/>
    <mergeCell ref="E8972:H8972"/>
    <mergeCell ref="E8977:H8977"/>
    <mergeCell ref="E8978:H8978"/>
    <mergeCell ref="E8979:H8979"/>
    <mergeCell ref="E9441:H9441"/>
    <mergeCell ref="E8007:F8007"/>
    <mergeCell ref="E7923:H7923"/>
    <mergeCell ref="E7932:F7932"/>
    <mergeCell ref="E7699:F7699"/>
    <mergeCell ref="E7694:H7694"/>
    <mergeCell ref="E7695:H7695"/>
    <mergeCell ref="E7696:H7696"/>
    <mergeCell ref="E7697:H7697"/>
    <mergeCell ref="E7703:F7703"/>
    <mergeCell ref="E7704:F7704"/>
    <mergeCell ref="E7705:F7705"/>
    <mergeCell ref="E7706:F7706"/>
    <mergeCell ref="E7707:F7707"/>
    <mergeCell ref="E7708:F7708"/>
    <mergeCell ref="E7709:F7709"/>
    <mergeCell ref="E7710:F7710"/>
    <mergeCell ref="E7743:F7743"/>
    <mergeCell ref="E7744:F7744"/>
    <mergeCell ref="E7745:F7745"/>
    <mergeCell ref="E7736:H7736"/>
    <mergeCell ref="E7737:H7737"/>
    <mergeCell ref="E7746:F7746"/>
    <mergeCell ref="E7756:H7756"/>
    <mergeCell ref="E7757:H7757"/>
    <mergeCell ref="E7758:H7758"/>
    <mergeCell ref="E7771:H7771"/>
    <mergeCell ref="E7772:H7772"/>
    <mergeCell ref="E7773:H7773"/>
    <mergeCell ref="E7774:H7774"/>
    <mergeCell ref="E7775:H7775"/>
    <mergeCell ref="E7782:F7782"/>
    <mergeCell ref="E7788:H7788"/>
    <mergeCell ref="E7830:H7830"/>
    <mergeCell ref="E7831:H7831"/>
    <mergeCell ref="E7832:H7832"/>
    <mergeCell ref="E7776:F7776"/>
    <mergeCell ref="E7910:H7910"/>
    <mergeCell ref="E7911:H7911"/>
    <mergeCell ref="E7920:H7920"/>
    <mergeCell ref="E7837:F7837"/>
    <mergeCell ref="E7839:F7839"/>
    <mergeCell ref="E7840:F7840"/>
    <mergeCell ref="E7866:F7866"/>
    <mergeCell ref="E7867:F7867"/>
    <mergeCell ref="E7865:F7865"/>
    <mergeCell ref="E7890:F7890"/>
    <mergeCell ref="E7891:F7891"/>
    <mergeCell ref="E7808:H7808"/>
    <mergeCell ref="E7809:H7809"/>
    <mergeCell ref="E7810:H7810"/>
    <mergeCell ref="E7811:H7811"/>
    <mergeCell ref="E7812:H7812"/>
    <mergeCell ref="E7813:H7813"/>
    <mergeCell ref="E7814:H7814"/>
    <mergeCell ref="E7815:H7815"/>
    <mergeCell ref="E7816:F7816"/>
    <mergeCell ref="E7819:F7819"/>
    <mergeCell ref="E7820:F7820"/>
    <mergeCell ref="E7821:F7821"/>
    <mergeCell ref="E7822:F7822"/>
    <mergeCell ref="E7711:H7711"/>
    <mergeCell ref="E7712:H7712"/>
    <mergeCell ref="E7713:H7713"/>
    <mergeCell ref="E7714:H7714"/>
    <mergeCell ref="E7715:H7715"/>
    <mergeCell ref="E7716:H7716"/>
    <mergeCell ref="E7717:H7717"/>
    <mergeCell ref="E7718:H7718"/>
    <mergeCell ref="E7719:H7719"/>
    <mergeCell ref="E7728:F7728"/>
    <mergeCell ref="E7767:H7767"/>
    <mergeCell ref="E7768:H7768"/>
    <mergeCell ref="E7778:F7778"/>
    <mergeCell ref="E7764:F7764"/>
    <mergeCell ref="E7823:F7823"/>
    <mergeCell ref="E7824:F7824"/>
    <mergeCell ref="E7800:F7800"/>
    <mergeCell ref="E7785:F7785"/>
    <mergeCell ref="E7760:H7760"/>
    <mergeCell ref="E7734:H7734"/>
    <mergeCell ref="E7747:F7747"/>
    <mergeCell ref="E7754:F7754"/>
    <mergeCell ref="E7761:H7761"/>
    <mergeCell ref="E7762:H7762"/>
    <mergeCell ref="E7763:H7763"/>
    <mergeCell ref="E7765:F7765"/>
    <mergeCell ref="E7803:F7803"/>
    <mergeCell ref="E7759:H7759"/>
    <mergeCell ref="E7751:F7751"/>
    <mergeCell ref="E7777:F7777"/>
    <mergeCell ref="E7729:F7729"/>
    <mergeCell ref="E7730:F7730"/>
    <mergeCell ref="E7731:F7731"/>
    <mergeCell ref="E7732:F7732"/>
    <mergeCell ref="E7733:F7733"/>
    <mergeCell ref="E7738:H7738"/>
    <mergeCell ref="E7739:H7739"/>
    <mergeCell ref="E7740:H7740"/>
    <mergeCell ref="E7753:F7753"/>
    <mergeCell ref="E7792:H7792"/>
    <mergeCell ref="E7933:F7933"/>
    <mergeCell ref="E7940:H7940"/>
    <mergeCell ref="E7941:H7941"/>
    <mergeCell ref="E7927:F7927"/>
    <mergeCell ref="E7928:F7928"/>
    <mergeCell ref="E7914:H7914"/>
    <mergeCell ref="E7934:H7934"/>
    <mergeCell ref="E7889:F7889"/>
    <mergeCell ref="E7912:H7912"/>
    <mergeCell ref="E7913:H7913"/>
    <mergeCell ref="E7929:F7929"/>
    <mergeCell ref="E7915:H7915"/>
    <mergeCell ref="E7916:H7916"/>
    <mergeCell ref="E7917:H7917"/>
    <mergeCell ref="E7918:H7918"/>
    <mergeCell ref="E7924:F7924"/>
    <mergeCell ref="E7925:F7925"/>
    <mergeCell ref="E7926:F7926"/>
    <mergeCell ref="E7817:F7817"/>
    <mergeCell ref="E7807:F7807"/>
    <mergeCell ref="E6882:F6882"/>
    <mergeCell ref="E7306:H7306"/>
    <mergeCell ref="E7303:H7303"/>
    <mergeCell ref="E7307:H7307"/>
    <mergeCell ref="E7308:H7308"/>
    <mergeCell ref="E7320:F7320"/>
    <mergeCell ref="E7321:F7321"/>
    <mergeCell ref="E7042:F7042"/>
    <mergeCell ref="E7047:F7047"/>
    <mergeCell ref="E7048:F7048"/>
    <mergeCell ref="E7040:F7040"/>
    <mergeCell ref="E7041:F7041"/>
    <mergeCell ref="E7073:F7073"/>
    <mergeCell ref="E7163:F7163"/>
    <mergeCell ref="E7075:F7075"/>
    <mergeCell ref="E7076:F7076"/>
    <mergeCell ref="E7527:F7527"/>
    <mergeCell ref="E7322:F7322"/>
    <mergeCell ref="E7417:F7417"/>
    <mergeCell ref="E7448:F7448"/>
    <mergeCell ref="E7458:H7458"/>
    <mergeCell ref="E7459:H7459"/>
    <mergeCell ref="E7460:H7460"/>
    <mergeCell ref="E7461:H7461"/>
    <mergeCell ref="E7464:F7464"/>
    <mergeCell ref="E7465:F7465"/>
    <mergeCell ref="E7466:F7466"/>
    <mergeCell ref="E7467:F7467"/>
    <mergeCell ref="E7468:F7468"/>
    <mergeCell ref="E7469:F7469"/>
    <mergeCell ref="E6928:F6928"/>
    <mergeCell ref="E6929:F6929"/>
    <mergeCell ref="E6930:F6930"/>
    <mergeCell ref="E6931:F6931"/>
    <mergeCell ref="E6932:F6932"/>
    <mergeCell ref="E6933:F6933"/>
    <mergeCell ref="E7836:F7836"/>
    <mergeCell ref="E7838:F7838"/>
    <mergeCell ref="E6915:H6915"/>
    <mergeCell ref="E7841:F7841"/>
    <mergeCell ref="E7842:F7842"/>
    <mergeCell ref="E6914:H6914"/>
    <mergeCell ref="E6918:F6918"/>
    <mergeCell ref="E6919:F6919"/>
    <mergeCell ref="E7282:H7282"/>
    <mergeCell ref="E7283:H7283"/>
    <mergeCell ref="E7284:H7284"/>
    <mergeCell ref="E7285:H7285"/>
    <mergeCell ref="E7270:F7270"/>
    <mergeCell ref="E7294:F7294"/>
    <mergeCell ref="E7295:F7295"/>
    <mergeCell ref="E7296:F7296"/>
    <mergeCell ref="E7302:H7302"/>
    <mergeCell ref="E7336:H7336"/>
    <mergeCell ref="E6923:F6923"/>
    <mergeCell ref="E6924:F6924"/>
    <mergeCell ref="E6936:H6936"/>
    <mergeCell ref="E6937:H6937"/>
    <mergeCell ref="E6944:F6944"/>
    <mergeCell ref="E6945:F6945"/>
    <mergeCell ref="E5762:H5762"/>
    <mergeCell ref="E5763:H5763"/>
    <mergeCell ref="E5764:H5764"/>
    <mergeCell ref="E5694:H5694"/>
    <mergeCell ref="E5695:H5695"/>
    <mergeCell ref="E5714:H5714"/>
    <mergeCell ref="E5727:H5727"/>
    <mergeCell ref="E5769:F5769"/>
    <mergeCell ref="E5770:F5770"/>
    <mergeCell ref="E5722:F5722"/>
    <mergeCell ref="E5757:F5757"/>
    <mergeCell ref="E5730:F5730"/>
    <mergeCell ref="E5729:F5729"/>
    <mergeCell ref="E5711:F5711"/>
    <mergeCell ref="E5706:F5706"/>
    <mergeCell ref="E5707:F5707"/>
    <mergeCell ref="E5708:F5708"/>
    <mergeCell ref="E5703:H5703"/>
    <mergeCell ref="E5704:F5704"/>
    <mergeCell ref="E5709:H5709"/>
    <mergeCell ref="E5712:F5712"/>
    <mergeCell ref="E7331:F7331"/>
    <mergeCell ref="E7288:F7288"/>
    <mergeCell ref="E7289:F7289"/>
    <mergeCell ref="E7272:F7272"/>
    <mergeCell ref="E7291:F7291"/>
    <mergeCell ref="E7292:F7292"/>
    <mergeCell ref="E7293:F7293"/>
    <mergeCell ref="E7297:F7297"/>
    <mergeCell ref="E7298:F7298"/>
    <mergeCell ref="E7299:F7299"/>
    <mergeCell ref="E7300:F7300"/>
    <mergeCell ref="E6938:H6938"/>
    <mergeCell ref="E6939:H6939"/>
    <mergeCell ref="E6940:H6940"/>
    <mergeCell ref="E6941:H6941"/>
    <mergeCell ref="E6072:H6072"/>
    <mergeCell ref="E5873:H5873"/>
    <mergeCell ref="E5874:F5874"/>
    <mergeCell ref="E6049:F6049"/>
    <mergeCell ref="E5875:F5875"/>
    <mergeCell ref="E5876:F5876"/>
    <mergeCell ref="E5765:H5765"/>
    <mergeCell ref="E5766:H5766"/>
    <mergeCell ref="E5767:H5767"/>
    <mergeCell ref="E5902:F5902"/>
    <mergeCell ref="E5903:F5903"/>
    <mergeCell ref="E5904:F5904"/>
    <mergeCell ref="E5778:F5778"/>
    <mergeCell ref="E5787:F5787"/>
    <mergeCell ref="E5789:F5789"/>
    <mergeCell ref="E5790:F5790"/>
    <mergeCell ref="E5771:F5771"/>
    <mergeCell ref="E5772:F5772"/>
    <mergeCell ref="E5774:H5774"/>
    <mergeCell ref="E5779:H5779"/>
    <mergeCell ref="E5780:H5780"/>
    <mergeCell ref="E5781:H5781"/>
    <mergeCell ref="E5782:H5782"/>
    <mergeCell ref="E5783:H5783"/>
    <mergeCell ref="E5784:H5784"/>
    <mergeCell ref="E5785:H5785"/>
    <mergeCell ref="E5786:H5786"/>
    <mergeCell ref="E5815:H5815"/>
    <mergeCell ref="E5816:H5816"/>
    <mergeCell ref="E5817:H5817"/>
    <mergeCell ref="E5818:H5818"/>
    <mergeCell ref="E5819:H5819"/>
    <mergeCell ref="E6042:F6042"/>
    <mergeCell ref="E5836:F5836"/>
    <mergeCell ref="E5837:F5837"/>
    <mergeCell ref="E5838:F5838"/>
    <mergeCell ref="E5833:H5833"/>
    <mergeCell ref="E5834:H5834"/>
    <mergeCell ref="E5825:F5825"/>
    <mergeCell ref="E5788:H5788"/>
    <mergeCell ref="E5791:H5791"/>
    <mergeCell ref="E5792:H5792"/>
    <mergeCell ref="E5793:H5793"/>
    <mergeCell ref="E5827:F5827"/>
    <mergeCell ref="E5828:F5828"/>
    <mergeCell ref="E5821:F5821"/>
    <mergeCell ref="E5823:F5823"/>
    <mergeCell ref="E5808:H5808"/>
    <mergeCell ref="E5813:F5813"/>
    <mergeCell ref="E5962:F5962"/>
    <mergeCell ref="E5963:F5963"/>
    <mergeCell ref="E5970:H5970"/>
    <mergeCell ref="E5974:F5974"/>
    <mergeCell ref="E5975:F5975"/>
    <mergeCell ref="E5976:F5976"/>
    <mergeCell ref="E5977:F5977"/>
    <mergeCell ref="E5978:F5978"/>
    <mergeCell ref="E5880:F5880"/>
    <mergeCell ref="E5885:F5885"/>
    <mergeCell ref="E5886:F5886"/>
    <mergeCell ref="E5893:H5893"/>
    <mergeCell ref="E5894:H5894"/>
    <mergeCell ref="E5895:H5895"/>
    <mergeCell ref="E5896:H5896"/>
    <mergeCell ref="E5905:F5905"/>
    <mergeCell ref="E5995:F5995"/>
    <mergeCell ref="E5996:F5996"/>
    <mergeCell ref="E5936:H5936"/>
    <mergeCell ref="E5794:H5794"/>
    <mergeCell ref="E5795:H5795"/>
    <mergeCell ref="E5796:H5796"/>
    <mergeCell ref="E5800:F5800"/>
    <mergeCell ref="E5802:H5802"/>
    <mergeCell ref="E5805:F5805"/>
    <mergeCell ref="E5882:F5882"/>
    <mergeCell ref="E5807:F5807"/>
    <mergeCell ref="E5723:F5723"/>
    <mergeCell ref="E5731:F5731"/>
    <mergeCell ref="E5673:F5673"/>
    <mergeCell ref="E5718:H5718"/>
    <mergeCell ref="E5719:H5719"/>
    <mergeCell ref="E5758:F5758"/>
    <mergeCell ref="E5684:F5684"/>
    <mergeCell ref="E5687:F5687"/>
    <mergeCell ref="E5715:H5715"/>
    <mergeCell ref="E5716:H5716"/>
    <mergeCell ref="E5705:F5705"/>
    <mergeCell ref="E4973:F4973"/>
    <mergeCell ref="E4974:F4974"/>
    <mergeCell ref="E4978:H4978"/>
    <mergeCell ref="E4991:F4991"/>
    <mergeCell ref="E4992:F4992"/>
    <mergeCell ref="E4802:F4802"/>
    <mergeCell ref="E4803:F4803"/>
    <mergeCell ref="E4804:F4804"/>
    <mergeCell ref="E4805:F4805"/>
    <mergeCell ref="E4808:H4808"/>
    <mergeCell ref="E4809:H4809"/>
    <mergeCell ref="E4810:H4810"/>
    <mergeCell ref="E4811:H4811"/>
    <mergeCell ref="E4812:H4812"/>
    <mergeCell ref="E4814:F4814"/>
    <mergeCell ref="E4816:F4816"/>
    <mergeCell ref="E4817:F4817"/>
    <mergeCell ref="E4819:H4819"/>
    <mergeCell ref="E4820:H4820"/>
    <mergeCell ref="E4821:H4821"/>
    <mergeCell ref="E4822:H4822"/>
    <mergeCell ref="E4837:F4837"/>
    <mergeCell ref="E4843:H4843"/>
    <mergeCell ref="E4844:H4844"/>
    <mergeCell ref="E4845:H4845"/>
    <mergeCell ref="E4846:H4846"/>
    <mergeCell ref="E4852:F4852"/>
    <mergeCell ref="E4853:F4853"/>
    <mergeCell ref="E4854:F4854"/>
    <mergeCell ref="E4855:F4855"/>
    <mergeCell ref="E4828:F4828"/>
    <mergeCell ref="E4858:F4858"/>
    <mergeCell ref="E4859:F4859"/>
    <mergeCell ref="E4867:F4867"/>
    <mergeCell ref="E4871:H4871"/>
    <mergeCell ref="E4885:F4885"/>
    <mergeCell ref="E4886:F4886"/>
    <mergeCell ref="E4888:F4888"/>
    <mergeCell ref="E4889:F4889"/>
    <mergeCell ref="E4899:H4899"/>
    <mergeCell ref="E4909:F4909"/>
    <mergeCell ref="E4895:F4895"/>
    <mergeCell ref="E4896:F4896"/>
    <mergeCell ref="E4900:H4900"/>
    <mergeCell ref="E4901:H4901"/>
    <mergeCell ref="E4902:H4902"/>
    <mergeCell ref="E4903:H4903"/>
    <mergeCell ref="E4904:H4904"/>
    <mergeCell ref="E4908:F4908"/>
    <mergeCell ref="E4907:F4907"/>
    <mergeCell ref="E4993:F4993"/>
    <mergeCell ref="E5009:F5009"/>
    <mergeCell ref="E4937:F4937"/>
    <mergeCell ref="E3678:H3678"/>
    <mergeCell ref="E3679:H3679"/>
    <mergeCell ref="E3680:H3680"/>
    <mergeCell ref="E3686:F3686"/>
    <mergeCell ref="E3687:F3687"/>
    <mergeCell ref="E3688:F3688"/>
    <mergeCell ref="E3698:H3698"/>
    <mergeCell ref="E3699:H3699"/>
    <mergeCell ref="E3700:H3700"/>
    <mergeCell ref="E3701:H3701"/>
    <mergeCell ref="E3702:H3702"/>
    <mergeCell ref="E3706:F3706"/>
    <mergeCell ref="E3716:F3716"/>
    <mergeCell ref="E3717:F3717"/>
    <mergeCell ref="E3735:F3735"/>
    <mergeCell ref="E3736:F3736"/>
    <mergeCell ref="E3733:F3733"/>
    <mergeCell ref="E3732:F3732"/>
    <mergeCell ref="E3740:H3740"/>
    <mergeCell ref="E3741:H3741"/>
    <mergeCell ref="E3742:H3742"/>
    <mergeCell ref="E3729:F3729"/>
    <mergeCell ref="E3730:F3730"/>
    <mergeCell ref="E3731:F3731"/>
    <mergeCell ref="E4344:F4344"/>
    <mergeCell ref="E4345:F4345"/>
    <mergeCell ref="E4346:F4346"/>
    <mergeCell ref="E4347:F4347"/>
    <mergeCell ref="E4348:F4348"/>
    <mergeCell ref="E4349:F4349"/>
    <mergeCell ref="E4350:F4350"/>
    <mergeCell ref="E4351:F4351"/>
    <mergeCell ref="E4357:H4357"/>
    <mergeCell ref="E3745:H3745"/>
    <mergeCell ref="E3746:H3746"/>
    <mergeCell ref="E3747:H3747"/>
    <mergeCell ref="E3753:H3753"/>
    <mergeCell ref="E3754:H3754"/>
    <mergeCell ref="E3755:H3755"/>
    <mergeCell ref="E3757:F3757"/>
    <mergeCell ref="E3762:F3762"/>
    <mergeCell ref="E3764:F3764"/>
    <mergeCell ref="E3765:F3765"/>
    <mergeCell ref="E3766:F3766"/>
    <mergeCell ref="E3767:F3767"/>
    <mergeCell ref="E3768:F3768"/>
    <mergeCell ref="E3770:F3770"/>
    <mergeCell ref="E3771:F3771"/>
    <mergeCell ref="E3772:F3772"/>
    <mergeCell ref="E3773:F3773"/>
    <mergeCell ref="E3774:F3774"/>
    <mergeCell ref="E3776:H3776"/>
    <mergeCell ref="E3777:H3777"/>
    <mergeCell ref="E3778:H3778"/>
    <mergeCell ref="E3779:H3779"/>
    <mergeCell ref="E3780:H3780"/>
    <mergeCell ref="E3791:F3791"/>
    <mergeCell ref="E3792:F3792"/>
    <mergeCell ref="E3793:F3793"/>
    <mergeCell ref="E3794:F3794"/>
    <mergeCell ref="E3797:F3797"/>
    <mergeCell ref="E3798:F3798"/>
    <mergeCell ref="E3799:H3799"/>
    <mergeCell ref="E3800:H3800"/>
    <mergeCell ref="E3674:H3674"/>
    <mergeCell ref="E3675:H3675"/>
    <mergeCell ref="E3676:H3676"/>
    <mergeCell ref="E3677:H3677"/>
    <mergeCell ref="E3942:F3942"/>
    <mergeCell ref="E3944:H3944"/>
    <mergeCell ref="E3858:F3858"/>
    <mergeCell ref="E3859:F3859"/>
    <mergeCell ref="E3263:H3263"/>
    <mergeCell ref="E3269:H3269"/>
    <mergeCell ref="E3162:F3162"/>
    <mergeCell ref="E3670:F3670"/>
    <mergeCell ref="E3671:F3671"/>
    <mergeCell ref="E3672:F3672"/>
    <mergeCell ref="E3673:F3673"/>
    <mergeCell ref="E3682:F3682"/>
    <mergeCell ref="E3683:F3683"/>
    <mergeCell ref="E3684:F3684"/>
    <mergeCell ref="E3685:F3685"/>
    <mergeCell ref="E3696:H3696"/>
    <mergeCell ref="E3697:H3697"/>
    <mergeCell ref="E3704:F3704"/>
    <mergeCell ref="E3705:F3705"/>
    <mergeCell ref="E3707:F3707"/>
    <mergeCell ref="E3710:F3710"/>
    <mergeCell ref="E3711:F3711"/>
    <mergeCell ref="E3712:F3712"/>
    <mergeCell ref="E1540:F1540"/>
    <mergeCell ref="E1541:F1541"/>
    <mergeCell ref="E1535:F1535"/>
    <mergeCell ref="E1589:F1589"/>
    <mergeCell ref="E1591:F1591"/>
    <mergeCell ref="E1543:F1543"/>
    <mergeCell ref="E1544:F1544"/>
    <mergeCell ref="E1639:H1639"/>
    <mergeCell ref="E1642:H1642"/>
    <mergeCell ref="E1658:F1658"/>
    <mergeCell ref="E1725:F1725"/>
    <mergeCell ref="E1609:F1609"/>
    <mergeCell ref="E1611:F1611"/>
    <mergeCell ref="E1612:F1612"/>
    <mergeCell ref="E1613:F1613"/>
    <mergeCell ref="E1631:F1631"/>
    <mergeCell ref="E1614:F1614"/>
    <mergeCell ref="E1615:F1615"/>
    <mergeCell ref="E1616:F1616"/>
    <mergeCell ref="E3007:H3007"/>
    <mergeCell ref="E3019:H3019"/>
    <mergeCell ref="E3027:F3027"/>
    <mergeCell ref="E3029:F3029"/>
    <mergeCell ref="E3032:F3032"/>
    <mergeCell ref="E2266:H2266"/>
    <mergeCell ref="E2267:H2267"/>
    <mergeCell ref="E1885:H1885"/>
    <mergeCell ref="E1594:F1594"/>
    <mergeCell ref="E1595:F1595"/>
    <mergeCell ref="E1596:F1596"/>
    <mergeCell ref="E1676:H1676"/>
    <mergeCell ref="E1677:H1677"/>
    <mergeCell ref="E1681:F1681"/>
    <mergeCell ref="E1689:F1689"/>
    <mergeCell ref="E1690:F1690"/>
    <mergeCell ref="E1691:F1691"/>
    <mergeCell ref="E1682:F1682"/>
    <mergeCell ref="E1489:F1489"/>
    <mergeCell ref="E1392:F1392"/>
    <mergeCell ref="E1409:H1409"/>
    <mergeCell ref="E1410:H1410"/>
    <mergeCell ref="E1411:H1411"/>
    <mergeCell ref="E1415:F1415"/>
    <mergeCell ref="E1416:F1416"/>
    <mergeCell ref="E1432:H1432"/>
    <mergeCell ref="E1433:H1433"/>
    <mergeCell ref="E1394:F1394"/>
    <mergeCell ref="E1395:F1395"/>
    <mergeCell ref="E1396:F1396"/>
    <mergeCell ref="E1399:F1399"/>
    <mergeCell ref="E1393:F1393"/>
    <mergeCell ref="E1501:F1501"/>
    <mergeCell ref="E1502:F1502"/>
    <mergeCell ref="E1503:F1503"/>
    <mergeCell ref="E1473:F1473"/>
    <mergeCell ref="E1468:F1468"/>
    <mergeCell ref="E1469:F1469"/>
    <mergeCell ref="E1470:F1470"/>
    <mergeCell ref="E1479:H1479"/>
    <mergeCell ref="E1480:H1480"/>
    <mergeCell ref="E1481:H1481"/>
    <mergeCell ref="E1482:H1482"/>
    <mergeCell ref="E1483:H1483"/>
    <mergeCell ref="E1484:H1484"/>
    <mergeCell ref="E1485:H1485"/>
    <mergeCell ref="E1486:H1486"/>
    <mergeCell ref="E1487:H1487"/>
    <mergeCell ref="E1488:H1488"/>
    <mergeCell ref="E1490:F1490"/>
    <mergeCell ref="E1491:F1491"/>
    <mergeCell ref="E1492:F1492"/>
    <mergeCell ref="E1493:F1493"/>
    <mergeCell ref="E1494:F1494"/>
    <mergeCell ref="E1495:F1495"/>
    <mergeCell ref="E1454:H1454"/>
    <mergeCell ref="E1455:H1455"/>
    <mergeCell ref="E1456:H1456"/>
    <mergeCell ref="E1457:H1457"/>
    <mergeCell ref="E1458:H1458"/>
    <mergeCell ref="E1459:H1459"/>
    <mergeCell ref="E1460:H1460"/>
    <mergeCell ref="E1461:H1461"/>
    <mergeCell ref="E1462:H1462"/>
    <mergeCell ref="E1464:F1464"/>
    <mergeCell ref="E1465:F1465"/>
    <mergeCell ref="E1466:F1466"/>
    <mergeCell ref="E1467:F1467"/>
    <mergeCell ref="E1423:F1423"/>
    <mergeCell ref="E1424:F1424"/>
    <mergeCell ref="E1425:F1425"/>
    <mergeCell ref="E1422:F1422"/>
    <mergeCell ref="E1436:H1436"/>
    <mergeCell ref="E1387:F1387"/>
    <mergeCell ref="E1384:F1384"/>
    <mergeCell ref="E3009:F3009"/>
    <mergeCell ref="E3010:F3010"/>
    <mergeCell ref="E3011:F3011"/>
    <mergeCell ref="E3012:F3012"/>
    <mergeCell ref="E3013:F3013"/>
    <mergeCell ref="E2670:F2670"/>
    <mergeCell ref="E2676:H2676"/>
    <mergeCell ref="E2674:H2674"/>
    <mergeCell ref="E2756:F2756"/>
    <mergeCell ref="E2757:F2757"/>
    <mergeCell ref="E2731:F2731"/>
    <mergeCell ref="E2732:F2732"/>
    <mergeCell ref="E2733:F2733"/>
    <mergeCell ref="E2615:F2615"/>
    <mergeCell ref="E2616:F2616"/>
    <mergeCell ref="E1746:F1746"/>
    <mergeCell ref="E1757:H1757"/>
    <mergeCell ref="E1765:F1765"/>
    <mergeCell ref="E1767:F1767"/>
    <mergeCell ref="E1768:F1768"/>
    <mergeCell ref="E1773:H1773"/>
    <mergeCell ref="E2545:H2545"/>
    <mergeCell ref="E2552:F2552"/>
    <mergeCell ref="E2558:H2558"/>
    <mergeCell ref="E1698:H1698"/>
    <mergeCell ref="E1699:H1699"/>
    <mergeCell ref="E1700:H1700"/>
    <mergeCell ref="E1701:H1701"/>
    <mergeCell ref="E1712:F1712"/>
    <mergeCell ref="E1713:F1713"/>
    <mergeCell ref="E1645:H1645"/>
    <mergeCell ref="E1646:H1646"/>
    <mergeCell ref="E1647:H1647"/>
    <mergeCell ref="E1648:H1648"/>
    <mergeCell ref="E1649:H1649"/>
    <mergeCell ref="E1650:H1650"/>
    <mergeCell ref="E1782:F1782"/>
    <mergeCell ref="E1943:F1943"/>
    <mergeCell ref="E1944:F1944"/>
    <mergeCell ref="E1992:F1992"/>
    <mergeCell ref="E1907:H1907"/>
    <mergeCell ref="E1412:H1412"/>
    <mergeCell ref="E1413:H1413"/>
    <mergeCell ref="E2297:H2297"/>
    <mergeCell ref="E2306:F2306"/>
    <mergeCell ref="E1726:F1726"/>
    <mergeCell ref="E1727:F1727"/>
    <mergeCell ref="E1728:F1728"/>
    <mergeCell ref="E1729:F1729"/>
    <mergeCell ref="E1730:F1730"/>
    <mergeCell ref="E2180:F2180"/>
    <mergeCell ref="E2181:F2181"/>
    <mergeCell ref="E2182:F2182"/>
    <mergeCell ref="E2183:F2183"/>
    <mergeCell ref="E2185:F2185"/>
    <mergeCell ref="E2186:F2186"/>
    <mergeCell ref="E2187:F2187"/>
    <mergeCell ref="E2188:F2188"/>
    <mergeCell ref="E2265:H2265"/>
    <mergeCell ref="E1475:F1475"/>
    <mergeCell ref="E1499:F1499"/>
    <mergeCell ref="E1500:F1500"/>
    <mergeCell ref="E546:F546"/>
    <mergeCell ref="E547:F547"/>
    <mergeCell ref="E548:F548"/>
    <mergeCell ref="E549:F549"/>
    <mergeCell ref="E550:F550"/>
    <mergeCell ref="E551:F551"/>
    <mergeCell ref="E552:F552"/>
    <mergeCell ref="E553:F553"/>
    <mergeCell ref="E564:H564"/>
    <mergeCell ref="E554:F554"/>
    <mergeCell ref="E555:F555"/>
    <mergeCell ref="E556:F556"/>
    <mergeCell ref="E557:F557"/>
    <mergeCell ref="E1076:H1076"/>
    <mergeCell ref="E1227:F1227"/>
    <mergeCell ref="E1099:H1099"/>
    <mergeCell ref="E1100:H1100"/>
    <mergeCell ref="E1101:H1101"/>
    <mergeCell ref="E1102:H1102"/>
    <mergeCell ref="E1103:H1103"/>
    <mergeCell ref="E1105:H1105"/>
    <mergeCell ref="E1169:H1169"/>
    <mergeCell ref="E1188:F1188"/>
    <mergeCell ref="E1189:F1189"/>
    <mergeCell ref="E1190:F1190"/>
    <mergeCell ref="E1191:F1191"/>
    <mergeCell ref="E1224:F1224"/>
    <mergeCell ref="E1226:F1226"/>
    <mergeCell ref="E1084:F1084"/>
    <mergeCell ref="E1085:F1085"/>
    <mergeCell ref="E1086:F1086"/>
    <mergeCell ref="E1087:F1087"/>
    <mergeCell ref="E1088:F1088"/>
    <mergeCell ref="E628:F628"/>
    <mergeCell ref="E629:F629"/>
    <mergeCell ref="E647:F647"/>
    <mergeCell ref="E648:F648"/>
    <mergeCell ref="E649:F649"/>
    <mergeCell ref="E650:F650"/>
    <mergeCell ref="E651:F651"/>
    <mergeCell ref="E652:F652"/>
    <mergeCell ref="E653:F653"/>
    <mergeCell ref="E654:F654"/>
    <mergeCell ref="E655:F655"/>
    <mergeCell ref="E656:F656"/>
    <mergeCell ref="E666:H666"/>
    <mergeCell ref="E667:H667"/>
    <mergeCell ref="E668:H668"/>
    <mergeCell ref="E669:H669"/>
    <mergeCell ref="E670:F670"/>
    <mergeCell ref="E671:F671"/>
    <mergeCell ref="E672:F672"/>
    <mergeCell ref="E673:F673"/>
    <mergeCell ref="E674:F674"/>
    <mergeCell ref="E706:F706"/>
    <mergeCell ref="E707:F707"/>
    <mergeCell ref="E708:F708"/>
    <mergeCell ref="E709:F709"/>
    <mergeCell ref="E675:F675"/>
    <mergeCell ref="E676:F676"/>
    <mergeCell ref="E692:H692"/>
    <mergeCell ref="E693:H693"/>
    <mergeCell ref="E694:F694"/>
    <mergeCell ref="E695:F695"/>
    <mergeCell ref="E1378:H1378"/>
    <mergeCell ref="E1379:H1379"/>
    <mergeCell ref="E1380:H1380"/>
    <mergeCell ref="E570:F570"/>
    <mergeCell ref="E642:H642"/>
    <mergeCell ref="E736:H736"/>
    <mergeCell ref="E645:F645"/>
    <mergeCell ref="E646:F646"/>
    <mergeCell ref="E679:F679"/>
    <mergeCell ref="E680:F680"/>
    <mergeCell ref="E681:F681"/>
    <mergeCell ref="E682:F682"/>
    <mergeCell ref="E683:F683"/>
    <mergeCell ref="E684:F684"/>
    <mergeCell ref="E685:F685"/>
    <mergeCell ref="E686:H686"/>
    <mergeCell ref="E687:H687"/>
    <mergeCell ref="E688:H688"/>
    <mergeCell ref="E571:F571"/>
    <mergeCell ref="E689:H689"/>
    <mergeCell ref="E690:H690"/>
    <mergeCell ref="E691:H691"/>
    <mergeCell ref="E1364:F1364"/>
    <mergeCell ref="E1366:F1366"/>
    <mergeCell ref="E176:F176"/>
    <mergeCell ref="E177:F177"/>
    <mergeCell ref="E178:F178"/>
    <mergeCell ref="E179:F179"/>
    <mergeCell ref="E180:F180"/>
    <mergeCell ref="E181:F181"/>
    <mergeCell ref="E182:F182"/>
    <mergeCell ref="E183:F183"/>
    <mergeCell ref="E185:H185"/>
    <mergeCell ref="E186:F186"/>
    <mergeCell ref="E187:F187"/>
    <mergeCell ref="E188:H188"/>
    <mergeCell ref="E189:H189"/>
    <mergeCell ref="E190:H190"/>
    <mergeCell ref="E191:H191"/>
    <mergeCell ref="E192:H192"/>
    <mergeCell ref="E194:H194"/>
    <mergeCell ref="E199:H199"/>
    <mergeCell ref="E200:H200"/>
    <mergeCell ref="E201:H201"/>
    <mergeCell ref="E203:H203"/>
    <mergeCell ref="E208:F208"/>
    <mergeCell ref="E209:F209"/>
    <mergeCell ref="E210:F210"/>
    <mergeCell ref="E211:F211"/>
    <mergeCell ref="E212:F212"/>
    <mergeCell ref="E213:F213"/>
    <mergeCell ref="E214:F214"/>
    <mergeCell ref="E215:F215"/>
    <mergeCell ref="E216:H216"/>
    <mergeCell ref="E217:F217"/>
    <mergeCell ref="E657:F657"/>
    <mergeCell ref="E658:F658"/>
    <mergeCell ref="E659:F659"/>
    <mergeCell ref="E660:F660"/>
    <mergeCell ref="E661:F661"/>
    <mergeCell ref="E662:H662"/>
    <mergeCell ref="E663:H663"/>
    <mergeCell ref="E664:H664"/>
    <mergeCell ref="E665:H665"/>
    <mergeCell ref="E218:F218"/>
    <mergeCell ref="E219:F219"/>
    <mergeCell ref="E220:F220"/>
    <mergeCell ref="E221:H221"/>
    <mergeCell ref="E222:H222"/>
    <mergeCell ref="E677:F677"/>
    <mergeCell ref="E678:F678"/>
    <mergeCell ref="E2:H2"/>
    <mergeCell ref="E3:H3"/>
    <mergeCell ref="E4:H4"/>
    <mergeCell ref="E5:H5"/>
    <mergeCell ref="E6:H6"/>
    <mergeCell ref="E7:H7"/>
    <mergeCell ref="E15:H15"/>
    <mergeCell ref="E392:F392"/>
    <mergeCell ref="E329:H329"/>
    <mergeCell ref="E8:H8"/>
    <mergeCell ref="E9:H9"/>
    <mergeCell ref="E13:H13"/>
    <mergeCell ref="E14:H14"/>
    <mergeCell ref="E630:F630"/>
    <mergeCell ref="E393:F393"/>
    <mergeCell ref="E394:F394"/>
    <mergeCell ref="E395:F395"/>
    <mergeCell ref="E204:H204"/>
    <mergeCell ref="E205:H205"/>
    <mergeCell ref="E206:H206"/>
    <mergeCell ref="E207:H207"/>
    <mergeCell ref="E248:H248"/>
    <mergeCell ref="E249:H249"/>
    <mergeCell ref="E365:F365"/>
    <mergeCell ref="E374:F374"/>
    <mergeCell ref="E328:H328"/>
    <mergeCell ref="E433:F433"/>
    <mergeCell ref="E412:F412"/>
    <mergeCell ref="E413:F413"/>
    <mergeCell ref="E631:F631"/>
    <mergeCell ref="E632:F632"/>
    <mergeCell ref="E633:F633"/>
    <mergeCell ref="E624:F624"/>
    <mergeCell ref="E625:F625"/>
    <mergeCell ref="E626:F626"/>
    <mergeCell ref="E627:F627"/>
    <mergeCell ref="E526:F526"/>
    <mergeCell ref="E527:F527"/>
    <mergeCell ref="E92:H92"/>
    <mergeCell ref="E93:H93"/>
    <mergeCell ref="E94:H94"/>
    <mergeCell ref="E169:H169"/>
    <mergeCell ref="E193:H193"/>
    <mergeCell ref="E195:H195"/>
    <mergeCell ref="E196:H196"/>
    <mergeCell ref="E197:H197"/>
    <mergeCell ref="E198:H198"/>
    <mergeCell ref="E202:H202"/>
    <mergeCell ref="E255:H255"/>
    <mergeCell ref="E272:H272"/>
    <mergeCell ref="E273:H273"/>
    <mergeCell ref="E542:F542"/>
    <mergeCell ref="E543:F543"/>
    <mergeCell ref="E520:F520"/>
    <mergeCell ref="E521:F521"/>
    <mergeCell ref="E522:F522"/>
    <mergeCell ref="E90:H90"/>
    <mergeCell ref="E10:H10"/>
    <mergeCell ref="E12:H12"/>
    <mergeCell ref="E6539:F6539"/>
    <mergeCell ref="E6516:F6516"/>
    <mergeCell ref="E6524:H6524"/>
    <mergeCell ref="E6525:H6525"/>
    <mergeCell ref="E6494:H6494"/>
    <mergeCell ref="E6495:H6495"/>
    <mergeCell ref="E6496:H6496"/>
    <mergeCell ref="E6497:H6497"/>
    <mergeCell ref="E3857:F3857"/>
    <mergeCell ref="E4101:H4101"/>
    <mergeCell ref="E11326:F11326"/>
    <mergeCell ref="E5958:H5958"/>
    <mergeCell ref="E5959:H5959"/>
    <mergeCell ref="E5981:F5981"/>
    <mergeCell ref="E5982:F5982"/>
    <mergeCell ref="E5943:F5943"/>
    <mergeCell ref="E5994:F5994"/>
    <mergeCell ref="E6025:H6025"/>
    <mergeCell ref="E6058:F6058"/>
    <mergeCell ref="E6001:F6001"/>
    <mergeCell ref="E6023:H6023"/>
    <mergeCell ref="E6024:H6024"/>
    <mergeCell ref="E5920:F5920"/>
    <mergeCell ref="E5934:H5934"/>
    <mergeCell ref="E5941:F5941"/>
    <mergeCell ref="E5942:F5942"/>
    <mergeCell ref="E6207:F6207"/>
    <mergeCell ref="E6146:F6146"/>
    <mergeCell ref="E6250:F6250"/>
    <mergeCell ref="E6264:F6264"/>
    <mergeCell ref="E6265:F6265"/>
    <mergeCell ref="E6261:F6261"/>
    <mergeCell ref="E6165:F6165"/>
    <mergeCell ref="E6167:F6167"/>
    <mergeCell ref="E6168:F6168"/>
    <mergeCell ref="E8641:F8641"/>
    <mergeCell ref="E8642:F8642"/>
    <mergeCell ref="E8669:H8669"/>
    <mergeCell ref="E8656:F8656"/>
    <mergeCell ref="E8657:F8657"/>
    <mergeCell ref="E8667:H8667"/>
    <mergeCell ref="E8668:H8668"/>
    <mergeCell ref="E6511:F6511"/>
    <mergeCell ref="E4405:F4405"/>
    <mergeCell ref="E4406:F4406"/>
    <mergeCell ref="E4407:F4407"/>
    <mergeCell ref="E4408:F4408"/>
    <mergeCell ref="E4409:F4409"/>
    <mergeCell ref="E4410:F4410"/>
    <mergeCell ref="E4411:F4411"/>
    <mergeCell ref="E4417:H4417"/>
    <mergeCell ref="E4420:H4420"/>
    <mergeCell ref="E4530:H4530"/>
    <mergeCell ref="E4543:F4543"/>
    <mergeCell ref="E4466:H4466"/>
    <mergeCell ref="E4568:H4568"/>
    <mergeCell ref="E4412:F4412"/>
    <mergeCell ref="E4418:F4418"/>
    <mergeCell ref="E4419:F4419"/>
    <mergeCell ref="E4426:H4426"/>
    <mergeCell ref="E4428:H4428"/>
    <mergeCell ref="E4429:H4429"/>
    <mergeCell ref="E6124:F6124"/>
    <mergeCell ref="E6364:H6364"/>
    <mergeCell ref="E6365:H6365"/>
    <mergeCell ref="E6366:H6366"/>
    <mergeCell ref="E6367:H6367"/>
    <mergeCell ref="E6362:H6362"/>
    <mergeCell ref="E6360:H6360"/>
    <mergeCell ref="E6361:H6361"/>
    <mergeCell ref="E6363:H6363"/>
    <mergeCell ref="E6355:G6355"/>
    <mergeCell ref="E6356:G6356"/>
    <mergeCell ref="E6357:H6357"/>
    <mergeCell ref="E6358:H6358"/>
    <mergeCell ref="E6359:H6359"/>
    <mergeCell ref="E6437:H6437"/>
    <mergeCell ref="E6438:H6438"/>
    <mergeCell ref="E6129:H6129"/>
    <mergeCell ref="E6131:H6131"/>
    <mergeCell ref="E6132:H6132"/>
    <mergeCell ref="E6133:H6133"/>
    <mergeCell ref="E6134:H6134"/>
    <mergeCell ref="E6135:F6135"/>
    <mergeCell ref="E6136:F6136"/>
    <mergeCell ref="E6137:F6137"/>
    <mergeCell ref="E6138:F6138"/>
    <mergeCell ref="E6139:F6139"/>
    <mergeCell ref="E6140:F6140"/>
    <mergeCell ref="E6141:F6141"/>
    <mergeCell ref="E6142:F6142"/>
    <mergeCell ref="E6152:F6152"/>
    <mergeCell ref="E6499:H6499"/>
    <mergeCell ref="E6153:H6153"/>
    <mergeCell ref="E6149:F6149"/>
    <mergeCell ref="E6150:F6150"/>
    <mergeCell ref="E6151:F6151"/>
    <mergeCell ref="E6154:H6154"/>
    <mergeCell ref="E6155:H6155"/>
    <mergeCell ref="E6156:H6156"/>
    <mergeCell ref="E6163:F6163"/>
    <mergeCell ref="E6164:F6164"/>
    <mergeCell ref="E6166:F6166"/>
    <mergeCell ref="E6259:F6259"/>
    <mergeCell ref="E6260:F6260"/>
    <mergeCell ref="E6266:H6266"/>
    <mergeCell ref="E6267:H6267"/>
    <mergeCell ref="E6268:H6268"/>
    <mergeCell ref="E6269:H6269"/>
    <mergeCell ref="E6271:H6271"/>
    <mergeCell ref="E6272:H6272"/>
    <mergeCell ref="E6273:H6273"/>
    <mergeCell ref="E6240:F6240"/>
    <mergeCell ref="E6241:F6241"/>
    <mergeCell ref="E6248:H6248"/>
    <mergeCell ref="E6251:F6251"/>
    <mergeCell ref="E6252:F6252"/>
    <mergeCell ref="E6270:H6270"/>
    <mergeCell ref="E6275:F6275"/>
    <mergeCell ref="E6276:F6276"/>
    <mergeCell ref="E6274:F6274"/>
    <mergeCell ref="E6262:F6262"/>
    <mergeCell ref="E6277:F6277"/>
    <mergeCell ref="E6278:F6278"/>
    <mergeCell ref="E6279:F6279"/>
    <mergeCell ref="E6280:F6280"/>
    <mergeCell ref="E4747:F4747"/>
    <mergeCell ref="E4748:F4748"/>
    <mergeCell ref="E4749:F4749"/>
    <mergeCell ref="E4750:F4750"/>
    <mergeCell ref="E6512:H6512"/>
    <mergeCell ref="E6517:H6517"/>
    <mergeCell ref="E6520:H6520"/>
    <mergeCell ref="E6526:F6526"/>
    <mergeCell ref="E6527:F6527"/>
    <mergeCell ref="E6528:F6528"/>
    <mergeCell ref="E6534:H6534"/>
    <mergeCell ref="E6538:H6538"/>
    <mergeCell ref="E6536:F6536"/>
    <mergeCell ref="E6521:H6521"/>
    <mergeCell ref="E6522:H6522"/>
    <mergeCell ref="E6523:H6523"/>
    <mergeCell ref="E6501:H6501"/>
    <mergeCell ref="E6502:H6502"/>
    <mergeCell ref="E6503:H6503"/>
    <mergeCell ref="E6504:H6504"/>
    <mergeCell ref="E6505:H6505"/>
    <mergeCell ref="E6506:H6506"/>
    <mergeCell ref="E6368:H6368"/>
    <mergeCell ref="E6370:H6370"/>
    <mergeCell ref="E6372:F6372"/>
    <mergeCell ref="E6180:F6180"/>
    <mergeCell ref="E6181:F6181"/>
    <mergeCell ref="E6197:F6197"/>
    <mergeCell ref="E6198:F6198"/>
    <mergeCell ref="E6199:F6199"/>
    <mergeCell ref="E6229:F6229"/>
    <mergeCell ref="E6230:F6230"/>
    <mergeCell ref="E6231:F6231"/>
    <mergeCell ref="E6232:F6232"/>
    <mergeCell ref="E6233:F6233"/>
    <mergeCell ref="E6234:F6234"/>
    <mergeCell ref="E6235:F6235"/>
    <mergeCell ref="E6236:F6236"/>
    <mergeCell ref="E6237:F6237"/>
    <mergeCell ref="E6238:F6238"/>
    <mergeCell ref="E6239:F6239"/>
    <mergeCell ref="E6242:H6242"/>
    <mergeCell ref="E6243:H6243"/>
    <mergeCell ref="E6244:H6244"/>
    <mergeCell ref="E6245:H6245"/>
    <mergeCell ref="E6246:H6246"/>
    <mergeCell ref="E6247:H6247"/>
    <mergeCell ref="E6249:H6249"/>
    <mergeCell ref="E6253:F6253"/>
    <mergeCell ref="E6254:F6254"/>
    <mergeCell ref="E6255:F6255"/>
    <mergeCell ref="E6256:F6256"/>
    <mergeCell ref="E6257:F6257"/>
    <mergeCell ref="E6258:F6258"/>
    <mergeCell ref="E6509:F6509"/>
    <mergeCell ref="E6510:F6510"/>
    <mergeCell ref="E6222:H6222"/>
    <mergeCell ref="E6263:F6263"/>
    <mergeCell ref="E4758:H4758"/>
    <mergeCell ref="E4759:H4759"/>
    <mergeCell ref="E4770:H4770"/>
    <mergeCell ref="E4771:H4771"/>
    <mergeCell ref="E4772:H4772"/>
    <mergeCell ref="E4773:H4773"/>
    <mergeCell ref="E7124:F7124"/>
    <mergeCell ref="E7125:F7125"/>
    <mergeCell ref="E7126:F7126"/>
    <mergeCell ref="E7137:F7137"/>
    <mergeCell ref="E7095:F7095"/>
    <mergeCell ref="E7096:F7096"/>
    <mergeCell ref="E7114:F7114"/>
    <mergeCell ref="E7115:F7115"/>
    <mergeCell ref="E6612:H6612"/>
    <mergeCell ref="E6613:H6613"/>
    <mergeCell ref="E6614:H6614"/>
    <mergeCell ref="E6615:H6615"/>
    <mergeCell ref="E6616:H6616"/>
    <mergeCell ref="E6623:F6623"/>
    <mergeCell ref="E6565:F6565"/>
    <mergeCell ref="E6540:H6540"/>
    <mergeCell ref="E6541:H6541"/>
    <mergeCell ref="E6546:F6546"/>
    <mergeCell ref="E6547:F6547"/>
    <mergeCell ref="E6548:F6548"/>
    <mergeCell ref="E6549:F6549"/>
    <mergeCell ref="E6537:F6537"/>
    <mergeCell ref="E6444:F6444"/>
    <mergeCell ref="E6447:F6447"/>
    <mergeCell ref="E6449:F6449"/>
    <mergeCell ref="E6445:F6445"/>
    <mergeCell ref="E6519:F6519"/>
    <mergeCell ref="E6531:F6531"/>
    <mergeCell ref="E6532:F6532"/>
    <mergeCell ref="E6533:F6533"/>
    <mergeCell ref="E6535:F6535"/>
    <mergeCell ref="E6542:H6542"/>
    <mergeCell ref="E6543:H6543"/>
    <mergeCell ref="E6544:H6544"/>
    <mergeCell ref="E6545:H6545"/>
    <mergeCell ref="E6550:F6550"/>
    <mergeCell ref="E6559:F6559"/>
    <mergeCell ref="E6560:F6560"/>
    <mergeCell ref="E6585:F6585"/>
    <mergeCell ref="E6586:F6586"/>
    <mergeCell ref="E6587:F6587"/>
    <mergeCell ref="E6584:F6584"/>
    <mergeCell ref="E6590:F6590"/>
    <mergeCell ref="E6566:F6566"/>
    <mergeCell ref="E6591:H6591"/>
    <mergeCell ref="E6592:H6592"/>
    <mergeCell ref="E6596:H6596"/>
    <mergeCell ref="E6597:H6597"/>
    <mergeCell ref="E6551:F6551"/>
    <mergeCell ref="E6554:F6554"/>
    <mergeCell ref="E6555:F6555"/>
    <mergeCell ref="E6556:F6556"/>
    <mergeCell ref="E6557:F6557"/>
    <mergeCell ref="E6558:F6558"/>
    <mergeCell ref="E6561:H6561"/>
    <mergeCell ref="E6562:H6562"/>
    <mergeCell ref="E6564:F6564"/>
    <mergeCell ref="E6567:H6567"/>
    <mergeCell ref="E6498:H6498"/>
    <mergeCell ref="E6920:F6920"/>
    <mergeCell ref="E6921:F6921"/>
    <mergeCell ref="E6922:F6922"/>
    <mergeCell ref="E6461:F6461"/>
    <mergeCell ref="E6462:F6462"/>
    <mergeCell ref="E7138:F7138"/>
    <mergeCell ref="E7139:F7139"/>
    <mergeCell ref="E7110:H7110"/>
    <mergeCell ref="E7111:H7111"/>
    <mergeCell ref="E7112:H7112"/>
    <mergeCell ref="E7116:F7116"/>
    <mergeCell ref="E7122:F7122"/>
    <mergeCell ref="E7117:F7117"/>
    <mergeCell ref="E7119:F7119"/>
    <mergeCell ref="E7120:F7120"/>
    <mergeCell ref="E7135:F7135"/>
    <mergeCell ref="E7102:H7102"/>
    <mergeCell ref="E6916:H6916"/>
    <mergeCell ref="E6917:H6917"/>
    <mergeCell ref="E6926:F6926"/>
    <mergeCell ref="E6927:F6927"/>
    <mergeCell ref="E6925:F6925"/>
    <mergeCell ref="E7105:F7105"/>
    <mergeCell ref="E7107:F7107"/>
    <mergeCell ref="E7108:F7108"/>
    <mergeCell ref="E7127:F7127"/>
    <mergeCell ref="E7128:F7128"/>
    <mergeCell ref="E7129:F7129"/>
    <mergeCell ref="E7171:H7171"/>
    <mergeCell ref="E7172:H7172"/>
    <mergeCell ref="E7173:H7173"/>
    <mergeCell ref="E7174:H7174"/>
    <mergeCell ref="E7175:H7175"/>
    <mergeCell ref="E7176:H7176"/>
    <mergeCell ref="E7177:H7177"/>
    <mergeCell ref="E7131:F7131"/>
    <mergeCell ref="E7132:F7132"/>
    <mergeCell ref="E7133:F7133"/>
    <mergeCell ref="E7134:F7134"/>
    <mergeCell ref="E7059:H7059"/>
    <mergeCell ref="E7060:H7060"/>
    <mergeCell ref="E7074:F7074"/>
    <mergeCell ref="E7084:H7084"/>
    <mergeCell ref="E7092:F7092"/>
    <mergeCell ref="E7093:F7093"/>
    <mergeCell ref="E7094:F7094"/>
    <mergeCell ref="E7104:H7104"/>
    <mergeCell ref="E7118:F7118"/>
    <mergeCell ref="E7123:F7123"/>
    <mergeCell ref="E7061:F7061"/>
    <mergeCell ref="E7062:F7062"/>
    <mergeCell ref="E7063:F7063"/>
    <mergeCell ref="E7064:F7064"/>
    <mergeCell ref="E7065:F7065"/>
    <mergeCell ref="E7066:F7066"/>
    <mergeCell ref="E7067:F7067"/>
    <mergeCell ref="E7068:F7068"/>
    <mergeCell ref="E7069:F7069"/>
    <mergeCell ref="E7089:F7089"/>
    <mergeCell ref="E7090:F7090"/>
    <mergeCell ref="E7091:F7091"/>
    <mergeCell ref="E7097:H7097"/>
    <mergeCell ref="E7098:H7098"/>
    <mergeCell ref="E7099:H7099"/>
    <mergeCell ref="E7100:H7100"/>
    <mergeCell ref="E7101:H7101"/>
    <mergeCell ref="E7121:F7121"/>
    <mergeCell ref="E6958:F6958"/>
    <mergeCell ref="E6959:F6959"/>
    <mergeCell ref="E696:F696"/>
    <mergeCell ref="E697:F697"/>
    <mergeCell ref="E698:F698"/>
    <mergeCell ref="E699:F699"/>
    <mergeCell ref="E700:F700"/>
    <mergeCell ref="E701:F701"/>
    <mergeCell ref="E702:F702"/>
    <mergeCell ref="E703:F703"/>
    <mergeCell ref="E704:F704"/>
    <mergeCell ref="E705:F705"/>
    <mergeCell ref="E854:F854"/>
    <mergeCell ref="E855:F855"/>
    <mergeCell ref="E713:H713"/>
    <mergeCell ref="E714:H714"/>
    <mergeCell ref="E715:H715"/>
    <mergeCell ref="E716:H716"/>
    <mergeCell ref="E717:H717"/>
    <mergeCell ref="E718:F718"/>
    <mergeCell ref="E719:F719"/>
    <mergeCell ref="E742:F742"/>
    <mergeCell ref="E744:F744"/>
    <mergeCell ref="E745:F745"/>
    <mergeCell ref="E747:H747"/>
    <mergeCell ref="E748:H748"/>
    <mergeCell ref="E749:H749"/>
    <mergeCell ref="E710:H710"/>
    <mergeCell ref="E711:H711"/>
    <mergeCell ref="E737:H737"/>
    <mergeCell ref="E738:H738"/>
    <mergeCell ref="E739:H739"/>
    <mergeCell ref="E740:H740"/>
    <mergeCell ref="E741:H741"/>
    <mergeCell ref="E751:F751"/>
    <mergeCell ref="E752:F752"/>
    <mergeCell ref="E753:F753"/>
    <mergeCell ref="E754:F754"/>
    <mergeCell ref="E755:F755"/>
    <mergeCell ref="E756:F756"/>
    <mergeCell ref="E757:F757"/>
    <mergeCell ref="E758:F758"/>
    <mergeCell ref="E759:F759"/>
    <mergeCell ref="E760:F760"/>
    <mergeCell ref="E761:F761"/>
    <mergeCell ref="E762:F762"/>
    <mergeCell ref="E763:F763"/>
    <mergeCell ref="E764:F764"/>
    <mergeCell ref="E765:F765"/>
    <mergeCell ref="E766:F766"/>
    <mergeCell ref="E768:F768"/>
    <mergeCell ref="E769:F769"/>
    <mergeCell ref="E770:F770"/>
    <mergeCell ref="E771:F771"/>
    <mergeCell ref="E724:F724"/>
    <mergeCell ref="E725:F725"/>
    <mergeCell ref="E726:F726"/>
    <mergeCell ref="E727:F727"/>
    <mergeCell ref="E728:F728"/>
    <mergeCell ref="E730:F730"/>
    <mergeCell ref="E731:F731"/>
    <mergeCell ref="E732:F732"/>
    <mergeCell ref="E733:F733"/>
    <mergeCell ref="E734:H734"/>
    <mergeCell ref="E735:H735"/>
    <mergeCell ref="E712:H712"/>
    <mergeCell ref="E879:F879"/>
    <mergeCell ref="E880:F880"/>
    <mergeCell ref="E881:F881"/>
    <mergeCell ref="E882:F882"/>
    <mergeCell ref="E883:F883"/>
    <mergeCell ref="E884:H884"/>
    <mergeCell ref="E885:H885"/>
    <mergeCell ref="E886:H886"/>
    <mergeCell ref="E892:F892"/>
    <mergeCell ref="E893:F893"/>
    <mergeCell ref="E894:F894"/>
    <mergeCell ref="E895:F895"/>
    <mergeCell ref="E896:F896"/>
    <mergeCell ref="E897:F897"/>
    <mergeCell ref="E898:F898"/>
    <mergeCell ref="E899:F899"/>
    <mergeCell ref="E900:F900"/>
    <mergeCell ref="E901:F901"/>
    <mergeCell ref="E891:H891"/>
    <mergeCell ref="E888:H888"/>
    <mergeCell ref="E889:H889"/>
    <mergeCell ref="E890:H890"/>
    <mergeCell ref="E887:H887"/>
    <mergeCell ref="E1015:F1015"/>
    <mergeCell ref="E1016:F1016"/>
    <mergeCell ref="E902:F902"/>
    <mergeCell ref="E903:F903"/>
    <mergeCell ref="E904:F904"/>
    <mergeCell ref="E905:H905"/>
    <mergeCell ref="E906:H906"/>
    <mergeCell ref="E907:H907"/>
    <mergeCell ref="E908:H908"/>
    <mergeCell ref="E909:H909"/>
    <mergeCell ref="E910:H910"/>
    <mergeCell ref="E911:H911"/>
    <mergeCell ref="E912:H912"/>
    <mergeCell ref="E913:F913"/>
    <mergeCell ref="E915:F915"/>
    <mergeCell ref="E916:F916"/>
    <mergeCell ref="E918:H918"/>
    <mergeCell ref="E919:H919"/>
    <mergeCell ref="E920:H920"/>
    <mergeCell ref="E922:F922"/>
    <mergeCell ref="E923:F923"/>
    <mergeCell ref="E924:F924"/>
    <mergeCell ref="E925:F925"/>
    <mergeCell ref="E926:F926"/>
    <mergeCell ref="E927:F927"/>
    <mergeCell ref="E928:F928"/>
    <mergeCell ref="E929:F929"/>
    <mergeCell ref="E930:F930"/>
    <mergeCell ref="E931:F931"/>
    <mergeCell ref="E932:F932"/>
    <mergeCell ref="E933:F933"/>
    <mergeCell ref="E934:F934"/>
    <mergeCell ref="E935:F935"/>
    <mergeCell ref="E936:F936"/>
    <mergeCell ref="E937:F937"/>
    <mergeCell ref="E939:F939"/>
    <mergeCell ref="E940:F940"/>
    <mergeCell ref="E941:F941"/>
    <mergeCell ref="E942:F942"/>
    <mergeCell ref="E943:F943"/>
    <mergeCell ref="E945:F945"/>
    <mergeCell ref="E1192:H1192"/>
    <mergeCell ref="E1193:H1193"/>
    <mergeCell ref="E1194:H1194"/>
    <mergeCell ref="E1195:H1195"/>
    <mergeCell ref="E1196:H1196"/>
    <mergeCell ref="E1197:H1197"/>
    <mergeCell ref="E1198:H1198"/>
    <mergeCell ref="E1199:H1199"/>
    <mergeCell ref="E1210:F1210"/>
    <mergeCell ref="E1211:F1211"/>
    <mergeCell ref="E1212:F1212"/>
    <mergeCell ref="E1213:F1213"/>
    <mergeCell ref="E1200:F1200"/>
    <mergeCell ref="E1202:F1202"/>
    <mergeCell ref="E1203:F1203"/>
    <mergeCell ref="E1231:F1231"/>
    <mergeCell ref="E1232:F1232"/>
    <mergeCell ref="E1233:F1233"/>
    <mergeCell ref="E1234:F1234"/>
    <mergeCell ref="E1235:F1235"/>
    <mergeCell ref="E1236:F1236"/>
    <mergeCell ref="E1241:H1241"/>
    <mergeCell ref="E1242:H1242"/>
    <mergeCell ref="E1239:H1239"/>
    <mergeCell ref="E1240:H1240"/>
    <mergeCell ref="E1225:F1225"/>
    <mergeCell ref="E1229:F1229"/>
    <mergeCell ref="E1230:F1230"/>
    <mergeCell ref="E1218:H1218"/>
    <mergeCell ref="E1219:H1219"/>
    <mergeCell ref="E1220:H1220"/>
    <mergeCell ref="E1221:H1221"/>
    <mergeCell ref="E1222:H1222"/>
    <mergeCell ref="E1223:H1223"/>
    <mergeCell ref="E1228:F1228"/>
    <mergeCell ref="E1237:F1237"/>
    <mergeCell ref="E1238:F1238"/>
    <mergeCell ref="E1243:H1243"/>
    <mergeCell ref="E1244:H1244"/>
    <mergeCell ref="E1245:H1245"/>
    <mergeCell ref="E1246:H1246"/>
    <mergeCell ref="E1256:F1256"/>
    <mergeCell ref="E1257:F1257"/>
    <mergeCell ref="E1258:F1258"/>
    <mergeCell ref="E1259:F1259"/>
    <mergeCell ref="E1260:H1260"/>
    <mergeCell ref="E1261:H1261"/>
    <mergeCell ref="E1262:H1262"/>
    <mergeCell ref="E1268:F1268"/>
    <mergeCell ref="E1269:F1269"/>
    <mergeCell ref="E1270:F1270"/>
    <mergeCell ref="E1271:F1271"/>
    <mergeCell ref="E1272:F1272"/>
    <mergeCell ref="E1273:F1273"/>
    <mergeCell ref="E1274:F1274"/>
    <mergeCell ref="E1275:F1275"/>
    <mergeCell ref="E1276:F1276"/>
    <mergeCell ref="E1277:F1277"/>
    <mergeCell ref="E1281:H1281"/>
    <mergeCell ref="E1282:H1282"/>
    <mergeCell ref="E1283:H1283"/>
    <mergeCell ref="E1284:H1284"/>
    <mergeCell ref="E1285:H1285"/>
    <mergeCell ref="E1286:H1286"/>
    <mergeCell ref="E1287:H1287"/>
    <mergeCell ref="E1265:H1265"/>
    <mergeCell ref="E1381:H1381"/>
    <mergeCell ref="E1382:H1382"/>
    <mergeCell ref="E1312:H1312"/>
    <mergeCell ref="E1313:H1313"/>
    <mergeCell ref="E1318:F1318"/>
    <mergeCell ref="E1319:F1319"/>
    <mergeCell ref="E1320:F1320"/>
    <mergeCell ref="E1321:F1321"/>
    <mergeCell ref="E1331:H1331"/>
    <mergeCell ref="E1332:H1332"/>
    <mergeCell ref="E1333:H1333"/>
    <mergeCell ref="E1334:H1334"/>
    <mergeCell ref="E1335:H1335"/>
    <mergeCell ref="E1339:F1339"/>
    <mergeCell ref="E1341:F1341"/>
    <mergeCell ref="E1342:F1342"/>
    <mergeCell ref="E1344:H1344"/>
    <mergeCell ref="E1345:H1345"/>
    <mergeCell ref="E1289:F1289"/>
    <mergeCell ref="E1293:H1293"/>
    <mergeCell ref="E1294:H1294"/>
    <mergeCell ref="E1255:F1255"/>
    <mergeCell ref="E1266:H1266"/>
    <mergeCell ref="E1248:F1248"/>
    <mergeCell ref="E1249:F1249"/>
    <mergeCell ref="E1252:F1252"/>
    <mergeCell ref="E1253:F1253"/>
    <mergeCell ref="E1288:H1288"/>
    <mergeCell ref="E1290:H1290"/>
    <mergeCell ref="E1247:F1247"/>
    <mergeCell ref="E1250:F1250"/>
    <mergeCell ref="E1251:F1251"/>
    <mergeCell ref="E1263:H1263"/>
    <mergeCell ref="E1264:H1264"/>
    <mergeCell ref="E1291:H1291"/>
    <mergeCell ref="E1292:H1292"/>
    <mergeCell ref="E1367:F1367"/>
    <mergeCell ref="E1373:F1373"/>
    <mergeCell ref="E1374:F1374"/>
    <mergeCell ref="E1375:F1375"/>
    <mergeCell ref="E1376:F1376"/>
    <mergeCell ref="E1328:F1328"/>
    <mergeCell ref="E1329:F1329"/>
    <mergeCell ref="E1330:F1330"/>
    <mergeCell ref="E1351:F1351"/>
    <mergeCell ref="E1352:F1352"/>
    <mergeCell ref="E1353:F1353"/>
    <mergeCell ref="E1354:F1354"/>
    <mergeCell ref="E1355:F1355"/>
    <mergeCell ref="E1348:F1348"/>
    <mergeCell ref="E1349:F1349"/>
    <mergeCell ref="E1350:F1350"/>
    <mergeCell ref="E1317:H1317"/>
    <mergeCell ref="E1362:F1362"/>
    <mergeCell ref="E1365:F1365"/>
    <mergeCell ref="E1368:F1368"/>
    <mergeCell ref="E1370:F1370"/>
    <mergeCell ref="E1371:F1371"/>
    <mergeCell ref="E1372:F1372"/>
    <mergeCell ref="E1474:F1474"/>
    <mergeCell ref="E1388:F1388"/>
    <mergeCell ref="E1390:F1390"/>
    <mergeCell ref="E1391:F1391"/>
    <mergeCell ref="E1385:F1385"/>
    <mergeCell ref="E1386:F1386"/>
    <mergeCell ref="E1383:F1383"/>
    <mergeCell ref="E1254:F1254"/>
    <mergeCell ref="E1267:H1267"/>
    <mergeCell ref="E1278:F1278"/>
    <mergeCell ref="E1279:F1279"/>
    <mergeCell ref="E1280:F1280"/>
    <mergeCell ref="E1389:F1389"/>
    <mergeCell ref="E1398:H1398"/>
    <mergeCell ref="E1431:H1431"/>
    <mergeCell ref="E1434:H1434"/>
    <mergeCell ref="E1435:H1435"/>
    <mergeCell ref="E1417:F1417"/>
    <mergeCell ref="E1418:F1418"/>
    <mergeCell ref="E1419:F1419"/>
    <mergeCell ref="E1429:F1429"/>
    <mergeCell ref="E1426:F1426"/>
    <mergeCell ref="E1420:F1420"/>
    <mergeCell ref="E1421:F1421"/>
    <mergeCell ref="E1449:F1449"/>
    <mergeCell ref="E1450:F1450"/>
    <mergeCell ref="E1451:F1451"/>
    <mergeCell ref="E1440:F1440"/>
    <mergeCell ref="E1441:F1441"/>
    <mergeCell ref="E1442:F1442"/>
    <mergeCell ref="E1443:F1443"/>
    <mergeCell ref="E1444:F1444"/>
    <mergeCell ref="E1437:H1437"/>
    <mergeCell ref="E1448:F1448"/>
    <mergeCell ref="E1445:F1445"/>
    <mergeCell ref="E1446:F1446"/>
    <mergeCell ref="E1447:F1447"/>
    <mergeCell ref="E1463:H1463"/>
    <mergeCell ref="E1471:F1471"/>
    <mergeCell ref="E1472:F1472"/>
    <mergeCell ref="E1635:F1635"/>
    <mergeCell ref="E1636:F1636"/>
    <mergeCell ref="E1637:F1637"/>
    <mergeCell ref="E1623:H1623"/>
    <mergeCell ref="E1630:F1630"/>
    <mergeCell ref="E1632:F1632"/>
    <mergeCell ref="E1643:H1643"/>
    <mergeCell ref="E1644:H1644"/>
    <mergeCell ref="E1868:F1868"/>
    <mergeCell ref="E1874:F1874"/>
    <mergeCell ref="E1876:F1876"/>
    <mergeCell ref="E1879:H1879"/>
    <mergeCell ref="E1880:H1880"/>
    <mergeCell ref="E1836:H1836"/>
    <mergeCell ref="E1837:H1837"/>
    <mergeCell ref="E1845:F1845"/>
    <mergeCell ref="E1735:F1735"/>
    <mergeCell ref="E1747:F1747"/>
    <mergeCell ref="E2066:F2066"/>
    <mergeCell ref="E2079:H2079"/>
    <mergeCell ref="E2082:F2082"/>
    <mergeCell ref="E2064:H2064"/>
    <mergeCell ref="E2067:F2067"/>
    <mergeCell ref="E2068:F2068"/>
    <mergeCell ref="E2069:F2069"/>
    <mergeCell ref="E2070:F2070"/>
    <mergeCell ref="E2071:F2071"/>
    <mergeCell ref="E2072:F2072"/>
    <mergeCell ref="E2073:F2073"/>
    <mergeCell ref="E2074:F2074"/>
    <mergeCell ref="E2075:F2075"/>
    <mergeCell ref="E2076:F2076"/>
    <mergeCell ref="E2077:F2077"/>
    <mergeCell ref="E2080:F2080"/>
    <mergeCell ref="E2081:F2081"/>
    <mergeCell ref="E2014:H2014"/>
    <mergeCell ref="E2063:H2063"/>
    <mergeCell ref="E1995:H1995"/>
    <mergeCell ref="E1996:H1996"/>
    <mergeCell ref="E1997:H1997"/>
    <mergeCell ref="E1998:H1998"/>
    <mergeCell ref="E1999:H1999"/>
    <mergeCell ref="E2000:H2000"/>
    <mergeCell ref="E2001:H2001"/>
    <mergeCell ref="E2008:F2008"/>
    <mergeCell ref="E2009:F2009"/>
    <mergeCell ref="E2010:F2010"/>
    <mergeCell ref="E2018:H2018"/>
    <mergeCell ref="E2033:F2033"/>
    <mergeCell ref="E2015:H2015"/>
    <mergeCell ref="E2016:H2016"/>
    <mergeCell ref="E2017:H2017"/>
    <mergeCell ref="E2022:F2022"/>
    <mergeCell ref="E2024:F2024"/>
    <mergeCell ref="E2025:F2025"/>
    <mergeCell ref="E2031:F2031"/>
    <mergeCell ref="E2032:F2032"/>
    <mergeCell ref="E2042:F2042"/>
    <mergeCell ref="E2045:F2045"/>
    <mergeCell ref="E2046:F2046"/>
    <mergeCell ref="E2047:F2047"/>
    <mergeCell ref="E2049:F2049"/>
    <mergeCell ref="E2050:F2050"/>
    <mergeCell ref="E2051:F2051"/>
    <mergeCell ref="E1821:H1821"/>
    <mergeCell ref="E1842:F1842"/>
    <mergeCell ref="E1827:H1827"/>
    <mergeCell ref="E1900:F1900"/>
    <mergeCell ref="E1810:F1810"/>
    <mergeCell ref="E1811:F1811"/>
    <mergeCell ref="E1790:F1790"/>
    <mergeCell ref="E1792:F1792"/>
    <mergeCell ref="E1809:F1809"/>
    <mergeCell ref="E1793:F1793"/>
    <mergeCell ref="E1801:H1801"/>
    <mergeCell ref="E1812:F1812"/>
    <mergeCell ref="E1813:F1813"/>
    <mergeCell ref="E1814:F1814"/>
    <mergeCell ref="E1778:F1778"/>
    <mergeCell ref="E1779:F1779"/>
    <mergeCell ref="E1780:F1780"/>
    <mergeCell ref="E1706:F1706"/>
    <mergeCell ref="E1707:F1707"/>
    <mergeCell ref="E1708:F1708"/>
    <mergeCell ref="E1709:F1709"/>
    <mergeCell ref="E1710:F1710"/>
    <mergeCell ref="E1711:F1711"/>
    <mergeCell ref="E1716:H1716"/>
    <mergeCell ref="E1717:H1717"/>
    <mergeCell ref="E1718:H1718"/>
    <mergeCell ref="E1719:H1719"/>
    <mergeCell ref="E1720:H1720"/>
    <mergeCell ref="E1721:H1721"/>
    <mergeCell ref="E1722:H1722"/>
    <mergeCell ref="E1723:H1723"/>
    <mergeCell ref="E1731:F1731"/>
    <mergeCell ref="E1732:F1732"/>
    <mergeCell ref="E1733:F1733"/>
    <mergeCell ref="E1736:H1736"/>
    <mergeCell ref="E1737:H1737"/>
    <mergeCell ref="E1714:F1714"/>
    <mergeCell ref="E1715:F1715"/>
    <mergeCell ref="E1724:F1724"/>
    <mergeCell ref="E1886:H1886"/>
    <mergeCell ref="E1898:F1898"/>
    <mergeCell ref="E1869:F1869"/>
    <mergeCell ref="E1870:F1870"/>
    <mergeCell ref="E1871:F1871"/>
    <mergeCell ref="E1872:F1872"/>
    <mergeCell ref="E1873:F1873"/>
    <mergeCell ref="E1815:F1815"/>
    <mergeCell ref="E1816:F1816"/>
    <mergeCell ref="E1817:F1817"/>
    <mergeCell ref="E1818:F1818"/>
    <mergeCell ref="E1819:F1819"/>
    <mergeCell ref="E1822:F1822"/>
    <mergeCell ref="E1832:H1832"/>
    <mergeCell ref="E1833:H1833"/>
    <mergeCell ref="E1834:H1834"/>
    <mergeCell ref="E1835:H1835"/>
    <mergeCell ref="E1844:F1844"/>
    <mergeCell ref="E1861:F1861"/>
    <mergeCell ref="E1823:F1823"/>
    <mergeCell ref="E1828:H1828"/>
    <mergeCell ref="E1829:H1829"/>
    <mergeCell ref="E1830:H1830"/>
    <mergeCell ref="E1831:H1831"/>
    <mergeCell ref="E1840:F1840"/>
    <mergeCell ref="E1841:F1841"/>
    <mergeCell ref="E1867:F1867"/>
    <mergeCell ref="E1697:H1697"/>
    <mergeCell ref="E1702:F1702"/>
    <mergeCell ref="E1881:H1881"/>
    <mergeCell ref="E1889:F1889"/>
    <mergeCell ref="E1892:F1892"/>
    <mergeCell ref="E1937:H1937"/>
    <mergeCell ref="E1887:F1887"/>
    <mergeCell ref="E1888:F1888"/>
    <mergeCell ref="E1933:H1933"/>
    <mergeCell ref="E1934:H1934"/>
    <mergeCell ref="E2002:F2002"/>
    <mergeCell ref="E2003:F2003"/>
    <mergeCell ref="E2004:F2004"/>
    <mergeCell ref="E2005:F2005"/>
    <mergeCell ref="E2377:F2377"/>
    <mergeCell ref="E2378:F2378"/>
    <mergeCell ref="E2352:F2352"/>
    <mergeCell ref="E2362:F2362"/>
    <mergeCell ref="E2365:H2365"/>
    <mergeCell ref="E2366:H2366"/>
    <mergeCell ref="E2367:H2367"/>
    <mergeCell ref="E2368:H2368"/>
    <mergeCell ref="E2369:H2369"/>
    <mergeCell ref="E2353:F2353"/>
    <mergeCell ref="E2354:F2354"/>
    <mergeCell ref="E2355:F2355"/>
    <mergeCell ref="E2356:F2356"/>
    <mergeCell ref="E2357:F2357"/>
    <mergeCell ref="E2358:F2358"/>
    <mergeCell ref="E2359:F2359"/>
    <mergeCell ref="E2360:F2360"/>
    <mergeCell ref="E2361:F2361"/>
    <mergeCell ref="E2363:F2363"/>
    <mergeCell ref="E2364:F2364"/>
    <mergeCell ref="E2251:F2251"/>
    <mergeCell ref="E2260:F2260"/>
    <mergeCell ref="E2262:F2262"/>
    <mergeCell ref="E2370:H2370"/>
    <mergeCell ref="E2248:F2248"/>
    <mergeCell ref="E2249:F2249"/>
    <mergeCell ref="E2250:F2250"/>
    <mergeCell ref="E2252:H2252"/>
    <mergeCell ref="E2253:H2253"/>
    <mergeCell ref="E2254:H2254"/>
    <mergeCell ref="E2255:H2255"/>
    <mergeCell ref="E2256:H2256"/>
    <mergeCell ref="E2257:H2257"/>
    <mergeCell ref="E2258:H2258"/>
    <mergeCell ref="E2259:H2259"/>
    <mergeCell ref="E2263:F2263"/>
    <mergeCell ref="E2019:H2019"/>
    <mergeCell ref="E2020:H2020"/>
    <mergeCell ref="E2021:H2021"/>
    <mergeCell ref="E2035:F2035"/>
    <mergeCell ref="E2036:F2036"/>
    <mergeCell ref="E2037:F2037"/>
    <mergeCell ref="E2038:F2038"/>
    <mergeCell ref="E2039:F2039"/>
    <mergeCell ref="E2034:F2034"/>
    <mergeCell ref="E2040:F2040"/>
    <mergeCell ref="E2041:F2041"/>
    <mergeCell ref="E2027:H2027"/>
    <mergeCell ref="E2029:H2029"/>
    <mergeCell ref="E2268:H2268"/>
    <mergeCell ref="E2271:F2271"/>
    <mergeCell ref="E2272:F2272"/>
    <mergeCell ref="E3015:F3015"/>
    <mergeCell ref="E3016:F3016"/>
    <mergeCell ref="E3026:H3026"/>
    <mergeCell ref="E3141:F3141"/>
    <mergeCell ref="E2389:F2389"/>
    <mergeCell ref="E2421:F2421"/>
    <mergeCell ref="E2438:F2438"/>
    <mergeCell ref="E2439:F2439"/>
    <mergeCell ref="E2441:F2441"/>
    <mergeCell ref="E2442:F2442"/>
    <mergeCell ref="E2445:H2445"/>
    <mergeCell ref="E2446:H2446"/>
    <mergeCell ref="E2447:H2447"/>
    <mergeCell ref="E2448:H2448"/>
    <mergeCell ref="E2449:H2449"/>
    <mergeCell ref="E2450:H2450"/>
    <mergeCell ref="E2462:F2462"/>
    <mergeCell ref="E2463:F2463"/>
    <mergeCell ref="E2464:F2464"/>
    <mergeCell ref="E2465:F2465"/>
    <mergeCell ref="E2419:F2419"/>
    <mergeCell ref="E2420:F2420"/>
    <mergeCell ref="E2397:H2397"/>
    <mergeCell ref="E2390:H2390"/>
    <mergeCell ref="E2392:H2392"/>
    <mergeCell ref="E2393:H2393"/>
    <mergeCell ref="E2394:H2394"/>
    <mergeCell ref="E2395:H2395"/>
    <mergeCell ref="E2398:F2398"/>
    <mergeCell ref="E2399:F2399"/>
    <mergeCell ref="E2400:F2400"/>
    <mergeCell ref="E2414:H2414"/>
    <mergeCell ref="E2415:H2415"/>
    <mergeCell ref="E2416:H2416"/>
    <mergeCell ref="E2417:H2417"/>
    <mergeCell ref="E2617:H2617"/>
    <mergeCell ref="E2624:H2624"/>
    <mergeCell ref="E2577:F2577"/>
    <mergeCell ref="E2587:F2587"/>
    <mergeCell ref="E2609:F2609"/>
    <mergeCell ref="E2575:F2575"/>
    <mergeCell ref="E2576:F2576"/>
    <mergeCell ref="E2579:H2579"/>
    <mergeCell ref="E2580:H2580"/>
    <mergeCell ref="E2595:F2595"/>
    <mergeCell ref="E2596:F2596"/>
    <mergeCell ref="E2597:F2597"/>
    <mergeCell ref="E2606:F2606"/>
    <mergeCell ref="E2607:F2607"/>
    <mergeCell ref="E2618:H2618"/>
    <mergeCell ref="E2619:H2619"/>
    <mergeCell ref="E2581:H2581"/>
    <mergeCell ref="E2792:H2792"/>
    <mergeCell ref="E3092:H3092"/>
    <mergeCell ref="E3107:F3107"/>
    <mergeCell ref="E3033:F3033"/>
    <mergeCell ref="E2726:H2726"/>
    <mergeCell ref="E3024:H3024"/>
    <mergeCell ref="E3025:H3025"/>
    <mergeCell ref="E2622:H2622"/>
    <mergeCell ref="E2623:H2623"/>
    <mergeCell ref="E3400:F3400"/>
    <mergeCell ref="E3401:F3401"/>
    <mergeCell ref="E3402:F3402"/>
    <mergeCell ref="E3403:F3403"/>
    <mergeCell ref="E3404:F3404"/>
    <mergeCell ref="E3405:F3405"/>
    <mergeCell ref="E3426:F3426"/>
    <mergeCell ref="E3427:F3427"/>
    <mergeCell ref="E3428:F3428"/>
    <mergeCell ref="E3429:F3429"/>
    <mergeCell ref="E3430:F3430"/>
    <mergeCell ref="E3406:F3406"/>
    <mergeCell ref="E3305:F3305"/>
    <mergeCell ref="E3306:F3306"/>
    <mergeCell ref="E3310:H3310"/>
    <mergeCell ref="E3315:H3315"/>
    <mergeCell ref="E3316:H3316"/>
    <mergeCell ref="E3317:H3317"/>
    <mergeCell ref="E3318:H3318"/>
    <mergeCell ref="E3407:F3407"/>
    <mergeCell ref="E2270:F2270"/>
    <mergeCell ref="E2284:F2284"/>
    <mergeCell ref="E2285:F2285"/>
    <mergeCell ref="E2286:F2286"/>
    <mergeCell ref="E2287:F2287"/>
    <mergeCell ref="E2288:F2288"/>
    <mergeCell ref="E2289:F2289"/>
    <mergeCell ref="E2290:F2290"/>
    <mergeCell ref="E2292:H2292"/>
    <mergeCell ref="E2293:H2293"/>
    <mergeCell ref="E2294:H2294"/>
    <mergeCell ref="E2307:F2307"/>
    <mergeCell ref="E2308:F2308"/>
    <mergeCell ref="E2309:F2309"/>
    <mergeCell ref="E2310:F2310"/>
    <mergeCell ref="E2295:H2295"/>
    <mergeCell ref="E2296:H2296"/>
    <mergeCell ref="E2582:H2582"/>
    <mergeCell ref="E2583:H2583"/>
    <mergeCell ref="E2584:H2584"/>
    <mergeCell ref="E2585:H2585"/>
    <mergeCell ref="E2548:F2548"/>
    <mergeCell ref="E2549:F2549"/>
    <mergeCell ref="E2550:F2550"/>
    <mergeCell ref="E2551:F2551"/>
    <mergeCell ref="E2555:F2555"/>
    <mergeCell ref="E2556:F2556"/>
    <mergeCell ref="E2557:F2557"/>
    <mergeCell ref="E2568:F2568"/>
    <mergeCell ref="E2569:F2569"/>
    <mergeCell ref="E2570:F2570"/>
    <mergeCell ref="E2539:H2539"/>
    <mergeCell ref="E2540:H2540"/>
    <mergeCell ref="E2541:H2541"/>
    <mergeCell ref="E2542:H2542"/>
    <mergeCell ref="E3154:H3154"/>
    <mergeCell ref="E3155:H3155"/>
    <mergeCell ref="E3020:H3020"/>
    <mergeCell ref="E3021:H3021"/>
    <mergeCell ref="E3022:H3022"/>
    <mergeCell ref="E3156:H3156"/>
    <mergeCell ref="E3157:H3157"/>
    <mergeCell ref="E3143:F3143"/>
    <mergeCell ref="E2938:F2938"/>
    <mergeCell ref="E2939:F2939"/>
    <mergeCell ref="E2944:H2944"/>
    <mergeCell ref="E2945:H2945"/>
    <mergeCell ref="E2946:H2946"/>
    <mergeCell ref="E2947:H2947"/>
    <mergeCell ref="E3119:F3119"/>
    <mergeCell ref="E3120:F3120"/>
    <mergeCell ref="E3121:F3121"/>
    <mergeCell ref="E2919:H2919"/>
    <mergeCell ref="E2920:H2920"/>
    <mergeCell ref="E2979:F2979"/>
    <mergeCell ref="E3080:F3080"/>
    <mergeCell ref="E3081:F3081"/>
    <mergeCell ref="E3103:F3103"/>
    <mergeCell ref="E3047:F3047"/>
    <mergeCell ref="E3048:F3048"/>
    <mergeCell ref="E3049:F3049"/>
    <mergeCell ref="E3064:H3064"/>
    <mergeCell ref="E3070:F3070"/>
    <mergeCell ref="E3071:F3071"/>
    <mergeCell ref="E3072:F3072"/>
    <mergeCell ref="E3073:F3073"/>
    <mergeCell ref="E3074:F3074"/>
    <mergeCell ref="E3075:F3075"/>
    <mergeCell ref="E3076:F3076"/>
    <mergeCell ref="E3077:F3077"/>
    <mergeCell ref="E3086:H3086"/>
    <mergeCell ref="E3030:F3030"/>
    <mergeCell ref="E3031:F3031"/>
    <mergeCell ref="E3050:F3050"/>
    <mergeCell ref="E3164:F3164"/>
    <mergeCell ref="E3165:F3165"/>
    <mergeCell ref="E3163:F3163"/>
    <mergeCell ref="E3153:H3153"/>
    <mergeCell ref="E3008:F3008"/>
    <mergeCell ref="E3144:F3144"/>
    <mergeCell ref="E3036:F3036"/>
    <mergeCell ref="E3038:H3038"/>
    <mergeCell ref="E3039:H3039"/>
    <mergeCell ref="E2937:F2937"/>
    <mergeCell ref="E2922:H2922"/>
    <mergeCell ref="E2923:H2923"/>
    <mergeCell ref="E2924:H2924"/>
    <mergeCell ref="E2925:H2925"/>
    <mergeCell ref="E2926:H2926"/>
    <mergeCell ref="E2933:F2933"/>
    <mergeCell ref="E2929:F2929"/>
    <mergeCell ref="E2927:H2927"/>
    <mergeCell ref="E2928:H2928"/>
    <mergeCell ref="E3003:H3003"/>
    <mergeCell ref="E3004:H3004"/>
    <mergeCell ref="E3005:H3005"/>
    <mergeCell ref="E3006:H3006"/>
    <mergeCell ref="E2941:H2941"/>
    <mergeCell ref="E2942:H2942"/>
    <mergeCell ref="E2943:H2943"/>
    <mergeCell ref="E2949:F2949"/>
    <mergeCell ref="E2950:F2950"/>
    <mergeCell ref="E2951:F2951"/>
    <mergeCell ref="E2989:F2989"/>
    <mergeCell ref="E2990:F2990"/>
    <mergeCell ref="E2991:F2991"/>
    <mergeCell ref="E2992:F2992"/>
    <mergeCell ref="E2718:F2718"/>
    <mergeCell ref="E2719:F2719"/>
    <mergeCell ref="E2720:F2720"/>
    <mergeCell ref="E2721:F2721"/>
    <mergeCell ref="E2940:H2940"/>
    <mergeCell ref="E2948:F2948"/>
    <mergeCell ref="E2960:H2960"/>
    <mergeCell ref="E2961:H2961"/>
    <mergeCell ref="E2962:H2962"/>
    <mergeCell ref="E3017:F3017"/>
    <mergeCell ref="E3018:F3018"/>
    <mergeCell ref="E3014:F3014"/>
    <mergeCell ref="E3028:F3028"/>
    <mergeCell ref="E3037:F3037"/>
    <mergeCell ref="E3034:F3034"/>
    <mergeCell ref="E3035:F3035"/>
    <mergeCell ref="E2725:H2725"/>
    <mergeCell ref="E3460:H3460"/>
    <mergeCell ref="E3461:H3461"/>
    <mergeCell ref="E3462:H3462"/>
    <mergeCell ref="E3463:H3463"/>
    <mergeCell ref="E3464:H3464"/>
    <mergeCell ref="E3465:F3465"/>
    <mergeCell ref="E3466:F3466"/>
    <mergeCell ref="E3467:F3467"/>
    <mergeCell ref="E3468:F3468"/>
    <mergeCell ref="E3473:H3473"/>
    <mergeCell ref="E3474:H3474"/>
    <mergeCell ref="E3437:H3437"/>
    <mergeCell ref="E3450:F3450"/>
    <mergeCell ref="E3451:F3451"/>
    <mergeCell ref="E3408:F3408"/>
    <mergeCell ref="E3409:F3409"/>
    <mergeCell ref="E3410:F3410"/>
    <mergeCell ref="E3411:F3411"/>
    <mergeCell ref="E3412:F3412"/>
    <mergeCell ref="E3416:H3416"/>
    <mergeCell ref="E3417:H3417"/>
    <mergeCell ref="E3418:H3418"/>
    <mergeCell ref="E3419:H3419"/>
    <mergeCell ref="E3420:H3420"/>
    <mergeCell ref="E3421:H3421"/>
    <mergeCell ref="E3422:H3422"/>
    <mergeCell ref="E3423:H3423"/>
    <mergeCell ref="E3431:F3431"/>
    <mergeCell ref="E3432:F3432"/>
    <mergeCell ref="E3433:F3433"/>
    <mergeCell ref="E3434:F3434"/>
    <mergeCell ref="E3435:F3435"/>
    <mergeCell ref="E3436:F3436"/>
    <mergeCell ref="E3439:H3439"/>
    <mergeCell ref="E3440:H3440"/>
    <mergeCell ref="E3441:H3441"/>
    <mergeCell ref="E3438:H3438"/>
    <mergeCell ref="E3469:H3469"/>
    <mergeCell ref="E3470:H3470"/>
    <mergeCell ref="E3471:H3471"/>
    <mergeCell ref="E3472:H3472"/>
    <mergeCell ref="E3445:F3445"/>
    <mergeCell ref="E3446:F3446"/>
    <mergeCell ref="E3447:F3447"/>
    <mergeCell ref="E3448:F3448"/>
    <mergeCell ref="E3413:H3413"/>
    <mergeCell ref="E3414:H3414"/>
    <mergeCell ref="E3415:H3415"/>
    <mergeCell ref="E3424:F3424"/>
    <mergeCell ref="E3425:F3425"/>
    <mergeCell ref="E3449:F3449"/>
    <mergeCell ref="E3459:H3459"/>
    <mergeCell ref="E3457:H3457"/>
    <mergeCell ref="E3458:H3458"/>
    <mergeCell ref="E3442:H3442"/>
    <mergeCell ref="E3443:H3443"/>
    <mergeCell ref="E3444:H3444"/>
    <mergeCell ref="E3452:F3452"/>
    <mergeCell ref="E3453:F3453"/>
    <mergeCell ref="E3454:F3454"/>
    <mergeCell ref="E3455:F3455"/>
    <mergeCell ref="E3456:F3456"/>
    <mergeCell ref="E3481:F3481"/>
    <mergeCell ref="E3482:F3482"/>
    <mergeCell ref="E3483:F3483"/>
    <mergeCell ref="E3484:F3484"/>
    <mergeCell ref="E3485:F3485"/>
    <mergeCell ref="E3486:F3486"/>
    <mergeCell ref="E3487:F3487"/>
    <mergeCell ref="E3488:F3488"/>
    <mergeCell ref="E3576:F3576"/>
    <mergeCell ref="E3577:F3577"/>
    <mergeCell ref="E3578:F3578"/>
    <mergeCell ref="E3579:F3579"/>
    <mergeCell ref="E3580:F3580"/>
    <mergeCell ref="E3490:H3490"/>
    <mergeCell ref="E3491:H3491"/>
    <mergeCell ref="E3492:H3492"/>
    <mergeCell ref="E3493:H3493"/>
    <mergeCell ref="E3497:F3497"/>
    <mergeCell ref="E3498:F3498"/>
    <mergeCell ref="E3499:F3499"/>
    <mergeCell ref="E3500:F3500"/>
    <mergeCell ref="E3501:F3501"/>
    <mergeCell ref="E3503:F3503"/>
    <mergeCell ref="E3506:F3506"/>
    <mergeCell ref="E3507:F3507"/>
    <mergeCell ref="E3508:F3508"/>
    <mergeCell ref="E3509:F3509"/>
    <mergeCell ref="E3510:H3510"/>
    <mergeCell ref="E3511:H3511"/>
    <mergeCell ref="E3512:H3512"/>
    <mergeCell ref="E3513:H3513"/>
    <mergeCell ref="E3514:H3514"/>
    <mergeCell ref="E3515:H3515"/>
    <mergeCell ref="E3516:H3516"/>
    <mergeCell ref="E3517:H3517"/>
    <mergeCell ref="E3519:H3519"/>
    <mergeCell ref="E3520:H3520"/>
    <mergeCell ref="E3521:H3521"/>
    <mergeCell ref="E3522:H3522"/>
    <mergeCell ref="E3523:H3523"/>
    <mergeCell ref="E3524:H3524"/>
    <mergeCell ref="E3525:H3525"/>
    <mergeCell ref="E3526:H3526"/>
    <mergeCell ref="E3528:H3528"/>
    <mergeCell ref="E3529:H3529"/>
    <mergeCell ref="E3530:H3530"/>
    <mergeCell ref="E3502:F3502"/>
    <mergeCell ref="E3504:F3504"/>
    <mergeCell ref="E3527:F3527"/>
    <mergeCell ref="E3531:H3531"/>
    <mergeCell ref="E3532:H3532"/>
    <mergeCell ref="E3533:H3533"/>
    <mergeCell ref="E3536:F3536"/>
    <mergeCell ref="E3538:F3538"/>
    <mergeCell ref="E3539:F3539"/>
    <mergeCell ref="E3541:H3541"/>
    <mergeCell ref="E3542:H3542"/>
    <mergeCell ref="E3543:H3543"/>
    <mergeCell ref="E3544:H3544"/>
    <mergeCell ref="E3553:F3553"/>
    <mergeCell ref="E3554:F3554"/>
    <mergeCell ref="E3557:F3557"/>
    <mergeCell ref="E3558:F3558"/>
    <mergeCell ref="E3560:F3560"/>
    <mergeCell ref="E3475:H3475"/>
    <mergeCell ref="E3476:H3476"/>
    <mergeCell ref="E3550:F3550"/>
    <mergeCell ref="E3551:F3551"/>
    <mergeCell ref="E3552:F3552"/>
    <mergeCell ref="E3494:H3494"/>
    <mergeCell ref="E3495:H3495"/>
    <mergeCell ref="E3496:H3496"/>
    <mergeCell ref="E3505:F3505"/>
    <mergeCell ref="E3518:F3518"/>
    <mergeCell ref="E3534:H3534"/>
    <mergeCell ref="E3535:H3535"/>
    <mergeCell ref="E3547:F3547"/>
    <mergeCell ref="E3548:F3548"/>
    <mergeCell ref="E3549:F3549"/>
    <mergeCell ref="E4053:F4053"/>
    <mergeCell ref="E3726:F3726"/>
    <mergeCell ref="E3727:F3727"/>
    <mergeCell ref="E3728:F3728"/>
    <mergeCell ref="E3681:H3681"/>
    <mergeCell ref="E3750:F3750"/>
    <mergeCell ref="E3751:F3751"/>
    <mergeCell ref="E3695:F3695"/>
    <mergeCell ref="E3694:F3694"/>
    <mergeCell ref="E3664:F3664"/>
    <mergeCell ref="E3884:F3884"/>
    <mergeCell ref="E3689:F3689"/>
    <mergeCell ref="E3690:F3690"/>
    <mergeCell ref="E3691:F3691"/>
    <mergeCell ref="E3692:F3692"/>
    <mergeCell ref="E3693:F3693"/>
    <mergeCell ref="E3703:H3703"/>
    <mergeCell ref="E3713:F3713"/>
    <mergeCell ref="E3714:F3714"/>
    <mergeCell ref="E3715:F3715"/>
    <mergeCell ref="E3718:H3718"/>
    <mergeCell ref="E3719:H3719"/>
    <mergeCell ref="E3720:H3720"/>
    <mergeCell ref="E3721:H3721"/>
    <mergeCell ref="E3722:H3722"/>
    <mergeCell ref="E3723:H3723"/>
    <mergeCell ref="E3724:H3724"/>
    <mergeCell ref="E3725:H3725"/>
    <mergeCell ref="E3734:F3734"/>
    <mergeCell ref="E3737:F3737"/>
    <mergeCell ref="E3738:F3738"/>
    <mergeCell ref="E3739:F3739"/>
    <mergeCell ref="E3743:H3743"/>
    <mergeCell ref="E3744:H3744"/>
    <mergeCell ref="E3708:F3708"/>
    <mergeCell ref="E3709:F3709"/>
    <mergeCell ref="E3775:H3775"/>
    <mergeCell ref="E3781:F3781"/>
    <mergeCell ref="E3477:F3477"/>
    <mergeCell ref="E3478:F3478"/>
    <mergeCell ref="E3479:F3479"/>
    <mergeCell ref="E3480:F3480"/>
    <mergeCell ref="E3489:H3489"/>
    <mergeCell ref="E3546:F3546"/>
    <mergeCell ref="E3607:H3607"/>
    <mergeCell ref="E3613:F3613"/>
    <mergeCell ref="E3614:F3614"/>
    <mergeCell ref="E3615:F3615"/>
    <mergeCell ref="E3626:H3626"/>
    <mergeCell ref="E3627:H3627"/>
    <mergeCell ref="E3628:H3628"/>
    <mergeCell ref="E3629:H3629"/>
    <mergeCell ref="E3623:F3623"/>
    <mergeCell ref="E3624:F3624"/>
    <mergeCell ref="E3617:F3617"/>
    <mergeCell ref="E3618:F3618"/>
    <mergeCell ref="E3619:F3619"/>
    <mergeCell ref="E3620:F3620"/>
    <mergeCell ref="E3621:F3621"/>
    <mergeCell ref="E3622:F3622"/>
    <mergeCell ref="E3616:F3616"/>
    <mergeCell ref="E3608:H3608"/>
    <mergeCell ref="E3609:H3609"/>
    <mergeCell ref="E3610:H3610"/>
    <mergeCell ref="E3581:F3581"/>
    <mergeCell ref="E4092:F4092"/>
    <mergeCell ref="E4016:H4016"/>
    <mergeCell ref="E3881:F3881"/>
    <mergeCell ref="E3937:F3937"/>
    <mergeCell ref="E3938:F3938"/>
    <mergeCell ref="E3969:F3969"/>
    <mergeCell ref="E3971:F3971"/>
    <mergeCell ref="E3981:H3981"/>
    <mergeCell ref="E4002:F4002"/>
    <mergeCell ref="E4014:H4014"/>
    <mergeCell ref="E4015:H4015"/>
    <mergeCell ref="E4049:F4049"/>
    <mergeCell ref="E4023:F4023"/>
    <mergeCell ref="E4026:F4026"/>
    <mergeCell ref="E4029:F4029"/>
    <mergeCell ref="E4032:F4032"/>
    <mergeCell ref="E4036:H4036"/>
    <mergeCell ref="E4037:H4037"/>
    <mergeCell ref="E4040:H4040"/>
    <mergeCell ref="E4045:F4045"/>
    <mergeCell ref="E4048:F4048"/>
    <mergeCell ref="E4050:F4050"/>
    <mergeCell ref="E4051:F4051"/>
    <mergeCell ref="E4044:F4044"/>
    <mergeCell ref="E4003:F4003"/>
    <mergeCell ref="E4004:F4004"/>
    <mergeCell ref="E4005:F4005"/>
    <mergeCell ref="E4078:H4078"/>
    <mergeCell ref="E4079:H4079"/>
    <mergeCell ref="E4086:F4086"/>
    <mergeCell ref="E4087:F4087"/>
    <mergeCell ref="E4088:F4088"/>
    <mergeCell ref="E4089:F4089"/>
    <mergeCell ref="E4527:H4527"/>
    <mergeCell ref="E4528:H4528"/>
    <mergeCell ref="E4529:H4529"/>
    <mergeCell ref="E4329:F4329"/>
    <mergeCell ref="E4352:H4352"/>
    <mergeCell ref="E4353:H4353"/>
    <mergeCell ref="E4354:H4354"/>
    <mergeCell ref="E4355:H4355"/>
    <mergeCell ref="E4356:H4356"/>
    <mergeCell ref="E4573:F4573"/>
    <mergeCell ref="E4531:H4531"/>
    <mergeCell ref="E4532:H4532"/>
    <mergeCell ref="E4533:H4533"/>
    <mergeCell ref="E4534:H4534"/>
    <mergeCell ref="E4544:F4544"/>
    <mergeCell ref="E4546:H4546"/>
    <mergeCell ref="E4547:H4547"/>
    <mergeCell ref="E4557:F4557"/>
    <mergeCell ref="E4558:F4558"/>
    <mergeCell ref="E4293:F4293"/>
    <mergeCell ref="E4358:H4358"/>
    <mergeCell ref="E4359:H4359"/>
    <mergeCell ref="E4365:H4365"/>
    <mergeCell ref="E4366:H4366"/>
    <mergeCell ref="E4369:F4369"/>
    <mergeCell ref="E4370:F4370"/>
    <mergeCell ref="E4371:F4371"/>
    <mergeCell ref="E4372:F4372"/>
    <mergeCell ref="E4373:F4373"/>
    <mergeCell ref="E4374:F4374"/>
    <mergeCell ref="E4386:F4386"/>
    <mergeCell ref="E4388:F4388"/>
    <mergeCell ref="E4389:F4389"/>
    <mergeCell ref="E4390:F4390"/>
    <mergeCell ref="E4391:F4391"/>
    <mergeCell ref="E4392:F4392"/>
    <mergeCell ref="E4393:F4393"/>
    <mergeCell ref="E4396:G4396"/>
    <mergeCell ref="E4397:H4397"/>
    <mergeCell ref="E4398:H4398"/>
    <mergeCell ref="E4399:H4399"/>
    <mergeCell ref="E4400:H4400"/>
    <mergeCell ref="E4401:H4401"/>
    <mergeCell ref="E4404:F4404"/>
    <mergeCell ref="E4385:F4385"/>
    <mergeCell ref="E4382:F4382"/>
    <mergeCell ref="E4375:F4375"/>
    <mergeCell ref="E4376:F4376"/>
    <mergeCell ref="E4377:F4377"/>
    <mergeCell ref="E4378:F4378"/>
    <mergeCell ref="E4379:F4379"/>
    <mergeCell ref="E4380:F4380"/>
    <mergeCell ref="E4394:F4394"/>
    <mergeCell ref="E4490:H4490"/>
    <mergeCell ref="E4549:H4549"/>
    <mergeCell ref="E4550:H4550"/>
    <mergeCell ref="E4555:F4555"/>
    <mergeCell ref="E4556:F4556"/>
    <mergeCell ref="E4525:F4525"/>
    <mergeCell ref="E4526:F4526"/>
    <mergeCell ref="E4491:H4491"/>
    <mergeCell ref="E4498:F4498"/>
    <mergeCell ref="E4499:F4499"/>
    <mergeCell ref="E4500:F4500"/>
    <mergeCell ref="E4090:F4090"/>
    <mergeCell ref="E4091:F4091"/>
    <mergeCell ref="E4081:H4081"/>
    <mergeCell ref="E4082:H4082"/>
    <mergeCell ref="E4083:H4083"/>
    <mergeCell ref="E3883:F3883"/>
    <mergeCell ref="E4057:H4057"/>
    <mergeCell ref="E4065:F4065"/>
    <mergeCell ref="E4066:F4066"/>
    <mergeCell ref="E4067:F4067"/>
    <mergeCell ref="E4068:F4068"/>
    <mergeCell ref="E4069:F4069"/>
    <mergeCell ref="E4070:F4070"/>
    <mergeCell ref="E4031:F4031"/>
    <mergeCell ref="E4039:H4039"/>
    <mergeCell ref="E4046:F4046"/>
    <mergeCell ref="E3945:H3945"/>
    <mergeCell ref="E3946:H3946"/>
    <mergeCell ref="E3947:H3947"/>
    <mergeCell ref="E3886:F3886"/>
    <mergeCell ref="E3887:F3887"/>
    <mergeCell ref="E3888:F3888"/>
    <mergeCell ref="E3889:F3889"/>
    <mergeCell ref="E3890:H3890"/>
    <mergeCell ref="E3891:H3891"/>
    <mergeCell ref="E3892:H3892"/>
    <mergeCell ref="E3893:H3893"/>
    <mergeCell ref="E4751:F4751"/>
    <mergeCell ref="E4754:H4754"/>
    <mergeCell ref="E4755:H4755"/>
    <mergeCell ref="E4756:H4756"/>
    <mergeCell ref="E4757:H4757"/>
    <mergeCell ref="E4093:F4093"/>
    <mergeCell ref="E4094:F4094"/>
    <mergeCell ref="E4151:H4151"/>
    <mergeCell ref="E4168:F4168"/>
    <mergeCell ref="E4227:H4227"/>
    <mergeCell ref="E4228:H4228"/>
    <mergeCell ref="E4268:F4268"/>
    <mergeCell ref="E4286:H4286"/>
    <mergeCell ref="E4287:H4287"/>
    <mergeCell ref="E4198:F4198"/>
    <mergeCell ref="E4199:F4199"/>
    <mergeCell ref="E4200:F4200"/>
    <mergeCell ref="E4201:F4201"/>
    <mergeCell ref="E4257:F4257"/>
    <mergeCell ref="E4238:F4238"/>
    <mergeCell ref="E4236:F4236"/>
    <mergeCell ref="E4279:H4279"/>
    <mergeCell ref="E4290:F4290"/>
    <mergeCell ref="E4291:F4291"/>
    <mergeCell ref="E4272:F4272"/>
    <mergeCell ref="E4269:F4269"/>
    <mergeCell ref="E4270:F4270"/>
    <mergeCell ref="E4271:F4271"/>
    <mergeCell ref="E4102:H4102"/>
    <mergeCell ref="E4113:F4113"/>
    <mergeCell ref="E4542:F4542"/>
    <mergeCell ref="E4679:F4679"/>
    <mergeCell ref="E4247:F4247"/>
    <mergeCell ref="E4248:F4248"/>
    <mergeCell ref="E4235:F4235"/>
    <mergeCell ref="E4237:F4237"/>
    <mergeCell ref="E4541:F4541"/>
    <mergeCell ref="E4752:H4752"/>
    <mergeCell ref="E4827:F4827"/>
    <mergeCell ref="E5092:F5092"/>
    <mergeCell ref="E5093:F5093"/>
    <mergeCell ref="E5094:F5094"/>
    <mergeCell ref="E5095:F5095"/>
    <mergeCell ref="E5114:F5114"/>
    <mergeCell ref="E4960:F4960"/>
    <mergeCell ref="E4961:F4961"/>
    <mergeCell ref="E4962:F4962"/>
    <mergeCell ref="E4841:F4841"/>
    <mergeCell ref="E4796:F4796"/>
    <mergeCell ref="E4798:F4798"/>
    <mergeCell ref="E4799:F4799"/>
    <mergeCell ref="E4971:F4971"/>
    <mergeCell ref="E4972:F4972"/>
    <mergeCell ref="E5003:H5003"/>
    <mergeCell ref="E5004:H5004"/>
    <mergeCell ref="E5005:H5005"/>
    <mergeCell ref="E4860:F4860"/>
    <mergeCell ref="E4861:F4861"/>
    <mergeCell ref="E4872:H4872"/>
    <mergeCell ref="E4873:H4873"/>
    <mergeCell ref="E4942:F4942"/>
    <mergeCell ref="E4995:F4995"/>
    <mergeCell ref="E4996:F4996"/>
    <mergeCell ref="E4997:F4997"/>
    <mergeCell ref="E4797:F4797"/>
    <mergeCell ref="E4813:H4813"/>
    <mergeCell ref="E5011:H5011"/>
    <mergeCell ref="E5015:F5015"/>
    <mergeCell ref="E5016:F5016"/>
    <mergeCell ref="E5017:F5017"/>
    <mergeCell ref="E5018:F5018"/>
    <mergeCell ref="E5019:F5019"/>
    <mergeCell ref="E5026:H5026"/>
    <mergeCell ref="E5027:H5027"/>
    <mergeCell ref="E5029:H5029"/>
    <mergeCell ref="E4829:F4829"/>
    <mergeCell ref="E4830:F4830"/>
    <mergeCell ref="E4831:F4831"/>
    <mergeCell ref="E4832:F4832"/>
    <mergeCell ref="E5008:F5008"/>
    <mergeCell ref="E4938:F4938"/>
    <mergeCell ref="E4940:F4940"/>
    <mergeCell ref="E4894:F4894"/>
    <mergeCell ref="E4914:F4914"/>
    <mergeCell ref="E4915:F4915"/>
    <mergeCell ref="E4910:F4910"/>
    <mergeCell ref="E4912:F4912"/>
    <mergeCell ref="E4916:F4916"/>
    <mergeCell ref="E4917:F4917"/>
    <mergeCell ref="E4925:H4925"/>
    <mergeCell ref="E4926:H4926"/>
    <mergeCell ref="E4935:F4935"/>
    <mergeCell ref="E4936:F4936"/>
    <mergeCell ref="E4795:H4795"/>
    <mergeCell ref="E4766:F4766"/>
    <mergeCell ref="E4787:F4787"/>
    <mergeCell ref="E4753:H4753"/>
    <mergeCell ref="E4763:F4763"/>
    <mergeCell ref="E4764:F4764"/>
    <mergeCell ref="E4765:F4765"/>
    <mergeCell ref="E4767:F4767"/>
    <mergeCell ref="E5115:F5115"/>
    <mergeCell ref="E5084:F5084"/>
    <mergeCell ref="E5194:F5194"/>
    <mergeCell ref="E5195:F5195"/>
    <mergeCell ref="E5196:F5196"/>
    <mergeCell ref="E5128:F5128"/>
    <mergeCell ref="E5170:F5170"/>
    <mergeCell ref="E5171:F5171"/>
    <mergeCell ref="E5172:F5172"/>
    <mergeCell ref="E5173:F5173"/>
    <mergeCell ref="E5174:F5174"/>
    <mergeCell ref="E5182:H5182"/>
    <mergeCell ref="E5138:F5138"/>
    <mergeCell ref="E5139:F5139"/>
    <mergeCell ref="E5116:F5116"/>
    <mergeCell ref="E5117:F5117"/>
    <mergeCell ref="E5137:F5137"/>
    <mergeCell ref="E5150:F5150"/>
    <mergeCell ref="E5151:F5151"/>
    <mergeCell ref="E5152:F5152"/>
    <mergeCell ref="E5126:H5126"/>
    <mergeCell ref="E5127:H5127"/>
    <mergeCell ref="E5129:F5129"/>
    <mergeCell ref="E5130:F5130"/>
    <mergeCell ref="E5131:F5131"/>
    <mergeCell ref="E5132:F5132"/>
    <mergeCell ref="E5133:F5133"/>
    <mergeCell ref="E5134:F5134"/>
    <mergeCell ref="E5135:F5135"/>
    <mergeCell ref="E5085:F5085"/>
    <mergeCell ref="E5086:F5086"/>
    <mergeCell ref="E5087:F5087"/>
    <mergeCell ref="E5088:F5088"/>
    <mergeCell ref="E5089:F5089"/>
    <mergeCell ref="E5090:F5090"/>
    <mergeCell ref="E5091:F5091"/>
    <mergeCell ref="E5096:H5096"/>
    <mergeCell ref="E5097:H5097"/>
    <mergeCell ref="E5098:H5098"/>
    <mergeCell ref="E5099:H5099"/>
    <mergeCell ref="E5100:H5100"/>
    <mergeCell ref="E5101:H5101"/>
    <mergeCell ref="E5102:H5102"/>
    <mergeCell ref="E5103:H5103"/>
    <mergeCell ref="E5104:H5104"/>
    <mergeCell ref="E5105:H5105"/>
    <mergeCell ref="E5106:F5106"/>
    <mergeCell ref="E5107:F5107"/>
    <mergeCell ref="E5108:F5108"/>
    <mergeCell ref="E5109:F5109"/>
    <mergeCell ref="E5110:F5110"/>
    <mergeCell ref="E5111:F5111"/>
    <mergeCell ref="E5112:F5112"/>
    <mergeCell ref="E5113:F5113"/>
    <mergeCell ref="E5118:H5118"/>
    <mergeCell ref="E5119:H5119"/>
    <mergeCell ref="E5120:H5120"/>
    <mergeCell ref="E5121:H5121"/>
    <mergeCell ref="E5122:H5122"/>
    <mergeCell ref="E5123:H5123"/>
    <mergeCell ref="E5124:H5124"/>
    <mergeCell ref="E5125:H5125"/>
    <mergeCell ref="E5136:F5136"/>
    <mergeCell ref="E5140:H5140"/>
    <mergeCell ref="E5141:H5141"/>
    <mergeCell ref="E5142:H5142"/>
    <mergeCell ref="E5143:H5143"/>
    <mergeCell ref="E5144:H5144"/>
    <mergeCell ref="E5145:H5145"/>
    <mergeCell ref="E5146:H5146"/>
    <mergeCell ref="E5147:H5147"/>
    <mergeCell ref="E5148:H5148"/>
    <mergeCell ref="E5149:H5149"/>
    <mergeCell ref="E5153:F5153"/>
    <mergeCell ref="E5154:F5154"/>
    <mergeCell ref="E5155:F5155"/>
    <mergeCell ref="E5156:F5156"/>
    <mergeCell ref="E5157:F5157"/>
    <mergeCell ref="E5158:F5158"/>
    <mergeCell ref="E5159:F5159"/>
    <mergeCell ref="E5160:F5160"/>
    <mergeCell ref="E5162:H5162"/>
    <mergeCell ref="E5163:H5163"/>
    <mergeCell ref="E5164:H5164"/>
    <mergeCell ref="E5165:H5165"/>
    <mergeCell ref="E5166:H5166"/>
    <mergeCell ref="E5167:H5167"/>
    <mergeCell ref="E5168:H5168"/>
    <mergeCell ref="E5169:H5169"/>
    <mergeCell ref="E5280:F5280"/>
    <mergeCell ref="E5281:F5281"/>
    <mergeCell ref="E5282:F5282"/>
    <mergeCell ref="E5247:H5247"/>
    <mergeCell ref="E5248:H5248"/>
    <mergeCell ref="E5249:H5249"/>
    <mergeCell ref="E5250:H5250"/>
    <mergeCell ref="E5252:H5252"/>
    <mergeCell ref="E5253:H5253"/>
    <mergeCell ref="E5254:H5254"/>
    <mergeCell ref="E5255:H5255"/>
    <mergeCell ref="E5256:H5256"/>
    <mergeCell ref="E5257:H5257"/>
    <mergeCell ref="E5258:H5258"/>
    <mergeCell ref="E5259:H5259"/>
    <mergeCell ref="E5263:F5263"/>
    <mergeCell ref="E5268:H5268"/>
    <mergeCell ref="E5269:H5269"/>
    <mergeCell ref="E5270:H5270"/>
    <mergeCell ref="E5271:H5271"/>
    <mergeCell ref="E5273:F5273"/>
    <mergeCell ref="E5274:F5274"/>
    <mergeCell ref="E5275:F5275"/>
    <mergeCell ref="E5276:F5276"/>
    <mergeCell ref="E5228:H5228"/>
    <mergeCell ref="E5229:H5229"/>
    <mergeCell ref="E5230:H5230"/>
    <mergeCell ref="E5231:H5231"/>
    <mergeCell ref="E5234:F5234"/>
    <mergeCell ref="E5232:H5232"/>
    <mergeCell ref="E5233:H5233"/>
    <mergeCell ref="E5175:F5175"/>
    <mergeCell ref="E5176:F5176"/>
    <mergeCell ref="E5177:F5177"/>
    <mergeCell ref="E5178:F5178"/>
    <mergeCell ref="E5179:F5179"/>
    <mergeCell ref="E5180:F5180"/>
    <mergeCell ref="E5161:F5161"/>
    <mergeCell ref="E5183:H5183"/>
    <mergeCell ref="E5296:F5296"/>
    <mergeCell ref="E5297:F5297"/>
    <mergeCell ref="E5298:F5298"/>
    <mergeCell ref="E5305:F5305"/>
    <mergeCell ref="E5306:F5306"/>
    <mergeCell ref="E5307:F5307"/>
    <mergeCell ref="E5320:H5320"/>
    <mergeCell ref="E5321:F5321"/>
    <mergeCell ref="E5322:F5322"/>
    <mergeCell ref="E5323:F5323"/>
    <mergeCell ref="E5324:F5324"/>
    <mergeCell ref="E5325:H5325"/>
    <mergeCell ref="E5327:H5327"/>
    <mergeCell ref="E5300:H5300"/>
    <mergeCell ref="E5301:H5301"/>
    <mergeCell ref="E5302:H5302"/>
    <mergeCell ref="E5293:F5293"/>
    <mergeCell ref="E5340:F5340"/>
    <mergeCell ref="E5341:F5341"/>
    <mergeCell ref="E5342:F5342"/>
    <mergeCell ref="E5351:F5351"/>
    <mergeCell ref="E5352:F5352"/>
    <mergeCell ref="E5353:F5353"/>
    <mergeCell ref="E5354:F5354"/>
    <mergeCell ref="E5355:F5355"/>
    <mergeCell ref="E5356:F5356"/>
    <mergeCell ref="E5328:H5328"/>
    <mergeCell ref="E5326:H5326"/>
    <mergeCell ref="E5329:H5329"/>
    <mergeCell ref="E5330:H5330"/>
    <mergeCell ref="E5331:H5331"/>
    <mergeCell ref="E5332:H5332"/>
    <mergeCell ref="E5333:H5333"/>
    <mergeCell ref="E5334:H5334"/>
    <mergeCell ref="E5335:H5335"/>
    <mergeCell ref="E5336:H5336"/>
    <mergeCell ref="E5337:H5337"/>
    <mergeCell ref="E5338:H5338"/>
    <mergeCell ref="E5339:H5339"/>
    <mergeCell ref="E5343:F5343"/>
    <mergeCell ref="E5344:F5344"/>
    <mergeCell ref="E5345:F5345"/>
    <mergeCell ref="E5346:F5346"/>
    <mergeCell ref="E5347:F5347"/>
    <mergeCell ref="E5348:F5348"/>
    <mergeCell ref="E5349:F5349"/>
    <mergeCell ref="E5350:F5350"/>
    <mergeCell ref="E5357:H5357"/>
    <mergeCell ref="E5358:H5358"/>
    <mergeCell ref="E5359:H5359"/>
    <mergeCell ref="E5360:H5360"/>
    <mergeCell ref="E5371:F5371"/>
    <mergeCell ref="E5372:F5372"/>
    <mergeCell ref="E5373:F5373"/>
    <mergeCell ref="E5374:F5374"/>
    <mergeCell ref="E5375:F5375"/>
    <mergeCell ref="E5376:F5376"/>
    <mergeCell ref="E5377:F5377"/>
    <mergeCell ref="E5378:F5378"/>
    <mergeCell ref="E5379:F5379"/>
    <mergeCell ref="E5381:F5381"/>
    <mergeCell ref="E5386:H5386"/>
    <mergeCell ref="E5395:F5395"/>
    <mergeCell ref="E5396:F5396"/>
    <mergeCell ref="E5397:F5397"/>
    <mergeCell ref="E5398:F5398"/>
    <mergeCell ref="E5380:F5380"/>
    <mergeCell ref="E5363:H5363"/>
    <mergeCell ref="E5364:H5364"/>
    <mergeCell ref="E5361:H5361"/>
    <mergeCell ref="E5362:H5362"/>
    <mergeCell ref="E5365:F5365"/>
    <mergeCell ref="E5366:F5366"/>
    <mergeCell ref="E5367:F5367"/>
    <mergeCell ref="E5368:F5368"/>
    <mergeCell ref="E5369:F5369"/>
    <mergeCell ref="E5370:F5370"/>
    <mergeCell ref="E5382:F5382"/>
    <mergeCell ref="E5383:F5383"/>
    <mergeCell ref="E5384:F5384"/>
    <mergeCell ref="E5385:F5385"/>
    <mergeCell ref="E5390:H5390"/>
    <mergeCell ref="E5391:H5391"/>
    <mergeCell ref="E5392:H5392"/>
    <mergeCell ref="E5393:H5393"/>
    <mergeCell ref="E5394:H5394"/>
    <mergeCell ref="E5387:H5387"/>
    <mergeCell ref="E5388:H5388"/>
    <mergeCell ref="E5389:H5389"/>
    <mergeCell ref="E5399:F5399"/>
    <mergeCell ref="E5400:F5400"/>
    <mergeCell ref="E5401:F5401"/>
    <mergeCell ref="E5402:F5402"/>
    <mergeCell ref="E5407:F5407"/>
    <mergeCell ref="E5408:F5408"/>
    <mergeCell ref="E5409:F5409"/>
    <mergeCell ref="E5410:F5410"/>
    <mergeCell ref="E5411:F5411"/>
    <mergeCell ref="E5412:F5412"/>
    <mergeCell ref="E5413:F5413"/>
    <mergeCell ref="E5414:F5414"/>
    <mergeCell ref="E5415:F5415"/>
    <mergeCell ref="E5419:H5419"/>
    <mergeCell ref="E5420:H5420"/>
    <mergeCell ref="E5421:H5421"/>
    <mergeCell ref="E5422:H5422"/>
    <mergeCell ref="E5423:H5423"/>
    <mergeCell ref="E5424:H5424"/>
    <mergeCell ref="E5425:H5425"/>
    <mergeCell ref="E5426:H5426"/>
    <mergeCell ref="E5427:F5427"/>
    <mergeCell ref="E5430:F5430"/>
    <mergeCell ref="E5429:F5429"/>
    <mergeCell ref="E5436:F5436"/>
    <mergeCell ref="E5437:F5437"/>
    <mergeCell ref="E5438:F5438"/>
    <mergeCell ref="E5439:F5439"/>
    <mergeCell ref="E5403:F5403"/>
    <mergeCell ref="E5404:F5404"/>
    <mergeCell ref="E5405:F5405"/>
    <mergeCell ref="E5406:F5406"/>
    <mergeCell ref="E5416:H5416"/>
    <mergeCell ref="E5417:H5417"/>
    <mergeCell ref="E5418:H5418"/>
    <mergeCell ref="E5428:F5428"/>
    <mergeCell ref="E5431:F5431"/>
    <mergeCell ref="E5432:F5432"/>
    <mergeCell ref="E5433:F5433"/>
    <mergeCell ref="E5434:F5434"/>
    <mergeCell ref="E5435:F5435"/>
    <mergeCell ref="E5440:F5440"/>
    <mergeCell ref="E5441:F5441"/>
    <mergeCell ref="E5442:F5442"/>
    <mergeCell ref="E5443:F5443"/>
    <mergeCell ref="E5444:F5444"/>
    <mergeCell ref="E5445:F5445"/>
    <mergeCell ref="E5446:F5446"/>
    <mergeCell ref="E5459:F5459"/>
    <mergeCell ref="E5460:F5460"/>
    <mergeCell ref="E5461:F5461"/>
    <mergeCell ref="E5462:F5462"/>
    <mergeCell ref="E5463:F5463"/>
    <mergeCell ref="E5464:F5464"/>
    <mergeCell ref="E5465:F5465"/>
    <mergeCell ref="E5471:F5471"/>
    <mergeCell ref="E5472:F5472"/>
    <mergeCell ref="E5473:F5473"/>
    <mergeCell ref="E5474:F5474"/>
    <mergeCell ref="E5447:F5447"/>
    <mergeCell ref="E5448:H5448"/>
    <mergeCell ref="E5449:H5449"/>
    <mergeCell ref="E5450:H5450"/>
    <mergeCell ref="E5451:H5451"/>
    <mergeCell ref="E5452:H5452"/>
    <mergeCell ref="E5453:H5453"/>
    <mergeCell ref="E5454:H5454"/>
    <mergeCell ref="E5455:H5455"/>
    <mergeCell ref="E5456:H5456"/>
    <mergeCell ref="E5457:H5457"/>
    <mergeCell ref="E5458:H5458"/>
    <mergeCell ref="E5466:F5466"/>
    <mergeCell ref="E5467:F5467"/>
    <mergeCell ref="E5468:F5468"/>
    <mergeCell ref="E5469:F5469"/>
    <mergeCell ref="E5470:F5470"/>
    <mergeCell ref="E5475:F5475"/>
    <mergeCell ref="E5476:F5476"/>
    <mergeCell ref="E5486:F5486"/>
    <mergeCell ref="E5487:F5487"/>
    <mergeCell ref="E5502:F5502"/>
    <mergeCell ref="E5503:F5503"/>
    <mergeCell ref="E5512:F5512"/>
    <mergeCell ref="E5513:F5513"/>
    <mergeCell ref="E5514:F5514"/>
    <mergeCell ref="E5477:H5477"/>
    <mergeCell ref="E5478:H5478"/>
    <mergeCell ref="E5479:H5479"/>
    <mergeCell ref="E5480:H5480"/>
    <mergeCell ref="E5481:H5481"/>
    <mergeCell ref="E5482:H5482"/>
    <mergeCell ref="E5483:H5483"/>
    <mergeCell ref="E5484:H5484"/>
    <mergeCell ref="E5485:F5485"/>
    <mergeCell ref="E5488:F5488"/>
    <mergeCell ref="E5489:F5489"/>
    <mergeCell ref="E5490:F5490"/>
    <mergeCell ref="E5491:F5491"/>
    <mergeCell ref="E5492:F5492"/>
    <mergeCell ref="E5493:F5493"/>
    <mergeCell ref="E5494:F5494"/>
    <mergeCell ref="E5495:F5495"/>
    <mergeCell ref="E5496:F5496"/>
    <mergeCell ref="E5497:F5497"/>
    <mergeCell ref="E5498:F5498"/>
    <mergeCell ref="E5499:F5499"/>
    <mergeCell ref="E5500:F5500"/>
    <mergeCell ref="E5501:F5501"/>
    <mergeCell ref="E5504:H5504"/>
    <mergeCell ref="E5505:H5505"/>
    <mergeCell ref="E5506:H5506"/>
    <mergeCell ref="E5507:H5507"/>
    <mergeCell ref="E5508:H5508"/>
    <mergeCell ref="E5509:H5509"/>
    <mergeCell ref="E5510:H5510"/>
    <mergeCell ref="E5511:H5511"/>
    <mergeCell ref="E5515:F5515"/>
    <mergeCell ref="E5516:F5516"/>
    <mergeCell ref="E5517:F5517"/>
    <mergeCell ref="E5518:F5518"/>
    <mergeCell ref="E5527:F5527"/>
    <mergeCell ref="E5528:F5528"/>
    <mergeCell ref="E5544:H5544"/>
    <mergeCell ref="E5545:H5545"/>
    <mergeCell ref="E5546:H5546"/>
    <mergeCell ref="E5552:F5552"/>
    <mergeCell ref="E5554:F5554"/>
    <mergeCell ref="E5577:F5577"/>
    <mergeCell ref="E5579:F5579"/>
    <mergeCell ref="E5592:F5592"/>
    <mergeCell ref="E5591:F5591"/>
    <mergeCell ref="E5590:F5590"/>
    <mergeCell ref="E5530:F5530"/>
    <mergeCell ref="E5547:H5547"/>
    <mergeCell ref="E5548:H5548"/>
    <mergeCell ref="E5549:H5549"/>
    <mergeCell ref="E5550:H5550"/>
    <mergeCell ref="E5529:F5529"/>
    <mergeCell ref="E5587:F5587"/>
    <mergeCell ref="E5541:F5541"/>
    <mergeCell ref="E5542:F5542"/>
    <mergeCell ref="E5562:F5562"/>
    <mergeCell ref="E5588:F5588"/>
    <mergeCell ref="E5589:F5589"/>
    <mergeCell ref="E5563:F5563"/>
    <mergeCell ref="E5567:F5567"/>
    <mergeCell ref="E5543:F5543"/>
    <mergeCell ref="E5566:F5566"/>
    <mergeCell ref="E5564:F5564"/>
    <mergeCell ref="E5551:H5551"/>
    <mergeCell ref="E5565:F5565"/>
    <mergeCell ref="E5519:F5519"/>
    <mergeCell ref="E5520:F5520"/>
    <mergeCell ref="E5521:F5521"/>
    <mergeCell ref="E5522:F5522"/>
    <mergeCell ref="E5523:F5523"/>
    <mergeCell ref="E5524:F5524"/>
    <mergeCell ref="E5525:F5525"/>
    <mergeCell ref="E5526:F5526"/>
    <mergeCell ref="E5531:F5531"/>
    <mergeCell ref="E5532:H5532"/>
    <mergeCell ref="E5533:H5533"/>
    <mergeCell ref="E5534:H5534"/>
    <mergeCell ref="E5535:H5535"/>
    <mergeCell ref="E5536:H5536"/>
    <mergeCell ref="E5537:H5537"/>
    <mergeCell ref="E5538:H5538"/>
    <mergeCell ref="E5539:H5539"/>
    <mergeCell ref="E5540:H5540"/>
    <mergeCell ref="E5555:F5555"/>
    <mergeCell ref="E5557:H5557"/>
    <mergeCell ref="E5558:H5558"/>
    <mergeCell ref="E5559:H5559"/>
    <mergeCell ref="E5560:H5560"/>
    <mergeCell ref="E5568:F5568"/>
    <mergeCell ref="E5569:F5569"/>
    <mergeCell ref="E5570:F5570"/>
    <mergeCell ref="E5571:F5571"/>
    <mergeCell ref="E5572:F5572"/>
    <mergeCell ref="E5574:F5574"/>
    <mergeCell ref="E5809:F5809"/>
    <mergeCell ref="E5810:F5810"/>
    <mergeCell ref="E5811:F5811"/>
    <mergeCell ref="E5812:F5812"/>
    <mergeCell ref="E5814:H5814"/>
    <mergeCell ref="E5845:H5845"/>
    <mergeCell ref="E5850:H5850"/>
    <mergeCell ref="E5851:H5851"/>
    <mergeCell ref="E5852:H5852"/>
    <mergeCell ref="E5859:F5859"/>
    <mergeCell ref="E5860:F5860"/>
    <mergeCell ref="E5867:H5867"/>
    <mergeCell ref="E5872:H5872"/>
    <mergeCell ref="E5797:F5797"/>
    <mergeCell ref="E5801:F5801"/>
    <mergeCell ref="E5803:F5803"/>
    <mergeCell ref="E5804:F5804"/>
    <mergeCell ref="E5798:F5798"/>
    <mergeCell ref="E5799:F5799"/>
    <mergeCell ref="E5853:H5853"/>
    <mergeCell ref="E5829:F5829"/>
    <mergeCell ref="E5830:F5830"/>
    <mergeCell ref="E5831:F5831"/>
    <mergeCell ref="E5832:F5832"/>
    <mergeCell ref="E5835:F5835"/>
    <mergeCell ref="E5839:H5839"/>
    <mergeCell ref="E5840:H5840"/>
    <mergeCell ref="E5841:H5841"/>
    <mergeCell ref="E5842:H5842"/>
    <mergeCell ref="E5843:H5843"/>
    <mergeCell ref="E5844:H5844"/>
    <mergeCell ref="E5846:H5846"/>
    <mergeCell ref="E5847:H5847"/>
    <mergeCell ref="E5848:H5848"/>
    <mergeCell ref="E5849:H5849"/>
    <mergeCell ref="E5854:F5854"/>
    <mergeCell ref="E5855:F5855"/>
    <mergeCell ref="E5856:F5856"/>
    <mergeCell ref="E5857:F5857"/>
    <mergeCell ref="E5858:F5858"/>
    <mergeCell ref="E5866:H5866"/>
    <mergeCell ref="E5868:H5868"/>
    <mergeCell ref="E5869:H5869"/>
    <mergeCell ref="E5820:H5820"/>
    <mergeCell ref="E5822:F5822"/>
    <mergeCell ref="G5826:H5826"/>
    <mergeCell ref="E5861:F5861"/>
    <mergeCell ref="E5862:F5862"/>
    <mergeCell ref="E5863:F5863"/>
    <mergeCell ref="E5864:F5864"/>
    <mergeCell ref="E5865:F5865"/>
    <mergeCell ref="E5870:H5870"/>
    <mergeCell ref="E5871:H5871"/>
    <mergeCell ref="E5824:F5824"/>
    <mergeCell ref="E5826:F5826"/>
    <mergeCell ref="E5806:F5806"/>
    <mergeCell ref="E5927:F5927"/>
    <mergeCell ref="E5929:F5929"/>
    <mergeCell ref="E5930:F5930"/>
    <mergeCell ref="E5938:H5938"/>
    <mergeCell ref="E5939:H5939"/>
    <mergeCell ref="E5940:H5940"/>
    <mergeCell ref="E5922:F5922"/>
    <mergeCell ref="E5923:F5923"/>
    <mergeCell ref="E5924:F5924"/>
    <mergeCell ref="E5925:F5925"/>
    <mergeCell ref="E5964:H5964"/>
    <mergeCell ref="E5965:H5965"/>
    <mergeCell ref="E5966:H5966"/>
    <mergeCell ref="E5967:H5967"/>
    <mergeCell ref="E5968:H5968"/>
    <mergeCell ref="E5969:H5969"/>
    <mergeCell ref="E5971:H5971"/>
    <mergeCell ref="E5972:F5972"/>
    <mergeCell ref="E5980:F5980"/>
    <mergeCell ref="E5985:H5985"/>
    <mergeCell ref="E5992:F5992"/>
    <mergeCell ref="E5993:F5993"/>
    <mergeCell ref="E5957:H5957"/>
    <mergeCell ref="E5973:F5973"/>
    <mergeCell ref="E5979:F5979"/>
    <mergeCell ref="E5984:H5984"/>
    <mergeCell ref="E5986:H5986"/>
    <mergeCell ref="E5987:H5987"/>
    <mergeCell ref="E5988:H5988"/>
    <mergeCell ref="E5989:H5989"/>
    <mergeCell ref="E5991:H5991"/>
    <mergeCell ref="E5954:H5954"/>
    <mergeCell ref="E5955:H5955"/>
    <mergeCell ref="E5950:F5950"/>
    <mergeCell ref="E5951:F5951"/>
    <mergeCell ref="E5953:H5953"/>
    <mergeCell ref="E5906:F5906"/>
    <mergeCell ref="E5908:F5908"/>
    <mergeCell ref="E5913:H5913"/>
    <mergeCell ref="E5914:H5914"/>
    <mergeCell ref="E5915:H5915"/>
    <mergeCell ref="E5916:H5916"/>
    <mergeCell ref="E5884:F5884"/>
    <mergeCell ref="E5892:H5892"/>
    <mergeCell ref="E6007:H6007"/>
    <mergeCell ref="E6011:F6011"/>
    <mergeCell ref="E6013:F6013"/>
    <mergeCell ref="E6014:F6014"/>
    <mergeCell ref="E6015:F6015"/>
    <mergeCell ref="E6016:F6016"/>
    <mergeCell ref="E6028:H6028"/>
    <mergeCell ref="E6029:H6029"/>
    <mergeCell ref="E6030:H6030"/>
    <mergeCell ref="E6040:F6040"/>
    <mergeCell ref="E6043:F6043"/>
    <mergeCell ref="E6044:F6044"/>
    <mergeCell ref="E6045:F6045"/>
    <mergeCell ref="E6067:F6067"/>
    <mergeCell ref="E6068:F6068"/>
    <mergeCell ref="E6075:H6075"/>
    <mergeCell ref="E6076:H6076"/>
    <mergeCell ref="E6089:F6089"/>
    <mergeCell ref="E6100:H6100"/>
    <mergeCell ref="E6109:H6109"/>
    <mergeCell ref="E6112:F6112"/>
    <mergeCell ref="E6054:F6054"/>
    <mergeCell ref="E6055:F6055"/>
    <mergeCell ref="E6056:F6056"/>
    <mergeCell ref="E6086:F6086"/>
    <mergeCell ref="E6087:F6087"/>
    <mergeCell ref="E6059:F6059"/>
    <mergeCell ref="E6060:F6060"/>
    <mergeCell ref="E6061:F6061"/>
    <mergeCell ref="E6062:F6062"/>
    <mergeCell ref="E6065:F6065"/>
    <mergeCell ref="E6066:F6066"/>
    <mergeCell ref="E6096:F6096"/>
    <mergeCell ref="E6101:H6101"/>
    <mergeCell ref="E6102:H6102"/>
    <mergeCell ref="E6008:H6008"/>
    <mergeCell ref="E6009:H6009"/>
    <mergeCell ref="E6010:H6010"/>
    <mergeCell ref="E6012:F6012"/>
    <mergeCell ref="E6017:F6017"/>
    <mergeCell ref="E6018:F6018"/>
    <mergeCell ref="E6019:F6019"/>
    <mergeCell ref="E6020:F6020"/>
    <mergeCell ref="E6021:F6021"/>
    <mergeCell ref="E6022:F6022"/>
    <mergeCell ref="E6031:F6031"/>
    <mergeCell ref="E6036:H6036"/>
    <mergeCell ref="E6037:H6037"/>
    <mergeCell ref="E6038:H6038"/>
    <mergeCell ref="E6041:F6041"/>
    <mergeCell ref="E6046:F6046"/>
    <mergeCell ref="E6047:F6047"/>
    <mergeCell ref="E6048:F6048"/>
    <mergeCell ref="E6026:H6026"/>
    <mergeCell ref="E6027:H6027"/>
    <mergeCell ref="E6033:F6033"/>
    <mergeCell ref="E6034:F6034"/>
    <mergeCell ref="E6074:H6074"/>
    <mergeCell ref="E6079:F6079"/>
    <mergeCell ref="E6050:F6050"/>
    <mergeCell ref="E6051:F6051"/>
    <mergeCell ref="E6052:F6052"/>
    <mergeCell ref="E6053:F6053"/>
    <mergeCell ref="E6064:F6064"/>
    <mergeCell ref="E6500:F6500"/>
    <mergeCell ref="E6507:H6507"/>
    <mergeCell ref="E6508:H6508"/>
    <mergeCell ref="E6490:F6490"/>
    <mergeCell ref="E6471:F6471"/>
    <mergeCell ref="E6518:F6518"/>
    <mergeCell ref="E6514:F6514"/>
    <mergeCell ref="E6515:F6515"/>
    <mergeCell ref="E6513:F6513"/>
    <mergeCell ref="E6529:F6529"/>
    <mergeCell ref="E6530:F6530"/>
    <mergeCell ref="E6415:F6415"/>
    <mergeCell ref="E6418:F6418"/>
    <mergeCell ref="E6419:F6419"/>
    <mergeCell ref="E6369:H6369"/>
    <mergeCell ref="E6391:F6391"/>
    <mergeCell ref="E6400:F6400"/>
    <mergeCell ref="E6379:F6379"/>
    <mergeCell ref="E6398:F6398"/>
    <mergeCell ref="E6552:F6552"/>
    <mergeCell ref="E6553:F6553"/>
    <mergeCell ref="E6601:F6601"/>
    <mergeCell ref="E6602:F6602"/>
    <mergeCell ref="E6610:H6610"/>
    <mergeCell ref="E6611:H6611"/>
    <mergeCell ref="E6583:F6583"/>
    <mergeCell ref="E6563:F6563"/>
    <mergeCell ref="E6580:H6580"/>
    <mergeCell ref="E6147:F6147"/>
    <mergeCell ref="E6148:F6148"/>
    <mergeCell ref="E6196:F6196"/>
    <mergeCell ref="E6208:F6208"/>
    <mergeCell ref="E6123:F6123"/>
    <mergeCell ref="E6069:F6069"/>
    <mergeCell ref="E6070:F6070"/>
    <mergeCell ref="E6077:F6077"/>
    <mergeCell ref="E6078:F6078"/>
    <mergeCell ref="E6088:F6088"/>
    <mergeCell ref="E6092:H6092"/>
    <mergeCell ref="E6093:F6093"/>
    <mergeCell ref="E6094:F6094"/>
    <mergeCell ref="E6095:F6095"/>
    <mergeCell ref="E6103:H6103"/>
    <mergeCell ref="E6104:H6104"/>
    <mergeCell ref="E6105:H6105"/>
    <mergeCell ref="E6106:H6106"/>
    <mergeCell ref="E6107:H6107"/>
    <mergeCell ref="E6108:H6108"/>
    <mergeCell ref="E6110:H6110"/>
    <mergeCell ref="E6111:H6111"/>
    <mergeCell ref="E6114:F6114"/>
    <mergeCell ref="E6115:F6115"/>
    <mergeCell ref="E6116:F6116"/>
    <mergeCell ref="E6117:F6117"/>
    <mergeCell ref="E6118:F6118"/>
    <mergeCell ref="E6119:F6119"/>
    <mergeCell ref="E6568:H6568"/>
    <mergeCell ref="E6569:H6569"/>
    <mergeCell ref="E6570:H6570"/>
    <mergeCell ref="E6571:H6571"/>
    <mergeCell ref="E6572:H6572"/>
    <mergeCell ref="E6573:H6573"/>
    <mergeCell ref="E6574:H6574"/>
    <mergeCell ref="E6575:H6575"/>
    <mergeCell ref="E6576:H6576"/>
    <mergeCell ref="E6577:H6577"/>
    <mergeCell ref="E6578:H6578"/>
    <mergeCell ref="E6579:H6579"/>
    <mergeCell ref="E6581:F6581"/>
    <mergeCell ref="E6582:F6582"/>
    <mergeCell ref="E6620:F6620"/>
    <mergeCell ref="E6621:F6621"/>
    <mergeCell ref="E6622:F6622"/>
    <mergeCell ref="E6627:F6627"/>
    <mergeCell ref="E6629:F6629"/>
    <mergeCell ref="E6598:H6598"/>
    <mergeCell ref="E6599:F6599"/>
    <mergeCell ref="E6600:F6600"/>
    <mergeCell ref="E6603:F6603"/>
    <mergeCell ref="E6604:F6604"/>
    <mergeCell ref="E6605:F6605"/>
    <mergeCell ref="E6606:F6606"/>
    <mergeCell ref="E6607:F6607"/>
    <mergeCell ref="E6608:F6608"/>
    <mergeCell ref="E6609:F6609"/>
    <mergeCell ref="E6618:H6618"/>
    <mergeCell ref="E6619:H6619"/>
    <mergeCell ref="E6628:F6628"/>
    <mergeCell ref="E6630:H6630"/>
    <mergeCell ref="E6588:F6588"/>
    <mergeCell ref="E6589:F6589"/>
    <mergeCell ref="E6593:H6593"/>
    <mergeCell ref="E6594:H6594"/>
    <mergeCell ref="E6595:H6595"/>
    <mergeCell ref="E6617:H6617"/>
    <mergeCell ref="E7082:H7082"/>
    <mergeCell ref="E7083:H7083"/>
    <mergeCell ref="E7085:F7085"/>
    <mergeCell ref="E7086:F7086"/>
    <mergeCell ref="E7087:F7087"/>
    <mergeCell ref="E7088:F7088"/>
    <mergeCell ref="E6874:F6874"/>
    <mergeCell ref="E6875:F6875"/>
    <mergeCell ref="E6876:F6876"/>
    <mergeCell ref="E6877:F6877"/>
    <mergeCell ref="E6878:F6878"/>
    <mergeCell ref="E6883:H6883"/>
    <mergeCell ref="E6884:H6884"/>
    <mergeCell ref="E6885:H6885"/>
    <mergeCell ref="E6886:H6886"/>
    <mergeCell ref="E6887:H6887"/>
    <mergeCell ref="E6888:H6888"/>
    <mergeCell ref="E6889:H6889"/>
    <mergeCell ref="E6890:H6890"/>
    <mergeCell ref="E6891:H6891"/>
    <mergeCell ref="E6892:H6892"/>
    <mergeCell ref="E6893:F6893"/>
    <mergeCell ref="E6894:F6894"/>
    <mergeCell ref="E6895:F6895"/>
    <mergeCell ref="E6896:F6896"/>
    <mergeCell ref="E6897:F6897"/>
    <mergeCell ref="E6898:F6898"/>
    <mergeCell ref="E6899:F6899"/>
    <mergeCell ref="E6900:F6900"/>
    <mergeCell ref="E6901:F6901"/>
    <mergeCell ref="E6902:F6902"/>
    <mergeCell ref="E6910:H6910"/>
    <mergeCell ref="E6911:H6911"/>
    <mergeCell ref="E6912:H6912"/>
    <mergeCell ref="E6913:H6913"/>
    <mergeCell ref="E6907:F6907"/>
    <mergeCell ref="E6908:F6908"/>
    <mergeCell ref="E6909:F6909"/>
    <mergeCell ref="E6881:F6881"/>
    <mergeCell ref="E6879:F6879"/>
    <mergeCell ref="E6880:F6880"/>
    <mergeCell ref="E6903:F6903"/>
    <mergeCell ref="E6904:F6904"/>
    <mergeCell ref="E6905:F6905"/>
    <mergeCell ref="E6906:F6906"/>
    <mergeCell ref="E6995:F6995"/>
    <mergeCell ref="E6996:F6996"/>
    <mergeCell ref="E6997:F6997"/>
    <mergeCell ref="E7008:H7008"/>
    <mergeCell ref="E7009:H7009"/>
    <mergeCell ref="E7010:H7010"/>
    <mergeCell ref="E7011:H7011"/>
    <mergeCell ref="E7015:H7015"/>
    <mergeCell ref="E7024:F7024"/>
    <mergeCell ref="E6960:F6960"/>
    <mergeCell ref="E6961:F6961"/>
    <mergeCell ref="E6966:H6966"/>
    <mergeCell ref="E6967:H6967"/>
    <mergeCell ref="E6968:H6968"/>
    <mergeCell ref="E6969:H6969"/>
    <mergeCell ref="E6979:F6979"/>
    <mergeCell ref="E6980:F6980"/>
    <mergeCell ref="E6981:F6981"/>
    <mergeCell ref="E6982:F6982"/>
    <mergeCell ref="E7226:F7226"/>
    <mergeCell ref="E7185:F7185"/>
    <mergeCell ref="E7186:F7186"/>
    <mergeCell ref="E7187:F7187"/>
    <mergeCell ref="E7188:F7188"/>
    <mergeCell ref="E7189:F7189"/>
    <mergeCell ref="E7200:F7200"/>
    <mergeCell ref="E7227:F7227"/>
    <mergeCell ref="E7228:F7228"/>
    <mergeCell ref="E7215:H7215"/>
    <mergeCell ref="E7213:H7213"/>
    <mergeCell ref="E7214:H7214"/>
    <mergeCell ref="E7211:H7211"/>
    <mergeCell ref="E7212:H7212"/>
    <mergeCell ref="E7234:H7234"/>
    <mergeCell ref="E7235:H7235"/>
    <mergeCell ref="E7236:H7236"/>
    <mergeCell ref="E7242:F7242"/>
    <mergeCell ref="E7143:H7143"/>
    <mergeCell ref="E7144:H7144"/>
    <mergeCell ref="E7145:H7145"/>
    <mergeCell ref="E7146:F7146"/>
    <mergeCell ref="E7147:F7147"/>
    <mergeCell ref="E7148:F7148"/>
    <mergeCell ref="E7149:F7149"/>
    <mergeCell ref="E7150:F7150"/>
    <mergeCell ref="E7151:F7151"/>
    <mergeCell ref="E7152:F7152"/>
    <mergeCell ref="E7180:F7180"/>
    <mergeCell ref="E7181:F7181"/>
    <mergeCell ref="E7182:F7182"/>
    <mergeCell ref="E7183:F7183"/>
    <mergeCell ref="E7191:H7191"/>
    <mergeCell ref="E7192:H7192"/>
    <mergeCell ref="E7184:F7184"/>
    <mergeCell ref="E7164:F7164"/>
    <mergeCell ref="E7165:F7165"/>
    <mergeCell ref="E7193:H7193"/>
    <mergeCell ref="E7194:H7194"/>
    <mergeCell ref="E7195:H7195"/>
    <mergeCell ref="E7196:H7196"/>
    <mergeCell ref="E7197:H7197"/>
    <mergeCell ref="E7153:F7153"/>
    <mergeCell ref="E7155:F7155"/>
    <mergeCell ref="E7158:F7158"/>
    <mergeCell ref="E7159:F7159"/>
    <mergeCell ref="E7162:F7162"/>
    <mergeCell ref="E7166:H7166"/>
    <mergeCell ref="E7167:H7167"/>
    <mergeCell ref="E7168:H7168"/>
    <mergeCell ref="E7169:H7169"/>
    <mergeCell ref="E7170:H7170"/>
    <mergeCell ref="E7225:F7225"/>
    <mergeCell ref="E7103:H7103"/>
    <mergeCell ref="E7452:F7452"/>
    <mergeCell ref="E7454:F7454"/>
    <mergeCell ref="E7455:F7455"/>
    <mergeCell ref="E7456:F7456"/>
    <mergeCell ref="E7462:H7462"/>
    <mergeCell ref="E7070:F7070"/>
    <mergeCell ref="E7071:F7071"/>
    <mergeCell ref="E7072:F7072"/>
    <mergeCell ref="E7077:H7077"/>
    <mergeCell ref="E7078:H7078"/>
    <mergeCell ref="E7079:H7079"/>
    <mergeCell ref="E7080:H7080"/>
    <mergeCell ref="E7081:H7081"/>
    <mergeCell ref="E7140:H7140"/>
    <mergeCell ref="E7141:H7141"/>
    <mergeCell ref="E7472:F7472"/>
    <mergeCell ref="E7473:F7473"/>
    <mergeCell ref="E7470:F7470"/>
    <mergeCell ref="E7471:F7471"/>
    <mergeCell ref="E7199:F7199"/>
    <mergeCell ref="E7202:F7202"/>
    <mergeCell ref="E7203:F7203"/>
    <mergeCell ref="E7204:F7204"/>
    <mergeCell ref="E7205:F7205"/>
    <mergeCell ref="E7206:F7206"/>
    <mergeCell ref="E7207:F7207"/>
    <mergeCell ref="E7208:F7208"/>
    <mergeCell ref="E7209:F7209"/>
    <mergeCell ref="E7210:F7210"/>
    <mergeCell ref="E7216:H7216"/>
    <mergeCell ref="E7217:H7217"/>
    <mergeCell ref="E7218:H7218"/>
    <mergeCell ref="E7219:H7219"/>
    <mergeCell ref="E7220:H7220"/>
    <mergeCell ref="E7229:F7229"/>
    <mergeCell ref="E7230:F7230"/>
    <mergeCell ref="E7231:F7231"/>
    <mergeCell ref="E7232:F7232"/>
    <mergeCell ref="E7233:F7233"/>
    <mergeCell ref="E7237:H7237"/>
    <mergeCell ref="E7238:H7238"/>
    <mergeCell ref="E7239:H7239"/>
    <mergeCell ref="E7240:H7240"/>
    <mergeCell ref="E7241:H7241"/>
    <mergeCell ref="E7261:F7261"/>
    <mergeCell ref="E7265:H7265"/>
    <mergeCell ref="E7266:H7266"/>
    <mergeCell ref="E7243:F7243"/>
    <mergeCell ref="E7244:F7244"/>
    <mergeCell ref="E7142:H7142"/>
    <mergeCell ref="E7154:F7154"/>
    <mergeCell ref="E7156:F7156"/>
    <mergeCell ref="E7157:F7157"/>
    <mergeCell ref="E7161:H7161"/>
    <mergeCell ref="E7178:H7178"/>
    <mergeCell ref="E7179:H7179"/>
    <mergeCell ref="E7190:F7190"/>
    <mergeCell ref="E7198:H7198"/>
    <mergeCell ref="E7201:F7201"/>
    <mergeCell ref="E7221:F7221"/>
    <mergeCell ref="E7222:F7222"/>
    <mergeCell ref="E7223:F7223"/>
    <mergeCell ref="E7224:F7224"/>
    <mergeCell ref="E7369:F7369"/>
    <mergeCell ref="E7370:F7370"/>
    <mergeCell ref="E7371:F7371"/>
    <mergeCell ref="E7372:F7372"/>
    <mergeCell ref="E7373:F7373"/>
    <mergeCell ref="E7368:F7368"/>
    <mergeCell ref="E7358:H7358"/>
    <mergeCell ref="E7374:F7374"/>
    <mergeCell ref="E7375:F7375"/>
    <mergeCell ref="E7378:F7378"/>
    <mergeCell ref="E7385:H7385"/>
    <mergeCell ref="E7356:F7356"/>
    <mergeCell ref="E7357:F7357"/>
    <mergeCell ref="E7362:H7362"/>
    <mergeCell ref="E7363:H7363"/>
    <mergeCell ref="E7364:H7364"/>
    <mergeCell ref="E7365:H7365"/>
    <mergeCell ref="E7366:H7366"/>
    <mergeCell ref="E7367:H7367"/>
    <mergeCell ref="E7330:F7330"/>
    <mergeCell ref="E7332:F7332"/>
    <mergeCell ref="E7334:H7334"/>
    <mergeCell ref="E7335:H7335"/>
    <mergeCell ref="E7339:H7339"/>
    <mergeCell ref="E7340:H7340"/>
    <mergeCell ref="E7341:H7341"/>
    <mergeCell ref="E7345:F7345"/>
    <mergeCell ref="E7338:H7338"/>
    <mergeCell ref="E7342:F7342"/>
    <mergeCell ref="E7347:F7347"/>
    <mergeCell ref="E7348:F7348"/>
    <mergeCell ref="E7349:F7349"/>
    <mergeCell ref="E7350:F7350"/>
    <mergeCell ref="E7343:F7343"/>
    <mergeCell ref="E7346:F7346"/>
    <mergeCell ref="E7344:F7344"/>
    <mergeCell ref="E7507:F7507"/>
    <mergeCell ref="E7508:F7508"/>
    <mergeCell ref="E7509:F7509"/>
    <mergeCell ref="E7519:F7519"/>
    <mergeCell ref="E7722:F7722"/>
    <mergeCell ref="E7723:F7723"/>
    <mergeCell ref="E7725:F7725"/>
    <mergeCell ref="E7727:F7727"/>
    <mergeCell ref="E7735:H7735"/>
    <mergeCell ref="E7489:H7489"/>
    <mergeCell ref="E7490:H7490"/>
    <mergeCell ref="E7491:H7491"/>
    <mergeCell ref="E7492:H7492"/>
    <mergeCell ref="E7493:H7493"/>
    <mergeCell ref="E7656:F7656"/>
    <mergeCell ref="E7657:F7657"/>
    <mergeCell ref="E7561:H7561"/>
    <mergeCell ref="E7562:H7562"/>
    <mergeCell ref="E7563:H7563"/>
    <mergeCell ref="E7564:H7564"/>
    <mergeCell ref="E7565:H7565"/>
    <mergeCell ref="E7571:F7571"/>
    <mergeCell ref="E7580:H7580"/>
    <mergeCell ref="E7581:H7581"/>
    <mergeCell ref="E7583:H7583"/>
    <mergeCell ref="E7584:H7584"/>
    <mergeCell ref="E7585:H7585"/>
    <mergeCell ref="E7586:H7586"/>
    <mergeCell ref="E7587:H7587"/>
    <mergeCell ref="E7476:F7476"/>
    <mergeCell ref="E7479:F7479"/>
    <mergeCell ref="E7274:F7274"/>
    <mergeCell ref="E7275:F7275"/>
    <mergeCell ref="E7276:F7276"/>
    <mergeCell ref="E7277:F7277"/>
    <mergeCell ref="E7422:F7422"/>
    <mergeCell ref="E7423:F7423"/>
    <mergeCell ref="E7416:F7416"/>
    <mergeCell ref="E7280:F7280"/>
    <mergeCell ref="E7281:F7281"/>
    <mergeCell ref="E7286:H7286"/>
    <mergeCell ref="E7287:H7287"/>
    <mergeCell ref="E7301:F7301"/>
    <mergeCell ref="E7304:F7304"/>
    <mergeCell ref="E7305:F7305"/>
    <mergeCell ref="E7309:H7309"/>
    <mergeCell ref="E7310:H7310"/>
    <mergeCell ref="E7311:H7311"/>
    <mergeCell ref="E7312:H7312"/>
    <mergeCell ref="E7313:H7313"/>
    <mergeCell ref="E7314:H7314"/>
    <mergeCell ref="E7315:H7315"/>
    <mergeCell ref="E7316:H7316"/>
    <mergeCell ref="E7317:H7317"/>
    <mergeCell ref="E7318:H7318"/>
    <mergeCell ref="E7319:H7319"/>
    <mergeCell ref="E7323:F7323"/>
    <mergeCell ref="E7324:F7324"/>
    <mergeCell ref="E7325:F7325"/>
    <mergeCell ref="E7326:F7326"/>
    <mergeCell ref="E7327:F7327"/>
    <mergeCell ref="E7328:F7328"/>
    <mergeCell ref="E7329:F7329"/>
    <mergeCell ref="E7361:H7361"/>
    <mergeCell ref="E7386:H7386"/>
    <mergeCell ref="E7387:H7387"/>
    <mergeCell ref="E7388:H7388"/>
    <mergeCell ref="E7389:H7389"/>
    <mergeCell ref="E7390:H7390"/>
    <mergeCell ref="E7395:F7395"/>
    <mergeCell ref="E7403:F7403"/>
    <mergeCell ref="E7408:H7408"/>
    <mergeCell ref="E7409:H7409"/>
    <mergeCell ref="E7410:H7410"/>
    <mergeCell ref="E7474:F7474"/>
    <mergeCell ref="E7475:F7475"/>
    <mergeCell ref="E7463:F7463"/>
    <mergeCell ref="E7440:H7440"/>
    <mergeCell ref="E7444:F7444"/>
    <mergeCell ref="E7445:F7445"/>
    <mergeCell ref="E7400:F7400"/>
    <mergeCell ref="E7401:F7401"/>
    <mergeCell ref="E7402:F7402"/>
    <mergeCell ref="E7404:F7404"/>
    <mergeCell ref="E7698:F7698"/>
    <mergeCell ref="E7700:F7700"/>
    <mergeCell ref="E7724:F7724"/>
    <mergeCell ref="E7726:F7726"/>
    <mergeCell ref="E7748:F7748"/>
    <mergeCell ref="E7750:F7750"/>
    <mergeCell ref="E7755:H7755"/>
    <mergeCell ref="E7432:H7432"/>
    <mergeCell ref="E7352:F7352"/>
    <mergeCell ref="E7353:F7353"/>
    <mergeCell ref="E7354:F7354"/>
    <mergeCell ref="E7355:F7355"/>
    <mergeCell ref="E7359:H7359"/>
    <mergeCell ref="E7360:H7360"/>
    <mergeCell ref="E7647:F7647"/>
    <mergeCell ref="E7632:F7632"/>
    <mergeCell ref="E7633:F7633"/>
    <mergeCell ref="E7634:F7634"/>
    <mergeCell ref="E7635:F7635"/>
    <mergeCell ref="E7636:F7636"/>
    <mergeCell ref="E7637:F7637"/>
    <mergeCell ref="E7639:F7639"/>
    <mergeCell ref="E7640:F7640"/>
    <mergeCell ref="E7664:F7664"/>
    <mergeCell ref="E7687:F7687"/>
    <mergeCell ref="E7658:F7658"/>
    <mergeCell ref="E7441:H7441"/>
    <mergeCell ref="E7442:H7442"/>
    <mergeCell ref="E7495:F7495"/>
    <mergeCell ref="E7496:F7496"/>
    <mergeCell ref="E7497:F7497"/>
    <mergeCell ref="E7518:F7518"/>
    <mergeCell ref="E7505:F7505"/>
    <mergeCell ref="E7506:F7506"/>
    <mergeCell ref="E7610:F7610"/>
    <mergeCell ref="E7547:F7547"/>
    <mergeCell ref="E7599:F7599"/>
    <mergeCell ref="E7601:F7601"/>
    <mergeCell ref="E7570:F7570"/>
    <mergeCell ref="E7572:F7572"/>
    <mergeCell ref="E7566:F7566"/>
    <mergeCell ref="E7567:F7567"/>
    <mergeCell ref="E7568:F7568"/>
    <mergeCell ref="E7569:F7569"/>
    <mergeCell ref="E8031:H8031"/>
    <mergeCell ref="E8032:H8032"/>
    <mergeCell ref="E8033:H8033"/>
    <mergeCell ref="E8034:H8034"/>
    <mergeCell ref="E8035:H8035"/>
    <mergeCell ref="E8036:H8036"/>
    <mergeCell ref="E8037:H8037"/>
    <mergeCell ref="E8038:H8038"/>
    <mergeCell ref="E7766:F7766"/>
    <mergeCell ref="E7769:H7769"/>
    <mergeCell ref="E7770:H7770"/>
    <mergeCell ref="E7843:F7843"/>
    <mergeCell ref="E7844:F7844"/>
    <mergeCell ref="E7845:F7845"/>
    <mergeCell ref="E7846:F7846"/>
    <mergeCell ref="E7848:H7848"/>
    <mergeCell ref="E7849:H7849"/>
    <mergeCell ref="E7962:F7962"/>
    <mergeCell ref="E7963:F7963"/>
    <mergeCell ref="E7964:F7964"/>
    <mergeCell ref="E7965:F7965"/>
    <mergeCell ref="E7973:H7973"/>
    <mergeCell ref="E7974:H7974"/>
    <mergeCell ref="E7976:H7976"/>
    <mergeCell ref="E7977:H7977"/>
    <mergeCell ref="E7978:H7978"/>
    <mergeCell ref="E7979:H7979"/>
    <mergeCell ref="E7981:F7981"/>
    <mergeCell ref="E7982:F7982"/>
    <mergeCell ref="E7983:F7983"/>
    <mergeCell ref="E7984:F7984"/>
    <mergeCell ref="E7985:F7985"/>
    <mergeCell ref="E7784:F7784"/>
    <mergeCell ref="E7787:F7787"/>
    <mergeCell ref="E7783:F7783"/>
    <mergeCell ref="E7806:F7806"/>
    <mergeCell ref="E7805:F7805"/>
    <mergeCell ref="E7786:F7786"/>
    <mergeCell ref="E7804:F7804"/>
    <mergeCell ref="E7921:H7921"/>
    <mergeCell ref="E7922:H7922"/>
    <mergeCell ref="E7881:F7881"/>
    <mergeCell ref="E7882:F7882"/>
    <mergeCell ref="E7871:F7871"/>
    <mergeCell ref="E7872:F7872"/>
    <mergeCell ref="E7873:F7873"/>
    <mergeCell ref="E7874:F7874"/>
    <mergeCell ref="E7875:F7875"/>
    <mergeCell ref="E7876:F7876"/>
    <mergeCell ref="E8030:F8030"/>
    <mergeCell ref="E8010:F8010"/>
    <mergeCell ref="E8008:F8008"/>
    <mergeCell ref="E8021:F8021"/>
    <mergeCell ref="E8022:F8022"/>
    <mergeCell ref="E8023:F8023"/>
    <mergeCell ref="E7880:F7880"/>
    <mergeCell ref="E7894:F7894"/>
    <mergeCell ref="E7905:F7905"/>
    <mergeCell ref="E7892:F7892"/>
    <mergeCell ref="E7893:F7893"/>
    <mergeCell ref="E7995:H7995"/>
    <mergeCell ref="E7996:H7996"/>
    <mergeCell ref="E7958:H7958"/>
    <mergeCell ref="E7931:F7931"/>
    <mergeCell ref="E8039:F8039"/>
    <mergeCell ref="E8011:H8011"/>
    <mergeCell ref="E8012:H8012"/>
    <mergeCell ref="E8013:H8013"/>
    <mergeCell ref="E8014:H8014"/>
    <mergeCell ref="E8015:H8015"/>
    <mergeCell ref="E8016:H8016"/>
    <mergeCell ref="E8017:H8017"/>
    <mergeCell ref="E8018:H8018"/>
    <mergeCell ref="E8019:H8019"/>
    <mergeCell ref="E8020:H8020"/>
    <mergeCell ref="E8024:F8024"/>
    <mergeCell ref="E8025:F8025"/>
    <mergeCell ref="E8026:F8026"/>
    <mergeCell ref="E8027:F8027"/>
    <mergeCell ref="E8028:F8028"/>
    <mergeCell ref="E8029:F8029"/>
    <mergeCell ref="E8056:H8056"/>
    <mergeCell ref="E8046:F8046"/>
    <mergeCell ref="E8053:H8053"/>
    <mergeCell ref="E8054:H8054"/>
    <mergeCell ref="E8044:F8044"/>
    <mergeCell ref="E8045:F8045"/>
    <mergeCell ref="E8048:F8048"/>
    <mergeCell ref="E7906:F7906"/>
    <mergeCell ref="E7907:F7907"/>
    <mergeCell ref="E7908:F7908"/>
    <mergeCell ref="E7997:H7997"/>
    <mergeCell ref="E7998:H7998"/>
    <mergeCell ref="E7999:H7999"/>
    <mergeCell ref="E8000:H8000"/>
    <mergeCell ref="E8003:F8003"/>
    <mergeCell ref="E8040:F8040"/>
    <mergeCell ref="E8041:F8041"/>
    <mergeCell ref="E8042:F8042"/>
    <mergeCell ref="E7971:H7971"/>
    <mergeCell ref="E7972:H7972"/>
    <mergeCell ref="E7986:F7986"/>
    <mergeCell ref="E7987:F7987"/>
    <mergeCell ref="E7988:F7988"/>
    <mergeCell ref="E7989:F7989"/>
    <mergeCell ref="E7953:H7953"/>
    <mergeCell ref="E7954:H7954"/>
    <mergeCell ref="E7955:H7955"/>
    <mergeCell ref="E7956:H7956"/>
    <mergeCell ref="E7960:F7960"/>
    <mergeCell ref="E7961:F7961"/>
    <mergeCell ref="E7930:F7930"/>
    <mergeCell ref="E8009:F8009"/>
    <mergeCell ref="E7935:H7935"/>
    <mergeCell ref="E7936:H7936"/>
    <mergeCell ref="E7937:H7937"/>
    <mergeCell ref="E7938:H7938"/>
    <mergeCell ref="E7939:H7939"/>
    <mergeCell ref="E7919:H7919"/>
    <mergeCell ref="E7942:F7942"/>
    <mergeCell ref="E7950:F7950"/>
    <mergeCell ref="E7959:H7959"/>
    <mergeCell ref="E7980:H7980"/>
    <mergeCell ref="E7990:F7990"/>
    <mergeCell ref="E7991:H7991"/>
    <mergeCell ref="E7992:H7992"/>
    <mergeCell ref="E7993:H7993"/>
    <mergeCell ref="E7994:H7994"/>
    <mergeCell ref="E8173:F8173"/>
    <mergeCell ref="E8150:H8150"/>
    <mergeCell ref="E8050:H8050"/>
    <mergeCell ref="E8051:H8051"/>
    <mergeCell ref="E8052:H8052"/>
    <mergeCell ref="E8331:F8331"/>
    <mergeCell ref="E8332:F8332"/>
    <mergeCell ref="E8338:H8338"/>
    <mergeCell ref="E8339:H8339"/>
    <mergeCell ref="E8340:H8340"/>
    <mergeCell ref="E8341:H8341"/>
    <mergeCell ref="E8342:H8342"/>
    <mergeCell ref="E8343:H8343"/>
    <mergeCell ref="E8344:H8344"/>
    <mergeCell ref="E8345:H8345"/>
    <mergeCell ref="E8346:H8346"/>
    <mergeCell ref="E8352:F8352"/>
    <mergeCell ref="E8354:F8354"/>
    <mergeCell ref="E8374:F8374"/>
    <mergeCell ref="E8375:F8375"/>
    <mergeCell ref="E8376:F8376"/>
    <mergeCell ref="E8209:F8209"/>
    <mergeCell ref="E8216:H8216"/>
    <mergeCell ref="E8225:F8225"/>
    <mergeCell ref="E8226:F8226"/>
    <mergeCell ref="E8227:F8227"/>
    <mergeCell ref="E8228:F8228"/>
    <mergeCell ref="E8229:F8229"/>
    <mergeCell ref="E8230:F8230"/>
    <mergeCell ref="E8210:F8210"/>
    <mergeCell ref="E8218:H8218"/>
    <mergeCell ref="E8169:F8169"/>
    <mergeCell ref="E8183:F8183"/>
    <mergeCell ref="E8184:F8184"/>
    <mergeCell ref="E8327:F8327"/>
    <mergeCell ref="E8330:H8330"/>
    <mergeCell ref="E8333:H8333"/>
    <mergeCell ref="E8334:H8334"/>
    <mergeCell ref="E8335:H8335"/>
    <mergeCell ref="E8336:H8336"/>
    <mergeCell ref="E8337:H8337"/>
    <mergeCell ref="E8365:H8365"/>
    <mergeCell ref="E8117:F8117"/>
    <mergeCell ref="E8118:F8118"/>
    <mergeCell ref="E8119:F8119"/>
    <mergeCell ref="E8168:F8168"/>
    <mergeCell ref="E8133:F8133"/>
    <mergeCell ref="E8136:F8136"/>
    <mergeCell ref="E8137:F8137"/>
    <mergeCell ref="E8111:F8111"/>
    <mergeCell ref="E8113:F8113"/>
    <mergeCell ref="E8124:H8124"/>
    <mergeCell ref="E8198:H8198"/>
    <mergeCell ref="E8199:H8199"/>
    <mergeCell ref="E8200:H8200"/>
    <mergeCell ref="E8201:H8201"/>
    <mergeCell ref="E8202:H8202"/>
    <mergeCell ref="E8187:F8187"/>
    <mergeCell ref="E8304:F8304"/>
    <mergeCell ref="E8305:F8305"/>
    <mergeCell ref="E8219:H8219"/>
    <mergeCell ref="E8220:H8220"/>
    <mergeCell ref="E8203:H8203"/>
    <mergeCell ref="E8072:H8072"/>
    <mergeCell ref="E8493:F8493"/>
    <mergeCell ref="E8494:F8494"/>
    <mergeCell ref="E8495:F8495"/>
    <mergeCell ref="E8496:F8496"/>
    <mergeCell ref="E8464:F8464"/>
    <mergeCell ref="E8465:F8465"/>
    <mergeCell ref="E8502:F8502"/>
    <mergeCell ref="E8503:F8503"/>
    <mergeCell ref="E8507:H8507"/>
    <mergeCell ref="E8523:F8523"/>
    <mergeCell ref="E8501:H8501"/>
    <mergeCell ref="E8504:H8504"/>
    <mergeCell ref="E8505:H8505"/>
    <mergeCell ref="E8506:H8506"/>
    <mergeCell ref="E8508:H8508"/>
    <mergeCell ref="E8509:H8509"/>
    <mergeCell ref="E8510:H8510"/>
    <mergeCell ref="E8511:H8511"/>
    <mergeCell ref="E8459:H8459"/>
    <mergeCell ref="E8460:H8460"/>
    <mergeCell ref="E8422:H8422"/>
    <mergeCell ref="E8423:H8423"/>
    <mergeCell ref="E8424:H8424"/>
    <mergeCell ref="E8428:F8428"/>
    <mergeCell ref="E8302:F8302"/>
    <mergeCell ref="E8324:F8324"/>
    <mergeCell ref="E8325:F8325"/>
    <mergeCell ref="E8385:H8385"/>
    <mergeCell ref="E8388:F8388"/>
    <mergeCell ref="E8328:F8328"/>
    <mergeCell ref="E8408:H8408"/>
    <mergeCell ref="E8410:F8410"/>
    <mergeCell ref="E8411:F8411"/>
    <mergeCell ref="E8412:F8412"/>
    <mergeCell ref="E8413:F8413"/>
    <mergeCell ref="E8414:F8414"/>
    <mergeCell ref="E8416:F8416"/>
    <mergeCell ref="E8417:F8417"/>
    <mergeCell ref="E8418:F8418"/>
    <mergeCell ref="E8419:F8419"/>
    <mergeCell ref="E8425:H8425"/>
    <mergeCell ref="E8378:H8378"/>
    <mergeCell ref="E8379:H8379"/>
    <mergeCell ref="E8380:H8380"/>
    <mergeCell ref="E8381:H8381"/>
    <mergeCell ref="E8382:H8382"/>
    <mergeCell ref="E8383:H8383"/>
    <mergeCell ref="E8384:H8384"/>
    <mergeCell ref="E8389:F8389"/>
    <mergeCell ref="E8390:F8390"/>
    <mergeCell ref="E8391:F8391"/>
    <mergeCell ref="E8394:H8394"/>
    <mergeCell ref="E8399:H8399"/>
    <mergeCell ref="E8396:F8396"/>
    <mergeCell ref="E8450:F8450"/>
    <mergeCell ref="E8452:F8452"/>
    <mergeCell ref="E8453:F8453"/>
    <mergeCell ref="E8454:F8454"/>
    <mergeCell ref="E8455:F8455"/>
    <mergeCell ref="E8456:H8456"/>
    <mergeCell ref="E8406:H8406"/>
    <mergeCell ref="E8479:H8479"/>
    <mergeCell ref="E8480:H8480"/>
    <mergeCell ref="E8481:H8481"/>
    <mergeCell ref="E8623:H8623"/>
    <mergeCell ref="E8648:H8648"/>
    <mergeCell ref="E8696:H8696"/>
    <mergeCell ref="E8534:H8534"/>
    <mergeCell ref="E8535:H8535"/>
    <mergeCell ref="E8536:H8536"/>
    <mergeCell ref="E8537:H8537"/>
    <mergeCell ref="E8538:H8538"/>
    <mergeCell ref="E8539:H8539"/>
    <mergeCell ref="E8540:H8540"/>
    <mergeCell ref="E8541:H8541"/>
    <mergeCell ref="E8544:F8544"/>
    <mergeCell ref="E8545:F8545"/>
    <mergeCell ref="E8546:F8546"/>
    <mergeCell ref="E8547:F8547"/>
    <mergeCell ref="E8548:F8548"/>
    <mergeCell ref="E8549:F8549"/>
    <mergeCell ref="E8550:F8550"/>
    <mergeCell ref="E8552:F8552"/>
    <mergeCell ref="E8553:F8553"/>
    <mergeCell ref="E8554:F8554"/>
    <mergeCell ref="E8577:F8577"/>
    <mergeCell ref="E8579:H8579"/>
    <mergeCell ref="E8580:H8580"/>
    <mergeCell ref="E8581:H8581"/>
    <mergeCell ref="E8582:H8582"/>
    <mergeCell ref="E8583:H8583"/>
    <mergeCell ref="E8584:H8584"/>
    <mergeCell ref="E8585:H8585"/>
    <mergeCell ref="E8588:F8588"/>
    <mergeCell ref="E8589:F8589"/>
    <mergeCell ref="E8676:F8676"/>
    <mergeCell ref="E8690:H8690"/>
    <mergeCell ref="E8594:F8594"/>
    <mergeCell ref="E8645:H8645"/>
    <mergeCell ref="E8651:F8651"/>
    <mergeCell ref="E8652:F8652"/>
    <mergeCell ref="E8653:F8653"/>
    <mergeCell ref="E8663:H8663"/>
    <mergeCell ref="E8664:H8664"/>
    <mergeCell ref="E8665:H8665"/>
    <mergeCell ref="E8666:H8666"/>
    <mergeCell ref="E8674:F8674"/>
    <mergeCell ref="E8675:F8675"/>
    <mergeCell ref="E8627:H8627"/>
    <mergeCell ref="E8628:H8628"/>
    <mergeCell ref="E8629:H8629"/>
    <mergeCell ref="E8633:F8633"/>
    <mergeCell ref="E8634:F8634"/>
    <mergeCell ref="E8635:F8635"/>
    <mergeCell ref="E8636:F8636"/>
    <mergeCell ref="E8637:F8637"/>
    <mergeCell ref="E8638:F8638"/>
    <mergeCell ref="E8639:F8639"/>
    <mergeCell ref="E8643:H8643"/>
    <mergeCell ref="E8644:H8644"/>
    <mergeCell ref="E8646:H8646"/>
    <mergeCell ref="E8647:H8647"/>
    <mergeCell ref="E8650:F8650"/>
    <mergeCell ref="E8654:F8654"/>
    <mergeCell ref="E8655:F8655"/>
    <mergeCell ref="E8658:F8658"/>
    <mergeCell ref="E8659:F8659"/>
    <mergeCell ref="E8660:F8660"/>
    <mergeCell ref="E8840:H8840"/>
    <mergeCell ref="E8841:H8841"/>
    <mergeCell ref="E8843:F8843"/>
    <mergeCell ref="E8776:F8776"/>
    <mergeCell ref="E8794:F8794"/>
    <mergeCell ref="E8795:F8795"/>
    <mergeCell ref="E8802:F8802"/>
    <mergeCell ref="E8804:F8804"/>
    <mergeCell ref="E8805:F8805"/>
    <mergeCell ref="E8806:F8806"/>
    <mergeCell ref="E8807:F8807"/>
    <mergeCell ref="E8816:H8816"/>
    <mergeCell ref="E8832:H8832"/>
    <mergeCell ref="E8833:H8833"/>
    <mergeCell ref="E8828:F8828"/>
    <mergeCell ref="E8780:F8780"/>
    <mergeCell ref="E8782:F8782"/>
    <mergeCell ref="E8783:F8783"/>
    <mergeCell ref="E8784:F8784"/>
    <mergeCell ref="E8829:F8829"/>
    <mergeCell ref="E8830:F8830"/>
    <mergeCell ref="E8831:F8831"/>
    <mergeCell ref="E8837:H8837"/>
    <mergeCell ref="E8834:H8834"/>
    <mergeCell ref="E8835:H8835"/>
    <mergeCell ref="E8865:F8865"/>
    <mergeCell ref="E9232:F9232"/>
    <mergeCell ref="E9233:F9233"/>
    <mergeCell ref="E9234:F9234"/>
    <mergeCell ref="E9214:F9214"/>
    <mergeCell ref="E9215:F9215"/>
    <mergeCell ref="E9173:F9173"/>
    <mergeCell ref="E9174:F9174"/>
    <mergeCell ref="E9175:F9175"/>
    <mergeCell ref="E9176:F9176"/>
    <mergeCell ref="E9178:F9178"/>
    <mergeCell ref="E9179:F9179"/>
    <mergeCell ref="E9172:F9172"/>
    <mergeCell ref="E9169:F9169"/>
    <mergeCell ref="E9170:F9170"/>
    <mergeCell ref="E9171:F9171"/>
    <mergeCell ref="E9219:H9219"/>
    <mergeCell ref="E9220:H9220"/>
    <mergeCell ref="E9221:H9221"/>
    <mergeCell ref="E9222:H9222"/>
    <mergeCell ref="E9223:H9223"/>
    <mergeCell ref="E9230:F9230"/>
    <mergeCell ref="E9231:F9231"/>
    <mergeCell ref="E9158:F9158"/>
    <mergeCell ref="E9159:F9159"/>
    <mergeCell ref="E9165:F9165"/>
    <mergeCell ref="E9180:F9180"/>
    <mergeCell ref="E9181:F9181"/>
    <mergeCell ref="E9182:F9182"/>
    <mergeCell ref="E9184:F9184"/>
    <mergeCell ref="E9185:F9185"/>
    <mergeCell ref="E9186:F9186"/>
    <mergeCell ref="E9187:F9187"/>
    <mergeCell ref="E9188:F9188"/>
    <mergeCell ref="E9189:F9189"/>
    <mergeCell ref="E9192:H9192"/>
    <mergeCell ref="E9193:H9193"/>
    <mergeCell ref="E9194:H9194"/>
    <mergeCell ref="E9195:H9195"/>
    <mergeCell ref="E9238:F9238"/>
    <mergeCell ref="E9273:F9273"/>
    <mergeCell ref="E9276:F9276"/>
    <mergeCell ref="E9282:H9282"/>
    <mergeCell ref="E9283:H9283"/>
    <mergeCell ref="E9529:H9529"/>
    <mergeCell ref="E9530:H9530"/>
    <mergeCell ref="E9554:F9554"/>
    <mergeCell ref="E9372:F9372"/>
    <mergeCell ref="E9375:F9375"/>
    <mergeCell ref="E9376:F9376"/>
    <mergeCell ref="E9384:H9384"/>
    <mergeCell ref="E9385:H9385"/>
    <mergeCell ref="E9386:H9386"/>
    <mergeCell ref="E9387:H9387"/>
    <mergeCell ref="E9388:H9388"/>
    <mergeCell ref="E9389:H9389"/>
    <mergeCell ref="E9390:H9390"/>
    <mergeCell ref="E9393:F9393"/>
    <mergeCell ref="E9394:F9394"/>
    <mergeCell ref="E9395:F9395"/>
    <mergeCell ref="E9396:F9396"/>
    <mergeCell ref="E9398:F9398"/>
    <mergeCell ref="E9399:F9399"/>
    <mergeCell ref="E9400:F9400"/>
    <mergeCell ref="E9402:H9402"/>
    <mergeCell ref="E9403:H9403"/>
    <mergeCell ref="E9404:H9404"/>
    <mergeCell ref="E9405:H9405"/>
    <mergeCell ref="E9406:H9406"/>
    <mergeCell ref="E9407:H9407"/>
    <mergeCell ref="E9408:H9408"/>
    <mergeCell ref="E9409:H9409"/>
    <mergeCell ref="E9410:F9410"/>
    <mergeCell ref="E9411:F9411"/>
    <mergeCell ref="E9412:F9412"/>
    <mergeCell ref="E9348:F9348"/>
    <mergeCell ref="E9345:F9345"/>
    <mergeCell ref="E9346:F9346"/>
    <mergeCell ref="E9355:H9355"/>
    <mergeCell ref="E9371:F9371"/>
    <mergeCell ref="E9401:F9401"/>
    <mergeCell ref="E9347:F9347"/>
    <mergeCell ref="E9350:F9350"/>
    <mergeCell ref="E9351:F9351"/>
    <mergeCell ref="E9356:H9356"/>
    <mergeCell ref="E9357:H9357"/>
    <mergeCell ref="E9358:H9358"/>
    <mergeCell ref="E9362:F9362"/>
    <mergeCell ref="E9363:F9363"/>
    <mergeCell ref="E9364:F9364"/>
    <mergeCell ref="E9374:H9374"/>
    <mergeCell ref="E9377:H9377"/>
    <mergeCell ref="E9378:H9378"/>
    <mergeCell ref="E9379:H9379"/>
    <mergeCell ref="E9380:H9380"/>
    <mergeCell ref="E9381:H9381"/>
    <mergeCell ref="E9382:H9382"/>
    <mergeCell ref="E9383:H9383"/>
    <mergeCell ref="E9391:F9391"/>
    <mergeCell ref="E9392:F9392"/>
    <mergeCell ref="E9397:H9397"/>
    <mergeCell ref="E9354:H9354"/>
    <mergeCell ref="E9366:F9366"/>
    <mergeCell ref="E9367:F9367"/>
    <mergeCell ref="E9369:F9369"/>
    <mergeCell ref="E9370:F9370"/>
    <mergeCell ref="E9555:F9555"/>
    <mergeCell ref="E9556:F9556"/>
    <mergeCell ref="E9557:F9557"/>
    <mergeCell ref="E9558:F9558"/>
    <mergeCell ref="E9566:F9566"/>
    <mergeCell ref="E9546:H9546"/>
    <mergeCell ref="E9539:F9539"/>
    <mergeCell ref="E9415:F9415"/>
    <mergeCell ref="E9416:F9416"/>
    <mergeCell ref="E9365:F9365"/>
    <mergeCell ref="E9417:F9417"/>
    <mergeCell ref="E9418:H9418"/>
    <mergeCell ref="E9423:H9423"/>
    <mergeCell ref="E9424:H9424"/>
    <mergeCell ref="E9425:H9425"/>
    <mergeCell ref="E9426:H9426"/>
    <mergeCell ref="E9434:F9434"/>
    <mergeCell ref="E9419:F9419"/>
    <mergeCell ref="E9420:F9420"/>
    <mergeCell ref="E9421:F9421"/>
    <mergeCell ref="E9359:F9359"/>
    <mergeCell ref="E9360:F9360"/>
    <mergeCell ref="E9361:F9361"/>
    <mergeCell ref="E9436:F9436"/>
    <mergeCell ref="E9439:F9439"/>
    <mergeCell ref="E9440:F9440"/>
    <mergeCell ref="E9442:F9442"/>
    <mergeCell ref="E9443:F9443"/>
    <mergeCell ref="E9446:H9446"/>
    <mergeCell ref="E9447:H9447"/>
    <mergeCell ref="E9448:H9448"/>
    <mergeCell ref="E9449:H9449"/>
    <mergeCell ref="E9450:H9450"/>
    <mergeCell ref="E9451:H9451"/>
    <mergeCell ref="E9452:H9452"/>
    <mergeCell ref="E9453:H9453"/>
    <mergeCell ref="E9454:H9454"/>
    <mergeCell ref="E9455:H9455"/>
    <mergeCell ref="E9456:H9456"/>
    <mergeCell ref="E9457:F9457"/>
    <mergeCell ref="E9368:F9368"/>
    <mergeCell ref="E9444:F9444"/>
    <mergeCell ref="E9445:F9445"/>
    <mergeCell ref="E9438:F9438"/>
    <mergeCell ref="E9413:F9413"/>
    <mergeCell ref="E9414:F9414"/>
    <mergeCell ref="E9464:H9464"/>
    <mergeCell ref="E9466:F9466"/>
    <mergeCell ref="E9469:H9469"/>
    <mergeCell ref="E9470:H9470"/>
    <mergeCell ref="E9471:H9471"/>
    <mergeCell ref="E9460:F9460"/>
    <mergeCell ref="E9467:F9467"/>
    <mergeCell ref="E9458:F9458"/>
    <mergeCell ref="E9459:F9459"/>
    <mergeCell ref="E9435:F9435"/>
    <mergeCell ref="E9432:H9432"/>
    <mergeCell ref="E9433:H9433"/>
    <mergeCell ref="E9422:F9422"/>
    <mergeCell ref="E9461:F9461"/>
    <mergeCell ref="E9462:F9462"/>
    <mergeCell ref="E9897:F9897"/>
    <mergeCell ref="E9903:H9903"/>
    <mergeCell ref="E9815:F9815"/>
    <mergeCell ref="E9816:F9816"/>
    <mergeCell ref="E9814:F9814"/>
    <mergeCell ref="E9855:F9855"/>
    <mergeCell ref="E9856:F9856"/>
    <mergeCell ref="E9882:H9882"/>
    <mergeCell ref="E9887:F9887"/>
    <mergeCell ref="E9888:F9888"/>
    <mergeCell ref="E9889:F9889"/>
    <mergeCell ref="E9890:F9890"/>
    <mergeCell ref="E9891:F9891"/>
    <mergeCell ref="E9898:H9898"/>
    <mergeCell ref="E9899:H9899"/>
    <mergeCell ref="E9900:H9900"/>
    <mergeCell ref="E9901:H9901"/>
    <mergeCell ref="E9902:H9902"/>
    <mergeCell ref="E9875:F9875"/>
    <mergeCell ref="E9876:F9876"/>
    <mergeCell ref="E9877:F9877"/>
    <mergeCell ref="E9878:F9878"/>
    <mergeCell ref="E9883:H9883"/>
    <mergeCell ref="E9884:H9884"/>
    <mergeCell ref="E9885:H9885"/>
    <mergeCell ref="E9886:H9886"/>
    <mergeCell ref="E9895:F9895"/>
    <mergeCell ref="E9896:F9896"/>
    <mergeCell ref="E9825:F9825"/>
    <mergeCell ref="E9826:F9826"/>
    <mergeCell ref="E9827:F9827"/>
    <mergeCell ref="E9828:F9828"/>
    <mergeCell ref="E9880:H9880"/>
    <mergeCell ref="E9881:H9881"/>
    <mergeCell ref="E9894:F9894"/>
    <mergeCell ref="E9819:H9819"/>
    <mergeCell ref="E9820:H9820"/>
    <mergeCell ref="E9821:H9821"/>
    <mergeCell ref="E9822:H9822"/>
    <mergeCell ref="E9823:H9823"/>
    <mergeCell ref="E9824:H9824"/>
    <mergeCell ref="E9829:F9829"/>
    <mergeCell ref="E9859:F9859"/>
    <mergeCell ref="E10114:F10114"/>
    <mergeCell ref="E10128:F10128"/>
    <mergeCell ref="E10103:H10103"/>
    <mergeCell ref="E10104:F10104"/>
    <mergeCell ref="E10106:F10106"/>
    <mergeCell ref="E10108:H10108"/>
    <mergeCell ref="E10109:H10109"/>
    <mergeCell ref="E10110:H10110"/>
    <mergeCell ref="E10111:H10111"/>
    <mergeCell ref="E10117:F10117"/>
    <mergeCell ref="E10118:F10118"/>
    <mergeCell ref="E10119:F10119"/>
    <mergeCell ref="E10115:F10115"/>
    <mergeCell ref="E10122:H10122"/>
    <mergeCell ref="E10116:F10116"/>
    <mergeCell ref="E10140:H10140"/>
    <mergeCell ref="E10123:F10123"/>
    <mergeCell ref="E10124:F10124"/>
    <mergeCell ref="E10129:H10129"/>
    <mergeCell ref="E10130:F10130"/>
    <mergeCell ref="E10141:F10141"/>
    <mergeCell ref="E10142:F10142"/>
    <mergeCell ref="E10131:F10131"/>
    <mergeCell ref="E10095:F10095"/>
    <mergeCell ref="E10073:F10073"/>
    <mergeCell ref="E10076:H10076"/>
    <mergeCell ref="E10081:H10081"/>
    <mergeCell ref="E10082:H10082"/>
    <mergeCell ref="E10083:H10083"/>
    <mergeCell ref="E10093:F10093"/>
    <mergeCell ref="E10088:F10088"/>
    <mergeCell ref="E10091:H10091"/>
    <mergeCell ref="E10094:F10094"/>
    <mergeCell ref="E10096:H10096"/>
    <mergeCell ref="E10097:H10097"/>
    <mergeCell ref="E10098:H10098"/>
    <mergeCell ref="E10132:F10132"/>
    <mergeCell ref="E10133:F10133"/>
    <mergeCell ref="E10134:F10134"/>
    <mergeCell ref="E10120:F10120"/>
    <mergeCell ref="E10121:F10121"/>
    <mergeCell ref="E10099:H10099"/>
    <mergeCell ref="E10100:H10100"/>
    <mergeCell ref="E10080:H10080"/>
    <mergeCell ref="E10085:F10085"/>
    <mergeCell ref="E10086:F10086"/>
    <mergeCell ref="E10087:F10087"/>
    <mergeCell ref="E10112:H10112"/>
    <mergeCell ref="E10125:F10125"/>
    <mergeCell ref="E10126:F10126"/>
    <mergeCell ref="E10127:F10127"/>
    <mergeCell ref="E10135:H10135"/>
    <mergeCell ref="E10136:H10136"/>
    <mergeCell ref="E10137:H10137"/>
    <mergeCell ref="E10138:H10138"/>
    <mergeCell ref="E10139:H10139"/>
    <mergeCell ref="E10143:F10143"/>
    <mergeCell ref="E10145:F10145"/>
    <mergeCell ref="E10149:H10149"/>
    <mergeCell ref="E10150:H10150"/>
    <mergeCell ref="E10151:H10151"/>
    <mergeCell ref="E10153:F10153"/>
    <mergeCell ref="E10144:F10144"/>
    <mergeCell ref="E10146:H10146"/>
    <mergeCell ref="E10147:F10147"/>
    <mergeCell ref="E10148:F10148"/>
    <mergeCell ref="E10152:F10152"/>
    <mergeCell ref="E10348:F10348"/>
    <mergeCell ref="E10371:F10371"/>
    <mergeCell ref="E10372:F10372"/>
    <mergeCell ref="E10282:F10282"/>
    <mergeCell ref="E10285:F10285"/>
    <mergeCell ref="E10284:F10284"/>
    <mergeCell ref="E10288:F10288"/>
    <mergeCell ref="E10177:F10177"/>
    <mergeCell ref="E10178:F10178"/>
    <mergeCell ref="E10179:F10179"/>
    <mergeCell ref="E10180:F10180"/>
    <mergeCell ref="E10191:H10191"/>
    <mergeCell ref="E10186:H10186"/>
    <mergeCell ref="E10203:H10203"/>
    <mergeCell ref="E10314:F10314"/>
    <mergeCell ref="E10208:H10208"/>
    <mergeCell ref="E10209:H10209"/>
    <mergeCell ref="E10216:H10216"/>
    <mergeCell ref="E10217:H10217"/>
    <mergeCell ref="E10222:F10222"/>
    <mergeCell ref="E10223:F10223"/>
    <mergeCell ref="E10224:F10224"/>
    <mergeCell ref="E10225:F10225"/>
    <mergeCell ref="E10227:F10227"/>
    <mergeCell ref="E10228:F10228"/>
    <mergeCell ref="E10229:F10229"/>
    <mergeCell ref="E10231:H10231"/>
    <mergeCell ref="E10230:F10230"/>
    <mergeCell ref="E10226:H10226"/>
    <mergeCell ref="E10232:H10232"/>
    <mergeCell ref="E10233:H10233"/>
    <mergeCell ref="E10234:H10234"/>
    <mergeCell ref="E10315:F10315"/>
    <mergeCell ref="E10316:F10316"/>
    <mergeCell ref="E10317:F10317"/>
    <mergeCell ref="E10319:F10319"/>
    <mergeCell ref="E10320:F10320"/>
    <mergeCell ref="E10325:H10325"/>
    <mergeCell ref="E10326:F10326"/>
    <mergeCell ref="E10327:F10327"/>
    <mergeCell ref="E10328:F10328"/>
    <mergeCell ref="E10329:F10329"/>
    <mergeCell ref="E10330:F10330"/>
    <mergeCell ref="E10331:H10331"/>
    <mergeCell ref="E10355:H10355"/>
    <mergeCell ref="E10356:H10356"/>
    <mergeCell ref="E10357:H10357"/>
    <mergeCell ref="E10358:H10358"/>
    <mergeCell ref="E10359:H10359"/>
    <mergeCell ref="E10360:H10360"/>
    <mergeCell ref="E10361:H10361"/>
    <mergeCell ref="E10362:H10362"/>
    <mergeCell ref="E10363:H10363"/>
    <mergeCell ref="E10559:F10559"/>
    <mergeCell ref="E10571:H10571"/>
    <mergeCell ref="E10581:H10581"/>
    <mergeCell ref="E10582:H10582"/>
    <mergeCell ref="E10594:F10594"/>
    <mergeCell ref="E10602:H10602"/>
    <mergeCell ref="E10637:F10637"/>
    <mergeCell ref="E10611:F10611"/>
    <mergeCell ref="E10612:F10612"/>
    <mergeCell ref="E10613:F10613"/>
    <mergeCell ref="E10614:F10614"/>
    <mergeCell ref="E10615:F10615"/>
    <mergeCell ref="E10623:H10623"/>
    <mergeCell ref="E10624:H10624"/>
    <mergeCell ref="E10625:H10625"/>
    <mergeCell ref="E10576:H10576"/>
    <mergeCell ref="E10577:H10577"/>
    <mergeCell ref="E10578:H10578"/>
    <mergeCell ref="E10579:H10579"/>
    <mergeCell ref="E10580:H10580"/>
    <mergeCell ref="E10568:F10568"/>
    <mergeCell ref="E10535:F10535"/>
    <mergeCell ref="E10544:F10544"/>
    <mergeCell ref="E10546:F10546"/>
    <mergeCell ref="E10633:F10633"/>
    <mergeCell ref="E10634:F10634"/>
    <mergeCell ref="E10590:F10590"/>
    <mergeCell ref="E10591:F10591"/>
    <mergeCell ref="E10592:F10592"/>
    <mergeCell ref="E10593:F10593"/>
    <mergeCell ref="E10585:H10585"/>
    <mergeCell ref="E10586:H10586"/>
    <mergeCell ref="E10587:H10587"/>
    <mergeCell ref="E10588:H10588"/>
    <mergeCell ref="E10589:H10589"/>
    <mergeCell ref="E10595:F10595"/>
    <mergeCell ref="E10596:F10596"/>
    <mergeCell ref="E10597:F10597"/>
    <mergeCell ref="E10598:F10598"/>
    <mergeCell ref="E10599:F10599"/>
    <mergeCell ref="E10600:F10600"/>
    <mergeCell ref="E10601:F10601"/>
    <mergeCell ref="E10603:H10603"/>
    <mergeCell ref="E10604:H10604"/>
    <mergeCell ref="E10605:H10605"/>
    <mergeCell ref="E10606:H10606"/>
    <mergeCell ref="E10607:H10607"/>
    <mergeCell ref="E10608:H10608"/>
    <mergeCell ref="E10609:H10609"/>
    <mergeCell ref="E10616:F10616"/>
    <mergeCell ref="E10617:F10617"/>
    <mergeCell ref="E10618:F10618"/>
    <mergeCell ref="E10619:F10619"/>
    <mergeCell ref="E10620:F10620"/>
    <mergeCell ref="E10621:F10621"/>
    <mergeCell ref="E10610:F10610"/>
    <mergeCell ref="E10560:F10560"/>
    <mergeCell ref="E10561:F10561"/>
    <mergeCell ref="E10562:F10562"/>
    <mergeCell ref="E10563:F10563"/>
    <mergeCell ref="E10564:F10564"/>
    <mergeCell ref="E10567:F10567"/>
    <mergeCell ref="E10541:F10541"/>
    <mergeCell ref="E10552:H10552"/>
    <mergeCell ref="E10553:H10553"/>
    <mergeCell ref="E10554:H10554"/>
    <mergeCell ref="E10555:H10555"/>
    <mergeCell ref="E10565:F10565"/>
    <mergeCell ref="E10566:F10566"/>
    <mergeCell ref="E10569:F10569"/>
    <mergeCell ref="E10572:F10572"/>
    <mergeCell ref="E10573:F10573"/>
    <mergeCell ref="E10574:F10574"/>
    <mergeCell ref="E10575:F10575"/>
    <mergeCell ref="E10583:H10583"/>
    <mergeCell ref="E10584:H10584"/>
    <mergeCell ref="E10543:F10543"/>
    <mergeCell ref="E10556:F10556"/>
    <mergeCell ref="E10557:F10557"/>
    <mergeCell ref="E10558:F10558"/>
    <mergeCell ref="E10645:H10645"/>
    <mergeCell ref="E10653:F10653"/>
    <mergeCell ref="E10635:F10635"/>
    <mergeCell ref="E10636:F10636"/>
    <mergeCell ref="E10665:H10665"/>
    <mergeCell ref="E10666:H10666"/>
    <mergeCell ref="E10814:H10814"/>
    <mergeCell ref="E10815:H10815"/>
    <mergeCell ref="E10741:F10741"/>
    <mergeCell ref="E10742:F10742"/>
    <mergeCell ref="E10743:H10743"/>
    <mergeCell ref="E10744:H10744"/>
    <mergeCell ref="E10745:H10745"/>
    <mergeCell ref="E10746:H10746"/>
    <mergeCell ref="E10622:F10622"/>
    <mergeCell ref="E10626:H10626"/>
    <mergeCell ref="E10627:H10627"/>
    <mergeCell ref="E10628:H10628"/>
    <mergeCell ref="E10629:H10629"/>
    <mergeCell ref="E10630:H10630"/>
    <mergeCell ref="E10631:H10631"/>
    <mergeCell ref="E10632:H10632"/>
    <mergeCell ref="E10638:F10638"/>
    <mergeCell ref="E10639:F10639"/>
    <mergeCell ref="E10640:F10640"/>
    <mergeCell ref="E10641:F10641"/>
    <mergeCell ref="E10642:F10642"/>
    <mergeCell ref="E10643:F10643"/>
    <mergeCell ref="E10644:F10644"/>
    <mergeCell ref="E10646:H10646"/>
    <mergeCell ref="E10647:H10647"/>
    <mergeCell ref="E10648:H10648"/>
    <mergeCell ref="E10649:H10649"/>
    <mergeCell ref="E10650:H10650"/>
    <mergeCell ref="E10651:H10651"/>
    <mergeCell ref="E10652:H10652"/>
    <mergeCell ref="E10657:F10657"/>
    <mergeCell ref="E10658:F10658"/>
    <mergeCell ref="E10654:F10654"/>
    <mergeCell ref="E10655:F10655"/>
    <mergeCell ref="E10656:F10656"/>
    <mergeCell ref="E10659:F10659"/>
    <mergeCell ref="E10660:F10660"/>
    <mergeCell ref="E10661:F10661"/>
    <mergeCell ref="E10662:F10662"/>
    <mergeCell ref="E10663:F10663"/>
    <mergeCell ref="E10664:F10664"/>
    <mergeCell ref="E10667:H10667"/>
    <mergeCell ref="E10668:H10668"/>
    <mergeCell ref="E10669:H10669"/>
    <mergeCell ref="E10670:H10670"/>
    <mergeCell ref="E10671:H10671"/>
    <mergeCell ref="E10672:H10672"/>
    <mergeCell ref="E10677:F10677"/>
    <mergeCell ref="E10678:F10678"/>
    <mergeCell ref="E10679:F10679"/>
    <mergeCell ref="E10680:F10680"/>
    <mergeCell ref="E10681:F10681"/>
    <mergeCell ref="E10682:F10682"/>
    <mergeCell ref="E10683:F10683"/>
    <mergeCell ref="E10684:F10684"/>
    <mergeCell ref="E10685:H10685"/>
    <mergeCell ref="E10686:H10686"/>
    <mergeCell ref="E10687:H10687"/>
    <mergeCell ref="E10688:H10688"/>
    <mergeCell ref="E10689:H10689"/>
    <mergeCell ref="E10690:H10690"/>
    <mergeCell ref="E10691:H10691"/>
    <mergeCell ref="E10692:H10692"/>
    <mergeCell ref="E10696:F10696"/>
    <mergeCell ref="E10866:H10866"/>
    <mergeCell ref="E10867:F10867"/>
    <mergeCell ref="E10747:H10747"/>
    <mergeCell ref="E10748:H10748"/>
    <mergeCell ref="E10713:F10713"/>
    <mergeCell ref="E10714:F10714"/>
    <mergeCell ref="E10716:F10716"/>
    <mergeCell ref="E10717:F10717"/>
    <mergeCell ref="E10718:F10718"/>
    <mergeCell ref="E10732:F10732"/>
    <mergeCell ref="E10733:F10733"/>
    <mergeCell ref="E10734:F10734"/>
    <mergeCell ref="E10749:H10749"/>
    <mergeCell ref="E10760:F10760"/>
    <mergeCell ref="E10769:H10769"/>
    <mergeCell ref="E10770:H10770"/>
    <mergeCell ref="E10771:H10771"/>
    <mergeCell ref="E10772:H10772"/>
    <mergeCell ref="E10773:H10773"/>
    <mergeCell ref="E10735:F10735"/>
    <mergeCell ref="E10736:F10736"/>
    <mergeCell ref="E10737:F10737"/>
    <mergeCell ref="E10774:H10774"/>
    <mergeCell ref="E10778:F10778"/>
    <mergeCell ref="E10779:F10779"/>
    <mergeCell ref="E10780:F10780"/>
    <mergeCell ref="E10781:F10781"/>
    <mergeCell ref="E10782:F10782"/>
    <mergeCell ref="E10783:F10783"/>
    <mergeCell ref="E10784:F10784"/>
    <mergeCell ref="E10786:F10786"/>
    <mergeCell ref="E10808:H10808"/>
    <mergeCell ref="E10817:H10817"/>
    <mergeCell ref="E10750:H10750"/>
    <mergeCell ref="E10751:H10751"/>
    <mergeCell ref="E10752:H10752"/>
    <mergeCell ref="E10753:H10753"/>
    <mergeCell ref="E10754:H10754"/>
    <mergeCell ref="E10755:H10755"/>
    <mergeCell ref="E10756:H10756"/>
    <mergeCell ref="E10757:F10757"/>
    <mergeCell ref="E10758:F10758"/>
    <mergeCell ref="E10768:F10768"/>
    <mergeCell ref="E10775:H10775"/>
    <mergeCell ref="E10776:H10776"/>
    <mergeCell ref="E10785:H10785"/>
    <mergeCell ref="E10787:F10787"/>
    <mergeCell ref="E10788:F10788"/>
    <mergeCell ref="E10789:F10789"/>
    <mergeCell ref="E10795:H10795"/>
    <mergeCell ref="E10796:H10796"/>
    <mergeCell ref="E10797:H10797"/>
    <mergeCell ref="E10798:H10798"/>
    <mergeCell ref="E10799:H10799"/>
    <mergeCell ref="E10809:F10809"/>
    <mergeCell ref="E10810:F10810"/>
    <mergeCell ref="E10759:F10759"/>
    <mergeCell ref="E10764:H10764"/>
    <mergeCell ref="E10864:F10864"/>
    <mergeCell ref="E10863:F10863"/>
    <mergeCell ref="E10862:F10862"/>
    <mergeCell ref="E10852:H10852"/>
    <mergeCell ref="E10853:H10853"/>
    <mergeCell ref="E10860:F10860"/>
    <mergeCell ref="E10873:H10873"/>
    <mergeCell ref="E10874:H10874"/>
    <mergeCell ref="E10953:F10953"/>
    <mergeCell ref="E10954:F10954"/>
    <mergeCell ref="E10961:H10961"/>
    <mergeCell ref="E10981:F10981"/>
    <mergeCell ref="E10982:F10982"/>
    <mergeCell ref="E10950:F10950"/>
    <mergeCell ref="E10940:H10940"/>
    <mergeCell ref="E10833:H10833"/>
    <mergeCell ref="E10834:H10834"/>
    <mergeCell ref="E10835:H10835"/>
    <mergeCell ref="E10836:H10836"/>
    <mergeCell ref="E10845:F10845"/>
    <mergeCell ref="E10802:F10802"/>
    <mergeCell ref="E10803:F10803"/>
    <mergeCell ref="E10804:F10804"/>
    <mergeCell ref="E10805:F10805"/>
    <mergeCell ref="E10806:F10806"/>
    <mergeCell ref="E10807:F10807"/>
    <mergeCell ref="E10790:H10790"/>
    <mergeCell ref="E10791:H10791"/>
    <mergeCell ref="E10792:H10792"/>
    <mergeCell ref="E10793:H10793"/>
    <mergeCell ref="E10794:H10794"/>
    <mergeCell ref="E10843:F10843"/>
    <mergeCell ref="E10844:F10844"/>
    <mergeCell ref="E10811:F10811"/>
    <mergeCell ref="E10812:F10812"/>
    <mergeCell ref="E10818:H10818"/>
    <mergeCell ref="E10819:H10819"/>
    <mergeCell ref="E10820:H10820"/>
    <mergeCell ref="E10827:H10827"/>
    <mergeCell ref="E10829:F10829"/>
    <mergeCell ref="E10830:F10830"/>
    <mergeCell ref="E10813:H10813"/>
    <mergeCell ref="E10801:F10801"/>
    <mergeCell ref="E10842:F10842"/>
    <mergeCell ref="E10821:F10821"/>
    <mergeCell ref="E10822:F10822"/>
    <mergeCell ref="E10823:F10823"/>
    <mergeCell ref="E10824:F10824"/>
    <mergeCell ref="E10816:H10816"/>
    <mergeCell ref="E10825:F10825"/>
    <mergeCell ref="E10826:F10826"/>
    <mergeCell ref="E10832:H10832"/>
    <mergeCell ref="E10849:F10849"/>
    <mergeCell ref="E10850:F10850"/>
    <mergeCell ref="E10856:H10856"/>
    <mergeCell ref="E10857:H10857"/>
    <mergeCell ref="E10858:H10858"/>
    <mergeCell ref="E11164:H11164"/>
    <mergeCell ref="E11165:H11165"/>
    <mergeCell ref="E11166:H11166"/>
    <mergeCell ref="E11167:H11167"/>
    <mergeCell ref="E11127:F11127"/>
    <mergeCell ref="E11146:H11146"/>
    <mergeCell ref="E11147:H11147"/>
    <mergeCell ref="E11152:F11152"/>
    <mergeCell ref="E11153:F11153"/>
    <mergeCell ref="E11156:F11156"/>
    <mergeCell ref="E11157:F11157"/>
    <mergeCell ref="E11158:F11158"/>
    <mergeCell ref="E11159:F11159"/>
    <mergeCell ref="E11168:F11168"/>
    <mergeCell ref="E11169:F11169"/>
    <mergeCell ref="E10848:F10848"/>
    <mergeCell ref="E10854:H10854"/>
    <mergeCell ref="E10855:H10855"/>
    <mergeCell ref="E10871:H10871"/>
    <mergeCell ref="E10872:H10872"/>
    <mergeCell ref="E10879:F10879"/>
    <mergeCell ref="E10881:F10881"/>
    <mergeCell ref="E10882:F10882"/>
    <mergeCell ref="E10887:H10887"/>
    <mergeCell ref="E10888:H10888"/>
    <mergeCell ref="E10893:H10893"/>
    <mergeCell ref="E10903:F10903"/>
    <mergeCell ref="E10905:F10905"/>
    <mergeCell ref="E10908:H10908"/>
    <mergeCell ref="E10909:H10909"/>
    <mergeCell ref="E10910:H10910"/>
    <mergeCell ref="E10865:F10865"/>
    <mergeCell ref="E10955:F10955"/>
    <mergeCell ref="E10956:F10956"/>
    <mergeCell ref="E10957:F10957"/>
    <mergeCell ref="E10958:F10958"/>
    <mergeCell ref="E10959:F10959"/>
    <mergeCell ref="E10964:H10964"/>
    <mergeCell ref="E10965:H10965"/>
    <mergeCell ref="E10966:H10966"/>
    <mergeCell ref="E10967:H10967"/>
    <mergeCell ref="E10831:F10831"/>
    <mergeCell ref="E10837:H10837"/>
    <mergeCell ref="E10838:H10838"/>
    <mergeCell ref="E10839:H10839"/>
    <mergeCell ref="E10840:F10840"/>
    <mergeCell ref="E10841:F10841"/>
    <mergeCell ref="E10846:H10846"/>
    <mergeCell ref="E11015:H11015"/>
    <mergeCell ref="E11016:F11016"/>
    <mergeCell ref="E11017:F11017"/>
    <mergeCell ref="E11018:F11018"/>
    <mergeCell ref="E11019:F11019"/>
    <mergeCell ref="E11020:F11020"/>
    <mergeCell ref="E11021:F11021"/>
    <mergeCell ref="E11355:F11355"/>
    <mergeCell ref="E11356:F11356"/>
    <mergeCell ref="E11407:H11407"/>
    <mergeCell ref="E11341:H11341"/>
    <mergeCell ref="E11357:F11357"/>
    <mergeCell ref="E11385:H11385"/>
    <mergeCell ref="E11398:F11398"/>
    <mergeCell ref="E10886:H10886"/>
    <mergeCell ref="E10894:F10894"/>
    <mergeCell ref="E10899:H10899"/>
    <mergeCell ref="E10851:H10851"/>
    <mergeCell ref="E10859:F10859"/>
    <mergeCell ref="E10861:F10861"/>
    <mergeCell ref="E11366:F11366"/>
    <mergeCell ref="E11371:F11371"/>
    <mergeCell ref="E11342:H11342"/>
    <mergeCell ref="E11343:H11343"/>
    <mergeCell ref="E11344:H11344"/>
    <mergeCell ref="E11345:H11345"/>
    <mergeCell ref="E11346:F11346"/>
    <mergeCell ref="E11347:F11347"/>
    <mergeCell ref="E11369:F11369"/>
    <mergeCell ref="E11348:F11348"/>
    <mergeCell ref="E11349:F11349"/>
    <mergeCell ref="E11350:F11350"/>
    <mergeCell ref="E11358:H11358"/>
    <mergeCell ref="E11359:H11359"/>
    <mergeCell ref="E11360:H11360"/>
    <mergeCell ref="E11175:F11175"/>
    <mergeCell ref="E11181:H11181"/>
    <mergeCell ref="E11134:H11134"/>
    <mergeCell ref="E11135:H11135"/>
    <mergeCell ref="E11126:F11126"/>
    <mergeCell ref="E11250:F11250"/>
    <mergeCell ref="E11251:F11251"/>
    <mergeCell ref="E11252:F11252"/>
    <mergeCell ref="E11254:F11254"/>
    <mergeCell ref="E11261:H11261"/>
    <mergeCell ref="E11262:H11262"/>
    <mergeCell ref="E11263:H11263"/>
    <mergeCell ref="E11264:H11264"/>
    <mergeCell ref="E11275:H11275"/>
    <mergeCell ref="E11176:F11176"/>
    <mergeCell ref="E11177:F11177"/>
    <mergeCell ref="E11196:F11196"/>
    <mergeCell ref="E11182:H11182"/>
    <mergeCell ref="E11183:H11183"/>
    <mergeCell ref="E11184:H11184"/>
    <mergeCell ref="E11185:H11185"/>
    <mergeCell ref="E11186:H11186"/>
    <mergeCell ref="E11187:H11187"/>
    <mergeCell ref="E11191:F11191"/>
    <mergeCell ref="E11192:F11192"/>
    <mergeCell ref="E11193:F11193"/>
    <mergeCell ref="E11194:F11194"/>
    <mergeCell ref="E11195:F11195"/>
    <mergeCell ref="E11207:H11207"/>
    <mergeCell ref="E11178:F11178"/>
    <mergeCell ref="E11179:F11179"/>
    <mergeCell ref="E11197:F11197"/>
    <mergeCell ref="E11198:F11198"/>
    <mergeCell ref="E11208:H11208"/>
    <mergeCell ref="E11215:F11215"/>
    <mergeCell ref="E11170:F11170"/>
    <mergeCell ref="E11154:F11154"/>
    <mergeCell ref="E11155:F11155"/>
    <mergeCell ref="E11160:H11160"/>
    <mergeCell ref="E11161:H11161"/>
    <mergeCell ref="E11162:H11162"/>
    <mergeCell ref="E11163:H11163"/>
    <mergeCell ref="E11626:F11626"/>
    <mergeCell ref="E11627:F11627"/>
    <mergeCell ref="E11367:F11367"/>
    <mergeCell ref="E11319:F11319"/>
    <mergeCell ref="E11321:F11321"/>
    <mergeCell ref="E11322:F11322"/>
    <mergeCell ref="E11323:F11323"/>
    <mergeCell ref="E11324:F11324"/>
    <mergeCell ref="E11320:F11320"/>
    <mergeCell ref="E11331:F11331"/>
    <mergeCell ref="E11351:F11351"/>
    <mergeCell ref="E11352:F11352"/>
    <mergeCell ref="E11353:F11353"/>
    <mergeCell ref="E11354:F11354"/>
    <mergeCell ref="E11370:F11370"/>
    <mergeCell ref="E11418:F11418"/>
    <mergeCell ref="E11424:H11424"/>
    <mergeCell ref="E11425:H11425"/>
    <mergeCell ref="E11426:H11426"/>
    <mergeCell ref="E11380:H11380"/>
    <mergeCell ref="E11381:H11381"/>
    <mergeCell ref="E11382:H11382"/>
    <mergeCell ref="E11383:H11383"/>
    <mergeCell ref="E11384:H11384"/>
    <mergeCell ref="E11389:F11389"/>
    <mergeCell ref="E11390:F11390"/>
    <mergeCell ref="E11391:F11391"/>
    <mergeCell ref="E11392:F11392"/>
    <mergeCell ref="E11393:F11393"/>
    <mergeCell ref="E11394:F11394"/>
    <mergeCell ref="E11395:F11395"/>
    <mergeCell ref="E11396:F11396"/>
    <mergeCell ref="E11397:F11397"/>
    <mergeCell ref="E11401:H11401"/>
    <mergeCell ref="E11402:H11402"/>
    <mergeCell ref="E11403:H11403"/>
    <mergeCell ref="E11404:H11404"/>
    <mergeCell ref="E11405:H11405"/>
    <mergeCell ref="E11410:F11410"/>
    <mergeCell ref="E11416:F11416"/>
    <mergeCell ref="E11417:F11417"/>
    <mergeCell ref="E11386:H11386"/>
    <mergeCell ref="E11387:H11387"/>
    <mergeCell ref="E11388:H11388"/>
    <mergeCell ref="E11400:H11400"/>
    <mergeCell ref="E11408:F11408"/>
    <mergeCell ref="E11419:H11419"/>
    <mergeCell ref="E11420:H11420"/>
    <mergeCell ref="E11421:H11421"/>
    <mergeCell ref="E11422:H11422"/>
    <mergeCell ref="E11406:H11406"/>
    <mergeCell ref="E11620:H11620"/>
    <mergeCell ref="E11621:H11621"/>
    <mergeCell ref="E11611:F11611"/>
    <mergeCell ref="E11399:F11399"/>
    <mergeCell ref="E11361:H11361"/>
    <mergeCell ref="E11362:H11362"/>
    <mergeCell ref="E11363:H11363"/>
    <mergeCell ref="E11364:H11364"/>
    <mergeCell ref="E11365:H11365"/>
    <mergeCell ref="E11372:F11372"/>
    <mergeCell ref="E11373:F11373"/>
    <mergeCell ref="E11368:F11368"/>
    <mergeCell ref="E11374:F11374"/>
    <mergeCell ref="E11375:F11375"/>
    <mergeCell ref="E11376:F11376"/>
    <mergeCell ref="E11377:F11377"/>
    <mergeCell ref="E11378:F11378"/>
    <mergeCell ref="E11446:F11446"/>
    <mergeCell ref="E11447:F11447"/>
    <mergeCell ref="E11449:F11449"/>
    <mergeCell ref="E11448:F11448"/>
    <mergeCell ref="E11435:F11435"/>
    <mergeCell ref="E11436:F11436"/>
    <mergeCell ref="E11437:F11437"/>
    <mergeCell ref="E11423:H11423"/>
    <mergeCell ref="E11427:F11427"/>
    <mergeCell ref="E11428:F11428"/>
    <mergeCell ref="E11409:F11409"/>
    <mergeCell ref="E11430:F11430"/>
    <mergeCell ref="E11549:F11549"/>
    <mergeCell ref="E11450:F11450"/>
    <mergeCell ref="E11451:F11451"/>
    <mergeCell ref="E11452:F11452"/>
    <mergeCell ref="E11411:F11411"/>
    <mergeCell ref="E11412:F11412"/>
    <mergeCell ref="E11413:F11413"/>
    <mergeCell ref="E11465:F11465"/>
    <mergeCell ref="E11495:F11495"/>
    <mergeCell ref="E11537:H11537"/>
    <mergeCell ref="E11538:H11538"/>
    <mergeCell ref="E11539:H11539"/>
    <mergeCell ref="E11482:F11482"/>
    <mergeCell ref="E11483:F11483"/>
    <mergeCell ref="E11484:F11484"/>
    <mergeCell ref="E11485:F11485"/>
    <mergeCell ref="E11479:F11479"/>
    <mergeCell ref="E11457:H11457"/>
    <mergeCell ref="E11467:F11467"/>
    <mergeCell ref="E11471:H11471"/>
    <mergeCell ref="E11472:H11472"/>
    <mergeCell ref="E11473:H11473"/>
    <mergeCell ref="E11453:F11453"/>
    <mergeCell ref="E11454:F11454"/>
    <mergeCell ref="E11455:F11455"/>
    <mergeCell ref="E11456:F11456"/>
    <mergeCell ref="E11458:H11458"/>
    <mergeCell ref="E11459:H11459"/>
    <mergeCell ref="E11460:H11460"/>
    <mergeCell ref="E11461:H11461"/>
    <mergeCell ref="E11462:H11462"/>
    <mergeCell ref="E11463:H11463"/>
    <mergeCell ref="E11429:F11429"/>
    <mergeCell ref="E11415:F11415"/>
    <mergeCell ref="E11431:F11431"/>
    <mergeCell ref="E11432:F11432"/>
    <mergeCell ref="E11433:F11433"/>
    <mergeCell ref="E11438:H11438"/>
    <mergeCell ref="E11514:H11514"/>
    <mergeCell ref="E11515:H11515"/>
    <mergeCell ref="E11516:H11516"/>
    <mergeCell ref="E11502:F11502"/>
    <mergeCell ref="E11692:F11692"/>
    <mergeCell ref="E11693:F11693"/>
    <mergeCell ref="E11658:F11658"/>
    <mergeCell ref="E11659:F11659"/>
    <mergeCell ref="E11660:F11660"/>
    <mergeCell ref="E11662:F11662"/>
    <mergeCell ref="E11663:F11663"/>
    <mergeCell ref="E11664:F11664"/>
    <mergeCell ref="E11645:F11645"/>
    <mergeCell ref="E11651:F11651"/>
    <mergeCell ref="E11652:F11652"/>
    <mergeCell ref="E11653:F11653"/>
    <mergeCell ref="E11654:F11654"/>
    <mergeCell ref="E11673:F11673"/>
    <mergeCell ref="E11680:F11680"/>
    <mergeCell ref="E11695:H11695"/>
    <mergeCell ref="E11696:F11696"/>
    <mergeCell ref="E11697:F11697"/>
    <mergeCell ref="E11704:H11704"/>
    <mergeCell ref="E11705:H11705"/>
    <mergeCell ref="E11706:H11706"/>
    <mergeCell ref="E11707:H11707"/>
    <mergeCell ref="E11708:H11708"/>
    <mergeCell ref="E11700:H11700"/>
    <mergeCell ref="E11702:H11702"/>
    <mergeCell ref="E11703:H11703"/>
    <mergeCell ref="E11701:H11701"/>
    <mergeCell ref="E11647:H11647"/>
    <mergeCell ref="E11648:H11648"/>
    <mergeCell ref="E11649:H11649"/>
    <mergeCell ref="E11667:F11667"/>
    <mergeCell ref="E11668:F11668"/>
    <mergeCell ref="E11669:F11669"/>
    <mergeCell ref="E11766:F11766"/>
    <mergeCell ref="E11767:F11767"/>
    <mergeCell ref="E11768:F11768"/>
    <mergeCell ref="E11769:F11769"/>
    <mergeCell ref="E11770:F11770"/>
    <mergeCell ref="E11771:F11771"/>
    <mergeCell ref="E11784:F11784"/>
    <mergeCell ref="E11785:F11785"/>
    <mergeCell ref="E11786:F11786"/>
    <mergeCell ref="E11817:F11817"/>
    <mergeCell ref="E11795:F11795"/>
    <mergeCell ref="E11796:F11796"/>
    <mergeCell ref="E11826:F11826"/>
    <mergeCell ref="E11805:F11805"/>
    <mergeCell ref="E11806:F11806"/>
    <mergeCell ref="E11812:F11812"/>
    <mergeCell ref="E11813:F11813"/>
    <mergeCell ref="E11814:F11814"/>
    <mergeCell ref="E11815:F11815"/>
    <mergeCell ref="E11816:F11816"/>
    <mergeCell ref="E11818:H11818"/>
    <mergeCell ref="E11819:H11819"/>
    <mergeCell ref="E11820:H11820"/>
    <mergeCell ref="E11821:H11821"/>
    <mergeCell ref="E11822:H11822"/>
    <mergeCell ref="E11823:H11823"/>
    <mergeCell ref="E11824:H11824"/>
    <mergeCell ref="E11825:H11825"/>
    <mergeCell ref="E11808:F11808"/>
    <mergeCell ref="E11809:F11809"/>
    <mergeCell ref="E11810:F11810"/>
    <mergeCell ref="E11811:F11811"/>
    <mergeCell ref="E11745:F11745"/>
    <mergeCell ref="E11772:F11772"/>
    <mergeCell ref="E11773:F11773"/>
    <mergeCell ref="E11774:F11774"/>
    <mergeCell ref="E11775:F11775"/>
    <mergeCell ref="E11776:H11776"/>
    <mergeCell ref="E11777:H11777"/>
    <mergeCell ref="E11778:H11778"/>
    <mergeCell ref="E11779:H11779"/>
    <mergeCell ref="E11780:H11780"/>
    <mergeCell ref="E11781:H11781"/>
    <mergeCell ref="E11782:H11782"/>
    <mergeCell ref="E11783:H11783"/>
    <mergeCell ref="E11787:F11787"/>
    <mergeCell ref="E11788:F11788"/>
    <mergeCell ref="E11789:F11789"/>
    <mergeCell ref="E11790:F11790"/>
    <mergeCell ref="E11791:F11791"/>
    <mergeCell ref="E11792:F11792"/>
    <mergeCell ref="E11793:F11793"/>
    <mergeCell ref="E11794:F11794"/>
    <mergeCell ref="E11797:H11797"/>
    <mergeCell ref="E11798:H11798"/>
    <mergeCell ref="E11799:H11799"/>
    <mergeCell ref="E11800:H11800"/>
    <mergeCell ref="E11801:H11801"/>
    <mergeCell ref="E11802:H11802"/>
    <mergeCell ref="E11803:H11803"/>
    <mergeCell ref="E11804:H11804"/>
    <mergeCell ref="E11807:F11807"/>
    <mergeCell ref="E11760:F11760"/>
    <mergeCell ref="E11761:F11761"/>
    <mergeCell ref="E12117:F12117"/>
    <mergeCell ref="E12118:F12118"/>
    <mergeCell ref="E12119:F12119"/>
    <mergeCell ref="E12120:F12120"/>
    <mergeCell ref="E12121:F12121"/>
    <mergeCell ref="E12130:H12130"/>
    <mergeCell ref="E12131:H12131"/>
    <mergeCell ref="E12132:H12132"/>
    <mergeCell ref="E12133:H12133"/>
    <mergeCell ref="E12134:H12134"/>
    <mergeCell ref="E12137:F12137"/>
    <mergeCell ref="E12138:F12138"/>
    <mergeCell ref="E12385:H12385"/>
    <mergeCell ref="E12386:H12386"/>
    <mergeCell ref="E12387:H12387"/>
    <mergeCell ref="E12388:H12388"/>
    <mergeCell ref="E12389:H12389"/>
    <mergeCell ref="E12555:F12555"/>
    <mergeCell ref="E12556:F12556"/>
    <mergeCell ref="E12557:F12557"/>
    <mergeCell ref="E12565:H12565"/>
    <mergeCell ref="E12566:H12566"/>
    <mergeCell ref="E12508:F12508"/>
    <mergeCell ref="E12510:H12510"/>
    <mergeCell ref="E12512:H12512"/>
    <mergeCell ref="E12507:H12507"/>
    <mergeCell ref="E12509:F12509"/>
    <mergeCell ref="E12518:H12518"/>
    <mergeCell ref="E12519:H12519"/>
    <mergeCell ref="E12520:H12520"/>
    <mergeCell ref="E12521:H12521"/>
    <mergeCell ref="E12522:H12522"/>
    <mergeCell ref="E12523:H12523"/>
    <mergeCell ref="E12524:H12524"/>
    <mergeCell ref="E12545:F12545"/>
    <mergeCell ref="E12546:F12546"/>
    <mergeCell ref="E12558:H12558"/>
    <mergeCell ref="E12559:H12559"/>
    <mergeCell ref="E12560:H12560"/>
    <mergeCell ref="E12561:H12561"/>
    <mergeCell ref="E12562:H12562"/>
    <mergeCell ref="E12563:H12563"/>
    <mergeCell ref="E12564:H12564"/>
    <mergeCell ref="E12151:F12151"/>
    <mergeCell ref="E12152:F12152"/>
    <mergeCell ref="E12153:F12153"/>
    <mergeCell ref="E12154:F12154"/>
    <mergeCell ref="E12156:H12156"/>
    <mergeCell ref="E12157:H12157"/>
    <mergeCell ref="E12158:H12158"/>
    <mergeCell ref="E12180:F12180"/>
    <mergeCell ref="E12181:F12181"/>
    <mergeCell ref="E12182:F12182"/>
    <mergeCell ref="E12398:F12398"/>
    <mergeCell ref="E12399:F12399"/>
    <mergeCell ref="E12400:F12400"/>
    <mergeCell ref="E12401:F12401"/>
    <mergeCell ref="E12402:F12402"/>
    <mergeCell ref="E12404:H12404"/>
    <mergeCell ref="E12405:H12405"/>
    <mergeCell ref="E12406:H12406"/>
    <mergeCell ref="E12407:H12407"/>
    <mergeCell ref="E12408:H12408"/>
    <mergeCell ref="E12409:H12409"/>
    <mergeCell ref="E12411:H12411"/>
    <mergeCell ref="E12412:H12412"/>
    <mergeCell ref="E12413:H12413"/>
    <mergeCell ref="E12415:F12415"/>
    <mergeCell ref="E12416:F12416"/>
    <mergeCell ref="E12417:F12417"/>
    <mergeCell ref="E12418:F12418"/>
    <mergeCell ref="E12419:F12419"/>
    <mergeCell ref="E12420:F12420"/>
    <mergeCell ref="E12421:F12421"/>
    <mergeCell ref="E12422:F12422"/>
    <mergeCell ref="E12424:F12424"/>
    <mergeCell ref="E12427:F12427"/>
    <mergeCell ref="E12428:F12428"/>
    <mergeCell ref="E12433:H12433"/>
    <mergeCell ref="E12434:H12434"/>
    <mergeCell ref="E12435:H12435"/>
    <mergeCell ref="E12436:H12436"/>
    <mergeCell ref="E12414:F12414"/>
    <mergeCell ref="E12448:F12448"/>
    <mergeCell ref="E12459:F12459"/>
    <mergeCell ref="E12451:H12451"/>
    <mergeCell ref="E12457:F12457"/>
    <mergeCell ref="E12467:F12467"/>
    <mergeCell ref="E12468:F12468"/>
    <mergeCell ref="E12454:H12454"/>
    <mergeCell ref="E12455:H12455"/>
    <mergeCell ref="E12456:H12456"/>
    <mergeCell ref="E12466:F12466"/>
    <mergeCell ref="E12429:H12429"/>
    <mergeCell ref="E12440:F12440"/>
    <mergeCell ref="E12447:F12447"/>
    <mergeCell ref="E12449:H12449"/>
    <mergeCell ref="E12450:H12450"/>
    <mergeCell ref="E12431:H12431"/>
    <mergeCell ref="E12432:H12432"/>
    <mergeCell ref="E12437:F12437"/>
    <mergeCell ref="E12438:F12438"/>
    <mergeCell ref="E12439:F12439"/>
    <mergeCell ref="E12441:F12441"/>
    <mergeCell ref="E12442:F12442"/>
    <mergeCell ref="E12426:F12426"/>
    <mergeCell ref="E12423:F12423"/>
    <mergeCell ref="E12425:F12425"/>
    <mergeCell ref="E12430:H12430"/>
    <mergeCell ref="E12460:F12460"/>
    <mergeCell ref="E12444:F12444"/>
    <mergeCell ref="E12445:F12445"/>
    <mergeCell ref="E12446:F12446"/>
    <mergeCell ref="E12452:H12452"/>
    <mergeCell ref="E12453:H12453"/>
    <mergeCell ref="E12464:H12464"/>
    <mergeCell ref="E12462:H12462"/>
    <mergeCell ref="E12463:H12463"/>
    <mergeCell ref="E12470:F12470"/>
    <mergeCell ref="E12471:F12471"/>
    <mergeCell ref="E12473:F12473"/>
    <mergeCell ref="E12474:F12474"/>
    <mergeCell ref="E12477:F12477"/>
    <mergeCell ref="E12478:F12478"/>
    <mergeCell ref="E12479:F12479"/>
    <mergeCell ref="E12480:F12480"/>
    <mergeCell ref="E12482:F12482"/>
    <mergeCell ref="E12483:F12483"/>
    <mergeCell ref="E12578:F12578"/>
    <mergeCell ref="E12588:F12588"/>
    <mergeCell ref="E12589:F12589"/>
    <mergeCell ref="E12590:F12590"/>
    <mergeCell ref="E12591:F12591"/>
    <mergeCell ref="E12601:H12601"/>
    <mergeCell ref="E12652:F12652"/>
    <mergeCell ref="E12653:F12653"/>
    <mergeCell ref="E12654:F12654"/>
    <mergeCell ref="E12636:F12636"/>
    <mergeCell ref="E12646:H12646"/>
    <mergeCell ref="E12638:F12638"/>
    <mergeCell ref="E12645:H12645"/>
    <mergeCell ref="E12568:F12568"/>
    <mergeCell ref="E12569:F12569"/>
    <mergeCell ref="E12570:F12570"/>
    <mergeCell ref="E12571:F12571"/>
    <mergeCell ref="E12572:F12572"/>
    <mergeCell ref="E12573:F12573"/>
    <mergeCell ref="E12574:F12574"/>
    <mergeCell ref="E12579:H12579"/>
    <mergeCell ref="E12580:H12580"/>
    <mergeCell ref="E12581:H12581"/>
    <mergeCell ref="E12582:H12582"/>
    <mergeCell ref="E12583:H12583"/>
    <mergeCell ref="E12584:H12584"/>
    <mergeCell ref="E12585:H12585"/>
    <mergeCell ref="E12586:H12586"/>
    <mergeCell ref="E12587:H12587"/>
    <mergeCell ref="E12593:F12593"/>
    <mergeCell ref="E12594:F12594"/>
    <mergeCell ref="E12595:F12595"/>
    <mergeCell ref="E12596:F12596"/>
    <mergeCell ref="E12597:F12597"/>
    <mergeCell ref="E12598:F12598"/>
    <mergeCell ref="E12599:F12599"/>
    <mergeCell ref="E12644:H12644"/>
    <mergeCell ref="E12627:H12627"/>
    <mergeCell ref="E12639:H12639"/>
    <mergeCell ref="E12640:H12640"/>
    <mergeCell ref="E12641:H12641"/>
    <mergeCell ref="E12642:H12642"/>
    <mergeCell ref="E12643:H12643"/>
    <mergeCell ref="E12647:F12647"/>
    <mergeCell ref="E12648:F12648"/>
    <mergeCell ref="E12649:F12649"/>
    <mergeCell ref="E12650:F12650"/>
    <mergeCell ref="E12651:F12651"/>
    <mergeCell ref="E12631:F12631"/>
    <mergeCell ref="E12633:F12633"/>
    <mergeCell ref="E12634:F12634"/>
    <mergeCell ref="E12635:F12635"/>
    <mergeCell ref="E12626:H12626"/>
    <mergeCell ref="E12611:F12611"/>
    <mergeCell ref="E12623:H12623"/>
    <mergeCell ref="E12592:F12592"/>
    <mergeCell ref="E12600:H12600"/>
    <mergeCell ref="E12609:F12609"/>
    <mergeCell ref="E12620:H12620"/>
    <mergeCell ref="E12621:H12621"/>
    <mergeCell ref="E13065:H13065"/>
    <mergeCell ref="E13066:H13066"/>
    <mergeCell ref="E13005:F13005"/>
    <mergeCell ref="E13006:F13006"/>
    <mergeCell ref="E13007:F13007"/>
    <mergeCell ref="E13008:F13008"/>
    <mergeCell ref="E13009:F13009"/>
    <mergeCell ref="E13012:H13012"/>
    <mergeCell ref="E13013:H13013"/>
    <mergeCell ref="E13014:H13014"/>
    <mergeCell ref="E13015:H13015"/>
    <mergeCell ref="E13016:H13016"/>
    <mergeCell ref="E13017:H13017"/>
    <mergeCell ref="E13020:F13020"/>
    <mergeCell ref="E13025:F13025"/>
    <mergeCell ref="E13026:F13026"/>
    <mergeCell ref="E13392:F13392"/>
    <mergeCell ref="E13395:F13395"/>
    <mergeCell ref="E13132:H13132"/>
    <mergeCell ref="E13133:H13133"/>
    <mergeCell ref="E13134:H13134"/>
    <mergeCell ref="E13135:H13135"/>
    <mergeCell ref="E13180:F13180"/>
    <mergeCell ref="E13179:F13179"/>
    <mergeCell ref="E13189:F13189"/>
    <mergeCell ref="E13027:F13027"/>
    <mergeCell ref="E13021:F13021"/>
    <mergeCell ref="E13087:F13087"/>
    <mergeCell ref="E13102:H13102"/>
    <mergeCell ref="E13103:H13103"/>
    <mergeCell ref="E13104:H13104"/>
    <mergeCell ref="E13105:H13105"/>
    <mergeCell ref="E13106:H13106"/>
    <mergeCell ref="E13109:F13109"/>
    <mergeCell ref="E13110:F13110"/>
    <mergeCell ref="E13111:F13111"/>
    <mergeCell ref="E13112:F13112"/>
    <mergeCell ref="E13113:F13113"/>
    <mergeCell ref="E13114:F13114"/>
    <mergeCell ref="E13115:F13115"/>
    <mergeCell ref="E13116:F13116"/>
    <mergeCell ref="E13120:H13120"/>
    <mergeCell ref="E13121:H13121"/>
    <mergeCell ref="E13122:H13122"/>
    <mergeCell ref="E13123:H13123"/>
    <mergeCell ref="E13117:F13117"/>
    <mergeCell ref="E13069:F13069"/>
    <mergeCell ref="E13070:F13070"/>
    <mergeCell ref="E13071:F13071"/>
    <mergeCell ref="E13202:H13202"/>
    <mergeCell ref="E13214:F13214"/>
    <mergeCell ref="E13215:F13215"/>
    <mergeCell ref="E13072:F13072"/>
    <mergeCell ref="E13073:F13073"/>
    <mergeCell ref="E13074:F13074"/>
    <mergeCell ref="E13075:F13075"/>
    <mergeCell ref="E13076:F13076"/>
    <mergeCell ref="E13079:H13079"/>
    <mergeCell ref="E13080:H13080"/>
    <mergeCell ref="E13081:H13081"/>
    <mergeCell ref="E13082:H13082"/>
    <mergeCell ref="E13083:H13083"/>
    <mergeCell ref="E13108:F13108"/>
    <mergeCell ref="E13118:F13118"/>
    <mergeCell ref="E13410:H13410"/>
    <mergeCell ref="E13254:F13254"/>
    <mergeCell ref="E13264:F13264"/>
    <mergeCell ref="E13265:F13265"/>
    <mergeCell ref="E13266:F13266"/>
    <mergeCell ref="E13273:H13273"/>
    <mergeCell ref="E13274:H13274"/>
    <mergeCell ref="E13275:H13275"/>
    <mergeCell ref="E13276:H13276"/>
    <mergeCell ref="E13263:F13263"/>
    <mergeCell ref="E13267:H13267"/>
    <mergeCell ref="E13268:H13268"/>
    <mergeCell ref="E13269:H13269"/>
    <mergeCell ref="E13270:H13270"/>
    <mergeCell ref="E13271:H13271"/>
    <mergeCell ref="E13272:H13272"/>
    <mergeCell ref="E13277:F13277"/>
    <mergeCell ref="E13278:F13278"/>
    <mergeCell ref="E13279:F13279"/>
    <mergeCell ref="E13280:F13280"/>
    <mergeCell ref="E13317:F13317"/>
    <mergeCell ref="E13318:F13318"/>
    <mergeCell ref="E13319:F13319"/>
    <mergeCell ref="E13301:F13301"/>
    <mergeCell ref="E13302:F13302"/>
    <mergeCell ref="E13303:F13303"/>
    <mergeCell ref="E13304:F13304"/>
    <mergeCell ref="E13315:F13315"/>
    <mergeCell ref="E13369:F13369"/>
    <mergeCell ref="E13367:F13367"/>
    <mergeCell ref="E13337:F13337"/>
    <mergeCell ref="E13338:F13338"/>
    <mergeCell ref="E13365:F13365"/>
    <mergeCell ref="E13366:F13366"/>
    <mergeCell ref="E13282:F13282"/>
    <mergeCell ref="E13389:F13389"/>
    <mergeCell ref="E13390:F13390"/>
    <mergeCell ref="E13370:F13370"/>
    <mergeCell ref="E13287:F13287"/>
    <mergeCell ref="E13291:H13291"/>
    <mergeCell ref="E13323:F13323"/>
    <mergeCell ref="E13328:H13328"/>
    <mergeCell ref="E13329:H13329"/>
    <mergeCell ref="E13119:F13119"/>
    <mergeCell ref="E13107:F13107"/>
    <mergeCell ref="E13098:F13098"/>
    <mergeCell ref="E13088:F13088"/>
    <mergeCell ref="E13151:F13151"/>
    <mergeCell ref="E13152:F13152"/>
    <mergeCell ref="E13153:F13153"/>
    <mergeCell ref="E13164:F13164"/>
    <mergeCell ref="E13165:F13165"/>
    <mergeCell ref="E13167:F13167"/>
    <mergeCell ref="E13168:F13168"/>
    <mergeCell ref="E13169:F13169"/>
    <mergeCell ref="E13170:F13170"/>
    <mergeCell ref="E13174:H13174"/>
    <mergeCell ref="E13175:H13175"/>
    <mergeCell ref="E13487:H13487"/>
    <mergeCell ref="E13478:F13478"/>
    <mergeCell ref="E13479:F13479"/>
    <mergeCell ref="E13396:F13396"/>
    <mergeCell ref="E13407:H13407"/>
    <mergeCell ref="E13408:H13408"/>
    <mergeCell ref="E13488:H13488"/>
    <mergeCell ref="E13607:H13607"/>
    <mergeCell ref="E13608:H13608"/>
    <mergeCell ref="E13609:H13609"/>
    <mergeCell ref="E13610:H13610"/>
    <mergeCell ref="E13614:H13614"/>
    <mergeCell ref="E13615:H13615"/>
    <mergeCell ref="E13616:H13616"/>
    <mergeCell ref="E13617:H13617"/>
    <mergeCell ref="E13625:F13625"/>
    <mergeCell ref="E13631:H13631"/>
    <mergeCell ref="E13632:H13632"/>
    <mergeCell ref="E13633:H13633"/>
    <mergeCell ref="E13634:H13634"/>
    <mergeCell ref="E13635:H13635"/>
    <mergeCell ref="E13636:H13636"/>
    <mergeCell ref="E13574:F13574"/>
    <mergeCell ref="E13575:F13575"/>
    <mergeCell ref="E13584:H13584"/>
    <mergeCell ref="E13592:F13592"/>
    <mergeCell ref="E13593:F13593"/>
    <mergeCell ref="E13594:F13594"/>
    <mergeCell ref="E13595:F13595"/>
    <mergeCell ref="E13596:F13596"/>
    <mergeCell ref="E13548:F13548"/>
    <mergeCell ref="E13549:F13549"/>
    <mergeCell ref="E13550:F13550"/>
    <mergeCell ref="E13551:F13551"/>
    <mergeCell ref="E13557:H13557"/>
    <mergeCell ref="E13558:H13558"/>
    <mergeCell ref="E13559:H13559"/>
    <mergeCell ref="E13484:H13484"/>
    <mergeCell ref="E13485:H13485"/>
    <mergeCell ref="E13486:H13486"/>
    <mergeCell ref="E13601:H13601"/>
    <mergeCell ref="E13604:H13604"/>
    <mergeCell ref="E13562:F13562"/>
    <mergeCell ref="E13563:F13563"/>
    <mergeCell ref="E13565:H13565"/>
    <mergeCell ref="E13566:H13566"/>
    <mergeCell ref="E13567:H13567"/>
    <mergeCell ref="E13569:F13569"/>
    <mergeCell ref="E13570:F13570"/>
    <mergeCell ref="E13572:F13572"/>
    <mergeCell ref="E13573:F13573"/>
    <mergeCell ref="E13532:F13532"/>
    <mergeCell ref="E13533:F13533"/>
    <mergeCell ref="E13534:F13534"/>
    <mergeCell ref="E13537:H13537"/>
    <mergeCell ref="E13538:H13538"/>
    <mergeCell ref="E13539:H13539"/>
    <mergeCell ref="E13540:H13540"/>
    <mergeCell ref="E13541:H13541"/>
    <mergeCell ref="E13542:H13542"/>
    <mergeCell ref="E13545:F13545"/>
    <mergeCell ref="E13546:F13546"/>
    <mergeCell ref="E13547:F13547"/>
    <mergeCell ref="E13498:F13498"/>
    <mergeCell ref="E13700:H13700"/>
    <mergeCell ref="E13701:H13701"/>
    <mergeCell ref="E13702:H13702"/>
    <mergeCell ref="E13704:F13704"/>
    <mergeCell ref="E13705:F13705"/>
    <mergeCell ref="E13706:F13706"/>
    <mergeCell ref="E13715:F13715"/>
    <mergeCell ref="E13716:F13716"/>
    <mergeCell ref="E14351:H14351"/>
    <mergeCell ref="E14373:H14373"/>
    <mergeCell ref="E14374:H14374"/>
    <mergeCell ref="E14375:H14375"/>
    <mergeCell ref="E14376:H14376"/>
    <mergeCell ref="E14377:H14377"/>
    <mergeCell ref="E14378:H14378"/>
    <mergeCell ref="E14383:F14383"/>
    <mergeCell ref="E14352:H14352"/>
    <mergeCell ref="E14357:F14357"/>
    <mergeCell ref="E14358:F14358"/>
    <mergeCell ref="E14359:F14359"/>
    <mergeCell ref="E14360:F14360"/>
    <mergeCell ref="E14361:F14361"/>
    <mergeCell ref="E14362:F14362"/>
    <mergeCell ref="E14363:F14363"/>
    <mergeCell ref="E14364:F14364"/>
    <mergeCell ref="E14371:H14371"/>
    <mergeCell ref="E14372:H14372"/>
    <mergeCell ref="E14379:F14379"/>
    <mergeCell ref="E14380:F14380"/>
    <mergeCell ref="E14381:F14381"/>
    <mergeCell ref="E14382:F14382"/>
    <mergeCell ref="E13728:F13728"/>
    <mergeCell ref="E13729:F13729"/>
    <mergeCell ref="E13707:F13707"/>
    <mergeCell ref="E13708:F13708"/>
    <mergeCell ref="E13709:F13709"/>
    <mergeCell ref="E13710:F13710"/>
    <mergeCell ref="E13711:F13711"/>
    <mergeCell ref="E13712:F13712"/>
    <mergeCell ref="E13713:F13713"/>
    <mergeCell ref="E13714:F13714"/>
    <mergeCell ref="E13718:H13718"/>
    <mergeCell ref="E13719:H13719"/>
    <mergeCell ref="E13720:H13720"/>
    <mergeCell ref="E13721:H13721"/>
    <mergeCell ref="E13722:H13722"/>
    <mergeCell ref="E13723:H13723"/>
    <mergeCell ref="E13724:H13724"/>
    <mergeCell ref="E13727:F13727"/>
    <mergeCell ref="E13730:H13730"/>
    <mergeCell ref="E13731:H13731"/>
    <mergeCell ref="E13732:H13732"/>
    <mergeCell ref="E14124:H14124"/>
    <mergeCell ref="E14128:F14128"/>
    <mergeCell ref="E14130:F14130"/>
    <mergeCell ref="E14133:F14133"/>
    <mergeCell ref="E14134:F14134"/>
    <mergeCell ref="E13703:H13703"/>
    <mergeCell ref="E13717:H13717"/>
    <mergeCell ref="E13725:F13725"/>
    <mergeCell ref="E13726:F13726"/>
    <mergeCell ref="E13800:F13800"/>
    <mergeCell ref="E14139:F14139"/>
    <mergeCell ref="E14140:F14140"/>
    <mergeCell ref="E14396:H14396"/>
    <mergeCell ref="E14397:H14397"/>
    <mergeCell ref="E14398:H14398"/>
    <mergeCell ref="E14399:H14399"/>
    <mergeCell ref="E14400:H14400"/>
    <mergeCell ref="E14403:F14403"/>
    <mergeCell ref="E14404:F14404"/>
    <mergeCell ref="E14405:F14405"/>
    <mergeCell ref="E14406:F14406"/>
    <mergeCell ref="E14407:F14407"/>
    <mergeCell ref="E14408:F14408"/>
    <mergeCell ref="E14417:H14417"/>
    <mergeCell ref="E14418:H14418"/>
    <mergeCell ref="E14425:F14425"/>
    <mergeCell ref="E14426:F14426"/>
    <mergeCell ref="E14370:H14370"/>
    <mergeCell ref="E14384:F14384"/>
    <mergeCell ref="E14385:F14385"/>
    <mergeCell ref="E14392:F14392"/>
    <mergeCell ref="E14409:F14409"/>
    <mergeCell ref="E14410:F14410"/>
    <mergeCell ref="E14411:F14411"/>
    <mergeCell ref="E14412:F14412"/>
    <mergeCell ref="E14386:F14386"/>
    <mergeCell ref="E14387:F14387"/>
    <mergeCell ref="E14388:F14388"/>
    <mergeCell ref="E14389:F14389"/>
    <mergeCell ref="E14390:F14390"/>
    <mergeCell ref="E14391:F14391"/>
    <mergeCell ref="E14393:F14393"/>
    <mergeCell ref="E14394:F14394"/>
    <mergeCell ref="E14401:H14401"/>
    <mergeCell ref="E14402:H14402"/>
    <mergeCell ref="E14413:F14413"/>
    <mergeCell ref="E14757:F14757"/>
    <mergeCell ref="E14758:F14758"/>
    <mergeCell ref="E14759:F14759"/>
    <mergeCell ref="E14760:F14760"/>
    <mergeCell ref="E14762:F14762"/>
    <mergeCell ref="E14763:F14763"/>
    <mergeCell ref="E14764:F14764"/>
    <mergeCell ref="E14765:F14765"/>
    <mergeCell ref="E14768:H14768"/>
    <mergeCell ref="E14778:F14778"/>
    <mergeCell ref="E14484:F14484"/>
    <mergeCell ref="E14525:H14525"/>
    <mergeCell ref="E14526:H14526"/>
    <mergeCell ref="E14531:F14531"/>
    <mergeCell ref="E14534:F14534"/>
    <mergeCell ref="E14536:F14536"/>
    <mergeCell ref="E14537:F14537"/>
    <mergeCell ref="E14540:F14540"/>
    <mergeCell ref="E14542:F14542"/>
    <mergeCell ref="E14544:H14544"/>
    <mergeCell ref="E14547:H14547"/>
    <mergeCell ref="E14548:H14548"/>
    <mergeCell ref="E14553:F14553"/>
    <mergeCell ref="E14556:F14556"/>
    <mergeCell ref="E14532:F14532"/>
    <mergeCell ref="E14533:F14533"/>
    <mergeCell ref="E14535:F14535"/>
    <mergeCell ref="E14538:F14538"/>
    <mergeCell ref="E14539:F14539"/>
    <mergeCell ref="E14541:F14541"/>
    <mergeCell ref="E14543:H14543"/>
    <mergeCell ref="E14545:H14545"/>
    <mergeCell ref="E14546:H14546"/>
    <mergeCell ref="E14549:H14549"/>
    <mergeCell ref="E14550:H14550"/>
    <mergeCell ref="E14551:F14551"/>
    <mergeCell ref="E14578:F14578"/>
    <mergeCell ref="E14593:F14593"/>
    <mergeCell ref="E14594:F14594"/>
    <mergeCell ref="E14595:F14595"/>
    <mergeCell ref="E14603:H14603"/>
    <mergeCell ref="E14604:H14604"/>
    <mergeCell ref="E14605:H14605"/>
    <mergeCell ref="E14519:H14519"/>
    <mergeCell ref="E14520:H14520"/>
    <mergeCell ref="E14623:H14623"/>
    <mergeCell ref="E14624:H14624"/>
    <mergeCell ref="E14615:F14615"/>
    <mergeCell ref="E14619:F14619"/>
    <mergeCell ref="E14620:F14620"/>
    <mergeCell ref="E14626:H14626"/>
    <mergeCell ref="E14627:H14627"/>
    <mergeCell ref="E14628:H14628"/>
    <mergeCell ref="E14634:F14634"/>
    <mergeCell ref="E14640:F14640"/>
    <mergeCell ref="E14641:F14641"/>
    <mergeCell ref="E14665:F14665"/>
    <mergeCell ref="E14666:F14666"/>
    <mergeCell ref="E14667:F14667"/>
    <mergeCell ref="E14669:F14669"/>
    <mergeCell ref="E14670:F14670"/>
    <mergeCell ref="E14671:H14671"/>
    <mergeCell ref="E14672:H14672"/>
    <mergeCell ref="E14673:H14673"/>
    <mergeCell ref="E14906:F14906"/>
    <mergeCell ref="E14908:F14908"/>
    <mergeCell ref="E14912:F14912"/>
    <mergeCell ref="E14916:H14916"/>
    <mergeCell ref="E14919:H14919"/>
    <mergeCell ref="E14922:F14922"/>
    <mergeCell ref="E14882:H14882"/>
    <mergeCell ref="E14890:F14890"/>
    <mergeCell ref="E14894:F14894"/>
    <mergeCell ref="E14895:F14895"/>
    <mergeCell ref="E14896:H14896"/>
    <mergeCell ref="E14901:H14901"/>
    <mergeCell ref="E14902:H14902"/>
    <mergeCell ref="E14904:H14904"/>
    <mergeCell ref="E14907:H14907"/>
    <mergeCell ref="E14909:F14909"/>
    <mergeCell ref="E14910:H14910"/>
    <mergeCell ref="E14913:H14913"/>
    <mergeCell ref="E14914:F14914"/>
    <mergeCell ref="E14915:F14915"/>
    <mergeCell ref="E14918:F14918"/>
    <mergeCell ref="E14920:H14920"/>
    <mergeCell ref="E14611:F14611"/>
    <mergeCell ref="E14612:F14612"/>
    <mergeCell ref="E14613:F14613"/>
    <mergeCell ref="E14614:F14614"/>
    <mergeCell ref="E14616:F14616"/>
    <mergeCell ref="E14617:F14617"/>
    <mergeCell ref="E14618:F14618"/>
    <mergeCell ref="E14860:H14860"/>
    <mergeCell ref="E14863:F14863"/>
    <mergeCell ref="E14864:F14864"/>
    <mergeCell ref="E14865:F14865"/>
    <mergeCell ref="E14868:F14868"/>
    <mergeCell ref="E14869:F14869"/>
    <mergeCell ref="E14879:H14879"/>
    <mergeCell ref="E14880:H14880"/>
    <mergeCell ref="E14840:F14840"/>
    <mergeCell ref="E14841:F14841"/>
    <mergeCell ref="E14846:H14846"/>
    <mergeCell ref="E14847:H14847"/>
    <mergeCell ref="E14848:H14848"/>
    <mergeCell ref="E14849:H14849"/>
    <mergeCell ref="E14850:H14850"/>
    <mergeCell ref="E14851:H14851"/>
    <mergeCell ref="E14854:F14854"/>
    <mergeCell ref="E14855:F14855"/>
    <mergeCell ref="E14856:F14856"/>
    <mergeCell ref="E14858:F14858"/>
    <mergeCell ref="E14859:F14859"/>
    <mergeCell ref="E14861:H14861"/>
    <mergeCell ref="E14862:H14862"/>
    <mergeCell ref="E14866:H14866"/>
    <mergeCell ref="E14867:H14867"/>
    <mergeCell ref="E14870:H14870"/>
    <mergeCell ref="E14871:H14871"/>
    <mergeCell ref="E14872:H14872"/>
    <mergeCell ref="E14873:H14873"/>
    <mergeCell ref="E14874:H14874"/>
    <mergeCell ref="E14875:H14875"/>
    <mergeCell ref="E14877:H14877"/>
    <mergeCell ref="E14718:F14718"/>
    <mergeCell ref="E14828:F14828"/>
    <mergeCell ref="E14773:H14773"/>
    <mergeCell ref="E14831:F14831"/>
    <mergeCell ref="E14839:H14839"/>
    <mergeCell ref="E14829:F14829"/>
    <mergeCell ref="E14830:F14830"/>
    <mergeCell ref="E14832:F14832"/>
    <mergeCell ref="E14833:H14833"/>
    <mergeCell ref="E14834:F14834"/>
    <mergeCell ref="E14835:F14835"/>
    <mergeCell ref="E14836:F14836"/>
    <mergeCell ref="E14837:F14837"/>
    <mergeCell ref="E14838:F14838"/>
    <mergeCell ref="E14842:F14842"/>
    <mergeCell ref="E14843:F14843"/>
    <mergeCell ref="E14844:F14844"/>
    <mergeCell ref="E14845:F14845"/>
    <mergeCell ref="E14852:F14852"/>
    <mergeCell ref="E14853:F14853"/>
    <mergeCell ref="E14857:H14857"/>
    <mergeCell ref="E14925:F14925"/>
    <mergeCell ref="E14935:H14935"/>
    <mergeCell ref="E14936:H14936"/>
    <mergeCell ref="E14937:H14937"/>
    <mergeCell ref="E14940:F14940"/>
    <mergeCell ref="E14943:F14943"/>
    <mergeCell ref="E14949:F14949"/>
    <mergeCell ref="E14950:F14950"/>
    <mergeCell ref="E14959:F14959"/>
    <mergeCell ref="E14960:F14960"/>
    <mergeCell ref="E14962:F14962"/>
    <mergeCell ref="E14963:F14963"/>
    <mergeCell ref="E14964:F14964"/>
    <mergeCell ref="E14923:H14923"/>
    <mergeCell ref="E14926:H14926"/>
    <mergeCell ref="E14928:F14928"/>
    <mergeCell ref="E14929:H14929"/>
    <mergeCell ref="E14932:H14932"/>
    <mergeCell ref="E14934:H14934"/>
    <mergeCell ref="E14939:F14939"/>
    <mergeCell ref="E14941:F14941"/>
    <mergeCell ref="E14942:F14942"/>
    <mergeCell ref="E14944:F14944"/>
    <mergeCell ref="E14945:F14945"/>
    <mergeCell ref="E14946:F14946"/>
    <mergeCell ref="E14948:F14948"/>
    <mergeCell ref="E14952:H14952"/>
    <mergeCell ref="E14954:H14954"/>
    <mergeCell ref="E14955:H14955"/>
    <mergeCell ref="E14956:H14956"/>
    <mergeCell ref="E14957:H14957"/>
    <mergeCell ref="E14961:F14961"/>
    <mergeCell ref="E14881:H14881"/>
    <mergeCell ref="E14884:F14884"/>
    <mergeCell ref="E14885:F14885"/>
    <mergeCell ref="E14886:F14886"/>
    <mergeCell ref="E14887:F14887"/>
    <mergeCell ref="E14888:F14888"/>
    <mergeCell ref="E14889:F14889"/>
    <mergeCell ref="E14891:F14891"/>
    <mergeCell ref="E14893:F14893"/>
    <mergeCell ref="E14897:H14897"/>
    <mergeCell ref="E14898:H14898"/>
    <mergeCell ref="E14899:H14899"/>
    <mergeCell ref="E14900:H14900"/>
    <mergeCell ref="E14903:F14903"/>
    <mergeCell ref="E14965:F14965"/>
    <mergeCell ref="E14966:F14966"/>
    <mergeCell ref="E14980:F14980"/>
    <mergeCell ref="E14981:F14981"/>
    <mergeCell ref="E14982:F14982"/>
    <mergeCell ref="E14983:F14983"/>
    <mergeCell ref="E14986:F14986"/>
    <mergeCell ref="E14992:H14992"/>
    <mergeCell ref="E14994:H14994"/>
    <mergeCell ref="E14995:H14995"/>
    <mergeCell ref="E14996:H14996"/>
    <mergeCell ref="E14997:H14997"/>
    <mergeCell ref="E15002:F15002"/>
    <mergeCell ref="E14967:F14967"/>
    <mergeCell ref="E14969:F14969"/>
    <mergeCell ref="E14970:F14970"/>
    <mergeCell ref="E14971:F14971"/>
    <mergeCell ref="E14973:H14973"/>
    <mergeCell ref="E14975:H14975"/>
    <mergeCell ref="E14976:H14976"/>
    <mergeCell ref="E14977:H14977"/>
    <mergeCell ref="E14978:H14978"/>
    <mergeCell ref="E14984:F14984"/>
    <mergeCell ref="E14985:F14985"/>
    <mergeCell ref="E14988:F14988"/>
    <mergeCell ref="E14989:F14989"/>
    <mergeCell ref="E14990:F14990"/>
    <mergeCell ref="E14999:F14999"/>
    <mergeCell ref="E15000:F15000"/>
    <mergeCell ref="E15001:F15001"/>
    <mergeCell ref="E15003:F15003"/>
    <mergeCell ref="E15004:F15004"/>
    <mergeCell ref="E15005:F15005"/>
    <mergeCell ref="E15007:F15007"/>
    <mergeCell ref="E15063:H15063"/>
    <mergeCell ref="E15064:H15064"/>
    <mergeCell ref="E15065:H15065"/>
    <mergeCell ref="E15066:H15066"/>
    <mergeCell ref="E15067:H15067"/>
    <mergeCell ref="E15077:F15077"/>
    <mergeCell ref="E15078:F15078"/>
    <mergeCell ref="E15079:F15079"/>
    <mergeCell ref="E15080:F15080"/>
    <mergeCell ref="E15083:F15083"/>
    <mergeCell ref="E15084:F15084"/>
    <mergeCell ref="E15070:F15070"/>
    <mergeCell ref="E15071:F15071"/>
    <mergeCell ref="E15072:F15072"/>
    <mergeCell ref="E15073:F15073"/>
    <mergeCell ref="E15074:F15074"/>
    <mergeCell ref="E15075:F15075"/>
    <mergeCell ref="E15076:F15076"/>
    <mergeCell ref="E15082:H15082"/>
    <mergeCell ref="E15008:F15008"/>
    <mergeCell ref="E15009:F15009"/>
    <mergeCell ref="E15013:H15013"/>
    <mergeCell ref="E15014:H15014"/>
    <mergeCell ref="E15015:H15015"/>
    <mergeCell ref="E15016:H15016"/>
    <mergeCell ref="E15021:F15021"/>
    <mergeCell ref="E15022:F15022"/>
    <mergeCell ref="E15023:F15023"/>
    <mergeCell ref="E15024:F15024"/>
    <mergeCell ref="E15026:F15026"/>
    <mergeCell ref="E15027:F15027"/>
    <mergeCell ref="E15028:F15028"/>
    <mergeCell ref="E15032:H15032"/>
    <mergeCell ref="E15033:H15033"/>
    <mergeCell ref="E15034:H15034"/>
    <mergeCell ref="E15035:H15035"/>
    <mergeCell ref="E15011:H15011"/>
    <mergeCell ref="E15018:F15018"/>
    <mergeCell ref="E15019:F15019"/>
    <mergeCell ref="E15020:F15020"/>
    <mergeCell ref="E15030:H15030"/>
    <mergeCell ref="E15046:F15046"/>
    <mergeCell ref="E15047:F15047"/>
    <mergeCell ref="E15048:F15048"/>
    <mergeCell ref="E15049:F15049"/>
    <mergeCell ref="E15050:F15050"/>
    <mergeCell ref="E15059:F15059"/>
    <mergeCell ref="E15060:F15060"/>
    <mergeCell ref="E15061:F15061"/>
    <mergeCell ref="E15037:F15037"/>
    <mergeCell ref="E15040:F15040"/>
    <mergeCell ref="E15042:H15042"/>
    <mergeCell ref="E15043:H15043"/>
    <mergeCell ref="E15044:H15044"/>
    <mergeCell ref="E15051:F15051"/>
    <mergeCell ref="E15053:F15053"/>
    <mergeCell ref="E15054:F15054"/>
    <mergeCell ref="E15055:F15055"/>
    <mergeCell ref="E15056:F15056"/>
    <mergeCell ref="E15057:F15057"/>
    <mergeCell ref="E15085:H15085"/>
    <mergeCell ref="E15086:H15086"/>
    <mergeCell ref="E15087:H15087"/>
    <mergeCell ref="E15088:H15088"/>
    <mergeCell ref="E15089:H15089"/>
    <mergeCell ref="E15090:H15090"/>
    <mergeCell ref="E15091:H15091"/>
    <mergeCell ref="E15092:H15092"/>
    <mergeCell ref="E15093:H15093"/>
    <mergeCell ref="E15094:H15094"/>
    <mergeCell ref="E15095:H15095"/>
    <mergeCell ref="E15096:H15096"/>
    <mergeCell ref="E15097:H15097"/>
    <mergeCell ref="E15098:H15098"/>
    <mergeCell ref="E15099:F15099"/>
    <mergeCell ref="E15100:F15100"/>
    <mergeCell ref="E15101:F15101"/>
    <mergeCell ref="E15102:F15102"/>
    <mergeCell ref="E15103:F15103"/>
    <mergeCell ref="E15104:F15104"/>
    <mergeCell ref="E15105:F15105"/>
    <mergeCell ref="E15106:F15106"/>
    <mergeCell ref="E15107:F15107"/>
    <mergeCell ref="E15108:F15108"/>
    <mergeCell ref="E15109:F15109"/>
    <mergeCell ref="E15110:F15110"/>
    <mergeCell ref="E15111:H15111"/>
    <mergeCell ref="E15112:H15112"/>
    <mergeCell ref="E15113:H15113"/>
    <mergeCell ref="E15114:H15114"/>
    <mergeCell ref="E15115:H15115"/>
    <mergeCell ref="E15116:H15116"/>
    <mergeCell ref="E15117:H15117"/>
    <mergeCell ref="E15118:H15118"/>
    <mergeCell ref="E15119:F15119"/>
    <mergeCell ref="E15120:F15120"/>
    <mergeCell ref="E15121:F15121"/>
    <mergeCell ref="E15122:F15122"/>
    <mergeCell ref="E15123:F15123"/>
    <mergeCell ref="E15124:F15124"/>
    <mergeCell ref="E15125:F15125"/>
    <mergeCell ref="E15126:F15126"/>
    <mergeCell ref="E15127:F15127"/>
    <mergeCell ref="E15128:F15128"/>
    <mergeCell ref="E15129:F15129"/>
    <mergeCell ref="E15130:F15130"/>
    <mergeCell ref="E15131:H15131"/>
    <mergeCell ref="E15132:H15132"/>
    <mergeCell ref="E15133:H15133"/>
    <mergeCell ref="E15134:H15134"/>
    <mergeCell ref="E15135:H15135"/>
    <mergeCell ref="E15136:H15136"/>
    <mergeCell ref="E15137:H15137"/>
    <mergeCell ref="E15138:H15138"/>
    <mergeCell ref="E15139:H15139"/>
    <mergeCell ref="E15140:H15140"/>
    <mergeCell ref="E15141:F15141"/>
    <mergeCell ref="E15142:F15142"/>
    <mergeCell ref="E15143:F15143"/>
    <mergeCell ref="E15144:F15144"/>
    <mergeCell ref="E15145:F15145"/>
    <mergeCell ref="E15146:F15146"/>
    <mergeCell ref="E15147:F15147"/>
    <mergeCell ref="E15148:F15148"/>
    <mergeCell ref="E15149:F15149"/>
    <mergeCell ref="E15150:F15150"/>
    <mergeCell ref="E15151:F15151"/>
    <mergeCell ref="E15152:H15152"/>
    <mergeCell ref="E15153:H15153"/>
    <mergeCell ref="E15154:H15154"/>
    <mergeCell ref="E15155:H15155"/>
    <mergeCell ref="E15156:H15156"/>
    <mergeCell ref="E15157:H15157"/>
    <mergeCell ref="E15158:H15158"/>
    <mergeCell ref="E15159:H15159"/>
    <mergeCell ref="E15160:F15160"/>
    <mergeCell ref="E15161:F15161"/>
    <mergeCell ref="E15162:F15162"/>
    <mergeCell ref="E15163:F15163"/>
    <mergeCell ref="E15164:F15164"/>
    <mergeCell ref="E15165:F15165"/>
    <mergeCell ref="E15166:F15166"/>
    <mergeCell ref="E15167:F15167"/>
    <mergeCell ref="E15168:F15168"/>
    <mergeCell ref="E15169:F15169"/>
    <mergeCell ref="E15170:F15170"/>
    <mergeCell ref="E15171:H15171"/>
    <mergeCell ref="E15172:H15172"/>
    <mergeCell ref="E15173:H15173"/>
    <mergeCell ref="E15174:H15174"/>
    <mergeCell ref="E15175:H15175"/>
    <mergeCell ref="E15176:H15176"/>
    <mergeCell ref="E15177:H15177"/>
    <mergeCell ref="E15178:H15178"/>
    <mergeCell ref="E15179:F15179"/>
    <mergeCell ref="E15180:F15180"/>
    <mergeCell ref="E15181:F15181"/>
    <mergeCell ref="E15182:F15182"/>
    <mergeCell ref="E15183:F15183"/>
    <mergeCell ref="E15184:F15184"/>
    <mergeCell ref="E15185:F15185"/>
    <mergeCell ref="E15186:F15186"/>
    <mergeCell ref="E15187:F15187"/>
    <mergeCell ref="E15188:F15188"/>
    <mergeCell ref="E15189:F15189"/>
    <mergeCell ref="E15190:H15190"/>
    <mergeCell ref="E15191:H15191"/>
    <mergeCell ref="E15192:H15192"/>
    <mergeCell ref="E15193:H15193"/>
    <mergeCell ref="E15194:H15194"/>
    <mergeCell ref="E15195:H15195"/>
    <mergeCell ref="E15196:H15196"/>
    <mergeCell ref="E15197:H15197"/>
    <mergeCell ref="E15198:F15198"/>
    <mergeCell ref="E15200:F15200"/>
    <mergeCell ref="E15201:F15201"/>
    <mergeCell ref="E15203:H15203"/>
    <mergeCell ref="E15204:H15204"/>
    <mergeCell ref="E15205:H15205"/>
    <mergeCell ref="E15207:F15207"/>
    <mergeCell ref="E15208:F15208"/>
    <mergeCell ref="E15209:F15209"/>
    <mergeCell ref="E15210:F15210"/>
    <mergeCell ref="E15211:F15211"/>
    <mergeCell ref="E15212:F15212"/>
    <mergeCell ref="E15213:F15213"/>
    <mergeCell ref="E15214:F15214"/>
    <mergeCell ref="E15215:F15215"/>
    <mergeCell ref="E15216:F15216"/>
    <mergeCell ref="E15217:F15217"/>
    <mergeCell ref="E15218:F15218"/>
    <mergeCell ref="E15219:F15219"/>
    <mergeCell ref="E15220:F15220"/>
    <mergeCell ref="E15221:F15221"/>
    <mergeCell ref="E15222:F15222"/>
    <mergeCell ref="E15224:F15224"/>
    <mergeCell ref="E15225:F15225"/>
    <mergeCell ref="E15226:F15226"/>
    <mergeCell ref="E15227:F15227"/>
    <mergeCell ref="E15228:F15228"/>
    <mergeCell ref="E15229:F15229"/>
    <mergeCell ref="E15230:F15230"/>
    <mergeCell ref="E15231:F15231"/>
    <mergeCell ref="E15232:F15232"/>
    <mergeCell ref="E15233:F15233"/>
    <mergeCell ref="E15235:F15235"/>
    <mergeCell ref="E15236:F15236"/>
    <mergeCell ref="E15237:F15237"/>
    <mergeCell ref="E15238:F15238"/>
    <mergeCell ref="E15239:F15239"/>
    <mergeCell ref="E15240:F15240"/>
    <mergeCell ref="E15241:F15241"/>
    <mergeCell ref="E15242:F15242"/>
    <mergeCell ref="E15244:H15244"/>
    <mergeCell ref="E15245:H15245"/>
    <mergeCell ref="E15246:H15246"/>
    <mergeCell ref="E15247:H15247"/>
    <mergeCell ref="E15248:H15248"/>
    <mergeCell ref="E15249:F15249"/>
    <mergeCell ref="E15250:F15250"/>
    <mergeCell ref="E15251:F15251"/>
    <mergeCell ref="E15252:F15252"/>
    <mergeCell ref="E15253:F15253"/>
    <mergeCell ref="E15254:F15254"/>
    <mergeCell ref="E15255:F15255"/>
    <mergeCell ref="E15256:F15256"/>
    <mergeCell ref="E15257:F15257"/>
    <mergeCell ref="E15258:F15258"/>
    <mergeCell ref="E15259:F15259"/>
    <mergeCell ref="E15260:F15260"/>
    <mergeCell ref="E15261:F15261"/>
    <mergeCell ref="E15262:F15262"/>
    <mergeCell ref="E15264:H15264"/>
    <mergeCell ref="E15265:F15265"/>
    <mergeCell ref="E15266:F15266"/>
    <mergeCell ref="E15267:H15267"/>
    <mergeCell ref="E15268:H15268"/>
    <mergeCell ref="E15269:H15269"/>
    <mergeCell ref="E15270:H15270"/>
    <mergeCell ref="E15271:H15271"/>
    <mergeCell ref="E15272:H15272"/>
    <mergeCell ref="E15273:H15273"/>
    <mergeCell ref="E15274:H15274"/>
    <mergeCell ref="E15275:H15275"/>
    <mergeCell ref="E15276:H15276"/>
    <mergeCell ref="E15277:H15277"/>
    <mergeCell ref="E15278:H15278"/>
    <mergeCell ref="E15279:H15279"/>
    <mergeCell ref="E15280:H15280"/>
    <mergeCell ref="E15281:F15281"/>
    <mergeCell ref="E15282:F15282"/>
    <mergeCell ref="E15283:F15283"/>
    <mergeCell ref="E15284:F15284"/>
    <mergeCell ref="E15285:F15285"/>
    <mergeCell ref="E15286:F15286"/>
    <mergeCell ref="E15287:F15287"/>
    <mergeCell ref="E15288:F15288"/>
    <mergeCell ref="E15289:F15289"/>
    <mergeCell ref="E15290:F15290"/>
    <mergeCell ref="E15291:H15291"/>
    <mergeCell ref="E15292:H15292"/>
    <mergeCell ref="E15293:H15293"/>
    <mergeCell ref="E15294:H15294"/>
    <mergeCell ref="E15295:H15295"/>
    <mergeCell ref="E15296:H15296"/>
    <mergeCell ref="E15297:H15297"/>
    <mergeCell ref="E15298:H15298"/>
    <mergeCell ref="E15299:F15299"/>
    <mergeCell ref="E15300:F15300"/>
    <mergeCell ref="E15301:F15301"/>
    <mergeCell ref="E15302:F15302"/>
    <mergeCell ref="E15303:F15303"/>
    <mergeCell ref="E15304:F15304"/>
    <mergeCell ref="E15305:F15305"/>
    <mergeCell ref="E15306:F15306"/>
    <mergeCell ref="E15307:F15307"/>
    <mergeCell ref="E15308:F15308"/>
    <mergeCell ref="E15309:F15309"/>
    <mergeCell ref="E15310:H15310"/>
    <mergeCell ref="E15311:H15311"/>
    <mergeCell ref="E15312:H15312"/>
    <mergeCell ref="E15313:H15313"/>
    <mergeCell ref="E15314:H15314"/>
    <mergeCell ref="E15315:H15315"/>
    <mergeCell ref="E15316:H15316"/>
    <mergeCell ref="E15317:H15317"/>
    <mergeCell ref="E15318:H15318"/>
    <mergeCell ref="E15319:H15319"/>
    <mergeCell ref="E15320:F15320"/>
    <mergeCell ref="E15321:F15321"/>
    <mergeCell ref="E15322:F15322"/>
    <mergeCell ref="E15323:F15323"/>
    <mergeCell ref="E15324:F15324"/>
    <mergeCell ref="E15325:F15325"/>
    <mergeCell ref="E15326:F15326"/>
    <mergeCell ref="E15327:F15327"/>
    <mergeCell ref="E15328:F15328"/>
    <mergeCell ref="E15329:F15329"/>
    <mergeCell ref="E15330:H15330"/>
    <mergeCell ref="E15331:H15331"/>
    <mergeCell ref="E15332:H15332"/>
    <mergeCell ref="E15333:H15333"/>
    <mergeCell ref="E15334:H15334"/>
    <mergeCell ref="E15335:H15335"/>
    <mergeCell ref="E15336:H15336"/>
    <mergeCell ref="E15337:H15337"/>
    <mergeCell ref="E15338:H15338"/>
    <mergeCell ref="E15339:H15339"/>
    <mergeCell ref="E15340:F15340"/>
    <mergeCell ref="E15341:F15341"/>
    <mergeCell ref="E15342:F15342"/>
    <mergeCell ref="E15343:F15343"/>
    <mergeCell ref="E15344:F15344"/>
    <mergeCell ref="E15345:F15345"/>
    <mergeCell ref="E15346:F15346"/>
    <mergeCell ref="E15347:F15347"/>
    <mergeCell ref="E15348:F15348"/>
    <mergeCell ref="E15349:F15349"/>
    <mergeCell ref="E15350:H15350"/>
    <mergeCell ref="E15351:H15351"/>
    <mergeCell ref="E15352:H15352"/>
    <mergeCell ref="E15353:H15353"/>
    <mergeCell ref="E15354:H15354"/>
    <mergeCell ref="E15355:H15355"/>
    <mergeCell ref="E15356:H15356"/>
    <mergeCell ref="E15357:H15357"/>
    <mergeCell ref="E15358:F15358"/>
    <mergeCell ref="E15359:F15359"/>
    <mergeCell ref="E15360:F15360"/>
    <mergeCell ref="E15361:F15361"/>
    <mergeCell ref="E15362:F15362"/>
    <mergeCell ref="E15363:F15363"/>
    <mergeCell ref="E15364:F15364"/>
    <mergeCell ref="E15365:F15365"/>
    <mergeCell ref="E15366:F15366"/>
    <mergeCell ref="E15367:F15367"/>
    <mergeCell ref="E15368:H15368"/>
    <mergeCell ref="E15369:H15369"/>
    <mergeCell ref="E15370:H15370"/>
    <mergeCell ref="E15371:H15371"/>
    <mergeCell ref="E15372:H15372"/>
    <mergeCell ref="E15373:H15373"/>
    <mergeCell ref="E15374:H15374"/>
    <mergeCell ref="E15375:H15375"/>
    <mergeCell ref="E15376:F15376"/>
    <mergeCell ref="E15377:F15377"/>
    <mergeCell ref="E15378:F15378"/>
    <mergeCell ref="E15379:F15379"/>
    <mergeCell ref="E15380:F15380"/>
    <mergeCell ref="E15381:F15381"/>
    <mergeCell ref="E15382:F15382"/>
    <mergeCell ref="E15383:F15383"/>
    <mergeCell ref="E15384:F15384"/>
    <mergeCell ref="E15385:F15385"/>
    <mergeCell ref="E15386:H15386"/>
    <mergeCell ref="E15387:H15387"/>
    <mergeCell ref="E15388:H15388"/>
    <mergeCell ref="E15389:H15389"/>
    <mergeCell ref="E15390:H15390"/>
    <mergeCell ref="E15391:H15391"/>
    <mergeCell ref="E15392:H15392"/>
    <mergeCell ref="E15393:H15393"/>
    <mergeCell ref="E15394:F15394"/>
    <mergeCell ref="E15395:F15395"/>
    <mergeCell ref="E15396:F15396"/>
    <mergeCell ref="E15397:F15397"/>
    <mergeCell ref="E15398:F15398"/>
    <mergeCell ref="E15399:F15399"/>
    <mergeCell ref="E15400:F15400"/>
    <mergeCell ref="E15401:F15401"/>
    <mergeCell ref="E15402:F15402"/>
    <mergeCell ref="E15403:F15403"/>
    <mergeCell ref="E15404:H15404"/>
    <mergeCell ref="E15405:H15405"/>
    <mergeCell ref="E15406:H15406"/>
    <mergeCell ref="E15407:H15407"/>
    <mergeCell ref="E15408:H15408"/>
    <mergeCell ref="E15409:H15409"/>
    <mergeCell ref="E15410:H15410"/>
    <mergeCell ref="E15411:H15411"/>
    <mergeCell ref="E15412:F15412"/>
    <mergeCell ref="E15414:F15414"/>
    <mergeCell ref="E15415:F15415"/>
    <mergeCell ref="E15417:H15417"/>
    <mergeCell ref="E15418:H15418"/>
    <mergeCell ref="E15419:H15419"/>
    <mergeCell ref="E15421:F15421"/>
    <mergeCell ref="E15422:F15422"/>
    <mergeCell ref="E15423:F15423"/>
    <mergeCell ref="E15424:F15424"/>
    <mergeCell ref="E15461:H15461"/>
    <mergeCell ref="E15462:F15462"/>
    <mergeCell ref="E15463:F15463"/>
    <mergeCell ref="E15464:F15464"/>
    <mergeCell ref="E15465:F15465"/>
    <mergeCell ref="E15466:F15466"/>
    <mergeCell ref="E15467:F15467"/>
    <mergeCell ref="E15468:F15468"/>
    <mergeCell ref="E15469:F15469"/>
    <mergeCell ref="E15470:F15470"/>
    <mergeCell ref="E15471:F15471"/>
    <mergeCell ref="E15472:F15472"/>
    <mergeCell ref="E15473:F15473"/>
    <mergeCell ref="E15474:F15474"/>
    <mergeCell ref="E15475:F15475"/>
    <mergeCell ref="E15477:H15477"/>
    <mergeCell ref="E15478:F15478"/>
    <mergeCell ref="E15479:F15479"/>
    <mergeCell ref="E15480:F15480"/>
    <mergeCell ref="E15481:F15481"/>
    <mergeCell ref="E15425:F15425"/>
    <mergeCell ref="E15426:F15426"/>
    <mergeCell ref="E15427:F15427"/>
    <mergeCell ref="E15428:F15428"/>
    <mergeCell ref="E15429:F15429"/>
    <mergeCell ref="E15430:F15430"/>
    <mergeCell ref="E15431:F15431"/>
    <mergeCell ref="E15432:F15432"/>
    <mergeCell ref="E15433:F15433"/>
    <mergeCell ref="E15434:F15434"/>
    <mergeCell ref="E15435:F15435"/>
    <mergeCell ref="E15437:F15437"/>
    <mergeCell ref="E15438:F15438"/>
    <mergeCell ref="E15439:F15439"/>
    <mergeCell ref="E15440:F15440"/>
    <mergeCell ref="E15441:F15441"/>
    <mergeCell ref="E15442:F15442"/>
    <mergeCell ref="E15443:F15443"/>
    <mergeCell ref="E15444:F15444"/>
    <mergeCell ref="E15445:F15445"/>
    <mergeCell ref="E15446:F15446"/>
    <mergeCell ref="E15448:F15448"/>
    <mergeCell ref="E15449:F15449"/>
    <mergeCell ref="E15450:F15450"/>
    <mergeCell ref="E15451:F15451"/>
    <mergeCell ref="E15452:F15452"/>
    <mergeCell ref="E15453:F15453"/>
    <mergeCell ref="E15454:F15454"/>
    <mergeCell ref="E15455:F15455"/>
    <mergeCell ref="E15457:H15457"/>
    <mergeCell ref="E15458:H15458"/>
    <mergeCell ref="E15459:H15459"/>
    <mergeCell ref="E15460:H15460"/>
  </mergeCells>
  <pageMargins left="0.7" right="0.7" top="0.75" bottom="0.75" header="0.3" footer="0.3"/>
  <pageSetup scale="4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dimension ref="A1:BY320"/>
  <sheetViews>
    <sheetView topLeftCell="A43" workbookViewId="0">
      <selection activeCell="I43" sqref="I43"/>
    </sheetView>
  </sheetViews>
  <sheetFormatPr defaultColWidth="9.33203125" defaultRowHeight="14.4" x14ac:dyDescent="0.3"/>
  <cols>
    <col min="1" max="1" width="105.6640625" style="22" bestFit="1" customWidth="1"/>
    <col min="2" max="8" width="9.33203125" style="22"/>
    <col min="9" max="9" width="132.33203125" style="22" bestFit="1" customWidth="1"/>
    <col min="10" max="10" width="9.33203125" style="22"/>
    <col min="11" max="11" width="2.33203125" style="22" customWidth="1"/>
    <col min="12" max="12" width="59.33203125" style="22" hidden="1" customWidth="1"/>
    <col min="13" max="13" width="0" style="22" hidden="1" customWidth="1"/>
    <col min="14" max="14" width="9.33203125" style="22"/>
    <col min="15" max="15" width="110" style="22" bestFit="1" customWidth="1"/>
    <col min="16" max="25" width="9.33203125" style="22"/>
    <col min="26" max="27" width="83" style="22" bestFit="1" customWidth="1"/>
    <col min="28" max="28" width="9.33203125" style="22"/>
    <col min="29" max="29" width="63.6640625" style="23" customWidth="1"/>
    <col min="30" max="30" width="9.33203125" style="22"/>
    <col min="31" max="31" width="14.6640625" style="22" customWidth="1"/>
    <col min="32" max="33" width="9.33203125" style="22"/>
    <col min="34" max="34" width="56.33203125" style="22" customWidth="1"/>
    <col min="35" max="16384" width="9.33203125" style="22"/>
  </cols>
  <sheetData>
    <row r="1" spans="1:77" x14ac:dyDescent="0.3">
      <c r="A1" s="678" t="s">
        <v>593</v>
      </c>
      <c r="B1" s="22" t="s">
        <v>5</v>
      </c>
      <c r="C1" s="22">
        <f>COUNTA(B1:B17)</f>
        <v>4</v>
      </c>
      <c r="I1" s="22" t="s">
        <v>456</v>
      </c>
      <c r="L1" s="532" t="s">
        <v>12</v>
      </c>
      <c r="N1" s="532" t="s">
        <v>11</v>
      </c>
      <c r="O1" s="533" t="s">
        <v>84</v>
      </c>
      <c r="P1" s="534" t="s">
        <v>139</v>
      </c>
      <c r="Z1" s="22" t="s">
        <v>158</v>
      </c>
      <c r="AA1" s="22" t="s">
        <v>158</v>
      </c>
      <c r="AC1" s="535" t="s">
        <v>239</v>
      </c>
      <c r="AD1" s="22" t="s">
        <v>155</v>
      </c>
      <c r="AH1" s="45" t="s">
        <v>156</v>
      </c>
      <c r="AI1" s="47"/>
      <c r="AJ1" s="47"/>
      <c r="AK1" s="529"/>
      <c r="AL1" s="47"/>
      <c r="AM1" s="47"/>
      <c r="AN1" s="2285"/>
      <c r="AO1" s="2285"/>
      <c r="AP1" s="529"/>
      <c r="AQ1" s="44"/>
      <c r="AR1" s="44"/>
      <c r="AS1" s="48"/>
      <c r="BQ1" s="536"/>
      <c r="BR1" s="537"/>
    </row>
    <row r="2" spans="1:77" s="23" customFormat="1" x14ac:dyDescent="0.3">
      <c r="A2" s="678" t="s">
        <v>2322</v>
      </c>
      <c r="B2" s="22" t="s">
        <v>4</v>
      </c>
      <c r="C2" s="22"/>
      <c r="D2" s="22"/>
      <c r="E2" s="22"/>
      <c r="F2" s="22"/>
      <c r="G2" s="22"/>
      <c r="H2" s="22"/>
      <c r="I2" s="22" t="s">
        <v>80</v>
      </c>
      <c r="K2" s="22"/>
      <c r="L2" s="534" t="s">
        <v>140</v>
      </c>
      <c r="M2" s="22"/>
      <c r="N2" s="22" t="s">
        <v>19</v>
      </c>
      <c r="O2" s="533" t="s">
        <v>54</v>
      </c>
      <c r="P2" s="534" t="s">
        <v>140</v>
      </c>
      <c r="Q2" s="538"/>
      <c r="R2" s="538"/>
      <c r="S2" s="538"/>
      <c r="T2" s="538"/>
      <c r="U2" s="538"/>
      <c r="V2" s="538"/>
      <c r="W2" s="538"/>
      <c r="X2" s="538"/>
      <c r="Y2" s="538"/>
      <c r="Z2" s="22" t="s">
        <v>195</v>
      </c>
      <c r="AA2" s="22" t="s">
        <v>195</v>
      </c>
      <c r="AB2" s="538"/>
      <c r="AC2" s="539" t="s">
        <v>240</v>
      </c>
      <c r="AD2" s="22" t="s">
        <v>155</v>
      </c>
      <c r="AG2" s="538"/>
      <c r="AH2" s="19" t="s">
        <v>150</v>
      </c>
      <c r="AI2" s="9"/>
      <c r="AJ2" s="13"/>
      <c r="AK2" s="528">
        <f>AI2*AJ2</f>
        <v>0</v>
      </c>
      <c r="AL2" s="9">
        <f t="shared" ref="AL2:AM4" si="0">AI2</f>
        <v>0</v>
      </c>
      <c r="AM2" s="12">
        <f t="shared" si="0"/>
        <v>0</v>
      </c>
      <c r="AN2" s="2284">
        <f>AL2*AM2</f>
        <v>0</v>
      </c>
      <c r="AO2" s="2284"/>
      <c r="AP2" s="531">
        <f>AN2-AK2</f>
        <v>0</v>
      </c>
      <c r="AQ2" s="10" t="e">
        <f>AP2/AK2</f>
        <v>#DIV/0!</v>
      </c>
      <c r="AR2" s="10"/>
      <c r="AS2" s="49"/>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22"/>
      <c r="BR2" s="537"/>
      <c r="BS2" s="538"/>
      <c r="BT2" s="538"/>
      <c r="BU2" s="538"/>
      <c r="BV2" s="538"/>
      <c r="BW2" s="538"/>
      <c r="BX2" s="538"/>
      <c r="BY2" s="538"/>
    </row>
    <row r="3" spans="1:77" x14ac:dyDescent="0.3">
      <c r="A3" s="678" t="s">
        <v>2323</v>
      </c>
      <c r="B3" s="22" t="s">
        <v>2</v>
      </c>
      <c r="I3" s="22" t="s">
        <v>362</v>
      </c>
      <c r="L3" s="534" t="s">
        <v>16</v>
      </c>
      <c r="N3" s="22" t="s">
        <v>20</v>
      </c>
      <c r="O3" s="533" t="s">
        <v>92</v>
      </c>
      <c r="P3" s="534" t="s">
        <v>16</v>
      </c>
      <c r="Z3" s="22" t="s">
        <v>170</v>
      </c>
      <c r="AA3" s="22" t="s">
        <v>170</v>
      </c>
      <c r="AC3" s="535" t="s">
        <v>240</v>
      </c>
      <c r="AD3" s="22" t="s">
        <v>155</v>
      </c>
      <c r="AH3" s="19" t="s">
        <v>428</v>
      </c>
      <c r="AI3" s="9"/>
      <c r="AJ3" s="13"/>
      <c r="AK3" s="528">
        <f>AI3*AJ3</f>
        <v>0</v>
      </c>
      <c r="AL3" s="9">
        <f t="shared" si="0"/>
        <v>0</v>
      </c>
      <c r="AM3" s="12">
        <f t="shared" si="0"/>
        <v>0</v>
      </c>
      <c r="AN3" s="2284">
        <f>AL3*AM3</f>
        <v>0</v>
      </c>
      <c r="AO3" s="2284"/>
      <c r="AP3" s="531">
        <f>AN3-AK3</f>
        <v>0</v>
      </c>
      <c r="AQ3" s="10" t="e">
        <f>AP3/AK3</f>
        <v>#DIV/0!</v>
      </c>
      <c r="AR3" s="10"/>
      <c r="AS3" s="49"/>
      <c r="BQ3" s="536"/>
      <c r="BR3" s="537"/>
    </row>
    <row r="4" spans="1:77" x14ac:dyDescent="0.3">
      <c r="A4" s="678" t="s">
        <v>2014</v>
      </c>
      <c r="B4" s="22" t="s">
        <v>3</v>
      </c>
      <c r="I4" s="22" t="s">
        <v>363</v>
      </c>
      <c r="L4" s="534" t="s">
        <v>13</v>
      </c>
      <c r="N4" s="22" t="s">
        <v>29</v>
      </c>
      <c r="O4" s="533" t="s">
        <v>55</v>
      </c>
      <c r="P4" s="534" t="s">
        <v>13</v>
      </c>
      <c r="Z4" s="22" t="s">
        <v>228</v>
      </c>
      <c r="AA4" s="22" t="s">
        <v>228</v>
      </c>
      <c r="AC4" s="535" t="s">
        <v>241</v>
      </c>
      <c r="AD4" s="22" t="s">
        <v>154</v>
      </c>
      <c r="AH4" s="19" t="s">
        <v>151</v>
      </c>
      <c r="AI4" s="11"/>
      <c r="AJ4" s="9"/>
      <c r="AK4" s="528">
        <f>AI4*AJ4</f>
        <v>0</v>
      </c>
      <c r="AL4" s="11">
        <f t="shared" si="0"/>
        <v>0</v>
      </c>
      <c r="AM4" s="14">
        <f t="shared" si="0"/>
        <v>0</v>
      </c>
      <c r="AN4" s="2284">
        <f>AL4*AM4</f>
        <v>0</v>
      </c>
      <c r="AO4" s="2284"/>
      <c r="AP4" s="531">
        <f>AN4-AK4</f>
        <v>0</v>
      </c>
      <c r="AQ4" s="10" t="e">
        <f>AP4/AK4</f>
        <v>#DIV/0!</v>
      </c>
      <c r="AR4" s="10"/>
      <c r="AS4" s="49"/>
      <c r="BR4" s="537"/>
    </row>
    <row r="5" spans="1:77" x14ac:dyDescent="0.3">
      <c r="A5" s="678" t="s">
        <v>590</v>
      </c>
      <c r="I5" s="22" t="s">
        <v>457</v>
      </c>
      <c r="L5" s="534" t="s">
        <v>138</v>
      </c>
      <c r="N5" s="22" t="s">
        <v>21</v>
      </c>
      <c r="O5" s="533" t="s">
        <v>113</v>
      </c>
      <c r="P5" s="534" t="s">
        <v>138</v>
      </c>
      <c r="Z5" s="22" t="s">
        <v>229</v>
      </c>
      <c r="AA5" s="22" t="s">
        <v>229</v>
      </c>
      <c r="AC5" s="535" t="s">
        <v>242</v>
      </c>
      <c r="AD5" s="22" t="s">
        <v>154</v>
      </c>
      <c r="AH5" s="45" t="s">
        <v>157</v>
      </c>
      <c r="AI5" s="47"/>
      <c r="AJ5" s="47"/>
      <c r="AK5" s="529">
        <f>SUM(AK2:AK4)</f>
        <v>0</v>
      </c>
      <c r="AL5" s="47"/>
      <c r="AM5" s="47"/>
      <c r="AN5" s="2285">
        <f>SUM(AN2:AO4)</f>
        <v>0</v>
      </c>
      <c r="AO5" s="2285"/>
      <c r="AP5" s="529">
        <f>AN5-AK5</f>
        <v>0</v>
      </c>
      <c r="AQ5" s="46" t="e">
        <f>AP5/AK5</f>
        <v>#DIV/0!</v>
      </c>
      <c r="AR5" s="44"/>
      <c r="AS5" s="48"/>
      <c r="BR5" s="537"/>
    </row>
    <row r="6" spans="1:77" x14ac:dyDescent="0.3">
      <c r="A6" s="678" t="s">
        <v>591</v>
      </c>
      <c r="I6" s="22" t="s">
        <v>458</v>
      </c>
      <c r="L6" s="534" t="s">
        <v>17</v>
      </c>
      <c r="O6" s="533" t="s">
        <v>114</v>
      </c>
      <c r="P6" s="534" t="s">
        <v>17</v>
      </c>
      <c r="Z6" s="22" t="s">
        <v>169</v>
      </c>
      <c r="AA6" s="22" t="s">
        <v>169</v>
      </c>
      <c r="AC6" s="535" t="s">
        <v>243</v>
      </c>
      <c r="AD6" s="22" t="s">
        <v>155</v>
      </c>
      <c r="AH6" s="20" t="s">
        <v>147</v>
      </c>
      <c r="AI6" s="9"/>
      <c r="AJ6" s="15"/>
      <c r="AK6" s="528">
        <f>AI6*AJ6</f>
        <v>0</v>
      </c>
      <c r="AL6" s="9">
        <f>AI6</f>
        <v>0</v>
      </c>
      <c r="AM6" s="12">
        <f>AJ6</f>
        <v>0</v>
      </c>
      <c r="AN6" s="2289">
        <f>AL6*AM6</f>
        <v>0</v>
      </c>
      <c r="AO6" s="2289"/>
      <c r="AP6" s="531">
        <f>AN6-AK6</f>
        <v>0</v>
      </c>
      <c r="AQ6" s="10" t="e">
        <f>AP6/AK6</f>
        <v>#DIV/0!</v>
      </c>
      <c r="AR6" s="38"/>
      <c r="AS6" s="50"/>
      <c r="BR6" s="537"/>
    </row>
    <row r="7" spans="1:77" x14ac:dyDescent="0.3">
      <c r="A7" s="678" t="s">
        <v>2522</v>
      </c>
      <c r="I7" s="22" t="s">
        <v>459</v>
      </c>
      <c r="L7" s="540"/>
      <c r="O7" s="533"/>
      <c r="Z7" s="22" t="s">
        <v>230</v>
      </c>
      <c r="AA7" s="22" t="s">
        <v>230</v>
      </c>
      <c r="AC7" s="535" t="s">
        <v>244</v>
      </c>
      <c r="AD7" s="22" t="s">
        <v>155</v>
      </c>
      <c r="AH7" s="33"/>
      <c r="AI7" s="34"/>
      <c r="AJ7" s="34"/>
      <c r="AK7" s="35"/>
      <c r="AL7" s="34"/>
      <c r="AM7" s="34"/>
      <c r="AN7" s="2282"/>
      <c r="AO7" s="2283"/>
      <c r="AP7" s="36"/>
      <c r="AQ7" s="37"/>
      <c r="AR7" s="53"/>
      <c r="AS7" s="51"/>
      <c r="BQ7" s="536"/>
      <c r="BR7" s="537"/>
    </row>
    <row r="8" spans="1:77" x14ac:dyDescent="0.3">
      <c r="A8" s="678" t="s">
        <v>427</v>
      </c>
      <c r="I8" s="22" t="s">
        <v>460</v>
      </c>
      <c r="L8" s="534" t="s">
        <v>18</v>
      </c>
      <c r="O8" s="533" t="s">
        <v>110</v>
      </c>
      <c r="P8" s="534" t="s">
        <v>18</v>
      </c>
      <c r="Z8" s="22" t="s">
        <v>415</v>
      </c>
      <c r="AA8" s="22" t="s">
        <v>415</v>
      </c>
      <c r="AC8" s="535" t="s">
        <v>245</v>
      </c>
      <c r="AD8" s="22" t="s">
        <v>155</v>
      </c>
      <c r="AH8" s="20" t="s">
        <v>223</v>
      </c>
      <c r="AI8" s="18"/>
      <c r="AJ8" s="18"/>
      <c r="AK8" s="531"/>
      <c r="AL8" s="55"/>
      <c r="AM8" s="55"/>
      <c r="AN8" s="2288"/>
      <c r="AO8" s="2288"/>
      <c r="AP8" s="531">
        <f>AN8-AK8</f>
        <v>0</v>
      </c>
      <c r="AQ8" s="10"/>
      <c r="AR8" s="10"/>
      <c r="AS8" s="49"/>
      <c r="BR8" s="537"/>
    </row>
    <row r="9" spans="1:77" x14ac:dyDescent="0.3">
      <c r="A9" s="678" t="s">
        <v>2527</v>
      </c>
      <c r="I9" s="22" t="s">
        <v>461</v>
      </c>
      <c r="L9" s="540" t="s">
        <v>22</v>
      </c>
      <c r="O9" s="533" t="s">
        <v>133</v>
      </c>
      <c r="Z9" s="22" t="s">
        <v>171</v>
      </c>
      <c r="AA9" s="22" t="s">
        <v>171</v>
      </c>
      <c r="AC9" s="535" t="s">
        <v>248</v>
      </c>
      <c r="AD9" s="22" t="s">
        <v>155</v>
      </c>
      <c r="AH9" s="32" t="s">
        <v>148</v>
      </c>
      <c r="AI9" s="16"/>
      <c r="AJ9" s="17"/>
      <c r="AK9" s="531">
        <f>AJ9*AK8</f>
        <v>0</v>
      </c>
      <c r="AL9" s="16"/>
      <c r="AM9" s="17">
        <f>AJ9</f>
        <v>0</v>
      </c>
      <c r="AN9" s="2288">
        <f>AM9*AN8</f>
        <v>0</v>
      </c>
      <c r="AO9" s="2288"/>
      <c r="AP9" s="531">
        <f>AN9-AK9</f>
        <v>0</v>
      </c>
      <c r="AQ9" s="10" t="e">
        <f>AP9/AK9</f>
        <v>#DIV/0!</v>
      </c>
      <c r="AR9" s="10"/>
      <c r="AS9" s="49"/>
      <c r="BQ9" s="536"/>
      <c r="BR9" s="537"/>
    </row>
    <row r="10" spans="1:77" x14ac:dyDescent="0.3">
      <c r="A10" s="678" t="s">
        <v>2524</v>
      </c>
      <c r="I10" s="22" t="s">
        <v>462</v>
      </c>
      <c r="L10" s="540" t="s">
        <v>23</v>
      </c>
      <c r="O10" s="533" t="s">
        <v>95</v>
      </c>
      <c r="Z10" s="22" t="s">
        <v>598</v>
      </c>
      <c r="AA10" s="22" t="s">
        <v>598</v>
      </c>
      <c r="AC10" s="535" t="s">
        <v>246</v>
      </c>
      <c r="AD10" s="22" t="s">
        <v>155</v>
      </c>
      <c r="AH10" s="32" t="s">
        <v>224</v>
      </c>
      <c r="AI10" s="39"/>
      <c r="AJ10" s="39"/>
      <c r="AK10" s="531">
        <f>AK9+AK8</f>
        <v>0</v>
      </c>
      <c r="AL10" s="39"/>
      <c r="AM10" s="39"/>
      <c r="AN10" s="2288">
        <f>AN9+AN8</f>
        <v>0</v>
      </c>
      <c r="AO10" s="2288"/>
      <c r="AP10" s="531">
        <f>AN10-AK10</f>
        <v>0</v>
      </c>
      <c r="AQ10" s="10" t="e">
        <f>AP10/AK10</f>
        <v>#DIV/0!</v>
      </c>
      <c r="AR10" s="10"/>
      <c r="AS10" s="49"/>
      <c r="BR10" s="537"/>
    </row>
    <row r="11" spans="1:77" x14ac:dyDescent="0.3">
      <c r="A11" s="678" t="s">
        <v>596</v>
      </c>
      <c r="I11" s="22" t="s">
        <v>463</v>
      </c>
      <c r="L11" s="540" t="s">
        <v>24</v>
      </c>
      <c r="O11" s="533" t="s">
        <v>85</v>
      </c>
      <c r="Z11" s="22" t="s">
        <v>172</v>
      </c>
      <c r="AA11" s="22" t="s">
        <v>172</v>
      </c>
      <c r="AC11" s="535" t="s">
        <v>247</v>
      </c>
      <c r="AD11" s="22" t="s">
        <v>155</v>
      </c>
      <c r="AH11" s="32" t="s">
        <v>149</v>
      </c>
      <c r="AI11" s="18"/>
      <c r="AJ11" s="21"/>
      <c r="AK11" s="56">
        <f>-0.1*AK10</f>
        <v>0</v>
      </c>
      <c r="AL11" s="55"/>
      <c r="AM11" s="57">
        <f>AJ11</f>
        <v>0</v>
      </c>
      <c r="AN11" s="2287">
        <f>-0.1*AN10</f>
        <v>0</v>
      </c>
      <c r="AO11" s="2287"/>
      <c r="AP11" s="531">
        <f>AN11-AK11</f>
        <v>0</v>
      </c>
      <c r="AQ11" s="10" t="e">
        <f>AP11/AK11</f>
        <v>#DIV/0!</v>
      </c>
      <c r="AR11" s="10"/>
      <c r="AS11" s="49"/>
      <c r="BR11" s="537"/>
    </row>
    <row r="12" spans="1:77" ht="15" thickBot="1" x14ac:dyDescent="0.35">
      <c r="A12" s="678" t="s">
        <v>604</v>
      </c>
      <c r="I12" s="22" t="s">
        <v>464</v>
      </c>
      <c r="L12" s="540" t="s">
        <v>25</v>
      </c>
      <c r="O12" s="533" t="s">
        <v>122</v>
      </c>
      <c r="Z12" s="22" t="s">
        <v>173</v>
      </c>
      <c r="AA12" s="22" t="s">
        <v>173</v>
      </c>
      <c r="AC12" s="535" t="s">
        <v>249</v>
      </c>
      <c r="AD12" s="22" t="s">
        <v>155</v>
      </c>
      <c r="AH12" s="40" t="s">
        <v>225</v>
      </c>
      <c r="AI12" s="41"/>
      <c r="AJ12" s="41"/>
      <c r="AK12" s="530">
        <f>AK10+AK11</f>
        <v>0</v>
      </c>
      <c r="AL12" s="41"/>
      <c r="AM12" s="41"/>
      <c r="AN12" s="2286">
        <f>AN10+AN11</f>
        <v>0</v>
      </c>
      <c r="AO12" s="2286"/>
      <c r="AP12" s="42">
        <f>AN12-AK12</f>
        <v>0</v>
      </c>
      <c r="AQ12" s="43" t="e">
        <f>AP12/AK12</f>
        <v>#DIV/0!</v>
      </c>
      <c r="AR12" s="54"/>
      <c r="AS12" s="52"/>
      <c r="BQ12" s="536"/>
      <c r="BR12" s="537"/>
    </row>
    <row r="13" spans="1:77" x14ac:dyDescent="0.3">
      <c r="A13" s="678" t="s">
        <v>592</v>
      </c>
      <c r="C13" s="25"/>
      <c r="I13" s="22" t="s">
        <v>364</v>
      </c>
      <c r="L13" s="540"/>
      <c r="O13" s="533"/>
      <c r="Z13" s="22" t="s">
        <v>174</v>
      </c>
      <c r="AA13" s="22" t="s">
        <v>174</v>
      </c>
      <c r="AC13" s="535" t="s">
        <v>250</v>
      </c>
      <c r="AD13" s="22" t="s">
        <v>155</v>
      </c>
      <c r="AH13" s="33"/>
      <c r="AI13" s="34"/>
      <c r="AJ13" s="34"/>
      <c r="AK13" s="35"/>
      <c r="AL13" s="34"/>
      <c r="AM13" s="34"/>
      <c r="AN13" s="2282"/>
      <c r="AO13" s="2283"/>
      <c r="AP13" s="36"/>
      <c r="AQ13" s="37"/>
      <c r="AR13" s="53"/>
      <c r="AS13" s="51"/>
      <c r="BQ13" s="536"/>
      <c r="BR13" s="537"/>
    </row>
    <row r="14" spans="1:77" x14ac:dyDescent="0.3">
      <c r="A14" s="678" t="s">
        <v>597</v>
      </c>
      <c r="I14" s="22" t="s">
        <v>365</v>
      </c>
      <c r="L14" s="540" t="s">
        <v>26</v>
      </c>
      <c r="O14" s="533" t="s">
        <v>121</v>
      </c>
      <c r="Z14" s="22" t="s">
        <v>416</v>
      </c>
      <c r="AA14" s="22" t="s">
        <v>416</v>
      </c>
      <c r="AC14" s="535" t="s">
        <v>254</v>
      </c>
      <c r="AD14" s="22" t="s">
        <v>155</v>
      </c>
      <c r="AH14" s="20" t="s">
        <v>226</v>
      </c>
      <c r="AI14" s="18"/>
      <c r="AJ14" s="18"/>
      <c r="AK14" s="531"/>
      <c r="AL14" s="55"/>
      <c r="AM14" s="55"/>
      <c r="AN14" s="2288"/>
      <c r="AO14" s="2288"/>
      <c r="AP14" s="531">
        <f>AN14-AK14</f>
        <v>0</v>
      </c>
      <c r="AQ14" s="10"/>
      <c r="AR14" s="10"/>
      <c r="AS14" s="49"/>
      <c r="BR14" s="537"/>
    </row>
    <row r="15" spans="1:77" x14ac:dyDescent="0.3">
      <c r="A15" s="678" t="s">
        <v>606</v>
      </c>
      <c r="I15" s="22" t="s">
        <v>366</v>
      </c>
      <c r="L15" s="534" t="s">
        <v>139</v>
      </c>
      <c r="O15" s="533" t="s">
        <v>111</v>
      </c>
      <c r="Z15" s="22" t="s">
        <v>599</v>
      </c>
      <c r="AA15" s="22" t="s">
        <v>599</v>
      </c>
      <c r="AC15" s="535" t="s">
        <v>251</v>
      </c>
      <c r="AD15" s="22" t="s">
        <v>155</v>
      </c>
      <c r="AH15" s="32" t="s">
        <v>148</v>
      </c>
      <c r="AI15" s="16"/>
      <c r="AJ15" s="17"/>
      <c r="AK15" s="531">
        <f>AJ15*AK14</f>
        <v>0</v>
      </c>
      <c r="AL15" s="16"/>
      <c r="AM15" s="17">
        <f>AJ15</f>
        <v>0</v>
      </c>
      <c r="AN15" s="2288">
        <f>AM15*AN14</f>
        <v>0</v>
      </c>
      <c r="AO15" s="2288"/>
      <c r="AP15" s="531">
        <f>AN15-AK15</f>
        <v>0</v>
      </c>
      <c r="AQ15" s="10" t="e">
        <f>AP15/AK15</f>
        <v>#DIV/0!</v>
      </c>
      <c r="AR15" s="10"/>
      <c r="AS15" s="49"/>
      <c r="BR15" s="537"/>
    </row>
    <row r="16" spans="1:77" ht="28.8" x14ac:dyDescent="0.3">
      <c r="A16" s="678" t="s">
        <v>1489</v>
      </c>
      <c r="I16" s="527" t="s">
        <v>513</v>
      </c>
      <c r="O16" s="533" t="s">
        <v>123</v>
      </c>
      <c r="Z16" s="22" t="s">
        <v>231</v>
      </c>
      <c r="AA16" s="22" t="s">
        <v>231</v>
      </c>
      <c r="AC16" s="535" t="s">
        <v>252</v>
      </c>
      <c r="AD16" s="22" t="s">
        <v>155</v>
      </c>
      <c r="AH16" s="32" t="s">
        <v>224</v>
      </c>
      <c r="AI16" s="39"/>
      <c r="AJ16" s="39"/>
      <c r="AK16" s="531">
        <f>AK15+AK14</f>
        <v>0</v>
      </c>
      <c r="AL16" s="39"/>
      <c r="AM16" s="39"/>
      <c r="AN16" s="2288">
        <f>AN15+AN14</f>
        <v>0</v>
      </c>
      <c r="AO16" s="2288"/>
      <c r="AP16" s="531">
        <f>AN16-AK16</f>
        <v>0</v>
      </c>
      <c r="AQ16" s="10" t="e">
        <f>AP16/AK16</f>
        <v>#DIV/0!</v>
      </c>
      <c r="AR16" s="10"/>
      <c r="AS16" s="49"/>
      <c r="BR16" s="537"/>
    </row>
    <row r="17" spans="1:70" x14ac:dyDescent="0.3">
      <c r="A17" s="678" t="s">
        <v>614</v>
      </c>
      <c r="I17" s="22" t="s">
        <v>422</v>
      </c>
      <c r="O17" s="533" t="s">
        <v>126</v>
      </c>
      <c r="Z17" s="22" t="s">
        <v>175</v>
      </c>
      <c r="AA17" s="22" t="s">
        <v>175</v>
      </c>
      <c r="AC17" s="535" t="s">
        <v>253</v>
      </c>
      <c r="AD17" s="22" t="s">
        <v>155</v>
      </c>
      <c r="AH17" s="32" t="s">
        <v>149</v>
      </c>
      <c r="AI17" s="18"/>
      <c r="AJ17" s="21"/>
      <c r="AK17" s="56">
        <f>-0.1*AK16</f>
        <v>0</v>
      </c>
      <c r="AL17" s="55"/>
      <c r="AM17" s="57">
        <f>AJ17</f>
        <v>0</v>
      </c>
      <c r="AN17" s="2287">
        <f>-0.1*AN16</f>
        <v>0</v>
      </c>
      <c r="AO17" s="2287"/>
      <c r="AP17" s="531">
        <f>AN17-AK17</f>
        <v>0</v>
      </c>
      <c r="AQ17" s="10" t="e">
        <f>AP17/AK17</f>
        <v>#DIV/0!</v>
      </c>
      <c r="AR17" s="10"/>
      <c r="AS17" s="49"/>
      <c r="BQ17" s="536"/>
      <c r="BR17" s="537"/>
    </row>
    <row r="18" spans="1:70" ht="15" thickBot="1" x14ac:dyDescent="0.35">
      <c r="A18" s="678" t="s">
        <v>615</v>
      </c>
      <c r="I18" s="22" t="s">
        <v>367</v>
      </c>
      <c r="O18" s="533" t="s">
        <v>125</v>
      </c>
      <c r="Z18" s="22" t="s">
        <v>176</v>
      </c>
      <c r="AA18" s="22" t="s">
        <v>176</v>
      </c>
      <c r="AC18" s="535" t="s">
        <v>257</v>
      </c>
      <c r="AD18" s="22" t="s">
        <v>155</v>
      </c>
      <c r="AH18" s="40" t="s">
        <v>227</v>
      </c>
      <c r="AI18" s="41"/>
      <c r="AJ18" s="41"/>
      <c r="AK18" s="530">
        <f>AK16+AK17</f>
        <v>0</v>
      </c>
      <c r="AL18" s="41"/>
      <c r="AM18" s="41"/>
      <c r="AN18" s="2286">
        <f>AN16+AN17</f>
        <v>0</v>
      </c>
      <c r="AO18" s="2286"/>
      <c r="AP18" s="42">
        <f>AN18-AK18</f>
        <v>0</v>
      </c>
      <c r="AQ18" s="43" t="e">
        <f>AP18/AK18</f>
        <v>#DIV/0!</v>
      </c>
      <c r="AR18" s="54"/>
      <c r="AS18" s="52"/>
      <c r="BR18" s="537"/>
    </row>
    <row r="19" spans="1:70" x14ac:dyDescent="0.3">
      <c r="A19" s="678" t="s">
        <v>613</v>
      </c>
      <c r="I19" s="22" t="s">
        <v>465</v>
      </c>
      <c r="O19" s="533" t="s">
        <v>128</v>
      </c>
      <c r="Z19" s="22" t="s">
        <v>177</v>
      </c>
      <c r="AA19" s="22" t="s">
        <v>177</v>
      </c>
      <c r="AC19" s="535" t="s">
        <v>255</v>
      </c>
      <c r="AD19" s="22" t="s">
        <v>155</v>
      </c>
      <c r="BR19" s="537"/>
    </row>
    <row r="20" spans="1:70" x14ac:dyDescent="0.3">
      <c r="A20" s="678" t="s">
        <v>1488</v>
      </c>
      <c r="I20" s="22" t="s">
        <v>466</v>
      </c>
      <c r="O20" s="533" t="s">
        <v>127</v>
      </c>
      <c r="Z20" s="22" t="s">
        <v>160</v>
      </c>
      <c r="AA20" s="22" t="s">
        <v>160</v>
      </c>
      <c r="AC20" s="535" t="s">
        <v>256</v>
      </c>
      <c r="AD20" s="22" t="s">
        <v>155</v>
      </c>
      <c r="BR20" s="537"/>
    </row>
    <row r="21" spans="1:70" x14ac:dyDescent="0.3">
      <c r="A21" s="678" t="s">
        <v>1492</v>
      </c>
      <c r="I21" s="22" t="s">
        <v>141</v>
      </c>
      <c r="O21" s="533" t="s">
        <v>99</v>
      </c>
      <c r="Z21" s="22" t="s">
        <v>198</v>
      </c>
      <c r="AA21" s="22" t="s">
        <v>198</v>
      </c>
      <c r="AC21" s="535" t="s">
        <v>259</v>
      </c>
      <c r="AD21" s="22" t="s">
        <v>155</v>
      </c>
      <c r="BQ21" s="536"/>
      <c r="BR21" s="537"/>
    </row>
    <row r="22" spans="1:70" x14ac:dyDescent="0.3">
      <c r="A22" s="678" t="s">
        <v>3048</v>
      </c>
      <c r="I22" s="22" t="s">
        <v>14</v>
      </c>
      <c r="O22" s="533" t="s">
        <v>104</v>
      </c>
      <c r="Z22" s="22" t="s">
        <v>199</v>
      </c>
      <c r="AA22" s="22" t="s">
        <v>199</v>
      </c>
      <c r="AC22" s="535" t="s">
        <v>258</v>
      </c>
      <c r="AD22" s="22" t="s">
        <v>155</v>
      </c>
      <c r="BR22" s="537"/>
    </row>
    <row r="23" spans="1:70" x14ac:dyDescent="0.3">
      <c r="A23" s="678" t="s">
        <v>1493</v>
      </c>
      <c r="I23" s="22" t="s">
        <v>15</v>
      </c>
      <c r="O23" s="533" t="s">
        <v>98</v>
      </c>
      <c r="Z23" s="22" t="s">
        <v>1949</v>
      </c>
      <c r="AA23" s="22" t="s">
        <v>1949</v>
      </c>
      <c r="AC23" s="535" t="s">
        <v>260</v>
      </c>
      <c r="AD23" s="22" t="s">
        <v>155</v>
      </c>
      <c r="BR23" s="537"/>
    </row>
    <row r="24" spans="1:70" x14ac:dyDescent="0.3">
      <c r="A24" s="678" t="s">
        <v>3879</v>
      </c>
      <c r="I24" s="22" t="s">
        <v>467</v>
      </c>
      <c r="O24" s="533" t="s">
        <v>103</v>
      </c>
      <c r="Z24" s="22" t="s">
        <v>161</v>
      </c>
      <c r="AA24" s="22" t="s">
        <v>161</v>
      </c>
      <c r="AC24" s="535" t="s">
        <v>263</v>
      </c>
      <c r="AD24" s="22" t="s">
        <v>155</v>
      </c>
      <c r="BR24" s="537"/>
    </row>
    <row r="25" spans="1:70" x14ac:dyDescent="0.3">
      <c r="A25" s="678" t="s">
        <v>3880</v>
      </c>
      <c r="I25" s="22" t="s">
        <v>368</v>
      </c>
      <c r="O25" s="533" t="s">
        <v>106</v>
      </c>
      <c r="Z25" s="22" t="s">
        <v>200</v>
      </c>
      <c r="AA25" s="22" t="s">
        <v>200</v>
      </c>
      <c r="AC25" s="535" t="s">
        <v>261</v>
      </c>
      <c r="AD25" s="22" t="s">
        <v>155</v>
      </c>
      <c r="BQ25" s="536"/>
      <c r="BR25" s="537"/>
    </row>
    <row r="26" spans="1:70" x14ac:dyDescent="0.3">
      <c r="A26" s="678" t="s">
        <v>3881</v>
      </c>
      <c r="B26" s="22" t="s">
        <v>30</v>
      </c>
      <c r="I26" s="22" t="s">
        <v>369</v>
      </c>
      <c r="O26" s="533" t="s">
        <v>105</v>
      </c>
      <c r="Z26" s="22" t="s">
        <v>179</v>
      </c>
      <c r="AA26" s="22" t="s">
        <v>179</v>
      </c>
      <c r="AC26" s="535" t="s">
        <v>262</v>
      </c>
      <c r="AD26" s="22" t="s">
        <v>155</v>
      </c>
      <c r="BR26" s="537"/>
    </row>
    <row r="27" spans="1:70" x14ac:dyDescent="0.3">
      <c r="A27" s="678" t="s">
        <v>3882</v>
      </c>
      <c r="B27" s="22" t="s">
        <v>31</v>
      </c>
      <c r="I27" s="22" t="s">
        <v>370</v>
      </c>
      <c r="O27" s="533" t="s">
        <v>53</v>
      </c>
      <c r="Z27" s="22" t="s">
        <v>162</v>
      </c>
      <c r="AA27" s="22" t="s">
        <v>162</v>
      </c>
      <c r="AC27" s="535" t="s">
        <v>268</v>
      </c>
      <c r="AD27" s="22" t="s">
        <v>155</v>
      </c>
      <c r="BR27" s="537"/>
    </row>
    <row r="28" spans="1:70" x14ac:dyDescent="0.3">
      <c r="A28" s="678" t="s">
        <v>3883</v>
      </c>
      <c r="B28" s="22" t="s">
        <v>32</v>
      </c>
      <c r="I28" s="22" t="s">
        <v>371</v>
      </c>
      <c r="O28" s="533" t="s">
        <v>52</v>
      </c>
      <c r="Z28" s="22" t="s">
        <v>2015</v>
      </c>
      <c r="AA28" s="22" t="s">
        <v>2015</v>
      </c>
      <c r="AC28" s="535" t="s">
        <v>264</v>
      </c>
      <c r="AD28" s="22" t="s">
        <v>155</v>
      </c>
      <c r="BR28" s="537"/>
    </row>
    <row r="29" spans="1:70" x14ac:dyDescent="0.3">
      <c r="A29" s="678" t="s">
        <v>3884</v>
      </c>
      <c r="B29" s="22" t="s">
        <v>33</v>
      </c>
      <c r="I29" s="22" t="s">
        <v>372</v>
      </c>
      <c r="O29" s="533" t="s">
        <v>56</v>
      </c>
      <c r="Z29" s="22" t="s">
        <v>2018</v>
      </c>
      <c r="AA29" s="22" t="s">
        <v>2018</v>
      </c>
      <c r="AC29" s="535" t="s">
        <v>265</v>
      </c>
      <c r="AD29" s="22" t="s">
        <v>155</v>
      </c>
      <c r="BQ29" s="536"/>
      <c r="BR29" s="537"/>
    </row>
    <row r="30" spans="1:70" x14ac:dyDescent="0.3">
      <c r="A30" s="678" t="s">
        <v>3885</v>
      </c>
      <c r="B30" s="22" t="s">
        <v>34</v>
      </c>
      <c r="I30" s="22" t="s">
        <v>468</v>
      </c>
      <c r="O30" s="533" t="s">
        <v>86</v>
      </c>
      <c r="Z30" s="22" t="s">
        <v>2017</v>
      </c>
      <c r="AA30" s="22" t="s">
        <v>2017</v>
      </c>
      <c r="AC30" s="535" t="s">
        <v>266</v>
      </c>
      <c r="AD30" s="22" t="s">
        <v>155</v>
      </c>
      <c r="BR30" s="537"/>
    </row>
    <row r="31" spans="1:70" x14ac:dyDescent="0.3">
      <c r="A31" s="678" t="s">
        <v>3886</v>
      </c>
      <c r="B31" s="22" t="s">
        <v>35</v>
      </c>
      <c r="I31" s="22" t="s">
        <v>469</v>
      </c>
      <c r="O31" s="533" t="s">
        <v>124</v>
      </c>
      <c r="Z31" s="22" t="s">
        <v>601</v>
      </c>
      <c r="AA31" s="22" t="s">
        <v>601</v>
      </c>
      <c r="AC31" s="535" t="s">
        <v>267</v>
      </c>
      <c r="AD31" s="22" t="s">
        <v>155</v>
      </c>
      <c r="BR31" s="537"/>
    </row>
    <row r="32" spans="1:70" x14ac:dyDescent="0.3">
      <c r="A32" s="678" t="s">
        <v>3887</v>
      </c>
      <c r="B32" s="22" t="s">
        <v>36</v>
      </c>
      <c r="I32" s="22" t="s">
        <v>470</v>
      </c>
      <c r="O32" s="533" t="s">
        <v>112</v>
      </c>
      <c r="Z32" s="22" t="s">
        <v>201</v>
      </c>
      <c r="AA32" s="22" t="s">
        <v>201</v>
      </c>
      <c r="AC32" s="535" t="s">
        <v>269</v>
      </c>
      <c r="AD32" s="22" t="s">
        <v>155</v>
      </c>
      <c r="BR32" s="537"/>
    </row>
    <row r="33" spans="1:70" x14ac:dyDescent="0.3">
      <c r="A33" s="678" t="s">
        <v>3888</v>
      </c>
      <c r="B33" s="22" t="s">
        <v>37</v>
      </c>
      <c r="I33" s="22" t="s">
        <v>471</v>
      </c>
      <c r="O33" s="533" t="s">
        <v>57</v>
      </c>
      <c r="Z33" s="22" t="s">
        <v>1950</v>
      </c>
      <c r="AA33" s="22" t="s">
        <v>1950</v>
      </c>
      <c r="AC33" s="535" t="s">
        <v>270</v>
      </c>
      <c r="AD33" s="22" t="s">
        <v>155</v>
      </c>
      <c r="BQ33" s="536"/>
      <c r="BR33" s="537"/>
    </row>
    <row r="34" spans="1:70" x14ac:dyDescent="0.3">
      <c r="A34" s="678" t="s">
        <v>3889</v>
      </c>
      <c r="B34" s="22" t="s">
        <v>38</v>
      </c>
      <c r="I34" s="22" t="s">
        <v>472</v>
      </c>
      <c r="O34" s="533" t="s">
        <v>96</v>
      </c>
      <c r="Z34" s="22" t="s">
        <v>163</v>
      </c>
      <c r="AA34" s="22" t="s">
        <v>163</v>
      </c>
      <c r="AC34" s="535" t="s">
        <v>272</v>
      </c>
      <c r="AD34" s="22" t="s">
        <v>155</v>
      </c>
      <c r="BR34" s="537"/>
    </row>
    <row r="35" spans="1:70" x14ac:dyDescent="0.3">
      <c r="A35" s="678" t="s">
        <v>2030</v>
      </c>
      <c r="B35" s="22" t="s">
        <v>39</v>
      </c>
      <c r="I35" s="22" t="s">
        <v>373</v>
      </c>
      <c r="O35" s="533" t="s">
        <v>87</v>
      </c>
      <c r="Z35" s="22" t="s">
        <v>159</v>
      </c>
      <c r="AA35" s="22" t="s">
        <v>159</v>
      </c>
      <c r="AC35" s="535" t="s">
        <v>271</v>
      </c>
      <c r="AD35" s="22" t="s">
        <v>155</v>
      </c>
      <c r="BR35" s="537"/>
    </row>
    <row r="36" spans="1:70" x14ac:dyDescent="0.3">
      <c r="A36" s="678" t="s">
        <v>2048</v>
      </c>
      <c r="B36" s="22" t="s">
        <v>40</v>
      </c>
      <c r="I36" s="22" t="s">
        <v>473</v>
      </c>
      <c r="O36" s="533" t="s">
        <v>132</v>
      </c>
      <c r="Z36" s="22" t="s">
        <v>180</v>
      </c>
      <c r="AA36" s="22" t="s">
        <v>180</v>
      </c>
      <c r="AC36" s="535" t="s">
        <v>273</v>
      </c>
      <c r="AD36" s="22" t="s">
        <v>155</v>
      </c>
      <c r="BR36" s="537"/>
    </row>
    <row r="37" spans="1:70" x14ac:dyDescent="0.3">
      <c r="A37" s="678" t="s">
        <v>3890</v>
      </c>
      <c r="B37" s="22" t="s">
        <v>41</v>
      </c>
      <c r="I37" s="22" t="s">
        <v>374</v>
      </c>
      <c r="O37" s="533" t="s">
        <v>131</v>
      </c>
      <c r="Z37" s="22" t="s">
        <v>202</v>
      </c>
      <c r="AA37" s="22" t="s">
        <v>202</v>
      </c>
      <c r="AC37" s="535" t="s">
        <v>274</v>
      </c>
      <c r="AD37" s="22" t="s">
        <v>155</v>
      </c>
      <c r="BQ37" s="536"/>
      <c r="BR37" s="537"/>
    </row>
    <row r="38" spans="1:70" x14ac:dyDescent="0.3">
      <c r="A38" s="678" t="s">
        <v>3891</v>
      </c>
      <c r="I38" s="22" t="s">
        <v>375</v>
      </c>
      <c r="O38" s="533" t="s">
        <v>58</v>
      </c>
      <c r="Z38" s="22" t="s">
        <v>181</v>
      </c>
      <c r="AA38" s="22" t="s">
        <v>181</v>
      </c>
      <c r="AC38" s="535" t="s">
        <v>275</v>
      </c>
      <c r="AD38" s="22" t="s">
        <v>155</v>
      </c>
      <c r="BR38" s="537"/>
    </row>
    <row r="39" spans="1:70" x14ac:dyDescent="0.3">
      <c r="A39" s="678" t="s">
        <v>612</v>
      </c>
      <c r="I39" s="22" t="s">
        <v>474</v>
      </c>
      <c r="O39" s="533" t="s">
        <v>88</v>
      </c>
      <c r="Z39" s="22" t="s">
        <v>182</v>
      </c>
      <c r="AA39" s="22" t="s">
        <v>182</v>
      </c>
      <c r="AC39" s="535" t="s">
        <v>276</v>
      </c>
      <c r="AD39" s="22" t="s">
        <v>154</v>
      </c>
      <c r="BR39" s="537"/>
    </row>
    <row r="40" spans="1:70" x14ac:dyDescent="0.3">
      <c r="A40" s="678" t="s">
        <v>611</v>
      </c>
      <c r="I40" s="22" t="s">
        <v>425</v>
      </c>
      <c r="O40" s="533" t="s">
        <v>97</v>
      </c>
      <c r="Z40" s="22" t="s">
        <v>183</v>
      </c>
      <c r="AA40" s="22" t="s">
        <v>183</v>
      </c>
      <c r="AC40" s="535" t="s">
        <v>277</v>
      </c>
      <c r="AD40" s="22" t="s">
        <v>154</v>
      </c>
      <c r="BR40" s="537"/>
    </row>
    <row r="41" spans="1:70" x14ac:dyDescent="0.3">
      <c r="A41" s="678" t="s">
        <v>605</v>
      </c>
      <c r="I41" s="22" t="s">
        <v>475</v>
      </c>
      <c r="O41" s="533" t="s">
        <v>59</v>
      </c>
      <c r="Z41" s="22" t="s">
        <v>417</v>
      </c>
      <c r="AA41" s="22" t="s">
        <v>417</v>
      </c>
      <c r="AC41" s="535" t="s">
        <v>279</v>
      </c>
      <c r="AD41" s="22" t="s">
        <v>155</v>
      </c>
      <c r="BQ41" s="536"/>
      <c r="BR41" s="537"/>
    </row>
    <row r="42" spans="1:70" x14ac:dyDescent="0.3">
      <c r="A42" s="678" t="s">
        <v>2016</v>
      </c>
      <c r="I42" s="22" t="s">
        <v>476</v>
      </c>
      <c r="O42" s="533" t="s">
        <v>93</v>
      </c>
      <c r="Z42" s="22" t="s">
        <v>418</v>
      </c>
      <c r="AA42" s="22" t="s">
        <v>418</v>
      </c>
      <c r="AC42" s="535" t="s">
        <v>278</v>
      </c>
      <c r="AD42" s="22" t="s">
        <v>155</v>
      </c>
      <c r="BR42" s="537"/>
    </row>
    <row r="43" spans="1:70" x14ac:dyDescent="0.3">
      <c r="A43" s="678" t="s">
        <v>3892</v>
      </c>
      <c r="I43" s="22" t="s">
        <v>376</v>
      </c>
      <c r="O43" s="533" t="s">
        <v>60</v>
      </c>
      <c r="Z43" s="22" t="s">
        <v>184</v>
      </c>
      <c r="AA43" s="22" t="s">
        <v>184</v>
      </c>
      <c r="AC43" s="535" t="s">
        <v>280</v>
      </c>
      <c r="AD43" s="22" t="s">
        <v>155</v>
      </c>
      <c r="BR43" s="537"/>
    </row>
    <row r="44" spans="1:70" ht="28.8" x14ac:dyDescent="0.3">
      <c r="A44" s="678" t="s">
        <v>2843</v>
      </c>
      <c r="I44" s="527" t="s">
        <v>514</v>
      </c>
      <c r="O44" s="533" t="s">
        <v>61</v>
      </c>
      <c r="Z44" s="22" t="s">
        <v>185</v>
      </c>
      <c r="AA44" s="22" t="s">
        <v>185</v>
      </c>
      <c r="AC44" s="535" t="s">
        <v>454</v>
      </c>
      <c r="AD44" s="22" t="s">
        <v>155</v>
      </c>
      <c r="BR44" s="537"/>
    </row>
    <row r="45" spans="1:70" x14ac:dyDescent="0.3">
      <c r="A45" s="678" t="s">
        <v>617</v>
      </c>
      <c r="I45" s="22" t="s">
        <v>423</v>
      </c>
      <c r="O45" s="533" t="s">
        <v>107</v>
      </c>
      <c r="Z45" s="22" t="s">
        <v>186</v>
      </c>
      <c r="AA45" s="22" t="s">
        <v>186</v>
      </c>
      <c r="AC45" s="535" t="s">
        <v>281</v>
      </c>
      <c r="AD45" s="22" t="s">
        <v>155</v>
      </c>
      <c r="BQ45" s="536"/>
      <c r="BR45" s="537"/>
    </row>
    <row r="46" spans="1:70" x14ac:dyDescent="0.3">
      <c r="A46" s="678" t="s">
        <v>618</v>
      </c>
      <c r="I46" s="22" t="s">
        <v>377</v>
      </c>
      <c r="O46" s="533" t="s">
        <v>94</v>
      </c>
      <c r="Z46" s="22" t="s">
        <v>234</v>
      </c>
      <c r="AA46" s="22" t="s">
        <v>234</v>
      </c>
      <c r="AC46" s="535" t="s">
        <v>282</v>
      </c>
      <c r="AD46" s="22" t="s">
        <v>155</v>
      </c>
      <c r="BR46" s="537"/>
    </row>
    <row r="47" spans="1:70" x14ac:dyDescent="0.3">
      <c r="A47" s="678" t="s">
        <v>3893</v>
      </c>
      <c r="I47" s="22" t="s">
        <v>378</v>
      </c>
      <c r="O47" s="533" t="s">
        <v>119</v>
      </c>
      <c r="Z47" s="22" t="s">
        <v>142</v>
      </c>
      <c r="AA47" s="22" t="s">
        <v>142</v>
      </c>
      <c r="AC47" s="535" t="s">
        <v>283</v>
      </c>
      <c r="AD47" s="22" t="s">
        <v>155</v>
      </c>
      <c r="BR47" s="537"/>
    </row>
    <row r="48" spans="1:70" x14ac:dyDescent="0.3">
      <c r="A48" s="678" t="s">
        <v>619</v>
      </c>
      <c r="I48" s="22" t="s">
        <v>379</v>
      </c>
      <c r="O48" s="533" t="s">
        <v>62</v>
      </c>
      <c r="Z48" s="22" t="s">
        <v>235</v>
      </c>
      <c r="AA48" s="22" t="s">
        <v>235</v>
      </c>
      <c r="AC48" s="535" t="s">
        <v>288</v>
      </c>
      <c r="AD48" s="22" t="s">
        <v>154</v>
      </c>
      <c r="BR48" s="537"/>
    </row>
    <row r="49" spans="1:70" x14ac:dyDescent="0.3">
      <c r="A49" s="678" t="s">
        <v>2845</v>
      </c>
      <c r="I49" s="22" t="s">
        <v>380</v>
      </c>
      <c r="O49" s="533" t="s">
        <v>63</v>
      </c>
      <c r="Z49" s="22" t="s">
        <v>203</v>
      </c>
      <c r="AA49" s="22" t="s">
        <v>203</v>
      </c>
      <c r="AC49" s="535" t="s">
        <v>284</v>
      </c>
      <c r="AD49" s="22" t="s">
        <v>154</v>
      </c>
      <c r="BQ49" s="536"/>
      <c r="BR49" s="537"/>
    </row>
    <row r="50" spans="1:70" x14ac:dyDescent="0.3">
      <c r="A50" s="678" t="s">
        <v>1490</v>
      </c>
      <c r="I50" s="22" t="s">
        <v>381</v>
      </c>
      <c r="O50" s="533" t="s">
        <v>64</v>
      </c>
      <c r="Z50" s="22" t="s">
        <v>236</v>
      </c>
      <c r="AA50" s="22" t="s">
        <v>236</v>
      </c>
      <c r="AC50" s="535" t="s">
        <v>285</v>
      </c>
      <c r="AD50" s="22" t="s">
        <v>154</v>
      </c>
      <c r="BQ50" s="536"/>
      <c r="BR50" s="537"/>
    </row>
    <row r="51" spans="1:70" x14ac:dyDescent="0.3">
      <c r="A51" s="678" t="s">
        <v>1491</v>
      </c>
      <c r="I51" s="22" t="s">
        <v>477</v>
      </c>
      <c r="O51" s="533" t="s">
        <v>115</v>
      </c>
      <c r="Z51" s="22" t="s">
        <v>188</v>
      </c>
      <c r="AA51" s="22" t="s">
        <v>188</v>
      </c>
      <c r="AC51" s="535" t="s">
        <v>286</v>
      </c>
      <c r="AD51" s="22" t="s">
        <v>154</v>
      </c>
      <c r="BR51" s="537"/>
    </row>
    <row r="52" spans="1:70" x14ac:dyDescent="0.3">
      <c r="A52" s="678" t="s">
        <v>1487</v>
      </c>
      <c r="I52" s="22" t="s">
        <v>382</v>
      </c>
      <c r="O52" s="533" t="s">
        <v>134</v>
      </c>
      <c r="Z52" s="22" t="s">
        <v>190</v>
      </c>
      <c r="AA52" s="22" t="s">
        <v>190</v>
      </c>
      <c r="AC52" s="535" t="s">
        <v>287</v>
      </c>
      <c r="AD52" s="22" t="s">
        <v>154</v>
      </c>
      <c r="BR52" s="537"/>
    </row>
    <row r="53" spans="1:70" ht="28.8" x14ac:dyDescent="0.3">
      <c r="A53" s="678" t="s">
        <v>620</v>
      </c>
      <c r="I53" s="527" t="s">
        <v>515</v>
      </c>
      <c r="O53" s="533" t="s">
        <v>101</v>
      </c>
      <c r="Z53" s="22" t="s">
        <v>164</v>
      </c>
      <c r="AA53" s="22" t="s">
        <v>164</v>
      </c>
      <c r="AC53" s="535" t="s">
        <v>289</v>
      </c>
      <c r="AD53" s="22" t="s">
        <v>155</v>
      </c>
      <c r="BQ53" s="536"/>
      <c r="BR53" s="537"/>
    </row>
    <row r="54" spans="1:70" ht="28.8" x14ac:dyDescent="0.3">
      <c r="A54" s="678" t="s">
        <v>1494</v>
      </c>
      <c r="I54" s="527" t="s">
        <v>516</v>
      </c>
      <c r="O54" s="533" t="s">
        <v>100</v>
      </c>
      <c r="Z54" s="22" t="s">
        <v>237</v>
      </c>
      <c r="AA54" s="22" t="s">
        <v>237</v>
      </c>
      <c r="AC54" s="535" t="s">
        <v>290</v>
      </c>
      <c r="AD54" s="22" t="s">
        <v>155</v>
      </c>
      <c r="BR54" s="537"/>
    </row>
    <row r="55" spans="1:70" x14ac:dyDescent="0.3">
      <c r="A55" s="678" t="s">
        <v>3078</v>
      </c>
      <c r="I55" s="22" t="s">
        <v>478</v>
      </c>
      <c r="O55" s="533" t="s">
        <v>109</v>
      </c>
      <c r="Z55" s="22" t="s">
        <v>191</v>
      </c>
      <c r="AA55" s="22" t="s">
        <v>191</v>
      </c>
      <c r="AC55" s="535" t="s">
        <v>291</v>
      </c>
      <c r="AD55" s="22" t="s">
        <v>155</v>
      </c>
      <c r="BR55" s="541"/>
    </row>
    <row r="56" spans="1:70" x14ac:dyDescent="0.3">
      <c r="A56" s="678" t="s">
        <v>1948</v>
      </c>
      <c r="I56" s="22" t="s">
        <v>383</v>
      </c>
      <c r="O56" s="533" t="s">
        <v>65</v>
      </c>
      <c r="Z56" s="22" t="s">
        <v>165</v>
      </c>
      <c r="AA56" s="22" t="s">
        <v>165</v>
      </c>
      <c r="AC56" s="535" t="s">
        <v>292</v>
      </c>
      <c r="AD56" s="22" t="s">
        <v>155</v>
      </c>
      <c r="BQ56" s="536"/>
      <c r="BR56" s="537"/>
    </row>
    <row r="57" spans="1:70" ht="28.8" x14ac:dyDescent="0.3">
      <c r="A57" s="678" t="s">
        <v>2031</v>
      </c>
      <c r="I57" s="527" t="s">
        <v>517</v>
      </c>
      <c r="O57" s="533" t="s">
        <v>66</v>
      </c>
      <c r="Z57" s="22" t="s">
        <v>205</v>
      </c>
      <c r="AA57" s="22" t="s">
        <v>205</v>
      </c>
      <c r="AC57" s="535" t="s">
        <v>297</v>
      </c>
      <c r="AD57" s="22" t="s">
        <v>155</v>
      </c>
      <c r="BR57" s="537"/>
    </row>
    <row r="58" spans="1:70" x14ac:dyDescent="0.3">
      <c r="I58" s="22" t="s">
        <v>384</v>
      </c>
      <c r="O58" s="533" t="s">
        <v>89</v>
      </c>
      <c r="Z58" s="22" t="s">
        <v>166</v>
      </c>
      <c r="AA58" s="22" t="s">
        <v>166</v>
      </c>
      <c r="AC58" s="535" t="s">
        <v>293</v>
      </c>
      <c r="AD58" s="22" t="s">
        <v>155</v>
      </c>
      <c r="BQ58" s="536"/>
      <c r="BR58" s="537"/>
    </row>
    <row r="59" spans="1:70" x14ac:dyDescent="0.3">
      <c r="I59" s="22" t="s">
        <v>385</v>
      </c>
      <c r="O59" s="533" t="s">
        <v>90</v>
      </c>
      <c r="Z59" s="22" t="s">
        <v>167</v>
      </c>
      <c r="AA59" s="22" t="s">
        <v>167</v>
      </c>
      <c r="AC59" s="535" t="s">
        <v>294</v>
      </c>
      <c r="AD59" s="22" t="s">
        <v>155</v>
      </c>
      <c r="BR59" s="537"/>
    </row>
    <row r="60" spans="1:70" ht="28.8" x14ac:dyDescent="0.3">
      <c r="I60" s="527" t="s">
        <v>518</v>
      </c>
      <c r="O60" s="533" t="s">
        <v>108</v>
      </c>
      <c r="Z60" s="22" t="s">
        <v>238</v>
      </c>
      <c r="AA60" s="22" t="s">
        <v>238</v>
      </c>
      <c r="AC60" s="535" t="s">
        <v>295</v>
      </c>
      <c r="AD60" s="22" t="s">
        <v>155</v>
      </c>
      <c r="BR60" s="537"/>
    </row>
    <row r="61" spans="1:70" x14ac:dyDescent="0.3">
      <c r="I61" s="22" t="s">
        <v>386</v>
      </c>
      <c r="O61" s="533" t="s">
        <v>102</v>
      </c>
      <c r="Z61" s="22" t="s">
        <v>206</v>
      </c>
      <c r="AA61" s="22" t="s">
        <v>206</v>
      </c>
      <c r="AC61" s="535" t="s">
        <v>296</v>
      </c>
      <c r="AD61" s="22" t="s">
        <v>155</v>
      </c>
      <c r="BQ61" s="536"/>
      <c r="BR61" s="537"/>
    </row>
    <row r="62" spans="1:70" x14ac:dyDescent="0.3">
      <c r="I62" s="22" t="s">
        <v>479</v>
      </c>
      <c r="O62" s="533" t="s">
        <v>67</v>
      </c>
      <c r="Z62" s="22" t="s">
        <v>192</v>
      </c>
      <c r="AA62" s="22" t="s">
        <v>192</v>
      </c>
      <c r="AC62" s="535" t="s">
        <v>298</v>
      </c>
      <c r="AD62" s="22" t="s">
        <v>19</v>
      </c>
      <c r="BR62" s="537"/>
    </row>
    <row r="63" spans="1:70" x14ac:dyDescent="0.3">
      <c r="I63" s="22" t="s">
        <v>480</v>
      </c>
      <c r="O63" s="533" t="s">
        <v>116</v>
      </c>
      <c r="Z63" s="22" t="s">
        <v>193</v>
      </c>
      <c r="AA63" s="22" t="s">
        <v>193</v>
      </c>
      <c r="AC63" s="535" t="s">
        <v>307</v>
      </c>
      <c r="AD63" s="22" t="s">
        <v>154</v>
      </c>
      <c r="BQ63" s="536"/>
    </row>
    <row r="64" spans="1:70" x14ac:dyDescent="0.3">
      <c r="I64" s="22" t="s">
        <v>481</v>
      </c>
      <c r="O64" s="533" t="s">
        <v>118</v>
      </c>
      <c r="Z64" s="22" t="s">
        <v>194</v>
      </c>
      <c r="AA64" s="22" t="s">
        <v>194</v>
      </c>
      <c r="AC64" s="535" t="s">
        <v>299</v>
      </c>
      <c r="AD64" s="22" t="s">
        <v>154</v>
      </c>
      <c r="BQ64" s="536"/>
    </row>
    <row r="65" spans="9:70" x14ac:dyDescent="0.3">
      <c r="I65" s="22" t="s">
        <v>588</v>
      </c>
      <c r="O65" s="533" t="s">
        <v>117</v>
      </c>
      <c r="Z65" s="22" t="s">
        <v>2015</v>
      </c>
      <c r="AA65" s="22" t="s">
        <v>2015</v>
      </c>
      <c r="AC65" s="535" t="s">
        <v>300</v>
      </c>
      <c r="AD65" s="22" t="s">
        <v>154</v>
      </c>
      <c r="BR65" s="537"/>
    </row>
    <row r="66" spans="9:70" x14ac:dyDescent="0.3">
      <c r="I66" s="22" t="s">
        <v>387</v>
      </c>
      <c r="O66" s="533" t="s">
        <v>120</v>
      </c>
      <c r="Z66" s="22" t="s">
        <v>2018</v>
      </c>
      <c r="AA66" s="22" t="s">
        <v>2018</v>
      </c>
      <c r="AC66" s="535" t="s">
        <v>301</v>
      </c>
      <c r="AD66" s="22" t="s">
        <v>154</v>
      </c>
      <c r="BQ66" s="536"/>
      <c r="BR66" s="537"/>
    </row>
    <row r="67" spans="9:70" x14ac:dyDescent="0.3">
      <c r="I67" s="22" t="s">
        <v>388</v>
      </c>
      <c r="O67" s="533" t="s">
        <v>130</v>
      </c>
      <c r="Z67" s="22" t="s">
        <v>2017</v>
      </c>
      <c r="AA67" s="22" t="s">
        <v>2017</v>
      </c>
      <c r="AC67" s="535" t="s">
        <v>302</v>
      </c>
      <c r="AD67" s="22" t="s">
        <v>154</v>
      </c>
      <c r="BQ67" s="536"/>
      <c r="BR67" s="537"/>
    </row>
    <row r="68" spans="9:70" x14ac:dyDescent="0.3">
      <c r="I68" s="22" t="s">
        <v>482</v>
      </c>
      <c r="O68" s="533" t="s">
        <v>129</v>
      </c>
      <c r="Z68" s="22" t="s">
        <v>187</v>
      </c>
      <c r="AA68" s="22" t="s">
        <v>187</v>
      </c>
      <c r="AC68" s="535" t="s">
        <v>303</v>
      </c>
      <c r="AD68" s="22" t="s">
        <v>154</v>
      </c>
      <c r="BR68" s="537"/>
    </row>
    <row r="69" spans="9:70" ht="28.8" x14ac:dyDescent="0.3">
      <c r="I69" s="527" t="s">
        <v>519</v>
      </c>
      <c r="O69" s="533" t="s">
        <v>135</v>
      </c>
      <c r="AC69" s="535" t="s">
        <v>304</v>
      </c>
      <c r="AD69" s="22" t="s">
        <v>154</v>
      </c>
      <c r="BQ69" s="536"/>
      <c r="BR69" s="537"/>
    </row>
    <row r="70" spans="9:70" ht="28.8" x14ac:dyDescent="0.3">
      <c r="I70" s="527" t="s">
        <v>520</v>
      </c>
      <c r="O70" s="533" t="s">
        <v>137</v>
      </c>
      <c r="AC70" s="535" t="s">
        <v>305</v>
      </c>
      <c r="AD70" s="22" t="s">
        <v>154</v>
      </c>
      <c r="BQ70" s="536"/>
      <c r="BR70" s="537"/>
    </row>
    <row r="71" spans="9:70" ht="28.8" x14ac:dyDescent="0.3">
      <c r="I71" s="527" t="s">
        <v>521</v>
      </c>
      <c r="O71" s="533" t="s">
        <v>136</v>
      </c>
      <c r="AC71" s="535" t="s">
        <v>306</v>
      </c>
      <c r="AD71" s="22" t="s">
        <v>154</v>
      </c>
      <c r="BR71" s="537"/>
    </row>
    <row r="72" spans="9:70" ht="28.8" x14ac:dyDescent="0.3">
      <c r="I72" s="527" t="s">
        <v>522</v>
      </c>
      <c r="AC72" s="535" t="s">
        <v>309</v>
      </c>
      <c r="AD72" s="22" t="s">
        <v>154</v>
      </c>
      <c r="BQ72" s="536"/>
      <c r="BR72" s="537"/>
    </row>
    <row r="73" spans="9:70" ht="28.8" x14ac:dyDescent="0.3">
      <c r="I73" s="527" t="s">
        <v>523</v>
      </c>
      <c r="AC73" s="535" t="s">
        <v>308</v>
      </c>
      <c r="AD73" s="22" t="s">
        <v>154</v>
      </c>
      <c r="BQ73" s="536"/>
      <c r="BR73" s="537"/>
    </row>
    <row r="74" spans="9:70" ht="28.8" x14ac:dyDescent="0.3">
      <c r="I74" s="527" t="s">
        <v>524</v>
      </c>
      <c r="AC74" s="535" t="s">
        <v>310</v>
      </c>
      <c r="AD74" s="22" t="s">
        <v>154</v>
      </c>
      <c r="BR74" s="537"/>
    </row>
    <row r="75" spans="9:70" ht="28.8" x14ac:dyDescent="0.3">
      <c r="I75" s="527" t="s">
        <v>525</v>
      </c>
      <c r="AC75" s="535" t="s">
        <v>311</v>
      </c>
      <c r="AD75" s="22" t="s">
        <v>154</v>
      </c>
      <c r="BQ75" s="536"/>
      <c r="BR75" s="537"/>
    </row>
    <row r="76" spans="9:70" ht="28.8" x14ac:dyDescent="0.3">
      <c r="I76" s="527" t="s">
        <v>526</v>
      </c>
      <c r="Z76" s="527"/>
      <c r="AA76" s="527"/>
      <c r="AC76" s="535" t="s">
        <v>312</v>
      </c>
      <c r="AD76" s="22" t="s">
        <v>154</v>
      </c>
      <c r="BQ76" s="536"/>
    </row>
    <row r="77" spans="9:70" ht="28.8" x14ac:dyDescent="0.3">
      <c r="I77" s="527" t="s">
        <v>527</v>
      </c>
      <c r="AC77" s="535" t="s">
        <v>315</v>
      </c>
      <c r="AD77" s="22" t="s">
        <v>154</v>
      </c>
      <c r="BR77" s="537"/>
    </row>
    <row r="78" spans="9:70" ht="28.8" x14ac:dyDescent="0.3">
      <c r="I78" s="527" t="s">
        <v>528</v>
      </c>
      <c r="Z78" s="542"/>
      <c r="AA78" s="510"/>
      <c r="AC78" s="535" t="s">
        <v>313</v>
      </c>
      <c r="AD78" s="22" t="s">
        <v>154</v>
      </c>
      <c r="BQ78" s="536"/>
      <c r="BR78" s="537"/>
    </row>
    <row r="79" spans="9:70" ht="28.8" x14ac:dyDescent="0.3">
      <c r="I79" s="527" t="s">
        <v>529</v>
      </c>
      <c r="Z79" s="542"/>
      <c r="AA79" s="543"/>
      <c r="AC79" s="535" t="s">
        <v>314</v>
      </c>
      <c r="AD79" s="22" t="s">
        <v>154</v>
      </c>
      <c r="BQ79" s="536"/>
    </row>
    <row r="80" spans="9:70" ht="28.8" x14ac:dyDescent="0.3">
      <c r="I80" s="527" t="s">
        <v>530</v>
      </c>
      <c r="Z80" s="542"/>
      <c r="AA80" s="543"/>
      <c r="AC80" s="535" t="s">
        <v>316</v>
      </c>
      <c r="AD80" s="22" t="s">
        <v>155</v>
      </c>
    </row>
    <row r="81" spans="9:70" ht="28.8" x14ac:dyDescent="0.3">
      <c r="I81" s="527" t="s">
        <v>531</v>
      </c>
      <c r="Z81" s="544"/>
      <c r="AA81" s="543"/>
      <c r="AC81" s="535" t="s">
        <v>317</v>
      </c>
      <c r="AD81" s="22" t="s">
        <v>154</v>
      </c>
      <c r="BQ81" s="536"/>
    </row>
    <row r="82" spans="9:70" ht="28.8" x14ac:dyDescent="0.3">
      <c r="I82" s="527" t="s">
        <v>532</v>
      </c>
      <c r="Z82" s="544"/>
      <c r="AA82" s="543"/>
      <c r="AC82" s="535" t="s">
        <v>318</v>
      </c>
      <c r="AD82" s="22" t="s">
        <v>154</v>
      </c>
      <c r="BQ82" s="536"/>
    </row>
    <row r="83" spans="9:70" ht="28.8" x14ac:dyDescent="0.3">
      <c r="I83" s="527" t="s">
        <v>533</v>
      </c>
      <c r="Z83" s="545"/>
      <c r="AA83" s="543"/>
      <c r="AC83" s="535" t="s">
        <v>319</v>
      </c>
      <c r="AD83" s="22" t="s">
        <v>154</v>
      </c>
      <c r="BR83" s="537"/>
    </row>
    <row r="84" spans="9:70" ht="28.8" x14ac:dyDescent="0.3">
      <c r="I84" s="527" t="s">
        <v>534</v>
      </c>
      <c r="Z84" s="542"/>
      <c r="AA84" s="542"/>
      <c r="AC84" s="535" t="s">
        <v>320</v>
      </c>
      <c r="AD84" s="22" t="s">
        <v>154</v>
      </c>
      <c r="BQ84" s="536"/>
      <c r="BR84" s="537"/>
    </row>
    <row r="85" spans="9:70" ht="28.8" x14ac:dyDescent="0.3">
      <c r="I85" s="527" t="s">
        <v>535</v>
      </c>
      <c r="Z85" s="542"/>
      <c r="AA85" s="542"/>
      <c r="AC85" s="535" t="s">
        <v>455</v>
      </c>
      <c r="AD85" s="22" t="s">
        <v>154</v>
      </c>
      <c r="BQ85" s="536"/>
      <c r="BR85" s="537"/>
    </row>
    <row r="86" spans="9:70" ht="28.8" x14ac:dyDescent="0.3">
      <c r="I86" s="527" t="s">
        <v>536</v>
      </c>
      <c r="Z86" s="542"/>
      <c r="AA86" s="542"/>
      <c r="AC86" s="535" t="s">
        <v>321</v>
      </c>
      <c r="AD86" s="22" t="s">
        <v>154</v>
      </c>
      <c r="BR86" s="537"/>
    </row>
    <row r="87" spans="9:70" ht="28.8" x14ac:dyDescent="0.3">
      <c r="I87" s="527" t="s">
        <v>537</v>
      </c>
      <c r="Z87" s="542"/>
      <c r="AA87" s="542"/>
      <c r="AC87" s="535" t="s">
        <v>322</v>
      </c>
      <c r="AD87" s="22" t="s">
        <v>154</v>
      </c>
      <c r="BQ87" s="536"/>
      <c r="BR87" s="537"/>
    </row>
    <row r="88" spans="9:70" ht="28.8" x14ac:dyDescent="0.3">
      <c r="I88" s="527" t="s">
        <v>538</v>
      </c>
      <c r="Z88" s="542"/>
      <c r="AA88" s="542"/>
      <c r="AC88" s="535" t="s">
        <v>323</v>
      </c>
      <c r="AD88" s="22" t="s">
        <v>155</v>
      </c>
      <c r="BQ88" s="536"/>
      <c r="BR88" s="537"/>
    </row>
    <row r="89" spans="9:70" ht="28.8" x14ac:dyDescent="0.3">
      <c r="I89" s="527" t="s">
        <v>539</v>
      </c>
      <c r="AC89" s="535" t="s">
        <v>324</v>
      </c>
      <c r="AD89" s="22" t="s">
        <v>155</v>
      </c>
      <c r="BR89" s="537"/>
    </row>
    <row r="90" spans="9:70" ht="28.8" x14ac:dyDescent="0.3">
      <c r="I90" s="527" t="s">
        <v>540</v>
      </c>
      <c r="AC90" s="535" t="s">
        <v>325</v>
      </c>
      <c r="AD90" s="22" t="s">
        <v>155</v>
      </c>
      <c r="BQ90" s="536"/>
      <c r="BR90" s="537"/>
    </row>
    <row r="91" spans="9:70" ht="28.8" x14ac:dyDescent="0.3">
      <c r="I91" s="527" t="s">
        <v>541</v>
      </c>
      <c r="AC91" s="535" t="s">
        <v>326</v>
      </c>
      <c r="AD91" s="22" t="s">
        <v>155</v>
      </c>
      <c r="BQ91" s="536"/>
      <c r="BR91" s="537"/>
    </row>
    <row r="92" spans="9:70" ht="28.8" x14ac:dyDescent="0.3">
      <c r="I92" s="527" t="s">
        <v>542</v>
      </c>
      <c r="AC92" s="535" t="s">
        <v>331</v>
      </c>
      <c r="AD92" s="22" t="s">
        <v>155</v>
      </c>
      <c r="BR92" s="537"/>
    </row>
    <row r="93" spans="9:70" ht="28.8" x14ac:dyDescent="0.3">
      <c r="I93" s="527" t="s">
        <v>543</v>
      </c>
      <c r="AC93" s="535" t="s">
        <v>327</v>
      </c>
      <c r="AD93" s="22" t="s">
        <v>155</v>
      </c>
      <c r="BQ93" s="536"/>
      <c r="BR93" s="537"/>
    </row>
    <row r="94" spans="9:70" ht="28.8" x14ac:dyDescent="0.3">
      <c r="I94" s="527" t="s">
        <v>587</v>
      </c>
      <c r="AC94" s="535" t="s">
        <v>328</v>
      </c>
      <c r="AD94" s="22" t="s">
        <v>155</v>
      </c>
      <c r="BQ94" s="536"/>
    </row>
    <row r="95" spans="9:70" x14ac:dyDescent="0.3">
      <c r="I95" s="22" t="s">
        <v>389</v>
      </c>
      <c r="AC95" s="535" t="s">
        <v>329</v>
      </c>
      <c r="AD95" s="22" t="s">
        <v>155</v>
      </c>
    </row>
    <row r="96" spans="9:70" x14ac:dyDescent="0.3">
      <c r="I96" s="22" t="s">
        <v>390</v>
      </c>
      <c r="AC96" s="535" t="s">
        <v>330</v>
      </c>
      <c r="AD96" s="22" t="s">
        <v>155</v>
      </c>
    </row>
    <row r="97" spans="9:30" x14ac:dyDescent="0.3">
      <c r="I97" s="22" t="s">
        <v>483</v>
      </c>
      <c r="AC97" s="535" t="s">
        <v>332</v>
      </c>
      <c r="AD97" s="22" t="s">
        <v>155</v>
      </c>
    </row>
    <row r="98" spans="9:30" x14ac:dyDescent="0.3">
      <c r="I98" s="22" t="s">
        <v>391</v>
      </c>
      <c r="AC98" s="535" t="s">
        <v>333</v>
      </c>
      <c r="AD98" s="22" t="s">
        <v>155</v>
      </c>
    </row>
    <row r="99" spans="9:30" x14ac:dyDescent="0.3">
      <c r="I99" s="22" t="s">
        <v>392</v>
      </c>
      <c r="AC99" s="535" t="s">
        <v>334</v>
      </c>
      <c r="AD99" s="22" t="s">
        <v>154</v>
      </c>
    </row>
    <row r="100" spans="9:30" x14ac:dyDescent="0.3">
      <c r="I100" s="22" t="s">
        <v>484</v>
      </c>
      <c r="AC100" s="535" t="s">
        <v>335</v>
      </c>
      <c r="AD100" s="22" t="s">
        <v>155</v>
      </c>
    </row>
    <row r="101" spans="9:30" x14ac:dyDescent="0.3">
      <c r="I101" s="22" t="s">
        <v>393</v>
      </c>
      <c r="AC101" s="535" t="s">
        <v>336</v>
      </c>
      <c r="AD101" s="22" t="s">
        <v>154</v>
      </c>
    </row>
    <row r="102" spans="9:30" x14ac:dyDescent="0.3">
      <c r="I102" s="22" t="s">
        <v>394</v>
      </c>
      <c r="AC102" s="23" t="s">
        <v>337</v>
      </c>
      <c r="AD102" s="22" t="s">
        <v>155</v>
      </c>
    </row>
    <row r="103" spans="9:30" x14ac:dyDescent="0.3">
      <c r="I103" s="22" t="s">
        <v>485</v>
      </c>
      <c r="AC103" s="23" t="s">
        <v>338</v>
      </c>
      <c r="AD103" s="22" t="s">
        <v>154</v>
      </c>
    </row>
    <row r="104" spans="9:30" x14ac:dyDescent="0.3">
      <c r="I104" s="22" t="s">
        <v>395</v>
      </c>
    </row>
    <row r="105" spans="9:30" x14ac:dyDescent="0.3">
      <c r="I105" s="22" t="s">
        <v>486</v>
      </c>
    </row>
    <row r="106" spans="9:30" x14ac:dyDescent="0.3">
      <c r="I106" s="22" t="s">
        <v>487</v>
      </c>
    </row>
    <row r="107" spans="9:30" x14ac:dyDescent="0.3">
      <c r="I107" s="22" t="s">
        <v>396</v>
      </c>
    </row>
    <row r="108" spans="9:30" ht="28.8" x14ac:dyDescent="0.3">
      <c r="I108" s="527" t="s">
        <v>544</v>
      </c>
    </row>
    <row r="109" spans="9:30" ht="28.8" x14ac:dyDescent="0.3">
      <c r="I109" s="527" t="s">
        <v>545</v>
      </c>
      <c r="AC109" s="22"/>
    </row>
    <row r="110" spans="9:30" ht="28.8" x14ac:dyDescent="0.3">
      <c r="I110" s="527" t="s">
        <v>546</v>
      </c>
      <c r="AC110" s="22"/>
    </row>
    <row r="111" spans="9:30" ht="28.8" x14ac:dyDescent="0.3">
      <c r="I111" s="527" t="s">
        <v>547</v>
      </c>
      <c r="AC111" s="22"/>
    </row>
    <row r="112" spans="9:30" x14ac:dyDescent="0.3">
      <c r="I112" s="22" t="s">
        <v>488</v>
      </c>
      <c r="AC112" s="22"/>
    </row>
    <row r="113" spans="9:29" x14ac:dyDescent="0.3">
      <c r="I113" s="22" t="s">
        <v>397</v>
      </c>
      <c r="AC113" s="22"/>
    </row>
    <row r="114" spans="9:29" x14ac:dyDescent="0.3">
      <c r="I114" s="22" t="s">
        <v>489</v>
      </c>
      <c r="AC114" s="22"/>
    </row>
    <row r="115" spans="9:29" ht="28.8" x14ac:dyDescent="0.3">
      <c r="I115" s="527" t="s">
        <v>548</v>
      </c>
      <c r="AC115" s="22"/>
    </row>
    <row r="116" spans="9:29" ht="28.8" x14ac:dyDescent="0.3">
      <c r="I116" s="527" t="s">
        <v>550</v>
      </c>
      <c r="AC116" s="22"/>
    </row>
    <row r="117" spans="9:29" ht="28.8" x14ac:dyDescent="0.3">
      <c r="I117" s="527" t="s">
        <v>551</v>
      </c>
      <c r="AC117" s="22"/>
    </row>
    <row r="118" spans="9:29" ht="28.8" x14ac:dyDescent="0.3">
      <c r="I118" s="527" t="s">
        <v>552</v>
      </c>
      <c r="AC118" s="22"/>
    </row>
    <row r="119" spans="9:29" ht="28.8" x14ac:dyDescent="0.3">
      <c r="I119" s="527" t="s">
        <v>553</v>
      </c>
      <c r="AC119" s="22"/>
    </row>
    <row r="120" spans="9:29" ht="28.8" x14ac:dyDescent="0.3">
      <c r="I120" s="527" t="s">
        <v>554</v>
      </c>
      <c r="AC120" s="22"/>
    </row>
    <row r="121" spans="9:29" ht="28.8" x14ac:dyDescent="0.3">
      <c r="I121" s="527" t="s">
        <v>549</v>
      </c>
      <c r="AC121" s="22"/>
    </row>
    <row r="122" spans="9:29" x14ac:dyDescent="0.3">
      <c r="I122" s="22" t="s">
        <v>490</v>
      </c>
      <c r="AC122" s="22"/>
    </row>
    <row r="123" spans="9:29" x14ac:dyDescent="0.3">
      <c r="I123" s="22" t="s">
        <v>491</v>
      </c>
      <c r="AC123" s="22"/>
    </row>
    <row r="124" spans="9:29" x14ac:dyDescent="0.3">
      <c r="I124" s="22" t="s">
        <v>398</v>
      </c>
      <c r="AC124" s="22"/>
    </row>
    <row r="125" spans="9:29" ht="28.8" x14ac:dyDescent="0.3">
      <c r="I125" s="527" t="s">
        <v>555</v>
      </c>
      <c r="AC125" s="22"/>
    </row>
    <row r="126" spans="9:29" x14ac:dyDescent="0.3">
      <c r="I126" s="22" t="s">
        <v>492</v>
      </c>
      <c r="AC126" s="22"/>
    </row>
    <row r="127" spans="9:29" x14ac:dyDescent="0.3">
      <c r="I127" s="22" t="s">
        <v>493</v>
      </c>
      <c r="AC127" s="22"/>
    </row>
    <row r="128" spans="9:29" x14ac:dyDescent="0.3">
      <c r="I128" s="22" t="s">
        <v>494</v>
      </c>
      <c r="AC128" s="22"/>
    </row>
    <row r="129" spans="9:29" x14ac:dyDescent="0.3">
      <c r="I129" s="22" t="s">
        <v>495</v>
      </c>
      <c r="AC129" s="22"/>
    </row>
    <row r="130" spans="9:29" x14ac:dyDescent="0.3">
      <c r="I130" s="22" t="s">
        <v>496</v>
      </c>
      <c r="AC130" s="22"/>
    </row>
    <row r="131" spans="9:29" x14ac:dyDescent="0.3">
      <c r="I131" s="22" t="s">
        <v>497</v>
      </c>
      <c r="AC131" s="22"/>
    </row>
    <row r="132" spans="9:29" ht="28.8" x14ac:dyDescent="0.3">
      <c r="I132" s="527" t="s">
        <v>556</v>
      </c>
      <c r="AC132" s="22"/>
    </row>
    <row r="133" spans="9:29" ht="28.8" x14ac:dyDescent="0.3">
      <c r="I133" s="527" t="s">
        <v>556</v>
      </c>
      <c r="AC133" s="22"/>
    </row>
    <row r="134" spans="9:29" ht="28.8" x14ac:dyDescent="0.3">
      <c r="I134" s="527" t="s">
        <v>557</v>
      </c>
      <c r="AC134" s="22"/>
    </row>
    <row r="135" spans="9:29" ht="28.8" x14ac:dyDescent="0.3">
      <c r="I135" s="527" t="s">
        <v>558</v>
      </c>
      <c r="AC135" s="22"/>
    </row>
    <row r="136" spans="9:29" x14ac:dyDescent="0.3">
      <c r="I136" s="22" t="s">
        <v>10</v>
      </c>
      <c r="AC136" s="22"/>
    </row>
    <row r="137" spans="9:29" x14ac:dyDescent="0.3">
      <c r="I137" s="22" t="s">
        <v>399</v>
      </c>
      <c r="AC137" s="22"/>
    </row>
    <row r="138" spans="9:29" ht="28.8" x14ac:dyDescent="0.3">
      <c r="I138" s="527" t="s">
        <v>586</v>
      </c>
      <c r="AC138" s="22"/>
    </row>
    <row r="139" spans="9:29" ht="28.8" x14ac:dyDescent="0.3">
      <c r="I139" s="527" t="s">
        <v>586</v>
      </c>
      <c r="AC139" s="22"/>
    </row>
    <row r="140" spans="9:29" ht="28.8" x14ac:dyDescent="0.3">
      <c r="I140" s="527" t="s">
        <v>559</v>
      </c>
      <c r="AC140" s="22"/>
    </row>
    <row r="141" spans="9:29" ht="28.8" x14ac:dyDescent="0.3">
      <c r="I141" s="527" t="s">
        <v>560</v>
      </c>
      <c r="AC141" s="22"/>
    </row>
    <row r="142" spans="9:29" x14ac:dyDescent="0.3">
      <c r="I142" s="22" t="s">
        <v>400</v>
      </c>
      <c r="AC142" s="22"/>
    </row>
    <row r="143" spans="9:29" ht="28.8" x14ac:dyDescent="0.3">
      <c r="I143" s="527" t="s">
        <v>561</v>
      </c>
      <c r="AC143" s="22"/>
    </row>
    <row r="144" spans="9:29" ht="28.8" x14ac:dyDescent="0.3">
      <c r="I144" s="527" t="s">
        <v>562</v>
      </c>
      <c r="AC144" s="22"/>
    </row>
    <row r="145" spans="9:29" x14ac:dyDescent="0.3">
      <c r="I145" s="22" t="s">
        <v>401</v>
      </c>
      <c r="AC145" s="22"/>
    </row>
    <row r="146" spans="9:29" ht="43.2" x14ac:dyDescent="0.3">
      <c r="I146" s="527" t="s">
        <v>589</v>
      </c>
      <c r="AC146" s="22"/>
    </row>
    <row r="147" spans="9:29" ht="28.8" x14ac:dyDescent="0.3">
      <c r="I147" s="527" t="s">
        <v>563</v>
      </c>
      <c r="AC147" s="22"/>
    </row>
    <row r="148" spans="9:29" ht="28.8" x14ac:dyDescent="0.3">
      <c r="I148" s="527" t="s">
        <v>564</v>
      </c>
      <c r="AC148" s="22"/>
    </row>
    <row r="149" spans="9:29" ht="28.8" x14ac:dyDescent="0.3">
      <c r="I149" s="527" t="s">
        <v>565</v>
      </c>
      <c r="AC149" s="22"/>
    </row>
    <row r="150" spans="9:29" ht="28.8" x14ac:dyDescent="0.3">
      <c r="I150" s="527" t="s">
        <v>402</v>
      </c>
      <c r="AC150" s="22"/>
    </row>
    <row r="151" spans="9:29" ht="28.8" x14ac:dyDescent="0.3">
      <c r="I151" s="527" t="s">
        <v>566</v>
      </c>
      <c r="AC151" s="22"/>
    </row>
    <row r="152" spans="9:29" ht="28.8" x14ac:dyDescent="0.3">
      <c r="I152" s="527" t="s">
        <v>567</v>
      </c>
      <c r="AC152" s="22"/>
    </row>
    <row r="153" spans="9:29" ht="28.8" x14ac:dyDescent="0.3">
      <c r="I153" s="527" t="s">
        <v>568</v>
      </c>
      <c r="AC153" s="22"/>
    </row>
    <row r="154" spans="9:29" ht="28.8" x14ac:dyDescent="0.3">
      <c r="I154" s="527" t="s">
        <v>569</v>
      </c>
      <c r="AC154" s="22"/>
    </row>
    <row r="155" spans="9:29" x14ac:dyDescent="0.3">
      <c r="I155" s="22" t="s">
        <v>403</v>
      </c>
      <c r="AC155" s="22"/>
    </row>
    <row r="156" spans="9:29" ht="28.8" x14ac:dyDescent="0.3">
      <c r="I156" s="527" t="s">
        <v>570</v>
      </c>
      <c r="AC156" s="22"/>
    </row>
    <row r="157" spans="9:29" ht="28.8" x14ac:dyDescent="0.3">
      <c r="I157" s="527" t="s">
        <v>571</v>
      </c>
      <c r="AC157" s="22"/>
    </row>
    <row r="158" spans="9:29" ht="28.8" x14ac:dyDescent="0.3">
      <c r="I158" s="527" t="s">
        <v>572</v>
      </c>
      <c r="AC158" s="22"/>
    </row>
    <row r="159" spans="9:29" ht="28.8" x14ac:dyDescent="0.3">
      <c r="I159" s="527" t="s">
        <v>573</v>
      </c>
      <c r="AC159" s="22"/>
    </row>
    <row r="160" spans="9:29" ht="28.8" x14ac:dyDescent="0.3">
      <c r="I160" s="26" t="s">
        <v>574</v>
      </c>
      <c r="AC160" s="22"/>
    </row>
    <row r="161" spans="1:29" x14ac:dyDescent="0.3">
      <c r="I161" s="22" t="s">
        <v>404</v>
      </c>
      <c r="AC161" s="22"/>
    </row>
    <row r="162" spans="1:29" x14ac:dyDescent="0.3">
      <c r="I162" s="22" t="s">
        <v>498</v>
      </c>
      <c r="AC162" s="22"/>
    </row>
    <row r="163" spans="1:29" x14ac:dyDescent="0.3">
      <c r="I163" s="22" t="s">
        <v>405</v>
      </c>
      <c r="AC163" s="22"/>
    </row>
    <row r="164" spans="1:29" x14ac:dyDescent="0.3">
      <c r="I164" s="22" t="s">
        <v>406</v>
      </c>
      <c r="AC164" s="22"/>
    </row>
    <row r="165" spans="1:29" x14ac:dyDescent="0.3">
      <c r="I165" s="22" t="s">
        <v>420</v>
      </c>
      <c r="AC165" s="22"/>
    </row>
    <row r="166" spans="1:29" x14ac:dyDescent="0.3">
      <c r="A166" s="680"/>
      <c r="I166" s="22" t="s">
        <v>407</v>
      </c>
      <c r="AC166" s="22"/>
    </row>
    <row r="167" spans="1:29" x14ac:dyDescent="0.3">
      <c r="A167" s="680"/>
      <c r="I167" s="22" t="s">
        <v>499</v>
      </c>
      <c r="AC167" s="22"/>
    </row>
    <row r="168" spans="1:29" x14ac:dyDescent="0.3">
      <c r="A168" s="680"/>
      <c r="I168" s="22" t="s">
        <v>408</v>
      </c>
      <c r="AC168" s="22"/>
    </row>
    <row r="169" spans="1:29" x14ac:dyDescent="0.3">
      <c r="A169" s="680"/>
      <c r="I169" s="22" t="s">
        <v>500</v>
      </c>
      <c r="AC169" s="22"/>
    </row>
    <row r="170" spans="1:29" x14ac:dyDescent="0.3">
      <c r="A170" s="680"/>
      <c r="I170" s="22" t="s">
        <v>409</v>
      </c>
      <c r="AC170" s="22"/>
    </row>
    <row r="171" spans="1:29" x14ac:dyDescent="0.3">
      <c r="A171" s="680"/>
      <c r="I171" s="22" t="s">
        <v>410</v>
      </c>
      <c r="AC171" s="22"/>
    </row>
    <row r="172" spans="1:29" x14ac:dyDescent="0.3">
      <c r="I172" s="22" t="s">
        <v>411</v>
      </c>
      <c r="AC172" s="22"/>
    </row>
    <row r="173" spans="1:29" x14ac:dyDescent="0.3">
      <c r="I173" s="22" t="s">
        <v>412</v>
      </c>
      <c r="AC173" s="22"/>
    </row>
    <row r="174" spans="1:29" x14ac:dyDescent="0.3">
      <c r="I174" s="22" t="s">
        <v>501</v>
      </c>
      <c r="AC174" s="22"/>
    </row>
    <row r="175" spans="1:29" x14ac:dyDescent="0.3">
      <c r="I175" s="22" t="s">
        <v>413</v>
      </c>
      <c r="AC175" s="22"/>
    </row>
    <row r="176" spans="1:29" x14ac:dyDescent="0.3">
      <c r="I176" s="22" t="s">
        <v>502</v>
      </c>
      <c r="AC176" s="22"/>
    </row>
    <row r="177" spans="9:29" ht="28.8" x14ac:dyDescent="0.3">
      <c r="I177" s="527" t="s">
        <v>575</v>
      </c>
      <c r="AC177" s="22"/>
    </row>
    <row r="178" spans="9:29" x14ac:dyDescent="0.3">
      <c r="I178" s="22" t="s">
        <v>414</v>
      </c>
      <c r="AC178" s="22"/>
    </row>
    <row r="179" spans="9:29" x14ac:dyDescent="0.3">
      <c r="I179" s="22" t="s">
        <v>503</v>
      </c>
      <c r="AC179" s="22"/>
    </row>
    <row r="180" spans="9:29" x14ac:dyDescent="0.3">
      <c r="I180" s="22" t="s">
        <v>504</v>
      </c>
      <c r="AC180" s="22"/>
    </row>
    <row r="181" spans="9:29" x14ac:dyDescent="0.3">
      <c r="I181" s="22" t="s">
        <v>505</v>
      </c>
      <c r="AC181" s="22"/>
    </row>
    <row r="182" spans="9:29" x14ac:dyDescent="0.3">
      <c r="I182" s="22" t="s">
        <v>506</v>
      </c>
      <c r="AC182" s="22"/>
    </row>
    <row r="183" spans="9:29" x14ac:dyDescent="0.3">
      <c r="I183" s="22" t="s">
        <v>209</v>
      </c>
      <c r="AC183" s="22"/>
    </row>
    <row r="184" spans="9:29" x14ac:dyDescent="0.3">
      <c r="I184" s="22" t="s">
        <v>210</v>
      </c>
      <c r="AC184" s="22"/>
    </row>
    <row r="185" spans="9:29" x14ac:dyDescent="0.3">
      <c r="I185" s="22" t="s">
        <v>211</v>
      </c>
      <c r="AC185" s="22"/>
    </row>
    <row r="186" spans="9:29" ht="28.8" x14ac:dyDescent="0.3">
      <c r="I186" s="527" t="s">
        <v>576</v>
      </c>
      <c r="AC186" s="22"/>
    </row>
    <row r="187" spans="9:29" ht="28.8" x14ac:dyDescent="0.3">
      <c r="I187" s="527" t="s">
        <v>577</v>
      </c>
      <c r="AC187" s="22"/>
    </row>
    <row r="188" spans="9:29" ht="28.8" x14ac:dyDescent="0.3">
      <c r="I188" s="527" t="s">
        <v>578</v>
      </c>
      <c r="AC188" s="22"/>
    </row>
    <row r="189" spans="9:29" ht="28.8" x14ac:dyDescent="0.3">
      <c r="I189" s="527" t="s">
        <v>580</v>
      </c>
      <c r="AC189" s="22"/>
    </row>
    <row r="190" spans="9:29" ht="28.8" x14ac:dyDescent="0.3">
      <c r="I190" s="527" t="s">
        <v>579</v>
      </c>
      <c r="AC190" s="22"/>
    </row>
    <row r="191" spans="9:29" x14ac:dyDescent="0.3">
      <c r="I191" s="22" t="s">
        <v>212</v>
      </c>
      <c r="AC191" s="22"/>
    </row>
    <row r="192" spans="9:29" x14ac:dyDescent="0.3">
      <c r="I192" s="22" t="s">
        <v>213</v>
      </c>
      <c r="AC192" s="22"/>
    </row>
    <row r="193" spans="9:29" x14ac:dyDescent="0.3">
      <c r="I193" s="22" t="s">
        <v>214</v>
      </c>
      <c r="AC193" s="22"/>
    </row>
    <row r="194" spans="9:29" x14ac:dyDescent="0.3">
      <c r="I194" s="22" t="s">
        <v>215</v>
      </c>
      <c r="AC194" s="22"/>
    </row>
    <row r="195" spans="9:29" x14ac:dyDescent="0.3">
      <c r="I195" s="22" t="s">
        <v>216</v>
      </c>
      <c r="AC195" s="22"/>
    </row>
    <row r="196" spans="9:29" x14ac:dyDescent="0.3">
      <c r="I196" s="22" t="s">
        <v>217</v>
      </c>
      <c r="AC196" s="22"/>
    </row>
    <row r="197" spans="9:29" x14ac:dyDescent="0.3">
      <c r="I197" s="22" t="s">
        <v>218</v>
      </c>
      <c r="AC197" s="22"/>
    </row>
    <row r="198" spans="9:29" ht="14.25" customHeight="1" x14ac:dyDescent="0.3">
      <c r="I198" s="22" t="s">
        <v>219</v>
      </c>
      <c r="AC198" s="22"/>
    </row>
    <row r="199" spans="9:29" ht="28.8" x14ac:dyDescent="0.3">
      <c r="I199" s="527" t="s">
        <v>581</v>
      </c>
      <c r="AC199" s="22"/>
    </row>
    <row r="200" spans="9:29" x14ac:dyDescent="0.3">
      <c r="I200" s="22" t="s">
        <v>428</v>
      </c>
      <c r="AC200" s="22"/>
    </row>
    <row r="201" spans="9:29" ht="43.2" x14ac:dyDescent="0.3">
      <c r="I201" s="527" t="s">
        <v>582</v>
      </c>
      <c r="AC201" s="22"/>
    </row>
    <row r="202" spans="9:29" x14ac:dyDescent="0.3">
      <c r="I202" s="22" t="s">
        <v>7</v>
      </c>
      <c r="AC202" s="22"/>
    </row>
    <row r="203" spans="9:29" x14ac:dyDescent="0.3">
      <c r="I203" s="22" t="s">
        <v>8</v>
      </c>
      <c r="AC203" s="22"/>
    </row>
    <row r="204" spans="9:29" x14ac:dyDescent="0.3">
      <c r="I204" s="22" t="s">
        <v>9</v>
      </c>
      <c r="AC204" s="22"/>
    </row>
    <row r="205" spans="9:29" x14ac:dyDescent="0.3">
      <c r="I205" s="22" t="s">
        <v>424</v>
      </c>
      <c r="AC205" s="22"/>
    </row>
    <row r="206" spans="9:29" x14ac:dyDescent="0.3">
      <c r="I206" s="22" t="s">
        <v>507</v>
      </c>
      <c r="AC206" s="22"/>
    </row>
    <row r="207" spans="9:29" x14ac:dyDescent="0.3">
      <c r="I207" s="22" t="s">
        <v>508</v>
      </c>
      <c r="AC207" s="22"/>
    </row>
    <row r="208" spans="9:29" x14ac:dyDescent="0.3">
      <c r="I208" s="22" t="s">
        <v>350</v>
      </c>
      <c r="AC208" s="22"/>
    </row>
    <row r="209" spans="9:29" x14ac:dyDescent="0.3">
      <c r="I209" s="22" t="s">
        <v>509</v>
      </c>
      <c r="AC209" s="22"/>
    </row>
    <row r="210" spans="9:29" x14ac:dyDescent="0.3">
      <c r="I210" s="111" t="s">
        <v>28</v>
      </c>
      <c r="AC210" s="22"/>
    </row>
    <row r="211" spans="9:29" ht="43.2" x14ac:dyDescent="0.3">
      <c r="I211" s="527" t="s">
        <v>583</v>
      </c>
      <c r="AC211" s="22"/>
    </row>
    <row r="212" spans="9:29" ht="43.2" x14ac:dyDescent="0.3">
      <c r="I212" s="527" t="s">
        <v>584</v>
      </c>
      <c r="AC212" s="22"/>
    </row>
    <row r="213" spans="9:29" ht="28.8" x14ac:dyDescent="0.3">
      <c r="I213" s="527" t="s">
        <v>585</v>
      </c>
      <c r="AC213" s="22"/>
    </row>
    <row r="214" spans="9:29" x14ac:dyDescent="0.3">
      <c r="I214" s="22" t="s">
        <v>27</v>
      </c>
      <c r="AC214" s="22"/>
    </row>
    <row r="215" spans="9:29" x14ac:dyDescent="0.3">
      <c r="I215" s="29"/>
      <c r="AC215" s="22"/>
    </row>
    <row r="216" spans="9:29" x14ac:dyDescent="0.3">
      <c r="I216" s="29"/>
      <c r="AC216" s="22"/>
    </row>
    <row r="217" spans="9:29" x14ac:dyDescent="0.3">
      <c r="I217" s="546"/>
      <c r="AC217" s="22"/>
    </row>
    <row r="218" spans="9:29" x14ac:dyDescent="0.3">
      <c r="I218" s="547"/>
      <c r="AC218" s="22"/>
    </row>
    <row r="219" spans="9:29" x14ac:dyDescent="0.3">
      <c r="I219" s="29"/>
      <c r="AC219" s="22"/>
    </row>
    <row r="220" spans="9:29" x14ac:dyDescent="0.3">
      <c r="I220" s="29"/>
      <c r="AC220" s="22"/>
    </row>
    <row r="221" spans="9:29" x14ac:dyDescent="0.3">
      <c r="I221" s="29"/>
      <c r="AC221" s="22"/>
    </row>
    <row r="222" spans="9:29" x14ac:dyDescent="0.3">
      <c r="I222" s="29"/>
      <c r="AC222" s="22"/>
    </row>
    <row r="223" spans="9:29" x14ac:dyDescent="0.3">
      <c r="I223" s="547"/>
      <c r="AC223" s="22"/>
    </row>
    <row r="224" spans="9:29" x14ac:dyDescent="0.3">
      <c r="I224" s="547"/>
      <c r="AC224" s="22"/>
    </row>
    <row r="225" spans="9:29" x14ac:dyDescent="0.3">
      <c r="I225" s="29"/>
      <c r="AC225" s="22"/>
    </row>
    <row r="226" spans="9:29" x14ac:dyDescent="0.3">
      <c r="I226" s="547"/>
      <c r="AC226" s="22"/>
    </row>
    <row r="227" spans="9:29" x14ac:dyDescent="0.3">
      <c r="I227" s="540"/>
      <c r="AC227" s="22"/>
    </row>
    <row r="228" spans="9:29" x14ac:dyDescent="0.3">
      <c r="I228" s="540"/>
      <c r="AC228" s="22"/>
    </row>
    <row r="229" spans="9:29" x14ac:dyDescent="0.3">
      <c r="I229" s="540"/>
      <c r="AC229" s="22"/>
    </row>
    <row r="230" spans="9:29" x14ac:dyDescent="0.3">
      <c r="I230" s="540"/>
      <c r="AC230" s="22"/>
    </row>
    <row r="231" spans="9:29" x14ac:dyDescent="0.3">
      <c r="I231" s="540"/>
      <c r="AC231" s="22"/>
    </row>
    <row r="232" spans="9:29" x14ac:dyDescent="0.3">
      <c r="I232" s="540"/>
      <c r="AC232" s="22"/>
    </row>
    <row r="233" spans="9:29" x14ac:dyDescent="0.3">
      <c r="I233" s="540"/>
      <c r="AC233" s="22"/>
    </row>
    <row r="234" spans="9:29" x14ac:dyDescent="0.3">
      <c r="I234" s="540"/>
      <c r="AC234" s="22"/>
    </row>
    <row r="235" spans="9:29" x14ac:dyDescent="0.3">
      <c r="I235" s="540"/>
      <c r="AC235" s="22"/>
    </row>
    <row r="236" spans="9:29" x14ac:dyDescent="0.3">
      <c r="I236" s="540"/>
      <c r="AC236" s="22"/>
    </row>
    <row r="237" spans="9:29" x14ac:dyDescent="0.3">
      <c r="I237" s="540"/>
      <c r="AC237" s="22"/>
    </row>
    <row r="238" spans="9:29" x14ac:dyDescent="0.3">
      <c r="I238" s="540"/>
      <c r="AC238" s="22"/>
    </row>
    <row r="239" spans="9:29" x14ac:dyDescent="0.3">
      <c r="I239" s="540"/>
      <c r="AC239" s="22"/>
    </row>
    <row r="240" spans="9:29" x14ac:dyDescent="0.3">
      <c r="I240" s="540"/>
      <c r="AC240" s="22"/>
    </row>
    <row r="241" spans="9:29" x14ac:dyDescent="0.3">
      <c r="I241" s="540"/>
      <c r="AC241" s="22"/>
    </row>
    <row r="242" spans="9:29" x14ac:dyDescent="0.3">
      <c r="I242" s="540"/>
      <c r="AC242" s="22"/>
    </row>
    <row r="243" spans="9:29" x14ac:dyDescent="0.3">
      <c r="I243" s="540"/>
      <c r="AC243" s="22"/>
    </row>
    <row r="244" spans="9:29" x14ac:dyDescent="0.3">
      <c r="I244" s="540"/>
      <c r="AC244" s="22"/>
    </row>
    <row r="245" spans="9:29" x14ac:dyDescent="0.3">
      <c r="AC245" s="22"/>
    </row>
    <row r="246" spans="9:29" x14ac:dyDescent="0.3">
      <c r="AC246" s="22"/>
    </row>
    <row r="247" spans="9:29" x14ac:dyDescent="0.3">
      <c r="AC247" s="22"/>
    </row>
    <row r="248" spans="9:29" x14ac:dyDescent="0.3">
      <c r="AC248" s="22"/>
    </row>
    <row r="249" spans="9:29" x14ac:dyDescent="0.3">
      <c r="AC249" s="22"/>
    </row>
    <row r="250" spans="9:29" x14ac:dyDescent="0.3">
      <c r="AC250" s="22"/>
    </row>
    <row r="251" spans="9:29" x14ac:dyDescent="0.3">
      <c r="AC251" s="22"/>
    </row>
    <row r="252" spans="9:29" x14ac:dyDescent="0.3">
      <c r="AC252" s="22"/>
    </row>
    <row r="253" spans="9:29" x14ac:dyDescent="0.3">
      <c r="AC253" s="22"/>
    </row>
    <row r="254" spans="9:29" x14ac:dyDescent="0.3">
      <c r="AC254" s="22"/>
    </row>
    <row r="255" spans="9:29" x14ac:dyDescent="0.3">
      <c r="AC255" s="22"/>
    </row>
    <row r="256" spans="9:29" x14ac:dyDescent="0.3">
      <c r="AC256" s="22"/>
    </row>
    <row r="257" spans="29:29" x14ac:dyDescent="0.3">
      <c r="AC257" s="22"/>
    </row>
    <row r="258" spans="29:29" x14ac:dyDescent="0.3">
      <c r="AC258" s="22"/>
    </row>
    <row r="259" spans="29:29" x14ac:dyDescent="0.3">
      <c r="AC259" s="22"/>
    </row>
    <row r="260" spans="29:29" x14ac:dyDescent="0.3">
      <c r="AC260" s="22"/>
    </row>
    <row r="261" spans="29:29" x14ac:dyDescent="0.3">
      <c r="AC261" s="22"/>
    </row>
    <row r="262" spans="29:29" x14ac:dyDescent="0.3">
      <c r="AC262" s="22"/>
    </row>
    <row r="263" spans="29:29" x14ac:dyDescent="0.3">
      <c r="AC263" s="22"/>
    </row>
    <row r="264" spans="29:29" x14ac:dyDescent="0.3">
      <c r="AC264" s="22"/>
    </row>
    <row r="265" spans="29:29" x14ac:dyDescent="0.3">
      <c r="AC265" s="22"/>
    </row>
    <row r="266" spans="29:29" x14ac:dyDescent="0.3">
      <c r="AC266" s="22"/>
    </row>
    <row r="267" spans="29:29" x14ac:dyDescent="0.3">
      <c r="AC267" s="22"/>
    </row>
    <row r="268" spans="29:29" x14ac:dyDescent="0.3">
      <c r="AC268" s="22"/>
    </row>
    <row r="269" spans="29:29" x14ac:dyDescent="0.3">
      <c r="AC269" s="22"/>
    </row>
    <row r="270" spans="29:29" x14ac:dyDescent="0.3">
      <c r="AC270" s="22"/>
    </row>
    <row r="271" spans="29:29" x14ac:dyDescent="0.3">
      <c r="AC271" s="22"/>
    </row>
    <row r="272" spans="29:29" x14ac:dyDescent="0.3">
      <c r="AC272" s="22"/>
    </row>
    <row r="273" spans="29:29" x14ac:dyDescent="0.3">
      <c r="AC273" s="22"/>
    </row>
    <row r="274" spans="29:29" x14ac:dyDescent="0.3">
      <c r="AC274" s="22"/>
    </row>
    <row r="275" spans="29:29" x14ac:dyDescent="0.3">
      <c r="AC275" s="22"/>
    </row>
    <row r="276" spans="29:29" x14ac:dyDescent="0.3">
      <c r="AC276" s="22"/>
    </row>
    <row r="277" spans="29:29" x14ac:dyDescent="0.3">
      <c r="AC277" s="22"/>
    </row>
    <row r="278" spans="29:29" x14ac:dyDescent="0.3">
      <c r="AC278" s="22"/>
    </row>
    <row r="279" spans="29:29" x14ac:dyDescent="0.3">
      <c r="AC279" s="22"/>
    </row>
    <row r="280" spans="29:29" x14ac:dyDescent="0.3">
      <c r="AC280" s="22"/>
    </row>
    <row r="281" spans="29:29" x14ac:dyDescent="0.3">
      <c r="AC281" s="22"/>
    </row>
    <row r="282" spans="29:29" x14ac:dyDescent="0.3">
      <c r="AC282" s="22"/>
    </row>
    <row r="283" spans="29:29" x14ac:dyDescent="0.3">
      <c r="AC283" s="22"/>
    </row>
    <row r="284" spans="29:29" x14ac:dyDescent="0.3">
      <c r="AC284" s="22"/>
    </row>
    <row r="285" spans="29:29" x14ac:dyDescent="0.3">
      <c r="AC285" s="22"/>
    </row>
    <row r="286" spans="29:29" x14ac:dyDescent="0.3">
      <c r="AC286" s="22"/>
    </row>
    <row r="287" spans="29:29" x14ac:dyDescent="0.3">
      <c r="AC287" s="22"/>
    </row>
    <row r="288" spans="29:29" x14ac:dyDescent="0.3">
      <c r="AC288" s="22"/>
    </row>
    <row r="289" spans="29:29" x14ac:dyDescent="0.3">
      <c r="AC289" s="22"/>
    </row>
    <row r="290" spans="29:29" x14ac:dyDescent="0.3">
      <c r="AC290" s="22"/>
    </row>
    <row r="291" spans="29:29" x14ac:dyDescent="0.3">
      <c r="AC291" s="22"/>
    </row>
    <row r="292" spans="29:29" x14ac:dyDescent="0.3">
      <c r="AC292" s="22"/>
    </row>
    <row r="293" spans="29:29" x14ac:dyDescent="0.3">
      <c r="AC293" s="22"/>
    </row>
    <row r="294" spans="29:29" x14ac:dyDescent="0.3">
      <c r="AC294" s="22"/>
    </row>
    <row r="295" spans="29:29" x14ac:dyDescent="0.3">
      <c r="AC295" s="22"/>
    </row>
    <row r="296" spans="29:29" x14ac:dyDescent="0.3">
      <c r="AC296" s="22"/>
    </row>
    <row r="297" spans="29:29" x14ac:dyDescent="0.3">
      <c r="AC297" s="22"/>
    </row>
    <row r="298" spans="29:29" x14ac:dyDescent="0.3">
      <c r="AC298" s="548"/>
    </row>
    <row r="299" spans="29:29" x14ac:dyDescent="0.3">
      <c r="AC299" s="548"/>
    </row>
    <row r="300" spans="29:29" x14ac:dyDescent="0.3">
      <c r="AC300" s="22"/>
    </row>
    <row r="301" spans="29:29" x14ac:dyDescent="0.3">
      <c r="AC301" s="22"/>
    </row>
    <row r="302" spans="29:29" x14ac:dyDescent="0.3">
      <c r="AC302" s="22"/>
    </row>
    <row r="303" spans="29:29" x14ac:dyDescent="0.3">
      <c r="AC303" s="548"/>
    </row>
    <row r="304" spans="29:29" x14ac:dyDescent="0.3">
      <c r="AC304" s="548"/>
    </row>
    <row r="305" spans="29:29" x14ac:dyDescent="0.3">
      <c r="AC305" s="22"/>
    </row>
    <row r="306" spans="29:29" x14ac:dyDescent="0.3">
      <c r="AC306" s="548"/>
    </row>
    <row r="307" spans="29:29" x14ac:dyDescent="0.3">
      <c r="AC307" s="549"/>
    </row>
    <row r="308" spans="29:29" x14ac:dyDescent="0.3">
      <c r="AC308" s="22"/>
    </row>
    <row r="309" spans="29:29" x14ac:dyDescent="0.3">
      <c r="AC309" s="22"/>
    </row>
    <row r="310" spans="29:29" x14ac:dyDescent="0.3">
      <c r="AC310" s="22"/>
    </row>
    <row r="311" spans="29:29" x14ac:dyDescent="0.3">
      <c r="AC311" s="22"/>
    </row>
    <row r="312" spans="29:29" x14ac:dyDescent="0.3">
      <c r="AC312" s="22"/>
    </row>
    <row r="313" spans="29:29" x14ac:dyDescent="0.3">
      <c r="AC313" s="22"/>
    </row>
    <row r="314" spans="29:29" x14ac:dyDescent="0.3">
      <c r="AC314" s="22"/>
    </row>
    <row r="315" spans="29:29" x14ac:dyDescent="0.3">
      <c r="AC315" s="22"/>
    </row>
    <row r="316" spans="29:29" x14ac:dyDescent="0.3">
      <c r="AC316" s="22"/>
    </row>
    <row r="317" spans="29:29" x14ac:dyDescent="0.3">
      <c r="AC317" s="22"/>
    </row>
    <row r="318" spans="29:29" x14ac:dyDescent="0.3">
      <c r="AC318" s="22"/>
    </row>
    <row r="319" spans="29:29" x14ac:dyDescent="0.3">
      <c r="AC319" s="22"/>
    </row>
    <row r="320" spans="29:29" x14ac:dyDescent="0.3">
      <c r="AC320" s="22"/>
    </row>
  </sheetData>
  <sheetProtection algorithmName="SHA-512" hashValue="LdM4s5cabvAqm1SOvnFjc7tJNQQMsGgabJ83A2/jAScMVPq4uTYfKYRs9dWPgDtfXs1AwTc6LEKZOfYq8S2+DQ==" saltValue="wRD/kO0zvs6gWwhmgzmOtw==" spinCount="100000" sheet="1" objects="1" scenarios="1"/>
  <sortState xmlns:xlrd2="http://schemas.microsoft.com/office/spreadsheetml/2017/richdata2" ref="I2:I214">
    <sortCondition ref="I1"/>
  </sortState>
  <mergeCells count="18">
    <mergeCell ref="AN14:AO14"/>
    <mergeCell ref="AN15:AO15"/>
    <mergeCell ref="AN16:AO16"/>
    <mergeCell ref="AN17:AO17"/>
    <mergeCell ref="AN18:AO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s>
  <dataValidations count="1">
    <dataValidation allowBlank="1" showInputMessage="1" showErrorMessage="1" sqref="I67" xr:uid="{00000000-0002-0000-2200-000000000000}"/>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dimension ref="A1:N73"/>
  <sheetViews>
    <sheetView topLeftCell="A40" workbookViewId="0">
      <selection activeCell="H13" sqref="H13"/>
    </sheetView>
  </sheetViews>
  <sheetFormatPr defaultRowHeight="14.4" x14ac:dyDescent="0.3"/>
  <sheetData>
    <row r="1" spans="1:14" x14ac:dyDescent="0.3">
      <c r="A1" t="s">
        <v>158</v>
      </c>
      <c r="H1" t="s">
        <v>195</v>
      </c>
      <c r="N1" t="str">
        <f>VLOOKUP(H1,A:A,1,0)</f>
        <v>Atikokan Hydro Inc.</v>
      </c>
    </row>
    <row r="2" spans="1:14" x14ac:dyDescent="0.3">
      <c r="A2" t="s">
        <v>195</v>
      </c>
      <c r="H2" t="s">
        <v>228</v>
      </c>
      <c r="N2" t="str">
        <f t="shared" ref="N2:N60" si="0">VLOOKUP(H2,A:A,1,0)</f>
        <v>Bluewater Power Distribution Corporation</v>
      </c>
    </row>
    <row r="3" spans="1:14" x14ac:dyDescent="0.3">
      <c r="A3" t="s">
        <v>228</v>
      </c>
      <c r="H3" t="s">
        <v>229</v>
      </c>
      <c r="N3" t="str">
        <f t="shared" si="0"/>
        <v>Brant County Power Inc.</v>
      </c>
    </row>
    <row r="4" spans="1:14" x14ac:dyDescent="0.3">
      <c r="A4" t="s">
        <v>229</v>
      </c>
      <c r="H4" t="s">
        <v>169</v>
      </c>
      <c r="N4" t="str">
        <f t="shared" si="0"/>
        <v>Brantford Power Inc.</v>
      </c>
    </row>
    <row r="5" spans="1:14" x14ac:dyDescent="0.3">
      <c r="A5" t="s">
        <v>169</v>
      </c>
      <c r="H5" t="s">
        <v>170</v>
      </c>
      <c r="N5" t="str">
        <f t="shared" si="0"/>
        <v>Burlington Hydro Inc.</v>
      </c>
    </row>
    <row r="6" spans="1:14" x14ac:dyDescent="0.3">
      <c r="A6" t="s">
        <v>170</v>
      </c>
      <c r="H6" t="s">
        <v>230</v>
      </c>
      <c r="N6" t="str">
        <f t="shared" si="0"/>
        <v>Cambridge and North Dumfries Hydro Inc.</v>
      </c>
    </row>
    <row r="7" spans="1:14" x14ac:dyDescent="0.3">
      <c r="A7" t="s">
        <v>230</v>
      </c>
      <c r="H7" t="s">
        <v>415</v>
      </c>
      <c r="N7" t="str">
        <f t="shared" si="0"/>
        <v>Canadian Niagara Power Inc.</v>
      </c>
    </row>
    <row r="8" spans="1:14" x14ac:dyDescent="0.3">
      <c r="A8" t="s">
        <v>415</v>
      </c>
      <c r="H8" t="s">
        <v>171</v>
      </c>
      <c r="N8" t="str">
        <f t="shared" si="0"/>
        <v>Centre Wellington Hydro Ltd.</v>
      </c>
    </row>
    <row r="9" spans="1:14" x14ac:dyDescent="0.3">
      <c r="A9" t="s">
        <v>171</v>
      </c>
      <c r="H9" t="s">
        <v>196</v>
      </c>
      <c r="N9" t="str">
        <f t="shared" si="0"/>
        <v>Chapleau Public Utilities Corporation</v>
      </c>
    </row>
    <row r="10" spans="1:14" x14ac:dyDescent="0.3">
      <c r="A10" t="s">
        <v>196</v>
      </c>
      <c r="H10" t="s">
        <v>598</v>
      </c>
      <c r="N10" t="str">
        <f t="shared" si="0"/>
        <v>Collus PowerStream Corp.</v>
      </c>
    </row>
    <row r="11" spans="1:14" x14ac:dyDescent="0.3">
      <c r="A11" t="s">
        <v>598</v>
      </c>
      <c r="H11" t="s">
        <v>172</v>
      </c>
      <c r="N11" t="str">
        <f t="shared" si="0"/>
        <v>Cooperative Hydro Embrun Inc.</v>
      </c>
    </row>
    <row r="12" spans="1:14" x14ac:dyDescent="0.3">
      <c r="A12" t="s">
        <v>172</v>
      </c>
      <c r="H12" t="s">
        <v>173</v>
      </c>
      <c r="N12" t="str">
        <f t="shared" si="0"/>
        <v>E.L.K. Energy Inc.</v>
      </c>
    </row>
    <row r="13" spans="1:14" x14ac:dyDescent="0.3">
      <c r="A13" t="s">
        <v>173</v>
      </c>
      <c r="H13" t="s">
        <v>174</v>
      </c>
      <c r="N13" t="str">
        <f t="shared" si="0"/>
        <v>Enersource Hydro Mississauga Inc.</v>
      </c>
    </row>
    <row r="14" spans="1:14" x14ac:dyDescent="0.3">
      <c r="A14" t="s">
        <v>174</v>
      </c>
      <c r="H14" t="s">
        <v>416</v>
      </c>
      <c r="N14" t="str">
        <f t="shared" si="0"/>
        <v>Entegrus Powerlines Inc.</v>
      </c>
    </row>
    <row r="15" spans="1:14" x14ac:dyDescent="0.3">
      <c r="A15" t="s">
        <v>416</v>
      </c>
      <c r="H15" t="s">
        <v>599</v>
      </c>
      <c r="N15" t="str">
        <f t="shared" si="0"/>
        <v>EnWin Utilities Ltd.</v>
      </c>
    </row>
    <row r="16" spans="1:14" x14ac:dyDescent="0.3">
      <c r="A16" t="s">
        <v>599</v>
      </c>
      <c r="H16" t="s">
        <v>231</v>
      </c>
      <c r="N16" t="str">
        <f t="shared" si="0"/>
        <v>Erie Thames Powerlines Corporation</v>
      </c>
    </row>
    <row r="17" spans="1:14" x14ac:dyDescent="0.3">
      <c r="A17" t="s">
        <v>231</v>
      </c>
      <c r="H17" t="s">
        <v>197</v>
      </c>
      <c r="N17" t="str">
        <f t="shared" si="0"/>
        <v>Espanola Regional Hydro Distribution Corporation</v>
      </c>
    </row>
    <row r="18" spans="1:14" x14ac:dyDescent="0.3">
      <c r="A18" t="s">
        <v>197</v>
      </c>
      <c r="H18" t="s">
        <v>175</v>
      </c>
      <c r="N18" t="str">
        <f t="shared" si="0"/>
        <v>Essex Powerlines Corporation</v>
      </c>
    </row>
    <row r="19" spans="1:14" x14ac:dyDescent="0.3">
      <c r="A19" t="s">
        <v>175</v>
      </c>
      <c r="H19" t="s">
        <v>176</v>
      </c>
      <c r="N19" t="str">
        <f t="shared" si="0"/>
        <v>Festival Hydro Inc.</v>
      </c>
    </row>
    <row r="20" spans="1:14" x14ac:dyDescent="0.3">
      <c r="A20" t="s">
        <v>176</v>
      </c>
      <c r="H20" t="s">
        <v>177</v>
      </c>
      <c r="N20" t="str">
        <f t="shared" si="0"/>
        <v>Fort Frances Power Corporation</v>
      </c>
    </row>
    <row r="21" spans="1:14" x14ac:dyDescent="0.3">
      <c r="A21" t="s">
        <v>177</v>
      </c>
      <c r="H21" t="s">
        <v>160</v>
      </c>
      <c r="N21" t="str">
        <f t="shared" si="0"/>
        <v>Greater Sudbury Hydro Inc.</v>
      </c>
    </row>
    <row r="22" spans="1:14" x14ac:dyDescent="0.3">
      <c r="A22" t="s">
        <v>160</v>
      </c>
      <c r="H22" t="s">
        <v>600</v>
      </c>
      <c r="N22" t="str">
        <f t="shared" si="0"/>
        <v>Grimsby Power Incorporated</v>
      </c>
    </row>
    <row r="23" spans="1:14" x14ac:dyDescent="0.3">
      <c r="A23" t="s">
        <v>600</v>
      </c>
      <c r="H23" t="s">
        <v>198</v>
      </c>
      <c r="N23" t="str">
        <f t="shared" si="0"/>
        <v>Guelph Hydro Electric Systems Inc.</v>
      </c>
    </row>
    <row r="24" spans="1:14" x14ac:dyDescent="0.3">
      <c r="A24" t="s">
        <v>198</v>
      </c>
      <c r="H24" t="s">
        <v>199</v>
      </c>
      <c r="N24" t="str">
        <f t="shared" si="0"/>
        <v>Halton Hills Hydro Inc.</v>
      </c>
    </row>
    <row r="25" spans="1:14" x14ac:dyDescent="0.3">
      <c r="A25" t="s">
        <v>178</v>
      </c>
      <c r="H25" t="s">
        <v>200</v>
      </c>
      <c r="N25" t="str">
        <f t="shared" si="0"/>
        <v>Hydro 2000 Inc.</v>
      </c>
    </row>
    <row r="26" spans="1:14" x14ac:dyDescent="0.3">
      <c r="A26" t="s">
        <v>199</v>
      </c>
      <c r="H26" t="s">
        <v>179</v>
      </c>
      <c r="N26" t="str">
        <f t="shared" si="0"/>
        <v>Hydro Hawkesbury Inc.</v>
      </c>
    </row>
    <row r="27" spans="1:14" x14ac:dyDescent="0.3">
      <c r="A27" t="s">
        <v>232</v>
      </c>
      <c r="H27" t="s">
        <v>162</v>
      </c>
      <c r="N27" t="str">
        <f t="shared" si="0"/>
        <v>Hydro One Brampton Networks Inc.</v>
      </c>
    </row>
    <row r="28" spans="1:14" x14ac:dyDescent="0.3">
      <c r="A28" t="s">
        <v>161</v>
      </c>
      <c r="H28" t="s">
        <v>601</v>
      </c>
      <c r="N28" t="str">
        <f t="shared" si="0"/>
        <v>Hydro One Remote Communities Inc.</v>
      </c>
    </row>
    <row r="29" spans="1:14" x14ac:dyDescent="0.3">
      <c r="A29" t="s">
        <v>200</v>
      </c>
      <c r="H29" t="s">
        <v>201</v>
      </c>
      <c r="N29" t="str">
        <f t="shared" si="0"/>
        <v>Hydro Ottawa Limited</v>
      </c>
    </row>
    <row r="30" spans="1:14" x14ac:dyDescent="0.3">
      <c r="A30" t="s">
        <v>179</v>
      </c>
      <c r="H30" t="s">
        <v>602</v>
      </c>
      <c r="N30" t="str">
        <f t="shared" si="0"/>
        <v>Innpower Corporation</v>
      </c>
    </row>
    <row r="31" spans="1:14" x14ac:dyDescent="0.3">
      <c r="A31" t="s">
        <v>162</v>
      </c>
      <c r="H31" t="s">
        <v>163</v>
      </c>
      <c r="N31" t="str">
        <f t="shared" si="0"/>
        <v>Kenora Hydro Electric Corporation Ltd.</v>
      </c>
    </row>
    <row r="32" spans="1:14" x14ac:dyDescent="0.3">
      <c r="A32" t="s">
        <v>207</v>
      </c>
      <c r="H32" t="s">
        <v>159</v>
      </c>
      <c r="N32" t="str">
        <f t="shared" si="0"/>
        <v>Kingston Hydro Corporation</v>
      </c>
    </row>
    <row r="33" spans="1:14" x14ac:dyDescent="0.3">
      <c r="A33" t="s">
        <v>601</v>
      </c>
      <c r="H33" t="s">
        <v>180</v>
      </c>
      <c r="N33" t="str">
        <f t="shared" si="0"/>
        <v>Kitchener-Wilmot Hydro Inc.</v>
      </c>
    </row>
    <row r="34" spans="1:14" x14ac:dyDescent="0.3">
      <c r="A34" t="s">
        <v>201</v>
      </c>
      <c r="H34" t="s">
        <v>202</v>
      </c>
      <c r="N34" t="str">
        <f t="shared" si="0"/>
        <v>Lakefront Utilities Inc.</v>
      </c>
    </row>
    <row r="35" spans="1:14" x14ac:dyDescent="0.3">
      <c r="A35" t="s">
        <v>602</v>
      </c>
      <c r="H35" t="s">
        <v>181</v>
      </c>
      <c r="N35" t="str">
        <f t="shared" si="0"/>
        <v>Lakeland Power Distribution Ltd.</v>
      </c>
    </row>
    <row r="36" spans="1:14" x14ac:dyDescent="0.3">
      <c r="A36" t="s">
        <v>163</v>
      </c>
      <c r="H36" t="s">
        <v>182</v>
      </c>
      <c r="N36" t="str">
        <f t="shared" si="0"/>
        <v>London Hydro Inc.</v>
      </c>
    </row>
    <row r="37" spans="1:14" x14ac:dyDescent="0.3">
      <c r="A37" t="s">
        <v>159</v>
      </c>
      <c r="H37" t="s">
        <v>183</v>
      </c>
      <c r="N37" t="str">
        <f t="shared" si="0"/>
        <v>Midland Power Utility Corporation</v>
      </c>
    </row>
    <row r="38" spans="1:14" x14ac:dyDescent="0.3">
      <c r="A38" t="s">
        <v>180</v>
      </c>
      <c r="H38" t="s">
        <v>429</v>
      </c>
      <c r="N38" t="str">
        <f t="shared" si="0"/>
        <v>Milton Hydro Distribution Inc.</v>
      </c>
    </row>
    <row r="39" spans="1:14" x14ac:dyDescent="0.3">
      <c r="A39" t="s">
        <v>202</v>
      </c>
      <c r="H39" t="s">
        <v>184</v>
      </c>
      <c r="N39" t="str">
        <f t="shared" si="0"/>
        <v>Niagara-on-the-Lake Hydro Inc.</v>
      </c>
    </row>
    <row r="40" spans="1:14" x14ac:dyDescent="0.3">
      <c r="A40" t="s">
        <v>181</v>
      </c>
      <c r="H40" t="s">
        <v>418</v>
      </c>
      <c r="N40" t="str">
        <f t="shared" si="0"/>
        <v>Niagara Peninsula Energy Inc.</v>
      </c>
    </row>
    <row r="41" spans="1:14" x14ac:dyDescent="0.3">
      <c r="A41" t="s">
        <v>182</v>
      </c>
      <c r="H41" t="s">
        <v>186</v>
      </c>
      <c r="N41" t="str">
        <f t="shared" si="0"/>
        <v>Northern Ontario Wires Inc.</v>
      </c>
    </row>
    <row r="42" spans="1:14" x14ac:dyDescent="0.3">
      <c r="A42" t="s">
        <v>183</v>
      </c>
      <c r="H42" t="s">
        <v>234</v>
      </c>
      <c r="N42" t="str">
        <f t="shared" si="0"/>
        <v>Oakville Hydro Electricity Distribution Inc.</v>
      </c>
    </row>
    <row r="43" spans="1:14" x14ac:dyDescent="0.3">
      <c r="A43" t="s">
        <v>429</v>
      </c>
      <c r="H43" t="s">
        <v>142</v>
      </c>
      <c r="N43" t="str">
        <f t="shared" si="0"/>
        <v>Orangeville Hydro Limited</v>
      </c>
    </row>
    <row r="44" spans="1:14" x14ac:dyDescent="0.3">
      <c r="A44" t="s">
        <v>621</v>
      </c>
      <c r="H44" t="s">
        <v>235</v>
      </c>
      <c r="N44" t="str">
        <f t="shared" si="0"/>
        <v>Orillia Power Distribution Corporation</v>
      </c>
    </row>
    <row r="45" spans="1:14" x14ac:dyDescent="0.3">
      <c r="A45" t="s">
        <v>418</v>
      </c>
      <c r="H45" t="s">
        <v>236</v>
      </c>
      <c r="N45" t="str">
        <f t="shared" si="0"/>
        <v>Peterborough Distribution Incorporated</v>
      </c>
    </row>
    <row r="46" spans="1:14" x14ac:dyDescent="0.3">
      <c r="A46" t="s">
        <v>184</v>
      </c>
      <c r="H46" t="s">
        <v>419</v>
      </c>
      <c r="N46" t="str">
        <f t="shared" si="0"/>
        <v>PowerStream Inc.</v>
      </c>
    </row>
    <row r="47" spans="1:14" x14ac:dyDescent="0.3">
      <c r="A47" t="s">
        <v>233</v>
      </c>
      <c r="H47" t="s">
        <v>188</v>
      </c>
      <c r="N47" t="str">
        <f t="shared" si="0"/>
        <v>PUC Distribution Inc.</v>
      </c>
    </row>
    <row r="48" spans="1:14" x14ac:dyDescent="0.3">
      <c r="A48" t="s">
        <v>185</v>
      </c>
      <c r="H48" t="s">
        <v>189</v>
      </c>
      <c r="N48" t="str">
        <f t="shared" si="0"/>
        <v>Renfrew Hydro Inc.</v>
      </c>
    </row>
    <row r="49" spans="1:14" x14ac:dyDescent="0.3">
      <c r="A49" t="s">
        <v>186</v>
      </c>
      <c r="H49" t="s">
        <v>204</v>
      </c>
      <c r="N49" t="str">
        <f t="shared" si="0"/>
        <v>Rideau St. Lawrence Distribution Inc.</v>
      </c>
    </row>
    <row r="50" spans="1:14" x14ac:dyDescent="0.3">
      <c r="A50" t="s">
        <v>234</v>
      </c>
      <c r="H50" t="s">
        <v>190</v>
      </c>
      <c r="N50" t="str">
        <f t="shared" si="0"/>
        <v>Sioux Lookout Hydro Inc.</v>
      </c>
    </row>
    <row r="51" spans="1:14" x14ac:dyDescent="0.3">
      <c r="A51" t="s">
        <v>142</v>
      </c>
      <c r="H51" t="s">
        <v>237</v>
      </c>
      <c r="N51" t="str">
        <f t="shared" si="0"/>
        <v>Thunder Bay Hydro Electricity Distribution Inc.</v>
      </c>
    </row>
    <row r="52" spans="1:14" x14ac:dyDescent="0.3">
      <c r="A52" t="s">
        <v>235</v>
      </c>
      <c r="H52" t="s">
        <v>191</v>
      </c>
      <c r="N52" t="str">
        <f t="shared" si="0"/>
        <v>Tillsonburg Hydro Inc.</v>
      </c>
    </row>
    <row r="53" spans="1:14" x14ac:dyDescent="0.3">
      <c r="A53" t="s">
        <v>203</v>
      </c>
      <c r="H53" t="s">
        <v>205</v>
      </c>
      <c r="N53" t="str">
        <f t="shared" si="0"/>
        <v>Veridian Connections Inc.</v>
      </c>
    </row>
    <row r="54" spans="1:14" x14ac:dyDescent="0.3">
      <c r="A54" t="s">
        <v>187</v>
      </c>
      <c r="H54" t="s">
        <v>166</v>
      </c>
      <c r="N54" t="str">
        <f t="shared" si="0"/>
        <v>Wasaga Distribution Inc.</v>
      </c>
    </row>
    <row r="55" spans="1:14" x14ac:dyDescent="0.3">
      <c r="A55" t="s">
        <v>236</v>
      </c>
      <c r="H55" t="s">
        <v>167</v>
      </c>
      <c r="N55" t="str">
        <f t="shared" si="0"/>
        <v>Waterloo North Hydro Inc.</v>
      </c>
    </row>
    <row r="56" spans="1:14" x14ac:dyDescent="0.3">
      <c r="A56" t="s">
        <v>419</v>
      </c>
      <c r="H56" t="s">
        <v>238</v>
      </c>
      <c r="N56" t="str">
        <f t="shared" si="0"/>
        <v>Welland Hydro-Electric System Corp.</v>
      </c>
    </row>
    <row r="57" spans="1:14" x14ac:dyDescent="0.3">
      <c r="A57" t="s">
        <v>188</v>
      </c>
      <c r="H57" t="s">
        <v>206</v>
      </c>
      <c r="N57" t="str">
        <f t="shared" si="0"/>
        <v>Wellington North Power Inc.</v>
      </c>
    </row>
    <row r="58" spans="1:14" x14ac:dyDescent="0.3">
      <c r="A58" t="s">
        <v>189</v>
      </c>
      <c r="H58" t="s">
        <v>192</v>
      </c>
      <c r="N58" t="str">
        <f t="shared" si="0"/>
        <v>West Coast Huron Energy Inc.</v>
      </c>
    </row>
    <row r="59" spans="1:14" x14ac:dyDescent="0.3">
      <c r="A59" t="s">
        <v>204</v>
      </c>
      <c r="H59" t="s">
        <v>193</v>
      </c>
      <c r="N59" t="str">
        <f t="shared" si="0"/>
        <v>Westario Power Inc.</v>
      </c>
    </row>
    <row r="60" spans="1:14" x14ac:dyDescent="0.3">
      <c r="A60" t="s">
        <v>190</v>
      </c>
      <c r="H60" t="s">
        <v>194</v>
      </c>
      <c r="N60" t="str">
        <f t="shared" si="0"/>
        <v>Whitby Hydro Electric Corporation</v>
      </c>
    </row>
    <row r="61" spans="1:14" x14ac:dyDescent="0.3">
      <c r="A61" t="s">
        <v>164</v>
      </c>
    </row>
    <row r="62" spans="1:14" x14ac:dyDescent="0.3">
      <c r="A62" t="s">
        <v>237</v>
      </c>
    </row>
    <row r="63" spans="1:14" x14ac:dyDescent="0.3">
      <c r="A63" t="s">
        <v>191</v>
      </c>
    </row>
    <row r="64" spans="1:14" x14ac:dyDescent="0.3">
      <c r="A64" t="s">
        <v>165</v>
      </c>
    </row>
    <row r="65" spans="1:1" x14ac:dyDescent="0.3">
      <c r="A65" t="s">
        <v>205</v>
      </c>
    </row>
    <row r="66" spans="1:1" x14ac:dyDescent="0.3">
      <c r="A66" t="s">
        <v>166</v>
      </c>
    </row>
    <row r="67" spans="1:1" x14ac:dyDescent="0.3">
      <c r="A67" t="s">
        <v>167</v>
      </c>
    </row>
    <row r="68" spans="1:1" x14ac:dyDescent="0.3">
      <c r="A68" t="s">
        <v>238</v>
      </c>
    </row>
    <row r="69" spans="1:1" x14ac:dyDescent="0.3">
      <c r="A69" t="s">
        <v>206</v>
      </c>
    </row>
    <row r="70" spans="1:1" x14ac:dyDescent="0.3">
      <c r="A70" t="s">
        <v>192</v>
      </c>
    </row>
    <row r="71" spans="1:1" x14ac:dyDescent="0.3">
      <c r="A71" t="s">
        <v>193</v>
      </c>
    </row>
    <row r="72" spans="1:1" x14ac:dyDescent="0.3">
      <c r="A72" t="s">
        <v>194</v>
      </c>
    </row>
    <row r="73" spans="1:1" x14ac:dyDescent="0.3">
      <c r="A73" t="s">
        <v>168</v>
      </c>
    </row>
  </sheetData>
  <sheetProtection algorithmName="SHA-512" hashValue="Pv3cDWt3EdKkDHwAJ2WZV6xXpHD+YGOY/aq/x6rqUdgUaF5Rv36N9Z+8si+yBcSNDsB1gQ2ne8C6G63lfnu+JQ==" saltValue="T7a41KN9weOA27brq46jM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7"/>
  <dimension ref="A1:C69"/>
  <sheetViews>
    <sheetView topLeftCell="A58" workbookViewId="0">
      <selection activeCell="C17" sqref="C17"/>
    </sheetView>
  </sheetViews>
  <sheetFormatPr defaultRowHeight="14.4" x14ac:dyDescent="0.3"/>
  <cols>
    <col min="1" max="1" width="54.6640625" customWidth="1"/>
    <col min="2" max="2" width="59.33203125" customWidth="1"/>
    <col min="3" max="3" width="54.33203125" customWidth="1"/>
  </cols>
  <sheetData>
    <row r="1" spans="1:3" x14ac:dyDescent="0.3">
      <c r="A1" s="1" t="s">
        <v>158</v>
      </c>
      <c r="B1" s="392" t="s">
        <v>158</v>
      </c>
      <c r="C1" t="s">
        <v>2027</v>
      </c>
    </row>
    <row r="2" spans="1:3" x14ac:dyDescent="0.3">
      <c r="A2" s="1" t="s">
        <v>195</v>
      </c>
      <c r="B2" s="392" t="s">
        <v>195</v>
      </c>
      <c r="C2" t="s">
        <v>2027</v>
      </c>
    </row>
    <row r="3" spans="1:3" x14ac:dyDescent="0.3">
      <c r="A3" s="1" t="s">
        <v>228</v>
      </c>
      <c r="B3" s="392" t="s">
        <v>170</v>
      </c>
      <c r="C3" t="s">
        <v>2027</v>
      </c>
    </row>
    <row r="4" spans="1:3" x14ac:dyDescent="0.3">
      <c r="A4" s="1" t="s">
        <v>229</v>
      </c>
      <c r="B4" s="392" t="s">
        <v>228</v>
      </c>
      <c r="C4" t="s">
        <v>2027</v>
      </c>
    </row>
    <row r="5" spans="1:3" x14ac:dyDescent="0.3">
      <c r="A5" s="1" t="s">
        <v>169</v>
      </c>
      <c r="B5" s="392" t="s">
        <v>229</v>
      </c>
      <c r="C5" t="s">
        <v>2027</v>
      </c>
    </row>
    <row r="6" spans="1:3" x14ac:dyDescent="0.3">
      <c r="A6" s="1" t="s">
        <v>170</v>
      </c>
      <c r="B6" s="392" t="s">
        <v>169</v>
      </c>
      <c r="C6" t="s">
        <v>2027</v>
      </c>
    </row>
    <row r="7" spans="1:3" x14ac:dyDescent="0.3">
      <c r="A7" s="1" t="s">
        <v>230</v>
      </c>
      <c r="B7" s="392" t="s">
        <v>230</v>
      </c>
      <c r="C7" t="s">
        <v>2027</v>
      </c>
    </row>
    <row r="8" spans="1:3" x14ac:dyDescent="0.3">
      <c r="A8" s="1" t="s">
        <v>415</v>
      </c>
      <c r="B8" s="392" t="s">
        <v>415</v>
      </c>
      <c r="C8" t="s">
        <v>2027</v>
      </c>
    </row>
    <row r="9" spans="1:3" x14ac:dyDescent="0.3">
      <c r="A9" s="1" t="s">
        <v>171</v>
      </c>
      <c r="B9" s="392" t="s">
        <v>171</v>
      </c>
      <c r="C9" t="s">
        <v>2027</v>
      </c>
    </row>
    <row r="10" spans="1:3" x14ac:dyDescent="0.3">
      <c r="A10" s="1" t="s">
        <v>196</v>
      </c>
      <c r="B10" s="392" t="s">
        <v>598</v>
      </c>
      <c r="C10" t="s">
        <v>2027</v>
      </c>
    </row>
    <row r="11" spans="1:3" x14ac:dyDescent="0.3">
      <c r="A11" s="1" t="s">
        <v>598</v>
      </c>
      <c r="B11" s="392" t="s">
        <v>172</v>
      </c>
      <c r="C11" t="s">
        <v>2027</v>
      </c>
    </row>
    <row r="12" spans="1:3" x14ac:dyDescent="0.3">
      <c r="A12" s="1" t="s">
        <v>172</v>
      </c>
      <c r="B12" s="392" t="s">
        <v>173</v>
      </c>
      <c r="C12" t="s">
        <v>2027</v>
      </c>
    </row>
    <row r="13" spans="1:3" x14ac:dyDescent="0.3">
      <c r="A13" s="1" t="s">
        <v>173</v>
      </c>
      <c r="B13" s="392" t="s">
        <v>174</v>
      </c>
      <c r="C13" t="s">
        <v>2027</v>
      </c>
    </row>
    <row r="14" spans="1:3" x14ac:dyDescent="0.3">
      <c r="A14" s="1" t="s">
        <v>174</v>
      </c>
      <c r="B14" s="392" t="s">
        <v>416</v>
      </c>
      <c r="C14" t="s">
        <v>2027</v>
      </c>
    </row>
    <row r="15" spans="1:3" x14ac:dyDescent="0.3">
      <c r="A15" s="1" t="s">
        <v>416</v>
      </c>
      <c r="B15" s="392" t="s">
        <v>599</v>
      </c>
      <c r="C15" t="s">
        <v>2027</v>
      </c>
    </row>
    <row r="16" spans="1:3" x14ac:dyDescent="0.3">
      <c r="A16" s="1" t="s">
        <v>599</v>
      </c>
      <c r="B16" s="392" t="s">
        <v>231</v>
      </c>
      <c r="C16" t="s">
        <v>2027</v>
      </c>
    </row>
    <row r="17" spans="1:3" x14ac:dyDescent="0.3">
      <c r="A17" s="1" t="s">
        <v>231</v>
      </c>
      <c r="B17" s="392" t="s">
        <v>175</v>
      </c>
      <c r="C17" t="s">
        <v>2027</v>
      </c>
    </row>
    <row r="18" spans="1:3" x14ac:dyDescent="0.3">
      <c r="A18" s="1" t="s">
        <v>197</v>
      </c>
      <c r="B18" s="392" t="s">
        <v>176</v>
      </c>
      <c r="C18" t="s">
        <v>2027</v>
      </c>
    </row>
    <row r="19" spans="1:3" x14ac:dyDescent="0.3">
      <c r="A19" s="1" t="s">
        <v>175</v>
      </c>
      <c r="B19" s="392" t="s">
        <v>177</v>
      </c>
      <c r="C19" t="s">
        <v>2027</v>
      </c>
    </row>
    <row r="20" spans="1:3" x14ac:dyDescent="0.3">
      <c r="A20" s="1" t="s">
        <v>176</v>
      </c>
      <c r="B20" s="392" t="s">
        <v>160</v>
      </c>
      <c r="C20" t="s">
        <v>2027</v>
      </c>
    </row>
    <row r="21" spans="1:3" x14ac:dyDescent="0.3">
      <c r="A21" s="1" t="s">
        <v>177</v>
      </c>
      <c r="B21" s="392" t="s">
        <v>198</v>
      </c>
      <c r="C21" t="s">
        <v>2027</v>
      </c>
    </row>
    <row r="22" spans="1:3" x14ac:dyDescent="0.3">
      <c r="A22" s="1" t="s">
        <v>160</v>
      </c>
      <c r="B22" s="392" t="s">
        <v>199</v>
      </c>
      <c r="C22" t="s">
        <v>2027</v>
      </c>
    </row>
    <row r="23" spans="1:3" x14ac:dyDescent="0.3">
      <c r="A23" s="1" t="s">
        <v>600</v>
      </c>
      <c r="B23" s="392" t="s">
        <v>1949</v>
      </c>
      <c r="C23" t="s">
        <v>2027</v>
      </c>
    </row>
    <row r="24" spans="1:3" x14ac:dyDescent="0.3">
      <c r="A24" s="1" t="s">
        <v>198</v>
      </c>
      <c r="B24" s="392" t="s">
        <v>161</v>
      </c>
      <c r="C24" t="s">
        <v>2027</v>
      </c>
    </row>
    <row r="25" spans="1:3" x14ac:dyDescent="0.3">
      <c r="A25" s="1" t="s">
        <v>199</v>
      </c>
      <c r="B25" s="392" t="s">
        <v>200</v>
      </c>
      <c r="C25" t="s">
        <v>2027</v>
      </c>
    </row>
    <row r="26" spans="1:3" x14ac:dyDescent="0.3">
      <c r="A26" s="1" t="s">
        <v>1949</v>
      </c>
      <c r="B26" s="392" t="s">
        <v>179</v>
      </c>
      <c r="C26" t="s">
        <v>2027</v>
      </c>
    </row>
    <row r="27" spans="1:3" x14ac:dyDescent="0.3">
      <c r="A27" s="1" t="s">
        <v>161</v>
      </c>
      <c r="B27" s="392" t="s">
        <v>162</v>
      </c>
      <c r="C27" t="s">
        <v>2027</v>
      </c>
    </row>
    <row r="28" spans="1:3" x14ac:dyDescent="0.3">
      <c r="A28" s="1" t="s">
        <v>200</v>
      </c>
      <c r="B28" s="392" t="s">
        <v>2015</v>
      </c>
    </row>
    <row r="29" spans="1:3" x14ac:dyDescent="0.3">
      <c r="A29" s="1" t="s">
        <v>179</v>
      </c>
      <c r="B29" s="392" t="s">
        <v>2018</v>
      </c>
    </row>
    <row r="30" spans="1:3" x14ac:dyDescent="0.3">
      <c r="A30" s="1" t="s">
        <v>162</v>
      </c>
      <c r="B30" s="392" t="s">
        <v>2017</v>
      </c>
    </row>
    <row r="31" spans="1:3" x14ac:dyDescent="0.3">
      <c r="A31" s="1" t="s">
        <v>601</v>
      </c>
      <c r="B31" s="392" t="s">
        <v>601</v>
      </c>
      <c r="C31" t="s">
        <v>2027</v>
      </c>
    </row>
    <row r="32" spans="1:3" x14ac:dyDescent="0.3">
      <c r="A32" s="1" t="s">
        <v>201</v>
      </c>
      <c r="B32" s="392" t="s">
        <v>201</v>
      </c>
      <c r="C32" t="s">
        <v>2027</v>
      </c>
    </row>
    <row r="33" spans="1:3" x14ac:dyDescent="0.3">
      <c r="A33" s="1" t="s">
        <v>602</v>
      </c>
      <c r="B33" s="392" t="s">
        <v>1950</v>
      </c>
      <c r="C33" t="s">
        <v>2027</v>
      </c>
    </row>
    <row r="34" spans="1:3" x14ac:dyDescent="0.3">
      <c r="A34" s="1" t="s">
        <v>163</v>
      </c>
      <c r="B34" s="392" t="s">
        <v>163</v>
      </c>
      <c r="C34" t="s">
        <v>2027</v>
      </c>
    </row>
    <row r="35" spans="1:3" x14ac:dyDescent="0.3">
      <c r="A35" s="1" t="s">
        <v>159</v>
      </c>
      <c r="B35" s="392" t="s">
        <v>159</v>
      </c>
      <c r="C35" t="s">
        <v>2027</v>
      </c>
    </row>
    <row r="36" spans="1:3" x14ac:dyDescent="0.3">
      <c r="A36" s="1" t="s">
        <v>180</v>
      </c>
      <c r="B36" s="392" t="s">
        <v>180</v>
      </c>
      <c r="C36" t="s">
        <v>2027</v>
      </c>
    </row>
    <row r="37" spans="1:3" x14ac:dyDescent="0.3">
      <c r="A37" s="1" t="s">
        <v>202</v>
      </c>
      <c r="B37" s="392" t="s">
        <v>202</v>
      </c>
      <c r="C37" t="s">
        <v>2027</v>
      </c>
    </row>
    <row r="38" spans="1:3" x14ac:dyDescent="0.3">
      <c r="A38" s="1" t="s">
        <v>181</v>
      </c>
      <c r="B38" s="392" t="s">
        <v>181</v>
      </c>
      <c r="C38" t="s">
        <v>2027</v>
      </c>
    </row>
    <row r="39" spans="1:3" x14ac:dyDescent="0.3">
      <c r="A39" s="1" t="s">
        <v>182</v>
      </c>
      <c r="B39" s="392" t="s">
        <v>182</v>
      </c>
      <c r="C39" t="s">
        <v>2027</v>
      </c>
    </row>
    <row r="40" spans="1:3" x14ac:dyDescent="0.3">
      <c r="A40" s="1" t="s">
        <v>183</v>
      </c>
      <c r="B40" s="392" t="s">
        <v>183</v>
      </c>
      <c r="C40" t="s">
        <v>2027</v>
      </c>
    </row>
    <row r="41" spans="1:3" x14ac:dyDescent="0.3">
      <c r="A41" s="1" t="s">
        <v>429</v>
      </c>
      <c r="B41" s="392" t="s">
        <v>417</v>
      </c>
      <c r="C41" t="s">
        <v>2027</v>
      </c>
    </row>
    <row r="42" spans="1:3" x14ac:dyDescent="0.3">
      <c r="A42" s="1" t="s">
        <v>417</v>
      </c>
      <c r="B42" s="392" t="s">
        <v>418</v>
      </c>
      <c r="C42" t="s">
        <v>2027</v>
      </c>
    </row>
    <row r="43" spans="1:3" x14ac:dyDescent="0.3">
      <c r="A43" s="1" t="s">
        <v>418</v>
      </c>
      <c r="B43" s="392" t="s">
        <v>184</v>
      </c>
      <c r="C43" t="s">
        <v>2027</v>
      </c>
    </row>
    <row r="44" spans="1:3" x14ac:dyDescent="0.3">
      <c r="A44" s="1" t="s">
        <v>184</v>
      </c>
      <c r="B44" s="392" t="s">
        <v>185</v>
      </c>
      <c r="C44" t="s">
        <v>2027</v>
      </c>
    </row>
    <row r="45" spans="1:3" x14ac:dyDescent="0.3">
      <c r="A45" s="506" t="s">
        <v>185</v>
      </c>
      <c r="B45" s="392" t="s">
        <v>186</v>
      </c>
      <c r="C45" t="s">
        <v>2027</v>
      </c>
    </row>
    <row r="46" spans="1:3" x14ac:dyDescent="0.3">
      <c r="A46" s="1" t="s">
        <v>186</v>
      </c>
      <c r="B46" s="392" t="s">
        <v>234</v>
      </c>
      <c r="C46" t="s">
        <v>2027</v>
      </c>
    </row>
    <row r="47" spans="1:3" x14ac:dyDescent="0.3">
      <c r="A47" s="1" t="s">
        <v>234</v>
      </c>
      <c r="B47" s="392" t="s">
        <v>142</v>
      </c>
      <c r="C47" t="s">
        <v>2027</v>
      </c>
    </row>
    <row r="48" spans="1:3" x14ac:dyDescent="0.3">
      <c r="A48" s="1" t="s">
        <v>142</v>
      </c>
      <c r="B48" s="392" t="s">
        <v>235</v>
      </c>
      <c r="C48" t="s">
        <v>2027</v>
      </c>
    </row>
    <row r="49" spans="1:3" x14ac:dyDescent="0.3">
      <c r="A49" s="1" t="s">
        <v>235</v>
      </c>
      <c r="B49" s="392" t="s">
        <v>203</v>
      </c>
      <c r="C49" t="s">
        <v>2027</v>
      </c>
    </row>
    <row r="50" spans="1:3" x14ac:dyDescent="0.3">
      <c r="A50" s="1" t="s">
        <v>203</v>
      </c>
      <c r="B50" s="392" t="s">
        <v>236</v>
      </c>
      <c r="C50" t="s">
        <v>2027</v>
      </c>
    </row>
    <row r="51" spans="1:3" x14ac:dyDescent="0.3">
      <c r="A51" s="506" t="s">
        <v>187</v>
      </c>
      <c r="B51" s="392" t="s">
        <v>188</v>
      </c>
      <c r="C51" t="s">
        <v>2027</v>
      </c>
    </row>
    <row r="52" spans="1:3" x14ac:dyDescent="0.3">
      <c r="A52" s="1" t="s">
        <v>236</v>
      </c>
      <c r="B52" s="392" t="s">
        <v>190</v>
      </c>
      <c r="C52" t="s">
        <v>2027</v>
      </c>
    </row>
    <row r="53" spans="1:3" x14ac:dyDescent="0.3">
      <c r="A53" s="1" t="s">
        <v>419</v>
      </c>
      <c r="B53" s="392" t="s">
        <v>164</v>
      </c>
      <c r="C53" t="s">
        <v>2027</v>
      </c>
    </row>
    <row r="54" spans="1:3" x14ac:dyDescent="0.3">
      <c r="A54" s="1" t="s">
        <v>188</v>
      </c>
      <c r="B54" s="392" t="s">
        <v>237</v>
      </c>
      <c r="C54" t="s">
        <v>2027</v>
      </c>
    </row>
    <row r="55" spans="1:3" x14ac:dyDescent="0.3">
      <c r="A55" s="1" t="s">
        <v>189</v>
      </c>
      <c r="B55" s="392" t="s">
        <v>191</v>
      </c>
      <c r="C55" t="s">
        <v>2027</v>
      </c>
    </row>
    <row r="56" spans="1:3" x14ac:dyDescent="0.3">
      <c r="A56" s="1" t="s">
        <v>204</v>
      </c>
      <c r="B56" s="392" t="s">
        <v>165</v>
      </c>
      <c r="C56" t="s">
        <v>2027</v>
      </c>
    </row>
    <row r="57" spans="1:3" x14ac:dyDescent="0.3">
      <c r="A57" s="1" t="s">
        <v>190</v>
      </c>
      <c r="B57" s="392" t="s">
        <v>205</v>
      </c>
      <c r="C57" t="s">
        <v>2027</v>
      </c>
    </row>
    <row r="58" spans="1:3" x14ac:dyDescent="0.3">
      <c r="A58" s="1" t="s">
        <v>164</v>
      </c>
      <c r="B58" s="392" t="s">
        <v>166</v>
      </c>
      <c r="C58" t="s">
        <v>2027</v>
      </c>
    </row>
    <row r="59" spans="1:3" x14ac:dyDescent="0.3">
      <c r="A59" s="1" t="s">
        <v>237</v>
      </c>
      <c r="B59" s="392" t="s">
        <v>167</v>
      </c>
      <c r="C59" t="s">
        <v>2027</v>
      </c>
    </row>
    <row r="60" spans="1:3" x14ac:dyDescent="0.3">
      <c r="A60" s="1" t="s">
        <v>191</v>
      </c>
      <c r="B60" s="392" t="s">
        <v>238</v>
      </c>
      <c r="C60" t="s">
        <v>2027</v>
      </c>
    </row>
    <row r="61" spans="1:3" x14ac:dyDescent="0.3">
      <c r="A61" s="1" t="s">
        <v>165</v>
      </c>
      <c r="B61" s="392" t="s">
        <v>206</v>
      </c>
      <c r="C61" t="s">
        <v>2027</v>
      </c>
    </row>
    <row r="62" spans="1:3" x14ac:dyDescent="0.3">
      <c r="A62" s="1" t="s">
        <v>205</v>
      </c>
      <c r="B62" s="392" t="s">
        <v>192</v>
      </c>
      <c r="C62" t="s">
        <v>2027</v>
      </c>
    </row>
    <row r="63" spans="1:3" x14ac:dyDescent="0.3">
      <c r="A63" s="1" t="s">
        <v>166</v>
      </c>
      <c r="B63" s="392" t="s">
        <v>193</v>
      </c>
      <c r="C63" t="s">
        <v>2027</v>
      </c>
    </row>
    <row r="64" spans="1:3" x14ac:dyDescent="0.3">
      <c r="A64" s="1" t="s">
        <v>167</v>
      </c>
      <c r="B64" s="392" t="s">
        <v>194</v>
      </c>
      <c r="C64" t="s">
        <v>2027</v>
      </c>
    </row>
    <row r="65" spans="1:1" x14ac:dyDescent="0.3">
      <c r="A65" s="1" t="s">
        <v>238</v>
      </c>
    </row>
    <row r="66" spans="1:1" x14ac:dyDescent="0.3">
      <c r="A66" s="1" t="s">
        <v>206</v>
      </c>
    </row>
    <row r="67" spans="1:1" x14ac:dyDescent="0.3">
      <c r="A67" s="1" t="s">
        <v>192</v>
      </c>
    </row>
    <row r="68" spans="1:1" x14ac:dyDescent="0.3">
      <c r="A68" s="1" t="s">
        <v>193</v>
      </c>
    </row>
    <row r="69" spans="1:1" x14ac:dyDescent="0.3">
      <c r="A69" s="1" t="s">
        <v>194</v>
      </c>
    </row>
  </sheetData>
  <sheetProtection algorithmName="SHA-512" hashValue="BrZ/toa0r8HJm033yURyOE9uaeBME924cGZMinM5W2DXU4OtKjOxyGoGV1R15+h7JfisN8zsRfiResrVjmcEnw==" saltValue="j6/h0OS0O1qJb3TnwLinU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BL587"/>
  <sheetViews>
    <sheetView showGridLines="0" view="pageBreakPreview" topLeftCell="A25" zoomScale="115" zoomScaleNormal="100" zoomScaleSheetLayoutView="115" workbookViewId="0">
      <selection activeCell="BC9" sqref="BC9:BE9"/>
    </sheetView>
  </sheetViews>
  <sheetFormatPr defaultRowHeight="14.4" x14ac:dyDescent="0.3"/>
  <cols>
    <col min="1" max="1" width="3.6640625" customWidth="1"/>
    <col min="2" max="2" width="58.33203125" customWidth="1"/>
    <col min="3" max="3" width="16.33203125" customWidth="1"/>
    <col min="4" max="4" width="6.33203125" customWidth="1"/>
    <col min="5" max="5" width="10.33203125" customWidth="1"/>
    <col min="6" max="6" width="9.33203125" hidden="1" customWidth="1"/>
    <col min="7" max="7" width="16.5546875" hidden="1" customWidth="1"/>
    <col min="8" max="8" width="47.6640625" hidden="1" customWidth="1"/>
    <col min="9" max="9" width="14" hidden="1" customWidth="1"/>
    <col min="10" max="10" width="10" hidden="1" customWidth="1"/>
    <col min="11" max="11" width="29.6640625" hidden="1" customWidth="1"/>
    <col min="12" max="13" width="18.33203125" hidden="1" customWidth="1"/>
    <col min="14" max="15" width="9.33203125" hidden="1" customWidth="1"/>
    <col min="16" max="16" width="26.6640625" hidden="1" customWidth="1"/>
    <col min="17" max="17" width="34.33203125" hidden="1" customWidth="1"/>
    <col min="18" max="24" width="9.33203125" hidden="1" customWidth="1"/>
    <col min="25" max="25" width="58.33203125" hidden="1" customWidth="1"/>
    <col min="26" max="26" width="75.33203125" hidden="1" customWidth="1"/>
    <col min="27" max="27" width="87.5546875" hidden="1" customWidth="1"/>
    <col min="28" max="52" width="9.33203125" hidden="1" customWidth="1"/>
    <col min="53" max="53" width="9.33203125" customWidth="1"/>
    <col min="54" max="54" width="8.6640625" customWidth="1"/>
    <col min="55" max="60" width="9.33203125" customWidth="1"/>
    <col min="61" max="61" width="5.6640625" customWidth="1"/>
    <col min="62" max="74" width="9.33203125" customWidth="1"/>
  </cols>
  <sheetData>
    <row r="1" spans="2:64" ht="18" customHeight="1" thickBot="1" x14ac:dyDescent="0.35">
      <c r="G1" s="1648"/>
      <c r="AZ1" s="1638" t="b">
        <v>0</v>
      </c>
    </row>
    <row r="2" spans="2:64" ht="18" customHeight="1" x14ac:dyDescent="0.3">
      <c r="G2" s="1648"/>
      <c r="BC2" s="1756" t="s">
        <v>6920</v>
      </c>
      <c r="BD2" s="1757"/>
      <c r="BE2" s="1757"/>
      <c r="BF2" s="1757"/>
      <c r="BG2" s="1757"/>
      <c r="BH2" s="1757"/>
      <c r="BI2" s="1757"/>
      <c r="BJ2" s="1757"/>
      <c r="BK2" s="1757"/>
      <c r="BL2" s="1758"/>
    </row>
    <row r="3" spans="2:64" ht="15" customHeight="1" x14ac:dyDescent="0.3">
      <c r="B3" t="s">
        <v>5032</v>
      </c>
      <c r="G3" s="1648"/>
      <c r="BC3" s="1759"/>
      <c r="BD3" s="1760"/>
      <c r="BE3" s="1760"/>
      <c r="BF3" s="1760"/>
      <c r="BG3" s="1760"/>
      <c r="BH3" s="1760"/>
      <c r="BI3" s="1760"/>
      <c r="BJ3" s="1760"/>
      <c r="BK3" s="1760"/>
      <c r="BL3" s="1761"/>
    </row>
    <row r="4" spans="2:64" ht="18" customHeight="1" x14ac:dyDescent="0.3">
      <c r="G4" s="1648"/>
      <c r="BC4" s="1759"/>
      <c r="BD4" s="1760"/>
      <c r="BE4" s="1760"/>
      <c r="BF4" s="1760"/>
      <c r="BG4" s="1760"/>
      <c r="BH4" s="1760"/>
      <c r="BI4" s="1760"/>
      <c r="BJ4" s="1760"/>
      <c r="BK4" s="1760"/>
      <c r="BL4" s="1761"/>
    </row>
    <row r="5" spans="2:64" ht="18" customHeight="1" x14ac:dyDescent="0.3">
      <c r="G5" s="1648"/>
      <c r="BC5" s="1762" t="s">
        <v>5296</v>
      </c>
      <c r="BD5" s="1763"/>
      <c r="BE5" s="1763"/>
      <c r="BF5" s="1763"/>
      <c r="BG5" s="1763"/>
      <c r="BH5" s="1763"/>
      <c r="BI5" s="1763"/>
      <c r="BJ5" s="1763"/>
      <c r="BK5" s="1763"/>
      <c r="BL5" s="1764"/>
    </row>
    <row r="6" spans="2:64" ht="18" customHeight="1" x14ac:dyDescent="0.3">
      <c r="G6" s="1648"/>
      <c r="BC6" s="1762"/>
      <c r="BD6" s="1763"/>
      <c r="BE6" s="1763"/>
      <c r="BF6" s="1763"/>
      <c r="BG6" s="1763"/>
      <c r="BH6" s="1763"/>
      <c r="BI6" s="1763"/>
      <c r="BJ6" s="1763"/>
      <c r="BK6" s="1763"/>
      <c r="BL6" s="1764"/>
    </row>
    <row r="7" spans="2:64" ht="18" customHeight="1" x14ac:dyDescent="0.3">
      <c r="G7" s="1648"/>
      <c r="BC7" s="1765" t="s">
        <v>5297</v>
      </c>
      <c r="BD7" s="1766"/>
      <c r="BE7" s="1766"/>
      <c r="BF7" s="1766"/>
      <c r="BG7" s="1766"/>
      <c r="BH7" s="1766"/>
      <c r="BI7" s="1766"/>
      <c r="BJ7" s="1766"/>
      <c r="BK7" s="1766"/>
      <c r="BL7" s="1767"/>
    </row>
    <row r="8" spans="2:64" ht="18" customHeight="1" x14ac:dyDescent="0.3">
      <c r="G8" s="1648"/>
      <c r="BC8" s="1765"/>
      <c r="BD8" s="1766"/>
      <c r="BE8" s="1766"/>
      <c r="BF8" s="1766"/>
      <c r="BG8" s="1766"/>
      <c r="BH8" s="1766"/>
      <c r="BI8" s="1766"/>
      <c r="BJ8" s="1766"/>
      <c r="BK8" s="1766"/>
      <c r="BL8" s="1767"/>
    </row>
    <row r="9" spans="2:64" ht="18" customHeight="1" thickBot="1" x14ac:dyDescent="0.35">
      <c r="G9" s="1648"/>
      <c r="BC9" s="1770" t="s">
        <v>5033</v>
      </c>
      <c r="BD9" s="1771"/>
      <c r="BE9" s="1771"/>
      <c r="BF9" s="1132"/>
      <c r="BG9" s="1768"/>
      <c r="BH9" s="1768"/>
      <c r="BI9" s="1768"/>
      <c r="BJ9" s="1768"/>
      <c r="BK9" s="1768"/>
      <c r="BL9" s="1769"/>
    </row>
    <row r="10" spans="2:64" ht="18" customHeight="1" x14ac:dyDescent="0.3">
      <c r="G10" s="1648"/>
    </row>
    <row r="11" spans="2:64" ht="18" customHeight="1" x14ac:dyDescent="0.3">
      <c r="G11" s="1648"/>
    </row>
    <row r="12" spans="2:64" ht="22.8" x14ac:dyDescent="0.3">
      <c r="B12" s="1752" t="s">
        <v>171</v>
      </c>
      <c r="C12" s="1752"/>
      <c r="D12" s="1752"/>
      <c r="E12" s="1752"/>
      <c r="F12" s="1192" t="s">
        <v>603</v>
      </c>
      <c r="G12" s="1648" t="s">
        <v>4403</v>
      </c>
      <c r="H12" s="1192" t="s">
        <v>171</v>
      </c>
      <c r="I12" s="1192"/>
      <c r="J12" s="1192">
        <v>8</v>
      </c>
      <c r="K12" s="1192"/>
      <c r="L12" s="1192"/>
      <c r="M12" s="1192"/>
      <c r="N12" s="1192"/>
      <c r="O12" s="1192"/>
      <c r="P12" s="1192"/>
      <c r="Q12" s="1192"/>
      <c r="AA12" s="1463" t="s">
        <v>171</v>
      </c>
    </row>
    <row r="13" spans="2:64" ht="17.399999999999999" x14ac:dyDescent="0.3">
      <c r="B13" s="1753" t="s">
        <v>2381</v>
      </c>
      <c r="C13" s="1753"/>
      <c r="D13" s="1753"/>
      <c r="E13" s="1753"/>
      <c r="F13" s="1192"/>
      <c r="G13" s="1648"/>
      <c r="H13" s="1192"/>
      <c r="I13" s="1192"/>
      <c r="J13" s="1192"/>
      <c r="K13" s="1192"/>
      <c r="L13" s="1192"/>
      <c r="M13" s="1192"/>
      <c r="N13" s="1192"/>
      <c r="O13" s="1192"/>
      <c r="P13" s="1192"/>
      <c r="Q13" s="1192"/>
      <c r="AA13" s="1465" t="s">
        <v>2381</v>
      </c>
    </row>
    <row r="14" spans="2:64" ht="15.6" x14ac:dyDescent="0.3">
      <c r="B14" s="1754" t="s">
        <v>5937</v>
      </c>
      <c r="C14" s="1754"/>
      <c r="D14" s="1754"/>
      <c r="E14" s="1754"/>
      <c r="F14" s="1192"/>
      <c r="G14" s="1648"/>
      <c r="H14" s="1192"/>
      <c r="I14" s="1192"/>
      <c r="J14" s="1192"/>
      <c r="K14" s="1192"/>
      <c r="L14" s="1192"/>
      <c r="M14" s="1192"/>
      <c r="N14" s="1192"/>
      <c r="O14" s="1192"/>
      <c r="P14" s="1192">
        <v>43831</v>
      </c>
      <c r="Q14" s="1192"/>
      <c r="AA14" s="1466" t="s">
        <v>5937</v>
      </c>
    </row>
    <row r="15" spans="2:64" ht="11.25" customHeight="1" x14ac:dyDescent="0.3">
      <c r="B15" s="1755" t="s">
        <v>2384</v>
      </c>
      <c r="C15" s="1755"/>
      <c r="D15" s="1755"/>
      <c r="E15" s="1755"/>
      <c r="F15" s="1192"/>
      <c r="G15" s="1648"/>
      <c r="H15" s="1192"/>
      <c r="I15" s="1192"/>
      <c r="J15" s="1192"/>
      <c r="K15" s="1192"/>
      <c r="L15" s="1192"/>
      <c r="M15" s="1192"/>
      <c r="N15" s="1192"/>
      <c r="O15" s="1192"/>
      <c r="P15" s="1192"/>
      <c r="Q15" s="1192"/>
      <c r="AA15" s="1467" t="s">
        <v>2384</v>
      </c>
    </row>
    <row r="16" spans="2:64" ht="11.25" customHeight="1" x14ac:dyDescent="0.3">
      <c r="B16" s="1755" t="s">
        <v>2385</v>
      </c>
      <c r="C16" s="1755"/>
      <c r="D16" s="1755"/>
      <c r="E16" s="1755"/>
      <c r="F16" s="1192"/>
      <c r="G16" s="1648"/>
      <c r="H16" s="1192"/>
      <c r="I16" s="1192"/>
      <c r="J16" s="1192"/>
      <c r="K16" s="1192"/>
      <c r="L16" s="1192"/>
      <c r="M16" s="1192"/>
      <c r="N16" s="1192"/>
      <c r="O16" s="1192"/>
      <c r="P16" s="1192"/>
      <c r="Q16" s="1192"/>
      <c r="AA16" s="1467" t="s">
        <v>2385</v>
      </c>
    </row>
    <row r="17" spans="2:45" ht="11.25" customHeight="1" x14ac:dyDescent="0.3">
      <c r="B17" s="1772" t="s">
        <v>6116</v>
      </c>
      <c r="C17" s="1772"/>
      <c r="D17" s="1772"/>
      <c r="E17" s="1772"/>
      <c r="F17" s="1192"/>
      <c r="G17" s="1648"/>
      <c r="H17" s="1192" t="s">
        <v>6116</v>
      </c>
      <c r="I17" s="1192"/>
      <c r="J17" s="1192"/>
      <c r="K17" s="1192"/>
      <c r="L17" s="1192"/>
      <c r="M17" s="1192"/>
      <c r="N17" s="1192"/>
      <c r="O17" s="1192"/>
      <c r="P17" s="1192"/>
      <c r="Q17" s="1192"/>
      <c r="AA17" s="1650" t="s">
        <v>6116</v>
      </c>
      <c r="AS17" t="s">
        <v>603</v>
      </c>
    </row>
    <row r="18" spans="2:45" ht="17.399999999999999" x14ac:dyDescent="0.3">
      <c r="B18" s="1746" t="s">
        <v>427</v>
      </c>
      <c r="C18" s="1743"/>
      <c r="D18" s="1743"/>
      <c r="E18" s="1743"/>
      <c r="F18" s="1192"/>
      <c r="G18" s="1648"/>
      <c r="H18" s="1192" t="s">
        <v>2506</v>
      </c>
      <c r="I18" s="1192"/>
      <c r="J18" s="1192"/>
      <c r="K18" s="1192"/>
      <c r="L18" s="1192"/>
      <c r="M18" s="1192"/>
      <c r="N18" s="1192"/>
      <c r="O18" s="1192"/>
      <c r="P18" s="1192"/>
      <c r="Q18" s="1192"/>
      <c r="AA18" s="1465" t="s">
        <v>427</v>
      </c>
    </row>
    <row r="19" spans="2:45" ht="34.200000000000003" x14ac:dyDescent="0.3">
      <c r="B19" s="1743" t="s">
        <v>4404</v>
      </c>
      <c r="C19" s="1743"/>
      <c r="D19" s="1743"/>
      <c r="E19" s="1743"/>
      <c r="F19" s="1192"/>
      <c r="G19" s="1648"/>
      <c r="H19" s="1192" t="s">
        <v>2506</v>
      </c>
      <c r="I19" s="1192"/>
      <c r="J19" s="1192"/>
      <c r="K19" s="1192"/>
      <c r="L19" s="1192"/>
      <c r="M19" s="1192"/>
      <c r="N19" s="1192"/>
      <c r="O19" s="1192"/>
      <c r="P19" s="1192"/>
      <c r="Q19" s="1192"/>
      <c r="AA19" s="1649" t="s">
        <v>4404</v>
      </c>
    </row>
    <row r="20" spans="2:45" s="1192" customFormat="1" ht="6.75" customHeight="1" x14ac:dyDescent="0.3">
      <c r="B20" s="1639"/>
      <c r="C20" s="1639"/>
      <c r="D20" s="1639"/>
      <c r="E20" s="1639"/>
      <c r="G20" s="1648"/>
    </row>
    <row r="21" spans="2:45" ht="11.25" customHeight="1" x14ac:dyDescent="0.3">
      <c r="B21" s="1750" t="s">
        <v>2389</v>
      </c>
      <c r="C21" s="1743"/>
      <c r="D21" s="1743"/>
      <c r="E21" s="1743"/>
      <c r="F21" s="1192"/>
      <c r="G21" s="1648"/>
      <c r="H21" s="1192" t="s">
        <v>2390</v>
      </c>
      <c r="I21" s="1192"/>
      <c r="J21" s="1192"/>
      <c r="K21" s="1192"/>
      <c r="L21" s="1192"/>
      <c r="M21" s="1192"/>
      <c r="N21" s="1192"/>
      <c r="O21" s="1192"/>
      <c r="P21" s="1192"/>
      <c r="Q21" s="1192"/>
      <c r="AA21" s="1467" t="s">
        <v>2389</v>
      </c>
    </row>
    <row r="22" spans="2:45" s="1192" customFormat="1" ht="6.75" customHeight="1" x14ac:dyDescent="0.3">
      <c r="B22" s="1642"/>
      <c r="C22" s="1639"/>
      <c r="D22" s="1639"/>
      <c r="E22" s="1639"/>
      <c r="G22" s="1648"/>
    </row>
    <row r="23" spans="2:45" ht="34.200000000000003" x14ac:dyDescent="0.3">
      <c r="B23" s="1743" t="s">
        <v>2391</v>
      </c>
      <c r="C23" s="1743"/>
      <c r="D23" s="1743"/>
      <c r="E23" s="1743"/>
      <c r="F23" s="1192"/>
      <c r="G23" s="1648"/>
      <c r="H23" s="1192" t="s">
        <v>2506</v>
      </c>
      <c r="I23" s="1192"/>
      <c r="J23" s="1192"/>
      <c r="K23" s="1192"/>
      <c r="L23" s="1192"/>
      <c r="M23" s="1192"/>
      <c r="N23" s="1192"/>
      <c r="O23" s="1192"/>
      <c r="P23" s="1192"/>
      <c r="Q23" s="1192"/>
      <c r="AA23" s="1649" t="s">
        <v>2391</v>
      </c>
    </row>
    <row r="24" spans="2:45" s="1192" customFormat="1" ht="6.75" customHeight="1" x14ac:dyDescent="0.3">
      <c r="B24" s="1639"/>
      <c r="C24" s="1639"/>
      <c r="D24" s="1639"/>
      <c r="E24" s="1639"/>
      <c r="G24" s="1648"/>
    </row>
    <row r="25" spans="2:45" ht="45.6" x14ac:dyDescent="0.3">
      <c r="B25" s="1743" t="s">
        <v>2392</v>
      </c>
      <c r="C25" s="1743"/>
      <c r="D25" s="1743"/>
      <c r="E25" s="1743"/>
      <c r="F25" s="1192"/>
      <c r="G25" s="1648"/>
      <c r="H25" s="1192" t="s">
        <v>2506</v>
      </c>
      <c r="I25" s="1192"/>
      <c r="J25" s="1192"/>
      <c r="K25" s="1192"/>
      <c r="L25" s="1192"/>
      <c r="M25" s="1192"/>
      <c r="N25" s="1192"/>
      <c r="O25" s="1192"/>
      <c r="P25" s="1192"/>
      <c r="Q25" s="1192"/>
      <c r="AA25" s="1649" t="s">
        <v>2392</v>
      </c>
    </row>
    <row r="26" spans="2:45" s="1192" customFormat="1" ht="6.75" customHeight="1" x14ac:dyDescent="0.3">
      <c r="B26" s="1639"/>
      <c r="C26" s="1639"/>
      <c r="D26" s="1639"/>
      <c r="E26" s="1639"/>
      <c r="G26" s="1648"/>
    </row>
    <row r="27" spans="2:45" ht="45.6" x14ac:dyDescent="0.3">
      <c r="B27" s="1743" t="s">
        <v>2508</v>
      </c>
      <c r="C27" s="1743"/>
      <c r="D27" s="1743"/>
      <c r="E27" s="1743"/>
      <c r="F27" s="1192"/>
      <c r="G27" s="1648"/>
      <c r="H27" s="1192" t="s">
        <v>2506</v>
      </c>
      <c r="I27" s="1192"/>
      <c r="J27" s="1192"/>
      <c r="K27" s="1192"/>
      <c r="L27" s="1192"/>
      <c r="M27" s="1192"/>
      <c r="N27" s="1192"/>
      <c r="O27" s="1192"/>
      <c r="P27" s="1192"/>
      <c r="Q27" s="1192"/>
      <c r="AA27" s="1649" t="s">
        <v>2508</v>
      </c>
    </row>
    <row r="28" spans="2:45" s="1192" customFormat="1" ht="6.75" customHeight="1" x14ac:dyDescent="0.3">
      <c r="B28" s="1639"/>
      <c r="C28" s="1639"/>
      <c r="D28" s="1639"/>
      <c r="E28" s="1639"/>
      <c r="G28" s="1648"/>
    </row>
    <row r="29" spans="2:45" ht="34.200000000000003" x14ac:dyDescent="0.3">
      <c r="B29" s="1743" t="s">
        <v>6117</v>
      </c>
      <c r="C29" s="1743"/>
      <c r="D29" s="1743"/>
      <c r="E29" s="1743"/>
      <c r="F29" s="1192"/>
      <c r="G29" s="1648"/>
      <c r="H29" s="1192" t="s">
        <v>2506</v>
      </c>
      <c r="I29" s="1192"/>
      <c r="J29" s="1192"/>
      <c r="K29" s="1192"/>
      <c r="L29" s="1192"/>
      <c r="M29" s="1192"/>
      <c r="N29" s="1192"/>
      <c r="O29" s="1192"/>
      <c r="P29" s="1192"/>
      <c r="Q29" s="1192"/>
      <c r="AA29" s="1649" t="s">
        <v>6117</v>
      </c>
    </row>
    <row r="30" spans="2:45" s="1192" customFormat="1" ht="6.75" customHeight="1" x14ac:dyDescent="0.3">
      <c r="B30" s="1639"/>
      <c r="C30" s="1639"/>
      <c r="D30" s="1639"/>
      <c r="E30" s="1639"/>
      <c r="G30" s="1648"/>
    </row>
    <row r="31" spans="2:45" ht="11.25" customHeight="1" x14ac:dyDescent="0.3">
      <c r="B31" s="1748" t="s">
        <v>2394</v>
      </c>
      <c r="C31" s="1749"/>
      <c r="D31" s="1749"/>
      <c r="E31" s="1749"/>
      <c r="F31" s="1192"/>
      <c r="G31" s="1648"/>
      <c r="H31" s="1192" t="s">
        <v>2395</v>
      </c>
      <c r="I31" s="1192"/>
      <c r="J31" s="1192"/>
      <c r="K31" s="1192"/>
      <c r="L31" s="1192"/>
      <c r="M31" s="1192"/>
      <c r="N31" s="1192"/>
      <c r="O31" s="1192"/>
      <c r="P31" s="1192"/>
      <c r="Q31" s="1192"/>
      <c r="AA31" s="1467" t="s">
        <v>2394</v>
      </c>
    </row>
    <row r="32" spans="2:45" s="1192" customFormat="1" ht="6.75" customHeight="1" x14ac:dyDescent="0.3">
      <c r="B32" s="1643"/>
      <c r="C32" s="1644"/>
      <c r="D32" s="1644"/>
      <c r="E32" s="1644"/>
      <c r="G32" s="1648"/>
    </row>
    <row r="33" spans="2:26" ht="11.25" customHeight="1" x14ac:dyDescent="0.3">
      <c r="B33" s="1740" t="s">
        <v>7</v>
      </c>
      <c r="C33" s="1740"/>
      <c r="D33" s="524" t="s">
        <v>19</v>
      </c>
      <c r="E33" s="1218">
        <v>29.75</v>
      </c>
      <c r="F33" s="1192"/>
      <c r="G33" s="1648"/>
      <c r="H33" s="1192" t="s">
        <v>2506</v>
      </c>
      <c r="I33" s="1192" t="s">
        <v>430</v>
      </c>
      <c r="J33" s="1192"/>
      <c r="K33" s="1192"/>
      <c r="L33" s="1192"/>
      <c r="M33" s="1192" t="s">
        <v>2510</v>
      </c>
      <c r="N33" s="1192"/>
      <c r="O33" s="1192"/>
      <c r="P33" s="1192"/>
      <c r="Q33" s="1192"/>
      <c r="Z33" s="1650" t="s">
        <v>7</v>
      </c>
    </row>
    <row r="34" spans="2:26" ht="11.25" customHeight="1" x14ac:dyDescent="0.3">
      <c r="B34" s="1740" t="s">
        <v>3900</v>
      </c>
      <c r="C34" s="1740"/>
      <c r="D34" s="524" t="s">
        <v>19</v>
      </c>
      <c r="E34" s="1218">
        <v>0.56999999999999995</v>
      </c>
      <c r="F34" s="1192"/>
      <c r="G34" s="1648"/>
      <c r="H34" s="1192" t="s">
        <v>2506</v>
      </c>
      <c r="I34" s="1192" t="s">
        <v>431</v>
      </c>
      <c r="J34" s="1192"/>
      <c r="K34" s="1192"/>
      <c r="L34" s="1192"/>
      <c r="M34" s="1192" t="s">
        <v>2511</v>
      </c>
      <c r="N34" s="1192"/>
      <c r="O34" s="1192"/>
      <c r="P34" s="1192"/>
      <c r="Q34" s="1192">
        <v>44926</v>
      </c>
      <c r="Z34" s="1650" t="s">
        <v>3900</v>
      </c>
    </row>
    <row r="35" spans="2:26" x14ac:dyDescent="0.3">
      <c r="B35" s="1740" t="s">
        <v>4535</v>
      </c>
      <c r="C35" s="1740"/>
      <c r="D35" s="524" t="s">
        <v>19</v>
      </c>
      <c r="E35" s="1218">
        <v>-0.48</v>
      </c>
      <c r="F35" s="1192"/>
      <c r="G35" s="1648"/>
      <c r="H35" s="1192" t="s">
        <v>2506</v>
      </c>
      <c r="I35" s="1192" t="s">
        <v>430</v>
      </c>
      <c r="J35" s="1192"/>
      <c r="K35" s="1192"/>
      <c r="L35" s="1192"/>
      <c r="M35" s="1192" t="s">
        <v>6118</v>
      </c>
      <c r="N35" s="1192"/>
      <c r="O35" s="1192"/>
      <c r="P35" s="1192"/>
      <c r="Q35" s="1192">
        <v>44196</v>
      </c>
      <c r="R35" t="s">
        <v>603</v>
      </c>
      <c r="Z35" s="1650" t="s">
        <v>4535</v>
      </c>
    </row>
    <row r="36" spans="2:26" x14ac:dyDescent="0.3">
      <c r="B36" s="1740" t="s">
        <v>4536</v>
      </c>
      <c r="C36" s="1740"/>
      <c r="D36" s="524" t="s">
        <v>19</v>
      </c>
      <c r="E36" s="1218">
        <v>-0.64</v>
      </c>
      <c r="F36" s="1192"/>
      <c r="G36" s="1648" t="s">
        <v>603</v>
      </c>
      <c r="H36" s="1192" t="s">
        <v>2506</v>
      </c>
      <c r="I36" s="1192" t="s">
        <v>430</v>
      </c>
      <c r="J36" s="1192"/>
      <c r="K36" s="1192"/>
      <c r="L36" s="1192"/>
      <c r="M36" s="1192" t="s">
        <v>6119</v>
      </c>
      <c r="N36" s="1192"/>
      <c r="O36" s="1192"/>
      <c r="P36" s="1192"/>
      <c r="Q36" s="1192">
        <v>44561</v>
      </c>
      <c r="Z36" s="1650" t="s">
        <v>4536</v>
      </c>
    </row>
    <row r="37" spans="2:26" ht="20.399999999999999" x14ac:dyDescent="0.3">
      <c r="B37" s="1740" t="s">
        <v>6120</v>
      </c>
      <c r="C37" s="1740"/>
      <c r="D37" s="524" t="s">
        <v>19</v>
      </c>
      <c r="E37" s="1218">
        <v>-0.33</v>
      </c>
      <c r="F37" s="1192"/>
      <c r="G37" s="1648" t="s">
        <v>7382</v>
      </c>
      <c r="H37" s="1192" t="s">
        <v>2506</v>
      </c>
      <c r="I37" s="1192" t="s">
        <v>430</v>
      </c>
      <c r="J37" s="1192"/>
      <c r="K37" s="1192"/>
      <c r="L37" s="1192"/>
      <c r="M37" s="1192" t="s">
        <v>6121</v>
      </c>
      <c r="N37" s="1192"/>
      <c r="O37" s="1192"/>
      <c r="P37" s="1192"/>
      <c r="Q37" s="1192"/>
      <c r="Z37" s="1650" t="s">
        <v>6120</v>
      </c>
    </row>
    <row r="38" spans="2:26" ht="11.25" customHeight="1" x14ac:dyDescent="0.3">
      <c r="B38" s="1740" t="s">
        <v>14</v>
      </c>
      <c r="C38" s="1740"/>
      <c r="D38" s="524" t="s">
        <v>20</v>
      </c>
      <c r="E38" s="1219">
        <v>3.0000000000000001E-3</v>
      </c>
      <c r="F38" s="1192"/>
      <c r="G38" s="1648"/>
      <c r="H38" s="1192" t="s">
        <v>2506</v>
      </c>
      <c r="I38" s="1192" t="s">
        <v>431</v>
      </c>
      <c r="J38" s="1192"/>
      <c r="K38" s="1192"/>
      <c r="L38" s="1192"/>
      <c r="M38" s="1192" t="s">
        <v>2513</v>
      </c>
      <c r="N38" s="1192"/>
      <c r="O38" s="1192"/>
      <c r="P38" s="1192"/>
      <c r="Q38" s="1192"/>
      <c r="Z38" s="1650" t="s">
        <v>14</v>
      </c>
    </row>
    <row r="39" spans="2:26" ht="20.399999999999999" x14ac:dyDescent="0.3">
      <c r="B39" s="1740" t="s">
        <v>6122</v>
      </c>
      <c r="C39" s="1740"/>
      <c r="D39" s="524" t="s">
        <v>20</v>
      </c>
      <c r="E39" s="1219">
        <v>1E-4</v>
      </c>
      <c r="F39" s="1192"/>
      <c r="G39" s="1648"/>
      <c r="H39" s="1192" t="s">
        <v>2506</v>
      </c>
      <c r="I39" s="1192" t="s">
        <v>430</v>
      </c>
      <c r="J39" s="1192"/>
      <c r="K39" s="1192"/>
      <c r="L39" s="1192"/>
      <c r="M39" s="1192" t="s">
        <v>2515</v>
      </c>
      <c r="N39" s="1192"/>
      <c r="O39" s="1192"/>
      <c r="P39" s="1192"/>
      <c r="Q39" s="1192">
        <v>44196</v>
      </c>
      <c r="R39" t="s">
        <v>603</v>
      </c>
      <c r="Z39" s="1650" t="s">
        <v>6122</v>
      </c>
    </row>
    <row r="40" spans="2:26" ht="20.399999999999999" x14ac:dyDescent="0.3">
      <c r="B40" s="1740" t="s">
        <v>4538</v>
      </c>
      <c r="C40" s="1740"/>
      <c r="D40" s="524" t="s">
        <v>20</v>
      </c>
      <c r="E40" s="1219">
        <v>1E-4</v>
      </c>
      <c r="F40" s="1192"/>
      <c r="G40" s="1648"/>
      <c r="H40" s="1192" t="s">
        <v>2506</v>
      </c>
      <c r="I40" s="1192" t="s">
        <v>430</v>
      </c>
      <c r="J40" s="1192"/>
      <c r="K40" s="1192"/>
      <c r="L40" s="1192"/>
      <c r="M40" s="1192" t="s">
        <v>2515</v>
      </c>
      <c r="N40" s="1192"/>
      <c r="O40" s="1192"/>
      <c r="P40" s="1192"/>
      <c r="Q40" s="1192">
        <v>44561</v>
      </c>
      <c r="Z40" s="1650" t="s">
        <v>4538</v>
      </c>
    </row>
    <row r="41" spans="2:26" ht="11.25" customHeight="1" x14ac:dyDescent="0.3">
      <c r="B41" s="1740" t="s">
        <v>213</v>
      </c>
      <c r="C41" s="1740"/>
      <c r="D41" s="524" t="s">
        <v>20</v>
      </c>
      <c r="E41" s="1219">
        <v>6.6E-3</v>
      </c>
      <c r="F41" s="1192"/>
      <c r="G41" s="1648"/>
      <c r="H41" s="1192" t="s">
        <v>2506</v>
      </c>
      <c r="I41" s="1192" t="s">
        <v>432</v>
      </c>
      <c r="J41" s="1192"/>
      <c r="K41" s="1192"/>
      <c r="L41" s="1192"/>
      <c r="M41" s="1192" t="s">
        <v>2517</v>
      </c>
      <c r="N41" s="1192"/>
      <c r="O41" s="1192"/>
      <c r="P41" s="1192"/>
      <c r="Q41" s="1192"/>
      <c r="Z41" s="1650" t="s">
        <v>213</v>
      </c>
    </row>
    <row r="42" spans="2:26" ht="11.25" customHeight="1" x14ac:dyDescent="0.3">
      <c r="B42" s="1740" t="s">
        <v>209</v>
      </c>
      <c r="C42" s="1740"/>
      <c r="D42" s="524" t="s">
        <v>20</v>
      </c>
      <c r="E42" s="1219">
        <v>5.5999999999999999E-3</v>
      </c>
      <c r="F42" s="1192"/>
      <c r="G42" s="1648"/>
      <c r="H42" s="1192" t="s">
        <v>2506</v>
      </c>
      <c r="I42" s="1192" t="s">
        <v>432</v>
      </c>
      <c r="J42" s="1192"/>
      <c r="K42" s="1192"/>
      <c r="L42" s="1192"/>
      <c r="M42" s="1192" t="s">
        <v>2518</v>
      </c>
      <c r="N42" s="1192"/>
      <c r="O42" s="1192"/>
      <c r="P42" s="1192"/>
      <c r="Q42" s="1192"/>
      <c r="Z42" s="1650" t="s">
        <v>209</v>
      </c>
    </row>
    <row r="43" spans="2:26" s="1192" customFormat="1" ht="6.75" customHeight="1" x14ac:dyDescent="0.3">
      <c r="B43" s="1640"/>
      <c r="C43" s="1640"/>
      <c r="D43" s="524"/>
      <c r="E43" s="1219"/>
      <c r="G43" s="1648"/>
    </row>
    <row r="44" spans="2:26" ht="11.25" customHeight="1" x14ac:dyDescent="0.3">
      <c r="B44" s="1748" t="s">
        <v>2405</v>
      </c>
      <c r="C44" s="1740"/>
      <c r="D44" s="1277"/>
      <c r="E44" s="896"/>
      <c r="F44" s="1192"/>
      <c r="G44" s="1648"/>
      <c r="H44" s="1192" t="s">
        <v>2406</v>
      </c>
      <c r="I44" s="1192"/>
      <c r="J44" s="1192"/>
      <c r="K44" s="1192"/>
      <c r="L44" s="1192"/>
      <c r="M44" s="1192"/>
      <c r="N44" s="1192"/>
      <c r="O44" s="1192"/>
      <c r="P44" s="1192"/>
      <c r="Q44" s="1192"/>
      <c r="Z44" s="1467" t="s">
        <v>2405</v>
      </c>
    </row>
    <row r="45" spans="2:26" s="1192" customFormat="1" ht="6.75" customHeight="1" x14ac:dyDescent="0.3">
      <c r="B45" s="1643"/>
      <c r="C45" s="1640"/>
      <c r="D45" s="1277"/>
      <c r="E45" s="896"/>
      <c r="G45" s="1648"/>
    </row>
    <row r="46" spans="2:26" ht="11.25" customHeight="1" x14ac:dyDescent="0.3">
      <c r="B46" s="1740" t="s">
        <v>2033</v>
      </c>
      <c r="C46" s="1740"/>
      <c r="D46" s="524" t="s">
        <v>20</v>
      </c>
      <c r="E46" s="1219">
        <v>3.0000000000000001E-3</v>
      </c>
      <c r="F46" s="1192"/>
      <c r="G46" s="1648"/>
      <c r="H46" s="1192" t="s">
        <v>2506</v>
      </c>
      <c r="I46" s="1192" t="s">
        <v>2374</v>
      </c>
      <c r="J46" s="1192"/>
      <c r="K46" s="1192"/>
      <c r="L46" s="1192"/>
      <c r="M46" s="1192" t="s">
        <v>2519</v>
      </c>
      <c r="N46" s="1192"/>
      <c r="O46" s="1192"/>
      <c r="P46" s="1192"/>
      <c r="Q46" s="1192"/>
      <c r="Z46" s="1650" t="s">
        <v>2033</v>
      </c>
    </row>
    <row r="47" spans="2:26" ht="11.25" customHeight="1" x14ac:dyDescent="0.3">
      <c r="B47" s="1740" t="s">
        <v>2034</v>
      </c>
      <c r="C47" s="1740"/>
      <c r="D47" s="524" t="s">
        <v>20</v>
      </c>
      <c r="E47" s="1219">
        <v>4.0000000000000002E-4</v>
      </c>
      <c r="F47" s="1192"/>
      <c r="G47" s="1648"/>
      <c r="H47" s="1192" t="s">
        <v>2506</v>
      </c>
      <c r="I47" s="1192" t="s">
        <v>2374</v>
      </c>
      <c r="J47" s="1192"/>
      <c r="K47" s="1192"/>
      <c r="L47" s="1192"/>
      <c r="M47" s="1192" t="s">
        <v>2519</v>
      </c>
      <c r="N47" s="1192"/>
      <c r="O47" s="1192"/>
      <c r="P47" s="1192"/>
      <c r="Q47" s="1192"/>
      <c r="Z47" s="1650" t="s">
        <v>2034</v>
      </c>
    </row>
    <row r="48" spans="2:26" ht="11.25" customHeight="1" x14ac:dyDescent="0.3">
      <c r="B48" s="1740" t="s">
        <v>428</v>
      </c>
      <c r="C48" s="1740"/>
      <c r="D48" s="524" t="s">
        <v>20</v>
      </c>
      <c r="E48" s="1219">
        <v>5.0000000000000001E-4</v>
      </c>
      <c r="F48" s="1192"/>
      <c r="G48" s="1648"/>
      <c r="H48" s="1192" t="s">
        <v>2506</v>
      </c>
      <c r="I48" s="1192" t="s">
        <v>2374</v>
      </c>
      <c r="J48" s="1192"/>
      <c r="K48" s="1192"/>
      <c r="L48" s="1192"/>
      <c r="M48" s="1192" t="s">
        <v>2520</v>
      </c>
      <c r="N48" s="1192"/>
      <c r="O48" s="1192"/>
      <c r="P48" s="1192"/>
      <c r="Q48" s="1192"/>
      <c r="Z48" s="1650" t="s">
        <v>428</v>
      </c>
    </row>
    <row r="49" spans="2:45" ht="11.25" customHeight="1" x14ac:dyDescent="0.3">
      <c r="B49" s="1740" t="s">
        <v>28</v>
      </c>
      <c r="C49" s="1740"/>
      <c r="D49" s="524" t="s">
        <v>19</v>
      </c>
      <c r="E49" s="1218">
        <v>0.25</v>
      </c>
      <c r="F49" s="1192"/>
      <c r="G49" s="1648"/>
      <c r="H49" s="1192" t="s">
        <v>2506</v>
      </c>
      <c r="I49" s="1192" t="s">
        <v>2374</v>
      </c>
      <c r="J49" s="1192"/>
      <c r="K49" s="1192"/>
      <c r="L49" s="1192"/>
      <c r="M49" s="1192" t="s">
        <v>2521</v>
      </c>
      <c r="N49" s="1192"/>
      <c r="O49" s="1192"/>
      <c r="P49" s="1192"/>
      <c r="Q49" s="1192"/>
      <c r="Z49" s="1650" t="s">
        <v>28</v>
      </c>
      <c r="AS49" t="s">
        <v>603</v>
      </c>
    </row>
    <row r="50" spans="2:45" s="1464" customFormat="1" ht="18" customHeight="1" x14ac:dyDescent="0.35">
      <c r="B50" s="1746" t="s">
        <v>2522</v>
      </c>
      <c r="C50" s="1747"/>
      <c r="D50" s="1747"/>
      <c r="E50" s="1747"/>
      <c r="G50" s="1468"/>
      <c r="H50" s="1464" t="s">
        <v>3901</v>
      </c>
      <c r="AA50" s="1465" t="s">
        <v>2522</v>
      </c>
    </row>
    <row r="51" spans="2:45" ht="34.200000000000003" x14ac:dyDescent="0.3">
      <c r="B51" s="1743" t="s">
        <v>4405</v>
      </c>
      <c r="C51" s="1743"/>
      <c r="D51" s="1743"/>
      <c r="E51" s="1743"/>
      <c r="F51" s="1192"/>
      <c r="G51" s="1648"/>
      <c r="H51" s="1192" t="s">
        <v>3901</v>
      </c>
      <c r="I51" s="1192"/>
      <c r="J51" s="1192"/>
      <c r="K51" s="1192"/>
      <c r="L51" s="1192"/>
      <c r="M51" s="1192"/>
      <c r="N51" s="1192"/>
      <c r="O51" s="1192"/>
      <c r="P51" s="1192"/>
      <c r="Q51" s="1192"/>
      <c r="AA51" s="1649" t="s">
        <v>4405</v>
      </c>
    </row>
    <row r="52" spans="2:45" s="1192" customFormat="1" ht="6.75" customHeight="1" x14ac:dyDescent="0.3">
      <c r="B52" s="1639"/>
      <c r="C52" s="1639"/>
      <c r="D52" s="1639"/>
      <c r="E52" s="1639"/>
      <c r="G52" s="1648"/>
    </row>
    <row r="53" spans="2:45" ht="11.25" customHeight="1" x14ac:dyDescent="0.3">
      <c r="B53" s="1750" t="s">
        <v>2389</v>
      </c>
      <c r="C53" s="1743"/>
      <c r="D53" s="1743"/>
      <c r="E53" s="1743"/>
      <c r="F53" s="1192"/>
      <c r="G53" s="1648"/>
      <c r="H53" s="1192" t="s">
        <v>2412</v>
      </c>
      <c r="I53" s="1192"/>
      <c r="J53" s="1192"/>
      <c r="K53" s="1192"/>
      <c r="L53" s="1192"/>
      <c r="M53" s="1192"/>
      <c r="N53" s="1192"/>
      <c r="O53" s="1192"/>
      <c r="P53" s="1192"/>
      <c r="Q53" s="1192"/>
      <c r="AA53" s="1467" t="s">
        <v>2389</v>
      </c>
    </row>
    <row r="54" spans="2:45" s="1192" customFormat="1" ht="6.75" customHeight="1" x14ac:dyDescent="0.3">
      <c r="B54" s="1642"/>
      <c r="C54" s="1639"/>
      <c r="D54" s="1639"/>
      <c r="E54" s="1639"/>
      <c r="G54" s="1648"/>
    </row>
    <row r="55" spans="2:45" ht="34.200000000000003" x14ac:dyDescent="0.3">
      <c r="B55" s="1743" t="s">
        <v>2391</v>
      </c>
      <c r="C55" s="1743"/>
      <c r="D55" s="1743"/>
      <c r="E55" s="1743"/>
      <c r="F55" s="1192"/>
      <c r="G55" s="1648"/>
      <c r="H55" s="1192" t="s">
        <v>3901</v>
      </c>
      <c r="I55" s="1192"/>
      <c r="J55" s="1192"/>
      <c r="K55" s="1192"/>
      <c r="L55" s="1192"/>
      <c r="M55" s="1192"/>
      <c r="N55" s="1192"/>
      <c r="O55" s="1192"/>
      <c r="P55" s="1192"/>
      <c r="Q55" s="1192"/>
      <c r="AA55" s="1649" t="s">
        <v>2391</v>
      </c>
    </row>
    <row r="56" spans="2:45" s="1192" customFormat="1" ht="6.75" customHeight="1" x14ac:dyDescent="0.3">
      <c r="B56" s="1639"/>
      <c r="C56" s="1639"/>
      <c r="D56" s="1639"/>
      <c r="E56" s="1639"/>
      <c r="G56" s="1648"/>
    </row>
    <row r="57" spans="2:45" ht="45.6" x14ac:dyDescent="0.3">
      <c r="B57" s="1743" t="s">
        <v>2392</v>
      </c>
      <c r="C57" s="1743"/>
      <c r="D57" s="1743"/>
      <c r="E57" s="1743"/>
      <c r="F57" s="1192"/>
      <c r="G57" s="1648"/>
      <c r="H57" s="1192" t="s">
        <v>3901</v>
      </c>
      <c r="I57" s="1192"/>
      <c r="J57" s="1192"/>
      <c r="K57" s="1192"/>
      <c r="L57" s="1192"/>
      <c r="M57" s="1192"/>
      <c r="N57" s="1192"/>
      <c r="O57" s="1192"/>
      <c r="P57" s="1192"/>
      <c r="Q57" s="1192"/>
      <c r="AA57" s="1649" t="s">
        <v>2392</v>
      </c>
    </row>
    <row r="58" spans="2:45" s="1192" customFormat="1" ht="6.75" customHeight="1" x14ac:dyDescent="0.3">
      <c r="B58" s="1639"/>
      <c r="C58" s="1639"/>
      <c r="D58" s="1639"/>
      <c r="E58" s="1639"/>
      <c r="G58" s="1648"/>
    </row>
    <row r="59" spans="2:45" ht="45.6" x14ac:dyDescent="0.3">
      <c r="B59" s="1743" t="s">
        <v>2508</v>
      </c>
      <c r="C59" s="1743"/>
      <c r="D59" s="1743"/>
      <c r="E59" s="1743"/>
      <c r="F59" s="1192"/>
      <c r="G59" s="1648"/>
      <c r="H59" s="1192" t="s">
        <v>3901</v>
      </c>
      <c r="I59" s="1192"/>
      <c r="J59" s="1192"/>
      <c r="K59" s="1192"/>
      <c r="L59" s="1192"/>
      <c r="M59" s="1192"/>
      <c r="N59" s="1192"/>
      <c r="O59" s="1192"/>
      <c r="P59" s="1192"/>
      <c r="Q59" s="1192"/>
      <c r="AA59" s="1649" t="s">
        <v>2508</v>
      </c>
    </row>
    <row r="60" spans="2:45" s="1192" customFormat="1" ht="6.75" customHeight="1" x14ac:dyDescent="0.3">
      <c r="B60" s="1639"/>
      <c r="C60" s="1639"/>
      <c r="D60" s="1639"/>
      <c r="E60" s="1639"/>
      <c r="G60" s="1648"/>
    </row>
    <row r="61" spans="2:45" ht="34.200000000000003" x14ac:dyDescent="0.3">
      <c r="B61" s="1743" t="s">
        <v>4500</v>
      </c>
      <c r="C61" s="1743"/>
      <c r="D61" s="1743"/>
      <c r="E61" s="1743"/>
      <c r="F61" s="1192"/>
      <c r="G61" s="1648"/>
      <c r="H61" s="1192" t="s">
        <v>3901</v>
      </c>
      <c r="I61" s="1192"/>
      <c r="J61" s="1192"/>
      <c r="K61" s="1192"/>
      <c r="L61" s="1192"/>
      <c r="M61" s="1192"/>
      <c r="N61" s="1192"/>
      <c r="O61" s="1192"/>
      <c r="P61" s="1192"/>
      <c r="Q61" s="1192"/>
      <c r="AA61" s="1649" t="s">
        <v>4500</v>
      </c>
    </row>
    <row r="62" spans="2:45" s="1192" customFormat="1" ht="6.75" customHeight="1" x14ac:dyDescent="0.3">
      <c r="B62" s="1639"/>
      <c r="C62" s="1639"/>
      <c r="D62" s="1639"/>
      <c r="E62" s="1639"/>
      <c r="G62" s="1648"/>
    </row>
    <row r="63" spans="2:45" ht="11.25" customHeight="1" x14ac:dyDescent="0.3">
      <c r="B63" s="1748" t="s">
        <v>2394</v>
      </c>
      <c r="C63" s="1749"/>
      <c r="D63" s="1749"/>
      <c r="E63" s="1749"/>
      <c r="F63" s="1192"/>
      <c r="G63" s="1648"/>
      <c r="H63" s="1192" t="s">
        <v>2413</v>
      </c>
      <c r="I63" s="1192"/>
      <c r="J63" s="1192"/>
      <c r="K63" s="1192"/>
      <c r="L63" s="1192"/>
      <c r="M63" s="1192"/>
      <c r="N63" s="1192"/>
      <c r="O63" s="1192"/>
      <c r="P63" s="1192"/>
      <c r="Q63" s="1192"/>
      <c r="AA63" s="1467" t="s">
        <v>2394</v>
      </c>
    </row>
    <row r="64" spans="2:45" s="1192" customFormat="1" ht="6.75" customHeight="1" x14ac:dyDescent="0.3">
      <c r="B64" s="1643"/>
      <c r="C64" s="1644"/>
      <c r="D64" s="1644"/>
      <c r="E64" s="1644"/>
      <c r="G64" s="1648"/>
    </row>
    <row r="65" spans="2:26" ht="11.25" customHeight="1" x14ac:dyDescent="0.3">
      <c r="B65" s="1740" t="s">
        <v>7</v>
      </c>
      <c r="C65" s="1740"/>
      <c r="D65" s="524" t="s">
        <v>19</v>
      </c>
      <c r="E65" s="1218">
        <v>21.46</v>
      </c>
      <c r="F65" s="1192"/>
      <c r="G65" s="1648"/>
      <c r="H65" s="1192" t="s">
        <v>3901</v>
      </c>
      <c r="I65" s="1192" t="s">
        <v>430</v>
      </c>
      <c r="J65" s="1192"/>
      <c r="K65" s="1192"/>
      <c r="L65" s="1192"/>
      <c r="M65" s="1192" t="s">
        <v>3902</v>
      </c>
      <c r="N65" s="1192"/>
      <c r="O65" s="1192"/>
      <c r="P65" s="1192"/>
      <c r="Q65" s="1192"/>
      <c r="Z65" s="1650" t="s">
        <v>7</v>
      </c>
    </row>
    <row r="66" spans="2:26" ht="11.25" customHeight="1" x14ac:dyDescent="0.3">
      <c r="B66" s="1740" t="s">
        <v>3900</v>
      </c>
      <c r="C66" s="1740"/>
      <c r="D66" s="524" t="s">
        <v>19</v>
      </c>
      <c r="E66" s="1218">
        <v>0.56999999999999995</v>
      </c>
      <c r="F66" s="1192"/>
      <c r="G66" s="1648"/>
      <c r="H66" s="1192" t="s">
        <v>3901</v>
      </c>
      <c r="I66" s="1192" t="s">
        <v>431</v>
      </c>
      <c r="J66" s="1192"/>
      <c r="K66" s="1192"/>
      <c r="L66" s="1192"/>
      <c r="M66" s="1192" t="s">
        <v>3903</v>
      </c>
      <c r="N66" s="1192"/>
      <c r="O66" s="1192"/>
      <c r="P66" s="1192"/>
      <c r="Q66" s="1192">
        <v>44926</v>
      </c>
      <c r="Z66" s="1650" t="s">
        <v>3900</v>
      </c>
    </row>
    <row r="67" spans="2:26" ht="11.25" customHeight="1" x14ac:dyDescent="0.3">
      <c r="B67" s="1740" t="s">
        <v>80</v>
      </c>
      <c r="C67" s="1740"/>
      <c r="D67" s="524" t="s">
        <v>20</v>
      </c>
      <c r="E67" s="1219">
        <v>2.24E-2</v>
      </c>
      <c r="F67" s="1192"/>
      <c r="G67" s="1648"/>
      <c r="H67" s="1192" t="s">
        <v>3901</v>
      </c>
      <c r="I67" s="1192" t="s">
        <v>430</v>
      </c>
      <c r="J67" s="1192"/>
      <c r="K67" s="1192"/>
      <c r="L67" s="1192"/>
      <c r="M67" s="1192" t="s">
        <v>3904</v>
      </c>
      <c r="N67" s="1192"/>
      <c r="O67" s="1192"/>
      <c r="P67" s="1192"/>
      <c r="Q67" s="1192"/>
      <c r="Z67" s="1650" t="s">
        <v>80</v>
      </c>
    </row>
    <row r="68" spans="2:26" ht="11.25" customHeight="1" x14ac:dyDescent="0.3">
      <c r="B68" s="1740" t="s">
        <v>14</v>
      </c>
      <c r="C68" s="1740"/>
      <c r="D68" s="524" t="s">
        <v>20</v>
      </c>
      <c r="E68" s="1219">
        <v>2.7000000000000001E-3</v>
      </c>
      <c r="F68" s="1192"/>
      <c r="G68" s="1648"/>
      <c r="H68" s="1192" t="s">
        <v>3901</v>
      </c>
      <c r="I68" s="1192" t="s">
        <v>431</v>
      </c>
      <c r="J68" s="1192"/>
      <c r="K68" s="1192"/>
      <c r="L68" s="1192"/>
      <c r="M68" s="1192" t="s">
        <v>3905</v>
      </c>
      <c r="N68" s="1192"/>
      <c r="O68" s="1192"/>
      <c r="P68" s="1192"/>
      <c r="Q68" s="1192"/>
      <c r="Z68" s="1650" t="s">
        <v>14</v>
      </c>
    </row>
    <row r="69" spans="2:26" ht="20.399999999999999" x14ac:dyDescent="0.3">
      <c r="B69" s="1740" t="s">
        <v>6123</v>
      </c>
      <c r="C69" s="1740"/>
      <c r="D69" s="524" t="s">
        <v>20</v>
      </c>
      <c r="E69" s="1219">
        <v>1.1000000000000001E-3</v>
      </c>
      <c r="F69" s="1192"/>
      <c r="G69" s="1648"/>
      <c r="H69" s="1192" t="s">
        <v>3901</v>
      </c>
      <c r="I69" s="1192" t="s">
        <v>430</v>
      </c>
      <c r="J69" s="1192"/>
      <c r="K69" s="1192"/>
      <c r="L69" s="1192"/>
      <c r="M69" s="1192" t="s">
        <v>4000</v>
      </c>
      <c r="N69" s="1192"/>
      <c r="O69" s="1192"/>
      <c r="P69" s="1192"/>
      <c r="Q69" s="1192">
        <v>44196</v>
      </c>
      <c r="R69" t="s">
        <v>603</v>
      </c>
      <c r="Z69" s="1650" t="s">
        <v>6123</v>
      </c>
    </row>
    <row r="70" spans="2:26" ht="20.399999999999999" x14ac:dyDescent="0.3">
      <c r="B70" s="1740" t="s">
        <v>4538</v>
      </c>
      <c r="C70" s="1740"/>
      <c r="D70" s="524" t="s">
        <v>20</v>
      </c>
      <c r="E70" s="1219">
        <v>1E-3</v>
      </c>
      <c r="F70" s="1192"/>
      <c r="G70" s="1648"/>
      <c r="H70" s="1192" t="s">
        <v>3901</v>
      </c>
      <c r="I70" s="1192" t="s">
        <v>430</v>
      </c>
      <c r="J70" s="1192"/>
      <c r="K70" s="1192"/>
      <c r="L70" s="1192"/>
      <c r="M70" s="1192" t="s">
        <v>4000</v>
      </c>
      <c r="N70" s="1192"/>
      <c r="O70" s="1192"/>
      <c r="P70" s="1192"/>
      <c r="Q70" s="1192">
        <v>44561</v>
      </c>
      <c r="Z70" s="1650" t="s">
        <v>4538</v>
      </c>
    </row>
    <row r="71" spans="2:26" x14ac:dyDescent="0.3">
      <c r="B71" s="1740" t="s">
        <v>4535</v>
      </c>
      <c r="C71" s="1740"/>
      <c r="D71" s="524" t="s">
        <v>20</v>
      </c>
      <c r="E71" s="1219">
        <v>-5.0000000000000001E-4</v>
      </c>
      <c r="F71" s="1192"/>
      <c r="G71" s="1648"/>
      <c r="H71" s="1192" t="s">
        <v>3901</v>
      </c>
      <c r="I71" s="1192" t="s">
        <v>430</v>
      </c>
      <c r="J71" s="1192"/>
      <c r="K71" s="1192"/>
      <c r="L71" s="1192"/>
      <c r="M71" s="1192" t="s">
        <v>6124</v>
      </c>
      <c r="N71" s="1192"/>
      <c r="O71" s="1192"/>
      <c r="P71" s="1192"/>
      <c r="Q71" s="1192">
        <v>44196</v>
      </c>
      <c r="R71" t="s">
        <v>603</v>
      </c>
      <c r="Z71" s="1650" t="s">
        <v>4535</v>
      </c>
    </row>
    <row r="72" spans="2:26" x14ac:dyDescent="0.3">
      <c r="B72" s="1740" t="s">
        <v>4536</v>
      </c>
      <c r="C72" s="1740"/>
      <c r="D72" s="524" t="s">
        <v>20</v>
      </c>
      <c r="E72" s="1219">
        <v>-6.9999999999999999E-4</v>
      </c>
      <c r="F72" s="1192"/>
      <c r="G72" s="1648" t="s">
        <v>603</v>
      </c>
      <c r="H72" s="1192" t="s">
        <v>3901</v>
      </c>
      <c r="I72" s="1192" t="s">
        <v>430</v>
      </c>
      <c r="J72" s="1192"/>
      <c r="K72" s="1192"/>
      <c r="L72" s="1192"/>
      <c r="M72" s="1192" t="s">
        <v>6125</v>
      </c>
      <c r="N72" s="1192"/>
      <c r="O72" s="1192"/>
      <c r="P72" s="1192"/>
      <c r="Q72" s="1192">
        <v>44561</v>
      </c>
      <c r="Z72" s="1650" t="s">
        <v>4536</v>
      </c>
    </row>
    <row r="73" spans="2:26" ht="20.399999999999999" x14ac:dyDescent="0.3">
      <c r="B73" s="1740" t="s">
        <v>4537</v>
      </c>
      <c r="C73" s="1740"/>
      <c r="D73" s="524" t="s">
        <v>20</v>
      </c>
      <c r="E73" s="1219">
        <v>-4.0000000000000002E-4</v>
      </c>
      <c r="F73" s="1192"/>
      <c r="G73" s="1648" t="s">
        <v>7382</v>
      </c>
      <c r="H73" s="1192" t="s">
        <v>3901</v>
      </c>
      <c r="I73" s="1192" t="s">
        <v>430</v>
      </c>
      <c r="J73" s="1192"/>
      <c r="K73" s="1192"/>
      <c r="L73" s="1192"/>
      <c r="M73" s="1192" t="s">
        <v>6126</v>
      </c>
      <c r="N73" s="1192"/>
      <c r="O73" s="1192"/>
      <c r="P73" s="1192"/>
      <c r="Q73" s="1192"/>
      <c r="Z73" s="1650" t="s">
        <v>4537</v>
      </c>
    </row>
    <row r="74" spans="2:26" ht="11.25" customHeight="1" x14ac:dyDescent="0.3">
      <c r="B74" s="1740" t="s">
        <v>213</v>
      </c>
      <c r="C74" s="1740"/>
      <c r="D74" s="524" t="s">
        <v>20</v>
      </c>
      <c r="E74" s="1219">
        <v>6.1000000000000004E-3</v>
      </c>
      <c r="F74" s="1192"/>
      <c r="G74" s="1648"/>
      <c r="H74" s="1192" t="s">
        <v>3901</v>
      </c>
      <c r="I74" s="1192" t="s">
        <v>432</v>
      </c>
      <c r="J74" s="1192"/>
      <c r="K74" s="1192"/>
      <c r="L74" s="1192"/>
      <c r="M74" s="1192" t="s">
        <v>3906</v>
      </c>
      <c r="N74" s="1192"/>
      <c r="O74" s="1192"/>
      <c r="P74" s="1192"/>
      <c r="Q74" s="1192"/>
      <c r="Z74" s="1650" t="s">
        <v>213</v>
      </c>
    </row>
    <row r="75" spans="2:26" ht="11.25" customHeight="1" x14ac:dyDescent="0.3">
      <c r="B75" s="1740" t="s">
        <v>209</v>
      </c>
      <c r="C75" s="1740"/>
      <c r="D75" s="524" t="s">
        <v>20</v>
      </c>
      <c r="E75" s="1219">
        <v>5.1000000000000004E-3</v>
      </c>
      <c r="F75" s="1192"/>
      <c r="G75" s="1648"/>
      <c r="H75" s="1192" t="s">
        <v>3901</v>
      </c>
      <c r="I75" s="1192" t="s">
        <v>432</v>
      </c>
      <c r="J75" s="1192"/>
      <c r="K75" s="1192"/>
      <c r="L75" s="1192"/>
      <c r="M75" s="1192" t="s">
        <v>3907</v>
      </c>
      <c r="N75" s="1192"/>
      <c r="O75" s="1192"/>
      <c r="P75" s="1192"/>
      <c r="Q75" s="1192"/>
      <c r="Z75" s="1650" t="s">
        <v>209</v>
      </c>
    </row>
    <row r="76" spans="2:26" s="1192" customFormat="1" ht="6.75" customHeight="1" x14ac:dyDescent="0.3">
      <c r="B76" s="1640"/>
      <c r="C76" s="1640"/>
      <c r="D76" s="524"/>
      <c r="E76" s="1219"/>
      <c r="G76" s="1648"/>
    </row>
    <row r="77" spans="2:26" ht="11.25" customHeight="1" x14ac:dyDescent="0.3">
      <c r="B77" s="1748" t="s">
        <v>2405</v>
      </c>
      <c r="C77" s="1740"/>
      <c r="D77" s="1277"/>
      <c r="E77" s="896"/>
      <c r="F77" s="1192"/>
      <c r="G77" s="1648"/>
      <c r="H77" s="1192" t="s">
        <v>2418</v>
      </c>
      <c r="I77" s="1192"/>
      <c r="J77" s="1192"/>
      <c r="K77" s="1192"/>
      <c r="L77" s="1192"/>
      <c r="M77" s="1192"/>
      <c r="N77" s="1192"/>
      <c r="O77" s="1192"/>
      <c r="P77" s="1192"/>
      <c r="Q77" s="1192"/>
      <c r="Z77" s="1467" t="s">
        <v>2405</v>
      </c>
    </row>
    <row r="78" spans="2:26" s="1192" customFormat="1" ht="6.75" customHeight="1" x14ac:dyDescent="0.3">
      <c r="B78" s="1643"/>
      <c r="C78" s="1640"/>
      <c r="D78" s="1277"/>
      <c r="E78" s="896"/>
      <c r="G78" s="1648"/>
    </row>
    <row r="79" spans="2:26" ht="11.25" customHeight="1" x14ac:dyDescent="0.3">
      <c r="B79" s="1740" t="s">
        <v>2033</v>
      </c>
      <c r="C79" s="1740"/>
      <c r="D79" s="524" t="s">
        <v>20</v>
      </c>
      <c r="E79" s="1219">
        <v>3.0000000000000001E-3</v>
      </c>
      <c r="F79" s="1192"/>
      <c r="G79" s="1648"/>
      <c r="H79" s="1192" t="s">
        <v>3901</v>
      </c>
      <c r="I79" s="1192" t="s">
        <v>2374</v>
      </c>
      <c r="J79" s="1192"/>
      <c r="K79" s="1192"/>
      <c r="L79" s="1192"/>
      <c r="M79" s="1192" t="s">
        <v>3908</v>
      </c>
      <c r="N79" s="1192"/>
      <c r="O79" s="1192"/>
      <c r="P79" s="1192"/>
      <c r="Q79" s="1192"/>
      <c r="Z79" s="1650" t="s">
        <v>2033</v>
      </c>
    </row>
    <row r="80" spans="2:26" ht="11.25" customHeight="1" x14ac:dyDescent="0.3">
      <c r="B80" s="1740" t="s">
        <v>2034</v>
      </c>
      <c r="C80" s="1740"/>
      <c r="D80" s="524" t="s">
        <v>20</v>
      </c>
      <c r="E80" s="1219">
        <v>4.0000000000000002E-4</v>
      </c>
      <c r="F80" s="1192"/>
      <c r="G80" s="1648"/>
      <c r="H80" s="1192" t="s">
        <v>3901</v>
      </c>
      <c r="I80" s="1192" t="s">
        <v>2374</v>
      </c>
      <c r="J80" s="1192"/>
      <c r="K80" s="1192"/>
      <c r="L80" s="1192"/>
      <c r="M80" s="1192" t="s">
        <v>3908</v>
      </c>
      <c r="N80" s="1192"/>
      <c r="O80" s="1192"/>
      <c r="P80" s="1192"/>
      <c r="Q80" s="1192"/>
      <c r="Z80" s="1650" t="s">
        <v>2034</v>
      </c>
    </row>
    <row r="81" spans="2:45" ht="11.25" customHeight="1" x14ac:dyDescent="0.3">
      <c r="B81" s="1740" t="s">
        <v>428</v>
      </c>
      <c r="C81" s="1740"/>
      <c r="D81" s="524" t="s">
        <v>20</v>
      </c>
      <c r="E81" s="1219">
        <v>5.0000000000000001E-4</v>
      </c>
      <c r="F81" s="1192"/>
      <c r="G81" s="1648"/>
      <c r="H81" s="1192" t="s">
        <v>3901</v>
      </c>
      <c r="I81" s="1192" t="s">
        <v>2374</v>
      </c>
      <c r="J81" s="1192"/>
      <c r="K81" s="1192"/>
      <c r="L81" s="1192"/>
      <c r="M81" s="1192" t="s">
        <v>3909</v>
      </c>
      <c r="N81" s="1192"/>
      <c r="O81" s="1192"/>
      <c r="P81" s="1192"/>
      <c r="Q81" s="1192"/>
      <c r="Z81" s="1650" t="s">
        <v>428</v>
      </c>
    </row>
    <row r="82" spans="2:45" ht="11.25" customHeight="1" x14ac:dyDescent="0.3">
      <c r="B82" s="1740" t="s">
        <v>28</v>
      </c>
      <c r="C82" s="1740"/>
      <c r="D82" s="524" t="s">
        <v>19</v>
      </c>
      <c r="E82" s="1218">
        <v>0.25</v>
      </c>
      <c r="F82" s="1192"/>
      <c r="G82" s="1648"/>
      <c r="H82" s="1192" t="s">
        <v>3901</v>
      </c>
      <c r="I82" s="1192" t="s">
        <v>2374</v>
      </c>
      <c r="J82" s="1192"/>
      <c r="K82" s="1192"/>
      <c r="L82" s="1192"/>
      <c r="M82" s="1192" t="s">
        <v>3910</v>
      </c>
      <c r="N82" s="1192"/>
      <c r="O82" s="1192"/>
      <c r="P82" s="1192"/>
      <c r="Q82" s="1192"/>
      <c r="Z82" s="1650" t="s">
        <v>28</v>
      </c>
      <c r="AS82" t="s">
        <v>603</v>
      </c>
    </row>
    <row r="83" spans="2:45" s="1464" customFormat="1" ht="18" customHeight="1" x14ac:dyDescent="0.35">
      <c r="B83" s="1746" t="s">
        <v>611</v>
      </c>
      <c r="C83" s="1747"/>
      <c r="D83" s="1747"/>
      <c r="E83" s="1747"/>
      <c r="G83" s="1468"/>
      <c r="H83" s="1464" t="s">
        <v>2708</v>
      </c>
      <c r="AA83" s="1465" t="s">
        <v>611</v>
      </c>
    </row>
    <row r="84" spans="2:45" ht="45.6" x14ac:dyDescent="0.3">
      <c r="B84" s="1743" t="s">
        <v>4406</v>
      </c>
      <c r="C84" s="1743"/>
      <c r="D84" s="1743"/>
      <c r="E84" s="1743"/>
      <c r="F84" s="1192"/>
      <c r="G84" s="1648"/>
      <c r="H84" s="1192" t="s">
        <v>2708</v>
      </c>
      <c r="I84" s="1192"/>
      <c r="J84" s="1192"/>
      <c r="K84" s="1192"/>
      <c r="L84" s="1192"/>
      <c r="M84" s="1192"/>
      <c r="N84" s="1192"/>
      <c r="O84" s="1192"/>
      <c r="P84" s="1192"/>
      <c r="Q84" s="1192"/>
      <c r="AA84" s="1649" t="s">
        <v>4406</v>
      </c>
    </row>
    <row r="85" spans="2:45" s="1192" customFormat="1" ht="6.75" customHeight="1" x14ac:dyDescent="0.3">
      <c r="B85" s="1639"/>
      <c r="C85" s="1639"/>
      <c r="D85" s="1639"/>
      <c r="E85" s="1639"/>
      <c r="G85" s="1648"/>
    </row>
    <row r="86" spans="2:45" ht="11.25" customHeight="1" x14ac:dyDescent="0.3">
      <c r="B86" s="1750" t="s">
        <v>2389</v>
      </c>
      <c r="C86" s="1743"/>
      <c r="D86" s="1743"/>
      <c r="E86" s="1743"/>
      <c r="F86" s="1192"/>
      <c r="G86" s="1648"/>
      <c r="H86" s="1192" t="s">
        <v>2422</v>
      </c>
      <c r="I86" s="1192"/>
      <c r="J86" s="1192"/>
      <c r="K86" s="1192"/>
      <c r="L86" s="1192"/>
      <c r="M86" s="1192"/>
      <c r="N86" s="1192"/>
      <c r="O86" s="1192"/>
      <c r="P86" s="1192"/>
      <c r="Q86" s="1192"/>
      <c r="AA86" s="1467" t="s">
        <v>2389</v>
      </c>
    </row>
    <row r="87" spans="2:45" s="1192" customFormat="1" ht="6.75" customHeight="1" x14ac:dyDescent="0.3">
      <c r="B87" s="1642"/>
      <c r="C87" s="1639"/>
      <c r="D87" s="1639"/>
      <c r="E87" s="1639"/>
      <c r="G87" s="1648"/>
    </row>
    <row r="88" spans="2:45" ht="34.200000000000003" x14ac:dyDescent="0.3">
      <c r="B88" s="1743" t="s">
        <v>2391</v>
      </c>
      <c r="C88" s="1743"/>
      <c r="D88" s="1743"/>
      <c r="E88" s="1743"/>
      <c r="F88" s="1192"/>
      <c r="G88" s="1648"/>
      <c r="H88" s="1192" t="s">
        <v>2708</v>
      </c>
      <c r="I88" s="1192"/>
      <c r="J88" s="1192"/>
      <c r="K88" s="1192"/>
      <c r="L88" s="1192"/>
      <c r="M88" s="1192"/>
      <c r="N88" s="1192"/>
      <c r="O88" s="1192"/>
      <c r="P88" s="1192"/>
      <c r="Q88" s="1192"/>
      <c r="AA88" s="1649" t="s">
        <v>2391</v>
      </c>
    </row>
    <row r="89" spans="2:45" s="1192" customFormat="1" ht="6.75" customHeight="1" x14ac:dyDescent="0.3">
      <c r="B89" s="1639"/>
      <c r="C89" s="1639"/>
      <c r="D89" s="1639"/>
      <c r="E89" s="1639"/>
      <c r="G89" s="1648"/>
    </row>
    <row r="90" spans="2:45" ht="45.6" x14ac:dyDescent="0.3">
      <c r="B90" s="1743" t="s">
        <v>2392</v>
      </c>
      <c r="C90" s="1743"/>
      <c r="D90" s="1743"/>
      <c r="E90" s="1743"/>
      <c r="F90" s="1192"/>
      <c r="G90" s="1648"/>
      <c r="H90" s="1192" t="s">
        <v>2708</v>
      </c>
      <c r="I90" s="1192"/>
      <c r="J90" s="1192"/>
      <c r="K90" s="1192"/>
      <c r="L90" s="1192"/>
      <c r="M90" s="1192"/>
      <c r="N90" s="1192"/>
      <c r="O90" s="1192"/>
      <c r="P90" s="1192"/>
      <c r="Q90" s="1192"/>
      <c r="AA90" s="1649" t="s">
        <v>2392</v>
      </c>
    </row>
    <row r="91" spans="2:45" s="1192" customFormat="1" ht="6.75" customHeight="1" x14ac:dyDescent="0.3">
      <c r="B91" s="1639"/>
      <c r="C91" s="1639"/>
      <c r="D91" s="1639"/>
      <c r="E91" s="1639"/>
      <c r="G91" s="1648"/>
    </row>
    <row r="92" spans="2:45" ht="45.6" x14ac:dyDescent="0.3">
      <c r="B92" s="1743" t="s">
        <v>2508</v>
      </c>
      <c r="C92" s="1743"/>
      <c r="D92" s="1743"/>
      <c r="E92" s="1743"/>
      <c r="F92" s="1192"/>
      <c r="G92" s="1648"/>
      <c r="H92" s="1192" t="s">
        <v>2708</v>
      </c>
      <c r="I92" s="1192"/>
      <c r="J92" s="1192"/>
      <c r="K92" s="1192"/>
      <c r="L92" s="1192"/>
      <c r="M92" s="1192"/>
      <c r="N92" s="1192"/>
      <c r="O92" s="1192"/>
      <c r="P92" s="1192"/>
      <c r="Q92" s="1192"/>
      <c r="AA92" s="1649" t="s">
        <v>2508</v>
      </c>
    </row>
    <row r="93" spans="2:45" s="1192" customFormat="1" ht="6.75" customHeight="1" x14ac:dyDescent="0.3">
      <c r="B93" s="1639"/>
      <c r="C93" s="1639"/>
      <c r="D93" s="1639"/>
      <c r="E93" s="1639"/>
      <c r="G93" s="1648"/>
    </row>
    <row r="94" spans="2:45" ht="68.400000000000006" x14ac:dyDescent="0.3">
      <c r="B94" s="1751" t="s">
        <v>4503</v>
      </c>
      <c r="C94" s="1751"/>
      <c r="D94" s="1751"/>
      <c r="E94" s="1751"/>
      <c r="F94" s="1192"/>
      <c r="G94" s="1648"/>
      <c r="H94" s="1192" t="s">
        <v>2708</v>
      </c>
      <c r="I94" s="1192"/>
      <c r="J94" s="1192"/>
      <c r="K94" s="1192"/>
      <c r="L94" s="1192"/>
      <c r="M94" s="1192"/>
      <c r="N94" s="1192"/>
      <c r="O94" s="1192"/>
      <c r="P94" s="1192"/>
      <c r="Q94" s="1192"/>
      <c r="AA94" s="1649" t="s">
        <v>4503</v>
      </c>
    </row>
    <row r="95" spans="2:45" s="1192" customFormat="1" ht="6.75" customHeight="1" x14ac:dyDescent="0.3">
      <c r="B95" s="1645"/>
      <c r="C95" s="1645"/>
      <c r="D95" s="1645"/>
      <c r="E95" s="1645"/>
      <c r="G95" s="1648"/>
    </row>
    <row r="96" spans="2:45" ht="68.400000000000006" x14ac:dyDescent="0.3">
      <c r="B96" s="1743" t="s">
        <v>4644</v>
      </c>
      <c r="C96" s="1743"/>
      <c r="D96" s="1743"/>
      <c r="E96" s="1743"/>
      <c r="F96" s="1192"/>
      <c r="G96" s="1648"/>
      <c r="H96" s="1192" t="s">
        <v>2708</v>
      </c>
      <c r="I96" s="1192"/>
      <c r="J96" s="1192"/>
      <c r="K96" s="1192"/>
      <c r="L96" s="1192"/>
      <c r="M96" s="1192"/>
      <c r="N96" s="1192"/>
      <c r="O96" s="1192"/>
      <c r="P96" s="1192"/>
      <c r="Q96" s="1192"/>
      <c r="AA96" s="1649" t="s">
        <v>4644</v>
      </c>
    </row>
    <row r="97" spans="2:27" s="1192" customFormat="1" ht="6.75" customHeight="1" x14ac:dyDescent="0.3">
      <c r="B97" s="1639"/>
      <c r="C97" s="1639"/>
      <c r="D97" s="1639"/>
      <c r="E97" s="1639"/>
      <c r="G97" s="1648"/>
    </row>
    <row r="98" spans="2:27" ht="34.200000000000003" x14ac:dyDescent="0.3">
      <c r="B98" s="1743" t="s">
        <v>4500</v>
      </c>
      <c r="C98" s="1743"/>
      <c r="D98" s="1743"/>
      <c r="E98" s="1743"/>
      <c r="F98" s="1192"/>
      <c r="G98" s="1648"/>
      <c r="H98" s="1192" t="s">
        <v>2708</v>
      </c>
      <c r="I98" s="1192"/>
      <c r="J98" s="1192"/>
      <c r="K98" s="1192"/>
      <c r="L98" s="1192"/>
      <c r="M98" s="1192"/>
      <c r="N98" s="1192"/>
      <c r="O98" s="1192"/>
      <c r="P98" s="1192"/>
      <c r="Q98" s="1192"/>
      <c r="AA98" s="1649" t="s">
        <v>4500</v>
      </c>
    </row>
    <row r="99" spans="2:27" s="1192" customFormat="1" ht="6.75" customHeight="1" x14ac:dyDescent="0.3">
      <c r="B99" s="1639"/>
      <c r="C99" s="1639"/>
      <c r="D99" s="1639"/>
      <c r="E99" s="1639"/>
      <c r="G99" s="1648"/>
    </row>
    <row r="100" spans="2:27" ht="11.25" customHeight="1" x14ac:dyDescent="0.3">
      <c r="B100" s="1748" t="s">
        <v>2394</v>
      </c>
      <c r="C100" s="1749"/>
      <c r="D100" s="1749"/>
      <c r="E100" s="1749"/>
      <c r="F100" s="1192"/>
      <c r="G100" s="1648"/>
      <c r="H100" s="1192" t="s">
        <v>2423</v>
      </c>
      <c r="I100" s="1192"/>
      <c r="J100" s="1192"/>
      <c r="K100" s="1192"/>
      <c r="L100" s="1192"/>
      <c r="M100" s="1192"/>
      <c r="N100" s="1192"/>
      <c r="O100" s="1192"/>
      <c r="P100" s="1192"/>
      <c r="Q100" s="1192"/>
      <c r="AA100" s="1467" t="s">
        <v>2394</v>
      </c>
    </row>
    <row r="101" spans="2:27" s="1192" customFormat="1" ht="6.75" customHeight="1" x14ac:dyDescent="0.3">
      <c r="B101" s="1643"/>
      <c r="C101" s="1644"/>
      <c r="D101" s="1644"/>
      <c r="E101" s="1644"/>
      <c r="G101" s="1648"/>
    </row>
    <row r="102" spans="2:27" ht="11.25" customHeight="1" x14ac:dyDescent="0.3">
      <c r="B102" s="1740" t="s">
        <v>7</v>
      </c>
      <c r="C102" s="1740"/>
      <c r="D102" s="524" t="s">
        <v>19</v>
      </c>
      <c r="E102" s="1218">
        <v>175.16</v>
      </c>
      <c r="F102" s="1192"/>
      <c r="G102" s="1648"/>
      <c r="H102" s="1192" t="s">
        <v>2708</v>
      </c>
      <c r="I102" s="1192" t="s">
        <v>430</v>
      </c>
      <c r="J102" s="1192"/>
      <c r="K102" s="1192"/>
      <c r="L102" s="1192"/>
      <c r="M102" s="1192" t="s">
        <v>2709</v>
      </c>
      <c r="N102" s="1192"/>
      <c r="O102" s="1192"/>
      <c r="P102" s="1192"/>
      <c r="Q102" s="1192"/>
      <c r="Z102" s="1650" t="s">
        <v>7</v>
      </c>
    </row>
    <row r="103" spans="2:27" ht="11.25" customHeight="1" x14ac:dyDescent="0.3">
      <c r="B103" s="1740" t="s">
        <v>80</v>
      </c>
      <c r="C103" s="1740"/>
      <c r="D103" s="524" t="s">
        <v>29</v>
      </c>
      <c r="E103" s="1219">
        <v>4.3140999999999998</v>
      </c>
      <c r="F103" s="1192"/>
      <c r="G103" s="1648"/>
      <c r="H103" s="1192" t="s">
        <v>2708</v>
      </c>
      <c r="I103" s="1192" t="s">
        <v>430</v>
      </c>
      <c r="J103" s="1192"/>
      <c r="K103" s="1192"/>
      <c r="L103" s="1192"/>
      <c r="M103" s="1192" t="s">
        <v>2710</v>
      </c>
      <c r="N103" s="1192"/>
      <c r="O103" s="1192"/>
      <c r="P103" s="1192"/>
      <c r="Q103" s="1192"/>
      <c r="Z103" s="1650" t="s">
        <v>80</v>
      </c>
    </row>
    <row r="104" spans="2:27" ht="11.25" customHeight="1" x14ac:dyDescent="0.3">
      <c r="B104" s="1740" t="s">
        <v>14</v>
      </c>
      <c r="C104" s="1740"/>
      <c r="D104" s="524" t="s">
        <v>29</v>
      </c>
      <c r="E104" s="1219">
        <v>0.99870000000000003</v>
      </c>
      <c r="F104" s="1192"/>
      <c r="G104" s="1648"/>
      <c r="H104" s="1192" t="s">
        <v>2708</v>
      </c>
      <c r="I104" s="1192" t="s">
        <v>431</v>
      </c>
      <c r="J104" s="1192"/>
      <c r="K104" s="1192"/>
      <c r="L104" s="1192"/>
      <c r="M104" s="1192" t="s">
        <v>2711</v>
      </c>
      <c r="N104" s="1192"/>
      <c r="O104" s="1192"/>
      <c r="P104" s="1192"/>
      <c r="Q104" s="1192"/>
      <c r="Z104" s="1650" t="s">
        <v>14</v>
      </c>
    </row>
    <row r="105" spans="2:27" ht="20.399999999999999" x14ac:dyDescent="0.3">
      <c r="B105" s="1740" t="s">
        <v>6122</v>
      </c>
      <c r="C105" s="1740"/>
      <c r="D105" s="524" t="s">
        <v>29</v>
      </c>
      <c r="E105" s="1219">
        <v>0.17879999999999999</v>
      </c>
      <c r="F105" s="1192"/>
      <c r="G105" s="1648"/>
      <c r="H105" s="1192" t="s">
        <v>2708</v>
      </c>
      <c r="I105" s="1192" t="s">
        <v>430</v>
      </c>
      <c r="J105" s="1192"/>
      <c r="K105" s="1192"/>
      <c r="L105" s="1192"/>
      <c r="M105" s="1192" t="s">
        <v>4407</v>
      </c>
      <c r="N105" s="1192"/>
      <c r="O105" s="1192"/>
      <c r="P105" s="1192"/>
      <c r="Q105" s="1192">
        <v>44196</v>
      </c>
      <c r="R105" t="s">
        <v>603</v>
      </c>
      <c r="Z105" s="1650" t="s">
        <v>6122</v>
      </c>
    </row>
    <row r="106" spans="2:27" ht="20.399999999999999" x14ac:dyDescent="0.3">
      <c r="B106" s="1740" t="s">
        <v>6127</v>
      </c>
      <c r="C106" s="1740"/>
      <c r="D106" s="524" t="s">
        <v>29</v>
      </c>
      <c r="E106" s="1219">
        <v>1.12E-2</v>
      </c>
      <c r="F106" s="1192"/>
      <c r="G106" s="1648"/>
      <c r="H106" s="1192" t="s">
        <v>2708</v>
      </c>
      <c r="I106" s="1192" t="s">
        <v>430</v>
      </c>
      <c r="J106" s="1192"/>
      <c r="K106" s="1192"/>
      <c r="L106" s="1192"/>
      <c r="M106" s="1192" t="s">
        <v>4407</v>
      </c>
      <c r="N106" s="1192"/>
      <c r="O106" s="1192"/>
      <c r="P106" s="1192"/>
      <c r="Q106" s="1192">
        <v>44561</v>
      </c>
      <c r="Z106" s="1650" t="s">
        <v>6127</v>
      </c>
    </row>
    <row r="107" spans="2:27" x14ac:dyDescent="0.3">
      <c r="B107" s="1740" t="s">
        <v>4535</v>
      </c>
      <c r="C107" s="1740"/>
      <c r="D107" s="524" t="s">
        <v>29</v>
      </c>
      <c r="E107" s="1219">
        <v>-7.4999999999999997E-2</v>
      </c>
      <c r="F107" s="1192"/>
      <c r="G107" s="1648"/>
      <c r="H107" s="1192" t="s">
        <v>2708</v>
      </c>
      <c r="I107" s="1192" t="s">
        <v>430</v>
      </c>
      <c r="J107" s="1192"/>
      <c r="K107" s="1192"/>
      <c r="L107" s="1192"/>
      <c r="M107" s="1192" t="s">
        <v>6128</v>
      </c>
      <c r="N107" s="1192"/>
      <c r="O107" s="1192"/>
      <c r="P107" s="1192"/>
      <c r="Q107" s="1192">
        <v>44196</v>
      </c>
      <c r="R107" t="s">
        <v>603</v>
      </c>
      <c r="Z107" s="1650" t="s">
        <v>4535</v>
      </c>
    </row>
    <row r="108" spans="2:27" x14ac:dyDescent="0.3">
      <c r="B108" s="1740" t="s">
        <v>4536</v>
      </c>
      <c r="C108" s="1740"/>
      <c r="D108" s="524" t="s">
        <v>29</v>
      </c>
      <c r="E108" s="1219">
        <v>-9.9900000000000003E-2</v>
      </c>
      <c r="F108" s="1192"/>
      <c r="G108" s="1648" t="s">
        <v>603</v>
      </c>
      <c r="H108" s="1192" t="s">
        <v>2708</v>
      </c>
      <c r="I108" s="1192" t="s">
        <v>430</v>
      </c>
      <c r="J108" s="1192"/>
      <c r="K108" s="1192"/>
      <c r="L108" s="1192"/>
      <c r="M108" s="1192" t="s">
        <v>6129</v>
      </c>
      <c r="N108" s="1192"/>
      <c r="O108" s="1192"/>
      <c r="P108" s="1192"/>
      <c r="Q108" s="1192">
        <v>44561</v>
      </c>
      <c r="Z108" s="1650" t="s">
        <v>4536</v>
      </c>
    </row>
    <row r="109" spans="2:27" ht="20.399999999999999" x14ac:dyDescent="0.3">
      <c r="B109" s="1740" t="s">
        <v>4539</v>
      </c>
      <c r="C109" s="1740"/>
      <c r="D109" s="524" t="s">
        <v>29</v>
      </c>
      <c r="E109" s="1219">
        <v>-5.1900000000000002E-2</v>
      </c>
      <c r="F109" s="1192"/>
      <c r="G109" s="1648" t="s">
        <v>7382</v>
      </c>
      <c r="H109" s="1192" t="s">
        <v>2708</v>
      </c>
      <c r="I109" s="1192" t="s">
        <v>430</v>
      </c>
      <c r="J109" s="1192"/>
      <c r="K109" s="1192"/>
      <c r="L109" s="1192"/>
      <c r="M109" s="1192" t="s">
        <v>6130</v>
      </c>
      <c r="N109" s="1192"/>
      <c r="O109" s="1192"/>
      <c r="P109" s="1192"/>
      <c r="Q109" s="1192"/>
      <c r="Z109" s="1650" t="s">
        <v>4539</v>
      </c>
    </row>
    <row r="110" spans="2:27" ht="11.25" customHeight="1" x14ac:dyDescent="0.3">
      <c r="B110" s="1740" t="s">
        <v>213</v>
      </c>
      <c r="C110" s="1740"/>
      <c r="D110" s="524" t="s">
        <v>29</v>
      </c>
      <c r="E110" s="1219">
        <v>2.4415</v>
      </c>
      <c r="F110" s="1192"/>
      <c r="G110" s="1648"/>
      <c r="H110" s="1192" t="s">
        <v>2708</v>
      </c>
      <c r="I110" s="1192" t="s">
        <v>432</v>
      </c>
      <c r="J110" s="1192"/>
      <c r="K110" s="1192"/>
      <c r="L110" s="1192"/>
      <c r="M110" s="1192" t="s">
        <v>2712</v>
      </c>
      <c r="N110" s="1192"/>
      <c r="O110" s="1192"/>
      <c r="P110" s="1192"/>
      <c r="Q110" s="1192"/>
      <c r="Z110" s="1650" t="s">
        <v>213</v>
      </c>
    </row>
    <row r="111" spans="2:27" ht="11.25" customHeight="1" x14ac:dyDescent="0.3">
      <c r="B111" s="1740" t="s">
        <v>209</v>
      </c>
      <c r="C111" s="1740"/>
      <c r="D111" s="524" t="s">
        <v>29</v>
      </c>
      <c r="E111" s="1219">
        <v>2.0007000000000001</v>
      </c>
      <c r="F111" s="1192"/>
      <c r="G111" s="1648"/>
      <c r="H111" s="1192" t="s">
        <v>2708</v>
      </c>
      <c r="I111" s="1192" t="s">
        <v>432</v>
      </c>
      <c r="J111" s="1192"/>
      <c r="K111" s="1192"/>
      <c r="L111" s="1192"/>
      <c r="M111" s="1192" t="s">
        <v>2713</v>
      </c>
      <c r="N111" s="1192"/>
      <c r="O111" s="1192"/>
      <c r="P111" s="1192"/>
      <c r="Q111" s="1192"/>
      <c r="Z111" s="1650" t="s">
        <v>209</v>
      </c>
    </row>
    <row r="112" spans="2:27" s="1192" customFormat="1" ht="6.75" customHeight="1" x14ac:dyDescent="0.3">
      <c r="B112" s="1640"/>
      <c r="C112" s="1640"/>
      <c r="D112" s="524"/>
      <c r="E112" s="1219"/>
      <c r="G112" s="1648"/>
    </row>
    <row r="113" spans="2:45" ht="11.25" customHeight="1" x14ac:dyDescent="0.3">
      <c r="B113" s="1748" t="s">
        <v>2405</v>
      </c>
      <c r="C113" s="1740"/>
      <c r="D113" s="1277"/>
      <c r="E113" s="896"/>
      <c r="F113" s="1192"/>
      <c r="G113" s="1648"/>
      <c r="H113" s="1192" t="s">
        <v>2526</v>
      </c>
      <c r="I113" s="1192"/>
      <c r="J113" s="1192"/>
      <c r="K113" s="1192"/>
      <c r="L113" s="1192"/>
      <c r="M113" s="1192"/>
      <c r="N113" s="1192"/>
      <c r="O113" s="1192"/>
      <c r="P113" s="1192"/>
      <c r="Q113" s="1192"/>
      <c r="Z113" s="1467" t="s">
        <v>2405</v>
      </c>
    </row>
    <row r="114" spans="2:45" s="1192" customFormat="1" ht="6.75" customHeight="1" x14ac:dyDescent="0.3">
      <c r="B114" s="1643"/>
      <c r="C114" s="1640"/>
      <c r="D114" s="1277"/>
      <c r="E114" s="896"/>
      <c r="G114" s="1648"/>
    </row>
    <row r="115" spans="2:45" ht="11.25" customHeight="1" x14ac:dyDescent="0.3">
      <c r="B115" s="1740" t="s">
        <v>2033</v>
      </c>
      <c r="C115" s="1740"/>
      <c r="D115" s="524" t="s">
        <v>20</v>
      </c>
      <c r="E115" s="1219">
        <v>3.0000000000000001E-3</v>
      </c>
      <c r="F115" s="1192"/>
      <c r="G115" s="1648"/>
      <c r="H115" s="1192" t="s">
        <v>2708</v>
      </c>
      <c r="I115" s="1192" t="s">
        <v>2374</v>
      </c>
      <c r="J115" s="1192"/>
      <c r="K115" s="1192"/>
      <c r="L115" s="1192"/>
      <c r="M115" s="1192" t="s">
        <v>2714</v>
      </c>
      <c r="N115" s="1192"/>
      <c r="O115" s="1192"/>
      <c r="P115" s="1192"/>
      <c r="Q115" s="1192"/>
      <c r="Z115" s="1650" t="s">
        <v>2033</v>
      </c>
    </row>
    <row r="116" spans="2:45" ht="11.25" customHeight="1" x14ac:dyDescent="0.3">
      <c r="B116" s="1740" t="s">
        <v>2034</v>
      </c>
      <c r="C116" s="1740"/>
      <c r="D116" s="524" t="s">
        <v>20</v>
      </c>
      <c r="E116" s="1219">
        <v>4.0000000000000002E-4</v>
      </c>
      <c r="F116" s="1192"/>
      <c r="G116" s="1648"/>
      <c r="H116" s="1192" t="s">
        <v>2708</v>
      </c>
      <c r="I116" s="1192" t="s">
        <v>2374</v>
      </c>
      <c r="J116" s="1192"/>
      <c r="K116" s="1192"/>
      <c r="L116" s="1192"/>
      <c r="M116" s="1192" t="s">
        <v>2714</v>
      </c>
      <c r="N116" s="1192"/>
      <c r="O116" s="1192"/>
      <c r="P116" s="1192"/>
      <c r="Q116" s="1192"/>
      <c r="Z116" s="1650" t="s">
        <v>2034</v>
      </c>
    </row>
    <row r="117" spans="2:45" ht="11.25" customHeight="1" x14ac:dyDescent="0.3">
      <c r="B117" s="1740" t="s">
        <v>428</v>
      </c>
      <c r="C117" s="1740"/>
      <c r="D117" s="524" t="s">
        <v>20</v>
      </c>
      <c r="E117" s="1219">
        <v>5.0000000000000001E-4</v>
      </c>
      <c r="F117" s="1192"/>
      <c r="G117" s="1648"/>
      <c r="H117" s="1192" t="s">
        <v>2708</v>
      </c>
      <c r="I117" s="1192" t="s">
        <v>2374</v>
      </c>
      <c r="J117" s="1192"/>
      <c r="K117" s="1192"/>
      <c r="L117" s="1192"/>
      <c r="M117" s="1192" t="s">
        <v>2715</v>
      </c>
      <c r="N117" s="1192"/>
      <c r="O117" s="1192"/>
      <c r="P117" s="1192"/>
      <c r="Q117" s="1192"/>
      <c r="Z117" s="1650" t="s">
        <v>428</v>
      </c>
    </row>
    <row r="118" spans="2:45" ht="11.25" customHeight="1" x14ac:dyDescent="0.3">
      <c r="B118" s="1740" t="s">
        <v>28</v>
      </c>
      <c r="C118" s="1740"/>
      <c r="D118" s="524" t="s">
        <v>19</v>
      </c>
      <c r="E118" s="1218">
        <v>0.25</v>
      </c>
      <c r="F118" s="1192"/>
      <c r="G118" s="1648"/>
      <c r="H118" s="1192" t="s">
        <v>2708</v>
      </c>
      <c r="I118" s="1192" t="s">
        <v>2374</v>
      </c>
      <c r="J118" s="1192"/>
      <c r="K118" s="1192"/>
      <c r="L118" s="1192"/>
      <c r="M118" s="1192" t="s">
        <v>2716</v>
      </c>
      <c r="N118" s="1192"/>
      <c r="O118" s="1192"/>
      <c r="P118" s="1192"/>
      <c r="Q118" s="1192"/>
      <c r="Z118" s="1650" t="s">
        <v>28</v>
      </c>
      <c r="AS118" t="s">
        <v>603</v>
      </c>
    </row>
    <row r="119" spans="2:45" s="1464" customFormat="1" ht="18" customHeight="1" x14ac:dyDescent="0.35">
      <c r="B119" s="1746" t="s">
        <v>612</v>
      </c>
      <c r="C119" s="1747"/>
      <c r="D119" s="1747"/>
      <c r="E119" s="1747"/>
      <c r="G119" s="1468"/>
      <c r="H119" s="1464" t="s">
        <v>2717</v>
      </c>
      <c r="AA119" s="1465" t="s">
        <v>612</v>
      </c>
    </row>
    <row r="120" spans="2:45" ht="45.6" x14ac:dyDescent="0.3">
      <c r="B120" s="1743" t="s">
        <v>4408</v>
      </c>
      <c r="C120" s="1743"/>
      <c r="D120" s="1743"/>
      <c r="E120" s="1743"/>
      <c r="F120" s="1192"/>
      <c r="G120" s="1648"/>
      <c r="H120" s="1192" t="s">
        <v>2717</v>
      </c>
      <c r="I120" s="1192"/>
      <c r="J120" s="1192"/>
      <c r="K120" s="1192"/>
      <c r="L120" s="1192"/>
      <c r="M120" s="1192"/>
      <c r="N120" s="1192"/>
      <c r="O120" s="1192"/>
      <c r="P120" s="1192"/>
      <c r="Q120" s="1192"/>
      <c r="AA120" s="1649" t="s">
        <v>4408</v>
      </c>
    </row>
    <row r="121" spans="2:45" s="1192" customFormat="1" ht="6.75" customHeight="1" x14ac:dyDescent="0.3">
      <c r="B121" s="1639"/>
      <c r="C121" s="1639"/>
      <c r="D121" s="1639"/>
      <c r="E121" s="1639"/>
      <c r="G121" s="1648"/>
    </row>
    <row r="122" spans="2:45" ht="11.25" customHeight="1" x14ac:dyDescent="0.3">
      <c r="B122" s="1750" t="s">
        <v>2389</v>
      </c>
      <c r="C122" s="1743"/>
      <c r="D122" s="1743"/>
      <c r="E122" s="1743"/>
      <c r="F122" s="1192"/>
      <c r="G122" s="1648"/>
      <c r="H122" s="1192" t="s">
        <v>2529</v>
      </c>
      <c r="I122" s="1192"/>
      <c r="J122" s="1192"/>
      <c r="K122" s="1192"/>
      <c r="L122" s="1192"/>
      <c r="M122" s="1192"/>
      <c r="N122" s="1192"/>
      <c r="O122" s="1192"/>
      <c r="P122" s="1192"/>
      <c r="Q122" s="1192"/>
      <c r="AA122" s="1467" t="s">
        <v>2389</v>
      </c>
    </row>
    <row r="123" spans="2:45" s="1192" customFormat="1" ht="6.75" customHeight="1" x14ac:dyDescent="0.3">
      <c r="B123" s="1642"/>
      <c r="C123" s="1639"/>
      <c r="D123" s="1639"/>
      <c r="E123" s="1639"/>
      <c r="G123" s="1648"/>
    </row>
    <row r="124" spans="2:45" ht="34.200000000000003" x14ac:dyDescent="0.3">
      <c r="B124" s="1743" t="s">
        <v>2391</v>
      </c>
      <c r="C124" s="1743"/>
      <c r="D124" s="1743"/>
      <c r="E124" s="1743"/>
      <c r="F124" s="1192"/>
      <c r="G124" s="1648"/>
      <c r="H124" s="1192" t="s">
        <v>2717</v>
      </c>
      <c r="I124" s="1192"/>
      <c r="J124" s="1192"/>
      <c r="K124" s="1192"/>
      <c r="L124" s="1192"/>
      <c r="M124" s="1192"/>
      <c r="N124" s="1192"/>
      <c r="O124" s="1192"/>
      <c r="P124" s="1192"/>
      <c r="Q124" s="1192"/>
      <c r="AA124" s="1649" t="s">
        <v>2391</v>
      </c>
    </row>
    <row r="125" spans="2:45" s="1192" customFormat="1" ht="6.75" customHeight="1" x14ac:dyDescent="0.3">
      <c r="B125" s="1639"/>
      <c r="C125" s="1639"/>
      <c r="D125" s="1639"/>
      <c r="E125" s="1639"/>
      <c r="G125" s="1648"/>
    </row>
    <row r="126" spans="2:45" ht="45.6" x14ac:dyDescent="0.3">
      <c r="B126" s="1743" t="s">
        <v>2392</v>
      </c>
      <c r="C126" s="1743"/>
      <c r="D126" s="1743"/>
      <c r="E126" s="1743"/>
      <c r="F126" s="1192"/>
      <c r="G126" s="1648"/>
      <c r="H126" s="1192" t="s">
        <v>2717</v>
      </c>
      <c r="I126" s="1192"/>
      <c r="J126" s="1192"/>
      <c r="K126" s="1192"/>
      <c r="L126" s="1192"/>
      <c r="M126" s="1192"/>
      <c r="N126" s="1192"/>
      <c r="O126" s="1192"/>
      <c r="P126" s="1192"/>
      <c r="Q126" s="1192"/>
      <c r="AA126" s="1649" t="s">
        <v>2392</v>
      </c>
    </row>
    <row r="127" spans="2:45" s="1192" customFormat="1" ht="6.75" customHeight="1" x14ac:dyDescent="0.3">
      <c r="B127" s="1639"/>
      <c r="C127" s="1639"/>
      <c r="D127" s="1639"/>
      <c r="E127" s="1639"/>
      <c r="G127" s="1648"/>
    </row>
    <row r="128" spans="2:45" ht="57" x14ac:dyDescent="0.3">
      <c r="B128" s="1743" t="s">
        <v>4409</v>
      </c>
      <c r="C128" s="1743"/>
      <c r="D128" s="1743"/>
      <c r="E128" s="1743"/>
      <c r="F128" s="1192"/>
      <c r="G128" s="1648"/>
      <c r="H128" s="1192" t="s">
        <v>2717</v>
      </c>
      <c r="I128" s="1192"/>
      <c r="J128" s="1192"/>
      <c r="K128" s="1192"/>
      <c r="L128" s="1192"/>
      <c r="M128" s="1192"/>
      <c r="N128" s="1192"/>
      <c r="O128" s="1192"/>
      <c r="P128" s="1192"/>
      <c r="Q128" s="1192"/>
      <c r="AA128" s="1649" t="s">
        <v>4409</v>
      </c>
    </row>
    <row r="129" spans="2:27" s="1192" customFormat="1" ht="6.75" customHeight="1" x14ac:dyDescent="0.3">
      <c r="B129" s="1639"/>
      <c r="C129" s="1639"/>
      <c r="D129" s="1639"/>
      <c r="E129" s="1639"/>
      <c r="G129" s="1648"/>
    </row>
    <row r="130" spans="2:27" ht="68.400000000000006" x14ac:dyDescent="0.3">
      <c r="B130" s="1751" t="s">
        <v>4503</v>
      </c>
      <c r="C130" s="1751"/>
      <c r="D130" s="1751"/>
      <c r="E130" s="1751"/>
      <c r="F130" s="1192"/>
      <c r="G130" s="1648"/>
      <c r="H130" s="1192" t="s">
        <v>2717</v>
      </c>
      <c r="I130" s="1192"/>
      <c r="J130" s="1192"/>
      <c r="K130" s="1192"/>
      <c r="L130" s="1192"/>
      <c r="M130" s="1192"/>
      <c r="N130" s="1192"/>
      <c r="O130" s="1192"/>
      <c r="P130" s="1192"/>
      <c r="Q130" s="1192"/>
      <c r="AA130" s="1649" t="s">
        <v>4503</v>
      </c>
    </row>
    <row r="131" spans="2:27" s="1192" customFormat="1" ht="6.75" customHeight="1" x14ac:dyDescent="0.3">
      <c r="B131" s="1645"/>
      <c r="C131" s="1645"/>
      <c r="D131" s="1645"/>
      <c r="E131" s="1645"/>
      <c r="G131" s="1648"/>
    </row>
    <row r="132" spans="2:27" ht="68.400000000000006" x14ac:dyDescent="0.3">
      <c r="B132" s="1751" t="s">
        <v>4644</v>
      </c>
      <c r="C132" s="1751"/>
      <c r="D132" s="1751"/>
      <c r="E132" s="1751"/>
      <c r="F132" s="1192"/>
      <c r="G132" s="1648"/>
      <c r="H132" s="1192" t="s">
        <v>2717</v>
      </c>
      <c r="I132" s="1192"/>
      <c r="J132" s="1192"/>
      <c r="K132" s="1192"/>
      <c r="L132" s="1192"/>
      <c r="M132" s="1192"/>
      <c r="N132" s="1192"/>
      <c r="O132" s="1192"/>
      <c r="P132" s="1192"/>
      <c r="Q132" s="1192"/>
      <c r="AA132" s="1649" t="s">
        <v>4644</v>
      </c>
    </row>
    <row r="133" spans="2:27" s="1192" customFormat="1" ht="6.75" customHeight="1" x14ac:dyDescent="0.3">
      <c r="B133" s="1645"/>
      <c r="C133" s="1645"/>
      <c r="D133" s="1645"/>
      <c r="E133" s="1645"/>
      <c r="G133" s="1648"/>
    </row>
    <row r="134" spans="2:27" ht="34.200000000000003" x14ac:dyDescent="0.3">
      <c r="B134" s="1743" t="s">
        <v>4500</v>
      </c>
      <c r="C134" s="1743"/>
      <c r="D134" s="1743"/>
      <c r="E134" s="1743"/>
      <c r="F134" s="1192"/>
      <c r="G134" s="1648"/>
      <c r="H134" s="1192" t="s">
        <v>2717</v>
      </c>
      <c r="I134" s="1192"/>
      <c r="J134" s="1192"/>
      <c r="K134" s="1192"/>
      <c r="L134" s="1192"/>
      <c r="M134" s="1192"/>
      <c r="N134" s="1192"/>
      <c r="O134" s="1192"/>
      <c r="P134" s="1192"/>
      <c r="Q134" s="1192"/>
      <c r="AA134" s="1649" t="s">
        <v>4500</v>
      </c>
    </row>
    <row r="135" spans="2:27" s="1192" customFormat="1" ht="6.75" customHeight="1" x14ac:dyDescent="0.3">
      <c r="B135" s="1639"/>
      <c r="C135" s="1639"/>
      <c r="D135" s="1639"/>
      <c r="E135" s="1639"/>
      <c r="G135" s="1648"/>
    </row>
    <row r="136" spans="2:27" ht="11.25" customHeight="1" x14ac:dyDescent="0.3">
      <c r="B136" s="1748" t="s">
        <v>2394</v>
      </c>
      <c r="C136" s="1749"/>
      <c r="D136" s="1749"/>
      <c r="E136" s="1749"/>
      <c r="F136" s="1192"/>
      <c r="G136" s="1648"/>
      <c r="H136" s="1192" t="s">
        <v>2531</v>
      </c>
      <c r="I136" s="1192"/>
      <c r="J136" s="1192"/>
      <c r="K136" s="1192"/>
      <c r="L136" s="1192"/>
      <c r="M136" s="1192"/>
      <c r="N136" s="1192"/>
      <c r="O136" s="1192"/>
      <c r="P136" s="1192"/>
      <c r="Q136" s="1192"/>
      <c r="AA136" s="1467" t="s">
        <v>2394</v>
      </c>
    </row>
    <row r="137" spans="2:27" s="1192" customFormat="1" ht="6.75" customHeight="1" x14ac:dyDescent="0.3">
      <c r="B137" s="1643"/>
      <c r="C137" s="1644"/>
      <c r="D137" s="1644"/>
      <c r="E137" s="1644"/>
      <c r="G137" s="1648"/>
    </row>
    <row r="138" spans="2:27" ht="11.25" customHeight="1" x14ac:dyDescent="0.3">
      <c r="B138" s="1740" t="s">
        <v>7</v>
      </c>
      <c r="C138" s="1740"/>
      <c r="D138" s="524" t="s">
        <v>19</v>
      </c>
      <c r="E138" s="1218">
        <v>705.89</v>
      </c>
      <c r="F138" s="1192"/>
      <c r="G138" s="1648"/>
      <c r="H138" s="1192" t="s">
        <v>2717</v>
      </c>
      <c r="I138" s="1192" t="s">
        <v>430</v>
      </c>
      <c r="J138" s="1192"/>
      <c r="K138" s="1192"/>
      <c r="L138" s="1192"/>
      <c r="M138" s="1192" t="s">
        <v>2718</v>
      </c>
      <c r="N138" s="1192"/>
      <c r="O138" s="1192"/>
      <c r="P138" s="1192"/>
      <c r="Q138" s="1192"/>
      <c r="Z138" s="1650" t="s">
        <v>7</v>
      </c>
    </row>
    <row r="139" spans="2:27" ht="11.25" customHeight="1" x14ac:dyDescent="0.3">
      <c r="B139" s="1740" t="s">
        <v>80</v>
      </c>
      <c r="C139" s="1740"/>
      <c r="D139" s="524" t="s">
        <v>29</v>
      </c>
      <c r="E139" s="1219">
        <v>3.2704</v>
      </c>
      <c r="F139" s="1192"/>
      <c r="G139" s="1648"/>
      <c r="H139" s="1192" t="s">
        <v>2717</v>
      </c>
      <c r="I139" s="1192" t="s">
        <v>430</v>
      </c>
      <c r="J139" s="1192"/>
      <c r="K139" s="1192"/>
      <c r="L139" s="1192"/>
      <c r="M139" s="1192" t="s">
        <v>2719</v>
      </c>
      <c r="N139" s="1192"/>
      <c r="O139" s="1192"/>
      <c r="P139" s="1192"/>
      <c r="Q139" s="1192"/>
      <c r="Z139" s="1650" t="s">
        <v>80</v>
      </c>
    </row>
    <row r="140" spans="2:27" ht="11.25" customHeight="1" x14ac:dyDescent="0.3">
      <c r="B140" s="1740" t="s">
        <v>14</v>
      </c>
      <c r="C140" s="1740"/>
      <c r="D140" s="524" t="s">
        <v>29</v>
      </c>
      <c r="E140" s="1219">
        <v>1.1778</v>
      </c>
      <c r="F140" s="1192"/>
      <c r="G140" s="1648"/>
      <c r="H140" s="1192" t="s">
        <v>2717</v>
      </c>
      <c r="I140" s="1192" t="s">
        <v>431</v>
      </c>
      <c r="J140" s="1192"/>
      <c r="K140" s="1192"/>
      <c r="L140" s="1192"/>
      <c r="M140" s="1192" t="s">
        <v>2720</v>
      </c>
      <c r="N140" s="1192"/>
      <c r="O140" s="1192"/>
      <c r="P140" s="1192"/>
      <c r="Q140" s="1192"/>
      <c r="Z140" s="1650" t="s">
        <v>14</v>
      </c>
    </row>
    <row r="141" spans="2:27" ht="20.399999999999999" x14ac:dyDescent="0.3">
      <c r="B141" s="1740" t="s">
        <v>6122</v>
      </c>
      <c r="C141" s="1740"/>
      <c r="D141" s="524" t="s">
        <v>29</v>
      </c>
      <c r="E141" s="1219">
        <v>-0.318</v>
      </c>
      <c r="F141" s="1192"/>
      <c r="G141" s="1648"/>
      <c r="H141" s="1192" t="s">
        <v>2717</v>
      </c>
      <c r="I141" s="1192" t="s">
        <v>430</v>
      </c>
      <c r="J141" s="1192"/>
      <c r="K141" s="1192"/>
      <c r="L141" s="1192"/>
      <c r="M141" s="1192" t="s">
        <v>4410</v>
      </c>
      <c r="N141" s="1192"/>
      <c r="O141" s="1192"/>
      <c r="P141" s="1192"/>
      <c r="Q141" s="1192">
        <v>44196</v>
      </c>
      <c r="R141" t="s">
        <v>603</v>
      </c>
      <c r="Z141" s="1650" t="s">
        <v>6122</v>
      </c>
    </row>
    <row r="142" spans="2:27" ht="20.399999999999999" x14ac:dyDescent="0.3">
      <c r="B142" s="1740" t="s">
        <v>4538</v>
      </c>
      <c r="C142" s="1740"/>
      <c r="D142" s="524" t="s">
        <v>29</v>
      </c>
      <c r="E142" s="1219">
        <v>-1.95E-2</v>
      </c>
      <c r="F142" s="1192"/>
      <c r="G142" s="1648"/>
      <c r="H142" s="1192" t="s">
        <v>2717</v>
      </c>
      <c r="I142" s="1192" t="s">
        <v>430</v>
      </c>
      <c r="J142" s="1192"/>
      <c r="K142" s="1192"/>
      <c r="L142" s="1192"/>
      <c r="M142" s="1192" t="s">
        <v>4410</v>
      </c>
      <c r="N142" s="1192"/>
      <c r="O142" s="1192"/>
      <c r="P142" s="1192"/>
      <c r="Q142" s="1192">
        <v>44561</v>
      </c>
      <c r="Z142" s="1650" t="s">
        <v>4538</v>
      </c>
    </row>
    <row r="143" spans="2:27" x14ac:dyDescent="0.3">
      <c r="B143" s="1740" t="s">
        <v>4535</v>
      </c>
      <c r="C143" s="1740"/>
      <c r="D143" s="524" t="s">
        <v>29</v>
      </c>
      <c r="E143" s="1219">
        <v>-4.7699999999999999E-2</v>
      </c>
      <c r="F143" s="1192"/>
      <c r="G143" s="1648"/>
      <c r="H143" s="1192" t="s">
        <v>2717</v>
      </c>
      <c r="I143" s="1192" t="s">
        <v>430</v>
      </c>
      <c r="J143" s="1192"/>
      <c r="K143" s="1192"/>
      <c r="L143" s="1192"/>
      <c r="M143" s="1192" t="s">
        <v>6131</v>
      </c>
      <c r="N143" s="1192"/>
      <c r="O143" s="1192"/>
      <c r="P143" s="1192"/>
      <c r="Q143" s="1192">
        <v>44196</v>
      </c>
      <c r="R143" t="s">
        <v>603</v>
      </c>
      <c r="Z143" s="1650" t="s">
        <v>4535</v>
      </c>
    </row>
    <row r="144" spans="2:27" x14ac:dyDescent="0.3">
      <c r="B144" s="1740" t="s">
        <v>4536</v>
      </c>
      <c r="C144" s="1740"/>
      <c r="D144" s="524" t="s">
        <v>29</v>
      </c>
      <c r="E144" s="1219">
        <v>-6.3600000000000004E-2</v>
      </c>
      <c r="F144" s="1192"/>
      <c r="G144" s="1648" t="s">
        <v>603</v>
      </c>
      <c r="H144" s="1192" t="s">
        <v>2717</v>
      </c>
      <c r="I144" s="1192" t="s">
        <v>430</v>
      </c>
      <c r="J144" s="1192"/>
      <c r="K144" s="1192"/>
      <c r="L144" s="1192"/>
      <c r="M144" s="1192" t="s">
        <v>6132</v>
      </c>
      <c r="N144" s="1192"/>
      <c r="O144" s="1192"/>
      <c r="P144" s="1192"/>
      <c r="Q144" s="1192">
        <v>44561</v>
      </c>
      <c r="Z144" s="1650" t="s">
        <v>4536</v>
      </c>
    </row>
    <row r="145" spans="2:45" ht="20.399999999999999" x14ac:dyDescent="0.3">
      <c r="B145" s="1740" t="s">
        <v>4537</v>
      </c>
      <c r="C145" s="1740"/>
      <c r="D145" s="524" t="s">
        <v>29</v>
      </c>
      <c r="E145" s="1219">
        <v>-3.3000000000000002E-2</v>
      </c>
      <c r="F145" s="1192"/>
      <c r="G145" s="1648" t="s">
        <v>7382</v>
      </c>
      <c r="H145" s="1192" t="s">
        <v>2717</v>
      </c>
      <c r="I145" s="1192" t="s">
        <v>430</v>
      </c>
      <c r="J145" s="1192"/>
      <c r="K145" s="1192"/>
      <c r="L145" s="1192"/>
      <c r="M145" s="1192" t="s">
        <v>6133</v>
      </c>
      <c r="N145" s="1192"/>
      <c r="O145" s="1192"/>
      <c r="P145" s="1192"/>
      <c r="Q145" s="1192"/>
      <c r="Z145" s="1650" t="s">
        <v>4537</v>
      </c>
    </row>
    <row r="146" spans="2:45" ht="11.25" customHeight="1" x14ac:dyDescent="0.3">
      <c r="B146" s="1740" t="s">
        <v>213</v>
      </c>
      <c r="C146" s="1740"/>
      <c r="D146" s="524" t="s">
        <v>29</v>
      </c>
      <c r="E146" s="1219">
        <v>2.7305000000000001</v>
      </c>
      <c r="F146" s="1192"/>
      <c r="G146" s="1648"/>
      <c r="H146" s="1192" t="s">
        <v>2717</v>
      </c>
      <c r="I146" s="1192" t="s">
        <v>432</v>
      </c>
      <c r="J146" s="1192"/>
      <c r="K146" s="1192"/>
      <c r="L146" s="1192"/>
      <c r="M146" s="1192" t="s">
        <v>2721</v>
      </c>
      <c r="N146" s="1192"/>
      <c r="O146" s="1192"/>
      <c r="P146" s="1192"/>
      <c r="Q146" s="1192"/>
      <c r="Z146" s="1650" t="s">
        <v>213</v>
      </c>
    </row>
    <row r="147" spans="2:45" ht="11.25" customHeight="1" x14ac:dyDescent="0.3">
      <c r="B147" s="1740" t="s">
        <v>209</v>
      </c>
      <c r="C147" s="1740"/>
      <c r="D147" s="524" t="s">
        <v>29</v>
      </c>
      <c r="E147" s="1219">
        <v>2.3595000000000002</v>
      </c>
      <c r="F147" s="1192"/>
      <c r="G147" s="1648"/>
      <c r="H147" s="1192" t="s">
        <v>2717</v>
      </c>
      <c r="I147" s="1192" t="s">
        <v>432</v>
      </c>
      <c r="J147" s="1192"/>
      <c r="K147" s="1192"/>
      <c r="L147" s="1192"/>
      <c r="M147" s="1192" t="s">
        <v>2722</v>
      </c>
      <c r="N147" s="1192"/>
      <c r="O147" s="1192"/>
      <c r="P147" s="1192"/>
      <c r="Q147" s="1192"/>
      <c r="Z147" s="1650" t="s">
        <v>209</v>
      </c>
    </row>
    <row r="148" spans="2:45" s="1192" customFormat="1" ht="6.75" customHeight="1" x14ac:dyDescent="0.3">
      <c r="B148" s="1640"/>
      <c r="C148" s="1640"/>
      <c r="D148" s="524"/>
      <c r="E148" s="1219"/>
      <c r="G148" s="1648"/>
    </row>
    <row r="149" spans="2:45" ht="11.25" customHeight="1" x14ac:dyDescent="0.3">
      <c r="B149" s="1748" t="s">
        <v>2405</v>
      </c>
      <c r="C149" s="1740"/>
      <c r="D149" s="1277"/>
      <c r="E149" s="896"/>
      <c r="F149" s="1192"/>
      <c r="G149" s="1648"/>
      <c r="H149" s="1192" t="s">
        <v>2532</v>
      </c>
      <c r="I149" s="1192"/>
      <c r="J149" s="1192"/>
      <c r="K149" s="1192"/>
      <c r="L149" s="1192"/>
      <c r="M149" s="1192"/>
      <c r="N149" s="1192"/>
      <c r="O149" s="1192"/>
      <c r="P149" s="1192"/>
      <c r="Q149" s="1192"/>
      <c r="Z149" s="1467" t="s">
        <v>2405</v>
      </c>
    </row>
    <row r="150" spans="2:45" s="1192" customFormat="1" ht="6.75" customHeight="1" x14ac:dyDescent="0.3">
      <c r="B150" s="1643"/>
      <c r="C150" s="1640"/>
      <c r="D150" s="1277"/>
      <c r="E150" s="896"/>
      <c r="G150" s="1648"/>
    </row>
    <row r="151" spans="2:45" ht="11.25" customHeight="1" x14ac:dyDescent="0.3">
      <c r="B151" s="1740" t="s">
        <v>2033</v>
      </c>
      <c r="C151" s="1740"/>
      <c r="D151" s="524" t="s">
        <v>20</v>
      </c>
      <c r="E151" s="1219">
        <v>3.0000000000000001E-3</v>
      </c>
      <c r="F151" s="1192"/>
      <c r="G151" s="1648"/>
      <c r="H151" s="1192" t="s">
        <v>2717</v>
      </c>
      <c r="I151" s="1192" t="s">
        <v>2374</v>
      </c>
      <c r="J151" s="1192"/>
      <c r="K151" s="1192"/>
      <c r="L151" s="1192"/>
      <c r="M151" s="1192" t="s">
        <v>2723</v>
      </c>
      <c r="N151" s="1192"/>
      <c r="O151" s="1192"/>
      <c r="P151" s="1192"/>
      <c r="Q151" s="1192"/>
      <c r="Z151" s="1650" t="s">
        <v>2033</v>
      </c>
    </row>
    <row r="152" spans="2:45" ht="11.25" customHeight="1" x14ac:dyDescent="0.3">
      <c r="B152" s="1740" t="s">
        <v>2034</v>
      </c>
      <c r="C152" s="1740"/>
      <c r="D152" s="524" t="s">
        <v>20</v>
      </c>
      <c r="E152" s="1219">
        <v>4.0000000000000002E-4</v>
      </c>
      <c r="F152" s="1192"/>
      <c r="G152" s="1648"/>
      <c r="H152" s="1192" t="s">
        <v>2717</v>
      </c>
      <c r="I152" s="1192" t="s">
        <v>2374</v>
      </c>
      <c r="J152" s="1192"/>
      <c r="K152" s="1192"/>
      <c r="L152" s="1192"/>
      <c r="M152" s="1192" t="s">
        <v>2723</v>
      </c>
      <c r="N152" s="1192"/>
      <c r="O152" s="1192"/>
      <c r="P152" s="1192"/>
      <c r="Q152" s="1192"/>
      <c r="Z152" s="1650" t="s">
        <v>2034</v>
      </c>
    </row>
    <row r="153" spans="2:45" ht="11.25" customHeight="1" x14ac:dyDescent="0.3">
      <c r="B153" s="1740" t="s">
        <v>428</v>
      </c>
      <c r="C153" s="1740"/>
      <c r="D153" s="524" t="s">
        <v>20</v>
      </c>
      <c r="E153" s="1219">
        <v>5.0000000000000001E-4</v>
      </c>
      <c r="F153" s="1192"/>
      <c r="G153" s="1648"/>
      <c r="H153" s="1192" t="s">
        <v>2717</v>
      </c>
      <c r="I153" s="1192" t="s">
        <v>2374</v>
      </c>
      <c r="J153" s="1192"/>
      <c r="K153" s="1192"/>
      <c r="L153" s="1192"/>
      <c r="M153" s="1192" t="s">
        <v>2724</v>
      </c>
      <c r="N153" s="1192"/>
      <c r="O153" s="1192"/>
      <c r="P153" s="1192"/>
      <c r="Q153" s="1192"/>
      <c r="Z153" s="1650" t="s">
        <v>428</v>
      </c>
    </row>
    <row r="154" spans="2:45" ht="11.25" customHeight="1" x14ac:dyDescent="0.3">
      <c r="B154" s="1740" t="s">
        <v>28</v>
      </c>
      <c r="C154" s="1740"/>
      <c r="D154" s="524" t="s">
        <v>19</v>
      </c>
      <c r="E154" s="1218">
        <v>0.25</v>
      </c>
      <c r="F154" s="1192"/>
      <c r="G154" s="1648"/>
      <c r="H154" s="1192" t="s">
        <v>2717</v>
      </c>
      <c r="I154" s="1192" t="s">
        <v>2374</v>
      </c>
      <c r="J154" s="1192"/>
      <c r="K154" s="1192"/>
      <c r="L154" s="1192"/>
      <c r="M154" s="1192" t="s">
        <v>2725</v>
      </c>
      <c r="N154" s="1192"/>
      <c r="O154" s="1192"/>
      <c r="P154" s="1192"/>
      <c r="Q154" s="1192"/>
      <c r="Z154" s="1650" t="s">
        <v>28</v>
      </c>
      <c r="AS154" t="s">
        <v>603</v>
      </c>
    </row>
    <row r="155" spans="2:45" s="1464" customFormat="1" ht="18" customHeight="1" x14ac:dyDescent="0.35">
      <c r="B155" s="1746" t="s">
        <v>592</v>
      </c>
      <c r="C155" s="1747"/>
      <c r="D155" s="1747"/>
      <c r="E155" s="1747"/>
      <c r="G155" s="1468"/>
      <c r="H155" s="1464" t="s">
        <v>2726</v>
      </c>
      <c r="AA155" s="1465" t="s">
        <v>592</v>
      </c>
    </row>
    <row r="156" spans="2:45" ht="79.8" x14ac:dyDescent="0.3">
      <c r="B156" s="1743" t="s">
        <v>4411</v>
      </c>
      <c r="C156" s="1743"/>
      <c r="D156" s="1743"/>
      <c r="E156" s="1743"/>
      <c r="F156" s="1192"/>
      <c r="G156" s="1648"/>
      <c r="H156" s="1192" t="s">
        <v>2726</v>
      </c>
      <c r="I156" s="1192"/>
      <c r="J156" s="1192"/>
      <c r="K156" s="1192"/>
      <c r="L156" s="1192"/>
      <c r="M156" s="1192"/>
      <c r="N156" s="1192"/>
      <c r="O156" s="1192"/>
      <c r="P156" s="1192"/>
      <c r="Q156" s="1192"/>
      <c r="AA156" s="1649" t="s">
        <v>4411</v>
      </c>
    </row>
    <row r="157" spans="2:45" s="1192" customFormat="1" ht="6.75" customHeight="1" x14ac:dyDescent="0.3">
      <c r="B157" s="1639"/>
      <c r="C157" s="1639"/>
      <c r="D157" s="1639"/>
      <c r="E157" s="1639"/>
      <c r="G157" s="1648"/>
    </row>
    <row r="158" spans="2:45" ht="11.25" customHeight="1" x14ac:dyDescent="0.3">
      <c r="B158" s="1750" t="s">
        <v>2389</v>
      </c>
      <c r="C158" s="1743"/>
      <c r="D158" s="1743"/>
      <c r="E158" s="1743"/>
      <c r="F158" s="1192"/>
      <c r="G158" s="1648"/>
      <c r="H158" s="1192" t="s">
        <v>2424</v>
      </c>
      <c r="I158" s="1192"/>
      <c r="J158" s="1192"/>
      <c r="K158" s="1192"/>
      <c r="L158" s="1192"/>
      <c r="M158" s="1192"/>
      <c r="N158" s="1192"/>
      <c r="O158" s="1192"/>
      <c r="P158" s="1192"/>
      <c r="Q158" s="1192"/>
      <c r="AA158" s="1467" t="s">
        <v>2389</v>
      </c>
    </row>
    <row r="159" spans="2:45" s="1192" customFormat="1" ht="6.75" customHeight="1" x14ac:dyDescent="0.3">
      <c r="B159" s="1642"/>
      <c r="C159" s="1639"/>
      <c r="D159" s="1639"/>
      <c r="E159" s="1639"/>
      <c r="G159" s="1648"/>
    </row>
    <row r="160" spans="2:45" ht="34.200000000000003" x14ac:dyDescent="0.3">
      <c r="B160" s="1743" t="s">
        <v>2391</v>
      </c>
      <c r="C160" s="1743"/>
      <c r="D160" s="1743"/>
      <c r="E160" s="1743"/>
      <c r="F160" s="1192"/>
      <c r="G160" s="1648"/>
      <c r="H160" s="1192" t="s">
        <v>2726</v>
      </c>
      <c r="I160" s="1192"/>
      <c r="J160" s="1192"/>
      <c r="K160" s="1192"/>
      <c r="L160" s="1192"/>
      <c r="M160" s="1192"/>
      <c r="N160" s="1192"/>
      <c r="O160" s="1192"/>
      <c r="P160" s="1192"/>
      <c r="Q160" s="1192"/>
      <c r="AA160" s="1649" t="s">
        <v>2391</v>
      </c>
    </row>
    <row r="161" spans="2:27" s="1192" customFormat="1" ht="6.75" customHeight="1" x14ac:dyDescent="0.3">
      <c r="B161" s="1639"/>
      <c r="C161" s="1639"/>
      <c r="D161" s="1639"/>
      <c r="E161" s="1639"/>
      <c r="G161" s="1648"/>
    </row>
    <row r="162" spans="2:27" ht="45.6" x14ac:dyDescent="0.3">
      <c r="B162" s="1743" t="s">
        <v>2392</v>
      </c>
      <c r="C162" s="1743"/>
      <c r="D162" s="1743"/>
      <c r="E162" s="1743"/>
      <c r="F162" s="1192"/>
      <c r="G162" s="1648"/>
      <c r="H162" s="1192" t="s">
        <v>2726</v>
      </c>
      <c r="I162" s="1192"/>
      <c r="J162" s="1192"/>
      <c r="K162" s="1192"/>
      <c r="L162" s="1192"/>
      <c r="M162" s="1192"/>
      <c r="N162" s="1192"/>
      <c r="O162" s="1192"/>
      <c r="P162" s="1192"/>
      <c r="Q162" s="1192"/>
      <c r="AA162" s="1649" t="s">
        <v>2392</v>
      </c>
    </row>
    <row r="163" spans="2:27" s="1192" customFormat="1" ht="6.75" customHeight="1" x14ac:dyDescent="0.3">
      <c r="B163" s="1639"/>
      <c r="C163" s="1639"/>
      <c r="D163" s="1639"/>
      <c r="E163" s="1639"/>
      <c r="G163" s="1648"/>
    </row>
    <row r="164" spans="2:27" ht="45.6" x14ac:dyDescent="0.3">
      <c r="B164" s="1743" t="s">
        <v>2508</v>
      </c>
      <c r="C164" s="1743"/>
      <c r="D164" s="1743"/>
      <c r="E164" s="1743"/>
      <c r="F164" s="1192"/>
      <c r="G164" s="1648"/>
      <c r="H164" s="1192" t="s">
        <v>2726</v>
      </c>
      <c r="I164" s="1192"/>
      <c r="J164" s="1192"/>
      <c r="K164" s="1192"/>
      <c r="L164" s="1192"/>
      <c r="M164" s="1192"/>
      <c r="N164" s="1192"/>
      <c r="O164" s="1192"/>
      <c r="P164" s="1192"/>
      <c r="Q164" s="1192"/>
      <c r="AA164" s="1649" t="s">
        <v>2508</v>
      </c>
    </row>
    <row r="165" spans="2:27" s="1192" customFormat="1" ht="6.75" customHeight="1" x14ac:dyDescent="0.3">
      <c r="B165" s="1639"/>
      <c r="C165" s="1639"/>
      <c r="D165" s="1639"/>
      <c r="E165" s="1639"/>
      <c r="G165" s="1648"/>
    </row>
    <row r="166" spans="2:27" ht="34.200000000000003" x14ac:dyDescent="0.3">
      <c r="B166" s="1743" t="s">
        <v>4500</v>
      </c>
      <c r="C166" s="1743"/>
      <c r="D166" s="1743"/>
      <c r="E166" s="1743"/>
      <c r="F166" s="1192"/>
      <c r="G166" s="1648"/>
      <c r="H166" s="1192" t="s">
        <v>2726</v>
      </c>
      <c r="I166" s="1192"/>
      <c r="J166" s="1192"/>
      <c r="K166" s="1192"/>
      <c r="L166" s="1192"/>
      <c r="M166" s="1192"/>
      <c r="N166" s="1192"/>
      <c r="O166" s="1192"/>
      <c r="P166" s="1192"/>
      <c r="Q166" s="1192"/>
      <c r="AA166" s="1649" t="s">
        <v>4500</v>
      </c>
    </row>
    <row r="167" spans="2:27" s="1192" customFormat="1" ht="6.75" customHeight="1" x14ac:dyDescent="0.3">
      <c r="B167" s="1639"/>
      <c r="C167" s="1639"/>
      <c r="D167" s="1639"/>
      <c r="E167" s="1639"/>
      <c r="G167" s="1648"/>
    </row>
    <row r="168" spans="2:27" ht="11.25" customHeight="1" x14ac:dyDescent="0.3">
      <c r="B168" s="1748" t="s">
        <v>2394</v>
      </c>
      <c r="C168" s="1749"/>
      <c r="D168" s="1749"/>
      <c r="E168" s="1749"/>
      <c r="F168" s="1192"/>
      <c r="G168" s="1648"/>
      <c r="H168" s="1192" t="s">
        <v>2425</v>
      </c>
      <c r="I168" s="1192"/>
      <c r="J168" s="1192"/>
      <c r="K168" s="1192"/>
      <c r="L168" s="1192"/>
      <c r="M168" s="1192"/>
      <c r="N168" s="1192"/>
      <c r="O168" s="1192"/>
      <c r="P168" s="1192"/>
      <c r="Q168" s="1192"/>
      <c r="AA168" s="1467" t="s">
        <v>2394</v>
      </c>
    </row>
    <row r="169" spans="2:27" s="1192" customFormat="1" ht="6.75" customHeight="1" x14ac:dyDescent="0.3">
      <c r="B169" s="1643"/>
      <c r="C169" s="1644"/>
      <c r="D169" s="1644"/>
      <c r="E169" s="1644"/>
      <c r="G169" s="1648"/>
    </row>
    <row r="170" spans="2:27" ht="11.25" customHeight="1" x14ac:dyDescent="0.3">
      <c r="B170" s="1740" t="s">
        <v>9</v>
      </c>
      <c r="C170" s="1740"/>
      <c r="D170" s="524" t="s">
        <v>19</v>
      </c>
      <c r="E170" s="1218">
        <v>8.0500000000000007</v>
      </c>
      <c r="F170" s="1192"/>
      <c r="G170" s="1648"/>
      <c r="H170" s="1192" t="s">
        <v>2726</v>
      </c>
      <c r="I170" s="1192" t="s">
        <v>430</v>
      </c>
      <c r="J170" s="1192"/>
      <c r="K170" s="1192"/>
      <c r="L170" s="1192"/>
      <c r="M170" s="1192" t="s">
        <v>2727</v>
      </c>
      <c r="N170" s="1192"/>
      <c r="O170" s="1192"/>
      <c r="P170" s="1192"/>
      <c r="Q170" s="1192"/>
      <c r="Z170" s="1650" t="s">
        <v>9</v>
      </c>
    </row>
    <row r="171" spans="2:27" ht="11.25" customHeight="1" x14ac:dyDescent="0.3">
      <c r="B171" s="1740" t="s">
        <v>80</v>
      </c>
      <c r="C171" s="1740"/>
      <c r="D171" s="524" t="s">
        <v>20</v>
      </c>
      <c r="E171" s="1219">
        <v>1.26E-2</v>
      </c>
      <c r="F171" s="1192"/>
      <c r="G171" s="1648"/>
      <c r="H171" s="1192" t="s">
        <v>2726</v>
      </c>
      <c r="I171" s="1192" t="s">
        <v>430</v>
      </c>
      <c r="J171" s="1192"/>
      <c r="K171" s="1192"/>
      <c r="L171" s="1192"/>
      <c r="M171" s="1192" t="s">
        <v>2728</v>
      </c>
      <c r="N171" s="1192"/>
      <c r="O171" s="1192"/>
      <c r="P171" s="1192"/>
      <c r="Q171" s="1192"/>
      <c r="Z171" s="1650" t="s">
        <v>80</v>
      </c>
    </row>
    <row r="172" spans="2:27" ht="11.25" customHeight="1" x14ac:dyDescent="0.3">
      <c r="B172" s="1740" t="s">
        <v>14</v>
      </c>
      <c r="C172" s="1740"/>
      <c r="D172" s="524" t="s">
        <v>20</v>
      </c>
      <c r="E172" s="1219">
        <v>2.7000000000000001E-3</v>
      </c>
      <c r="F172" s="1192"/>
      <c r="G172" s="1648"/>
      <c r="H172" s="1192" t="s">
        <v>2726</v>
      </c>
      <c r="I172" s="1192" t="s">
        <v>431</v>
      </c>
      <c r="J172" s="1192"/>
      <c r="K172" s="1192"/>
      <c r="L172" s="1192"/>
      <c r="M172" s="1192" t="s">
        <v>2729</v>
      </c>
      <c r="N172" s="1192"/>
      <c r="O172" s="1192"/>
      <c r="P172" s="1192"/>
      <c r="Q172" s="1192"/>
      <c r="Z172" s="1650" t="s">
        <v>14</v>
      </c>
    </row>
    <row r="173" spans="2:27" ht="20.399999999999999" x14ac:dyDescent="0.3">
      <c r="B173" s="1740" t="s">
        <v>4538</v>
      </c>
      <c r="C173" s="1740"/>
      <c r="D173" s="524" t="s">
        <v>20</v>
      </c>
      <c r="E173" s="1219">
        <v>-1E-4</v>
      </c>
      <c r="F173" s="1192"/>
      <c r="G173" s="1648"/>
      <c r="H173" s="1192" t="s">
        <v>2726</v>
      </c>
      <c r="I173" s="1192" t="s">
        <v>430</v>
      </c>
      <c r="J173" s="1192"/>
      <c r="K173" s="1192"/>
      <c r="L173" s="1192"/>
      <c r="M173" s="1192" t="s">
        <v>2730</v>
      </c>
      <c r="N173" s="1192"/>
      <c r="O173" s="1192"/>
      <c r="P173" s="1192"/>
      <c r="Q173" s="1192">
        <v>44561</v>
      </c>
      <c r="Z173" s="1650" t="s">
        <v>4538</v>
      </c>
    </row>
    <row r="174" spans="2:27" x14ac:dyDescent="0.3">
      <c r="B174" s="1740" t="s">
        <v>4535</v>
      </c>
      <c r="C174" s="1740"/>
      <c r="D174" s="524" t="s">
        <v>20</v>
      </c>
      <c r="E174" s="1219">
        <v>-2.0000000000000001E-4</v>
      </c>
      <c r="F174" s="1192"/>
      <c r="G174" s="1648"/>
      <c r="H174" s="1192" t="s">
        <v>2726</v>
      </c>
      <c r="I174" s="1192" t="s">
        <v>430</v>
      </c>
      <c r="J174" s="1192"/>
      <c r="K174" s="1192"/>
      <c r="L174" s="1192"/>
      <c r="M174" s="1192" t="s">
        <v>6134</v>
      </c>
      <c r="N174" s="1192"/>
      <c r="O174" s="1192"/>
      <c r="P174" s="1192"/>
      <c r="Q174" s="1192">
        <v>44196</v>
      </c>
      <c r="R174" t="s">
        <v>603</v>
      </c>
      <c r="Z174" s="1650" t="s">
        <v>4535</v>
      </c>
    </row>
    <row r="175" spans="2:27" x14ac:dyDescent="0.3">
      <c r="B175" s="1740" t="s">
        <v>4536</v>
      </c>
      <c r="C175" s="1740"/>
      <c r="D175" s="524" t="s">
        <v>20</v>
      </c>
      <c r="E175" s="1219">
        <v>-2.9999999999999997E-4</v>
      </c>
      <c r="F175" s="1192"/>
      <c r="G175" s="1648" t="s">
        <v>603</v>
      </c>
      <c r="H175" s="1192" t="s">
        <v>2726</v>
      </c>
      <c r="I175" s="1192" t="s">
        <v>430</v>
      </c>
      <c r="J175" s="1192"/>
      <c r="K175" s="1192"/>
      <c r="L175" s="1192"/>
      <c r="M175" s="1192" t="s">
        <v>6135</v>
      </c>
      <c r="N175" s="1192"/>
      <c r="O175" s="1192"/>
      <c r="P175" s="1192"/>
      <c r="Q175" s="1192">
        <v>44561</v>
      </c>
      <c r="Z175" s="1650" t="s">
        <v>4536</v>
      </c>
    </row>
    <row r="176" spans="2:27" ht="20.399999999999999" x14ac:dyDescent="0.3">
      <c r="B176" s="1740" t="s">
        <v>4537</v>
      </c>
      <c r="C176" s="1740"/>
      <c r="D176" s="524" t="s">
        <v>20</v>
      </c>
      <c r="E176" s="1219">
        <v>-2.0000000000000001E-4</v>
      </c>
      <c r="F176" s="1192"/>
      <c r="G176" s="1648" t="s">
        <v>7382</v>
      </c>
      <c r="H176" s="1192" t="s">
        <v>2726</v>
      </c>
      <c r="I176" s="1192" t="s">
        <v>430</v>
      </c>
      <c r="J176" s="1192"/>
      <c r="K176" s="1192"/>
      <c r="L176" s="1192"/>
      <c r="M176" s="1192" t="s">
        <v>6136</v>
      </c>
      <c r="N176" s="1192"/>
      <c r="O176" s="1192"/>
      <c r="P176" s="1192"/>
      <c r="Q176" s="1192"/>
      <c r="Z176" s="1650" t="s">
        <v>4537</v>
      </c>
    </row>
    <row r="177" spans="2:45" ht="11.25" customHeight="1" x14ac:dyDescent="0.3">
      <c r="B177" s="1740" t="s">
        <v>213</v>
      </c>
      <c r="C177" s="1740"/>
      <c r="D177" s="524" t="s">
        <v>20</v>
      </c>
      <c r="E177" s="1219">
        <v>6.1000000000000004E-3</v>
      </c>
      <c r="F177" s="1192"/>
      <c r="G177" s="1648"/>
      <c r="H177" s="1192" t="s">
        <v>2726</v>
      </c>
      <c r="I177" s="1192" t="s">
        <v>432</v>
      </c>
      <c r="J177" s="1192"/>
      <c r="K177" s="1192"/>
      <c r="L177" s="1192"/>
      <c r="M177" s="1192" t="s">
        <v>2731</v>
      </c>
      <c r="N177" s="1192"/>
      <c r="O177" s="1192"/>
      <c r="P177" s="1192"/>
      <c r="Q177" s="1192"/>
      <c r="Z177" s="1650" t="s">
        <v>213</v>
      </c>
    </row>
    <row r="178" spans="2:45" ht="11.25" customHeight="1" x14ac:dyDescent="0.3">
      <c r="B178" s="1740" t="s">
        <v>209</v>
      </c>
      <c r="C178" s="1740"/>
      <c r="D178" s="524" t="s">
        <v>20</v>
      </c>
      <c r="E178" s="1219">
        <v>5.1000000000000004E-3</v>
      </c>
      <c r="F178" s="1192"/>
      <c r="G178" s="1648"/>
      <c r="H178" s="1192" t="s">
        <v>2726</v>
      </c>
      <c r="I178" s="1192" t="s">
        <v>432</v>
      </c>
      <c r="J178" s="1192"/>
      <c r="K178" s="1192"/>
      <c r="L178" s="1192"/>
      <c r="M178" s="1192" t="s">
        <v>2732</v>
      </c>
      <c r="N178" s="1192"/>
      <c r="O178" s="1192"/>
      <c r="P178" s="1192"/>
      <c r="Q178" s="1192"/>
      <c r="Z178" s="1650" t="s">
        <v>209</v>
      </c>
    </row>
    <row r="179" spans="2:45" s="1192" customFormat="1" ht="6.75" customHeight="1" x14ac:dyDescent="0.3">
      <c r="B179" s="1640"/>
      <c r="C179" s="1640"/>
      <c r="D179" s="524"/>
      <c r="E179" s="1219"/>
      <c r="G179" s="1648"/>
    </row>
    <row r="180" spans="2:45" ht="11.25" customHeight="1" x14ac:dyDescent="0.3">
      <c r="B180" s="1748" t="s">
        <v>2405</v>
      </c>
      <c r="C180" s="1740"/>
      <c r="D180" s="1277"/>
      <c r="E180" s="896"/>
      <c r="F180" s="1192"/>
      <c r="G180" s="1648"/>
      <c r="H180" s="1192" t="s">
        <v>2427</v>
      </c>
      <c r="I180" s="1192"/>
      <c r="J180" s="1192"/>
      <c r="K180" s="1192"/>
      <c r="L180" s="1192"/>
      <c r="M180" s="1192"/>
      <c r="N180" s="1192"/>
      <c r="O180" s="1192"/>
      <c r="P180" s="1192"/>
      <c r="Q180" s="1192"/>
      <c r="Z180" s="1467" t="s">
        <v>2405</v>
      </c>
    </row>
    <row r="181" spans="2:45" s="1192" customFormat="1" ht="6.75" customHeight="1" x14ac:dyDescent="0.3">
      <c r="B181" s="1643"/>
      <c r="C181" s="1640"/>
      <c r="D181" s="1277"/>
      <c r="E181" s="896"/>
      <c r="G181" s="1648"/>
    </row>
    <row r="182" spans="2:45" ht="11.25" customHeight="1" x14ac:dyDescent="0.3">
      <c r="B182" s="1740" t="s">
        <v>2033</v>
      </c>
      <c r="C182" s="1740"/>
      <c r="D182" s="524" t="s">
        <v>20</v>
      </c>
      <c r="E182" s="1219">
        <v>3.0000000000000001E-3</v>
      </c>
      <c r="F182" s="1192"/>
      <c r="G182" s="1648"/>
      <c r="H182" s="1192" t="s">
        <v>2726</v>
      </c>
      <c r="I182" s="1192" t="s">
        <v>2374</v>
      </c>
      <c r="J182" s="1192"/>
      <c r="K182" s="1192"/>
      <c r="L182" s="1192"/>
      <c r="M182" s="1192" t="s">
        <v>2733</v>
      </c>
      <c r="N182" s="1192"/>
      <c r="O182" s="1192"/>
      <c r="P182" s="1192"/>
      <c r="Q182" s="1192"/>
      <c r="Z182" s="1650" t="s">
        <v>2033</v>
      </c>
    </row>
    <row r="183" spans="2:45" ht="11.25" customHeight="1" x14ac:dyDescent="0.3">
      <c r="B183" s="1740" t="s">
        <v>2034</v>
      </c>
      <c r="C183" s="1740"/>
      <c r="D183" s="524" t="s">
        <v>20</v>
      </c>
      <c r="E183" s="1219">
        <v>4.0000000000000002E-4</v>
      </c>
      <c r="F183" s="1192"/>
      <c r="G183" s="1648"/>
      <c r="H183" s="1192" t="s">
        <v>2726</v>
      </c>
      <c r="I183" s="1192" t="s">
        <v>2374</v>
      </c>
      <c r="J183" s="1192"/>
      <c r="K183" s="1192"/>
      <c r="L183" s="1192"/>
      <c r="M183" s="1192" t="s">
        <v>2733</v>
      </c>
      <c r="N183" s="1192"/>
      <c r="O183" s="1192"/>
      <c r="P183" s="1192"/>
      <c r="Q183" s="1192"/>
      <c r="Z183" s="1650" t="s">
        <v>2034</v>
      </c>
    </row>
    <row r="184" spans="2:45" ht="11.25" customHeight="1" x14ac:dyDescent="0.3">
      <c r="B184" s="1740" t="s">
        <v>428</v>
      </c>
      <c r="C184" s="1740"/>
      <c r="D184" s="524" t="s">
        <v>20</v>
      </c>
      <c r="E184" s="1219">
        <v>5.0000000000000001E-4</v>
      </c>
      <c r="F184" s="1192"/>
      <c r="G184" s="1648"/>
      <c r="H184" s="1192" t="s">
        <v>2726</v>
      </c>
      <c r="I184" s="1192" t="s">
        <v>2374</v>
      </c>
      <c r="J184" s="1192"/>
      <c r="K184" s="1192"/>
      <c r="L184" s="1192"/>
      <c r="M184" s="1192" t="s">
        <v>2734</v>
      </c>
      <c r="N184" s="1192"/>
      <c r="O184" s="1192"/>
      <c r="P184" s="1192"/>
      <c r="Q184" s="1192"/>
      <c r="Z184" s="1650" t="s">
        <v>428</v>
      </c>
    </row>
    <row r="185" spans="2:45" ht="11.25" customHeight="1" x14ac:dyDescent="0.3">
      <c r="B185" s="1740" t="s">
        <v>28</v>
      </c>
      <c r="C185" s="1740"/>
      <c r="D185" s="524" t="s">
        <v>19</v>
      </c>
      <c r="E185" s="1218">
        <v>0.25</v>
      </c>
      <c r="F185" s="1192"/>
      <c r="G185" s="1648"/>
      <c r="H185" s="1192" t="s">
        <v>2726</v>
      </c>
      <c r="I185" s="1192" t="s">
        <v>2374</v>
      </c>
      <c r="J185" s="1192"/>
      <c r="K185" s="1192"/>
      <c r="L185" s="1192"/>
      <c r="M185" s="1192" t="s">
        <v>2735</v>
      </c>
      <c r="N185" s="1192"/>
      <c r="O185" s="1192"/>
      <c r="P185" s="1192"/>
      <c r="Q185" s="1192"/>
      <c r="Z185" s="1650" t="s">
        <v>28</v>
      </c>
      <c r="AS185" t="s">
        <v>603</v>
      </c>
    </row>
    <row r="186" spans="2:45" s="1464" customFormat="1" ht="18" customHeight="1" x14ac:dyDescent="0.35">
      <c r="B186" s="1746" t="s">
        <v>604</v>
      </c>
      <c r="C186" s="1747"/>
      <c r="D186" s="1747"/>
      <c r="E186" s="1747"/>
      <c r="G186" s="1468"/>
      <c r="H186" s="1464" t="s">
        <v>2736</v>
      </c>
      <c r="AA186" s="1465" t="s">
        <v>604</v>
      </c>
    </row>
    <row r="187" spans="2:45" ht="34.200000000000003" x14ac:dyDescent="0.3">
      <c r="B187" s="1743" t="s">
        <v>4412</v>
      </c>
      <c r="C187" s="1743"/>
      <c r="D187" s="1743"/>
      <c r="E187" s="1743"/>
      <c r="F187" s="1192"/>
      <c r="G187" s="1648"/>
      <c r="H187" s="1192" t="s">
        <v>2736</v>
      </c>
      <c r="I187" s="1192"/>
      <c r="J187" s="1192"/>
      <c r="K187" s="1192"/>
      <c r="L187" s="1192"/>
      <c r="M187" s="1192"/>
      <c r="N187" s="1192"/>
      <c r="O187" s="1192"/>
      <c r="P187" s="1192"/>
      <c r="Q187" s="1192"/>
      <c r="AA187" s="1649" t="s">
        <v>4412</v>
      </c>
    </row>
    <row r="188" spans="2:45" s="1192" customFormat="1" ht="6.75" customHeight="1" x14ac:dyDescent="0.3">
      <c r="B188" s="1639"/>
      <c r="C188" s="1639"/>
      <c r="D188" s="1639"/>
      <c r="E188" s="1639"/>
      <c r="G188" s="1648"/>
    </row>
    <row r="189" spans="2:45" ht="11.25" customHeight="1" x14ac:dyDescent="0.3">
      <c r="B189" s="1750" t="s">
        <v>2389</v>
      </c>
      <c r="C189" s="1743"/>
      <c r="D189" s="1743"/>
      <c r="E189" s="1743"/>
      <c r="F189" s="1192"/>
      <c r="G189" s="1648"/>
      <c r="H189" s="1192" t="s">
        <v>2430</v>
      </c>
      <c r="I189" s="1192"/>
      <c r="J189" s="1192"/>
      <c r="K189" s="1192"/>
      <c r="L189" s="1192"/>
      <c r="M189" s="1192"/>
      <c r="N189" s="1192"/>
      <c r="O189" s="1192"/>
      <c r="P189" s="1192"/>
      <c r="Q189" s="1192"/>
      <c r="AA189" s="1467" t="s">
        <v>2389</v>
      </c>
    </row>
    <row r="190" spans="2:45" s="1192" customFormat="1" ht="6.75" customHeight="1" x14ac:dyDescent="0.3">
      <c r="B190" s="1642"/>
      <c r="C190" s="1639"/>
      <c r="D190" s="1639"/>
      <c r="E190" s="1639"/>
      <c r="G190" s="1648"/>
    </row>
    <row r="191" spans="2:45" ht="34.200000000000003" x14ac:dyDescent="0.3">
      <c r="B191" s="1743" t="s">
        <v>2391</v>
      </c>
      <c r="C191" s="1743"/>
      <c r="D191" s="1743"/>
      <c r="E191" s="1743"/>
      <c r="F191" s="1192"/>
      <c r="G191" s="1648"/>
      <c r="H191" s="1192" t="s">
        <v>2736</v>
      </c>
      <c r="I191" s="1192"/>
      <c r="J191" s="1192"/>
      <c r="K191" s="1192"/>
      <c r="L191" s="1192"/>
      <c r="M191" s="1192"/>
      <c r="N191" s="1192"/>
      <c r="O191" s="1192"/>
      <c r="P191" s="1192"/>
      <c r="Q191" s="1192"/>
      <c r="AA191" s="1649" t="s">
        <v>2391</v>
      </c>
    </row>
    <row r="192" spans="2:45" s="1192" customFormat="1" ht="6.75" customHeight="1" x14ac:dyDescent="0.3">
      <c r="B192" s="1639"/>
      <c r="C192" s="1639"/>
      <c r="D192" s="1639"/>
      <c r="E192" s="1639"/>
      <c r="G192" s="1648"/>
    </row>
    <row r="193" spans="2:27" ht="45.6" x14ac:dyDescent="0.3">
      <c r="B193" s="1743" t="s">
        <v>2392</v>
      </c>
      <c r="C193" s="1743"/>
      <c r="D193" s="1743"/>
      <c r="E193" s="1743"/>
      <c r="F193" s="1192"/>
      <c r="G193" s="1648"/>
      <c r="H193" s="1192" t="s">
        <v>2736</v>
      </c>
      <c r="I193" s="1192"/>
      <c r="J193" s="1192"/>
      <c r="K193" s="1192"/>
      <c r="L193" s="1192"/>
      <c r="M193" s="1192"/>
      <c r="N193" s="1192"/>
      <c r="O193" s="1192"/>
      <c r="P193" s="1192"/>
      <c r="Q193" s="1192"/>
      <c r="AA193" s="1649" t="s">
        <v>2392</v>
      </c>
    </row>
    <row r="194" spans="2:27" s="1192" customFormat="1" ht="6.75" customHeight="1" x14ac:dyDescent="0.3">
      <c r="B194" s="1639"/>
      <c r="C194" s="1639"/>
      <c r="D194" s="1639"/>
      <c r="E194" s="1639"/>
      <c r="G194" s="1648"/>
    </row>
    <row r="195" spans="2:27" ht="45.6" x14ac:dyDescent="0.3">
      <c r="B195" s="1743" t="s">
        <v>2508</v>
      </c>
      <c r="C195" s="1743"/>
      <c r="D195" s="1743"/>
      <c r="E195" s="1743"/>
      <c r="F195" s="1192"/>
      <c r="G195" s="1648"/>
      <c r="H195" s="1192" t="s">
        <v>2736</v>
      </c>
      <c r="I195" s="1192"/>
      <c r="J195" s="1192"/>
      <c r="K195" s="1192"/>
      <c r="L195" s="1192"/>
      <c r="M195" s="1192"/>
      <c r="N195" s="1192"/>
      <c r="O195" s="1192"/>
      <c r="P195" s="1192"/>
      <c r="Q195" s="1192"/>
      <c r="AA195" s="1649" t="s">
        <v>2508</v>
      </c>
    </row>
    <row r="196" spans="2:27" s="1192" customFormat="1" ht="6.75" customHeight="1" x14ac:dyDescent="0.3">
      <c r="B196" s="1639"/>
      <c r="C196" s="1639"/>
      <c r="D196" s="1639"/>
      <c r="E196" s="1639"/>
      <c r="G196" s="1648"/>
    </row>
    <row r="197" spans="2:27" ht="34.200000000000003" x14ac:dyDescent="0.3">
      <c r="B197" s="1743" t="s">
        <v>4500</v>
      </c>
      <c r="C197" s="1743"/>
      <c r="D197" s="1743"/>
      <c r="E197" s="1743"/>
      <c r="F197" s="1192"/>
      <c r="G197" s="1648"/>
      <c r="H197" s="1192" t="s">
        <v>2736</v>
      </c>
      <c r="I197" s="1192"/>
      <c r="J197" s="1192"/>
      <c r="K197" s="1192"/>
      <c r="L197" s="1192"/>
      <c r="M197" s="1192"/>
      <c r="N197" s="1192"/>
      <c r="O197" s="1192"/>
      <c r="P197" s="1192"/>
      <c r="Q197" s="1192"/>
      <c r="AA197" s="1649" t="s">
        <v>4500</v>
      </c>
    </row>
    <row r="198" spans="2:27" s="1192" customFormat="1" ht="6.75" customHeight="1" x14ac:dyDescent="0.3">
      <c r="B198" s="1639"/>
      <c r="C198" s="1639"/>
      <c r="D198" s="1639"/>
      <c r="E198" s="1639"/>
      <c r="G198" s="1648"/>
    </row>
    <row r="199" spans="2:27" ht="11.25" customHeight="1" x14ac:dyDescent="0.3">
      <c r="B199" s="1748" t="s">
        <v>2394</v>
      </c>
      <c r="C199" s="1749"/>
      <c r="D199" s="1749"/>
      <c r="E199" s="1749"/>
      <c r="F199" s="1192"/>
      <c r="G199" s="1648"/>
      <c r="H199" s="1192" t="s">
        <v>2431</v>
      </c>
      <c r="I199" s="1192"/>
      <c r="J199" s="1192"/>
      <c r="K199" s="1192"/>
      <c r="L199" s="1192"/>
      <c r="M199" s="1192"/>
      <c r="N199" s="1192"/>
      <c r="O199" s="1192"/>
      <c r="P199" s="1192"/>
      <c r="Q199" s="1192"/>
      <c r="AA199" s="1467" t="s">
        <v>2394</v>
      </c>
    </row>
    <row r="200" spans="2:27" s="1192" customFormat="1" ht="6.75" customHeight="1" x14ac:dyDescent="0.3">
      <c r="B200" s="1643"/>
      <c r="C200" s="1644"/>
      <c r="D200" s="1644"/>
      <c r="E200" s="1644"/>
      <c r="G200" s="1648"/>
    </row>
    <row r="201" spans="2:27" ht="11.25" customHeight="1" x14ac:dyDescent="0.3">
      <c r="B201" s="1740" t="s">
        <v>8</v>
      </c>
      <c r="C201" s="1740"/>
      <c r="D201" s="524" t="s">
        <v>19</v>
      </c>
      <c r="E201" s="1218">
        <v>5.95</v>
      </c>
      <c r="F201" s="1192"/>
      <c r="G201" s="1648"/>
      <c r="H201" s="1192" t="s">
        <v>2736</v>
      </c>
      <c r="I201" s="1192" t="s">
        <v>430</v>
      </c>
      <c r="J201" s="1192"/>
      <c r="K201" s="1192"/>
      <c r="L201" s="1192"/>
      <c r="M201" s="1192" t="s">
        <v>2737</v>
      </c>
      <c r="N201" s="1192"/>
      <c r="O201" s="1192"/>
      <c r="P201" s="1192"/>
      <c r="Q201" s="1192"/>
      <c r="Z201" s="1650" t="s">
        <v>8</v>
      </c>
    </row>
    <row r="202" spans="2:27" ht="11.25" customHeight="1" x14ac:dyDescent="0.3">
      <c r="B202" s="1740" t="s">
        <v>80</v>
      </c>
      <c r="C202" s="1740"/>
      <c r="D202" s="524" t="s">
        <v>29</v>
      </c>
      <c r="E202" s="1219">
        <v>15.737399999999999</v>
      </c>
      <c r="F202" s="1192"/>
      <c r="G202" s="1648"/>
      <c r="H202" s="1192" t="s">
        <v>2736</v>
      </c>
      <c r="I202" s="1192" t="s">
        <v>430</v>
      </c>
      <c r="J202" s="1192"/>
      <c r="K202" s="1192"/>
      <c r="L202" s="1192"/>
      <c r="M202" s="1192" t="s">
        <v>2738</v>
      </c>
      <c r="N202" s="1192"/>
      <c r="O202" s="1192"/>
      <c r="P202" s="1192"/>
      <c r="Q202" s="1192"/>
      <c r="Z202" s="1650" t="s">
        <v>80</v>
      </c>
    </row>
    <row r="203" spans="2:27" ht="11.25" customHeight="1" x14ac:dyDescent="0.3">
      <c r="B203" s="1740" t="s">
        <v>14</v>
      </c>
      <c r="C203" s="1740"/>
      <c r="D203" s="524" t="s">
        <v>29</v>
      </c>
      <c r="E203" s="1219">
        <v>0.78820000000000001</v>
      </c>
      <c r="F203" s="1192"/>
      <c r="G203" s="1648"/>
      <c r="H203" s="1192" t="s">
        <v>2736</v>
      </c>
      <c r="I203" s="1192" t="s">
        <v>431</v>
      </c>
      <c r="J203" s="1192"/>
      <c r="K203" s="1192"/>
      <c r="L203" s="1192"/>
      <c r="M203" s="1192" t="s">
        <v>2739</v>
      </c>
      <c r="N203" s="1192"/>
      <c r="O203" s="1192"/>
      <c r="P203" s="1192"/>
      <c r="Q203" s="1192"/>
      <c r="Z203" s="1650" t="s">
        <v>14</v>
      </c>
    </row>
    <row r="204" spans="2:27" ht="20.399999999999999" x14ac:dyDescent="0.3">
      <c r="B204" s="1740" t="s">
        <v>4538</v>
      </c>
      <c r="C204" s="1740"/>
      <c r="D204" s="524" t="s">
        <v>29</v>
      </c>
      <c r="E204" s="1219">
        <v>-9.5100000000000004E-2</v>
      </c>
      <c r="F204" s="1192"/>
      <c r="G204" s="1648"/>
      <c r="H204" s="1192" t="s">
        <v>2736</v>
      </c>
      <c r="I204" s="1192" t="s">
        <v>430</v>
      </c>
      <c r="J204" s="1192"/>
      <c r="K204" s="1192"/>
      <c r="L204" s="1192"/>
      <c r="M204" s="1192" t="s">
        <v>2740</v>
      </c>
      <c r="N204" s="1192"/>
      <c r="O204" s="1192"/>
      <c r="P204" s="1192"/>
      <c r="Q204" s="1192">
        <v>44561</v>
      </c>
      <c r="Z204" s="1650" t="s">
        <v>4538</v>
      </c>
    </row>
    <row r="205" spans="2:27" x14ac:dyDescent="0.3">
      <c r="B205" s="1740" t="s">
        <v>4535</v>
      </c>
      <c r="C205" s="1740"/>
      <c r="D205" s="524" t="s">
        <v>29</v>
      </c>
      <c r="E205" s="1219">
        <v>-0.57079999999999997</v>
      </c>
      <c r="F205" s="1192"/>
      <c r="G205" s="1648"/>
      <c r="H205" s="1192" t="s">
        <v>2736</v>
      </c>
      <c r="I205" s="1192" t="s">
        <v>430</v>
      </c>
      <c r="J205" s="1192"/>
      <c r="K205" s="1192"/>
      <c r="L205" s="1192"/>
      <c r="M205" s="1192" t="s">
        <v>6137</v>
      </c>
      <c r="N205" s="1192"/>
      <c r="O205" s="1192"/>
      <c r="P205" s="1192"/>
      <c r="Q205" s="1192">
        <v>44196</v>
      </c>
      <c r="R205" t="s">
        <v>603</v>
      </c>
      <c r="Z205" s="1650" t="s">
        <v>4535</v>
      </c>
    </row>
    <row r="206" spans="2:27" x14ac:dyDescent="0.3">
      <c r="B206" s="1740" t="s">
        <v>4536</v>
      </c>
      <c r="C206" s="1740"/>
      <c r="D206" s="524" t="s">
        <v>29</v>
      </c>
      <c r="E206" s="1219">
        <v>-0.76100000000000001</v>
      </c>
      <c r="F206" s="1192"/>
      <c r="G206" s="1648" t="s">
        <v>603</v>
      </c>
      <c r="H206" s="1192" t="s">
        <v>2736</v>
      </c>
      <c r="I206" s="1192" t="s">
        <v>430</v>
      </c>
      <c r="J206" s="1192"/>
      <c r="K206" s="1192"/>
      <c r="L206" s="1192"/>
      <c r="M206" s="1192" t="s">
        <v>6138</v>
      </c>
      <c r="N206" s="1192"/>
      <c r="O206" s="1192"/>
      <c r="P206" s="1192"/>
      <c r="Q206" s="1192">
        <v>44561</v>
      </c>
      <c r="Z206" s="1650" t="s">
        <v>4536</v>
      </c>
    </row>
    <row r="207" spans="2:27" ht="20.399999999999999" x14ac:dyDescent="0.3">
      <c r="B207" s="1740" t="s">
        <v>4537</v>
      </c>
      <c r="C207" s="1740"/>
      <c r="D207" s="524" t="s">
        <v>29</v>
      </c>
      <c r="E207" s="1219">
        <v>-0.39489999999999997</v>
      </c>
      <c r="F207" s="1192"/>
      <c r="G207" s="1648" t="s">
        <v>7382</v>
      </c>
      <c r="H207" s="1192" t="s">
        <v>2736</v>
      </c>
      <c r="I207" s="1192" t="s">
        <v>430</v>
      </c>
      <c r="J207" s="1192"/>
      <c r="K207" s="1192"/>
      <c r="L207" s="1192"/>
      <c r="M207" s="1192" t="s">
        <v>6139</v>
      </c>
      <c r="N207" s="1192"/>
      <c r="O207" s="1192"/>
      <c r="P207" s="1192"/>
      <c r="Q207" s="1192"/>
      <c r="Z207" s="1650" t="s">
        <v>4537</v>
      </c>
    </row>
    <row r="208" spans="2:27" ht="11.25" customHeight="1" x14ac:dyDescent="0.3">
      <c r="B208" s="1740" t="s">
        <v>213</v>
      </c>
      <c r="C208" s="1740"/>
      <c r="D208" s="524" t="s">
        <v>29</v>
      </c>
      <c r="E208" s="1219">
        <v>1.8505</v>
      </c>
      <c r="F208" s="1192"/>
      <c r="G208" s="1648"/>
      <c r="H208" s="1192" t="s">
        <v>2736</v>
      </c>
      <c r="I208" s="1192" t="s">
        <v>432</v>
      </c>
      <c r="J208" s="1192"/>
      <c r="K208" s="1192"/>
      <c r="L208" s="1192"/>
      <c r="M208" s="1192" t="s">
        <v>2741</v>
      </c>
      <c r="N208" s="1192"/>
      <c r="O208" s="1192"/>
      <c r="P208" s="1192"/>
      <c r="Q208" s="1192"/>
      <c r="Z208" s="1650" t="s">
        <v>213</v>
      </c>
    </row>
    <row r="209" spans="2:45" ht="11.25" customHeight="1" x14ac:dyDescent="0.3">
      <c r="B209" s="1740" t="s">
        <v>209</v>
      </c>
      <c r="C209" s="1740"/>
      <c r="D209" s="524" t="s">
        <v>29</v>
      </c>
      <c r="E209" s="1219">
        <v>1.5789</v>
      </c>
      <c r="F209" s="1192"/>
      <c r="G209" s="1648"/>
      <c r="H209" s="1192" t="s">
        <v>2736</v>
      </c>
      <c r="I209" s="1192" t="s">
        <v>432</v>
      </c>
      <c r="J209" s="1192"/>
      <c r="K209" s="1192"/>
      <c r="L209" s="1192"/>
      <c r="M209" s="1192" t="s">
        <v>2742</v>
      </c>
      <c r="N209" s="1192"/>
      <c r="O209" s="1192"/>
      <c r="P209" s="1192"/>
      <c r="Q209" s="1192"/>
      <c r="Z209" s="1650" t="s">
        <v>209</v>
      </c>
    </row>
    <row r="210" spans="2:45" s="1192" customFormat="1" ht="6.75" customHeight="1" x14ac:dyDescent="0.3">
      <c r="B210" s="1640"/>
      <c r="C210" s="1640"/>
      <c r="D210" s="524"/>
      <c r="E210" s="1219"/>
      <c r="G210" s="1648"/>
    </row>
    <row r="211" spans="2:45" ht="11.25" customHeight="1" x14ac:dyDescent="0.3">
      <c r="B211" s="1748" t="s">
        <v>2405</v>
      </c>
      <c r="C211" s="1740"/>
      <c r="D211" s="1277"/>
      <c r="E211" s="896"/>
      <c r="F211" s="1192"/>
      <c r="G211" s="1648"/>
      <c r="H211" s="1192" t="s">
        <v>2438</v>
      </c>
      <c r="I211" s="1192"/>
      <c r="J211" s="1192"/>
      <c r="K211" s="1192"/>
      <c r="L211" s="1192"/>
      <c r="M211" s="1192"/>
      <c r="N211" s="1192"/>
      <c r="O211" s="1192"/>
      <c r="P211" s="1192"/>
      <c r="Q211" s="1192"/>
      <c r="Z211" s="1467" t="s">
        <v>2405</v>
      </c>
    </row>
    <row r="212" spans="2:45" s="1192" customFormat="1" ht="6.75" customHeight="1" x14ac:dyDescent="0.3">
      <c r="B212" s="1643"/>
      <c r="C212" s="1640"/>
      <c r="D212" s="1277"/>
      <c r="E212" s="896"/>
      <c r="G212" s="1648"/>
    </row>
    <row r="213" spans="2:45" ht="11.25" customHeight="1" x14ac:dyDescent="0.3">
      <c r="B213" s="1740" t="s">
        <v>2033</v>
      </c>
      <c r="C213" s="1740"/>
      <c r="D213" s="524" t="s">
        <v>20</v>
      </c>
      <c r="E213" s="1219">
        <v>3.0000000000000001E-3</v>
      </c>
      <c r="F213" s="1192"/>
      <c r="G213" s="1648"/>
      <c r="H213" s="1192" t="s">
        <v>2736</v>
      </c>
      <c r="I213" s="1192" t="s">
        <v>2374</v>
      </c>
      <c r="J213" s="1192"/>
      <c r="K213" s="1192"/>
      <c r="L213" s="1192"/>
      <c r="M213" s="1192" t="s">
        <v>2743</v>
      </c>
      <c r="N213" s="1192"/>
      <c r="O213" s="1192"/>
      <c r="P213" s="1192"/>
      <c r="Q213" s="1192"/>
      <c r="Z213" s="1650" t="s">
        <v>2033</v>
      </c>
    </row>
    <row r="214" spans="2:45" ht="11.25" customHeight="1" x14ac:dyDescent="0.3">
      <c r="B214" s="1740" t="s">
        <v>2034</v>
      </c>
      <c r="C214" s="1740"/>
      <c r="D214" s="524" t="s">
        <v>20</v>
      </c>
      <c r="E214" s="1219">
        <v>4.0000000000000002E-4</v>
      </c>
      <c r="F214" s="1192"/>
      <c r="G214" s="1648"/>
      <c r="H214" s="1192" t="s">
        <v>2736</v>
      </c>
      <c r="I214" s="1192" t="s">
        <v>2374</v>
      </c>
      <c r="J214" s="1192"/>
      <c r="K214" s="1192"/>
      <c r="L214" s="1192"/>
      <c r="M214" s="1192" t="s">
        <v>2743</v>
      </c>
      <c r="N214" s="1192"/>
      <c r="O214" s="1192"/>
      <c r="P214" s="1192"/>
      <c r="Q214" s="1192"/>
      <c r="Z214" s="1650" t="s">
        <v>2034</v>
      </c>
    </row>
    <row r="215" spans="2:45" ht="11.25" customHeight="1" x14ac:dyDescent="0.3">
      <c r="B215" s="1740" t="s">
        <v>428</v>
      </c>
      <c r="C215" s="1740"/>
      <c r="D215" s="524" t="s">
        <v>20</v>
      </c>
      <c r="E215" s="1219">
        <v>5.0000000000000001E-4</v>
      </c>
      <c r="F215" s="1192"/>
      <c r="G215" s="1648"/>
      <c r="H215" s="1192" t="s">
        <v>2736</v>
      </c>
      <c r="I215" s="1192" t="s">
        <v>2374</v>
      </c>
      <c r="J215" s="1192"/>
      <c r="K215" s="1192"/>
      <c r="L215" s="1192"/>
      <c r="M215" s="1192" t="s">
        <v>2744</v>
      </c>
      <c r="N215" s="1192"/>
      <c r="O215" s="1192"/>
      <c r="P215" s="1192"/>
      <c r="Q215" s="1192"/>
      <c r="Z215" s="1650" t="s">
        <v>428</v>
      </c>
    </row>
    <row r="216" spans="2:45" ht="11.25" customHeight="1" x14ac:dyDescent="0.3">
      <c r="B216" s="1740" t="s">
        <v>28</v>
      </c>
      <c r="C216" s="1740"/>
      <c r="D216" s="524" t="s">
        <v>19</v>
      </c>
      <c r="E216" s="1218">
        <v>0.25</v>
      </c>
      <c r="F216" s="1192"/>
      <c r="G216" s="1648"/>
      <c r="H216" s="1192" t="s">
        <v>2736</v>
      </c>
      <c r="I216" s="1192" t="s">
        <v>2374</v>
      </c>
      <c r="J216" s="1192"/>
      <c r="K216" s="1192"/>
      <c r="L216" s="1192"/>
      <c r="M216" s="1192" t="s">
        <v>2745</v>
      </c>
      <c r="N216" s="1192"/>
      <c r="O216" s="1192"/>
      <c r="P216" s="1192"/>
      <c r="Q216" s="1192"/>
      <c r="Z216" s="1650" t="s">
        <v>28</v>
      </c>
      <c r="AS216" t="s">
        <v>603</v>
      </c>
    </row>
    <row r="217" spans="2:45" s="1464" customFormat="1" ht="18" customHeight="1" x14ac:dyDescent="0.35">
      <c r="B217" s="1746" t="s">
        <v>590</v>
      </c>
      <c r="C217" s="1747"/>
      <c r="D217" s="1747"/>
      <c r="E217" s="1747"/>
      <c r="G217" s="1468"/>
      <c r="H217" s="1464" t="s">
        <v>2746</v>
      </c>
      <c r="AA217" s="1465" t="s">
        <v>590</v>
      </c>
    </row>
    <row r="218" spans="2:45" ht="57" x14ac:dyDescent="0.3">
      <c r="B218" s="1743" t="s">
        <v>4413</v>
      </c>
      <c r="C218" s="1743"/>
      <c r="D218" s="1743"/>
      <c r="E218" s="1743"/>
      <c r="F218" s="1192"/>
      <c r="G218" s="1648"/>
      <c r="H218" s="1192" t="s">
        <v>2746</v>
      </c>
      <c r="I218" s="1192"/>
      <c r="J218" s="1192"/>
      <c r="K218" s="1192"/>
      <c r="L218" s="1192"/>
      <c r="M218" s="1192"/>
      <c r="N218" s="1192"/>
      <c r="O218" s="1192"/>
      <c r="P218" s="1192"/>
      <c r="Q218" s="1192"/>
      <c r="AA218" s="1649" t="s">
        <v>4413</v>
      </c>
    </row>
    <row r="219" spans="2:45" s="1192" customFormat="1" ht="6.75" customHeight="1" x14ac:dyDescent="0.3">
      <c r="B219" s="1639"/>
      <c r="C219" s="1639"/>
      <c r="D219" s="1639"/>
      <c r="E219" s="1639"/>
      <c r="G219" s="1648"/>
    </row>
    <row r="220" spans="2:45" ht="11.25" customHeight="1" x14ac:dyDescent="0.3">
      <c r="B220" s="1750" t="s">
        <v>2389</v>
      </c>
      <c r="C220" s="1743"/>
      <c r="D220" s="1743"/>
      <c r="E220" s="1743"/>
      <c r="F220" s="1192"/>
      <c r="G220" s="1648"/>
      <c r="H220" s="1192" t="s">
        <v>2444</v>
      </c>
      <c r="I220" s="1192"/>
      <c r="J220" s="1192"/>
      <c r="K220" s="1192"/>
      <c r="L220" s="1192"/>
      <c r="M220" s="1192"/>
      <c r="N220" s="1192"/>
      <c r="O220" s="1192"/>
      <c r="P220" s="1192"/>
      <c r="Q220" s="1192"/>
      <c r="AA220" s="1467" t="s">
        <v>2389</v>
      </c>
    </row>
    <row r="221" spans="2:45" s="1192" customFormat="1" ht="6.75" customHeight="1" x14ac:dyDescent="0.3">
      <c r="B221" s="1642"/>
      <c r="C221" s="1639"/>
      <c r="D221" s="1639"/>
      <c r="E221" s="1639"/>
      <c r="G221" s="1648"/>
    </row>
    <row r="222" spans="2:45" ht="34.200000000000003" x14ac:dyDescent="0.3">
      <c r="B222" s="1743" t="s">
        <v>2391</v>
      </c>
      <c r="C222" s="1743"/>
      <c r="D222" s="1743"/>
      <c r="E222" s="1743"/>
      <c r="F222" s="1192"/>
      <c r="G222" s="1648"/>
      <c r="H222" s="1192" t="s">
        <v>2746</v>
      </c>
      <c r="I222" s="1192"/>
      <c r="J222" s="1192"/>
      <c r="K222" s="1192"/>
      <c r="L222" s="1192"/>
      <c r="M222" s="1192"/>
      <c r="N222" s="1192"/>
      <c r="O222" s="1192"/>
      <c r="P222" s="1192"/>
      <c r="Q222" s="1192"/>
      <c r="AA222" s="1649" t="s">
        <v>2391</v>
      </c>
    </row>
    <row r="223" spans="2:45" s="1192" customFormat="1" ht="6.75" customHeight="1" x14ac:dyDescent="0.3">
      <c r="B223" s="1639"/>
      <c r="C223" s="1639"/>
      <c r="D223" s="1639"/>
      <c r="E223" s="1639"/>
      <c r="G223" s="1648"/>
    </row>
    <row r="224" spans="2:45" ht="45.6" x14ac:dyDescent="0.3">
      <c r="B224" s="1743" t="s">
        <v>2392</v>
      </c>
      <c r="C224" s="1743"/>
      <c r="D224" s="1743"/>
      <c r="E224" s="1743"/>
      <c r="F224" s="1192"/>
      <c r="G224" s="1648"/>
      <c r="H224" s="1192" t="s">
        <v>2746</v>
      </c>
      <c r="I224" s="1192"/>
      <c r="J224" s="1192"/>
      <c r="K224" s="1192"/>
      <c r="L224" s="1192"/>
      <c r="M224" s="1192"/>
      <c r="N224" s="1192"/>
      <c r="O224" s="1192"/>
      <c r="P224" s="1192"/>
      <c r="Q224" s="1192"/>
      <c r="AA224" s="1649" t="s">
        <v>2392</v>
      </c>
    </row>
    <row r="225" spans="2:27" s="1192" customFormat="1" ht="6.75" customHeight="1" x14ac:dyDescent="0.3">
      <c r="B225" s="1639"/>
      <c r="C225" s="1639"/>
      <c r="D225" s="1639"/>
      <c r="E225" s="1639"/>
      <c r="G225" s="1648"/>
    </row>
    <row r="226" spans="2:27" ht="45.6" x14ac:dyDescent="0.3">
      <c r="B226" s="1743" t="s">
        <v>2508</v>
      </c>
      <c r="C226" s="1743"/>
      <c r="D226" s="1743"/>
      <c r="E226" s="1743"/>
      <c r="F226" s="1192"/>
      <c r="G226" s="1648"/>
      <c r="H226" s="1192" t="s">
        <v>2746</v>
      </c>
      <c r="I226" s="1192"/>
      <c r="J226" s="1192"/>
      <c r="K226" s="1192"/>
      <c r="L226" s="1192"/>
      <c r="M226" s="1192"/>
      <c r="N226" s="1192"/>
      <c r="O226" s="1192"/>
      <c r="P226" s="1192"/>
      <c r="Q226" s="1192"/>
      <c r="AA226" s="1649" t="s">
        <v>2508</v>
      </c>
    </row>
    <row r="227" spans="2:27" s="1192" customFormat="1" ht="6.75" customHeight="1" x14ac:dyDescent="0.3">
      <c r="B227" s="1639"/>
      <c r="C227" s="1639"/>
      <c r="D227" s="1639"/>
      <c r="E227" s="1639"/>
      <c r="G227" s="1648"/>
    </row>
    <row r="228" spans="2:27" ht="34.200000000000003" x14ac:dyDescent="0.3">
      <c r="B228" s="1743" t="s">
        <v>4500</v>
      </c>
      <c r="C228" s="1743"/>
      <c r="D228" s="1743"/>
      <c r="E228" s="1743"/>
      <c r="F228" s="1192"/>
      <c r="G228" s="1648"/>
      <c r="H228" s="1192" t="s">
        <v>2746</v>
      </c>
      <c r="I228" s="1192"/>
      <c r="J228" s="1192"/>
      <c r="K228" s="1192"/>
      <c r="L228" s="1192"/>
      <c r="M228" s="1192"/>
      <c r="N228" s="1192"/>
      <c r="O228" s="1192"/>
      <c r="P228" s="1192"/>
      <c r="Q228" s="1192"/>
      <c r="AA228" s="1649" t="s">
        <v>4500</v>
      </c>
    </row>
    <row r="229" spans="2:27" s="1192" customFormat="1" ht="6.75" customHeight="1" x14ac:dyDescent="0.3">
      <c r="B229" s="1639"/>
      <c r="C229" s="1639"/>
      <c r="D229" s="1639"/>
      <c r="E229" s="1639"/>
      <c r="G229" s="1648"/>
    </row>
    <row r="230" spans="2:27" ht="11.25" customHeight="1" x14ac:dyDescent="0.3">
      <c r="B230" s="1748" t="s">
        <v>2394</v>
      </c>
      <c r="C230" s="1749"/>
      <c r="D230" s="1749"/>
      <c r="E230" s="1749"/>
      <c r="F230" s="1192"/>
      <c r="G230" s="1648"/>
      <c r="H230" s="1192" t="s">
        <v>2446</v>
      </c>
      <c r="I230" s="1192"/>
      <c r="J230" s="1192"/>
      <c r="K230" s="1192"/>
      <c r="L230" s="1192"/>
      <c r="M230" s="1192"/>
      <c r="N230" s="1192"/>
      <c r="O230" s="1192"/>
      <c r="P230" s="1192"/>
      <c r="Q230" s="1192"/>
      <c r="AA230" s="1467" t="s">
        <v>2394</v>
      </c>
    </row>
    <row r="231" spans="2:27" s="1192" customFormat="1" ht="6.75" customHeight="1" x14ac:dyDescent="0.3">
      <c r="B231" s="1643"/>
      <c r="C231" s="1644"/>
      <c r="D231" s="1644"/>
      <c r="E231" s="1644"/>
      <c r="G231" s="1648"/>
    </row>
    <row r="232" spans="2:27" ht="11.25" customHeight="1" x14ac:dyDescent="0.3">
      <c r="B232" s="1740" t="s">
        <v>8</v>
      </c>
      <c r="C232" s="1740"/>
      <c r="D232" s="524" t="s">
        <v>19</v>
      </c>
      <c r="E232" s="1218">
        <v>2.25</v>
      </c>
      <c r="F232" s="1192"/>
      <c r="G232" s="1648"/>
      <c r="H232" s="1192" t="s">
        <v>2746</v>
      </c>
      <c r="I232" s="1192" t="s">
        <v>430</v>
      </c>
      <c r="J232" s="1192"/>
      <c r="K232" s="1192"/>
      <c r="L232" s="1192"/>
      <c r="M232" s="1192" t="s">
        <v>2747</v>
      </c>
      <c r="N232" s="1192"/>
      <c r="O232" s="1192"/>
      <c r="P232" s="1192"/>
      <c r="Q232" s="1192"/>
      <c r="Z232" s="1650" t="s">
        <v>8</v>
      </c>
    </row>
    <row r="233" spans="2:27" ht="11.25" customHeight="1" x14ac:dyDescent="0.3">
      <c r="B233" s="1740" t="s">
        <v>80</v>
      </c>
      <c r="C233" s="1740"/>
      <c r="D233" s="524" t="s">
        <v>29</v>
      </c>
      <c r="E233" s="1219">
        <v>10.8757</v>
      </c>
      <c r="F233" s="1192"/>
      <c r="G233" s="1648"/>
      <c r="H233" s="1192" t="s">
        <v>2746</v>
      </c>
      <c r="I233" s="1192" t="s">
        <v>430</v>
      </c>
      <c r="J233" s="1192"/>
      <c r="K233" s="1192"/>
      <c r="L233" s="1192"/>
      <c r="M233" s="1192" t="s">
        <v>2748</v>
      </c>
      <c r="N233" s="1192"/>
      <c r="O233" s="1192"/>
      <c r="P233" s="1192"/>
      <c r="Q233" s="1192"/>
      <c r="Z233" s="1650" t="s">
        <v>80</v>
      </c>
    </row>
    <row r="234" spans="2:27" ht="11.25" customHeight="1" x14ac:dyDescent="0.3">
      <c r="B234" s="1740" t="s">
        <v>14</v>
      </c>
      <c r="C234" s="1740"/>
      <c r="D234" s="524" t="s">
        <v>29</v>
      </c>
      <c r="E234" s="1219">
        <v>0.77200000000000002</v>
      </c>
      <c r="F234" s="1192"/>
      <c r="G234" s="1648"/>
      <c r="H234" s="1192" t="s">
        <v>2746</v>
      </c>
      <c r="I234" s="1192" t="s">
        <v>431</v>
      </c>
      <c r="J234" s="1192"/>
      <c r="K234" s="1192"/>
      <c r="L234" s="1192"/>
      <c r="M234" s="1192" t="s">
        <v>2749</v>
      </c>
      <c r="N234" s="1192"/>
      <c r="O234" s="1192"/>
      <c r="P234" s="1192"/>
      <c r="Q234" s="1192"/>
      <c r="Z234" s="1650" t="s">
        <v>14</v>
      </c>
    </row>
    <row r="235" spans="2:27" ht="20.399999999999999" x14ac:dyDescent="0.3">
      <c r="B235" s="1740" t="s">
        <v>6122</v>
      </c>
      <c r="C235" s="1740"/>
      <c r="D235" s="524" t="s">
        <v>29</v>
      </c>
      <c r="E235" s="1219">
        <v>-5.5548000000000002</v>
      </c>
      <c r="F235" s="1192"/>
      <c r="G235" s="1648"/>
      <c r="H235" s="1192" t="s">
        <v>2746</v>
      </c>
      <c r="I235" s="1192" t="s">
        <v>430</v>
      </c>
      <c r="J235" s="1192"/>
      <c r="K235" s="1192"/>
      <c r="L235" s="1192"/>
      <c r="M235" s="1192" t="s">
        <v>2750</v>
      </c>
      <c r="N235" s="1192"/>
      <c r="O235" s="1192"/>
      <c r="P235" s="1192"/>
      <c r="Q235" s="1192">
        <v>44196</v>
      </c>
      <c r="R235" t="s">
        <v>603</v>
      </c>
      <c r="Z235" s="1650" t="s">
        <v>6122</v>
      </c>
    </row>
    <row r="236" spans="2:27" ht="20.399999999999999" x14ac:dyDescent="0.3">
      <c r="B236" s="1740" t="s">
        <v>4538</v>
      </c>
      <c r="C236" s="1740"/>
      <c r="D236" s="524" t="s">
        <v>29</v>
      </c>
      <c r="E236" s="1219">
        <v>3.0914999999999999</v>
      </c>
      <c r="F236" s="1192"/>
      <c r="G236" s="1648"/>
      <c r="H236" s="1192" t="s">
        <v>2746</v>
      </c>
      <c r="I236" s="1192" t="s">
        <v>430</v>
      </c>
      <c r="J236" s="1192"/>
      <c r="K236" s="1192"/>
      <c r="L236" s="1192"/>
      <c r="M236" s="1192" t="s">
        <v>2750</v>
      </c>
      <c r="N236" s="1192"/>
      <c r="O236" s="1192"/>
      <c r="P236" s="1192"/>
      <c r="Q236" s="1192">
        <v>44561</v>
      </c>
      <c r="Z236" s="1650" t="s">
        <v>4538</v>
      </c>
    </row>
    <row r="237" spans="2:27" x14ac:dyDescent="0.3">
      <c r="B237" s="1740" t="s">
        <v>4535</v>
      </c>
      <c r="C237" s="1740"/>
      <c r="D237" s="524" t="s">
        <v>29</v>
      </c>
      <c r="E237" s="1219">
        <v>-0.67130000000000001</v>
      </c>
      <c r="F237" s="1192"/>
      <c r="G237" s="1648"/>
      <c r="H237" s="1192" t="s">
        <v>2746</v>
      </c>
      <c r="I237" s="1192" t="s">
        <v>430</v>
      </c>
      <c r="J237" s="1192"/>
      <c r="K237" s="1192"/>
      <c r="L237" s="1192"/>
      <c r="M237" s="1192" t="s">
        <v>6140</v>
      </c>
      <c r="N237" s="1192"/>
      <c r="O237" s="1192"/>
      <c r="P237" s="1192"/>
      <c r="Q237" s="1192">
        <v>44196</v>
      </c>
      <c r="R237" t="s">
        <v>603</v>
      </c>
      <c r="Z237" s="1650" t="s">
        <v>4535</v>
      </c>
    </row>
    <row r="238" spans="2:27" x14ac:dyDescent="0.3">
      <c r="B238" s="1740" t="s">
        <v>4536</v>
      </c>
      <c r="C238" s="1740"/>
      <c r="D238" s="524" t="s">
        <v>29</v>
      </c>
      <c r="E238" s="1219">
        <v>-0.89510000000000001</v>
      </c>
      <c r="F238" s="1192"/>
      <c r="G238" s="1648" t="s">
        <v>603</v>
      </c>
      <c r="H238" s="1192" t="s">
        <v>2746</v>
      </c>
      <c r="I238" s="1192" t="s">
        <v>430</v>
      </c>
      <c r="J238" s="1192"/>
      <c r="K238" s="1192"/>
      <c r="L238" s="1192"/>
      <c r="M238" s="1192" t="s">
        <v>6141</v>
      </c>
      <c r="N238" s="1192"/>
      <c r="O238" s="1192"/>
      <c r="P238" s="1192"/>
      <c r="Q238" s="1192">
        <v>44561</v>
      </c>
      <c r="Z238" s="1650" t="s">
        <v>4536</v>
      </c>
    </row>
    <row r="239" spans="2:27" ht="20.399999999999999" x14ac:dyDescent="0.3">
      <c r="B239" s="1740" t="s">
        <v>4537</v>
      </c>
      <c r="C239" s="1740"/>
      <c r="D239" s="524" t="s">
        <v>29</v>
      </c>
      <c r="E239" s="1219">
        <v>-0.46450000000000002</v>
      </c>
      <c r="F239" s="1192"/>
      <c r="G239" s="1648" t="s">
        <v>7382</v>
      </c>
      <c r="H239" s="1192" t="s">
        <v>2746</v>
      </c>
      <c r="I239" s="1192" t="s">
        <v>430</v>
      </c>
      <c r="J239" s="1192"/>
      <c r="K239" s="1192"/>
      <c r="L239" s="1192"/>
      <c r="M239" s="1192" t="s">
        <v>6142</v>
      </c>
      <c r="N239" s="1192"/>
      <c r="O239" s="1192"/>
      <c r="P239" s="1192"/>
      <c r="Q239" s="1192"/>
      <c r="Z239" s="1650" t="s">
        <v>4537</v>
      </c>
    </row>
    <row r="240" spans="2:27" ht="11.25" customHeight="1" x14ac:dyDescent="0.3">
      <c r="B240" s="1740" t="s">
        <v>213</v>
      </c>
      <c r="C240" s="1740"/>
      <c r="D240" s="524" t="s">
        <v>29</v>
      </c>
      <c r="E240" s="1219">
        <v>1.8411999999999999</v>
      </c>
      <c r="F240" s="1192"/>
      <c r="G240" s="1648"/>
      <c r="H240" s="1192" t="s">
        <v>2746</v>
      </c>
      <c r="I240" s="1192" t="s">
        <v>432</v>
      </c>
      <c r="J240" s="1192"/>
      <c r="K240" s="1192"/>
      <c r="L240" s="1192"/>
      <c r="M240" s="1192" t="s">
        <v>2751</v>
      </c>
      <c r="N240" s="1192"/>
      <c r="O240" s="1192"/>
      <c r="P240" s="1192"/>
      <c r="Q240" s="1192"/>
      <c r="Z240" s="1650" t="s">
        <v>213</v>
      </c>
    </row>
    <row r="241" spans="2:45" ht="11.25" customHeight="1" x14ac:dyDescent="0.3">
      <c r="B241" s="1740" t="s">
        <v>209</v>
      </c>
      <c r="C241" s="1740"/>
      <c r="D241" s="524" t="s">
        <v>29</v>
      </c>
      <c r="E241" s="1219">
        <v>1.5467</v>
      </c>
      <c r="F241" s="1192"/>
      <c r="G241" s="1648"/>
      <c r="H241" s="1192" t="s">
        <v>2746</v>
      </c>
      <c r="I241" s="1192" t="s">
        <v>432</v>
      </c>
      <c r="J241" s="1192"/>
      <c r="K241" s="1192"/>
      <c r="L241" s="1192"/>
      <c r="M241" s="1192" t="s">
        <v>2752</v>
      </c>
      <c r="N241" s="1192"/>
      <c r="O241" s="1192"/>
      <c r="P241" s="1192"/>
      <c r="Q241" s="1192"/>
      <c r="Z241" s="1650" t="s">
        <v>209</v>
      </c>
    </row>
    <row r="242" spans="2:45" s="1192" customFormat="1" ht="6.75" customHeight="1" x14ac:dyDescent="0.3">
      <c r="B242" s="1640"/>
      <c r="C242" s="1640"/>
      <c r="D242" s="524"/>
      <c r="E242" s="1219"/>
      <c r="G242" s="1648"/>
    </row>
    <row r="243" spans="2:45" ht="11.25" customHeight="1" x14ac:dyDescent="0.3">
      <c r="B243" s="1748" t="s">
        <v>2405</v>
      </c>
      <c r="C243" s="1740"/>
      <c r="D243" s="1277"/>
      <c r="E243" s="896"/>
      <c r="F243" s="1192"/>
      <c r="G243" s="1648"/>
      <c r="H243" s="1192" t="s">
        <v>2565</v>
      </c>
      <c r="I243" s="1192"/>
      <c r="J243" s="1192"/>
      <c r="K243" s="1192"/>
      <c r="L243" s="1192"/>
      <c r="M243" s="1192"/>
      <c r="N243" s="1192"/>
      <c r="O243" s="1192"/>
      <c r="P243" s="1192"/>
      <c r="Q243" s="1192"/>
      <c r="Z243" s="1467" t="s">
        <v>2405</v>
      </c>
    </row>
    <row r="244" spans="2:45" s="1192" customFormat="1" ht="6.75" customHeight="1" x14ac:dyDescent="0.3">
      <c r="B244" s="1643"/>
      <c r="C244" s="1640"/>
      <c r="D244" s="1277"/>
      <c r="E244" s="896"/>
      <c r="G244" s="1648"/>
    </row>
    <row r="245" spans="2:45" ht="11.25" customHeight="1" x14ac:dyDescent="0.3">
      <c r="B245" s="1740" t="s">
        <v>2033</v>
      </c>
      <c r="C245" s="1740"/>
      <c r="D245" s="524" t="s">
        <v>20</v>
      </c>
      <c r="E245" s="1219">
        <v>3.0000000000000001E-3</v>
      </c>
      <c r="F245" s="1192"/>
      <c r="G245" s="1648"/>
      <c r="H245" s="1192" t="s">
        <v>2746</v>
      </c>
      <c r="I245" s="1192" t="s">
        <v>2374</v>
      </c>
      <c r="J245" s="1192"/>
      <c r="K245" s="1192"/>
      <c r="L245" s="1192"/>
      <c r="M245" s="1192" t="s">
        <v>2753</v>
      </c>
      <c r="N245" s="1192"/>
      <c r="O245" s="1192"/>
      <c r="P245" s="1192"/>
      <c r="Q245" s="1192"/>
      <c r="Z245" s="1650" t="s">
        <v>2033</v>
      </c>
    </row>
    <row r="246" spans="2:45" ht="11.25" customHeight="1" x14ac:dyDescent="0.3">
      <c r="B246" s="1740" t="s">
        <v>2034</v>
      </c>
      <c r="C246" s="1740"/>
      <c r="D246" s="524" t="s">
        <v>20</v>
      </c>
      <c r="E246" s="1219">
        <v>4.0000000000000002E-4</v>
      </c>
      <c r="F246" s="1192"/>
      <c r="G246" s="1648"/>
      <c r="H246" s="1192" t="s">
        <v>2746</v>
      </c>
      <c r="I246" s="1192" t="s">
        <v>2374</v>
      </c>
      <c r="J246" s="1192"/>
      <c r="K246" s="1192"/>
      <c r="L246" s="1192"/>
      <c r="M246" s="1192" t="s">
        <v>2753</v>
      </c>
      <c r="N246" s="1192"/>
      <c r="O246" s="1192"/>
      <c r="P246" s="1192"/>
      <c r="Q246" s="1192"/>
      <c r="Z246" s="1650" t="s">
        <v>2034</v>
      </c>
    </row>
    <row r="247" spans="2:45" ht="11.25" customHeight="1" x14ac:dyDescent="0.3">
      <c r="B247" s="1740" t="s">
        <v>428</v>
      </c>
      <c r="C247" s="1740"/>
      <c r="D247" s="524" t="s">
        <v>20</v>
      </c>
      <c r="E247" s="1219">
        <v>5.0000000000000001E-4</v>
      </c>
      <c r="F247" s="1192"/>
      <c r="G247" s="1648"/>
      <c r="H247" s="1192" t="s">
        <v>2746</v>
      </c>
      <c r="I247" s="1192" t="s">
        <v>2374</v>
      </c>
      <c r="J247" s="1192"/>
      <c r="K247" s="1192"/>
      <c r="L247" s="1192"/>
      <c r="M247" s="1192" t="s">
        <v>2754</v>
      </c>
      <c r="N247" s="1192"/>
      <c r="O247" s="1192"/>
      <c r="P247" s="1192"/>
      <c r="Q247" s="1192"/>
      <c r="Z247" s="1650" t="s">
        <v>428</v>
      </c>
    </row>
    <row r="248" spans="2:45" ht="11.25" customHeight="1" x14ac:dyDescent="0.3">
      <c r="B248" s="1740" t="s">
        <v>28</v>
      </c>
      <c r="C248" s="1740"/>
      <c r="D248" s="524" t="s">
        <v>19</v>
      </c>
      <c r="E248" s="1218">
        <v>0.25</v>
      </c>
      <c r="F248" s="1192"/>
      <c r="G248" s="1648"/>
      <c r="H248" s="1192" t="s">
        <v>2746</v>
      </c>
      <c r="I248" s="1192" t="s">
        <v>2374</v>
      </c>
      <c r="J248" s="1192"/>
      <c r="K248" s="1192"/>
      <c r="L248" s="1192"/>
      <c r="M248" s="1192" t="s">
        <v>2755</v>
      </c>
      <c r="N248" s="1192"/>
      <c r="O248" s="1192"/>
      <c r="P248" s="1192"/>
      <c r="Q248" s="1192"/>
      <c r="Z248" s="1650" t="s">
        <v>28</v>
      </c>
      <c r="AS248" t="s">
        <v>603</v>
      </c>
    </row>
    <row r="249" spans="2:45" s="1464" customFormat="1" ht="18" customHeight="1" x14ac:dyDescent="0.35">
      <c r="B249" s="1746" t="s">
        <v>593</v>
      </c>
      <c r="C249" s="1747"/>
      <c r="D249" s="1747"/>
      <c r="E249" s="1747"/>
      <c r="G249" s="1468"/>
      <c r="H249" s="1464" t="s">
        <v>2756</v>
      </c>
      <c r="AA249" s="1465" t="s">
        <v>593</v>
      </c>
    </row>
    <row r="250" spans="2:45" ht="34.200000000000003" x14ac:dyDescent="0.3">
      <c r="B250" s="1743" t="s">
        <v>4414</v>
      </c>
      <c r="C250" s="1743"/>
      <c r="D250" s="1743"/>
      <c r="E250" s="1743"/>
      <c r="F250" s="1192"/>
      <c r="G250" s="1648"/>
      <c r="H250" s="1192" t="s">
        <v>2756</v>
      </c>
      <c r="I250" s="1192"/>
      <c r="J250" s="1192"/>
      <c r="K250" s="1192"/>
      <c r="L250" s="1192"/>
      <c r="M250" s="1192"/>
      <c r="N250" s="1192"/>
      <c r="O250" s="1192"/>
      <c r="P250" s="1192"/>
      <c r="Q250" s="1192"/>
      <c r="AA250" s="1649" t="s">
        <v>4414</v>
      </c>
    </row>
    <row r="251" spans="2:45" s="1192" customFormat="1" ht="6.75" customHeight="1" x14ac:dyDescent="0.3">
      <c r="B251" s="1639"/>
      <c r="C251" s="1639"/>
      <c r="D251" s="1639"/>
      <c r="E251" s="1639"/>
      <c r="G251" s="1648"/>
    </row>
    <row r="252" spans="2:45" ht="11.25" customHeight="1" x14ac:dyDescent="0.3">
      <c r="B252" s="1750" t="s">
        <v>2389</v>
      </c>
      <c r="C252" s="1743"/>
      <c r="D252" s="1743"/>
      <c r="E252" s="1743"/>
      <c r="F252" s="1192"/>
      <c r="G252" s="1648"/>
      <c r="H252" s="1192" t="s">
        <v>2571</v>
      </c>
      <c r="I252" s="1192"/>
      <c r="J252" s="1192"/>
      <c r="K252" s="1192"/>
      <c r="L252" s="1192"/>
      <c r="M252" s="1192"/>
      <c r="N252" s="1192"/>
      <c r="O252" s="1192"/>
      <c r="P252" s="1192"/>
      <c r="Q252" s="1192"/>
      <c r="AA252" s="1467" t="s">
        <v>2389</v>
      </c>
    </row>
    <row r="253" spans="2:45" s="1192" customFormat="1" ht="6.75" customHeight="1" x14ac:dyDescent="0.3">
      <c r="B253" s="1642"/>
      <c r="C253" s="1639"/>
      <c r="D253" s="1639"/>
      <c r="E253" s="1639"/>
      <c r="G253" s="1648"/>
    </row>
    <row r="254" spans="2:45" ht="34.200000000000003" x14ac:dyDescent="0.3">
      <c r="B254" s="1743" t="s">
        <v>2391</v>
      </c>
      <c r="C254" s="1743"/>
      <c r="D254" s="1743"/>
      <c r="E254" s="1743"/>
      <c r="F254" s="1192"/>
      <c r="G254" s="1648"/>
      <c r="H254" s="1192" t="s">
        <v>2756</v>
      </c>
      <c r="I254" s="1192"/>
      <c r="J254" s="1192"/>
      <c r="K254" s="1192"/>
      <c r="L254" s="1192"/>
      <c r="M254" s="1192"/>
      <c r="N254" s="1192"/>
      <c r="O254" s="1192"/>
      <c r="P254" s="1192"/>
      <c r="Q254" s="1192"/>
      <c r="AA254" s="1649" t="s">
        <v>2391</v>
      </c>
    </row>
    <row r="255" spans="2:45" s="1192" customFormat="1" ht="6.75" customHeight="1" x14ac:dyDescent="0.3">
      <c r="B255" s="1639"/>
      <c r="C255" s="1639"/>
      <c r="D255" s="1639"/>
      <c r="E255" s="1639"/>
      <c r="G255" s="1648"/>
    </row>
    <row r="256" spans="2:45" ht="45.6" x14ac:dyDescent="0.3">
      <c r="B256" s="1743" t="s">
        <v>2392</v>
      </c>
      <c r="C256" s="1743"/>
      <c r="D256" s="1743"/>
      <c r="E256" s="1743"/>
      <c r="F256" s="1192"/>
      <c r="G256" s="1648"/>
      <c r="H256" s="1192" t="s">
        <v>2756</v>
      </c>
      <c r="I256" s="1192"/>
      <c r="J256" s="1192"/>
      <c r="K256" s="1192"/>
      <c r="L256" s="1192"/>
      <c r="M256" s="1192"/>
      <c r="N256" s="1192"/>
      <c r="O256" s="1192"/>
      <c r="P256" s="1192"/>
      <c r="Q256" s="1192"/>
      <c r="AA256" s="1649" t="s">
        <v>2392</v>
      </c>
    </row>
    <row r="257" spans="2:27" s="1192" customFormat="1" ht="6.75" customHeight="1" x14ac:dyDescent="0.3">
      <c r="B257" s="1639"/>
      <c r="C257" s="1639"/>
      <c r="D257" s="1639"/>
      <c r="E257" s="1639"/>
      <c r="G257" s="1648"/>
    </row>
    <row r="258" spans="2:27" ht="22.8" x14ac:dyDescent="0.3">
      <c r="B258" s="1743" t="s">
        <v>2445</v>
      </c>
      <c r="C258" s="1743"/>
      <c r="D258" s="1743"/>
      <c r="E258" s="1743"/>
      <c r="F258" s="1192"/>
      <c r="G258" s="1648"/>
      <c r="H258" s="1192" t="s">
        <v>2756</v>
      </c>
      <c r="I258" s="1192"/>
      <c r="J258" s="1192"/>
      <c r="K258" s="1192"/>
      <c r="L258" s="1192"/>
      <c r="M258" s="1192"/>
      <c r="N258" s="1192"/>
      <c r="O258" s="1192"/>
      <c r="P258" s="1192"/>
      <c r="Q258" s="1192"/>
      <c r="AA258" s="1649" t="s">
        <v>2445</v>
      </c>
    </row>
    <row r="259" spans="2:27" s="1192" customFormat="1" ht="6.75" customHeight="1" x14ac:dyDescent="0.3">
      <c r="B259" s="1639"/>
      <c r="C259" s="1639"/>
      <c r="D259" s="1639"/>
      <c r="E259" s="1639"/>
      <c r="G259" s="1648"/>
    </row>
    <row r="260" spans="2:27" ht="34.200000000000003" x14ac:dyDescent="0.3">
      <c r="B260" s="1743" t="s">
        <v>4500</v>
      </c>
      <c r="C260" s="1743"/>
      <c r="D260" s="1743"/>
      <c r="E260" s="1743"/>
      <c r="F260" s="1192"/>
      <c r="G260" s="1648"/>
      <c r="H260" s="1192" t="s">
        <v>2756</v>
      </c>
      <c r="I260" s="1192"/>
      <c r="J260" s="1192"/>
      <c r="K260" s="1192"/>
      <c r="L260" s="1192"/>
      <c r="M260" s="1192"/>
      <c r="N260" s="1192"/>
      <c r="O260" s="1192"/>
      <c r="P260" s="1192"/>
      <c r="Q260" s="1192"/>
      <c r="AA260" s="1649" t="s">
        <v>4500</v>
      </c>
    </row>
    <row r="261" spans="2:27" s="1192" customFormat="1" ht="6.75" customHeight="1" x14ac:dyDescent="0.3">
      <c r="B261" s="1639"/>
      <c r="C261" s="1639"/>
      <c r="D261" s="1639"/>
      <c r="E261" s="1639"/>
      <c r="G261" s="1648"/>
    </row>
    <row r="262" spans="2:27" ht="11.25" customHeight="1" x14ac:dyDescent="0.3">
      <c r="B262" s="1748" t="s">
        <v>2394</v>
      </c>
      <c r="C262" s="1749"/>
      <c r="D262" s="1749"/>
      <c r="E262" s="1749"/>
      <c r="F262" s="1192"/>
      <c r="G262" s="1648"/>
      <c r="H262" s="1192" t="s">
        <v>2572</v>
      </c>
      <c r="I262" s="1192"/>
      <c r="J262" s="1192"/>
      <c r="K262" s="1192"/>
      <c r="L262" s="1192"/>
      <c r="M262" s="1192"/>
      <c r="N262" s="1192"/>
      <c r="O262" s="1192"/>
      <c r="P262" s="1192"/>
      <c r="Q262" s="1192"/>
      <c r="AA262" s="1467" t="s">
        <v>2394</v>
      </c>
    </row>
    <row r="263" spans="2:27" s="1192" customFormat="1" ht="6.75" customHeight="1" x14ac:dyDescent="0.3">
      <c r="B263" s="1643"/>
      <c r="C263" s="1644"/>
      <c r="D263" s="1644"/>
      <c r="E263" s="1644"/>
      <c r="G263" s="1648"/>
    </row>
    <row r="264" spans="2:27" ht="11.25" customHeight="1" x14ac:dyDescent="0.3">
      <c r="B264" s="1740" t="s">
        <v>7</v>
      </c>
      <c r="C264" s="1740"/>
      <c r="D264" s="524" t="s">
        <v>19</v>
      </c>
      <c r="E264" s="1218">
        <v>10</v>
      </c>
      <c r="F264" s="1192"/>
      <c r="G264" s="1648"/>
      <c r="H264" s="1192" t="s">
        <v>2756</v>
      </c>
      <c r="I264" s="1192" t="s">
        <v>430</v>
      </c>
      <c r="J264" s="1192"/>
      <c r="K264" s="1192"/>
      <c r="L264" s="1192"/>
      <c r="M264" s="1192" t="s">
        <v>2757</v>
      </c>
      <c r="N264" s="1192"/>
      <c r="O264" s="1192"/>
      <c r="P264" s="1192"/>
      <c r="Q264" s="1192"/>
      <c r="Z264" s="1650" t="s">
        <v>7</v>
      </c>
    </row>
    <row r="265" spans="2:27" s="1192" customFormat="1" ht="6.75" customHeight="1" x14ac:dyDescent="0.3">
      <c r="B265" s="1462"/>
      <c r="C265" s="1640"/>
      <c r="D265" s="524"/>
      <c r="E265" s="1218"/>
      <c r="G265" s="1648"/>
    </row>
    <row r="266" spans="2:27" ht="18" x14ac:dyDescent="0.3">
      <c r="B266" s="1647" t="s">
        <v>81</v>
      </c>
      <c r="C266" s="823"/>
      <c r="D266" s="823"/>
      <c r="E266" s="878"/>
      <c r="F266" s="1192"/>
      <c r="G266" s="1648"/>
      <c r="H266" s="1192" t="s">
        <v>4415</v>
      </c>
      <c r="I266" s="1192"/>
      <c r="J266" s="1192"/>
      <c r="K266" s="1192"/>
      <c r="L266" s="1192"/>
      <c r="M266" s="1192"/>
      <c r="N266" s="1192"/>
      <c r="O266" s="1192"/>
      <c r="P266" s="1192"/>
      <c r="Q266" s="1192"/>
    </row>
    <row r="267" spans="2:27" ht="11.25" customHeight="1" x14ac:dyDescent="0.3">
      <c r="B267" s="1740" t="s">
        <v>2449</v>
      </c>
      <c r="C267" s="1740"/>
      <c r="D267" s="1277" t="s">
        <v>29</v>
      </c>
      <c r="E267" s="579">
        <v>-0.6</v>
      </c>
      <c r="F267" s="1192"/>
      <c r="G267" s="1648"/>
      <c r="H267" s="1192"/>
      <c r="I267" s="1192"/>
      <c r="J267" s="1192"/>
      <c r="K267" s="1192"/>
      <c r="L267" s="1192"/>
      <c r="M267" s="1192"/>
      <c r="N267" s="1192"/>
      <c r="O267" s="1192"/>
      <c r="P267" s="1192"/>
      <c r="Q267" s="1192"/>
      <c r="Z267" s="1650" t="s">
        <v>2449</v>
      </c>
    </row>
    <row r="268" spans="2:27" ht="11.25" customHeight="1" x14ac:dyDescent="0.3">
      <c r="B268" s="1740" t="s">
        <v>2450</v>
      </c>
      <c r="C268" s="1740"/>
      <c r="D268" s="1277" t="s">
        <v>82</v>
      </c>
      <c r="E268" s="1218">
        <v>-1</v>
      </c>
      <c r="F268" s="1192"/>
      <c r="G268" s="1648"/>
      <c r="H268" s="1192"/>
      <c r="I268" s="1192"/>
      <c r="J268" s="1192"/>
      <c r="K268" s="1192"/>
      <c r="L268" s="1192"/>
      <c r="M268" s="1192"/>
      <c r="N268" s="1192"/>
      <c r="O268" s="1192"/>
      <c r="P268" s="1192"/>
      <c r="Q268" s="1192"/>
      <c r="Z268" s="1650" t="s">
        <v>2450</v>
      </c>
    </row>
    <row r="269" spans="2:27" ht="18" x14ac:dyDescent="0.3">
      <c r="B269" s="1647" t="s">
        <v>83</v>
      </c>
      <c r="C269" s="823"/>
      <c r="D269" s="823"/>
      <c r="E269" s="878"/>
      <c r="F269" s="1192"/>
      <c r="G269" s="1648"/>
      <c r="H269" s="1192" t="s">
        <v>4416</v>
      </c>
      <c r="I269" s="1192"/>
      <c r="J269" s="1192"/>
      <c r="K269" s="1192"/>
      <c r="L269" s="1192"/>
      <c r="M269" s="1192"/>
      <c r="N269" s="1192"/>
      <c r="O269" s="1192"/>
      <c r="P269" s="1192"/>
      <c r="Q269" s="1192"/>
    </row>
    <row r="270" spans="2:27" ht="34.200000000000003" x14ac:dyDescent="0.3">
      <c r="B270" s="1743" t="s">
        <v>2391</v>
      </c>
      <c r="C270" s="1743"/>
      <c r="D270" s="1743"/>
      <c r="E270" s="1743"/>
      <c r="F270" s="1192"/>
      <c r="G270" s="1648"/>
      <c r="H270" s="1192"/>
      <c r="I270" s="1192"/>
      <c r="J270" s="1192"/>
      <c r="K270" s="1192"/>
      <c r="L270" s="1192"/>
      <c r="M270" s="1192"/>
      <c r="N270" s="1192"/>
      <c r="O270" s="1192"/>
      <c r="P270" s="1192"/>
      <c r="Q270" s="1192"/>
      <c r="AA270" s="1649" t="s">
        <v>2391</v>
      </c>
    </row>
    <row r="271" spans="2:27" s="1192" customFormat="1" ht="6.75" customHeight="1" x14ac:dyDescent="0.3">
      <c r="B271" s="1639"/>
      <c r="C271" s="1639"/>
      <c r="D271" s="1639"/>
      <c r="E271" s="1639"/>
      <c r="G271" s="1648"/>
    </row>
    <row r="272" spans="2:27" ht="45.6" x14ac:dyDescent="0.3">
      <c r="B272" s="1743" t="s">
        <v>2452</v>
      </c>
      <c r="C272" s="1743"/>
      <c r="D272" s="1743"/>
      <c r="E272" s="1743"/>
      <c r="F272" s="1192"/>
      <c r="G272" s="1648"/>
      <c r="H272" s="1192"/>
      <c r="I272" s="1192"/>
      <c r="J272" s="1192"/>
      <c r="K272" s="1192"/>
      <c r="L272" s="1192"/>
      <c r="M272" s="1192"/>
      <c r="N272" s="1192"/>
      <c r="O272" s="1192"/>
      <c r="P272" s="1192"/>
      <c r="Q272" s="1192"/>
      <c r="AA272" s="1649" t="s">
        <v>2452</v>
      </c>
    </row>
    <row r="273" spans="2:27" s="1192" customFormat="1" ht="6.75" customHeight="1" x14ac:dyDescent="0.3">
      <c r="B273" s="1639"/>
      <c r="C273" s="1639"/>
      <c r="D273" s="1639"/>
      <c r="E273" s="1639"/>
      <c r="G273" s="1648"/>
    </row>
    <row r="274" spans="2:27" ht="34.200000000000003" x14ac:dyDescent="0.3">
      <c r="B274" s="1743" t="s">
        <v>4500</v>
      </c>
      <c r="C274" s="1743"/>
      <c r="D274" s="1743"/>
      <c r="E274" s="1743"/>
      <c r="F274" s="1192"/>
      <c r="G274" s="1648"/>
      <c r="H274" s="1192"/>
      <c r="I274" s="1192"/>
      <c r="J274" s="1192"/>
      <c r="K274" s="1192"/>
      <c r="L274" s="1192"/>
      <c r="M274" s="1192"/>
      <c r="N274" s="1192"/>
      <c r="O274" s="1192"/>
      <c r="P274" s="1192"/>
      <c r="Q274" s="1192"/>
      <c r="AA274" s="1649" t="s">
        <v>4500</v>
      </c>
    </row>
    <row r="275" spans="2:27" s="1192" customFormat="1" ht="6.75" customHeight="1" x14ac:dyDescent="0.3">
      <c r="B275" s="1639"/>
      <c r="C275" s="1639"/>
      <c r="D275" s="1639"/>
      <c r="E275" s="1639"/>
      <c r="G275" s="1648"/>
    </row>
    <row r="276" spans="2:27" x14ac:dyDescent="0.3">
      <c r="B276" s="1643" t="s">
        <v>2453</v>
      </c>
      <c r="C276" s="1287"/>
      <c r="D276" s="1287"/>
      <c r="E276" s="879"/>
      <c r="F276" s="1192"/>
      <c r="G276" s="1648"/>
      <c r="H276" s="1192" t="s">
        <v>4417</v>
      </c>
      <c r="I276" s="1192"/>
      <c r="J276" s="1192"/>
      <c r="K276" s="1192"/>
      <c r="L276" s="1192"/>
      <c r="M276" s="1192"/>
      <c r="N276" s="1192"/>
      <c r="O276" s="1192"/>
      <c r="P276" s="1192"/>
      <c r="Q276" s="1192"/>
    </row>
    <row r="277" spans="2:27" ht="11.25" customHeight="1" x14ac:dyDescent="0.3">
      <c r="B277" s="1745" t="s">
        <v>2639</v>
      </c>
      <c r="C277" s="1745"/>
      <c r="D277" s="1277" t="s">
        <v>19</v>
      </c>
      <c r="E277" s="1218">
        <v>15</v>
      </c>
      <c r="F277" s="1192"/>
      <c r="G277" s="1648"/>
      <c r="H277" s="1192"/>
      <c r="I277" s="1192"/>
      <c r="J277" s="1192"/>
      <c r="K277" s="1192"/>
      <c r="L277" s="1192"/>
      <c r="M277" s="1192"/>
      <c r="N277" s="1192"/>
      <c r="O277" s="1192"/>
      <c r="P277" s="1192"/>
      <c r="Q277" s="1192"/>
      <c r="Z277" s="1650" t="s">
        <v>2639</v>
      </c>
    </row>
    <row r="278" spans="2:27" ht="11.25" customHeight="1" x14ac:dyDescent="0.3">
      <c r="B278" s="1745" t="s">
        <v>2456</v>
      </c>
      <c r="C278" s="1745"/>
      <c r="D278" s="1277" t="s">
        <v>19</v>
      </c>
      <c r="E278" s="1218">
        <v>15</v>
      </c>
      <c r="F278" s="1192"/>
      <c r="G278" s="1648"/>
      <c r="H278" s="1192"/>
      <c r="I278" s="1192"/>
      <c r="J278" s="1192"/>
      <c r="K278" s="1192"/>
      <c r="L278" s="1192"/>
      <c r="M278" s="1192"/>
      <c r="N278" s="1192"/>
      <c r="O278" s="1192"/>
      <c r="P278" s="1192"/>
      <c r="Q278" s="1192"/>
      <c r="Z278" s="1650" t="s">
        <v>2456</v>
      </c>
    </row>
    <row r="279" spans="2:27" ht="11.25" customHeight="1" x14ac:dyDescent="0.3">
      <c r="B279" s="1745" t="s">
        <v>2457</v>
      </c>
      <c r="C279" s="1745"/>
      <c r="D279" s="1277" t="s">
        <v>19</v>
      </c>
      <c r="E279" s="1218">
        <v>15</v>
      </c>
      <c r="F279" s="1192"/>
      <c r="G279" s="1648"/>
      <c r="H279" s="1192"/>
      <c r="I279" s="1192"/>
      <c r="J279" s="1192"/>
      <c r="K279" s="1192"/>
      <c r="L279" s="1192"/>
      <c r="M279" s="1192"/>
      <c r="N279" s="1192"/>
      <c r="O279" s="1192"/>
      <c r="P279" s="1192"/>
      <c r="Q279" s="1192"/>
      <c r="Z279" s="1650" t="s">
        <v>2457</v>
      </c>
    </row>
    <row r="280" spans="2:27" ht="11.25" customHeight="1" x14ac:dyDescent="0.3">
      <c r="B280" s="1745" t="s">
        <v>2458</v>
      </c>
      <c r="C280" s="1745"/>
      <c r="D280" s="1277" t="s">
        <v>19</v>
      </c>
      <c r="E280" s="1218">
        <v>15</v>
      </c>
      <c r="F280" s="1192"/>
      <c r="G280" s="1648"/>
      <c r="H280" s="1192"/>
      <c r="I280" s="1192"/>
      <c r="J280" s="1192"/>
      <c r="K280" s="1192"/>
      <c r="L280" s="1192"/>
      <c r="M280" s="1192"/>
      <c r="N280" s="1192"/>
      <c r="O280" s="1192"/>
      <c r="P280" s="1192"/>
      <c r="Q280" s="1192"/>
      <c r="Z280" s="1650" t="s">
        <v>2458</v>
      </c>
    </row>
    <row r="281" spans="2:27" ht="11.25" customHeight="1" x14ac:dyDescent="0.3">
      <c r="B281" s="1745" t="s">
        <v>2459</v>
      </c>
      <c r="C281" s="1745"/>
      <c r="D281" s="1277" t="s">
        <v>19</v>
      </c>
      <c r="E281" s="1218">
        <v>15</v>
      </c>
      <c r="F281" s="1192"/>
      <c r="G281" s="1648"/>
      <c r="H281" s="1192"/>
      <c r="I281" s="1192"/>
      <c r="J281" s="1192"/>
      <c r="K281" s="1192"/>
      <c r="L281" s="1192"/>
      <c r="M281" s="1192"/>
      <c r="N281" s="1192"/>
      <c r="O281" s="1192"/>
      <c r="P281" s="1192"/>
      <c r="Q281" s="1192"/>
      <c r="Z281" s="1650" t="s">
        <v>2459</v>
      </c>
    </row>
    <row r="282" spans="2:27" ht="11.25" customHeight="1" x14ac:dyDescent="0.3">
      <c r="B282" s="1745" t="s">
        <v>3663</v>
      </c>
      <c r="C282" s="1745"/>
      <c r="D282" s="1277" t="s">
        <v>19</v>
      </c>
      <c r="E282" s="1218">
        <v>15</v>
      </c>
      <c r="F282" s="1192"/>
      <c r="G282" s="1648"/>
      <c r="H282" s="1192"/>
      <c r="I282" s="1192"/>
      <c r="J282" s="1192"/>
      <c r="K282" s="1192"/>
      <c r="L282" s="1192"/>
      <c r="M282" s="1192"/>
      <c r="N282" s="1192"/>
      <c r="O282" s="1192"/>
      <c r="P282" s="1192"/>
      <c r="Q282" s="1192"/>
      <c r="Z282" s="1650" t="s">
        <v>3663</v>
      </c>
    </row>
    <row r="283" spans="2:27" ht="11.25" customHeight="1" x14ac:dyDescent="0.3">
      <c r="B283" s="1745" t="s">
        <v>2461</v>
      </c>
      <c r="C283" s="1745"/>
      <c r="D283" s="1277" t="s">
        <v>19</v>
      </c>
      <c r="E283" s="1218">
        <v>15</v>
      </c>
      <c r="F283" s="1192"/>
      <c r="G283" s="1648"/>
      <c r="H283" s="1192"/>
      <c r="I283" s="1192"/>
      <c r="J283" s="1192"/>
      <c r="K283" s="1192"/>
      <c r="L283" s="1192"/>
      <c r="M283" s="1192"/>
      <c r="N283" s="1192"/>
      <c r="O283" s="1192"/>
      <c r="P283" s="1192"/>
      <c r="Q283" s="1192"/>
      <c r="Z283" s="1650" t="s">
        <v>2461</v>
      </c>
    </row>
    <row r="284" spans="2:27" ht="11.25" customHeight="1" x14ac:dyDescent="0.3">
      <c r="B284" s="1745" t="s">
        <v>2462</v>
      </c>
      <c r="C284" s="1745"/>
      <c r="D284" s="1277" t="s">
        <v>19</v>
      </c>
      <c r="E284" s="1218">
        <v>15</v>
      </c>
      <c r="F284" s="1192"/>
      <c r="G284" s="1648"/>
      <c r="H284" s="1192"/>
      <c r="I284" s="1192"/>
      <c r="J284" s="1192"/>
      <c r="K284" s="1192"/>
      <c r="L284" s="1192"/>
      <c r="M284" s="1192"/>
      <c r="N284" s="1192"/>
      <c r="O284" s="1192"/>
      <c r="P284" s="1192"/>
      <c r="Q284" s="1192"/>
      <c r="Z284" s="1650" t="s">
        <v>2462</v>
      </c>
    </row>
    <row r="285" spans="2:27" ht="11.25" customHeight="1" x14ac:dyDescent="0.3">
      <c r="B285" s="1745" t="s">
        <v>2463</v>
      </c>
      <c r="C285" s="1745"/>
      <c r="D285" s="1277" t="s">
        <v>19</v>
      </c>
      <c r="E285" s="1218">
        <v>15</v>
      </c>
      <c r="F285" s="1192"/>
      <c r="G285" s="1648"/>
      <c r="H285" s="1192"/>
      <c r="I285" s="1192"/>
      <c r="J285" s="1192"/>
      <c r="K285" s="1192"/>
      <c r="L285" s="1192"/>
      <c r="M285" s="1192"/>
      <c r="N285" s="1192"/>
      <c r="O285" s="1192"/>
      <c r="P285" s="1192"/>
      <c r="Q285" s="1192"/>
      <c r="Z285" s="1650" t="s">
        <v>2463</v>
      </c>
    </row>
    <row r="286" spans="2:27" ht="11.25" customHeight="1" x14ac:dyDescent="0.3">
      <c r="B286" s="1745" t="s">
        <v>2464</v>
      </c>
      <c r="C286" s="1745"/>
      <c r="D286" s="1277" t="s">
        <v>19</v>
      </c>
      <c r="E286" s="1218">
        <v>15</v>
      </c>
      <c r="F286" s="1192"/>
      <c r="G286" s="1648"/>
      <c r="H286" s="1192"/>
      <c r="I286" s="1192"/>
      <c r="J286" s="1192"/>
      <c r="K286" s="1192"/>
      <c r="L286" s="1192"/>
      <c r="M286" s="1192"/>
      <c r="N286" s="1192"/>
      <c r="O286" s="1192"/>
      <c r="P286" s="1192"/>
      <c r="Q286" s="1192"/>
      <c r="Z286" s="1650" t="s">
        <v>2464</v>
      </c>
    </row>
    <row r="287" spans="2:27" ht="11.25" customHeight="1" x14ac:dyDescent="0.3">
      <c r="B287" s="1745" t="s">
        <v>119</v>
      </c>
      <c r="C287" s="1745"/>
      <c r="D287" s="1277" t="s">
        <v>19</v>
      </c>
      <c r="E287" s="1218">
        <v>15</v>
      </c>
      <c r="F287" s="1192"/>
      <c r="G287" s="1648"/>
      <c r="H287" s="1192"/>
      <c r="I287" s="1192"/>
      <c r="J287" s="1192"/>
      <c r="K287" s="1192"/>
      <c r="L287" s="1192"/>
      <c r="M287" s="1192"/>
      <c r="N287" s="1192"/>
      <c r="O287" s="1192"/>
      <c r="P287" s="1192"/>
      <c r="Q287" s="1192"/>
      <c r="Z287" s="1650" t="s">
        <v>119</v>
      </c>
    </row>
    <row r="288" spans="2:27" ht="11.25" customHeight="1" x14ac:dyDescent="0.3">
      <c r="B288" s="1745" t="s">
        <v>2466</v>
      </c>
      <c r="C288" s="1745"/>
      <c r="D288" s="1277" t="s">
        <v>19</v>
      </c>
      <c r="E288" s="1218">
        <v>15</v>
      </c>
      <c r="F288" s="1192"/>
      <c r="G288" s="1648"/>
      <c r="H288" s="1192"/>
      <c r="I288" s="1192"/>
      <c r="J288" s="1192"/>
      <c r="K288" s="1192"/>
      <c r="L288" s="1192"/>
      <c r="M288" s="1192"/>
      <c r="N288" s="1192"/>
      <c r="O288" s="1192"/>
      <c r="P288" s="1192"/>
      <c r="Q288" s="1192"/>
      <c r="Z288" s="1650" t="s">
        <v>2466</v>
      </c>
    </row>
    <row r="289" spans="2:26" ht="11.25" customHeight="1" x14ac:dyDescent="0.3">
      <c r="B289" s="1745" t="s">
        <v>2467</v>
      </c>
      <c r="C289" s="1745"/>
      <c r="D289" s="1277" t="s">
        <v>19</v>
      </c>
      <c r="E289" s="1218">
        <v>15</v>
      </c>
      <c r="F289" s="1192"/>
      <c r="G289" s="1648"/>
      <c r="H289" s="1192"/>
      <c r="I289" s="1192"/>
      <c r="J289" s="1192"/>
      <c r="K289" s="1192"/>
      <c r="L289" s="1192"/>
      <c r="M289" s="1192"/>
      <c r="N289" s="1192"/>
      <c r="O289" s="1192"/>
      <c r="P289" s="1192"/>
      <c r="Q289" s="1192"/>
      <c r="Z289" s="1650" t="s">
        <v>2467</v>
      </c>
    </row>
    <row r="290" spans="2:26" ht="11.25" customHeight="1" x14ac:dyDescent="0.3">
      <c r="B290" s="1745" t="s">
        <v>84</v>
      </c>
      <c r="C290" s="1745"/>
      <c r="D290" s="1277" t="s">
        <v>19</v>
      </c>
      <c r="E290" s="1218">
        <v>30</v>
      </c>
      <c r="F290" s="1192"/>
      <c r="G290" s="1648"/>
      <c r="H290" s="1192"/>
      <c r="I290" s="1192"/>
      <c r="J290" s="1192"/>
      <c r="K290" s="1192"/>
      <c r="L290" s="1192"/>
      <c r="M290" s="1192"/>
      <c r="N290" s="1192"/>
      <c r="O290" s="1192"/>
      <c r="P290" s="1192"/>
      <c r="Q290" s="1192"/>
      <c r="Z290" s="1650" t="s">
        <v>84</v>
      </c>
    </row>
    <row r="291" spans="2:26" ht="11.25" customHeight="1" x14ac:dyDescent="0.3">
      <c r="B291" s="1745" t="s">
        <v>90</v>
      </c>
      <c r="C291" s="1745"/>
      <c r="D291" s="1277" t="s">
        <v>19</v>
      </c>
      <c r="E291" s="1218">
        <v>30</v>
      </c>
      <c r="F291" s="1192"/>
      <c r="G291" s="1648"/>
      <c r="H291" s="1192"/>
      <c r="I291" s="1192"/>
      <c r="J291" s="1192"/>
      <c r="K291" s="1192"/>
      <c r="L291" s="1192"/>
      <c r="M291" s="1192"/>
      <c r="N291" s="1192"/>
      <c r="O291" s="1192"/>
      <c r="P291" s="1192"/>
      <c r="Q291" s="1192"/>
      <c r="Z291" s="1650" t="s">
        <v>90</v>
      </c>
    </row>
    <row r="292" spans="2:26" ht="11.25" customHeight="1" x14ac:dyDescent="0.3">
      <c r="B292" s="1745" t="s">
        <v>88</v>
      </c>
      <c r="C292" s="1745"/>
      <c r="D292" s="1277" t="s">
        <v>19</v>
      </c>
      <c r="E292" s="1218">
        <v>30</v>
      </c>
      <c r="F292" s="1192"/>
      <c r="G292" s="1648"/>
      <c r="H292" s="1192"/>
      <c r="I292" s="1192"/>
      <c r="J292" s="1192"/>
      <c r="K292" s="1192"/>
      <c r="L292" s="1192"/>
      <c r="M292" s="1192"/>
      <c r="N292" s="1192"/>
      <c r="O292" s="1192"/>
      <c r="P292" s="1192"/>
      <c r="Q292" s="1192"/>
      <c r="Z292" s="1650" t="s">
        <v>88</v>
      </c>
    </row>
    <row r="293" spans="2:26" s="1192" customFormat="1" ht="6.75" customHeight="1" x14ac:dyDescent="0.3">
      <c r="B293" s="1641"/>
      <c r="C293" s="1641"/>
      <c r="D293" s="1277"/>
      <c r="E293" s="1218"/>
      <c r="G293" s="1648"/>
    </row>
    <row r="294" spans="2:26" x14ac:dyDescent="0.3">
      <c r="B294" s="1643" t="s">
        <v>2468</v>
      </c>
      <c r="C294" s="1287"/>
      <c r="D294" s="1287"/>
      <c r="E294" s="879"/>
      <c r="F294" s="1192"/>
      <c r="G294" s="1648"/>
      <c r="H294" s="1192" t="s">
        <v>4418</v>
      </c>
      <c r="I294" s="1192"/>
      <c r="J294" s="1192"/>
      <c r="K294" s="1192"/>
      <c r="L294" s="1192"/>
      <c r="M294" s="1192"/>
      <c r="N294" s="1192"/>
      <c r="O294" s="1192"/>
      <c r="P294" s="1192"/>
      <c r="Q294" s="1192"/>
    </row>
    <row r="295" spans="2:26" ht="20.399999999999999" x14ac:dyDescent="0.3">
      <c r="B295" s="1745" t="s">
        <v>5940</v>
      </c>
      <c r="C295" s="1745"/>
      <c r="D295" s="1277" t="s">
        <v>82</v>
      </c>
      <c r="E295" s="1218">
        <v>1.5</v>
      </c>
      <c r="F295" s="1192"/>
      <c r="G295" s="1648"/>
      <c r="H295" s="1192"/>
      <c r="I295" s="1192"/>
      <c r="J295" s="1192"/>
      <c r="K295" s="1192"/>
      <c r="L295" s="1192"/>
      <c r="M295" s="1192"/>
      <c r="N295" s="1192"/>
      <c r="O295" s="1192"/>
      <c r="P295" s="1192"/>
      <c r="Q295" s="1192"/>
      <c r="Z295" s="1650" t="s">
        <v>5940</v>
      </c>
    </row>
    <row r="296" spans="2:26" ht="11.25" customHeight="1" x14ac:dyDescent="0.3">
      <c r="B296" s="1745" t="s">
        <v>6106</v>
      </c>
      <c r="C296" s="1745"/>
      <c r="D296" s="1277" t="s">
        <v>19</v>
      </c>
      <c r="E296" s="1218">
        <v>65</v>
      </c>
      <c r="F296" s="1192"/>
      <c r="G296" s="1648"/>
      <c r="H296" s="1192"/>
      <c r="I296" s="1192"/>
      <c r="J296" s="1192"/>
      <c r="K296" s="1192"/>
      <c r="L296" s="1192"/>
      <c r="M296" s="1192"/>
      <c r="N296" s="1192"/>
      <c r="O296" s="1192"/>
      <c r="P296" s="1192"/>
      <c r="Q296" s="1192"/>
      <c r="Z296" s="1650" t="s">
        <v>6106</v>
      </c>
    </row>
    <row r="297" spans="2:26" ht="11.25" customHeight="1" x14ac:dyDescent="0.3">
      <c r="B297" s="1745" t="s">
        <v>6107</v>
      </c>
      <c r="C297" s="1745"/>
      <c r="D297" s="1277" t="s">
        <v>19</v>
      </c>
      <c r="E297" s="1218">
        <v>185</v>
      </c>
      <c r="F297" s="1192"/>
      <c r="G297" s="1648"/>
      <c r="H297" s="1192"/>
      <c r="I297" s="1192"/>
      <c r="J297" s="1192"/>
      <c r="K297" s="1192"/>
      <c r="L297" s="1192"/>
      <c r="M297" s="1192"/>
      <c r="N297" s="1192"/>
      <c r="O297" s="1192"/>
      <c r="P297" s="1192"/>
      <c r="Q297" s="1192"/>
      <c r="Z297" s="1650" t="s">
        <v>6107</v>
      </c>
    </row>
    <row r="298" spans="2:26" ht="11.25" customHeight="1" x14ac:dyDescent="0.3">
      <c r="B298" s="1745" t="s">
        <v>6108</v>
      </c>
      <c r="C298" s="1745"/>
      <c r="D298" s="1277" t="s">
        <v>19</v>
      </c>
      <c r="E298" s="1218">
        <v>185</v>
      </c>
      <c r="F298" s="1192"/>
      <c r="G298" s="1648"/>
      <c r="H298" s="1192"/>
      <c r="I298" s="1192"/>
      <c r="J298" s="1192"/>
      <c r="K298" s="1192"/>
      <c r="L298" s="1192"/>
      <c r="M298" s="1192"/>
      <c r="N298" s="1192"/>
      <c r="O298" s="1192"/>
      <c r="P298" s="1192"/>
      <c r="Q298" s="1192"/>
      <c r="Z298" s="1650" t="s">
        <v>6108</v>
      </c>
    </row>
    <row r="299" spans="2:26" ht="11.25" customHeight="1" x14ac:dyDescent="0.3">
      <c r="B299" s="1745" t="s">
        <v>6115</v>
      </c>
      <c r="C299" s="1745"/>
      <c r="D299" s="1277" t="s">
        <v>19</v>
      </c>
      <c r="E299" s="1218">
        <v>415</v>
      </c>
      <c r="F299" s="1192"/>
      <c r="G299" s="1648"/>
      <c r="H299" s="1192"/>
      <c r="I299" s="1192"/>
      <c r="J299" s="1192"/>
      <c r="K299" s="1192"/>
      <c r="L299" s="1192"/>
      <c r="M299" s="1192"/>
      <c r="N299" s="1192"/>
      <c r="O299" s="1192"/>
      <c r="P299" s="1192"/>
      <c r="Q299" s="1192"/>
      <c r="Z299" s="1650" t="s">
        <v>6115</v>
      </c>
    </row>
    <row r="300" spans="2:26" s="1192" customFormat="1" ht="6.75" customHeight="1" x14ac:dyDescent="0.3">
      <c r="B300" s="1641"/>
      <c r="C300" s="1641"/>
      <c r="D300" s="1277"/>
      <c r="E300" s="1218"/>
      <c r="G300" s="1648"/>
    </row>
    <row r="301" spans="2:26" x14ac:dyDescent="0.3">
      <c r="B301" s="1643" t="s">
        <v>2474</v>
      </c>
      <c r="C301" s="843"/>
      <c r="D301" s="1280"/>
      <c r="E301" s="840"/>
      <c r="F301" s="1192"/>
      <c r="G301" s="1648"/>
      <c r="H301" s="1192"/>
      <c r="I301" s="1192"/>
      <c r="J301" s="1192"/>
      <c r="K301" s="1192"/>
      <c r="L301" s="1192"/>
      <c r="M301" s="1192"/>
      <c r="N301" s="1192"/>
      <c r="O301" s="1192"/>
      <c r="P301" s="1192"/>
      <c r="Q301" s="1192"/>
    </row>
    <row r="302" spans="2:26" ht="11.25" customHeight="1" x14ac:dyDescent="0.3">
      <c r="B302" s="1745" t="s">
        <v>2477</v>
      </c>
      <c r="C302" s="1745"/>
      <c r="D302" s="1277" t="s">
        <v>19</v>
      </c>
      <c r="E302" s="1218">
        <v>30</v>
      </c>
      <c r="F302" s="1192"/>
      <c r="G302" s="1648"/>
      <c r="H302" s="1192"/>
      <c r="I302" s="1192"/>
      <c r="J302" s="1192"/>
      <c r="K302" s="1192"/>
      <c r="L302" s="1192"/>
      <c r="M302" s="1192"/>
      <c r="N302" s="1192"/>
      <c r="O302" s="1192"/>
      <c r="P302" s="1192"/>
      <c r="Q302" s="1192"/>
      <c r="Z302" s="1650" t="s">
        <v>2477</v>
      </c>
    </row>
    <row r="303" spans="2:26" ht="11.25" customHeight="1" x14ac:dyDescent="0.3">
      <c r="B303" s="1745" t="s">
        <v>2478</v>
      </c>
      <c r="C303" s="1745"/>
      <c r="D303" s="1277" t="s">
        <v>19</v>
      </c>
      <c r="E303" s="1218">
        <v>160</v>
      </c>
      <c r="F303" s="1192"/>
      <c r="G303" s="1648"/>
      <c r="H303" s="1192"/>
      <c r="I303" s="1192"/>
      <c r="J303" s="1192"/>
      <c r="K303" s="1192"/>
      <c r="L303" s="1192"/>
      <c r="M303" s="1192"/>
      <c r="N303" s="1192"/>
      <c r="O303" s="1192"/>
      <c r="P303" s="1192"/>
      <c r="Q303" s="1192"/>
      <c r="Z303" s="1650" t="s">
        <v>2478</v>
      </c>
    </row>
    <row r="304" spans="2:26" ht="11.25" customHeight="1" x14ac:dyDescent="0.3">
      <c r="B304" s="1745" t="s">
        <v>2703</v>
      </c>
      <c r="C304" s="1745"/>
      <c r="D304" s="1277" t="s">
        <v>19</v>
      </c>
      <c r="E304" s="1218">
        <v>500</v>
      </c>
      <c r="F304" s="1192"/>
      <c r="G304" s="1648"/>
      <c r="H304" s="1192"/>
      <c r="I304" s="1192"/>
      <c r="J304" s="1192"/>
      <c r="K304" s="1192"/>
      <c r="L304" s="1192"/>
      <c r="M304" s="1192"/>
      <c r="N304" s="1192"/>
      <c r="O304" s="1192"/>
      <c r="P304" s="1192"/>
      <c r="Q304" s="1192"/>
      <c r="Z304" s="1650" t="s">
        <v>2703</v>
      </c>
    </row>
    <row r="305" spans="2:27" ht="11.25" customHeight="1" x14ac:dyDescent="0.3">
      <c r="B305" s="1745" t="s">
        <v>2758</v>
      </c>
      <c r="C305" s="1745"/>
      <c r="D305" s="1277" t="s">
        <v>19</v>
      </c>
      <c r="E305" s="1218">
        <v>300</v>
      </c>
      <c r="F305" s="1192"/>
      <c r="G305" s="1648"/>
      <c r="H305" s="1192"/>
      <c r="I305" s="1192"/>
      <c r="J305" s="1192"/>
      <c r="K305" s="1192"/>
      <c r="L305" s="1192"/>
      <c r="M305" s="1192"/>
      <c r="N305" s="1192"/>
      <c r="O305" s="1192"/>
      <c r="P305" s="1192"/>
      <c r="Q305" s="1192"/>
      <c r="Z305" s="1650" t="s">
        <v>2758</v>
      </c>
    </row>
    <row r="306" spans="2:27" ht="11.25" customHeight="1" x14ac:dyDescent="0.3">
      <c r="B306" s="1745" t="s">
        <v>2759</v>
      </c>
      <c r="C306" s="1745"/>
      <c r="D306" s="1277" t="s">
        <v>19</v>
      </c>
      <c r="E306" s="1218">
        <v>1000</v>
      </c>
      <c r="F306" s="1192"/>
      <c r="G306" s="1648"/>
      <c r="H306" s="1192"/>
      <c r="I306" s="1192"/>
      <c r="J306" s="1192"/>
      <c r="K306" s="1192"/>
      <c r="L306" s="1192"/>
      <c r="M306" s="1192"/>
      <c r="N306" s="1192"/>
      <c r="O306" s="1192"/>
      <c r="P306" s="1192"/>
      <c r="Q306" s="1192"/>
      <c r="Z306" s="1650" t="s">
        <v>2759</v>
      </c>
    </row>
    <row r="307" spans="2:27" ht="11.25" customHeight="1" x14ac:dyDescent="0.3">
      <c r="B307" s="1745" t="s">
        <v>2760</v>
      </c>
      <c r="C307" s="1745"/>
      <c r="D307" s="1277"/>
      <c r="E307" s="837"/>
      <c r="F307" s="1192"/>
      <c r="G307" s="1648"/>
      <c r="H307" s="1192"/>
      <c r="I307" s="1192"/>
      <c r="J307" s="1192"/>
      <c r="K307" s="1192"/>
      <c r="L307" s="1192"/>
      <c r="M307" s="1192"/>
      <c r="N307" s="1192"/>
      <c r="O307" s="1192"/>
      <c r="P307" s="1192"/>
      <c r="Q307" s="1192"/>
      <c r="Z307" s="1650" t="s">
        <v>2760</v>
      </c>
    </row>
    <row r="308" spans="2:27" ht="11.25" customHeight="1" x14ac:dyDescent="0.3">
      <c r="B308" s="1745" t="s">
        <v>2761</v>
      </c>
      <c r="C308" s="1745"/>
      <c r="D308" s="1277" t="s">
        <v>19</v>
      </c>
      <c r="E308" s="1218">
        <v>44.5</v>
      </c>
      <c r="F308" s="1192"/>
      <c r="G308" s="1648"/>
      <c r="H308" s="1192"/>
      <c r="I308" s="1192"/>
      <c r="J308" s="1192"/>
      <c r="K308" s="1192"/>
      <c r="L308" s="1192"/>
      <c r="M308" s="1192"/>
      <c r="N308" s="1192"/>
      <c r="O308" s="1192"/>
      <c r="P308" s="1192"/>
      <c r="Q308" s="1192"/>
      <c r="Z308" s="1650" t="s">
        <v>2761</v>
      </c>
    </row>
    <row r="309" spans="2:27" ht="17.399999999999999" x14ac:dyDescent="0.3">
      <c r="B309" s="1744" t="s">
        <v>73</v>
      </c>
      <c r="C309" s="1744"/>
      <c r="D309" s="1744"/>
      <c r="E309" s="1744"/>
      <c r="F309" s="1192"/>
      <c r="G309" s="1648"/>
      <c r="H309" s="1192" t="s">
        <v>4419</v>
      </c>
      <c r="I309" s="1192"/>
      <c r="J309" s="1192"/>
      <c r="K309" s="1192"/>
      <c r="L309" s="1192"/>
      <c r="M309" s="1192"/>
      <c r="N309" s="1192"/>
      <c r="O309" s="1192"/>
      <c r="P309" s="1192"/>
      <c r="Q309" s="1192"/>
      <c r="AA309" s="1465" t="s">
        <v>73</v>
      </c>
    </row>
    <row r="310" spans="2:27" s="1192" customFormat="1" ht="6.75" customHeight="1" x14ac:dyDescent="0.3">
      <c r="B310" s="1647"/>
      <c r="C310" s="1647"/>
      <c r="D310" s="1647"/>
      <c r="E310" s="1647"/>
      <c r="G310" s="1648"/>
    </row>
    <row r="311" spans="2:27" ht="34.200000000000003" x14ac:dyDescent="0.3">
      <c r="B311" s="1743" t="s">
        <v>2391</v>
      </c>
      <c r="C311" s="1743"/>
      <c r="D311" s="1743"/>
      <c r="E311" s="1743"/>
      <c r="F311" s="1192"/>
      <c r="G311" s="1648"/>
      <c r="H311" s="1192"/>
      <c r="I311" s="1192"/>
      <c r="J311" s="1192"/>
      <c r="K311" s="1192"/>
      <c r="L311" s="1192"/>
      <c r="M311" s="1192"/>
      <c r="N311" s="1192"/>
      <c r="O311" s="1192"/>
      <c r="P311" s="1192"/>
      <c r="Q311" s="1192"/>
      <c r="AA311" s="1649" t="s">
        <v>2391</v>
      </c>
    </row>
    <row r="312" spans="2:27" s="1192" customFormat="1" ht="6.75" customHeight="1" x14ac:dyDescent="0.3">
      <c r="B312" s="1639"/>
      <c r="C312" s="1639"/>
      <c r="D312" s="1639"/>
      <c r="E312" s="1639"/>
      <c r="G312" s="1648"/>
    </row>
    <row r="313" spans="2:27" ht="45.6" x14ac:dyDescent="0.3">
      <c r="B313" s="1743" t="s">
        <v>2392</v>
      </c>
      <c r="C313" s="1743"/>
      <c r="D313" s="1743"/>
      <c r="E313" s="1743"/>
      <c r="F313" s="1192"/>
      <c r="G313" s="1648"/>
      <c r="H313" s="1192"/>
      <c r="I313" s="1192"/>
      <c r="J313" s="1192"/>
      <c r="K313" s="1192"/>
      <c r="L313" s="1192"/>
      <c r="M313" s="1192"/>
      <c r="N313" s="1192"/>
      <c r="O313" s="1192"/>
      <c r="P313" s="1192"/>
      <c r="Q313" s="1192"/>
      <c r="AA313" s="1649" t="s">
        <v>2392</v>
      </c>
    </row>
    <row r="314" spans="2:27" s="1192" customFormat="1" ht="6.75" customHeight="1" x14ac:dyDescent="0.3">
      <c r="B314" s="1639"/>
      <c r="C314" s="1639"/>
      <c r="D314" s="1639"/>
      <c r="E314" s="1639"/>
      <c r="G314" s="1648"/>
    </row>
    <row r="315" spans="2:27" ht="22.8" x14ac:dyDescent="0.3">
      <c r="B315" s="1743" t="s">
        <v>2445</v>
      </c>
      <c r="C315" s="1743"/>
      <c r="D315" s="1743"/>
      <c r="E315" s="1743"/>
      <c r="F315" s="1192"/>
      <c r="G315" s="1648"/>
      <c r="H315" s="1192"/>
      <c r="I315" s="1192"/>
      <c r="J315" s="1192"/>
      <c r="K315" s="1192"/>
      <c r="L315" s="1192"/>
      <c r="M315" s="1192"/>
      <c r="N315" s="1192"/>
      <c r="O315" s="1192"/>
      <c r="P315" s="1192"/>
      <c r="Q315" s="1192"/>
      <c r="AA315" s="1649" t="s">
        <v>2445</v>
      </c>
    </row>
    <row r="316" spans="2:27" s="1192" customFormat="1" ht="6.75" customHeight="1" x14ac:dyDescent="0.3">
      <c r="B316" s="1639"/>
      <c r="C316" s="1639"/>
      <c r="D316" s="1639"/>
      <c r="E316" s="1639"/>
      <c r="G316" s="1648"/>
    </row>
    <row r="317" spans="2:27" ht="34.200000000000003" x14ac:dyDescent="0.3">
      <c r="B317" s="1743" t="s">
        <v>4500</v>
      </c>
      <c r="C317" s="1743"/>
      <c r="D317" s="1743"/>
      <c r="E317" s="1743"/>
      <c r="F317" s="1192"/>
      <c r="G317" s="1648"/>
      <c r="H317" s="1192"/>
      <c r="I317" s="1192"/>
      <c r="J317" s="1192"/>
      <c r="K317" s="1192"/>
      <c r="L317" s="1192"/>
      <c r="M317" s="1192"/>
      <c r="N317" s="1192"/>
      <c r="O317" s="1192"/>
      <c r="P317" s="1192"/>
      <c r="Q317" s="1192"/>
      <c r="AA317" s="1649" t="s">
        <v>4500</v>
      </c>
    </row>
    <row r="318" spans="2:27" s="1192" customFormat="1" ht="6.75" customHeight="1" x14ac:dyDescent="0.3">
      <c r="B318" s="1639"/>
      <c r="C318" s="1639"/>
      <c r="D318" s="1639"/>
      <c r="E318" s="1639"/>
      <c r="G318" s="1648"/>
    </row>
    <row r="319" spans="2:27" ht="22.8" x14ac:dyDescent="0.3">
      <c r="B319" s="1743" t="s">
        <v>2595</v>
      </c>
      <c r="C319" s="1743"/>
      <c r="D319" s="1743"/>
      <c r="E319" s="1743"/>
      <c r="F319" s="1192"/>
      <c r="G319" s="1648"/>
      <c r="H319" s="1192"/>
      <c r="I319" s="1192"/>
      <c r="J319" s="1192"/>
      <c r="K319" s="1192"/>
      <c r="L319" s="1192"/>
      <c r="M319" s="1192"/>
      <c r="N319" s="1192"/>
      <c r="O319" s="1192"/>
      <c r="P319" s="1192"/>
      <c r="Q319" s="1192"/>
      <c r="AA319" s="1649" t="s">
        <v>2595</v>
      </c>
    </row>
    <row r="320" spans="2:27" ht="11.25" customHeight="1" x14ac:dyDescent="0.3">
      <c r="B320" s="1740" t="s">
        <v>2485</v>
      </c>
      <c r="C320" s="1740"/>
      <c r="D320" s="360" t="s">
        <v>19</v>
      </c>
      <c r="E320" s="1218">
        <v>102</v>
      </c>
      <c r="F320" s="1192"/>
      <c r="G320" s="1648"/>
      <c r="H320" s="1192"/>
      <c r="I320" s="1192"/>
      <c r="J320" s="1192"/>
      <c r="K320" s="1192"/>
      <c r="L320" s="1192"/>
      <c r="M320" s="1192"/>
      <c r="N320" s="1192"/>
      <c r="O320" s="1192"/>
      <c r="P320" s="1192"/>
      <c r="Q320" s="1192"/>
      <c r="Z320" s="1650" t="s">
        <v>2485</v>
      </c>
    </row>
    <row r="321" spans="2:26" ht="11.25" customHeight="1" x14ac:dyDescent="0.3">
      <c r="B321" s="1740" t="s">
        <v>3919</v>
      </c>
      <c r="C321" s="1740"/>
      <c r="D321" s="360" t="s">
        <v>19</v>
      </c>
      <c r="E321" s="1218">
        <v>40.799999999999997</v>
      </c>
      <c r="F321" s="1192"/>
      <c r="G321" s="1648"/>
      <c r="H321" s="1192"/>
      <c r="I321" s="1192"/>
      <c r="J321" s="1192"/>
      <c r="K321" s="1192"/>
      <c r="L321" s="1192"/>
      <c r="M321" s="1192"/>
      <c r="N321" s="1192"/>
      <c r="O321" s="1192"/>
      <c r="P321" s="1192"/>
      <c r="Q321" s="1192"/>
      <c r="Z321" s="1650" t="s">
        <v>3919</v>
      </c>
    </row>
    <row r="322" spans="2:26" ht="11.25" customHeight="1" x14ac:dyDescent="0.3">
      <c r="B322" s="1740" t="s">
        <v>3920</v>
      </c>
      <c r="C322" s="1740"/>
      <c r="D322" s="360" t="s">
        <v>2488</v>
      </c>
      <c r="E322" s="1218">
        <v>1.02</v>
      </c>
      <c r="F322" s="1192"/>
      <c r="G322" s="1648"/>
      <c r="H322" s="1192"/>
      <c r="I322" s="1192"/>
      <c r="J322" s="1192"/>
      <c r="K322" s="1192"/>
      <c r="L322" s="1192"/>
      <c r="M322" s="1192"/>
      <c r="N322" s="1192"/>
      <c r="O322" s="1192"/>
      <c r="P322" s="1192"/>
      <c r="Q322" s="1192"/>
      <c r="Z322" s="1650" t="s">
        <v>3920</v>
      </c>
    </row>
    <row r="323" spans="2:26" ht="11.25" customHeight="1" x14ac:dyDescent="0.3">
      <c r="B323" s="1740" t="s">
        <v>2489</v>
      </c>
      <c r="C323" s="1740"/>
      <c r="D323" s="360" t="s">
        <v>2488</v>
      </c>
      <c r="E323" s="1218">
        <v>0.61</v>
      </c>
      <c r="F323" s="1192"/>
      <c r="G323" s="1648"/>
      <c r="H323" s="1192"/>
      <c r="I323" s="1192"/>
      <c r="J323" s="1192"/>
      <c r="K323" s="1192"/>
      <c r="L323" s="1192"/>
      <c r="M323" s="1192"/>
      <c r="N323" s="1192"/>
      <c r="O323" s="1192"/>
      <c r="P323" s="1192"/>
      <c r="Q323" s="1192"/>
      <c r="Z323" s="1650" t="s">
        <v>2489</v>
      </c>
    </row>
    <row r="324" spans="2:26" ht="11.25" customHeight="1" x14ac:dyDescent="0.3">
      <c r="B324" s="1740" t="s">
        <v>2490</v>
      </c>
      <c r="C324" s="1740"/>
      <c r="D324" s="360" t="s">
        <v>2488</v>
      </c>
      <c r="E324" s="1218">
        <v>-0.61</v>
      </c>
      <c r="F324" s="1192"/>
      <c r="G324" s="1648"/>
      <c r="H324" s="1192"/>
      <c r="I324" s="1192"/>
      <c r="J324" s="1192"/>
      <c r="K324" s="1192"/>
      <c r="L324" s="1192"/>
      <c r="M324" s="1192"/>
      <c r="N324" s="1192"/>
      <c r="O324" s="1192"/>
      <c r="P324" s="1192"/>
      <c r="Q324" s="1192"/>
      <c r="Z324" s="1650" t="s">
        <v>2490</v>
      </c>
    </row>
    <row r="325" spans="2:26" ht="11.25" customHeight="1" x14ac:dyDescent="0.3">
      <c r="B325" s="1740" t="s">
        <v>2596</v>
      </c>
      <c r="C325" s="1740"/>
      <c r="D325" s="360"/>
      <c r="E325" s="837"/>
      <c r="F325" s="1192"/>
      <c r="G325" s="1648"/>
      <c r="H325" s="1192"/>
      <c r="I325" s="1192"/>
      <c r="J325" s="1192"/>
      <c r="K325" s="1192"/>
      <c r="L325" s="1192"/>
      <c r="M325" s="1192"/>
      <c r="N325" s="1192"/>
      <c r="O325" s="1192"/>
      <c r="P325" s="1192"/>
      <c r="Q325" s="1192"/>
      <c r="Z325" s="1650" t="s">
        <v>2596</v>
      </c>
    </row>
    <row r="326" spans="2:26" ht="11.25" customHeight="1" x14ac:dyDescent="0.3">
      <c r="B326" s="1742" t="s">
        <v>2492</v>
      </c>
      <c r="C326" s="1742"/>
      <c r="D326" s="360" t="s">
        <v>19</v>
      </c>
      <c r="E326" s="1218">
        <v>0.51</v>
      </c>
      <c r="F326" s="1192"/>
      <c r="G326" s="1648"/>
      <c r="H326" s="1192"/>
      <c r="I326" s="1192"/>
      <c r="J326" s="1192"/>
      <c r="K326" s="1192"/>
      <c r="L326" s="1192"/>
      <c r="M326" s="1192"/>
      <c r="N326" s="1192"/>
      <c r="O326" s="1192"/>
      <c r="P326" s="1192"/>
      <c r="Q326" s="1192"/>
      <c r="Z326" s="1650" t="s">
        <v>2492</v>
      </c>
    </row>
    <row r="327" spans="2:26" ht="11.25" customHeight="1" x14ac:dyDescent="0.3">
      <c r="B327" s="1742" t="s">
        <v>2493</v>
      </c>
      <c r="C327" s="1742"/>
      <c r="D327" s="360" t="s">
        <v>19</v>
      </c>
      <c r="E327" s="1218">
        <v>1.02</v>
      </c>
      <c r="F327" s="1192"/>
      <c r="G327" s="1648"/>
      <c r="H327" s="1192"/>
      <c r="I327" s="1192"/>
      <c r="J327" s="1192"/>
      <c r="K327" s="1192"/>
      <c r="L327" s="1192"/>
      <c r="M327" s="1192"/>
      <c r="N327" s="1192"/>
      <c r="O327" s="1192"/>
      <c r="P327" s="1192"/>
      <c r="Q327" s="1192"/>
      <c r="Z327" s="1650" t="s">
        <v>2493</v>
      </c>
    </row>
    <row r="328" spans="2:26" ht="11.25" customHeight="1" x14ac:dyDescent="0.3">
      <c r="B328" s="1740" t="s">
        <v>2494</v>
      </c>
      <c r="C328" s="1740"/>
      <c r="D328" s="360"/>
      <c r="E328" s="837"/>
      <c r="F328" s="1192"/>
      <c r="G328" s="1648"/>
      <c r="H328" s="1192"/>
      <c r="I328" s="1192"/>
      <c r="J328" s="1192"/>
      <c r="K328" s="1192"/>
      <c r="L328" s="1192"/>
      <c r="M328" s="1192"/>
      <c r="N328" s="1192"/>
      <c r="O328" s="1192"/>
      <c r="P328" s="1192"/>
      <c r="Q328" s="1192"/>
      <c r="Z328" s="1650" t="s">
        <v>2494</v>
      </c>
    </row>
    <row r="329" spans="2:26" ht="11.25" customHeight="1" x14ac:dyDescent="0.3">
      <c r="B329" s="1740" t="s">
        <v>2495</v>
      </c>
      <c r="C329" s="1740"/>
      <c r="D329" s="360"/>
      <c r="E329" s="837"/>
      <c r="F329" s="1192"/>
      <c r="G329" s="1648"/>
      <c r="H329" s="1192"/>
      <c r="I329" s="1192"/>
      <c r="J329" s="1192"/>
      <c r="K329" s="1192"/>
      <c r="L329" s="1192"/>
      <c r="M329" s="1192"/>
      <c r="N329" s="1192"/>
      <c r="O329" s="1192"/>
      <c r="P329" s="1192"/>
      <c r="Q329" s="1192"/>
      <c r="Z329" s="1650" t="s">
        <v>2495</v>
      </c>
    </row>
    <row r="330" spans="2:26" ht="11.25" customHeight="1" x14ac:dyDescent="0.3">
      <c r="B330" s="1740" t="s">
        <v>2597</v>
      </c>
      <c r="C330" s="1740"/>
      <c r="D330" s="360"/>
      <c r="E330" s="837"/>
      <c r="F330" s="1192"/>
      <c r="G330" s="1648"/>
      <c r="H330" s="1192"/>
      <c r="I330" s="1192"/>
      <c r="J330" s="1192"/>
      <c r="K330" s="1192"/>
      <c r="L330" s="1192"/>
      <c r="M330" s="1192"/>
      <c r="N330" s="1192"/>
      <c r="O330" s="1192"/>
      <c r="P330" s="1192"/>
      <c r="Q330" s="1192"/>
      <c r="Z330" s="1650" t="s">
        <v>2597</v>
      </c>
    </row>
    <row r="331" spans="2:26" ht="11.25" customHeight="1" x14ac:dyDescent="0.3">
      <c r="B331" s="1742" t="s">
        <v>2497</v>
      </c>
      <c r="C331" s="1742"/>
      <c r="D331" s="360" t="s">
        <v>19</v>
      </c>
      <c r="E331" s="837" t="s">
        <v>2498</v>
      </c>
      <c r="F331" s="1192"/>
      <c r="G331" s="1648"/>
      <c r="H331" s="1192"/>
      <c r="I331" s="1192"/>
      <c r="J331" s="1192"/>
      <c r="K331" s="1192"/>
      <c r="L331" s="1192"/>
      <c r="M331" s="1192"/>
      <c r="N331" s="1192"/>
      <c r="O331" s="1192"/>
      <c r="P331" s="1192"/>
      <c r="Q331" s="1192"/>
      <c r="Z331" s="1650" t="s">
        <v>2497</v>
      </c>
    </row>
    <row r="332" spans="2:26" ht="11.25" customHeight="1" x14ac:dyDescent="0.3">
      <c r="B332" s="1742" t="s">
        <v>2499</v>
      </c>
      <c r="C332" s="1742"/>
      <c r="D332" s="360" t="s">
        <v>19</v>
      </c>
      <c r="E332" s="1218">
        <v>4.08</v>
      </c>
      <c r="F332" s="1192"/>
      <c r="G332" s="1648"/>
      <c r="H332" s="1192"/>
      <c r="I332" s="1192"/>
      <c r="J332" s="1192"/>
      <c r="K332" s="1192"/>
      <c r="L332" s="1192"/>
      <c r="M332" s="1192"/>
      <c r="N332" s="1192"/>
      <c r="O332" s="1192"/>
      <c r="P332" s="1192"/>
      <c r="Q332" s="1192"/>
      <c r="Z332" s="1650" t="s">
        <v>2499</v>
      </c>
    </row>
    <row r="333" spans="2:26" ht="20.399999999999999" x14ac:dyDescent="0.3">
      <c r="B333" s="1741" t="s">
        <v>4608</v>
      </c>
      <c r="C333" s="1741"/>
      <c r="D333" s="360" t="s">
        <v>19</v>
      </c>
      <c r="E333" s="1218">
        <v>2.04</v>
      </c>
      <c r="F333" s="1192"/>
      <c r="G333" s="1648"/>
      <c r="H333" s="1192"/>
      <c r="I333" s="1192"/>
      <c r="J333" s="1192"/>
      <c r="K333" s="1192"/>
      <c r="L333" s="1192"/>
      <c r="M333" s="1192"/>
      <c r="N333" s="1192"/>
      <c r="O333" s="1192"/>
      <c r="P333" s="1192"/>
      <c r="Q333" s="1192"/>
      <c r="Z333" s="1650" t="s">
        <v>4608</v>
      </c>
    </row>
    <row r="334" spans="2:26" s="1192" customFormat="1" ht="6.75" customHeight="1" x14ac:dyDescent="0.3">
      <c r="B334" s="1646"/>
      <c r="C334" s="1646"/>
      <c r="D334" s="360"/>
      <c r="E334" s="1218"/>
      <c r="G334" s="1648"/>
    </row>
    <row r="335" spans="2:26" ht="18" x14ac:dyDescent="0.35">
      <c r="B335" s="1647" t="s">
        <v>143</v>
      </c>
      <c r="C335" s="550"/>
      <c r="D335" s="550"/>
      <c r="E335" s="881"/>
      <c r="F335" s="1192"/>
      <c r="G335" s="1648"/>
      <c r="H335" s="1192" t="s">
        <v>4420</v>
      </c>
      <c r="I335" s="1192"/>
      <c r="J335" s="1192"/>
      <c r="K335" s="1192"/>
      <c r="L335" s="1192"/>
      <c r="M335" s="1192"/>
      <c r="N335" s="1192"/>
      <c r="O335" s="1192"/>
      <c r="P335" s="1192"/>
      <c r="Q335" s="1192"/>
    </row>
    <row r="336" spans="2:26" s="1192" customFormat="1" ht="6.75" customHeight="1" x14ac:dyDescent="0.35">
      <c r="B336" s="1647"/>
      <c r="C336" s="550"/>
      <c r="D336" s="550"/>
      <c r="E336" s="881"/>
      <c r="G336" s="1648"/>
    </row>
    <row r="337" spans="2:27" ht="20.399999999999999" x14ac:dyDescent="0.3">
      <c r="B337" s="1741" t="s">
        <v>2501</v>
      </c>
      <c r="C337" s="1741"/>
      <c r="D337" s="1741"/>
      <c r="E337" s="1741"/>
      <c r="F337" s="1192"/>
      <c r="G337" s="1648"/>
      <c r="H337" s="1192"/>
      <c r="I337" s="1192"/>
      <c r="J337" s="1192"/>
      <c r="K337" s="1192"/>
      <c r="L337" s="1192"/>
      <c r="M337" s="1192"/>
      <c r="N337" s="1192"/>
      <c r="O337" s="1192"/>
      <c r="P337" s="1192"/>
      <c r="Q337" s="1192"/>
      <c r="AA337" s="1650" t="s">
        <v>2501</v>
      </c>
    </row>
    <row r="338" spans="2:27" ht="11.25" customHeight="1" x14ac:dyDescent="0.3">
      <c r="B338" s="1740" t="s">
        <v>2599</v>
      </c>
      <c r="C338" s="1740"/>
      <c r="D338" s="1277"/>
      <c r="E338" s="837">
        <v>1.0452999999999999</v>
      </c>
      <c r="F338" s="1192"/>
      <c r="G338" s="1648"/>
      <c r="H338" s="1192"/>
      <c r="I338" s="1192"/>
      <c r="J338" s="1192"/>
      <c r="K338" s="1192"/>
      <c r="L338" s="1192"/>
      <c r="M338" s="1192"/>
      <c r="N338" s="1192"/>
      <c r="O338" s="1192"/>
      <c r="P338" s="1192"/>
      <c r="Q338" s="1192"/>
      <c r="Z338" s="1650" t="s">
        <v>2599</v>
      </c>
    </row>
    <row r="339" spans="2:27" ht="11.25" customHeight="1" x14ac:dyDescent="0.3">
      <c r="B339" s="1740" t="s">
        <v>2601</v>
      </c>
      <c r="C339" s="1740"/>
      <c r="D339" s="1277"/>
      <c r="E339" s="837">
        <v>1.0348999999999999</v>
      </c>
      <c r="F339" s="1192"/>
      <c r="G339" s="1648" t="s">
        <v>4421</v>
      </c>
      <c r="H339" s="1192"/>
      <c r="I339" s="1192"/>
      <c r="J339" s="1192"/>
      <c r="K339" s="1192"/>
      <c r="L339" s="1192"/>
      <c r="M339" s="1192"/>
      <c r="N339" s="1192"/>
      <c r="O339" s="1192"/>
      <c r="P339" s="1192"/>
      <c r="Q339" s="1192"/>
      <c r="Z339" s="1650" t="s">
        <v>2601</v>
      </c>
    </row>
    <row r="340" spans="2:27" x14ac:dyDescent="0.3">
      <c r="G340" s="1648"/>
    </row>
    <row r="341" spans="2:27" x14ac:dyDescent="0.3">
      <c r="G341" s="1648"/>
    </row>
    <row r="342" spans="2:27" x14ac:dyDescent="0.3">
      <c r="G342" s="1648"/>
    </row>
    <row r="343" spans="2:27" x14ac:dyDescent="0.3">
      <c r="G343" s="1648"/>
    </row>
    <row r="344" spans="2:27" x14ac:dyDescent="0.3">
      <c r="G344" s="1648"/>
    </row>
    <row r="345" spans="2:27" x14ac:dyDescent="0.3">
      <c r="G345" s="1648"/>
    </row>
    <row r="346" spans="2:27" x14ac:dyDescent="0.3">
      <c r="G346" s="1648"/>
    </row>
    <row r="347" spans="2:27" x14ac:dyDescent="0.3">
      <c r="G347" s="1648"/>
    </row>
    <row r="348" spans="2:27" x14ac:dyDescent="0.3">
      <c r="G348" s="1648"/>
    </row>
    <row r="349" spans="2:27" x14ac:dyDescent="0.3">
      <c r="G349" s="1648"/>
    </row>
    <row r="350" spans="2:27" x14ac:dyDescent="0.3">
      <c r="G350" s="1648"/>
    </row>
    <row r="351" spans="2:27" x14ac:dyDescent="0.3">
      <c r="G351" s="1648"/>
    </row>
    <row r="352" spans="2:27" x14ac:dyDescent="0.3">
      <c r="G352" s="1648"/>
    </row>
    <row r="353" spans="7:7" x14ac:dyDescent="0.3">
      <c r="G353" s="1648"/>
    </row>
    <row r="354" spans="7:7" x14ac:dyDescent="0.3">
      <c r="G354" s="1648"/>
    </row>
    <row r="355" spans="7:7" x14ac:dyDescent="0.3">
      <c r="G355" s="1648"/>
    </row>
    <row r="356" spans="7:7" x14ac:dyDescent="0.3">
      <c r="G356" s="1648"/>
    </row>
    <row r="357" spans="7:7" x14ac:dyDescent="0.3">
      <c r="G357" s="1648"/>
    </row>
    <row r="358" spans="7:7" x14ac:dyDescent="0.3">
      <c r="G358" s="1648"/>
    </row>
    <row r="359" spans="7:7" x14ac:dyDescent="0.3">
      <c r="G359" s="1648"/>
    </row>
    <row r="360" spans="7:7" x14ac:dyDescent="0.3">
      <c r="G360" s="1648"/>
    </row>
    <row r="361" spans="7:7" x14ac:dyDescent="0.3">
      <c r="G361" s="1648"/>
    </row>
    <row r="362" spans="7:7" x14ac:dyDescent="0.3">
      <c r="G362" s="1648"/>
    </row>
    <row r="363" spans="7:7" x14ac:dyDescent="0.3">
      <c r="G363" s="1648"/>
    </row>
    <row r="364" spans="7:7" x14ac:dyDescent="0.3">
      <c r="G364" s="1648"/>
    </row>
    <row r="365" spans="7:7" x14ac:dyDescent="0.3">
      <c r="G365" s="1648"/>
    </row>
    <row r="366" spans="7:7" x14ac:dyDescent="0.3">
      <c r="G366" s="1648"/>
    </row>
    <row r="367" spans="7:7" x14ac:dyDescent="0.3">
      <c r="G367" s="1648"/>
    </row>
    <row r="368" spans="7:7" x14ac:dyDescent="0.3">
      <c r="G368" s="1648"/>
    </row>
    <row r="369" spans="7:7" x14ac:dyDescent="0.3">
      <c r="G369" s="1648"/>
    </row>
    <row r="370" spans="7:7" x14ac:dyDescent="0.3">
      <c r="G370" s="1648"/>
    </row>
    <row r="371" spans="7:7" x14ac:dyDescent="0.3">
      <c r="G371" s="1648"/>
    </row>
    <row r="372" spans="7:7" x14ac:dyDescent="0.3">
      <c r="G372" s="1648"/>
    </row>
    <row r="373" spans="7:7" x14ac:dyDescent="0.3">
      <c r="G373" s="1648"/>
    </row>
    <row r="374" spans="7:7" x14ac:dyDescent="0.3">
      <c r="G374" s="1648"/>
    </row>
    <row r="375" spans="7:7" x14ac:dyDescent="0.3">
      <c r="G375" s="1648"/>
    </row>
    <row r="376" spans="7:7" x14ac:dyDescent="0.3">
      <c r="G376" s="1648"/>
    </row>
    <row r="377" spans="7:7" x14ac:dyDescent="0.3">
      <c r="G377" s="1648"/>
    </row>
    <row r="378" spans="7:7" x14ac:dyDescent="0.3">
      <c r="G378" s="1648"/>
    </row>
    <row r="379" spans="7:7" x14ac:dyDescent="0.3">
      <c r="G379" s="1648"/>
    </row>
    <row r="380" spans="7:7" x14ac:dyDescent="0.3">
      <c r="G380" s="1648"/>
    </row>
    <row r="381" spans="7:7" x14ac:dyDescent="0.3">
      <c r="G381" s="1648"/>
    </row>
    <row r="382" spans="7:7" x14ac:dyDescent="0.3">
      <c r="G382" s="1648"/>
    </row>
    <row r="383" spans="7:7" x14ac:dyDescent="0.3">
      <c r="G383" s="1648"/>
    </row>
    <row r="384" spans="7:7" x14ac:dyDescent="0.3">
      <c r="G384" s="1648"/>
    </row>
    <row r="385" spans="7:7" x14ac:dyDescent="0.3">
      <c r="G385" s="1648"/>
    </row>
    <row r="386" spans="7:7" x14ac:dyDescent="0.3">
      <c r="G386" s="1648"/>
    </row>
    <row r="387" spans="7:7" x14ac:dyDescent="0.3">
      <c r="G387" s="1648"/>
    </row>
    <row r="388" spans="7:7" x14ac:dyDescent="0.3">
      <c r="G388" s="1648"/>
    </row>
    <row r="389" spans="7:7" x14ac:dyDescent="0.3">
      <c r="G389" s="1648"/>
    </row>
    <row r="390" spans="7:7" x14ac:dyDescent="0.3">
      <c r="G390" s="1648"/>
    </row>
    <row r="391" spans="7:7" x14ac:dyDescent="0.3">
      <c r="G391" s="1648"/>
    </row>
    <row r="392" spans="7:7" x14ac:dyDescent="0.3">
      <c r="G392" s="1648"/>
    </row>
    <row r="393" spans="7:7" x14ac:dyDescent="0.3">
      <c r="G393" s="1648"/>
    </row>
    <row r="394" spans="7:7" x14ac:dyDescent="0.3">
      <c r="G394" s="1648"/>
    </row>
    <row r="395" spans="7:7" x14ac:dyDescent="0.3">
      <c r="G395" s="1648"/>
    </row>
    <row r="396" spans="7:7" x14ac:dyDescent="0.3">
      <c r="G396" s="1648"/>
    </row>
    <row r="397" spans="7:7" x14ac:dyDescent="0.3">
      <c r="G397" s="1648"/>
    </row>
    <row r="398" spans="7:7" x14ac:dyDescent="0.3">
      <c r="G398" s="1648"/>
    </row>
    <row r="399" spans="7:7" x14ac:dyDescent="0.3">
      <c r="G399" s="1648"/>
    </row>
    <row r="400" spans="7:7" x14ac:dyDescent="0.3">
      <c r="G400" s="1648"/>
    </row>
    <row r="401" spans="7:7" x14ac:dyDescent="0.3">
      <c r="G401" s="1648"/>
    </row>
    <row r="402" spans="7:7" x14ac:dyDescent="0.3">
      <c r="G402" s="1648"/>
    </row>
    <row r="403" spans="7:7" x14ac:dyDescent="0.3">
      <c r="G403" s="1648"/>
    </row>
    <row r="404" spans="7:7" x14ac:dyDescent="0.3">
      <c r="G404" s="1648"/>
    </row>
    <row r="405" spans="7:7" x14ac:dyDescent="0.3">
      <c r="G405" s="1648"/>
    </row>
    <row r="406" spans="7:7" x14ac:dyDescent="0.3">
      <c r="G406" s="1648"/>
    </row>
    <row r="407" spans="7:7" x14ac:dyDescent="0.3">
      <c r="G407" s="1648"/>
    </row>
    <row r="408" spans="7:7" x14ac:dyDescent="0.3">
      <c r="G408" s="1648"/>
    </row>
    <row r="409" spans="7:7" x14ac:dyDescent="0.3">
      <c r="G409" s="1648"/>
    </row>
    <row r="410" spans="7:7" x14ac:dyDescent="0.3">
      <c r="G410" s="1648"/>
    </row>
    <row r="411" spans="7:7" x14ac:dyDescent="0.3">
      <c r="G411" s="1648"/>
    </row>
    <row r="412" spans="7:7" x14ac:dyDescent="0.3">
      <c r="G412" s="1648"/>
    </row>
    <row r="413" spans="7:7" x14ac:dyDescent="0.3">
      <c r="G413" s="1648"/>
    </row>
    <row r="414" spans="7:7" x14ac:dyDescent="0.3">
      <c r="G414" s="1648"/>
    </row>
    <row r="415" spans="7:7" x14ac:dyDescent="0.3">
      <c r="G415" s="1648"/>
    </row>
    <row r="416" spans="7:7" x14ac:dyDescent="0.3">
      <c r="G416" s="1648"/>
    </row>
    <row r="417" spans="7:7" x14ac:dyDescent="0.3">
      <c r="G417" s="1648"/>
    </row>
    <row r="418" spans="7:7" x14ac:dyDescent="0.3">
      <c r="G418" s="1648"/>
    </row>
    <row r="419" spans="7:7" x14ac:dyDescent="0.3">
      <c r="G419" s="1648"/>
    </row>
    <row r="420" spans="7:7" x14ac:dyDescent="0.3">
      <c r="G420" s="1648"/>
    </row>
    <row r="421" spans="7:7" x14ac:dyDescent="0.3">
      <c r="G421" s="1648"/>
    </row>
    <row r="422" spans="7:7" x14ac:dyDescent="0.3">
      <c r="G422" s="1648"/>
    </row>
    <row r="423" spans="7:7" x14ac:dyDescent="0.3">
      <c r="G423" s="1648"/>
    </row>
    <row r="424" spans="7:7" x14ac:dyDescent="0.3">
      <c r="G424" s="1648"/>
    </row>
    <row r="425" spans="7:7" x14ac:dyDescent="0.3">
      <c r="G425" s="1648"/>
    </row>
    <row r="426" spans="7:7" x14ac:dyDescent="0.3">
      <c r="G426" s="1648"/>
    </row>
    <row r="427" spans="7:7" x14ac:dyDescent="0.3">
      <c r="G427" s="1648"/>
    </row>
    <row r="428" spans="7:7" x14ac:dyDescent="0.3">
      <c r="G428" s="1648"/>
    </row>
    <row r="429" spans="7:7" x14ac:dyDescent="0.3">
      <c r="G429" s="1648"/>
    </row>
    <row r="430" spans="7:7" x14ac:dyDescent="0.3">
      <c r="G430" s="1648"/>
    </row>
    <row r="431" spans="7:7" x14ac:dyDescent="0.3">
      <c r="G431" s="1648"/>
    </row>
    <row r="432" spans="7:7" x14ac:dyDescent="0.3">
      <c r="G432" s="1648"/>
    </row>
    <row r="433" spans="7:7" x14ac:dyDescent="0.3">
      <c r="G433" s="1648"/>
    </row>
    <row r="434" spans="7:7" x14ac:dyDescent="0.3">
      <c r="G434" s="1648"/>
    </row>
    <row r="435" spans="7:7" x14ac:dyDescent="0.3">
      <c r="G435" s="1648"/>
    </row>
    <row r="436" spans="7:7" x14ac:dyDescent="0.3">
      <c r="G436" s="1648"/>
    </row>
    <row r="437" spans="7:7" x14ac:dyDescent="0.3">
      <c r="G437" s="1648"/>
    </row>
    <row r="438" spans="7:7" x14ac:dyDescent="0.3">
      <c r="G438" s="1648"/>
    </row>
    <row r="439" spans="7:7" x14ac:dyDescent="0.3">
      <c r="G439" s="1648"/>
    </row>
    <row r="440" spans="7:7" x14ac:dyDescent="0.3">
      <c r="G440" s="1648"/>
    </row>
    <row r="441" spans="7:7" x14ac:dyDescent="0.3">
      <c r="G441" s="1648"/>
    </row>
    <row r="442" spans="7:7" x14ac:dyDescent="0.3">
      <c r="G442" s="1648"/>
    </row>
    <row r="443" spans="7:7" x14ac:dyDescent="0.3">
      <c r="G443" s="1648"/>
    </row>
    <row r="444" spans="7:7" x14ac:dyDescent="0.3">
      <c r="G444" s="1648"/>
    </row>
    <row r="445" spans="7:7" x14ac:dyDescent="0.3">
      <c r="G445" s="1648"/>
    </row>
    <row r="446" spans="7:7" x14ac:dyDescent="0.3">
      <c r="G446" s="1648"/>
    </row>
    <row r="447" spans="7:7" x14ac:dyDescent="0.3">
      <c r="G447" s="1648"/>
    </row>
    <row r="448" spans="7:7" x14ac:dyDescent="0.3">
      <c r="G448" s="1648"/>
    </row>
    <row r="449" spans="7:7" x14ac:dyDescent="0.3">
      <c r="G449" s="1648"/>
    </row>
    <row r="450" spans="7:7" x14ac:dyDescent="0.3">
      <c r="G450" s="1648"/>
    </row>
    <row r="451" spans="7:7" x14ac:dyDescent="0.3">
      <c r="G451" s="1648"/>
    </row>
    <row r="452" spans="7:7" x14ac:dyDescent="0.3">
      <c r="G452" s="1648"/>
    </row>
    <row r="453" spans="7:7" x14ac:dyDescent="0.3">
      <c r="G453" s="1648"/>
    </row>
    <row r="454" spans="7:7" x14ac:dyDescent="0.3">
      <c r="G454" s="1648"/>
    </row>
    <row r="455" spans="7:7" x14ac:dyDescent="0.3">
      <c r="G455" s="1648"/>
    </row>
    <row r="456" spans="7:7" x14ac:dyDescent="0.3">
      <c r="G456" s="1648"/>
    </row>
    <row r="457" spans="7:7" x14ac:dyDescent="0.3">
      <c r="G457" s="1648"/>
    </row>
    <row r="458" spans="7:7" x14ac:dyDescent="0.3">
      <c r="G458" s="1648"/>
    </row>
    <row r="459" spans="7:7" x14ac:dyDescent="0.3">
      <c r="G459" s="1648"/>
    </row>
    <row r="460" spans="7:7" x14ac:dyDescent="0.3">
      <c r="G460" s="1648"/>
    </row>
    <row r="461" spans="7:7" x14ac:dyDescent="0.3">
      <c r="G461" s="1648"/>
    </row>
    <row r="462" spans="7:7" x14ac:dyDescent="0.3">
      <c r="G462" s="1648"/>
    </row>
    <row r="463" spans="7:7" x14ac:dyDescent="0.3">
      <c r="G463" s="1648"/>
    </row>
    <row r="464" spans="7:7" x14ac:dyDescent="0.3">
      <c r="G464" s="1648"/>
    </row>
    <row r="465" spans="7:7" x14ac:dyDescent="0.3">
      <c r="G465" s="1648"/>
    </row>
    <row r="466" spans="7:7" x14ac:dyDescent="0.3">
      <c r="G466" s="1648"/>
    </row>
    <row r="467" spans="7:7" x14ac:dyDescent="0.3">
      <c r="G467" s="1648"/>
    </row>
    <row r="468" spans="7:7" x14ac:dyDescent="0.3">
      <c r="G468" s="1648"/>
    </row>
    <row r="469" spans="7:7" x14ac:dyDescent="0.3">
      <c r="G469" s="1648"/>
    </row>
    <row r="470" spans="7:7" x14ac:dyDescent="0.3">
      <c r="G470" s="1648"/>
    </row>
    <row r="471" spans="7:7" x14ac:dyDescent="0.3">
      <c r="G471" s="1648"/>
    </row>
    <row r="472" spans="7:7" x14ac:dyDescent="0.3">
      <c r="G472" s="1648"/>
    </row>
    <row r="473" spans="7:7" x14ac:dyDescent="0.3">
      <c r="G473" s="1648"/>
    </row>
    <row r="474" spans="7:7" x14ac:dyDescent="0.3">
      <c r="G474" s="1648"/>
    </row>
    <row r="475" spans="7:7" x14ac:dyDescent="0.3">
      <c r="G475" s="1648"/>
    </row>
    <row r="476" spans="7:7" x14ac:dyDescent="0.3">
      <c r="G476" s="1648"/>
    </row>
    <row r="477" spans="7:7" x14ac:dyDescent="0.3">
      <c r="G477" s="1648"/>
    </row>
    <row r="478" spans="7:7" x14ac:dyDescent="0.3">
      <c r="G478" s="1648"/>
    </row>
    <row r="479" spans="7:7" x14ac:dyDescent="0.3">
      <c r="G479" s="1648"/>
    </row>
    <row r="480" spans="7:7" x14ac:dyDescent="0.3">
      <c r="G480" s="1648"/>
    </row>
    <row r="481" spans="7:7" x14ac:dyDescent="0.3">
      <c r="G481" s="1648"/>
    </row>
    <row r="482" spans="7:7" x14ac:dyDescent="0.3">
      <c r="G482" s="1648"/>
    </row>
    <row r="483" spans="7:7" x14ac:dyDescent="0.3">
      <c r="G483" s="1648"/>
    </row>
    <row r="484" spans="7:7" x14ac:dyDescent="0.3">
      <c r="G484" s="1648"/>
    </row>
    <row r="485" spans="7:7" x14ac:dyDescent="0.3">
      <c r="G485" s="1648"/>
    </row>
    <row r="486" spans="7:7" x14ac:dyDescent="0.3">
      <c r="G486" s="1648"/>
    </row>
    <row r="487" spans="7:7" x14ac:dyDescent="0.3">
      <c r="G487" s="1648"/>
    </row>
    <row r="488" spans="7:7" x14ac:dyDescent="0.3">
      <c r="G488" s="1648"/>
    </row>
    <row r="489" spans="7:7" x14ac:dyDescent="0.3">
      <c r="G489" s="1648"/>
    </row>
    <row r="490" spans="7:7" x14ac:dyDescent="0.3">
      <c r="G490" s="1648"/>
    </row>
    <row r="491" spans="7:7" x14ac:dyDescent="0.3">
      <c r="G491" s="1648"/>
    </row>
    <row r="492" spans="7:7" x14ac:dyDescent="0.3">
      <c r="G492" s="1648"/>
    </row>
    <row r="493" spans="7:7" x14ac:dyDescent="0.3">
      <c r="G493" s="1648"/>
    </row>
    <row r="494" spans="7:7" x14ac:dyDescent="0.3">
      <c r="G494" s="1648"/>
    </row>
    <row r="495" spans="7:7" x14ac:dyDescent="0.3">
      <c r="G495" s="1648"/>
    </row>
    <row r="496" spans="7:7" x14ac:dyDescent="0.3">
      <c r="G496" s="1648"/>
    </row>
    <row r="497" spans="7:7" x14ac:dyDescent="0.3">
      <c r="G497" s="1648"/>
    </row>
    <row r="498" spans="7:7" x14ac:dyDescent="0.3">
      <c r="G498" s="1648"/>
    </row>
    <row r="499" spans="7:7" x14ac:dyDescent="0.3">
      <c r="G499" s="1648"/>
    </row>
    <row r="500" spans="7:7" x14ac:dyDescent="0.3">
      <c r="G500" s="1648"/>
    </row>
    <row r="501" spans="7:7" x14ac:dyDescent="0.3">
      <c r="G501" s="1648"/>
    </row>
    <row r="502" spans="7:7" x14ac:dyDescent="0.3">
      <c r="G502" s="1648"/>
    </row>
    <row r="503" spans="7:7" x14ac:dyDescent="0.3">
      <c r="G503" s="1648"/>
    </row>
    <row r="504" spans="7:7" x14ac:dyDescent="0.3">
      <c r="G504" s="1648"/>
    </row>
    <row r="505" spans="7:7" x14ac:dyDescent="0.3">
      <c r="G505" s="1648"/>
    </row>
    <row r="506" spans="7:7" x14ac:dyDescent="0.3">
      <c r="G506" s="1648"/>
    </row>
    <row r="507" spans="7:7" x14ac:dyDescent="0.3">
      <c r="G507" s="1648"/>
    </row>
    <row r="508" spans="7:7" x14ac:dyDescent="0.3">
      <c r="G508" s="1648"/>
    </row>
    <row r="509" spans="7:7" x14ac:dyDescent="0.3">
      <c r="G509" s="1648"/>
    </row>
    <row r="510" spans="7:7" x14ac:dyDescent="0.3">
      <c r="G510" s="1648"/>
    </row>
    <row r="511" spans="7:7" x14ac:dyDescent="0.3">
      <c r="G511" s="1648"/>
    </row>
    <row r="512" spans="7:7" x14ac:dyDescent="0.3">
      <c r="G512" s="1648"/>
    </row>
    <row r="513" spans="7:7" x14ac:dyDescent="0.3">
      <c r="G513" s="1648"/>
    </row>
    <row r="514" spans="7:7" x14ac:dyDescent="0.3">
      <c r="G514" s="1648"/>
    </row>
    <row r="515" spans="7:7" x14ac:dyDescent="0.3">
      <c r="G515" s="1648"/>
    </row>
    <row r="516" spans="7:7" x14ac:dyDescent="0.3">
      <c r="G516" s="1648"/>
    </row>
    <row r="517" spans="7:7" x14ac:dyDescent="0.3">
      <c r="G517" s="1648"/>
    </row>
    <row r="518" spans="7:7" x14ac:dyDescent="0.3">
      <c r="G518" s="1648"/>
    </row>
    <row r="519" spans="7:7" x14ac:dyDescent="0.3">
      <c r="G519" s="1648"/>
    </row>
    <row r="520" spans="7:7" x14ac:dyDescent="0.3">
      <c r="G520" s="1648"/>
    </row>
    <row r="521" spans="7:7" x14ac:dyDescent="0.3">
      <c r="G521" s="1648"/>
    </row>
    <row r="522" spans="7:7" x14ac:dyDescent="0.3">
      <c r="G522" s="1648"/>
    </row>
    <row r="523" spans="7:7" x14ac:dyDescent="0.3">
      <c r="G523" s="1648"/>
    </row>
    <row r="524" spans="7:7" x14ac:dyDescent="0.3">
      <c r="G524" s="1648"/>
    </row>
    <row r="525" spans="7:7" x14ac:dyDescent="0.3">
      <c r="G525" s="1648"/>
    </row>
    <row r="526" spans="7:7" x14ac:dyDescent="0.3">
      <c r="G526" s="1648"/>
    </row>
    <row r="527" spans="7:7" x14ac:dyDescent="0.3">
      <c r="G527" s="1648"/>
    </row>
    <row r="528" spans="7:7" x14ac:dyDescent="0.3">
      <c r="G528" s="1648"/>
    </row>
    <row r="529" spans="7:7" x14ac:dyDescent="0.3">
      <c r="G529" s="1648"/>
    </row>
    <row r="530" spans="7:7" x14ac:dyDescent="0.3">
      <c r="G530" s="1648"/>
    </row>
    <row r="531" spans="7:7" x14ac:dyDescent="0.3">
      <c r="G531" s="1648"/>
    </row>
    <row r="532" spans="7:7" x14ac:dyDescent="0.3">
      <c r="G532" s="1648"/>
    </row>
    <row r="533" spans="7:7" x14ac:dyDescent="0.3">
      <c r="G533" s="1648"/>
    </row>
    <row r="534" spans="7:7" x14ac:dyDescent="0.3">
      <c r="G534" s="1648"/>
    </row>
    <row r="535" spans="7:7" x14ac:dyDescent="0.3">
      <c r="G535" s="1648"/>
    </row>
    <row r="536" spans="7:7" x14ac:dyDescent="0.3">
      <c r="G536" s="1648"/>
    </row>
    <row r="537" spans="7:7" x14ac:dyDescent="0.3">
      <c r="G537" s="1648"/>
    </row>
    <row r="538" spans="7:7" x14ac:dyDescent="0.3">
      <c r="G538" s="1648"/>
    </row>
    <row r="539" spans="7:7" x14ac:dyDescent="0.3">
      <c r="G539" s="1648"/>
    </row>
    <row r="540" spans="7:7" x14ac:dyDescent="0.3">
      <c r="G540" s="1648"/>
    </row>
    <row r="541" spans="7:7" x14ac:dyDescent="0.3">
      <c r="G541" s="1648"/>
    </row>
    <row r="542" spans="7:7" x14ac:dyDescent="0.3">
      <c r="G542" s="1648"/>
    </row>
    <row r="543" spans="7:7" x14ac:dyDescent="0.3">
      <c r="G543" s="1648"/>
    </row>
    <row r="544" spans="7:7" x14ac:dyDescent="0.3">
      <c r="G544" s="1648"/>
    </row>
    <row r="545" spans="7:7" x14ac:dyDescent="0.3">
      <c r="G545" s="1648"/>
    </row>
    <row r="546" spans="7:7" x14ac:dyDescent="0.3">
      <c r="G546" s="1648"/>
    </row>
    <row r="547" spans="7:7" x14ac:dyDescent="0.3">
      <c r="G547" s="1648"/>
    </row>
    <row r="548" spans="7:7" x14ac:dyDescent="0.3">
      <c r="G548" s="1648"/>
    </row>
    <row r="549" spans="7:7" x14ac:dyDescent="0.3">
      <c r="G549" s="1648"/>
    </row>
    <row r="550" spans="7:7" x14ac:dyDescent="0.3">
      <c r="G550" s="1648"/>
    </row>
    <row r="551" spans="7:7" x14ac:dyDescent="0.3">
      <c r="G551" s="1648"/>
    </row>
    <row r="552" spans="7:7" x14ac:dyDescent="0.3">
      <c r="G552" s="1648"/>
    </row>
    <row r="553" spans="7:7" x14ac:dyDescent="0.3">
      <c r="G553" s="1648"/>
    </row>
    <row r="554" spans="7:7" x14ac:dyDescent="0.3">
      <c r="G554" s="1648"/>
    </row>
    <row r="555" spans="7:7" x14ac:dyDescent="0.3">
      <c r="G555" s="1648"/>
    </row>
    <row r="556" spans="7:7" x14ac:dyDescent="0.3">
      <c r="G556" s="1648"/>
    </row>
    <row r="557" spans="7:7" x14ac:dyDescent="0.3">
      <c r="G557" s="1648"/>
    </row>
    <row r="558" spans="7:7" x14ac:dyDescent="0.3">
      <c r="G558" s="1648"/>
    </row>
    <row r="559" spans="7:7" x14ac:dyDescent="0.3">
      <c r="G559" s="1648"/>
    </row>
    <row r="560" spans="7:7" x14ac:dyDescent="0.3">
      <c r="G560" s="1648"/>
    </row>
    <row r="561" spans="7:7" x14ac:dyDescent="0.3">
      <c r="G561" s="1648"/>
    </row>
    <row r="562" spans="7:7" x14ac:dyDescent="0.3">
      <c r="G562" s="1648"/>
    </row>
    <row r="563" spans="7:7" x14ac:dyDescent="0.3">
      <c r="G563" s="1648"/>
    </row>
    <row r="564" spans="7:7" x14ac:dyDescent="0.3">
      <c r="G564" s="1648"/>
    </row>
    <row r="565" spans="7:7" x14ac:dyDescent="0.3">
      <c r="G565" s="1648"/>
    </row>
    <row r="566" spans="7:7" x14ac:dyDescent="0.3">
      <c r="G566" s="1648"/>
    </row>
    <row r="567" spans="7:7" x14ac:dyDescent="0.3">
      <c r="G567" s="1648"/>
    </row>
    <row r="568" spans="7:7" x14ac:dyDescent="0.3">
      <c r="G568" s="1648"/>
    </row>
    <row r="569" spans="7:7" x14ac:dyDescent="0.3">
      <c r="G569" s="1648"/>
    </row>
    <row r="570" spans="7:7" x14ac:dyDescent="0.3">
      <c r="G570" s="1648"/>
    </row>
    <row r="571" spans="7:7" x14ac:dyDescent="0.3">
      <c r="G571" s="1648"/>
    </row>
    <row r="572" spans="7:7" x14ac:dyDescent="0.3">
      <c r="G572" s="1648"/>
    </row>
    <row r="573" spans="7:7" x14ac:dyDescent="0.3">
      <c r="G573" s="1648"/>
    </row>
    <row r="574" spans="7:7" x14ac:dyDescent="0.3">
      <c r="G574" s="1648"/>
    </row>
    <row r="575" spans="7:7" x14ac:dyDescent="0.3">
      <c r="G575" s="1648"/>
    </row>
    <row r="576" spans="7:7" x14ac:dyDescent="0.3">
      <c r="G576" s="1648"/>
    </row>
    <row r="577" spans="7:7" x14ac:dyDescent="0.3">
      <c r="G577" s="1648"/>
    </row>
    <row r="578" spans="7:7" x14ac:dyDescent="0.3">
      <c r="G578" s="1648"/>
    </row>
    <row r="579" spans="7:7" x14ac:dyDescent="0.3">
      <c r="G579" s="1648"/>
    </row>
    <row r="580" spans="7:7" x14ac:dyDescent="0.3">
      <c r="G580" s="1648"/>
    </row>
    <row r="581" spans="7:7" x14ac:dyDescent="0.3">
      <c r="G581" s="1648"/>
    </row>
    <row r="582" spans="7:7" x14ac:dyDescent="0.3">
      <c r="G582" s="1648"/>
    </row>
    <row r="583" spans="7:7" x14ac:dyDescent="0.3">
      <c r="G583" s="1648"/>
    </row>
    <row r="584" spans="7:7" x14ac:dyDescent="0.3">
      <c r="G584" s="1648"/>
    </row>
    <row r="585" spans="7:7" x14ac:dyDescent="0.3">
      <c r="G585" s="1648"/>
    </row>
    <row r="586" spans="7:7" x14ac:dyDescent="0.3">
      <c r="G586" s="1648"/>
    </row>
    <row r="587" spans="7:7" x14ac:dyDescent="0.3">
      <c r="G587" s="1648"/>
    </row>
  </sheetData>
  <sheetProtection algorithmName="SHA-512" hashValue="9f7YdnI7pFJkIRl8+tyPgN3hfGI/yGS1965/7EM5R/P5Ib+NrJCjl8nxPiJyssJYG+9Du/6y3p1wMeT3sEerEw==" saltValue="+uPHgv7UFMui2U8oC3IyQQ==" spinCount="100000" sheet="1" objects="1" scenarios="1"/>
  <mergeCells count="240">
    <mergeCell ref="B65:C65"/>
    <mergeCell ref="B209:C209"/>
    <mergeCell ref="B142:C142"/>
    <mergeCell ref="B144:C144"/>
    <mergeCell ref="B145:C145"/>
    <mergeCell ref="B146:C146"/>
    <mergeCell ref="B147:C147"/>
    <mergeCell ref="B162:E162"/>
    <mergeCell ref="B168:E168"/>
    <mergeCell ref="B149:C149"/>
    <mergeCell ref="B151:C151"/>
    <mergeCell ref="B153:C153"/>
    <mergeCell ref="B201:C201"/>
    <mergeCell ref="B202:C202"/>
    <mergeCell ref="B171:C171"/>
    <mergeCell ref="B172:C172"/>
    <mergeCell ref="B173:C173"/>
    <mergeCell ref="B174:C174"/>
    <mergeCell ref="B138:C138"/>
    <mergeCell ref="B139:C139"/>
    <mergeCell ref="B156:E156"/>
    <mergeCell ref="B158:E158"/>
    <mergeCell ref="B160:E160"/>
    <mergeCell ref="B166:E166"/>
    <mergeCell ref="B303:C303"/>
    <mergeCell ref="B304:C304"/>
    <mergeCell ref="B305:C305"/>
    <mergeCell ref="B306:C306"/>
    <mergeCell ref="B222:E222"/>
    <mergeCell ref="B226:E226"/>
    <mergeCell ref="B73:C73"/>
    <mergeCell ref="B74:C74"/>
    <mergeCell ref="B75:C75"/>
    <mergeCell ref="B77:C77"/>
    <mergeCell ref="B79:C79"/>
    <mergeCell ref="B80:C80"/>
    <mergeCell ref="B203:C203"/>
    <mergeCell ref="B205:C205"/>
    <mergeCell ref="B207:C207"/>
    <mergeCell ref="B164:E164"/>
    <mergeCell ref="B141:C141"/>
    <mergeCell ref="B143:C143"/>
    <mergeCell ref="B120:E120"/>
    <mergeCell ref="B124:E124"/>
    <mergeCell ref="B128:E128"/>
    <mergeCell ref="B132:E132"/>
    <mergeCell ref="B136:E136"/>
    <mergeCell ref="B170:C170"/>
    <mergeCell ref="B12:E12"/>
    <mergeCell ref="B13:E13"/>
    <mergeCell ref="B14:E14"/>
    <mergeCell ref="B15:E15"/>
    <mergeCell ref="B16:E16"/>
    <mergeCell ref="BC2:BL4"/>
    <mergeCell ref="BC5:BL6"/>
    <mergeCell ref="BC7:BL8"/>
    <mergeCell ref="BG9:BL9"/>
    <mergeCell ref="BC9:BE9"/>
    <mergeCell ref="B17:E17"/>
    <mergeCell ref="B18:E18"/>
    <mergeCell ref="B19:E19"/>
    <mergeCell ref="B27:E27"/>
    <mergeCell ref="B23:E23"/>
    <mergeCell ref="B31:E31"/>
    <mergeCell ref="B40:C40"/>
    <mergeCell ref="B41:C41"/>
    <mergeCell ref="B42:C42"/>
    <mergeCell ref="B21:E21"/>
    <mergeCell ref="B25:E25"/>
    <mergeCell ref="B29:E29"/>
    <mergeCell ref="B33:C33"/>
    <mergeCell ref="B34:C34"/>
    <mergeCell ref="B256:E256"/>
    <mergeCell ref="B236:C236"/>
    <mergeCell ref="B237:C237"/>
    <mergeCell ref="B238:C238"/>
    <mergeCell ref="B239:C239"/>
    <mergeCell ref="B240:C240"/>
    <mergeCell ref="B241:C241"/>
    <mergeCell ref="B243:C243"/>
    <mergeCell ref="B245:C245"/>
    <mergeCell ref="B247:C247"/>
    <mergeCell ref="B248:C248"/>
    <mergeCell ref="B249:E249"/>
    <mergeCell ref="B250:E250"/>
    <mergeCell ref="B252:E252"/>
    <mergeCell ref="B254:E254"/>
    <mergeCell ref="B57:E57"/>
    <mergeCell ref="B59:E59"/>
    <mergeCell ref="B61:E61"/>
    <mergeCell ref="B63:E63"/>
    <mergeCell ref="B66:C66"/>
    <mergeCell ref="B67:C67"/>
    <mergeCell ref="B68:C68"/>
    <mergeCell ref="B69:C69"/>
    <mergeCell ref="B258:E258"/>
    <mergeCell ref="B262:E262"/>
    <mergeCell ref="B270:E270"/>
    <mergeCell ref="B274:E274"/>
    <mergeCell ref="B282:C282"/>
    <mergeCell ref="B284:C284"/>
    <mergeCell ref="B281:C281"/>
    <mergeCell ref="B283:C283"/>
    <mergeCell ref="B264:C264"/>
    <mergeCell ref="B267:C267"/>
    <mergeCell ref="B268:C268"/>
    <mergeCell ref="B272:E272"/>
    <mergeCell ref="B277:C277"/>
    <mergeCell ref="B278:C278"/>
    <mergeCell ref="B260:E260"/>
    <mergeCell ref="B279:C279"/>
    <mergeCell ref="B280:C280"/>
    <mergeCell ref="B35:C35"/>
    <mergeCell ref="B36:C36"/>
    <mergeCell ref="B37:C37"/>
    <mergeCell ref="B38:C38"/>
    <mergeCell ref="B39:C39"/>
    <mergeCell ref="B50:E50"/>
    <mergeCell ref="B51:E51"/>
    <mergeCell ref="B53:E53"/>
    <mergeCell ref="B55:E55"/>
    <mergeCell ref="B47:C47"/>
    <mergeCell ref="B48:C48"/>
    <mergeCell ref="B44:C44"/>
    <mergeCell ref="B46:C46"/>
    <mergeCell ref="B49:C49"/>
    <mergeCell ref="B70:C70"/>
    <mergeCell ref="B103:C103"/>
    <mergeCell ref="B105:C105"/>
    <mergeCell ref="B110:C110"/>
    <mergeCell ref="B111:C111"/>
    <mergeCell ref="B113:C113"/>
    <mergeCell ref="B115:C115"/>
    <mergeCell ref="B116:C116"/>
    <mergeCell ref="B117:C117"/>
    <mergeCell ref="B81:C81"/>
    <mergeCell ref="B102:C102"/>
    <mergeCell ref="B86:E86"/>
    <mergeCell ref="B88:E88"/>
    <mergeCell ref="B90:E90"/>
    <mergeCell ref="B92:E92"/>
    <mergeCell ref="B94:E94"/>
    <mergeCell ref="B96:E96"/>
    <mergeCell ref="B98:E98"/>
    <mergeCell ref="B100:E100"/>
    <mergeCell ref="B82:C82"/>
    <mergeCell ref="B83:E83"/>
    <mergeCell ref="B84:E84"/>
    <mergeCell ref="B71:C71"/>
    <mergeCell ref="B72:C72"/>
    <mergeCell ref="B118:C118"/>
    <mergeCell ref="B104:C104"/>
    <mergeCell ref="B106:C106"/>
    <mergeCell ref="B107:C107"/>
    <mergeCell ref="B108:C108"/>
    <mergeCell ref="B109:C109"/>
    <mergeCell ref="B152:C152"/>
    <mergeCell ref="B154:C154"/>
    <mergeCell ref="B155:E155"/>
    <mergeCell ref="B140:C140"/>
    <mergeCell ref="B119:E119"/>
    <mergeCell ref="B122:E122"/>
    <mergeCell ref="B126:E126"/>
    <mergeCell ref="B130:E130"/>
    <mergeCell ref="B134:E134"/>
    <mergeCell ref="B175:C175"/>
    <mergeCell ref="B176:C176"/>
    <mergeCell ref="B177:C177"/>
    <mergeCell ref="B178:C178"/>
    <mergeCell ref="B180:C180"/>
    <mergeCell ref="B182:C182"/>
    <mergeCell ref="B183:C183"/>
    <mergeCell ref="B184:C184"/>
    <mergeCell ref="B185:C185"/>
    <mergeCell ref="B186:E186"/>
    <mergeCell ref="B187:E187"/>
    <mergeCell ref="B189:E189"/>
    <mergeCell ref="B191:E191"/>
    <mergeCell ref="B193:E193"/>
    <mergeCell ref="B195:E195"/>
    <mergeCell ref="B197:E197"/>
    <mergeCell ref="B199:E199"/>
    <mergeCell ref="B204:C204"/>
    <mergeCell ref="B206:C206"/>
    <mergeCell ref="B213:C213"/>
    <mergeCell ref="B214:C214"/>
    <mergeCell ref="B215:C215"/>
    <mergeCell ref="B216:C216"/>
    <mergeCell ref="B217:E217"/>
    <mergeCell ref="B233:C233"/>
    <mergeCell ref="B234:C234"/>
    <mergeCell ref="B246:C246"/>
    <mergeCell ref="B218:E218"/>
    <mergeCell ref="B230:E230"/>
    <mergeCell ref="B235:C235"/>
    <mergeCell ref="B220:E220"/>
    <mergeCell ref="B224:E224"/>
    <mergeCell ref="B228:E228"/>
    <mergeCell ref="B232:C232"/>
    <mergeCell ref="B208:C208"/>
    <mergeCell ref="B211:C211"/>
    <mergeCell ref="B309:E309"/>
    <mergeCell ref="B313:E313"/>
    <mergeCell ref="B315:E315"/>
    <mergeCell ref="B317:E317"/>
    <mergeCell ref="B319:E319"/>
    <mergeCell ref="B327:C327"/>
    <mergeCell ref="B329:C329"/>
    <mergeCell ref="B338:C338"/>
    <mergeCell ref="B285:C285"/>
    <mergeCell ref="B287:C287"/>
    <mergeCell ref="B286:C286"/>
    <mergeCell ref="B288:C288"/>
    <mergeCell ref="B290:C290"/>
    <mergeCell ref="B297:C297"/>
    <mergeCell ref="B298:C298"/>
    <mergeCell ref="B299:C299"/>
    <mergeCell ref="B292:C292"/>
    <mergeCell ref="B295:C295"/>
    <mergeCell ref="B289:C289"/>
    <mergeCell ref="B307:C307"/>
    <mergeCell ref="B308:C308"/>
    <mergeCell ref="B296:C296"/>
    <mergeCell ref="B291:C291"/>
    <mergeCell ref="B302:C302"/>
    <mergeCell ref="B339:C339"/>
    <mergeCell ref="B337:E337"/>
    <mergeCell ref="B324:C324"/>
    <mergeCell ref="B325:C325"/>
    <mergeCell ref="B326:C326"/>
    <mergeCell ref="B328:C328"/>
    <mergeCell ref="B311:E311"/>
    <mergeCell ref="B320:C320"/>
    <mergeCell ref="B321:C321"/>
    <mergeCell ref="B322:C322"/>
    <mergeCell ref="B323:C323"/>
    <mergeCell ref="B330:C330"/>
    <mergeCell ref="B332:C332"/>
    <mergeCell ref="B331:C331"/>
    <mergeCell ref="B333:C333"/>
  </mergeCells>
  <dataValidations count="1">
    <dataValidation type="list" showErrorMessage="1" errorTitle="Selection Needed" error="Please select an option from the drop-down list." prompt="Use the following format eg: January 1, 2013" sqref="BC9:BE9" xr:uid="{00000000-0002-0000-0300-000000000000}">
      <formula1>"Yes,No"</formula1>
    </dataValidation>
  </dataValidations>
  <pageMargins left="0.74803149606299202" right="0.74803149606299202" top="0.39370078740157699" bottom="0.39370078740157699" header="0.511811023622047" footer="0.511811023622047"/>
  <pageSetup orientation="portrait" r:id="rId1"/>
  <headerFooter alignWithMargins="0">
    <oddHeader>&amp;RPage  &amp;P of  &amp;N</oddHeader>
    <oddFooter>&amp;C&amp;A&amp;R&amp;9Issued  Month day, Year</oddFooter>
  </headerFooter>
  <rowBreaks count="8" manualBreakCount="8">
    <brk id="49" max="16383" man="1"/>
    <brk id="82" max="16383" man="1"/>
    <brk id="118" max="16383" man="1"/>
    <brk id="154" max="16383" man="1"/>
    <brk id="185" max="16383" man="1"/>
    <brk id="216" max="16383" man="1"/>
    <brk id="248" max="16383" man="1"/>
    <brk id="340"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CB59"/>
  <sheetViews>
    <sheetView showGridLines="0" tabSelected="1" topLeftCell="B5" zoomScale="84" zoomScaleNormal="84" zoomScaleSheetLayoutView="25" workbookViewId="0">
      <pane xSplit="33" ySplit="16" topLeftCell="BR21" activePane="bottomRight" state="frozen"/>
      <selection activeCell="B5" sqref="B5"/>
      <selection pane="topRight" activeCell="AI5" sqref="AI5"/>
      <selection pane="bottomLeft" activeCell="B21" sqref="B21"/>
      <selection pane="bottomRight" activeCell="BJ33" sqref="BJ33"/>
    </sheetView>
  </sheetViews>
  <sheetFormatPr defaultColWidth="9.33203125" defaultRowHeight="14.4" x14ac:dyDescent="0.3"/>
  <cols>
    <col min="1" max="1" width="9.33203125" style="6" hidden="1" customWidth="1"/>
    <col min="2" max="2" width="2.6640625" style="6" bestFit="1" customWidth="1"/>
    <col min="3" max="3" width="87.33203125" style="6" customWidth="1"/>
    <col min="4" max="4" width="16.5546875" style="6" customWidth="1"/>
    <col min="5" max="5" width="16.33203125" style="361" hidden="1" customWidth="1"/>
    <col min="6" max="6" width="23.33203125" style="361" hidden="1" customWidth="1"/>
    <col min="7" max="8" width="18.33203125" style="361" hidden="1" customWidth="1"/>
    <col min="9" max="9" width="14.6640625" style="361" hidden="1" customWidth="1"/>
    <col min="10" max="10" width="14.33203125" style="361" hidden="1" customWidth="1"/>
    <col min="11" max="13" width="14.6640625" style="361" hidden="1" customWidth="1"/>
    <col min="14" max="14" width="15.33203125" style="361" hidden="1" customWidth="1"/>
    <col min="15" max="15" width="16.33203125" style="361" hidden="1" customWidth="1"/>
    <col min="16" max="16" width="23.33203125" style="361" hidden="1" customWidth="1"/>
    <col min="17" max="18" width="18.33203125" style="361" hidden="1" customWidth="1"/>
    <col min="19" max="19" width="14.6640625" style="361" hidden="1" customWidth="1"/>
    <col min="20" max="20" width="14.33203125" style="361" hidden="1" customWidth="1"/>
    <col min="21" max="23" width="14.6640625" style="361" hidden="1" customWidth="1"/>
    <col min="24" max="24" width="15.33203125" style="361" hidden="1" customWidth="1"/>
    <col min="25" max="25" width="16.33203125" style="361" hidden="1" customWidth="1"/>
    <col min="26" max="26" width="23.33203125" style="361" hidden="1" customWidth="1"/>
    <col min="27" max="28" width="18.33203125" style="361" hidden="1" customWidth="1"/>
    <col min="29" max="29" width="14.6640625" style="361" hidden="1" customWidth="1"/>
    <col min="30" max="30" width="14.33203125" style="361" hidden="1" customWidth="1"/>
    <col min="31" max="33" width="14.6640625" style="361" hidden="1" customWidth="1"/>
    <col min="34" max="34" width="15.33203125" style="361" hidden="1" customWidth="1"/>
    <col min="35" max="35" width="16.33203125" style="361" customWidth="1"/>
    <col min="36" max="36" width="23.33203125" style="361" customWidth="1"/>
    <col min="37" max="38" width="18.33203125" style="361" customWidth="1"/>
    <col min="39" max="39" width="14.6640625" style="361" customWidth="1"/>
    <col min="40" max="40" width="14.33203125" style="361" customWidth="1"/>
    <col min="41" max="43" width="14.6640625" style="361" customWidth="1"/>
    <col min="44" max="44" width="15.33203125" style="361" customWidth="1"/>
    <col min="45" max="45" width="16.33203125" style="361" customWidth="1"/>
    <col min="46" max="46" width="23.33203125" style="361" customWidth="1"/>
    <col min="47" max="48" width="18.33203125" style="361" customWidth="1"/>
    <col min="49" max="49" width="14.6640625" style="361" customWidth="1"/>
    <col min="50" max="50" width="14.33203125" style="361" customWidth="1"/>
    <col min="51" max="53" width="14.6640625" style="361" customWidth="1"/>
    <col min="54" max="54" width="15.33203125" style="361" customWidth="1"/>
    <col min="55" max="55" width="16.33203125" style="361" customWidth="1"/>
    <col min="56" max="56" width="23.33203125" style="361" customWidth="1"/>
    <col min="57" max="58" width="18.33203125" style="361" customWidth="1"/>
    <col min="59" max="59" width="14.6640625" style="361" customWidth="1"/>
    <col min="60" max="60" width="14.33203125" style="361" customWidth="1"/>
    <col min="61" max="63" width="14.6640625" style="361" customWidth="1"/>
    <col min="64" max="64" width="15.33203125" style="361" customWidth="1"/>
    <col min="65" max="66" width="14.6640625" style="361" customWidth="1"/>
    <col min="67" max="67" width="16.6640625" style="361" customWidth="1"/>
    <col min="68" max="68" width="17.33203125" style="361" customWidth="1"/>
    <col min="69" max="70" width="26.6640625" style="361" customWidth="1"/>
    <col min="71" max="71" width="18.33203125" style="361" customWidth="1"/>
    <col min="72" max="72" width="13.6640625" style="361" customWidth="1"/>
    <col min="73" max="73" width="14.33203125" style="361" customWidth="1"/>
    <col min="74" max="74" width="22.33203125" style="361" bestFit="1" customWidth="1"/>
    <col min="75" max="75" width="19.6640625" style="361" customWidth="1"/>
    <col min="76" max="76" width="9.33203125" style="976"/>
    <col min="77" max="16384" width="9.33203125" style="6"/>
  </cols>
  <sheetData>
    <row r="1" spans="3:80" ht="12.75" customHeight="1" x14ac:dyDescent="0.3">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975"/>
      <c r="BY1" s="263"/>
      <c r="BZ1" s="263"/>
      <c r="CA1" s="263"/>
      <c r="CB1" s="714" t="b">
        <v>0</v>
      </c>
    </row>
    <row r="2" spans="3:80" ht="12.75" customHeight="1" x14ac:dyDescent="0.3">
      <c r="C2" s="783" t="b">
        <v>0</v>
      </c>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c r="BS2" s="472"/>
      <c r="BT2" s="472"/>
      <c r="BU2" s="472"/>
      <c r="BV2" s="472"/>
      <c r="BW2" s="472"/>
      <c r="BX2" s="975"/>
      <c r="BY2" s="263"/>
      <c r="BZ2" s="263"/>
      <c r="CA2" s="263"/>
      <c r="CB2" s="714" t="b">
        <v>0</v>
      </c>
    </row>
    <row r="3" spans="3:80" ht="12.75" customHeight="1" x14ac:dyDescent="0.3">
      <c r="C3" s="679" t="b">
        <v>1</v>
      </c>
      <c r="E3" s="472"/>
      <c r="F3" s="472"/>
      <c r="G3" s="472"/>
      <c r="H3" s="472"/>
      <c r="I3" s="472"/>
      <c r="J3" s="472"/>
      <c r="K3" s="472"/>
      <c r="L3" s="472"/>
      <c r="M3" s="472"/>
      <c r="N3" s="472"/>
      <c r="O3" s="472"/>
      <c r="P3" s="472"/>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975"/>
      <c r="BY3" s="263"/>
      <c r="BZ3" s="263"/>
      <c r="CA3" s="263"/>
      <c r="CB3" s="714" t="b">
        <v>0</v>
      </c>
    </row>
    <row r="4" spans="3:80" ht="12.75" customHeight="1" x14ac:dyDescent="0.3">
      <c r="E4" s="472"/>
      <c r="F4" s="472"/>
      <c r="G4" s="472"/>
      <c r="H4" s="472"/>
      <c r="I4" s="472"/>
      <c r="J4" s="472"/>
      <c r="K4" s="472"/>
      <c r="L4" s="472"/>
      <c r="M4" s="472"/>
      <c r="N4" s="472"/>
      <c r="O4" s="472"/>
      <c r="P4" s="472"/>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975"/>
      <c r="BY4" s="263"/>
      <c r="BZ4" s="263"/>
      <c r="CA4" s="263"/>
      <c r="CB4" s="714" t="b">
        <v>0</v>
      </c>
    </row>
    <row r="5" spans="3:80" ht="12.75" customHeight="1" x14ac:dyDescent="0.3">
      <c r="E5" s="472"/>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975"/>
      <c r="BY5" s="263"/>
      <c r="BZ5" s="263"/>
      <c r="CA5" s="263"/>
      <c r="CB5" s="714" t="b">
        <v>0</v>
      </c>
    </row>
    <row r="6" spans="3:80" ht="12.75" customHeight="1" x14ac:dyDescent="0.3">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975"/>
      <c r="BY6" s="263"/>
      <c r="BZ6" s="263"/>
      <c r="CA6" s="263"/>
      <c r="CB6" s="714" t="b">
        <v>0</v>
      </c>
    </row>
    <row r="7" spans="3:80" x14ac:dyDescent="0.3">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c r="BE7" s="472"/>
      <c r="BF7" s="472"/>
      <c r="BG7" s="472"/>
      <c r="BH7" s="472"/>
      <c r="BI7" s="472"/>
      <c r="BJ7" s="472"/>
      <c r="BK7" s="472"/>
      <c r="BL7" s="472"/>
      <c r="BM7" s="472"/>
      <c r="BN7" s="472"/>
      <c r="BO7" s="472"/>
      <c r="BP7" s="472"/>
      <c r="BQ7" s="472"/>
      <c r="BR7" s="472"/>
      <c r="BS7" s="472"/>
      <c r="BT7" s="472"/>
      <c r="BU7" s="472"/>
      <c r="BV7" s="472"/>
      <c r="BW7" s="472"/>
      <c r="BX7" s="975"/>
      <c r="BY7" s="263"/>
      <c r="BZ7" s="263"/>
      <c r="CA7" s="263"/>
      <c r="CB7" s="714" t="b">
        <v>0</v>
      </c>
    </row>
    <row r="8" spans="3:80" x14ac:dyDescent="0.3">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2"/>
      <c r="AY8" s="472"/>
      <c r="AZ8" s="472"/>
      <c r="BA8" s="472"/>
      <c r="BB8" s="472"/>
      <c r="BC8" s="472"/>
      <c r="BD8" s="472"/>
      <c r="BE8" s="472"/>
      <c r="BF8" s="472"/>
      <c r="BG8" s="472"/>
      <c r="BH8" s="472"/>
      <c r="BI8" s="472"/>
      <c r="BJ8" s="472"/>
      <c r="BK8" s="472"/>
      <c r="BL8" s="472"/>
      <c r="BM8" s="472"/>
      <c r="BN8" s="472"/>
      <c r="BO8" s="472"/>
      <c r="BP8" s="472"/>
      <c r="BQ8" s="472"/>
      <c r="BR8" s="472"/>
      <c r="BS8" s="472"/>
      <c r="BT8" s="472"/>
      <c r="BU8" s="472"/>
      <c r="BV8" s="472"/>
      <c r="BW8" s="472"/>
      <c r="BX8" s="975"/>
      <c r="BY8" s="263"/>
      <c r="BZ8" s="263"/>
      <c r="CA8" s="263"/>
      <c r="CB8" s="714" t="b">
        <v>0</v>
      </c>
    </row>
    <row r="9" spans="3:80" x14ac:dyDescent="0.3">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472"/>
      <c r="BU9" s="472"/>
      <c r="BV9" s="472"/>
      <c r="BW9" s="472"/>
      <c r="BX9" s="975"/>
      <c r="BY9" s="263"/>
      <c r="BZ9" s="263"/>
      <c r="CA9" s="263"/>
      <c r="CB9" s="714" t="b">
        <v>0</v>
      </c>
    </row>
    <row r="10" spans="3:80" x14ac:dyDescent="0.3">
      <c r="E10" s="472"/>
      <c r="F10" s="472"/>
      <c r="G10" s="472"/>
      <c r="H10" s="472"/>
      <c r="I10" s="472"/>
      <c r="J10" s="472"/>
      <c r="K10" s="472"/>
      <c r="L10" s="472"/>
      <c r="M10" s="472"/>
      <c r="N10" s="472"/>
      <c r="O10" s="472"/>
      <c r="P10" s="472"/>
      <c r="Q10" s="472"/>
      <c r="R10" s="472"/>
      <c r="S10" s="472"/>
      <c r="T10" s="472"/>
      <c r="U10" s="472"/>
      <c r="V10" s="472"/>
      <c r="W10" s="472"/>
      <c r="X10" s="472"/>
      <c r="Y10" s="472"/>
      <c r="Z10" s="472"/>
      <c r="AA10" s="472"/>
      <c r="AB10" s="472"/>
      <c r="AC10" s="472"/>
      <c r="AD10" s="472"/>
      <c r="AE10" s="472"/>
      <c r="AF10" s="472"/>
      <c r="AG10" s="472"/>
      <c r="AH10" s="472"/>
      <c r="AI10" s="472"/>
      <c r="AJ10" s="472"/>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975"/>
      <c r="BY10" s="263"/>
      <c r="BZ10" s="263"/>
      <c r="CA10" s="263"/>
      <c r="CB10" s="714" t="b">
        <v>1</v>
      </c>
    </row>
    <row r="11" spans="3:80" x14ac:dyDescent="0.3">
      <c r="E11" s="472"/>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975"/>
      <c r="BY11" s="263"/>
      <c r="BZ11" s="263"/>
      <c r="CA11" s="263"/>
      <c r="CB11" s="714" t="b">
        <v>1</v>
      </c>
    </row>
    <row r="12" spans="3:80" ht="63" customHeight="1" x14ac:dyDescent="0.3">
      <c r="C12" s="1813" t="s">
        <v>5477</v>
      </c>
      <c r="D12" s="1813"/>
      <c r="E12" s="472"/>
      <c r="F12" s="472"/>
      <c r="G12" s="472"/>
      <c r="H12" s="472"/>
      <c r="I12" s="472"/>
      <c r="J12" s="472"/>
      <c r="K12" s="472"/>
      <c r="L12" s="472"/>
      <c r="M12" s="472"/>
      <c r="N12" s="472"/>
      <c r="O12" s="472"/>
      <c r="P12" s="472"/>
      <c r="Q12" s="472"/>
      <c r="R12" s="472"/>
      <c r="S12" s="472"/>
      <c r="T12" s="472"/>
      <c r="U12" s="472"/>
      <c r="V12" s="472"/>
      <c r="W12" s="472"/>
      <c r="X12" s="472"/>
      <c r="Y12" s="472"/>
      <c r="Z12" s="472"/>
      <c r="AA12" s="472"/>
      <c r="AB12" s="472"/>
      <c r="AC12" s="472"/>
      <c r="AD12" s="472"/>
      <c r="AE12" s="472"/>
      <c r="AF12" s="472"/>
      <c r="AG12" s="472"/>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975"/>
      <c r="BY12" s="263"/>
      <c r="BZ12" s="263"/>
      <c r="CA12" s="263"/>
      <c r="CB12" s="263"/>
    </row>
    <row r="13" spans="3:80" ht="24.75" customHeight="1" thickBot="1" x14ac:dyDescent="0.35">
      <c r="C13" s="1813"/>
      <c r="D13" s="1813"/>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975"/>
      <c r="BY13" s="263"/>
      <c r="BZ13" s="263"/>
      <c r="CA13" s="263"/>
      <c r="CB13" s="263"/>
    </row>
    <row r="14" spans="3:80" ht="44.25" hidden="1" customHeight="1" thickBot="1" x14ac:dyDescent="0.35">
      <c r="C14" s="1813"/>
      <c r="D14" s="1813"/>
      <c r="E14" s="472"/>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2"/>
      <c r="AD14" s="472"/>
      <c r="AE14" s="472"/>
      <c r="AF14" s="472"/>
      <c r="AG14" s="472"/>
      <c r="AH14" s="472"/>
      <c r="AI14" s="472"/>
      <c r="AJ14" s="472"/>
      <c r="AK14" s="472"/>
      <c r="AL14" s="472"/>
      <c r="AM14" s="472"/>
      <c r="AN14" s="472"/>
      <c r="AO14" s="472"/>
      <c r="AP14" s="472"/>
      <c r="AQ14" s="472"/>
      <c r="AR14" s="472"/>
      <c r="AS14" s="472"/>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3"/>
      <c r="BW14" s="472"/>
      <c r="BX14" s="975"/>
      <c r="BY14" s="263"/>
      <c r="BZ14" s="263"/>
      <c r="CA14" s="263"/>
      <c r="CB14" s="263"/>
    </row>
    <row r="15" spans="3:80" ht="101.25" hidden="1" customHeight="1" thickBot="1" x14ac:dyDescent="0.35">
      <c r="C15" s="1813"/>
      <c r="D15" s="1813"/>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4"/>
      <c r="BU15" s="1077"/>
      <c r="BV15" s="475"/>
      <c r="BW15" s="472"/>
      <c r="BX15" s="975"/>
      <c r="BY15" s="263"/>
      <c r="BZ15" s="263"/>
      <c r="CA15" s="263"/>
      <c r="CB15" s="263"/>
    </row>
    <row r="16" spans="3:80" ht="33" thickBot="1" x14ac:dyDescent="0.6">
      <c r="C16" s="715"/>
      <c r="D16" s="362"/>
      <c r="E16" s="1807">
        <v>2014</v>
      </c>
      <c r="F16" s="1808"/>
      <c r="G16" s="1808"/>
      <c r="H16" s="1808"/>
      <c r="I16" s="1808"/>
      <c r="J16" s="1808"/>
      <c r="K16" s="1808"/>
      <c r="L16" s="1808"/>
      <c r="M16" s="1808"/>
      <c r="N16" s="1812"/>
      <c r="O16" s="1807">
        <v>2015</v>
      </c>
      <c r="P16" s="1808"/>
      <c r="Q16" s="1808"/>
      <c r="R16" s="1808"/>
      <c r="S16" s="1808"/>
      <c r="T16" s="1808"/>
      <c r="U16" s="1808"/>
      <c r="V16" s="1808"/>
      <c r="W16" s="1808"/>
      <c r="X16" s="1812"/>
      <c r="Y16" s="1807">
        <v>2016</v>
      </c>
      <c r="Z16" s="1808"/>
      <c r="AA16" s="1808"/>
      <c r="AB16" s="1808"/>
      <c r="AC16" s="1808"/>
      <c r="AD16" s="1808"/>
      <c r="AE16" s="1808"/>
      <c r="AF16" s="1808"/>
      <c r="AG16" s="1808"/>
      <c r="AH16" s="1812"/>
      <c r="AI16" s="1807">
        <v>2017</v>
      </c>
      <c r="AJ16" s="1808"/>
      <c r="AK16" s="1808"/>
      <c r="AL16" s="1808"/>
      <c r="AM16" s="1808"/>
      <c r="AN16" s="1808"/>
      <c r="AO16" s="1808"/>
      <c r="AP16" s="1808"/>
      <c r="AQ16" s="1808"/>
      <c r="AR16" s="1812"/>
      <c r="AS16" s="1807">
        <v>2018</v>
      </c>
      <c r="AT16" s="1808"/>
      <c r="AU16" s="1808"/>
      <c r="AV16" s="1808"/>
      <c r="AW16" s="1808"/>
      <c r="AX16" s="1808"/>
      <c r="AY16" s="1808"/>
      <c r="AZ16" s="1808"/>
      <c r="BA16" s="1808"/>
      <c r="BB16" s="1808"/>
      <c r="BC16" s="1807">
        <v>2019</v>
      </c>
      <c r="BD16" s="1808"/>
      <c r="BE16" s="1808"/>
      <c r="BF16" s="1808"/>
      <c r="BG16" s="1808"/>
      <c r="BH16" s="1808"/>
      <c r="BI16" s="1808"/>
      <c r="BJ16" s="1808"/>
      <c r="BK16" s="1808"/>
      <c r="BL16" s="1812"/>
      <c r="BM16" s="1807">
        <v>2020</v>
      </c>
      <c r="BN16" s="1808"/>
      <c r="BO16" s="1808"/>
      <c r="BP16" s="1808"/>
      <c r="BQ16" s="1796" t="s">
        <v>6876</v>
      </c>
      <c r="BR16" s="1797"/>
      <c r="BS16" s="1797"/>
      <c r="BT16" s="1798"/>
      <c r="BU16" s="1070"/>
      <c r="BV16" s="438" t="s">
        <v>7249</v>
      </c>
      <c r="BW16" s="363"/>
    </row>
    <row r="17" spans="3:80" ht="12.75" customHeight="1" x14ac:dyDescent="0.25">
      <c r="C17" s="1799" t="s">
        <v>1592</v>
      </c>
      <c r="D17" s="1801" t="s">
        <v>1593</v>
      </c>
      <c r="E17" s="1788" t="s">
        <v>1610</v>
      </c>
      <c r="F17" s="1791" t="s">
        <v>4313</v>
      </c>
      <c r="G17" s="1804" t="s">
        <v>1607</v>
      </c>
      <c r="H17" s="1804" t="s">
        <v>5457</v>
      </c>
      <c r="I17" s="1804" t="s">
        <v>1609</v>
      </c>
      <c r="J17" s="1804" t="s">
        <v>1608</v>
      </c>
      <c r="K17" s="1804" t="s">
        <v>2140</v>
      </c>
      <c r="L17" s="1804" t="s">
        <v>1607</v>
      </c>
      <c r="M17" s="1804" t="s">
        <v>5458</v>
      </c>
      <c r="N17" s="1809" t="s">
        <v>1606</v>
      </c>
      <c r="O17" s="1816" t="s">
        <v>1605</v>
      </c>
      <c r="P17" s="1773" t="s">
        <v>4314</v>
      </c>
      <c r="Q17" s="1773" t="s">
        <v>1604</v>
      </c>
      <c r="R17" s="1773" t="s">
        <v>5456</v>
      </c>
      <c r="S17" s="1773" t="s">
        <v>2141</v>
      </c>
      <c r="T17" s="1773" t="s">
        <v>2142</v>
      </c>
      <c r="U17" s="1773" t="s">
        <v>4315</v>
      </c>
      <c r="V17" s="1773" t="s">
        <v>1604</v>
      </c>
      <c r="W17" s="1776" t="s">
        <v>5459</v>
      </c>
      <c r="X17" s="1779" t="s">
        <v>2143</v>
      </c>
      <c r="Y17" s="1788" t="s">
        <v>2144</v>
      </c>
      <c r="Z17" s="1776" t="s">
        <v>4316</v>
      </c>
      <c r="AA17" s="1791" t="s">
        <v>2145</v>
      </c>
      <c r="AB17" s="1791" t="s">
        <v>5460</v>
      </c>
      <c r="AC17" s="1791" t="s">
        <v>2146</v>
      </c>
      <c r="AD17" s="1791" t="s">
        <v>2147</v>
      </c>
      <c r="AE17" s="1791" t="s">
        <v>2148</v>
      </c>
      <c r="AF17" s="1791" t="s">
        <v>2145</v>
      </c>
      <c r="AG17" s="1791" t="s">
        <v>5461</v>
      </c>
      <c r="AH17" s="1779" t="s">
        <v>2149</v>
      </c>
      <c r="AI17" s="1788" t="s">
        <v>4317</v>
      </c>
      <c r="AJ17" s="1791" t="s">
        <v>4318</v>
      </c>
      <c r="AK17" s="1791" t="s">
        <v>4319</v>
      </c>
      <c r="AL17" s="1791" t="s">
        <v>5462</v>
      </c>
      <c r="AM17" s="1791" t="s">
        <v>4320</v>
      </c>
      <c r="AN17" s="1791" t="s">
        <v>4321</v>
      </c>
      <c r="AO17" s="1791" t="s">
        <v>4322</v>
      </c>
      <c r="AP17" s="1791" t="s">
        <v>4319</v>
      </c>
      <c r="AQ17" s="1791" t="s">
        <v>5463</v>
      </c>
      <c r="AR17" s="1779" t="s">
        <v>4323</v>
      </c>
      <c r="AS17" s="1788" t="s">
        <v>5040</v>
      </c>
      <c r="AT17" s="1791" t="s">
        <v>5041</v>
      </c>
      <c r="AU17" s="1791" t="s">
        <v>5042</v>
      </c>
      <c r="AV17" s="1791" t="s">
        <v>5464</v>
      </c>
      <c r="AW17" s="1791" t="s">
        <v>5043</v>
      </c>
      <c r="AX17" s="1791" t="s">
        <v>5044</v>
      </c>
      <c r="AY17" s="1791" t="s">
        <v>5045</v>
      </c>
      <c r="AZ17" s="1791" t="s">
        <v>5042</v>
      </c>
      <c r="BA17" s="1791" t="s">
        <v>5465</v>
      </c>
      <c r="BB17" s="1776" t="s">
        <v>5046</v>
      </c>
      <c r="BC17" s="1788" t="s">
        <v>5914</v>
      </c>
      <c r="BD17" s="1776" t="s">
        <v>5915</v>
      </c>
      <c r="BE17" s="1776" t="s">
        <v>5916</v>
      </c>
      <c r="BF17" s="1776" t="s">
        <v>5917</v>
      </c>
      <c r="BG17" s="1776" t="s">
        <v>5918</v>
      </c>
      <c r="BH17" s="1776" t="s">
        <v>5919</v>
      </c>
      <c r="BI17" s="1776" t="s">
        <v>5920</v>
      </c>
      <c r="BJ17" s="1776" t="s">
        <v>5916</v>
      </c>
      <c r="BK17" s="1776" t="s">
        <v>5921</v>
      </c>
      <c r="BL17" s="1779" t="s">
        <v>5922</v>
      </c>
      <c r="BM17" s="1788" t="s">
        <v>5923</v>
      </c>
      <c r="BN17" s="1791" t="s">
        <v>5924</v>
      </c>
      <c r="BO17" s="1791" t="s">
        <v>5925</v>
      </c>
      <c r="BP17" s="1791" t="s">
        <v>5926</v>
      </c>
      <c r="BQ17" s="1788" t="s">
        <v>6895</v>
      </c>
      <c r="BR17" s="1776" t="s">
        <v>6896</v>
      </c>
      <c r="BS17" s="1776" t="s">
        <v>1602</v>
      </c>
      <c r="BT17" s="1776" t="s">
        <v>1594</v>
      </c>
      <c r="BU17" s="1784" t="s">
        <v>5295</v>
      </c>
      <c r="BV17" s="1779" t="s">
        <v>6877</v>
      </c>
      <c r="BW17" s="1779" t="s">
        <v>6878</v>
      </c>
    </row>
    <row r="18" spans="3:80" ht="30.75" customHeight="1" x14ac:dyDescent="0.25">
      <c r="C18" s="1800"/>
      <c r="D18" s="1802"/>
      <c r="E18" s="1794"/>
      <c r="F18" s="1777"/>
      <c r="G18" s="1805"/>
      <c r="H18" s="1774"/>
      <c r="I18" s="1805"/>
      <c r="J18" s="1774"/>
      <c r="K18" s="1805"/>
      <c r="L18" s="1805"/>
      <c r="M18" s="1774"/>
      <c r="N18" s="1810"/>
      <c r="O18" s="1817"/>
      <c r="P18" s="1774"/>
      <c r="Q18" s="1774"/>
      <c r="R18" s="1774"/>
      <c r="S18" s="1774"/>
      <c r="T18" s="1774"/>
      <c r="U18" s="1774"/>
      <c r="V18" s="1774"/>
      <c r="W18" s="1777"/>
      <c r="X18" s="1780"/>
      <c r="Y18" s="1794"/>
      <c r="Z18" s="1777"/>
      <c r="AA18" s="1792"/>
      <c r="AB18" s="1792"/>
      <c r="AC18" s="1792"/>
      <c r="AD18" s="1777"/>
      <c r="AE18" s="1792"/>
      <c r="AF18" s="1792"/>
      <c r="AG18" s="1792"/>
      <c r="AH18" s="1814"/>
      <c r="AI18" s="1794"/>
      <c r="AJ18" s="1777"/>
      <c r="AK18" s="1792"/>
      <c r="AL18" s="1792"/>
      <c r="AM18" s="1792"/>
      <c r="AN18" s="1777"/>
      <c r="AO18" s="1792"/>
      <c r="AP18" s="1792"/>
      <c r="AQ18" s="1792"/>
      <c r="AR18" s="1814"/>
      <c r="AS18" s="1794"/>
      <c r="AT18" s="1777"/>
      <c r="AU18" s="1792"/>
      <c r="AV18" s="1792"/>
      <c r="AW18" s="1792"/>
      <c r="AX18" s="1777"/>
      <c r="AY18" s="1792"/>
      <c r="AZ18" s="1792"/>
      <c r="BA18" s="1792"/>
      <c r="BB18" s="1777"/>
      <c r="BC18" s="1794"/>
      <c r="BD18" s="1777"/>
      <c r="BE18" s="1792"/>
      <c r="BF18" s="1792"/>
      <c r="BG18" s="1792"/>
      <c r="BH18" s="1777"/>
      <c r="BI18" s="1792"/>
      <c r="BJ18" s="1792"/>
      <c r="BK18" s="1792"/>
      <c r="BL18" s="1780"/>
      <c r="BM18" s="1789"/>
      <c r="BN18" s="1792"/>
      <c r="BO18" s="1792"/>
      <c r="BP18" s="1792"/>
      <c r="BQ18" s="1794"/>
      <c r="BR18" s="1777"/>
      <c r="BS18" s="1777"/>
      <c r="BT18" s="1777"/>
      <c r="BU18" s="1785"/>
      <c r="BV18" s="1780"/>
      <c r="BW18" s="1780"/>
    </row>
    <row r="19" spans="3:80" ht="38.25" customHeight="1" thickBot="1" x14ac:dyDescent="0.3">
      <c r="C19" s="1800"/>
      <c r="D19" s="1803"/>
      <c r="E19" s="1795"/>
      <c r="F19" s="1778"/>
      <c r="G19" s="1806"/>
      <c r="H19" s="1775"/>
      <c r="I19" s="1806"/>
      <c r="J19" s="1775"/>
      <c r="K19" s="1806"/>
      <c r="L19" s="1806"/>
      <c r="M19" s="1775"/>
      <c r="N19" s="1811"/>
      <c r="O19" s="1818"/>
      <c r="P19" s="1775"/>
      <c r="Q19" s="1775"/>
      <c r="R19" s="1775"/>
      <c r="S19" s="1775"/>
      <c r="T19" s="1775"/>
      <c r="U19" s="1775"/>
      <c r="V19" s="1775"/>
      <c r="W19" s="1778"/>
      <c r="X19" s="1781"/>
      <c r="Y19" s="1815"/>
      <c r="Z19" s="1782"/>
      <c r="AA19" s="1793"/>
      <c r="AB19" s="1793"/>
      <c r="AC19" s="1793"/>
      <c r="AD19" s="1778"/>
      <c r="AE19" s="1793"/>
      <c r="AF19" s="1793"/>
      <c r="AG19" s="1793"/>
      <c r="AH19" s="1781"/>
      <c r="AI19" s="1795"/>
      <c r="AJ19" s="1778"/>
      <c r="AK19" s="1793"/>
      <c r="AL19" s="1793"/>
      <c r="AM19" s="1793"/>
      <c r="AN19" s="1778"/>
      <c r="AO19" s="1793"/>
      <c r="AP19" s="1793"/>
      <c r="AQ19" s="1793"/>
      <c r="AR19" s="1781"/>
      <c r="AS19" s="1795"/>
      <c r="AT19" s="1778"/>
      <c r="AU19" s="1793"/>
      <c r="AV19" s="1793"/>
      <c r="AW19" s="1793"/>
      <c r="AX19" s="1778"/>
      <c r="AY19" s="1793"/>
      <c r="AZ19" s="1793"/>
      <c r="BA19" s="1793"/>
      <c r="BB19" s="1778"/>
      <c r="BC19" s="1795"/>
      <c r="BD19" s="1778"/>
      <c r="BE19" s="1793"/>
      <c r="BF19" s="1793"/>
      <c r="BG19" s="1793"/>
      <c r="BH19" s="1778"/>
      <c r="BI19" s="1793"/>
      <c r="BJ19" s="1793"/>
      <c r="BK19" s="1793"/>
      <c r="BL19" s="1781"/>
      <c r="BM19" s="1790"/>
      <c r="BN19" s="1793"/>
      <c r="BO19" s="1793"/>
      <c r="BP19" s="1793"/>
      <c r="BQ19" s="1795"/>
      <c r="BR19" s="1778"/>
      <c r="BS19" s="1782"/>
      <c r="BT19" s="1782" t="s">
        <v>1595</v>
      </c>
      <c r="BU19" s="1786"/>
      <c r="BV19" s="1783"/>
      <c r="BW19" s="1781"/>
    </row>
    <row r="20" spans="3:80" ht="23.4" thickBot="1" x14ac:dyDescent="0.35">
      <c r="C20" s="411" t="s">
        <v>1596</v>
      </c>
      <c r="D20" s="412"/>
      <c r="E20" s="410"/>
      <c r="F20" s="372"/>
      <c r="G20" s="396"/>
      <c r="H20" s="396"/>
      <c r="I20" s="396"/>
      <c r="J20" s="396"/>
      <c r="K20" s="396"/>
      <c r="L20" s="396"/>
      <c r="M20" s="396"/>
      <c r="N20" s="397"/>
      <c r="O20" s="398"/>
      <c r="P20" s="399"/>
      <c r="Q20" s="396"/>
      <c r="R20" s="396"/>
      <c r="S20" s="396"/>
      <c r="T20" s="396"/>
      <c r="U20" s="396"/>
      <c r="V20" s="396"/>
      <c r="W20" s="373"/>
      <c r="X20" s="374"/>
      <c r="Y20" s="375"/>
      <c r="Z20" s="376"/>
      <c r="AA20" s="373"/>
      <c r="AB20" s="373"/>
      <c r="AC20" s="373"/>
      <c r="AD20" s="373"/>
      <c r="AE20" s="373"/>
      <c r="AF20" s="373"/>
      <c r="AG20" s="373"/>
      <c r="AH20" s="374"/>
      <c r="AI20" s="375"/>
      <c r="AJ20" s="372"/>
      <c r="AK20" s="373"/>
      <c r="AL20" s="373"/>
      <c r="AM20" s="373"/>
      <c r="AN20" s="373"/>
      <c r="AO20" s="373"/>
      <c r="AP20" s="373"/>
      <c r="AQ20" s="373"/>
      <c r="AR20" s="374"/>
      <c r="AS20" s="375"/>
      <c r="AT20" s="372"/>
      <c r="AU20" s="373"/>
      <c r="AV20" s="373"/>
      <c r="AW20" s="373"/>
      <c r="AX20" s="373"/>
      <c r="AY20" s="373"/>
      <c r="AZ20" s="373"/>
      <c r="BA20" s="373"/>
      <c r="BB20" s="429"/>
      <c r="BC20" s="375"/>
      <c r="BD20" s="372"/>
      <c r="BE20" s="373"/>
      <c r="BF20" s="373"/>
      <c r="BG20" s="373"/>
      <c r="BH20" s="373"/>
      <c r="BI20" s="373"/>
      <c r="BJ20" s="373"/>
      <c r="BK20" s="373"/>
      <c r="BL20" s="430"/>
      <c r="BM20" s="377"/>
      <c r="BN20" s="378"/>
      <c r="BO20" s="373"/>
      <c r="BP20" s="378"/>
      <c r="BQ20" s="439"/>
      <c r="BR20" s="379"/>
      <c r="BS20" s="379"/>
      <c r="BT20" s="379"/>
      <c r="BU20" s="1125"/>
      <c r="BV20" s="443"/>
      <c r="BW20" s="380"/>
    </row>
    <row r="21" spans="3:80" thickBot="1" x14ac:dyDescent="0.3">
      <c r="C21" s="413" t="s">
        <v>45</v>
      </c>
      <c r="D21" s="414">
        <v>1550</v>
      </c>
      <c r="E21" s="1112"/>
      <c r="F21" s="1113"/>
      <c r="G21" s="1113"/>
      <c r="H21" s="1113"/>
      <c r="I21" s="401">
        <f>E21+F21-G21+H21</f>
        <v>0</v>
      </c>
      <c r="J21" s="1113"/>
      <c r="K21" s="1113"/>
      <c r="L21" s="1113"/>
      <c r="M21" s="1113"/>
      <c r="N21" s="401">
        <f>J21+K21-L21+M21</f>
        <v>0</v>
      </c>
      <c r="O21" s="440">
        <f>I21</f>
        <v>0</v>
      </c>
      <c r="P21" s="1113"/>
      <c r="Q21" s="1113"/>
      <c r="R21" s="1113"/>
      <c r="S21" s="401">
        <f t="shared" ref="S21:S31" si="0">O21+P21-Q21+SUM(R21:R21)</f>
        <v>0</v>
      </c>
      <c r="T21" s="401">
        <f t="shared" ref="T21:T37" si="1">N21</f>
        <v>0</v>
      </c>
      <c r="U21" s="1113"/>
      <c r="V21" s="1113"/>
      <c r="W21" s="1113"/>
      <c r="X21" s="404">
        <f>T21+U21-V21+W21</f>
        <v>0</v>
      </c>
      <c r="Y21" s="629">
        <f>S21</f>
        <v>0</v>
      </c>
      <c r="Z21" s="1113"/>
      <c r="AA21" s="1113"/>
      <c r="AB21" s="1113"/>
      <c r="AC21" s="401">
        <f>Y21+Z21-AA21+SUM(AB21:AB21)</f>
        <v>0</v>
      </c>
      <c r="AD21" s="409">
        <f t="shared" ref="AD21:AD31" si="2">X21</f>
        <v>0</v>
      </c>
      <c r="AE21" s="1113"/>
      <c r="AF21" s="1113"/>
      <c r="AG21" s="1113"/>
      <c r="AH21" s="404">
        <f>AD21+AE21-AF21+AG21</f>
        <v>0</v>
      </c>
      <c r="AI21" s="408">
        <f t="shared" ref="AI21:AI37" si="3">AC21</f>
        <v>0</v>
      </c>
      <c r="AJ21" s="1113"/>
      <c r="AK21" s="1113"/>
      <c r="AL21" s="1233">
        <v>491436.08999999985</v>
      </c>
      <c r="AM21" s="401">
        <f t="shared" ref="AM21:AM37" si="4">AI21+AJ21-AK21+SUM(AL21:AL21)</f>
        <v>491436.08999999985</v>
      </c>
      <c r="AN21" s="409">
        <f t="shared" ref="AN21:AN37" si="5">AH21</f>
        <v>0</v>
      </c>
      <c r="AO21" s="1113"/>
      <c r="AP21" s="1113"/>
      <c r="AQ21" s="1233">
        <v>9654.74</v>
      </c>
      <c r="AR21" s="404">
        <f>AN21+AO21-AP21+AQ21</f>
        <v>9654.74</v>
      </c>
      <c r="AS21" s="408">
        <f t="shared" ref="AS21:AS37" si="6">AM21</f>
        <v>491436.08999999985</v>
      </c>
      <c r="AT21" s="1236">
        <v>3206.85</v>
      </c>
      <c r="AU21" s="1062">
        <v>332973.76</v>
      </c>
      <c r="AV21" s="1062"/>
      <c r="AW21" s="401">
        <f t="shared" ref="AW21:AW37" si="7">AS21+AT21-AU21+SUM(AV21:AV21)</f>
        <v>161669.17999999982</v>
      </c>
      <c r="AX21" s="409">
        <f t="shared" ref="AX21:AX37" si="8">AR21</f>
        <v>9654.74</v>
      </c>
      <c r="AY21" s="1236">
        <v>2979.97</v>
      </c>
      <c r="AZ21" s="1062">
        <v>8385.3700000000008</v>
      </c>
      <c r="BA21" s="1062"/>
      <c r="BB21" s="401">
        <f>AX21+AY21-AZ21+BA21</f>
        <v>4249.3399999999983</v>
      </c>
      <c r="BC21" s="408">
        <f t="shared" ref="BC21:BC37" si="9">AW21</f>
        <v>161669.17999999982</v>
      </c>
      <c r="BD21" s="1064">
        <v>21557.07</v>
      </c>
      <c r="BE21" s="1062">
        <v>158462.32999999999</v>
      </c>
      <c r="BF21" s="460"/>
      <c r="BG21" s="401">
        <f t="shared" ref="BG21:BG37" si="10">BC21+BD21-BE21+SUM(BF21:BF21)</f>
        <v>24763.919999999838</v>
      </c>
      <c r="BH21" s="409">
        <f t="shared" ref="BH21:BH37" si="11">BB21</f>
        <v>4249.3399999999983</v>
      </c>
      <c r="BI21" s="1064">
        <v>112.43</v>
      </c>
      <c r="BJ21" s="1062">
        <v>4109.8100000000004</v>
      </c>
      <c r="BK21" s="460"/>
      <c r="BL21" s="431">
        <f>BH21+BI21-BJ21+BK21</f>
        <v>251.95999999999822</v>
      </c>
      <c r="BM21" s="461"/>
      <c r="BN21" s="461"/>
      <c r="BO21" s="409">
        <f>BG21-BM21</f>
        <v>24763.919999999838</v>
      </c>
      <c r="BP21" s="437">
        <f>BL21-BN21</f>
        <v>251.95999999999822</v>
      </c>
      <c r="BQ21" s="463">
        <f>ROUND(+BO21*0.0218/366*182+BO21*0.0057/366*184,2)</f>
        <v>339.41</v>
      </c>
      <c r="BR21" s="630"/>
      <c r="BS21" s="457">
        <f>BP21+BQ21+BR21</f>
        <v>591.3699999999983</v>
      </c>
      <c r="BT21" s="525">
        <f>SUM(BO21:BR21)</f>
        <v>25355.289999999837</v>
      </c>
      <c r="BU21" s="627"/>
      <c r="BV21" s="444">
        <v>25015.88</v>
      </c>
      <c r="BW21" s="407">
        <f>ROUND(BV21-SUM(BG21,BL21),2)</f>
        <v>0</v>
      </c>
      <c r="BX21" s="975" t="str">
        <f>IF(ABS(BW21)&gt;1,"Please provide an explanation of the variance in the Manager's Summary","")</f>
        <v/>
      </c>
      <c r="BY21" s="263"/>
      <c r="BZ21" s="263"/>
      <c r="CA21" s="263"/>
      <c r="CB21" s="263"/>
    </row>
    <row r="22" spans="3:80" thickBot="1" x14ac:dyDescent="0.3">
      <c r="C22" s="413" t="s">
        <v>632</v>
      </c>
      <c r="D22" s="414">
        <v>1551</v>
      </c>
      <c r="E22" s="1112"/>
      <c r="F22" s="1113"/>
      <c r="G22" s="1113"/>
      <c r="H22" s="1113"/>
      <c r="I22" s="401">
        <f>E22+F22-G22+H22</f>
        <v>0</v>
      </c>
      <c r="J22" s="1113"/>
      <c r="K22" s="1113"/>
      <c r="L22" s="1113"/>
      <c r="M22" s="1113"/>
      <c r="N22" s="401">
        <f>J22+K22-L22+M22</f>
        <v>0</v>
      </c>
      <c r="O22" s="440">
        <f>I22</f>
        <v>0</v>
      </c>
      <c r="P22" s="1113"/>
      <c r="Q22" s="1113"/>
      <c r="R22" s="1113"/>
      <c r="S22" s="401">
        <f t="shared" si="0"/>
        <v>0</v>
      </c>
      <c r="T22" s="401">
        <f t="shared" si="1"/>
        <v>0</v>
      </c>
      <c r="U22" s="1113"/>
      <c r="V22" s="1113"/>
      <c r="W22" s="1113"/>
      <c r="X22" s="404">
        <f>T22+U22-V22+W22</f>
        <v>0</v>
      </c>
      <c r="Y22" s="408">
        <f t="shared" ref="Y22:Y37" si="12">S22</f>
        <v>0</v>
      </c>
      <c r="Z22" s="1113"/>
      <c r="AA22" s="1113"/>
      <c r="AB22" s="1113"/>
      <c r="AC22" s="401">
        <f>Y22+Z22-AA22+SUM(AB22:AB22)</f>
        <v>0</v>
      </c>
      <c r="AD22" s="409">
        <f>X22</f>
        <v>0</v>
      </c>
      <c r="AE22" s="1113"/>
      <c r="AF22" s="1469"/>
      <c r="AG22" s="1470"/>
      <c r="AH22" s="404">
        <f>AD22+AE22-AF22+AG22</f>
        <v>0</v>
      </c>
      <c r="AI22" s="408">
        <f t="shared" si="3"/>
        <v>0</v>
      </c>
      <c r="AJ22" s="1113"/>
      <c r="AK22" s="1113"/>
      <c r="AL22" s="1234">
        <v>-4174.68</v>
      </c>
      <c r="AM22" s="401">
        <f t="shared" si="4"/>
        <v>-4174.68</v>
      </c>
      <c r="AN22" s="409">
        <f t="shared" si="5"/>
        <v>0</v>
      </c>
      <c r="AO22" s="1113"/>
      <c r="AP22" s="1469"/>
      <c r="AQ22" s="1234">
        <v>-83.24</v>
      </c>
      <c r="AR22" s="404">
        <f>AN22+AO22-AP22+AQ22</f>
        <v>-83.24</v>
      </c>
      <c r="AS22" s="408">
        <f t="shared" si="6"/>
        <v>-4174.68</v>
      </c>
      <c r="AT22" s="1064">
        <v>-6231.74</v>
      </c>
      <c r="AU22" s="1062">
        <v>-2971.72</v>
      </c>
      <c r="AV22" s="1062"/>
      <c r="AW22" s="401">
        <f t="shared" si="7"/>
        <v>-7434.7000000000007</v>
      </c>
      <c r="AX22" s="409">
        <f t="shared" si="8"/>
        <v>-83.24</v>
      </c>
      <c r="AY22" s="1064">
        <v>-107.81</v>
      </c>
      <c r="AZ22" s="1065">
        <v>-75.75</v>
      </c>
      <c r="BA22" s="1066"/>
      <c r="BB22" s="401">
        <f>AX22+AY22-AZ22+BA22</f>
        <v>-115.30000000000001</v>
      </c>
      <c r="BC22" s="408">
        <f t="shared" si="9"/>
        <v>-7434.7000000000007</v>
      </c>
      <c r="BD22" s="1064">
        <v>-1503.35</v>
      </c>
      <c r="BE22" s="1062">
        <v>-1202.96</v>
      </c>
      <c r="BF22" s="460"/>
      <c r="BG22" s="401">
        <f t="shared" si="10"/>
        <v>-7735.0900000000011</v>
      </c>
      <c r="BH22" s="409">
        <f t="shared" si="11"/>
        <v>-115.30000000000001</v>
      </c>
      <c r="BI22" s="1064">
        <v>-154.05000000000001</v>
      </c>
      <c r="BJ22" s="1065">
        <v>-29.05</v>
      </c>
      <c r="BK22" s="464"/>
      <c r="BL22" s="431">
        <f>BH22+BI22-BJ22+BK22</f>
        <v>-240.3</v>
      </c>
      <c r="BM22" s="461"/>
      <c r="BN22" s="461"/>
      <c r="BO22" s="409">
        <f t="shared" ref="BO22:BO37" si="13">BG22-BM22</f>
        <v>-7735.0900000000011</v>
      </c>
      <c r="BP22" s="437">
        <f t="shared" ref="BP22:BP37" si="14">BL22-BN22</f>
        <v>-240.3</v>
      </c>
      <c r="BQ22" s="632">
        <f t="shared" ref="BQ22:BQ36" si="15">ROUND(+BO22*0.0218/366*182+BO22*0.0057/366*184,2)</f>
        <v>-106.02</v>
      </c>
      <c r="BR22" s="630"/>
      <c r="BS22" s="457">
        <f t="shared" ref="BS22:BS37" si="16">BP22+BQ22+BR22</f>
        <v>-346.32</v>
      </c>
      <c r="BT22" s="525">
        <f>SUM(BO22:BR22)</f>
        <v>-8081.4100000000017</v>
      </c>
      <c r="BU22" s="627"/>
      <c r="BV22" s="444">
        <v>-7975.39</v>
      </c>
      <c r="BW22" s="407">
        <f t="shared" ref="BW22:BW36" si="17">ROUND(BV22-SUM(BG22,BL22),2)</f>
        <v>0</v>
      </c>
      <c r="BX22" s="975" t="str">
        <f t="shared" ref="BX22:BX43" si="18">IF(ABS(BW22)&gt;1,"Please provide an explanation of the variance in the Manager's Summary","")</f>
        <v/>
      </c>
      <c r="BY22" s="263"/>
      <c r="BZ22" s="263"/>
      <c r="CA22" s="263"/>
      <c r="CB22" s="263"/>
    </row>
    <row r="23" spans="3:80" ht="16.8" thickBot="1" x14ac:dyDescent="0.3">
      <c r="C23" s="415" t="s">
        <v>2351</v>
      </c>
      <c r="D23" s="414">
        <v>1580</v>
      </c>
      <c r="E23" s="1112"/>
      <c r="F23" s="1113"/>
      <c r="G23" s="1113"/>
      <c r="H23" s="1113"/>
      <c r="I23" s="401">
        <f t="shared" ref="I23:I37" si="19">E23+F23-G23+H23</f>
        <v>0</v>
      </c>
      <c r="J23" s="1113"/>
      <c r="K23" s="1113"/>
      <c r="L23" s="1113"/>
      <c r="M23" s="1113"/>
      <c r="N23" s="401">
        <f t="shared" ref="N23:N37" si="20">J23+K23-L23+M23</f>
        <v>0</v>
      </c>
      <c r="O23" s="440">
        <f t="shared" ref="O23:O37" si="21">I23</f>
        <v>0</v>
      </c>
      <c r="P23" s="1113"/>
      <c r="Q23" s="1113"/>
      <c r="R23" s="1113"/>
      <c r="S23" s="401">
        <f t="shared" si="0"/>
        <v>0</v>
      </c>
      <c r="T23" s="401">
        <f t="shared" si="1"/>
        <v>0</v>
      </c>
      <c r="U23" s="1113"/>
      <c r="V23" s="1113"/>
      <c r="W23" s="1113"/>
      <c r="X23" s="404">
        <f t="shared" ref="X23:X37" si="22">T23+U23-V23+W23</f>
        <v>0</v>
      </c>
      <c r="Y23" s="408">
        <f t="shared" si="12"/>
        <v>0</v>
      </c>
      <c r="Z23" s="1113"/>
      <c r="AA23" s="1113"/>
      <c r="AB23" s="1113"/>
      <c r="AC23" s="401">
        <f t="shared" ref="AC23:AC31" si="23">Y23+Z23-AA23+SUM(AB23:AB23)</f>
        <v>0</v>
      </c>
      <c r="AD23" s="409">
        <f t="shared" si="2"/>
        <v>0</v>
      </c>
      <c r="AE23" s="1113"/>
      <c r="AF23" s="1113"/>
      <c r="AG23" s="1113"/>
      <c r="AH23" s="404">
        <f t="shared" ref="AH23:AH37" si="24">AD23+AE23-AF23+AG23</f>
        <v>0</v>
      </c>
      <c r="AI23" s="408">
        <f t="shared" si="3"/>
        <v>0</v>
      </c>
      <c r="AJ23" s="1113"/>
      <c r="AK23" s="1113"/>
      <c r="AL23" s="2290">
        <v>-380461.53</v>
      </c>
      <c r="AM23" s="401">
        <f t="shared" si="4"/>
        <v>-380461.53</v>
      </c>
      <c r="AN23" s="409">
        <f t="shared" si="5"/>
        <v>0</v>
      </c>
      <c r="AO23" s="1113"/>
      <c r="AP23" s="1113"/>
      <c r="AQ23" s="1235">
        <v>-11085.470000000001</v>
      </c>
      <c r="AR23" s="404">
        <f t="shared" ref="AR23:AR37" si="25">AN23+AO23-AP23+AQ23</f>
        <v>-11085.470000000001</v>
      </c>
      <c r="AS23" s="408">
        <f t="shared" si="6"/>
        <v>-380461.53</v>
      </c>
      <c r="AT23" s="1236">
        <v>-13671.4</v>
      </c>
      <c r="AU23" s="1062">
        <v>-329778.25</v>
      </c>
      <c r="AV23" s="1062"/>
      <c r="AW23" s="401">
        <f t="shared" si="7"/>
        <v>-64354.680000000051</v>
      </c>
      <c r="AX23" s="409">
        <f t="shared" si="8"/>
        <v>-11085.470000000001</v>
      </c>
      <c r="AY23" s="1236">
        <v>-1027.48</v>
      </c>
      <c r="AZ23" s="1062">
        <v>-10483.06</v>
      </c>
      <c r="BA23" s="1062"/>
      <c r="BB23" s="401">
        <f t="shared" ref="BB23:BB37" si="26">AX23+AY23-AZ23+BA23</f>
        <v>-1629.8900000000012</v>
      </c>
      <c r="BC23" s="408">
        <f t="shared" si="9"/>
        <v>-64354.680000000051</v>
      </c>
      <c r="BD23" s="1064">
        <v>-17642.830000000002</v>
      </c>
      <c r="BE23" s="1062">
        <v>-50683.28</v>
      </c>
      <c r="BF23" s="460"/>
      <c r="BG23" s="401">
        <f t="shared" si="10"/>
        <v>-31314.230000000054</v>
      </c>
      <c r="BH23" s="409">
        <f t="shared" si="11"/>
        <v>-1629.8900000000012</v>
      </c>
      <c r="BI23" s="1064">
        <v>-317.83999999999997</v>
      </c>
      <c r="BJ23" s="1062">
        <v>-1510.91</v>
      </c>
      <c r="BK23" s="460"/>
      <c r="BL23" s="431">
        <f t="shared" ref="BL23:BL37" si="27">BH23+BI23-BJ23+BK23</f>
        <v>-436.82000000000107</v>
      </c>
      <c r="BM23" s="461"/>
      <c r="BN23" s="461"/>
      <c r="BO23" s="409">
        <f t="shared" si="13"/>
        <v>-31314.230000000054</v>
      </c>
      <c r="BP23" s="437">
        <f t="shared" si="14"/>
        <v>-436.82000000000107</v>
      </c>
      <c r="BQ23" s="632">
        <f t="shared" si="15"/>
        <v>-429.19</v>
      </c>
      <c r="BR23" s="630"/>
      <c r="BS23" s="457">
        <f t="shared" si="16"/>
        <v>-866.01000000000113</v>
      </c>
      <c r="BT23" s="525">
        <f>SUM(BO23:BR23)</f>
        <v>-32180.240000000053</v>
      </c>
      <c r="BU23" s="627"/>
      <c r="BV23" s="444">
        <v>-34304.370000000003</v>
      </c>
      <c r="BW23" s="407">
        <f t="shared" si="17"/>
        <v>-2553.3200000000002</v>
      </c>
      <c r="BX23" s="975" t="str">
        <f>IF(ROUND(BW23,0)=ROUND(BV25,0),"","The variance does not match the value in cell BV25. Please provide an explanation of the variance in the Manager's Summary")</f>
        <v/>
      </c>
      <c r="BY23" s="263"/>
      <c r="BZ23" s="263"/>
      <c r="CA23" s="263"/>
      <c r="CB23" s="263"/>
    </row>
    <row r="24" spans="3:80" ht="16.8" thickBot="1" x14ac:dyDescent="0.3">
      <c r="C24" s="415" t="s">
        <v>2352</v>
      </c>
      <c r="D24" s="414">
        <v>1580</v>
      </c>
      <c r="E24" s="1112"/>
      <c r="F24" s="1113"/>
      <c r="G24" s="1113"/>
      <c r="H24" s="1113"/>
      <c r="I24" s="401">
        <f t="shared" si="19"/>
        <v>0</v>
      </c>
      <c r="J24" s="1113"/>
      <c r="K24" s="1113"/>
      <c r="L24" s="1113"/>
      <c r="M24" s="1113"/>
      <c r="N24" s="401">
        <f t="shared" si="20"/>
        <v>0</v>
      </c>
      <c r="O24" s="440">
        <f t="shared" si="21"/>
        <v>0</v>
      </c>
      <c r="P24" s="1113"/>
      <c r="Q24" s="1113"/>
      <c r="R24" s="1113"/>
      <c r="S24" s="401">
        <f t="shared" si="0"/>
        <v>0</v>
      </c>
      <c r="T24" s="401">
        <f t="shared" si="1"/>
        <v>0</v>
      </c>
      <c r="U24" s="1113"/>
      <c r="V24" s="1113"/>
      <c r="W24" s="1113"/>
      <c r="X24" s="404">
        <f t="shared" si="22"/>
        <v>0</v>
      </c>
      <c r="Y24" s="408">
        <f t="shared" si="12"/>
        <v>0</v>
      </c>
      <c r="Z24" s="1113"/>
      <c r="AA24" s="1113"/>
      <c r="AB24" s="1113"/>
      <c r="AC24" s="401">
        <f t="shared" si="23"/>
        <v>0</v>
      </c>
      <c r="AD24" s="409">
        <f t="shared" si="2"/>
        <v>0</v>
      </c>
      <c r="AE24" s="1113"/>
      <c r="AF24" s="1113"/>
      <c r="AG24" s="1113"/>
      <c r="AH24" s="404">
        <f t="shared" si="24"/>
        <v>0</v>
      </c>
      <c r="AI24" s="408">
        <f t="shared" si="3"/>
        <v>0</v>
      </c>
      <c r="AJ24" s="1113"/>
      <c r="AK24" s="1113"/>
      <c r="AL24" s="1062"/>
      <c r="AM24" s="401">
        <f t="shared" si="4"/>
        <v>0</v>
      </c>
      <c r="AN24" s="409">
        <f t="shared" si="5"/>
        <v>0</v>
      </c>
      <c r="AO24" s="1113"/>
      <c r="AP24" s="1113"/>
      <c r="AQ24" s="1062">
        <v>0</v>
      </c>
      <c r="AR24" s="404">
        <f t="shared" si="25"/>
        <v>0</v>
      </c>
      <c r="AS24" s="408">
        <f t="shared" si="6"/>
        <v>0</v>
      </c>
      <c r="AT24" s="1062">
        <v>0</v>
      </c>
      <c r="AU24" s="1062">
        <v>0</v>
      </c>
      <c r="AV24" s="1062"/>
      <c r="AW24" s="401">
        <f t="shared" si="7"/>
        <v>0</v>
      </c>
      <c r="AX24" s="409">
        <f t="shared" si="8"/>
        <v>0</v>
      </c>
      <c r="AY24" s="1062"/>
      <c r="AZ24" s="1062"/>
      <c r="BA24" s="1062"/>
      <c r="BB24" s="401">
        <f t="shared" si="26"/>
        <v>0</v>
      </c>
      <c r="BC24" s="408">
        <f t="shared" si="9"/>
        <v>0</v>
      </c>
      <c r="BD24" s="1062"/>
      <c r="BE24" s="1062"/>
      <c r="BF24" s="460"/>
      <c r="BG24" s="401">
        <f>BC24+BD24-BE24+SUM(BF24:BF24)</f>
        <v>0</v>
      </c>
      <c r="BH24" s="409">
        <f t="shared" si="11"/>
        <v>0</v>
      </c>
      <c r="BI24" s="1062">
        <v>0</v>
      </c>
      <c r="BJ24" s="1062">
        <v>0</v>
      </c>
      <c r="BK24" s="460"/>
      <c r="BL24" s="431">
        <f t="shared" si="27"/>
        <v>0</v>
      </c>
      <c r="BM24" s="462"/>
      <c r="BN24" s="460"/>
      <c r="BO24" s="409">
        <f t="shared" si="13"/>
        <v>0</v>
      </c>
      <c r="BP24" s="437">
        <f t="shared" si="14"/>
        <v>0</v>
      </c>
      <c r="BQ24" s="632">
        <f t="shared" si="15"/>
        <v>0</v>
      </c>
      <c r="BR24" s="630"/>
      <c r="BS24" s="457">
        <f t="shared" si="16"/>
        <v>0</v>
      </c>
      <c r="BT24" s="637">
        <f>IF(CB5=TRUE, 0, 0)</f>
        <v>0</v>
      </c>
      <c r="BU24" s="627"/>
      <c r="BV24" s="444">
        <v>0</v>
      </c>
      <c r="BW24" s="407">
        <f t="shared" si="17"/>
        <v>0</v>
      </c>
      <c r="BX24" s="975" t="str">
        <f t="shared" si="18"/>
        <v/>
      </c>
      <c r="BY24" s="263"/>
      <c r="BZ24" s="263"/>
      <c r="CA24" s="263"/>
      <c r="CB24" s="263"/>
    </row>
    <row r="25" spans="3:80" ht="16.8" thickBot="1" x14ac:dyDescent="0.3">
      <c r="C25" s="415" t="s">
        <v>2353</v>
      </c>
      <c r="D25" s="414">
        <v>1580</v>
      </c>
      <c r="E25" s="1112"/>
      <c r="F25" s="1113"/>
      <c r="G25" s="1113"/>
      <c r="H25" s="1113"/>
      <c r="I25" s="401">
        <f t="shared" si="19"/>
        <v>0</v>
      </c>
      <c r="J25" s="1113"/>
      <c r="K25" s="1113"/>
      <c r="L25" s="1113"/>
      <c r="M25" s="1113"/>
      <c r="N25" s="401">
        <f t="shared" si="20"/>
        <v>0</v>
      </c>
      <c r="O25" s="440">
        <f t="shared" si="21"/>
        <v>0</v>
      </c>
      <c r="P25" s="1113"/>
      <c r="Q25" s="1113"/>
      <c r="R25" s="1113"/>
      <c r="S25" s="401">
        <f t="shared" si="0"/>
        <v>0</v>
      </c>
      <c r="T25" s="401">
        <f t="shared" si="1"/>
        <v>0</v>
      </c>
      <c r="U25" s="1113"/>
      <c r="V25" s="1113"/>
      <c r="W25" s="1113"/>
      <c r="X25" s="404">
        <f t="shared" si="22"/>
        <v>0</v>
      </c>
      <c r="Y25" s="408">
        <f t="shared" si="12"/>
        <v>0</v>
      </c>
      <c r="Z25" s="1113"/>
      <c r="AA25" s="1113"/>
      <c r="AB25" s="1113"/>
      <c r="AC25" s="401">
        <f t="shared" si="23"/>
        <v>0</v>
      </c>
      <c r="AD25" s="409">
        <f t="shared" si="2"/>
        <v>0</v>
      </c>
      <c r="AE25" s="1113"/>
      <c r="AF25" s="1113"/>
      <c r="AG25" s="1113"/>
      <c r="AH25" s="404">
        <f t="shared" si="24"/>
        <v>0</v>
      </c>
      <c r="AI25" s="408">
        <f t="shared" si="3"/>
        <v>0</v>
      </c>
      <c r="AJ25" s="1113"/>
      <c r="AK25" s="1113"/>
      <c r="AL25" s="1062">
        <v>10327.59</v>
      </c>
      <c r="AM25" s="401">
        <f t="shared" si="4"/>
        <v>10327.59</v>
      </c>
      <c r="AN25" s="409">
        <f t="shared" si="5"/>
        <v>0</v>
      </c>
      <c r="AO25" s="1113"/>
      <c r="AP25" s="1113"/>
      <c r="AQ25" s="1062">
        <v>292.2</v>
      </c>
      <c r="AR25" s="404">
        <f t="shared" si="25"/>
        <v>292.2</v>
      </c>
      <c r="AS25" s="408">
        <f t="shared" si="6"/>
        <v>10327.59</v>
      </c>
      <c r="AT25" s="1062">
        <v>-713.01</v>
      </c>
      <c r="AU25" s="1062">
        <v>10834.31</v>
      </c>
      <c r="AV25" s="1062"/>
      <c r="AW25" s="401">
        <f t="shared" si="7"/>
        <v>-1219.7299999999996</v>
      </c>
      <c r="AX25" s="409">
        <f t="shared" si="8"/>
        <v>292.2</v>
      </c>
      <c r="AY25" s="1062">
        <v>-20.399999999999999</v>
      </c>
      <c r="AZ25" s="1062">
        <v>285.12</v>
      </c>
      <c r="BA25" s="1062"/>
      <c r="BB25" s="401">
        <f t="shared" si="26"/>
        <v>-13.319999999999993</v>
      </c>
      <c r="BC25" s="408">
        <f t="shared" si="9"/>
        <v>-1219.7299999999996</v>
      </c>
      <c r="BD25" s="1062">
        <v>-1797.42</v>
      </c>
      <c r="BE25" s="1062">
        <v>-506.72</v>
      </c>
      <c r="BF25" s="460"/>
      <c r="BG25" s="401">
        <f t="shared" si="10"/>
        <v>-2510.4299999999994</v>
      </c>
      <c r="BH25" s="409">
        <f t="shared" si="11"/>
        <v>-13.319999999999993</v>
      </c>
      <c r="BI25" s="1062">
        <v>-31.57</v>
      </c>
      <c r="BJ25" s="1062">
        <v>-2</v>
      </c>
      <c r="BK25" s="460"/>
      <c r="BL25" s="431">
        <f t="shared" si="27"/>
        <v>-42.889999999999993</v>
      </c>
      <c r="BM25" s="462"/>
      <c r="BN25" s="460"/>
      <c r="BO25" s="409">
        <f t="shared" si="13"/>
        <v>-2510.4299999999994</v>
      </c>
      <c r="BP25" s="437">
        <f t="shared" si="14"/>
        <v>-42.889999999999993</v>
      </c>
      <c r="BQ25" s="632">
        <f t="shared" si="15"/>
        <v>-34.409999999999997</v>
      </c>
      <c r="BR25" s="630"/>
      <c r="BS25" s="457">
        <f t="shared" si="16"/>
        <v>-77.299999999999983</v>
      </c>
      <c r="BT25" s="525">
        <f>SUM(BO25:BR25)</f>
        <v>-2587.7299999999991</v>
      </c>
      <c r="BU25" s="627"/>
      <c r="BV25" s="444">
        <v>-2553.3199999999997</v>
      </c>
      <c r="BW25" s="407">
        <f t="shared" si="17"/>
        <v>0</v>
      </c>
      <c r="BX25" s="975" t="str">
        <f t="shared" si="18"/>
        <v/>
      </c>
      <c r="BY25" s="263"/>
      <c r="BZ25" s="263"/>
      <c r="CA25" s="263"/>
      <c r="CB25" s="263"/>
    </row>
    <row r="26" spans="3:80" thickBot="1" x14ac:dyDescent="0.3">
      <c r="C26" s="415" t="s">
        <v>43</v>
      </c>
      <c r="D26" s="414">
        <v>1584</v>
      </c>
      <c r="E26" s="1112"/>
      <c r="F26" s="1113"/>
      <c r="G26" s="1113"/>
      <c r="H26" s="1113"/>
      <c r="I26" s="401">
        <f t="shared" si="19"/>
        <v>0</v>
      </c>
      <c r="J26" s="1113"/>
      <c r="K26" s="1113"/>
      <c r="L26" s="1113"/>
      <c r="M26" s="1113"/>
      <c r="N26" s="401">
        <f t="shared" si="20"/>
        <v>0</v>
      </c>
      <c r="O26" s="440">
        <f t="shared" si="21"/>
        <v>0</v>
      </c>
      <c r="P26" s="1113"/>
      <c r="Q26" s="1113"/>
      <c r="R26" s="1113"/>
      <c r="S26" s="401">
        <f t="shared" si="0"/>
        <v>0</v>
      </c>
      <c r="T26" s="401">
        <f t="shared" si="1"/>
        <v>0</v>
      </c>
      <c r="U26" s="1113"/>
      <c r="V26" s="1113"/>
      <c r="W26" s="1113"/>
      <c r="X26" s="404">
        <f t="shared" si="22"/>
        <v>0</v>
      </c>
      <c r="Y26" s="408">
        <f t="shared" si="12"/>
        <v>0</v>
      </c>
      <c r="Z26" s="1113"/>
      <c r="AA26" s="1113"/>
      <c r="AB26" s="1113"/>
      <c r="AC26" s="401">
        <f t="shared" si="23"/>
        <v>0</v>
      </c>
      <c r="AD26" s="409">
        <f t="shared" si="2"/>
        <v>0</v>
      </c>
      <c r="AE26" s="1113"/>
      <c r="AF26" s="1113"/>
      <c r="AG26" s="1113"/>
      <c r="AH26" s="404">
        <f t="shared" si="24"/>
        <v>0</v>
      </c>
      <c r="AI26" s="408">
        <f t="shared" si="3"/>
        <v>0</v>
      </c>
      <c r="AJ26" s="1113"/>
      <c r="AK26" s="1113"/>
      <c r="AL26" s="1063">
        <v>-54827.609999999979</v>
      </c>
      <c r="AM26" s="401">
        <f t="shared" si="4"/>
        <v>-54827.609999999979</v>
      </c>
      <c r="AN26" s="409">
        <f t="shared" si="5"/>
        <v>0</v>
      </c>
      <c r="AO26" s="1113"/>
      <c r="AP26" s="1113"/>
      <c r="AQ26" s="1063">
        <v>-2618.7000000000003</v>
      </c>
      <c r="AR26" s="404">
        <f t="shared" si="25"/>
        <v>-2618.7000000000003</v>
      </c>
      <c r="AS26" s="408">
        <f t="shared" si="6"/>
        <v>-54827.609999999979</v>
      </c>
      <c r="AT26" s="1237">
        <v>-11061.26</v>
      </c>
      <c r="AU26" s="1062">
        <v>-40276.74</v>
      </c>
      <c r="AV26" s="1062"/>
      <c r="AW26" s="401">
        <f t="shared" si="7"/>
        <v>-25612.129999999983</v>
      </c>
      <c r="AX26" s="409">
        <f t="shared" si="8"/>
        <v>-2618.7000000000003</v>
      </c>
      <c r="AY26" s="1237">
        <v>-386.16</v>
      </c>
      <c r="AZ26" s="1062">
        <v>-2422.4499999999998</v>
      </c>
      <c r="BA26" s="1062"/>
      <c r="BB26" s="401">
        <f t="shared" si="26"/>
        <v>-582.41000000000031</v>
      </c>
      <c r="BC26" s="408">
        <f t="shared" si="9"/>
        <v>-25612.129999999983</v>
      </c>
      <c r="BD26" s="1064">
        <v>-23382.240000000002</v>
      </c>
      <c r="BE26" s="1062">
        <v>-14550.87</v>
      </c>
      <c r="BF26" s="460"/>
      <c r="BG26" s="401">
        <f t="shared" si="10"/>
        <v>-34443.499999999978</v>
      </c>
      <c r="BH26" s="409">
        <f t="shared" si="11"/>
        <v>-582.41000000000031</v>
      </c>
      <c r="BI26" s="1064">
        <v>-567.79999999999995</v>
      </c>
      <c r="BJ26" s="1062">
        <v>-457.07</v>
      </c>
      <c r="BK26" s="460"/>
      <c r="BL26" s="431">
        <f t="shared" si="27"/>
        <v>-693.14000000000033</v>
      </c>
      <c r="BM26" s="461"/>
      <c r="BN26" s="461"/>
      <c r="BO26" s="409">
        <f t="shared" si="13"/>
        <v>-34443.499999999978</v>
      </c>
      <c r="BP26" s="437">
        <f t="shared" si="14"/>
        <v>-693.14000000000033</v>
      </c>
      <c r="BQ26" s="632">
        <f t="shared" si="15"/>
        <v>-472.08</v>
      </c>
      <c r="BR26" s="630"/>
      <c r="BS26" s="457">
        <f t="shared" si="16"/>
        <v>-1165.2200000000003</v>
      </c>
      <c r="BT26" s="525">
        <f>SUM(BO26:BR26)</f>
        <v>-35608.719999999979</v>
      </c>
      <c r="BU26" s="627"/>
      <c r="BV26" s="444">
        <v>-35136.639999999999</v>
      </c>
      <c r="BW26" s="407">
        <f t="shared" si="17"/>
        <v>0</v>
      </c>
      <c r="BX26" s="975" t="str">
        <f t="shared" si="18"/>
        <v/>
      </c>
      <c r="BY26" s="263"/>
      <c r="BZ26" s="263"/>
      <c r="CA26" s="263"/>
      <c r="CB26" s="263"/>
    </row>
    <row r="27" spans="3:80" thickBot="1" x14ac:dyDescent="0.3">
      <c r="C27" s="416" t="s">
        <v>44</v>
      </c>
      <c r="D27" s="414">
        <v>1586</v>
      </c>
      <c r="E27" s="1112"/>
      <c r="F27" s="1113"/>
      <c r="G27" s="1113"/>
      <c r="H27" s="1113"/>
      <c r="I27" s="401">
        <f t="shared" si="19"/>
        <v>0</v>
      </c>
      <c r="J27" s="1113"/>
      <c r="K27" s="1113"/>
      <c r="L27" s="1113"/>
      <c r="M27" s="1113"/>
      <c r="N27" s="401">
        <f t="shared" si="20"/>
        <v>0</v>
      </c>
      <c r="O27" s="408">
        <f t="shared" si="21"/>
        <v>0</v>
      </c>
      <c r="P27" s="1113"/>
      <c r="Q27" s="1113"/>
      <c r="R27" s="1113"/>
      <c r="S27" s="401">
        <f t="shared" si="0"/>
        <v>0</v>
      </c>
      <c r="T27" s="401">
        <f t="shared" si="1"/>
        <v>0</v>
      </c>
      <c r="U27" s="1113"/>
      <c r="V27" s="1113"/>
      <c r="W27" s="1113"/>
      <c r="X27" s="404">
        <f t="shared" si="22"/>
        <v>0</v>
      </c>
      <c r="Y27" s="408">
        <f t="shared" si="12"/>
        <v>0</v>
      </c>
      <c r="Z27" s="1113"/>
      <c r="AA27" s="1113"/>
      <c r="AB27" s="1113"/>
      <c r="AC27" s="401">
        <f t="shared" si="23"/>
        <v>0</v>
      </c>
      <c r="AD27" s="409">
        <f t="shared" si="2"/>
        <v>0</v>
      </c>
      <c r="AE27" s="1113"/>
      <c r="AF27" s="1113"/>
      <c r="AG27" s="1113"/>
      <c r="AH27" s="404">
        <f t="shared" si="24"/>
        <v>0</v>
      </c>
      <c r="AI27" s="408">
        <f t="shared" si="3"/>
        <v>0</v>
      </c>
      <c r="AJ27" s="1113"/>
      <c r="AK27" s="1113"/>
      <c r="AL27" s="1063">
        <v>1980.1100000000279</v>
      </c>
      <c r="AM27" s="401">
        <f t="shared" si="4"/>
        <v>1980.1100000000279</v>
      </c>
      <c r="AN27" s="409">
        <f t="shared" si="5"/>
        <v>0</v>
      </c>
      <c r="AO27" s="1113"/>
      <c r="AP27" s="1113"/>
      <c r="AQ27" s="1063">
        <v>-1070.3700000000003</v>
      </c>
      <c r="AR27" s="404">
        <f t="shared" si="25"/>
        <v>-1070.3700000000003</v>
      </c>
      <c r="AS27" s="408">
        <f t="shared" si="6"/>
        <v>1980.1100000000279</v>
      </c>
      <c r="AT27" s="1064">
        <v>-9852.81</v>
      </c>
      <c r="AU27" s="1062">
        <v>10586.54</v>
      </c>
      <c r="AV27" s="1062"/>
      <c r="AW27" s="401">
        <f t="shared" si="7"/>
        <v>-18459.239999999972</v>
      </c>
      <c r="AX27" s="409">
        <f t="shared" si="8"/>
        <v>-1070.3700000000003</v>
      </c>
      <c r="AY27" s="1064">
        <v>-259.87</v>
      </c>
      <c r="AZ27" s="1062">
        <v>-1011.34</v>
      </c>
      <c r="BA27" s="1062"/>
      <c r="BB27" s="401">
        <f t="shared" si="26"/>
        <v>-318.9000000000002</v>
      </c>
      <c r="BC27" s="408">
        <f t="shared" si="9"/>
        <v>-18459.239999999972</v>
      </c>
      <c r="BD27" s="1064">
        <v>337.21</v>
      </c>
      <c r="BE27" s="1062">
        <v>-8606.43</v>
      </c>
      <c r="BF27" s="460"/>
      <c r="BG27" s="401">
        <f t="shared" si="10"/>
        <v>-9515.5999999999731</v>
      </c>
      <c r="BH27" s="409">
        <f t="shared" si="11"/>
        <v>-318.9000000000002</v>
      </c>
      <c r="BI27" s="1064">
        <v>-406.63</v>
      </c>
      <c r="BJ27" s="1062">
        <v>-213.3</v>
      </c>
      <c r="BK27" s="460"/>
      <c r="BL27" s="431">
        <f t="shared" si="27"/>
        <v>-512.23000000000025</v>
      </c>
      <c r="BM27" s="461"/>
      <c r="BN27" s="461"/>
      <c r="BO27" s="409">
        <f t="shared" si="13"/>
        <v>-9515.5999999999731</v>
      </c>
      <c r="BP27" s="437">
        <f t="shared" si="14"/>
        <v>-512.23000000000025</v>
      </c>
      <c r="BQ27" s="632">
        <f t="shared" si="15"/>
        <v>-130.41999999999999</v>
      </c>
      <c r="BR27" s="630"/>
      <c r="BS27" s="457">
        <f t="shared" si="16"/>
        <v>-642.6500000000002</v>
      </c>
      <c r="BT27" s="525">
        <f>SUM(BO27:BR27)</f>
        <v>-10158.249999999973</v>
      </c>
      <c r="BU27" s="627"/>
      <c r="BV27" s="444">
        <v>-10027.83</v>
      </c>
      <c r="BW27" s="407">
        <f t="shared" si="17"/>
        <v>0</v>
      </c>
      <c r="BX27" s="975" t="str">
        <f t="shared" si="18"/>
        <v/>
      </c>
      <c r="BY27" s="263"/>
      <c r="BZ27" s="263"/>
      <c r="CA27" s="263"/>
      <c r="CB27" s="263"/>
    </row>
    <row r="28" spans="3:80" ht="16.8" thickBot="1" x14ac:dyDescent="0.3">
      <c r="C28" s="635" t="s">
        <v>2354</v>
      </c>
      <c r="D28" s="414">
        <v>1588</v>
      </c>
      <c r="E28" s="1112"/>
      <c r="F28" s="1113"/>
      <c r="G28" s="1113"/>
      <c r="H28" s="1113"/>
      <c r="I28" s="401">
        <f t="shared" si="19"/>
        <v>0</v>
      </c>
      <c r="J28" s="1113"/>
      <c r="K28" s="1113"/>
      <c r="L28" s="1113"/>
      <c r="M28" s="1113"/>
      <c r="N28" s="401">
        <f t="shared" si="20"/>
        <v>0</v>
      </c>
      <c r="O28" s="408">
        <f t="shared" si="21"/>
        <v>0</v>
      </c>
      <c r="P28" s="1113"/>
      <c r="Q28" s="1113"/>
      <c r="R28" s="1113"/>
      <c r="S28" s="401">
        <f t="shared" si="0"/>
        <v>0</v>
      </c>
      <c r="T28" s="401">
        <f t="shared" si="1"/>
        <v>0</v>
      </c>
      <c r="U28" s="1113"/>
      <c r="V28" s="1113"/>
      <c r="W28" s="1113"/>
      <c r="X28" s="404">
        <f t="shared" si="22"/>
        <v>0</v>
      </c>
      <c r="Y28" s="408">
        <f t="shared" si="12"/>
        <v>0</v>
      </c>
      <c r="Z28" s="1113"/>
      <c r="AA28" s="1113"/>
      <c r="AB28" s="1113"/>
      <c r="AC28" s="401">
        <f t="shared" si="23"/>
        <v>0</v>
      </c>
      <c r="AD28" s="409">
        <f t="shared" si="2"/>
        <v>0</v>
      </c>
      <c r="AE28" s="1113"/>
      <c r="AF28" s="1113"/>
      <c r="AG28" s="1113"/>
      <c r="AH28" s="404">
        <f t="shared" si="24"/>
        <v>0</v>
      </c>
      <c r="AI28" s="408">
        <f t="shared" si="3"/>
        <v>0</v>
      </c>
      <c r="AJ28" s="1113"/>
      <c r="AK28" s="1113"/>
      <c r="AL28" s="1063">
        <v>-31138.11</v>
      </c>
      <c r="AM28" s="401">
        <f t="shared" si="4"/>
        <v>-31138.11</v>
      </c>
      <c r="AN28" s="409">
        <f t="shared" si="5"/>
        <v>0</v>
      </c>
      <c r="AO28" s="1113"/>
      <c r="AP28" s="1113"/>
      <c r="AQ28" s="1063">
        <v>-999.85000000000309</v>
      </c>
      <c r="AR28" s="404">
        <f t="shared" si="25"/>
        <v>-999.85000000000309</v>
      </c>
      <c r="AS28" s="408">
        <f t="shared" si="6"/>
        <v>-31138.11</v>
      </c>
      <c r="AT28" s="1064">
        <v>32657.65</v>
      </c>
      <c r="AU28" s="1062">
        <v>-52129.9</v>
      </c>
      <c r="AV28" s="1062"/>
      <c r="AW28" s="401">
        <f t="shared" si="7"/>
        <v>53649.440000000002</v>
      </c>
      <c r="AX28" s="409">
        <f t="shared" si="8"/>
        <v>-999.85000000000309</v>
      </c>
      <c r="AY28" s="1064">
        <v>-355.63</v>
      </c>
      <c r="AZ28" s="1062">
        <v>-1243.47</v>
      </c>
      <c r="BA28" s="1062"/>
      <c r="BB28" s="401">
        <f t="shared" si="26"/>
        <v>-112.01000000000317</v>
      </c>
      <c r="BC28" s="408">
        <f t="shared" si="9"/>
        <v>53649.440000000002</v>
      </c>
      <c r="BD28" s="1064">
        <v>72653.58</v>
      </c>
      <c r="BE28" s="1062">
        <v>20991.79</v>
      </c>
      <c r="BF28" s="460">
        <v>-27681.360000000001</v>
      </c>
      <c r="BG28" s="401">
        <f t="shared" si="10"/>
        <v>77629.87000000001</v>
      </c>
      <c r="BH28" s="409">
        <f t="shared" si="11"/>
        <v>-112.01000000000317</v>
      </c>
      <c r="BI28" s="1064">
        <v>876.18</v>
      </c>
      <c r="BJ28" s="1062">
        <v>619.9</v>
      </c>
      <c r="BK28" s="460"/>
      <c r="BL28" s="431">
        <f t="shared" si="27"/>
        <v>144.2699999999968</v>
      </c>
      <c r="BM28" s="461"/>
      <c r="BN28" s="461"/>
      <c r="BO28" s="409">
        <f t="shared" si="13"/>
        <v>77629.87000000001</v>
      </c>
      <c r="BP28" s="437">
        <f t="shared" si="14"/>
        <v>144.2699999999968</v>
      </c>
      <c r="BQ28" s="632">
        <f t="shared" si="15"/>
        <v>1064</v>
      </c>
      <c r="BR28" s="630"/>
      <c r="BS28" s="457">
        <f t="shared" si="16"/>
        <v>1208.2699999999968</v>
      </c>
      <c r="BT28" s="637">
        <f>IF(BU28="Yes", SUM(BO28:BR28), 0)</f>
        <v>78838.140000000014</v>
      </c>
      <c r="BU28" s="1382" t="s">
        <v>5033</v>
      </c>
      <c r="BV28" s="444">
        <v>105455.5</v>
      </c>
      <c r="BW28" s="407">
        <f t="shared" si="17"/>
        <v>27681.360000000001</v>
      </c>
      <c r="BX28" s="975" t="str">
        <f t="shared" si="18"/>
        <v>Please provide an explanation of the variance in the Manager's Summary</v>
      </c>
      <c r="BY28" s="263"/>
      <c r="BZ28" s="263"/>
      <c r="CA28" s="263"/>
      <c r="CB28" s="263"/>
    </row>
    <row r="29" spans="3:80" ht="16.8" thickBot="1" x14ac:dyDescent="0.3">
      <c r="C29" s="635" t="s">
        <v>2355</v>
      </c>
      <c r="D29" s="414">
        <v>1589</v>
      </c>
      <c r="E29" s="1112"/>
      <c r="F29" s="1113"/>
      <c r="G29" s="1113"/>
      <c r="H29" s="1113"/>
      <c r="I29" s="401">
        <f t="shared" si="19"/>
        <v>0</v>
      </c>
      <c r="J29" s="1113"/>
      <c r="K29" s="1113"/>
      <c r="L29" s="1113"/>
      <c r="M29" s="1113"/>
      <c r="N29" s="401">
        <f t="shared" si="20"/>
        <v>0</v>
      </c>
      <c r="O29" s="408">
        <f t="shared" si="21"/>
        <v>0</v>
      </c>
      <c r="P29" s="1113"/>
      <c r="Q29" s="1113"/>
      <c r="R29" s="1113"/>
      <c r="S29" s="401">
        <f t="shared" si="0"/>
        <v>0</v>
      </c>
      <c r="T29" s="401">
        <f t="shared" si="1"/>
        <v>0</v>
      </c>
      <c r="U29" s="1113"/>
      <c r="V29" s="1113"/>
      <c r="W29" s="1113"/>
      <c r="X29" s="404">
        <f t="shared" si="22"/>
        <v>0</v>
      </c>
      <c r="Y29" s="408">
        <f t="shared" si="12"/>
        <v>0</v>
      </c>
      <c r="Z29" s="1113"/>
      <c r="AA29" s="1113"/>
      <c r="AB29" s="1113"/>
      <c r="AC29" s="401">
        <f t="shared" si="23"/>
        <v>0</v>
      </c>
      <c r="AD29" s="409">
        <f t="shared" si="2"/>
        <v>0</v>
      </c>
      <c r="AE29" s="1113"/>
      <c r="AF29" s="1113"/>
      <c r="AG29" s="1113"/>
      <c r="AH29" s="404">
        <f t="shared" si="24"/>
        <v>0</v>
      </c>
      <c r="AI29" s="408">
        <f t="shared" si="3"/>
        <v>0</v>
      </c>
      <c r="AJ29" s="1113"/>
      <c r="AK29" s="1113"/>
      <c r="AL29" s="1063">
        <v>380188.81</v>
      </c>
      <c r="AM29" s="401">
        <f t="shared" si="4"/>
        <v>380188.81</v>
      </c>
      <c r="AN29" s="409">
        <f t="shared" si="5"/>
        <v>0</v>
      </c>
      <c r="AO29" s="1113"/>
      <c r="AP29" s="1113"/>
      <c r="AQ29" s="1063">
        <v>10831.439999999999</v>
      </c>
      <c r="AR29" s="404">
        <f t="shared" si="25"/>
        <v>10831.439999999999</v>
      </c>
      <c r="AS29" s="408">
        <f t="shared" si="6"/>
        <v>380188.81</v>
      </c>
      <c r="AT29" s="1064">
        <v>-44124.78</v>
      </c>
      <c r="AU29" s="1062">
        <v>326898.43</v>
      </c>
      <c r="AV29" s="1062"/>
      <c r="AW29" s="401">
        <f t="shared" si="7"/>
        <v>9165.6000000000349</v>
      </c>
      <c r="AX29" s="409">
        <f t="shared" si="8"/>
        <v>10831.439999999999</v>
      </c>
      <c r="AY29" s="1064">
        <v>1237.96</v>
      </c>
      <c r="AZ29" s="1062">
        <v>10394.76</v>
      </c>
      <c r="BA29" s="1062"/>
      <c r="BB29" s="401">
        <f t="shared" si="26"/>
        <v>1674.6399999999976</v>
      </c>
      <c r="BC29" s="408">
        <f t="shared" si="9"/>
        <v>9165.6000000000349</v>
      </c>
      <c r="BD29" s="1064">
        <v>88565.87</v>
      </c>
      <c r="BE29" s="1062">
        <v>53290.38</v>
      </c>
      <c r="BF29" s="460">
        <v>32918.28</v>
      </c>
      <c r="BG29" s="401">
        <f t="shared" si="10"/>
        <v>77359.370000000024</v>
      </c>
      <c r="BH29" s="409">
        <f t="shared" si="11"/>
        <v>1674.6399999999976</v>
      </c>
      <c r="BI29" s="1064">
        <v>1993.8</v>
      </c>
      <c r="BJ29" s="1062">
        <v>1391.91</v>
      </c>
      <c r="BK29" s="460"/>
      <c r="BL29" s="431">
        <f t="shared" si="27"/>
        <v>2276.5299999999979</v>
      </c>
      <c r="BM29" s="461"/>
      <c r="BN29" s="461"/>
      <c r="BO29" s="409">
        <f t="shared" si="13"/>
        <v>77359.370000000024</v>
      </c>
      <c r="BP29" s="437">
        <f t="shared" si="14"/>
        <v>2276.5299999999979</v>
      </c>
      <c r="BQ29" s="632">
        <f t="shared" si="15"/>
        <v>1060.29</v>
      </c>
      <c r="BR29" s="630"/>
      <c r="BS29" s="457">
        <f t="shared" si="16"/>
        <v>3336.8199999999979</v>
      </c>
      <c r="BT29" s="637">
        <f>IF(BU29="Yes", SUM(BO29:BR29), 0)</f>
        <v>80696.190000000017</v>
      </c>
      <c r="BU29" s="1382" t="s">
        <v>5033</v>
      </c>
      <c r="BV29" s="444">
        <v>46717.62</v>
      </c>
      <c r="BW29" s="407">
        <f t="shared" si="17"/>
        <v>-32918.28</v>
      </c>
      <c r="BX29" s="975" t="str">
        <f t="shared" si="18"/>
        <v>Please provide an explanation of the variance in the Manager's Summary</v>
      </c>
      <c r="BY29" s="263"/>
      <c r="BZ29" s="263"/>
      <c r="CA29" s="263"/>
      <c r="CB29" s="263"/>
    </row>
    <row r="30" spans="3:80" ht="16.8" hidden="1" thickBot="1" x14ac:dyDescent="0.3">
      <c r="C30" s="417" t="s">
        <v>2356</v>
      </c>
      <c r="D30" s="414">
        <v>1595</v>
      </c>
      <c r="E30" s="459"/>
      <c r="F30" s="460"/>
      <c r="G30" s="460"/>
      <c r="H30" s="460"/>
      <c r="I30" s="401">
        <f t="shared" si="19"/>
        <v>0</v>
      </c>
      <c r="J30" s="460"/>
      <c r="K30" s="460"/>
      <c r="L30" s="460"/>
      <c r="M30" s="460"/>
      <c r="N30" s="401">
        <f t="shared" si="20"/>
        <v>0</v>
      </c>
      <c r="O30" s="408">
        <f t="shared" si="21"/>
        <v>0</v>
      </c>
      <c r="P30" s="460"/>
      <c r="Q30" s="460"/>
      <c r="R30" s="460"/>
      <c r="S30" s="401">
        <f t="shared" si="0"/>
        <v>0</v>
      </c>
      <c r="T30" s="401">
        <f t="shared" si="1"/>
        <v>0</v>
      </c>
      <c r="U30" s="460"/>
      <c r="V30" s="460"/>
      <c r="W30" s="460"/>
      <c r="X30" s="404">
        <f t="shared" si="22"/>
        <v>0</v>
      </c>
      <c r="Y30" s="408">
        <f t="shared" si="12"/>
        <v>0</v>
      </c>
      <c r="Z30" s="460"/>
      <c r="AA30" s="460"/>
      <c r="AB30" s="460"/>
      <c r="AC30" s="401">
        <f t="shared" si="23"/>
        <v>0</v>
      </c>
      <c r="AD30" s="409">
        <f t="shared" si="2"/>
        <v>0</v>
      </c>
      <c r="AE30" s="460"/>
      <c r="AF30" s="460"/>
      <c r="AG30" s="460"/>
      <c r="AH30" s="404">
        <f t="shared" si="24"/>
        <v>0</v>
      </c>
      <c r="AI30" s="408">
        <f t="shared" si="3"/>
        <v>0</v>
      </c>
      <c r="AJ30" s="460"/>
      <c r="AK30" s="460"/>
      <c r="AL30" s="503"/>
      <c r="AM30" s="401">
        <f t="shared" si="4"/>
        <v>0</v>
      </c>
      <c r="AN30" s="409">
        <f t="shared" si="5"/>
        <v>0</v>
      </c>
      <c r="AO30" s="460"/>
      <c r="AP30" s="460"/>
      <c r="AQ30" s="503"/>
      <c r="AR30" s="404">
        <f t="shared" si="25"/>
        <v>0</v>
      </c>
      <c r="AS30" s="408">
        <f t="shared" si="6"/>
        <v>0</v>
      </c>
      <c r="AT30" s="461"/>
      <c r="AU30" s="626"/>
      <c r="AV30" s="460"/>
      <c r="AW30" s="401">
        <f t="shared" si="7"/>
        <v>0</v>
      </c>
      <c r="AX30" s="409">
        <f t="shared" si="8"/>
        <v>0</v>
      </c>
      <c r="AY30" s="461"/>
      <c r="AZ30" s="460"/>
      <c r="BA30" s="460"/>
      <c r="BB30" s="401">
        <f t="shared" si="26"/>
        <v>0</v>
      </c>
      <c r="BC30" s="408">
        <f t="shared" si="9"/>
        <v>0</v>
      </c>
      <c r="BD30" s="461"/>
      <c r="BE30" s="626"/>
      <c r="BF30" s="460"/>
      <c r="BG30" s="401">
        <f t="shared" si="10"/>
        <v>0</v>
      </c>
      <c r="BH30" s="409">
        <f t="shared" si="11"/>
        <v>0</v>
      </c>
      <c r="BI30" s="461"/>
      <c r="BJ30" s="460"/>
      <c r="BK30" s="460"/>
      <c r="BL30" s="431">
        <f t="shared" si="27"/>
        <v>0</v>
      </c>
      <c r="BM30" s="461"/>
      <c r="BN30" s="461"/>
      <c r="BO30" s="409">
        <f t="shared" si="13"/>
        <v>0</v>
      </c>
      <c r="BP30" s="437">
        <f t="shared" si="14"/>
        <v>0</v>
      </c>
      <c r="BQ30" s="632">
        <f t="shared" si="15"/>
        <v>0</v>
      </c>
      <c r="BR30" s="630"/>
      <c r="BS30" s="457">
        <f t="shared" si="16"/>
        <v>0</v>
      </c>
      <c r="BT30" s="525">
        <f>IF(CB7=TRUE, SUM(BO30:BR30), 0)</f>
        <v>0</v>
      </c>
      <c r="BU30" s="1079" t="s">
        <v>5033</v>
      </c>
      <c r="BV30" s="444"/>
      <c r="BW30" s="407">
        <f t="shared" si="17"/>
        <v>0</v>
      </c>
      <c r="BX30" s="975" t="str">
        <f t="shared" si="18"/>
        <v/>
      </c>
      <c r="BY30" s="263"/>
      <c r="BZ30" s="263"/>
      <c r="CA30" s="263"/>
      <c r="CB30" s="263"/>
    </row>
    <row r="31" spans="3:80" ht="16.8" thickBot="1" x14ac:dyDescent="0.3">
      <c r="C31" s="417" t="s">
        <v>6833</v>
      </c>
      <c r="D31" s="414">
        <v>1595</v>
      </c>
      <c r="E31" s="1112"/>
      <c r="F31" s="1113"/>
      <c r="G31" s="1113"/>
      <c r="H31" s="1113"/>
      <c r="I31" s="401">
        <f t="shared" si="19"/>
        <v>0</v>
      </c>
      <c r="J31" s="1113"/>
      <c r="K31" s="1113"/>
      <c r="L31" s="1113"/>
      <c r="M31" s="1113"/>
      <c r="N31" s="401">
        <f t="shared" si="20"/>
        <v>0</v>
      </c>
      <c r="O31" s="408">
        <f t="shared" si="21"/>
        <v>0</v>
      </c>
      <c r="P31" s="1113"/>
      <c r="Q31" s="1113"/>
      <c r="R31" s="1113"/>
      <c r="S31" s="401">
        <f t="shared" si="0"/>
        <v>0</v>
      </c>
      <c r="T31" s="401">
        <f t="shared" si="1"/>
        <v>0</v>
      </c>
      <c r="U31" s="1113"/>
      <c r="V31" s="1113"/>
      <c r="W31" s="1113"/>
      <c r="X31" s="404">
        <f t="shared" si="22"/>
        <v>0</v>
      </c>
      <c r="Y31" s="408">
        <f t="shared" si="12"/>
        <v>0</v>
      </c>
      <c r="Z31" s="1113"/>
      <c r="AA31" s="1113"/>
      <c r="AB31" s="1113"/>
      <c r="AC31" s="401">
        <f t="shared" si="23"/>
        <v>0</v>
      </c>
      <c r="AD31" s="409">
        <f t="shared" si="2"/>
        <v>0</v>
      </c>
      <c r="AE31" s="1113"/>
      <c r="AF31" s="1113"/>
      <c r="AG31" s="1113"/>
      <c r="AH31" s="404">
        <f t="shared" si="24"/>
        <v>0</v>
      </c>
      <c r="AI31" s="408">
        <f t="shared" si="3"/>
        <v>0</v>
      </c>
      <c r="AJ31" s="1062">
        <v>0</v>
      </c>
      <c r="AK31" s="1062">
        <v>0</v>
      </c>
      <c r="AL31" s="1063">
        <v>47383.44</v>
      </c>
      <c r="AM31" s="401">
        <f t="shared" si="4"/>
        <v>47383.44</v>
      </c>
      <c r="AN31" s="409">
        <f t="shared" si="5"/>
        <v>0</v>
      </c>
      <c r="AO31" s="1062">
        <v>0</v>
      </c>
      <c r="AP31" s="1062">
        <v>0</v>
      </c>
      <c r="AQ31" s="1063">
        <v>-50973.89</v>
      </c>
      <c r="AR31" s="404">
        <f t="shared" si="25"/>
        <v>-50973.89</v>
      </c>
      <c r="AS31" s="408">
        <f t="shared" si="6"/>
        <v>47383.44</v>
      </c>
      <c r="AT31" s="1064">
        <v>0</v>
      </c>
      <c r="AU31" s="1062">
        <v>47383.44</v>
      </c>
      <c r="AV31" s="1062"/>
      <c r="AW31" s="401">
        <f t="shared" si="7"/>
        <v>0</v>
      </c>
      <c r="AX31" s="409">
        <f t="shared" si="8"/>
        <v>-50973.89</v>
      </c>
      <c r="AY31" s="1064"/>
      <c r="AZ31" s="1062">
        <v>-50973.89</v>
      </c>
      <c r="BA31" s="1062"/>
      <c r="BB31" s="401">
        <f t="shared" si="26"/>
        <v>0</v>
      </c>
      <c r="BC31" s="408">
        <f t="shared" si="9"/>
        <v>0</v>
      </c>
      <c r="BD31" s="461"/>
      <c r="BE31" s="626"/>
      <c r="BF31" s="460"/>
      <c r="BG31" s="401">
        <f t="shared" si="10"/>
        <v>0</v>
      </c>
      <c r="BH31" s="409">
        <f t="shared" si="11"/>
        <v>0</v>
      </c>
      <c r="BI31" s="461"/>
      <c r="BJ31" s="460"/>
      <c r="BK31" s="460"/>
      <c r="BL31" s="431">
        <f t="shared" si="27"/>
        <v>0</v>
      </c>
      <c r="BM31" s="461"/>
      <c r="BN31" s="461"/>
      <c r="BO31" s="409">
        <f t="shared" si="13"/>
        <v>0</v>
      </c>
      <c r="BP31" s="437">
        <f t="shared" si="14"/>
        <v>0</v>
      </c>
      <c r="BQ31" s="632">
        <f t="shared" si="15"/>
        <v>0</v>
      </c>
      <c r="BR31" s="630"/>
      <c r="BS31" s="457">
        <f t="shared" si="16"/>
        <v>0</v>
      </c>
      <c r="BT31" s="637">
        <f>IF(BU31="Yes", SUM(BO31:BR31), 0)</f>
        <v>0</v>
      </c>
      <c r="BU31" s="1079" t="s">
        <v>5191</v>
      </c>
      <c r="BV31" s="444">
        <v>0</v>
      </c>
      <c r="BW31" s="407">
        <f t="shared" si="17"/>
        <v>0</v>
      </c>
      <c r="BX31" s="975" t="str">
        <f t="shared" si="18"/>
        <v/>
      </c>
      <c r="BY31" s="263"/>
      <c r="BZ31" s="263"/>
      <c r="CA31" s="263"/>
      <c r="CB31" s="263"/>
    </row>
    <row r="32" spans="3:80" ht="16.8" thickBot="1" x14ac:dyDescent="0.3">
      <c r="C32" s="417" t="s">
        <v>2357</v>
      </c>
      <c r="D32" s="414">
        <v>1595</v>
      </c>
      <c r="E32" s="1112"/>
      <c r="F32" s="1113"/>
      <c r="G32" s="1113"/>
      <c r="H32" s="1113"/>
      <c r="I32" s="401">
        <f t="shared" si="19"/>
        <v>0</v>
      </c>
      <c r="J32" s="1113"/>
      <c r="K32" s="1113"/>
      <c r="L32" s="1113"/>
      <c r="M32" s="1113"/>
      <c r="N32" s="401">
        <f t="shared" si="20"/>
        <v>0</v>
      </c>
      <c r="O32" s="408">
        <f t="shared" si="21"/>
        <v>0</v>
      </c>
      <c r="P32" s="1113"/>
      <c r="Q32" s="1113"/>
      <c r="R32" s="1113"/>
      <c r="S32" s="401">
        <f t="shared" ref="S32:S37" si="28">O32+P32-Q32+SUM(R32:R32)</f>
        <v>0</v>
      </c>
      <c r="T32" s="401">
        <f t="shared" si="1"/>
        <v>0</v>
      </c>
      <c r="U32" s="1113"/>
      <c r="V32" s="1113"/>
      <c r="W32" s="1113"/>
      <c r="X32" s="404">
        <f t="shared" si="22"/>
        <v>0</v>
      </c>
      <c r="Y32" s="408">
        <f t="shared" si="12"/>
        <v>0</v>
      </c>
      <c r="Z32" s="1113"/>
      <c r="AA32" s="1113"/>
      <c r="AB32" s="1113"/>
      <c r="AC32" s="401">
        <f t="shared" ref="AC32:AC37" si="29">Y32+Z32-AA32+SUM(AB32:AB32)</f>
        <v>0</v>
      </c>
      <c r="AD32" s="409">
        <f t="shared" ref="AD32:AD37" si="30">X32</f>
        <v>0</v>
      </c>
      <c r="AE32" s="1113"/>
      <c r="AF32" s="1113"/>
      <c r="AG32" s="1113"/>
      <c r="AH32" s="404">
        <f t="shared" si="24"/>
        <v>0</v>
      </c>
      <c r="AI32" s="408">
        <f t="shared" si="3"/>
        <v>0</v>
      </c>
      <c r="AJ32" s="1062">
        <v>0</v>
      </c>
      <c r="AK32" s="1062">
        <v>0</v>
      </c>
      <c r="AL32" s="1063">
        <v>20258.52</v>
      </c>
      <c r="AM32" s="401">
        <f t="shared" si="4"/>
        <v>20258.52</v>
      </c>
      <c r="AN32" s="409">
        <f t="shared" si="5"/>
        <v>0</v>
      </c>
      <c r="AO32" s="1062">
        <v>0</v>
      </c>
      <c r="AP32" s="1062">
        <v>0</v>
      </c>
      <c r="AQ32" s="1063">
        <v>-25764.76</v>
      </c>
      <c r="AR32" s="404">
        <f t="shared" si="25"/>
        <v>-25764.76</v>
      </c>
      <c r="AS32" s="408">
        <f t="shared" si="6"/>
        <v>20258.52</v>
      </c>
      <c r="AT32" s="1064">
        <v>0</v>
      </c>
      <c r="AU32" s="1062">
        <v>20258.52</v>
      </c>
      <c r="AV32" s="1062"/>
      <c r="AW32" s="401">
        <f t="shared" si="7"/>
        <v>0</v>
      </c>
      <c r="AX32" s="409">
        <f t="shared" si="8"/>
        <v>-25764.76</v>
      </c>
      <c r="AY32" s="1064"/>
      <c r="AZ32" s="1062">
        <v>-25609.71</v>
      </c>
      <c r="BA32" s="1062">
        <v>155.04999999999998</v>
      </c>
      <c r="BB32" s="401">
        <f t="shared" si="26"/>
        <v>7.1054273576010019E-13</v>
      </c>
      <c r="BC32" s="408">
        <f t="shared" si="9"/>
        <v>0</v>
      </c>
      <c r="BD32" s="461"/>
      <c r="BE32" s="626"/>
      <c r="BF32" s="460"/>
      <c r="BG32" s="401">
        <f t="shared" si="10"/>
        <v>0</v>
      </c>
      <c r="BH32" s="409">
        <f t="shared" si="11"/>
        <v>7.1054273576010019E-13</v>
      </c>
      <c r="BI32" s="461"/>
      <c r="BJ32" s="460"/>
      <c r="BK32" s="460"/>
      <c r="BL32" s="431">
        <f t="shared" si="27"/>
        <v>7.1054273576010019E-13</v>
      </c>
      <c r="BM32" s="461"/>
      <c r="BN32" s="461"/>
      <c r="BO32" s="409">
        <f t="shared" si="13"/>
        <v>0</v>
      </c>
      <c r="BP32" s="437">
        <f t="shared" si="14"/>
        <v>7.1054273576010019E-13</v>
      </c>
      <c r="BQ32" s="632">
        <f t="shared" si="15"/>
        <v>0</v>
      </c>
      <c r="BR32" s="630"/>
      <c r="BS32" s="457">
        <f t="shared" si="16"/>
        <v>7.1054273576010019E-13</v>
      </c>
      <c r="BT32" s="637">
        <f t="shared" ref="BT32:BT37" si="31">IF(BU32="Yes", SUM(BO32:BR32), 0)</f>
        <v>0</v>
      </c>
      <c r="BU32" s="1079" t="s">
        <v>5191</v>
      </c>
      <c r="BV32" s="444">
        <v>0</v>
      </c>
      <c r="BW32" s="407">
        <f t="shared" si="17"/>
        <v>0</v>
      </c>
      <c r="BX32" s="975" t="str">
        <f t="shared" si="18"/>
        <v/>
      </c>
      <c r="BY32" s="263"/>
      <c r="BZ32" s="263"/>
      <c r="CA32" s="263"/>
      <c r="CB32" s="263"/>
    </row>
    <row r="33" spans="1:80" ht="16.8" thickBot="1" x14ac:dyDescent="0.3">
      <c r="C33" s="417" t="s">
        <v>4305</v>
      </c>
      <c r="D33" s="414">
        <v>1595</v>
      </c>
      <c r="E33" s="1112"/>
      <c r="F33" s="1113"/>
      <c r="G33" s="1113"/>
      <c r="H33" s="1113"/>
      <c r="I33" s="401">
        <f t="shared" si="19"/>
        <v>0</v>
      </c>
      <c r="J33" s="1113"/>
      <c r="K33" s="1113"/>
      <c r="L33" s="1113"/>
      <c r="M33" s="1113"/>
      <c r="N33" s="401">
        <f t="shared" si="20"/>
        <v>0</v>
      </c>
      <c r="O33" s="408">
        <f t="shared" si="21"/>
        <v>0</v>
      </c>
      <c r="P33" s="1113"/>
      <c r="Q33" s="1113"/>
      <c r="R33" s="1113"/>
      <c r="S33" s="401">
        <f t="shared" si="28"/>
        <v>0</v>
      </c>
      <c r="T33" s="401">
        <f t="shared" si="1"/>
        <v>0</v>
      </c>
      <c r="U33" s="1113"/>
      <c r="V33" s="1113"/>
      <c r="W33" s="1113"/>
      <c r="X33" s="404">
        <f t="shared" si="22"/>
        <v>0</v>
      </c>
      <c r="Y33" s="408">
        <f t="shared" si="12"/>
        <v>0</v>
      </c>
      <c r="Z33" s="1113"/>
      <c r="AA33" s="1113"/>
      <c r="AB33" s="1113"/>
      <c r="AC33" s="401">
        <f t="shared" si="29"/>
        <v>0</v>
      </c>
      <c r="AD33" s="409">
        <f t="shared" si="30"/>
        <v>0</v>
      </c>
      <c r="AE33" s="1113"/>
      <c r="AF33" s="1113"/>
      <c r="AG33" s="1113"/>
      <c r="AH33" s="404">
        <f t="shared" si="24"/>
        <v>0</v>
      </c>
      <c r="AI33" s="408">
        <f t="shared" si="3"/>
        <v>0</v>
      </c>
      <c r="AJ33" s="1062">
        <v>0</v>
      </c>
      <c r="AK33" s="1062">
        <v>0</v>
      </c>
      <c r="AL33" s="1063">
        <v>-7124</v>
      </c>
      <c r="AM33" s="401">
        <f t="shared" si="4"/>
        <v>-7124</v>
      </c>
      <c r="AN33" s="409">
        <f t="shared" si="5"/>
        <v>0</v>
      </c>
      <c r="AO33" s="1062">
        <v>0</v>
      </c>
      <c r="AP33" s="1062">
        <v>0</v>
      </c>
      <c r="AQ33" s="1063">
        <v>-238.62</v>
      </c>
      <c r="AR33" s="404">
        <f t="shared" si="25"/>
        <v>-238.62</v>
      </c>
      <c r="AS33" s="408">
        <f t="shared" si="6"/>
        <v>-7124</v>
      </c>
      <c r="AT33" s="1064">
        <v>0</v>
      </c>
      <c r="AU33" s="1062">
        <v>-4912</v>
      </c>
      <c r="AV33" s="1062"/>
      <c r="AW33" s="401">
        <f t="shared" si="7"/>
        <v>-2212</v>
      </c>
      <c r="AX33" s="409">
        <f t="shared" si="8"/>
        <v>-238.62</v>
      </c>
      <c r="AY33" s="1064">
        <v>-41.27</v>
      </c>
      <c r="AZ33" s="1062">
        <v>-219.16</v>
      </c>
      <c r="BA33" s="1062"/>
      <c r="BB33" s="401">
        <f t="shared" si="26"/>
        <v>-60.72999999999999</v>
      </c>
      <c r="BC33" s="408">
        <f t="shared" si="9"/>
        <v>-2212</v>
      </c>
      <c r="BD33" s="461"/>
      <c r="BE33" s="626">
        <v>-2212</v>
      </c>
      <c r="BF33" s="460"/>
      <c r="BG33" s="401">
        <f t="shared" si="10"/>
        <v>0</v>
      </c>
      <c r="BH33" s="409">
        <f t="shared" si="11"/>
        <v>-60.72999999999999</v>
      </c>
      <c r="BI33" s="461"/>
      <c r="BJ33" s="626">
        <v>-60.73</v>
      </c>
      <c r="BK33" s="460"/>
      <c r="BL33" s="431">
        <f t="shared" si="27"/>
        <v>7.1054273576010019E-15</v>
      </c>
      <c r="BM33" s="461"/>
      <c r="BN33" s="461"/>
      <c r="BO33" s="409">
        <f t="shared" si="13"/>
        <v>0</v>
      </c>
      <c r="BP33" s="437">
        <f t="shared" si="14"/>
        <v>7.1054273576010019E-15</v>
      </c>
      <c r="BQ33" s="632">
        <f t="shared" si="15"/>
        <v>0</v>
      </c>
      <c r="BR33" s="630"/>
      <c r="BS33" s="457">
        <f t="shared" si="16"/>
        <v>7.1054273576010019E-15</v>
      </c>
      <c r="BT33" s="637">
        <f t="shared" si="31"/>
        <v>0</v>
      </c>
      <c r="BU33" s="1079" t="s">
        <v>5191</v>
      </c>
      <c r="BV33" s="444">
        <v>0</v>
      </c>
      <c r="BW33" s="407">
        <f t="shared" si="17"/>
        <v>0</v>
      </c>
      <c r="BX33" s="975" t="str">
        <f t="shared" si="18"/>
        <v/>
      </c>
      <c r="BY33" s="263"/>
      <c r="BZ33" s="263"/>
      <c r="CA33" s="263"/>
      <c r="CB33" s="263"/>
    </row>
    <row r="34" spans="1:80" ht="16.8" thickBot="1" x14ac:dyDescent="0.3">
      <c r="C34" s="417" t="s">
        <v>4306</v>
      </c>
      <c r="D34" s="414">
        <v>1595</v>
      </c>
      <c r="E34" s="1112"/>
      <c r="F34" s="1113"/>
      <c r="G34" s="1113"/>
      <c r="H34" s="1113"/>
      <c r="I34" s="401">
        <f t="shared" si="19"/>
        <v>0</v>
      </c>
      <c r="J34" s="1113"/>
      <c r="K34" s="1113"/>
      <c r="L34" s="1113"/>
      <c r="M34" s="1113"/>
      <c r="N34" s="401">
        <f t="shared" si="20"/>
        <v>0</v>
      </c>
      <c r="O34" s="408">
        <f t="shared" si="21"/>
        <v>0</v>
      </c>
      <c r="P34" s="1113"/>
      <c r="Q34" s="1113"/>
      <c r="R34" s="1113"/>
      <c r="S34" s="401">
        <f t="shared" si="28"/>
        <v>0</v>
      </c>
      <c r="T34" s="401">
        <f t="shared" si="1"/>
        <v>0</v>
      </c>
      <c r="U34" s="1113"/>
      <c r="V34" s="1113"/>
      <c r="W34" s="1113"/>
      <c r="X34" s="404">
        <f t="shared" si="22"/>
        <v>0</v>
      </c>
      <c r="Y34" s="408">
        <f t="shared" si="12"/>
        <v>0</v>
      </c>
      <c r="Z34" s="1113"/>
      <c r="AA34" s="1113"/>
      <c r="AB34" s="1113"/>
      <c r="AC34" s="401">
        <f t="shared" si="29"/>
        <v>0</v>
      </c>
      <c r="AD34" s="409">
        <f t="shared" si="30"/>
        <v>0</v>
      </c>
      <c r="AE34" s="1113"/>
      <c r="AF34" s="1113"/>
      <c r="AG34" s="1113"/>
      <c r="AH34" s="404">
        <f t="shared" si="24"/>
        <v>0</v>
      </c>
      <c r="AI34" s="408">
        <f t="shared" si="3"/>
        <v>0</v>
      </c>
      <c r="AJ34" s="1062">
        <v>-52989.61</v>
      </c>
      <c r="AK34" s="1062">
        <v>-70317.59</v>
      </c>
      <c r="AL34" s="1063"/>
      <c r="AM34" s="401">
        <f t="shared" si="4"/>
        <v>17327.979999999996</v>
      </c>
      <c r="AN34" s="409">
        <f t="shared" si="5"/>
        <v>0</v>
      </c>
      <c r="AO34" s="1062">
        <v>317.31</v>
      </c>
      <c r="AP34" s="1062">
        <v>-2420.1999999999998</v>
      </c>
      <c r="AQ34" s="1063"/>
      <c r="AR34" s="404">
        <f t="shared" si="25"/>
        <v>2737.5099999999998</v>
      </c>
      <c r="AS34" s="408">
        <f t="shared" si="6"/>
        <v>17327.979999999996</v>
      </c>
      <c r="AT34" s="1064">
        <v>-28364.59</v>
      </c>
      <c r="AU34" s="1062">
        <v>0</v>
      </c>
      <c r="AV34" s="1062"/>
      <c r="AW34" s="401">
        <f t="shared" si="7"/>
        <v>-11036.610000000004</v>
      </c>
      <c r="AX34" s="409">
        <f t="shared" si="8"/>
        <v>2737.5099999999998</v>
      </c>
      <c r="AY34" s="1064">
        <v>-80.790000000000006</v>
      </c>
      <c r="AZ34" s="1062"/>
      <c r="BA34" s="1062"/>
      <c r="BB34" s="401">
        <f t="shared" si="26"/>
        <v>2656.72</v>
      </c>
      <c r="BC34" s="408">
        <f t="shared" si="9"/>
        <v>-11036.610000000004</v>
      </c>
      <c r="BD34" s="461"/>
      <c r="BE34" s="460"/>
      <c r="BF34" s="460"/>
      <c r="BG34" s="401">
        <f t="shared" si="10"/>
        <v>-11036.610000000004</v>
      </c>
      <c r="BH34" s="409">
        <f t="shared" si="11"/>
        <v>2656.72</v>
      </c>
      <c r="BI34" s="461">
        <v>-193.56</v>
      </c>
      <c r="BJ34" s="460"/>
      <c r="BK34" s="460"/>
      <c r="BL34" s="431">
        <f t="shared" si="27"/>
        <v>2463.16</v>
      </c>
      <c r="BM34" s="461"/>
      <c r="BN34" s="461"/>
      <c r="BO34" s="409">
        <f t="shared" si="13"/>
        <v>-11036.610000000004</v>
      </c>
      <c r="BP34" s="437">
        <f t="shared" si="14"/>
        <v>2463.16</v>
      </c>
      <c r="BQ34" s="632">
        <f t="shared" si="15"/>
        <v>-151.27000000000001</v>
      </c>
      <c r="BR34" s="630"/>
      <c r="BS34" s="457">
        <f t="shared" si="16"/>
        <v>2311.89</v>
      </c>
      <c r="BT34" s="637">
        <f t="shared" si="31"/>
        <v>0</v>
      </c>
      <c r="BU34" s="1079" t="s">
        <v>5191</v>
      </c>
      <c r="BV34" s="444">
        <v>-8573.4500000000007</v>
      </c>
      <c r="BW34" s="407">
        <f t="shared" si="17"/>
        <v>0</v>
      </c>
      <c r="BX34" s="975" t="str">
        <f t="shared" si="18"/>
        <v/>
      </c>
      <c r="BY34" s="263"/>
      <c r="BZ34" s="263"/>
      <c r="CA34" s="263"/>
      <c r="CB34" s="263"/>
    </row>
    <row r="35" spans="1:80" ht="16.8" thickBot="1" x14ac:dyDescent="0.3">
      <c r="C35" s="417" t="s">
        <v>5034</v>
      </c>
      <c r="D35" s="414">
        <v>1595</v>
      </c>
      <c r="E35" s="1112"/>
      <c r="F35" s="1113"/>
      <c r="G35" s="1113"/>
      <c r="H35" s="1113"/>
      <c r="I35" s="401">
        <f t="shared" si="19"/>
        <v>0</v>
      </c>
      <c r="J35" s="1113"/>
      <c r="K35" s="1113"/>
      <c r="L35" s="1113"/>
      <c r="M35" s="1113"/>
      <c r="N35" s="401">
        <f t="shared" si="20"/>
        <v>0</v>
      </c>
      <c r="O35" s="408">
        <f t="shared" si="21"/>
        <v>0</v>
      </c>
      <c r="P35" s="1113"/>
      <c r="Q35" s="1113"/>
      <c r="R35" s="1113"/>
      <c r="S35" s="401">
        <f t="shared" si="28"/>
        <v>0</v>
      </c>
      <c r="T35" s="401">
        <f t="shared" si="1"/>
        <v>0</v>
      </c>
      <c r="U35" s="1113"/>
      <c r="V35" s="1113"/>
      <c r="W35" s="1113"/>
      <c r="X35" s="404">
        <f t="shared" si="22"/>
        <v>0</v>
      </c>
      <c r="Y35" s="408">
        <f t="shared" si="12"/>
        <v>0</v>
      </c>
      <c r="Z35" s="1113"/>
      <c r="AA35" s="1113"/>
      <c r="AB35" s="1113"/>
      <c r="AC35" s="401">
        <f t="shared" si="29"/>
        <v>0</v>
      </c>
      <c r="AD35" s="409">
        <f t="shared" si="30"/>
        <v>0</v>
      </c>
      <c r="AE35" s="1113"/>
      <c r="AF35" s="1113"/>
      <c r="AG35" s="1113"/>
      <c r="AH35" s="404">
        <f t="shared" si="24"/>
        <v>0</v>
      </c>
      <c r="AI35" s="408">
        <f t="shared" si="3"/>
        <v>0</v>
      </c>
      <c r="AJ35" s="1062">
        <v>0</v>
      </c>
      <c r="AK35" s="1062">
        <v>0</v>
      </c>
      <c r="AL35" s="1063">
        <v>0</v>
      </c>
      <c r="AM35" s="401">
        <f t="shared" si="4"/>
        <v>0</v>
      </c>
      <c r="AN35" s="409">
        <f t="shared" si="5"/>
        <v>0</v>
      </c>
      <c r="AO35" s="1062">
        <v>0</v>
      </c>
      <c r="AP35" s="1062">
        <v>0</v>
      </c>
      <c r="AQ35" s="1064">
        <v>0</v>
      </c>
      <c r="AR35" s="404">
        <f t="shared" si="25"/>
        <v>0</v>
      </c>
      <c r="AS35" s="408">
        <f t="shared" si="6"/>
        <v>0</v>
      </c>
      <c r="AT35" s="1064">
        <v>-406161.08000000007</v>
      </c>
      <c r="AU35" s="1062">
        <v>-540271.85</v>
      </c>
      <c r="AV35" s="1062"/>
      <c r="AW35" s="401">
        <f t="shared" si="7"/>
        <v>134110.7699999999</v>
      </c>
      <c r="AX35" s="409">
        <f t="shared" si="8"/>
        <v>0</v>
      </c>
      <c r="AY35" s="1064">
        <v>6446.9099999999989</v>
      </c>
      <c r="AZ35" s="1062">
        <v>19069.75</v>
      </c>
      <c r="BA35" s="1062"/>
      <c r="BB35" s="401">
        <f t="shared" si="26"/>
        <v>-12622.84</v>
      </c>
      <c r="BC35" s="408">
        <f t="shared" si="9"/>
        <v>134110.7699999999</v>
      </c>
      <c r="BD35" s="461">
        <v>-32402.01</v>
      </c>
      <c r="BE35" s="460"/>
      <c r="BF35" s="460"/>
      <c r="BG35" s="401">
        <f t="shared" si="10"/>
        <v>101708.75999999991</v>
      </c>
      <c r="BH35" s="409">
        <f t="shared" si="11"/>
        <v>-12622.84</v>
      </c>
      <c r="BI35" s="461">
        <v>2001.2899999999997</v>
      </c>
      <c r="BJ35" s="460"/>
      <c r="BK35" s="460"/>
      <c r="BL35" s="431">
        <f t="shared" si="27"/>
        <v>-10621.550000000001</v>
      </c>
      <c r="BM35" s="461"/>
      <c r="BN35" s="461"/>
      <c r="BO35" s="409">
        <f t="shared" si="13"/>
        <v>101708.75999999991</v>
      </c>
      <c r="BP35" s="437">
        <f t="shared" si="14"/>
        <v>-10621.550000000001</v>
      </c>
      <c r="BQ35" s="632">
        <f t="shared" si="15"/>
        <v>1394.02</v>
      </c>
      <c r="BR35" s="630"/>
      <c r="BS35" s="457">
        <f t="shared" si="16"/>
        <v>-9227.5300000000007</v>
      </c>
      <c r="BT35" s="637">
        <f t="shared" si="31"/>
        <v>0</v>
      </c>
      <c r="BU35" s="1398" t="s">
        <v>5191</v>
      </c>
      <c r="BV35" s="444">
        <v>91087.21</v>
      </c>
      <c r="BW35" s="407">
        <f t="shared" si="17"/>
        <v>0</v>
      </c>
      <c r="BX35" s="975" t="str">
        <f t="shared" si="18"/>
        <v/>
      </c>
      <c r="BY35" s="263"/>
      <c r="BZ35" s="263"/>
      <c r="CA35" s="263"/>
      <c r="CB35" s="263"/>
    </row>
    <row r="36" spans="1:80" s="624" customFormat="1" ht="33" thickBot="1" x14ac:dyDescent="0.3">
      <c r="C36" s="1386" t="s">
        <v>6930</v>
      </c>
      <c r="D36" s="414">
        <v>1595</v>
      </c>
      <c r="E36" s="1112"/>
      <c r="F36" s="1113"/>
      <c r="G36" s="1113"/>
      <c r="H36" s="1113"/>
      <c r="I36" s="627">
        <f t="shared" si="19"/>
        <v>0</v>
      </c>
      <c r="J36" s="1113"/>
      <c r="K36" s="1113"/>
      <c r="L36" s="1113"/>
      <c r="M36" s="1113"/>
      <c r="N36" s="627">
        <f t="shared" si="20"/>
        <v>0</v>
      </c>
      <c r="O36" s="629">
        <f t="shared" si="21"/>
        <v>0</v>
      </c>
      <c r="P36" s="1113"/>
      <c r="Q36" s="1113"/>
      <c r="R36" s="1113"/>
      <c r="S36" s="627">
        <f t="shared" si="28"/>
        <v>0</v>
      </c>
      <c r="T36" s="627">
        <f>N36</f>
        <v>0</v>
      </c>
      <c r="U36" s="1113"/>
      <c r="V36" s="1113"/>
      <c r="W36" s="1113"/>
      <c r="X36" s="404">
        <f t="shared" si="22"/>
        <v>0</v>
      </c>
      <c r="Y36" s="629">
        <f t="shared" si="12"/>
        <v>0</v>
      </c>
      <c r="Z36" s="1113"/>
      <c r="AA36" s="1113"/>
      <c r="AB36" s="1113"/>
      <c r="AC36" s="627">
        <f t="shared" si="29"/>
        <v>0</v>
      </c>
      <c r="AD36" s="628">
        <f t="shared" si="30"/>
        <v>0</v>
      </c>
      <c r="AE36" s="1113"/>
      <c r="AF36" s="1113"/>
      <c r="AG36" s="1113"/>
      <c r="AH36" s="404">
        <f t="shared" si="24"/>
        <v>0</v>
      </c>
      <c r="AI36" s="629">
        <f t="shared" si="3"/>
        <v>0</v>
      </c>
      <c r="AJ36" s="1062">
        <v>0</v>
      </c>
      <c r="AK36" s="1062">
        <v>0</v>
      </c>
      <c r="AL36" s="1063">
        <v>0</v>
      </c>
      <c r="AM36" s="627">
        <f t="shared" si="4"/>
        <v>0</v>
      </c>
      <c r="AN36" s="628">
        <f t="shared" si="5"/>
        <v>0</v>
      </c>
      <c r="AO36" s="1062">
        <v>0</v>
      </c>
      <c r="AP36" s="1062">
        <v>0</v>
      </c>
      <c r="AQ36" s="1064">
        <v>0</v>
      </c>
      <c r="AR36" s="404">
        <f t="shared" si="25"/>
        <v>0</v>
      </c>
      <c r="AS36" s="629">
        <f t="shared" si="6"/>
        <v>0</v>
      </c>
      <c r="AT36" s="1064">
        <v>0</v>
      </c>
      <c r="AU36" s="1062">
        <v>0</v>
      </c>
      <c r="AV36" s="1062"/>
      <c r="AW36" s="627">
        <f t="shared" si="7"/>
        <v>0</v>
      </c>
      <c r="AX36" s="628">
        <f t="shared" si="8"/>
        <v>0</v>
      </c>
      <c r="AY36" s="1064">
        <v>0</v>
      </c>
      <c r="AZ36" s="1062">
        <v>0</v>
      </c>
      <c r="BA36" s="1062"/>
      <c r="BB36" s="627">
        <f t="shared" si="26"/>
        <v>0</v>
      </c>
      <c r="BC36" s="629">
        <f t="shared" si="9"/>
        <v>0</v>
      </c>
      <c r="BD36" s="630">
        <v>-254557.17</v>
      </c>
      <c r="BE36" s="626">
        <v>-241961.36</v>
      </c>
      <c r="BF36" s="626"/>
      <c r="BG36" s="627">
        <f t="shared" si="10"/>
        <v>-12595.810000000027</v>
      </c>
      <c r="BH36" s="628">
        <f t="shared" si="11"/>
        <v>0</v>
      </c>
      <c r="BI36" s="630">
        <v>2850.8799999999997</v>
      </c>
      <c r="BJ36" s="626">
        <v>-5977.93</v>
      </c>
      <c r="BK36" s="626"/>
      <c r="BL36" s="431">
        <f t="shared" si="27"/>
        <v>8828.81</v>
      </c>
      <c r="BM36" s="630"/>
      <c r="BN36" s="630"/>
      <c r="BO36" s="628">
        <f t="shared" si="13"/>
        <v>-12595.810000000027</v>
      </c>
      <c r="BP36" s="631">
        <f t="shared" si="14"/>
        <v>8828.81</v>
      </c>
      <c r="BQ36" s="632">
        <f t="shared" si="15"/>
        <v>-172.64</v>
      </c>
      <c r="BR36" s="630"/>
      <c r="BS36" s="633">
        <f t="shared" si="16"/>
        <v>8656.17</v>
      </c>
      <c r="BT36" s="637">
        <f t="shared" si="31"/>
        <v>0</v>
      </c>
      <c r="BU36" s="1398" t="s">
        <v>5191</v>
      </c>
      <c r="BV36" s="634">
        <v>-3767</v>
      </c>
      <c r="BW36" s="407">
        <f t="shared" si="17"/>
        <v>0</v>
      </c>
      <c r="BX36" s="975" t="str">
        <f t="shared" si="18"/>
        <v/>
      </c>
      <c r="BY36" s="625"/>
      <c r="BZ36" s="625"/>
      <c r="CA36" s="625"/>
      <c r="CB36" s="625"/>
    </row>
    <row r="37" spans="1:80" ht="45.6" hidden="1" thickBot="1" x14ac:dyDescent="0.35">
      <c r="C37" s="418" t="s">
        <v>5912</v>
      </c>
      <c r="D37" s="414">
        <v>1595</v>
      </c>
      <c r="E37" s="1112"/>
      <c r="F37" s="1113"/>
      <c r="G37" s="1113"/>
      <c r="H37" s="1113"/>
      <c r="I37" s="401">
        <f t="shared" si="19"/>
        <v>0</v>
      </c>
      <c r="J37" s="1113"/>
      <c r="K37" s="1113"/>
      <c r="L37" s="1113"/>
      <c r="M37" s="1113"/>
      <c r="N37" s="401">
        <f t="shared" si="20"/>
        <v>0</v>
      </c>
      <c r="O37" s="408">
        <f t="shared" si="21"/>
        <v>0</v>
      </c>
      <c r="P37" s="1113"/>
      <c r="Q37" s="1113"/>
      <c r="R37" s="1113"/>
      <c r="S37" s="401">
        <f t="shared" si="28"/>
        <v>0</v>
      </c>
      <c r="T37" s="401">
        <f t="shared" si="1"/>
        <v>0</v>
      </c>
      <c r="U37" s="1113"/>
      <c r="V37" s="1113"/>
      <c r="W37" s="1113"/>
      <c r="X37" s="404">
        <f t="shared" si="22"/>
        <v>0</v>
      </c>
      <c r="Y37" s="408">
        <f t="shared" si="12"/>
        <v>0</v>
      </c>
      <c r="Z37" s="1113"/>
      <c r="AA37" s="1113"/>
      <c r="AB37" s="1113"/>
      <c r="AC37" s="401">
        <f t="shared" si="29"/>
        <v>0</v>
      </c>
      <c r="AD37" s="409">
        <f t="shared" si="30"/>
        <v>0</v>
      </c>
      <c r="AE37" s="1113"/>
      <c r="AF37" s="1113"/>
      <c r="AG37" s="1113"/>
      <c r="AH37" s="404">
        <f t="shared" si="24"/>
        <v>0</v>
      </c>
      <c r="AI37" s="408">
        <f t="shared" si="3"/>
        <v>0</v>
      </c>
      <c r="AJ37" s="1062"/>
      <c r="AK37" s="1062"/>
      <c r="AL37" s="1063"/>
      <c r="AM37" s="401">
        <f t="shared" si="4"/>
        <v>0</v>
      </c>
      <c r="AN37" s="409">
        <f t="shared" si="5"/>
        <v>0</v>
      </c>
      <c r="AO37" s="1062"/>
      <c r="AP37" s="1062"/>
      <c r="AQ37" s="1064"/>
      <c r="AR37" s="404">
        <f t="shared" si="25"/>
        <v>0</v>
      </c>
      <c r="AS37" s="408">
        <f t="shared" si="6"/>
        <v>0</v>
      </c>
      <c r="AT37" s="1064"/>
      <c r="AU37" s="1062"/>
      <c r="AV37" s="1062"/>
      <c r="AW37" s="401">
        <f t="shared" si="7"/>
        <v>0</v>
      </c>
      <c r="AX37" s="409">
        <f t="shared" si="8"/>
        <v>0</v>
      </c>
      <c r="AY37" s="1064"/>
      <c r="AZ37" s="1062"/>
      <c r="BA37" s="1062"/>
      <c r="BB37" s="401">
        <f t="shared" si="26"/>
        <v>0</v>
      </c>
      <c r="BC37" s="408">
        <f t="shared" si="9"/>
        <v>0</v>
      </c>
      <c r="BD37" s="461"/>
      <c r="BE37" s="460"/>
      <c r="BF37" s="460"/>
      <c r="BG37" s="401">
        <f t="shared" si="10"/>
        <v>0</v>
      </c>
      <c r="BH37" s="409">
        <f t="shared" si="11"/>
        <v>0</v>
      </c>
      <c r="BI37" s="461"/>
      <c r="BJ37" s="460"/>
      <c r="BK37" s="460"/>
      <c r="BL37" s="431">
        <f t="shared" si="27"/>
        <v>0</v>
      </c>
      <c r="BM37" s="461"/>
      <c r="BN37" s="461"/>
      <c r="BO37" s="409">
        <f t="shared" si="13"/>
        <v>0</v>
      </c>
      <c r="BP37" s="437">
        <f t="shared" si="14"/>
        <v>0</v>
      </c>
      <c r="BQ37" s="463"/>
      <c r="BR37" s="630"/>
      <c r="BS37" s="457">
        <f t="shared" si="16"/>
        <v>0</v>
      </c>
      <c r="BT37" s="637">
        <f t="shared" si="31"/>
        <v>0</v>
      </c>
      <c r="BU37" s="1079" t="s">
        <v>5191</v>
      </c>
      <c r="BV37" s="444"/>
      <c r="BW37" s="407">
        <f>ROUND(BV37-SUM(BG37,BL37),2)</f>
        <v>0</v>
      </c>
      <c r="BX37" s="975" t="str">
        <f t="shared" si="18"/>
        <v/>
      </c>
      <c r="BY37" s="263"/>
      <c r="BZ37" s="263"/>
      <c r="CA37" s="263"/>
      <c r="CB37" s="263"/>
    </row>
    <row r="38" spans="1:80" x14ac:dyDescent="0.3">
      <c r="C38" s="417"/>
      <c r="D38" s="414"/>
      <c r="E38" s="476"/>
      <c r="F38" s="476"/>
      <c r="G38" s="476"/>
      <c r="H38" s="476"/>
      <c r="I38" s="476"/>
      <c r="J38" s="476"/>
      <c r="K38" s="476"/>
      <c r="L38" s="476"/>
      <c r="M38" s="476"/>
      <c r="N38" s="484"/>
      <c r="O38" s="485"/>
      <c r="P38" s="476"/>
      <c r="Q38" s="476"/>
      <c r="R38" s="476"/>
      <c r="S38" s="476"/>
      <c r="T38" s="476"/>
      <c r="U38" s="476"/>
      <c r="V38" s="476"/>
      <c r="W38" s="476"/>
      <c r="X38" s="484"/>
      <c r="Y38" s="485"/>
      <c r="Z38" s="476"/>
      <c r="AA38" s="476"/>
      <c r="AB38" s="476"/>
      <c r="AC38" s="476"/>
      <c r="AD38" s="476"/>
      <c r="AE38" s="476"/>
      <c r="AF38" s="476"/>
      <c r="AG38" s="476"/>
      <c r="AH38" s="484"/>
      <c r="AI38" s="486"/>
      <c r="AJ38" s="478"/>
      <c r="AK38" s="478"/>
      <c r="AL38" s="478"/>
      <c r="AM38" s="478"/>
      <c r="AN38" s="478"/>
      <c r="AO38" s="478"/>
      <c r="AP38" s="478"/>
      <c r="AQ38" s="478"/>
      <c r="AR38" s="479"/>
      <c r="AS38" s="486"/>
      <c r="AT38" s="478"/>
      <c r="AU38" s="478"/>
      <c r="AV38" s="478"/>
      <c r="AW38" s="478"/>
      <c r="AX38" s="478"/>
      <c r="AY38" s="478"/>
      <c r="AZ38" s="478"/>
      <c r="BA38" s="478"/>
      <c r="BB38" s="478"/>
      <c r="BC38" s="486"/>
      <c r="BD38" s="478"/>
      <c r="BE38" s="478"/>
      <c r="BF38" s="478"/>
      <c r="BG38" s="478"/>
      <c r="BH38" s="478"/>
      <c r="BI38" s="478"/>
      <c r="BJ38" s="478"/>
      <c r="BK38" s="478"/>
      <c r="BL38" s="481"/>
      <c r="BM38" s="486"/>
      <c r="BN38" s="478"/>
      <c r="BO38" s="401"/>
      <c r="BP38" s="401"/>
      <c r="BQ38" s="477"/>
      <c r="BR38" s="458"/>
      <c r="BS38" s="379"/>
      <c r="BT38" s="526"/>
      <c r="BU38" s="627"/>
      <c r="BV38" s="445"/>
      <c r="BW38" s="407"/>
      <c r="BX38" s="975" t="str">
        <f t="shared" si="18"/>
        <v/>
      </c>
      <c r="BY38" s="263"/>
      <c r="BZ38" s="263"/>
      <c r="CA38" s="263"/>
      <c r="CB38" s="263"/>
    </row>
    <row r="39" spans="1:80" thickBot="1" x14ac:dyDescent="0.3">
      <c r="C39" s="419" t="s">
        <v>339</v>
      </c>
      <c r="D39" s="420">
        <v>1589</v>
      </c>
      <c r="E39" s="401">
        <f t="shared" ref="E39:AJ39" si="32">E29</f>
        <v>0</v>
      </c>
      <c r="F39" s="401">
        <f t="shared" si="32"/>
        <v>0</v>
      </c>
      <c r="G39" s="401">
        <f t="shared" si="32"/>
        <v>0</v>
      </c>
      <c r="H39" s="401">
        <f t="shared" si="32"/>
        <v>0</v>
      </c>
      <c r="I39" s="401">
        <f t="shared" si="32"/>
        <v>0</v>
      </c>
      <c r="J39" s="401">
        <f t="shared" si="32"/>
        <v>0</v>
      </c>
      <c r="K39" s="401">
        <f t="shared" si="32"/>
        <v>0</v>
      </c>
      <c r="L39" s="401">
        <f t="shared" si="32"/>
        <v>0</v>
      </c>
      <c r="M39" s="401">
        <f t="shared" si="32"/>
        <v>0</v>
      </c>
      <c r="N39" s="401">
        <f t="shared" si="32"/>
        <v>0</v>
      </c>
      <c r="O39" s="405">
        <f t="shared" si="32"/>
        <v>0</v>
      </c>
      <c r="P39" s="401">
        <f t="shared" si="32"/>
        <v>0</v>
      </c>
      <c r="Q39" s="401">
        <f t="shared" si="32"/>
        <v>0</v>
      </c>
      <c r="R39" s="401">
        <f t="shared" si="32"/>
        <v>0</v>
      </c>
      <c r="S39" s="401">
        <f t="shared" si="32"/>
        <v>0</v>
      </c>
      <c r="T39" s="401">
        <f t="shared" si="32"/>
        <v>0</v>
      </c>
      <c r="U39" s="401">
        <f t="shared" si="32"/>
        <v>0</v>
      </c>
      <c r="V39" s="401">
        <f t="shared" si="32"/>
        <v>0</v>
      </c>
      <c r="W39" s="401">
        <f t="shared" si="32"/>
        <v>0</v>
      </c>
      <c r="X39" s="404">
        <f t="shared" si="32"/>
        <v>0</v>
      </c>
      <c r="Y39" s="405">
        <f t="shared" si="32"/>
        <v>0</v>
      </c>
      <c r="Z39" s="401">
        <f t="shared" si="32"/>
        <v>0</v>
      </c>
      <c r="AA39" s="401">
        <f t="shared" si="32"/>
        <v>0</v>
      </c>
      <c r="AB39" s="401">
        <f t="shared" si="32"/>
        <v>0</v>
      </c>
      <c r="AC39" s="401">
        <f t="shared" si="32"/>
        <v>0</v>
      </c>
      <c r="AD39" s="401">
        <f t="shared" si="32"/>
        <v>0</v>
      </c>
      <c r="AE39" s="401">
        <f t="shared" si="32"/>
        <v>0</v>
      </c>
      <c r="AF39" s="401">
        <f t="shared" si="32"/>
        <v>0</v>
      </c>
      <c r="AG39" s="401">
        <f t="shared" si="32"/>
        <v>0</v>
      </c>
      <c r="AH39" s="404">
        <f t="shared" si="32"/>
        <v>0</v>
      </c>
      <c r="AI39" s="405">
        <f t="shared" si="32"/>
        <v>0</v>
      </c>
      <c r="AJ39" s="401">
        <f t="shared" si="32"/>
        <v>0</v>
      </c>
      <c r="AK39" s="401">
        <f t="shared" ref="AK39:BT39" si="33">AK29</f>
        <v>0</v>
      </c>
      <c r="AL39" s="401">
        <f t="shared" si="33"/>
        <v>380188.81</v>
      </c>
      <c r="AM39" s="401">
        <f t="shared" si="33"/>
        <v>380188.81</v>
      </c>
      <c r="AN39" s="401">
        <f t="shared" si="33"/>
        <v>0</v>
      </c>
      <c r="AO39" s="401">
        <f t="shared" si="33"/>
        <v>0</v>
      </c>
      <c r="AP39" s="401">
        <f t="shared" si="33"/>
        <v>0</v>
      </c>
      <c r="AQ39" s="401">
        <f t="shared" si="33"/>
        <v>10831.439999999999</v>
      </c>
      <c r="AR39" s="404">
        <f t="shared" si="33"/>
        <v>10831.439999999999</v>
      </c>
      <c r="AS39" s="405">
        <f t="shared" si="33"/>
        <v>380188.81</v>
      </c>
      <c r="AT39" s="401">
        <f t="shared" si="33"/>
        <v>-44124.78</v>
      </c>
      <c r="AU39" s="401">
        <f t="shared" si="33"/>
        <v>326898.43</v>
      </c>
      <c r="AV39" s="401">
        <f t="shared" si="33"/>
        <v>0</v>
      </c>
      <c r="AW39" s="401">
        <f t="shared" si="33"/>
        <v>9165.6000000000349</v>
      </c>
      <c r="AX39" s="401">
        <f t="shared" si="33"/>
        <v>10831.439999999999</v>
      </c>
      <c r="AY39" s="401">
        <f t="shared" si="33"/>
        <v>1237.96</v>
      </c>
      <c r="AZ39" s="401">
        <f t="shared" si="33"/>
        <v>10394.76</v>
      </c>
      <c r="BA39" s="401">
        <f t="shared" si="33"/>
        <v>0</v>
      </c>
      <c r="BB39" s="401">
        <f t="shared" si="33"/>
        <v>1674.6399999999976</v>
      </c>
      <c r="BC39" s="405">
        <f t="shared" si="33"/>
        <v>9165.6000000000349</v>
      </c>
      <c r="BD39" s="401">
        <f t="shared" si="33"/>
        <v>88565.87</v>
      </c>
      <c r="BE39" s="401">
        <f t="shared" si="33"/>
        <v>53290.38</v>
      </c>
      <c r="BF39" s="401">
        <f t="shared" si="33"/>
        <v>32918.28</v>
      </c>
      <c r="BG39" s="401">
        <f t="shared" si="33"/>
        <v>77359.370000000024</v>
      </c>
      <c r="BH39" s="401">
        <f t="shared" si="33"/>
        <v>1674.6399999999976</v>
      </c>
      <c r="BI39" s="401">
        <f t="shared" si="33"/>
        <v>1993.8</v>
      </c>
      <c r="BJ39" s="401">
        <f t="shared" si="33"/>
        <v>1391.91</v>
      </c>
      <c r="BK39" s="401">
        <f t="shared" si="33"/>
        <v>0</v>
      </c>
      <c r="BL39" s="431">
        <f t="shared" si="33"/>
        <v>2276.5299999999979</v>
      </c>
      <c r="BM39" s="405">
        <f t="shared" si="33"/>
        <v>0</v>
      </c>
      <c r="BN39" s="401">
        <f t="shared" si="33"/>
        <v>0</v>
      </c>
      <c r="BO39" s="401">
        <f t="shared" si="33"/>
        <v>77359.370000000024</v>
      </c>
      <c r="BP39" s="401">
        <f t="shared" si="33"/>
        <v>2276.5299999999979</v>
      </c>
      <c r="BQ39" s="405">
        <f t="shared" si="33"/>
        <v>1060.29</v>
      </c>
      <c r="BR39" s="401">
        <f t="shared" si="33"/>
        <v>0</v>
      </c>
      <c r="BS39" s="401">
        <f t="shared" si="33"/>
        <v>3336.8199999999979</v>
      </c>
      <c r="BT39" s="525">
        <f t="shared" si="33"/>
        <v>80696.190000000017</v>
      </c>
      <c r="BU39" s="627"/>
      <c r="BV39" s="446">
        <f>BV29</f>
        <v>46717.62</v>
      </c>
      <c r="BW39" s="407">
        <f>ROUND(BV39-SUM(BG39,BL39),2)</f>
        <v>-32918.28</v>
      </c>
      <c r="BX39" s="975"/>
      <c r="BY39" s="263"/>
      <c r="BZ39" s="263"/>
      <c r="CA39" s="263"/>
      <c r="CB39" s="263"/>
    </row>
    <row r="40" spans="1:80" s="381" customFormat="1" ht="15" thickBot="1" x14ac:dyDescent="0.35">
      <c r="A40" s="22"/>
      <c r="B40" s="22"/>
      <c r="C40" s="421" t="s">
        <v>1597</v>
      </c>
      <c r="D40" s="422"/>
      <c r="E40" s="401">
        <f t="shared" ref="E40:AJ40" si="34">SUM(E21:E37)-E29</f>
        <v>0</v>
      </c>
      <c r="F40" s="401">
        <f t="shared" si="34"/>
        <v>0</v>
      </c>
      <c r="G40" s="401">
        <f t="shared" si="34"/>
        <v>0</v>
      </c>
      <c r="H40" s="401">
        <f t="shared" si="34"/>
        <v>0</v>
      </c>
      <c r="I40" s="401">
        <f t="shared" si="34"/>
        <v>0</v>
      </c>
      <c r="J40" s="401">
        <f t="shared" si="34"/>
        <v>0</v>
      </c>
      <c r="K40" s="401">
        <f t="shared" si="34"/>
        <v>0</v>
      </c>
      <c r="L40" s="401">
        <f t="shared" si="34"/>
        <v>0</v>
      </c>
      <c r="M40" s="401">
        <f t="shared" si="34"/>
        <v>0</v>
      </c>
      <c r="N40" s="401">
        <f t="shared" si="34"/>
        <v>0</v>
      </c>
      <c r="O40" s="405">
        <f t="shared" si="34"/>
        <v>0</v>
      </c>
      <c r="P40" s="401">
        <f t="shared" si="34"/>
        <v>0</v>
      </c>
      <c r="Q40" s="401">
        <f t="shared" si="34"/>
        <v>0</v>
      </c>
      <c r="R40" s="401">
        <f t="shared" si="34"/>
        <v>0</v>
      </c>
      <c r="S40" s="401">
        <f t="shared" si="34"/>
        <v>0</v>
      </c>
      <c r="T40" s="401">
        <f t="shared" si="34"/>
        <v>0</v>
      </c>
      <c r="U40" s="401">
        <f t="shared" si="34"/>
        <v>0</v>
      </c>
      <c r="V40" s="401">
        <f t="shared" si="34"/>
        <v>0</v>
      </c>
      <c r="W40" s="401">
        <f t="shared" si="34"/>
        <v>0</v>
      </c>
      <c r="X40" s="401">
        <f t="shared" si="34"/>
        <v>0</v>
      </c>
      <c r="Y40" s="405">
        <f t="shared" si="34"/>
        <v>0</v>
      </c>
      <c r="Z40" s="401">
        <f t="shared" si="34"/>
        <v>0</v>
      </c>
      <c r="AA40" s="401">
        <f t="shared" si="34"/>
        <v>0</v>
      </c>
      <c r="AB40" s="401">
        <f t="shared" si="34"/>
        <v>0</v>
      </c>
      <c r="AC40" s="401">
        <f t="shared" si="34"/>
        <v>0</v>
      </c>
      <c r="AD40" s="401">
        <f t="shared" si="34"/>
        <v>0</v>
      </c>
      <c r="AE40" s="401">
        <f t="shared" si="34"/>
        <v>0</v>
      </c>
      <c r="AF40" s="401">
        <f t="shared" si="34"/>
        <v>0</v>
      </c>
      <c r="AG40" s="401">
        <f t="shared" si="34"/>
        <v>0</v>
      </c>
      <c r="AH40" s="401">
        <f t="shared" si="34"/>
        <v>0</v>
      </c>
      <c r="AI40" s="405">
        <f t="shared" si="34"/>
        <v>0</v>
      </c>
      <c r="AJ40" s="401">
        <f t="shared" si="34"/>
        <v>-52989.61</v>
      </c>
      <c r="AK40" s="401">
        <f t="shared" ref="AK40:BT40" si="35">SUM(AK21:AK37)-AK29</f>
        <v>-70317.59</v>
      </c>
      <c r="AL40" s="401">
        <f t="shared" si="35"/>
        <v>93659.819999999891</v>
      </c>
      <c r="AM40" s="401">
        <f t="shared" si="35"/>
        <v>110987.79999999987</v>
      </c>
      <c r="AN40" s="401">
        <f t="shared" si="35"/>
        <v>0</v>
      </c>
      <c r="AO40" s="401">
        <f t="shared" si="35"/>
        <v>317.31</v>
      </c>
      <c r="AP40" s="401">
        <f t="shared" si="35"/>
        <v>-2420.1999999999998</v>
      </c>
      <c r="AQ40" s="401">
        <f t="shared" si="35"/>
        <v>-82887.960000000006</v>
      </c>
      <c r="AR40" s="401">
        <f t="shared" si="35"/>
        <v>-80150.450000000012</v>
      </c>
      <c r="AS40" s="408">
        <f t="shared" si="35"/>
        <v>110987.79999999987</v>
      </c>
      <c r="AT40" s="401">
        <f t="shared" si="35"/>
        <v>-440191.39</v>
      </c>
      <c r="AU40" s="401">
        <f t="shared" si="35"/>
        <v>-548303.8899999999</v>
      </c>
      <c r="AV40" s="401">
        <f t="shared" si="35"/>
        <v>0</v>
      </c>
      <c r="AW40" s="401">
        <f t="shared" si="35"/>
        <v>219100.2999999997</v>
      </c>
      <c r="AX40" s="401">
        <f t="shared" si="35"/>
        <v>-80150.450000000012</v>
      </c>
      <c r="AY40" s="401">
        <f t="shared" si="35"/>
        <v>7147.4699999999984</v>
      </c>
      <c r="AZ40" s="401">
        <f t="shared" si="35"/>
        <v>-64298.590000000004</v>
      </c>
      <c r="BA40" s="401">
        <f t="shared" si="35"/>
        <v>155.04999999999998</v>
      </c>
      <c r="BB40" s="401">
        <f t="shared" si="35"/>
        <v>-8549.3400000000074</v>
      </c>
      <c r="BC40" s="405">
        <f t="shared" si="35"/>
        <v>219100.2999999997</v>
      </c>
      <c r="BD40" s="401">
        <f t="shared" si="35"/>
        <v>-236737.16000000003</v>
      </c>
      <c r="BE40" s="401">
        <f t="shared" si="35"/>
        <v>-140269.49999999997</v>
      </c>
      <c r="BF40" s="401">
        <f t="shared" si="35"/>
        <v>-27681.360000000001</v>
      </c>
      <c r="BG40" s="401">
        <f t="shared" si="35"/>
        <v>94951.279999999737</v>
      </c>
      <c r="BH40" s="401">
        <f t="shared" si="35"/>
        <v>-8549.3400000000074</v>
      </c>
      <c r="BI40" s="401">
        <f t="shared" si="35"/>
        <v>4169.329999999999</v>
      </c>
      <c r="BJ40" s="401">
        <f t="shared" si="35"/>
        <v>-3521.2800000000007</v>
      </c>
      <c r="BK40" s="401">
        <f t="shared" si="35"/>
        <v>0</v>
      </c>
      <c r="BL40" s="431">
        <f t="shared" si="35"/>
        <v>-858.73000000000775</v>
      </c>
      <c r="BM40" s="405">
        <f t="shared" si="35"/>
        <v>0</v>
      </c>
      <c r="BN40" s="401">
        <f t="shared" si="35"/>
        <v>0</v>
      </c>
      <c r="BO40" s="401">
        <f t="shared" si="35"/>
        <v>94951.279999999737</v>
      </c>
      <c r="BP40" s="401">
        <f t="shared" si="35"/>
        <v>-858.73000000000775</v>
      </c>
      <c r="BQ40" s="405">
        <f t="shared" si="35"/>
        <v>1301.4000000000001</v>
      </c>
      <c r="BR40" s="401">
        <f t="shared" si="35"/>
        <v>0</v>
      </c>
      <c r="BS40" s="401">
        <f t="shared" si="35"/>
        <v>442.66999999999371</v>
      </c>
      <c r="BT40" s="401">
        <f t="shared" si="35"/>
        <v>15577.079999999856</v>
      </c>
      <c r="BU40" s="627"/>
      <c r="BV40" s="446">
        <f>SUM(BV21:BV37)-BV29-BV24-BV25</f>
        <v>121773.91000000003</v>
      </c>
      <c r="BW40" s="407">
        <f>ROUND(BV40-SUM(BG40,BL40),2)</f>
        <v>27681.360000000001</v>
      </c>
      <c r="BX40" s="975"/>
      <c r="BY40" s="465"/>
      <c r="BZ40" s="465"/>
      <c r="CA40" s="465"/>
      <c r="CB40" s="465"/>
    </row>
    <row r="41" spans="1:80" s="381" customFormat="1" ht="15" thickBot="1" x14ac:dyDescent="0.35">
      <c r="A41" s="22"/>
      <c r="B41" s="22"/>
      <c r="C41" s="421" t="s">
        <v>1598</v>
      </c>
      <c r="D41" s="422"/>
      <c r="E41" s="401">
        <f>SUM(E39,E40)</f>
        <v>0</v>
      </c>
      <c r="F41" s="401">
        <f t="shared" ref="F41:O41" si="36">SUM(F39,F40)</f>
        <v>0</v>
      </c>
      <c r="G41" s="401">
        <f>SUM(G39,G40)</f>
        <v>0</v>
      </c>
      <c r="H41" s="401">
        <f t="shared" si="36"/>
        <v>0</v>
      </c>
      <c r="I41" s="401">
        <f t="shared" si="36"/>
        <v>0</v>
      </c>
      <c r="J41" s="401">
        <f t="shared" si="36"/>
        <v>0</v>
      </c>
      <c r="K41" s="401">
        <f t="shared" si="36"/>
        <v>0</v>
      </c>
      <c r="L41" s="401">
        <f t="shared" si="36"/>
        <v>0</v>
      </c>
      <c r="M41" s="401">
        <f t="shared" si="36"/>
        <v>0</v>
      </c>
      <c r="N41" s="401">
        <f t="shared" si="36"/>
        <v>0</v>
      </c>
      <c r="O41" s="405">
        <f t="shared" si="36"/>
        <v>0</v>
      </c>
      <c r="P41" s="401">
        <f>SUM(P39,P40)</f>
        <v>0</v>
      </c>
      <c r="Q41" s="401">
        <f>SUM(Q39,Q40)</f>
        <v>0</v>
      </c>
      <c r="R41" s="401">
        <f t="shared" ref="R41:BS41" si="37">SUM(R39,R40)</f>
        <v>0</v>
      </c>
      <c r="S41" s="401">
        <f t="shared" si="37"/>
        <v>0</v>
      </c>
      <c r="T41" s="401">
        <f t="shared" si="37"/>
        <v>0</v>
      </c>
      <c r="U41" s="401">
        <f t="shared" si="37"/>
        <v>0</v>
      </c>
      <c r="V41" s="401">
        <f t="shared" si="37"/>
        <v>0</v>
      </c>
      <c r="W41" s="401">
        <f t="shared" si="37"/>
        <v>0</v>
      </c>
      <c r="X41" s="404">
        <f t="shared" si="37"/>
        <v>0</v>
      </c>
      <c r="Y41" s="401">
        <f t="shared" si="37"/>
        <v>0</v>
      </c>
      <c r="Z41" s="401">
        <f t="shared" si="37"/>
        <v>0</v>
      </c>
      <c r="AA41" s="401">
        <f>SUM(AA39,AA40)</f>
        <v>0</v>
      </c>
      <c r="AB41" s="401">
        <f t="shared" si="37"/>
        <v>0</v>
      </c>
      <c r="AC41" s="401">
        <f t="shared" si="37"/>
        <v>0</v>
      </c>
      <c r="AD41" s="401">
        <f t="shared" si="37"/>
        <v>0</v>
      </c>
      <c r="AE41" s="401">
        <f t="shared" si="37"/>
        <v>0</v>
      </c>
      <c r="AF41" s="401">
        <f t="shared" si="37"/>
        <v>0</v>
      </c>
      <c r="AG41" s="401">
        <f t="shared" si="37"/>
        <v>0</v>
      </c>
      <c r="AH41" s="404">
        <f t="shared" si="37"/>
        <v>0</v>
      </c>
      <c r="AI41" s="401">
        <f t="shared" si="37"/>
        <v>0</v>
      </c>
      <c r="AJ41" s="401">
        <f t="shared" si="37"/>
        <v>-52989.61</v>
      </c>
      <c r="AK41" s="401">
        <f>SUM(AK39,AK40)</f>
        <v>-70317.59</v>
      </c>
      <c r="AL41" s="401">
        <f t="shared" si="37"/>
        <v>473848.62999999989</v>
      </c>
      <c r="AM41" s="401">
        <f t="shared" si="37"/>
        <v>491176.60999999987</v>
      </c>
      <c r="AN41" s="401">
        <f t="shared" si="37"/>
        <v>0</v>
      </c>
      <c r="AO41" s="401">
        <f t="shared" si="37"/>
        <v>317.31</v>
      </c>
      <c r="AP41" s="401">
        <f t="shared" si="37"/>
        <v>-2420.1999999999998</v>
      </c>
      <c r="AQ41" s="401">
        <f t="shared" si="37"/>
        <v>-72056.52</v>
      </c>
      <c r="AR41" s="401">
        <f t="shared" si="37"/>
        <v>-69319.010000000009</v>
      </c>
      <c r="AS41" s="408">
        <f t="shared" si="37"/>
        <v>491176.60999999987</v>
      </c>
      <c r="AT41" s="401">
        <f t="shared" si="37"/>
        <v>-484316.17000000004</v>
      </c>
      <c r="AU41" s="401">
        <f>SUM(AU39,AU40)</f>
        <v>-221405.4599999999</v>
      </c>
      <c r="AV41" s="401">
        <f t="shared" si="37"/>
        <v>0</v>
      </c>
      <c r="AW41" s="401">
        <f t="shared" si="37"/>
        <v>228265.89999999973</v>
      </c>
      <c r="AX41" s="401">
        <f t="shared" si="37"/>
        <v>-69319.010000000009</v>
      </c>
      <c r="AY41" s="401">
        <f t="shared" si="37"/>
        <v>8385.4299999999985</v>
      </c>
      <c r="AZ41" s="401">
        <f t="shared" si="37"/>
        <v>-53903.83</v>
      </c>
      <c r="BA41" s="401">
        <f t="shared" si="37"/>
        <v>155.04999999999998</v>
      </c>
      <c r="BB41" s="401">
        <f t="shared" si="37"/>
        <v>-6874.7000000000098</v>
      </c>
      <c r="BC41" s="405">
        <f t="shared" si="37"/>
        <v>228265.89999999973</v>
      </c>
      <c r="BD41" s="401">
        <f t="shared" si="37"/>
        <v>-148171.29000000004</v>
      </c>
      <c r="BE41" s="401">
        <f>SUM(BE39,BE40)</f>
        <v>-86979.119999999966</v>
      </c>
      <c r="BF41" s="401">
        <f t="shared" si="37"/>
        <v>5236.9199999999983</v>
      </c>
      <c r="BG41" s="401">
        <f t="shared" si="37"/>
        <v>172310.64999999976</v>
      </c>
      <c r="BH41" s="401">
        <f t="shared" si="37"/>
        <v>-6874.7000000000098</v>
      </c>
      <c r="BI41" s="401">
        <f t="shared" si="37"/>
        <v>6163.1299999999992</v>
      </c>
      <c r="BJ41" s="401">
        <f t="shared" si="37"/>
        <v>-2129.3700000000008</v>
      </c>
      <c r="BK41" s="401">
        <f t="shared" si="37"/>
        <v>0</v>
      </c>
      <c r="BL41" s="431">
        <f t="shared" si="37"/>
        <v>1417.7999999999902</v>
      </c>
      <c r="BM41" s="405">
        <f>SUM(BM39,BM40)</f>
        <v>0</v>
      </c>
      <c r="BN41" s="401">
        <f t="shared" si="37"/>
        <v>0</v>
      </c>
      <c r="BO41" s="401">
        <f t="shared" si="37"/>
        <v>172310.64999999976</v>
      </c>
      <c r="BP41" s="401">
        <f t="shared" si="37"/>
        <v>1417.7999999999902</v>
      </c>
      <c r="BQ41" s="405">
        <f t="shared" si="37"/>
        <v>2361.69</v>
      </c>
      <c r="BR41" s="401">
        <f t="shared" si="37"/>
        <v>0</v>
      </c>
      <c r="BS41" s="401">
        <f t="shared" si="37"/>
        <v>3779.4899999999916</v>
      </c>
      <c r="BT41" s="401">
        <f>SUM(BT39,BT40)</f>
        <v>96273.269999999873</v>
      </c>
      <c r="BU41" s="627"/>
      <c r="BV41" s="446">
        <f>SUM(BV39,BV40)</f>
        <v>168491.53000000003</v>
      </c>
      <c r="BW41" s="407">
        <f>ROUND(BV41-SUM(BG41,BL41),2)</f>
        <v>-5236.92</v>
      </c>
      <c r="BX41" s="975"/>
      <c r="BY41" s="465"/>
      <c r="BZ41" s="465"/>
      <c r="CA41" s="465"/>
      <c r="CB41" s="465"/>
    </row>
    <row r="42" spans="1:80" s="381" customFormat="1" ht="15" thickBot="1" x14ac:dyDescent="0.35">
      <c r="A42" s="22"/>
      <c r="B42" s="22"/>
      <c r="C42" s="423"/>
      <c r="D42" s="424"/>
      <c r="E42" s="487"/>
      <c r="F42" s="487"/>
      <c r="G42" s="487"/>
      <c r="H42" s="487"/>
      <c r="I42" s="487"/>
      <c r="J42" s="487"/>
      <c r="K42" s="487"/>
      <c r="L42" s="487"/>
      <c r="M42" s="487"/>
      <c r="N42" s="488"/>
      <c r="O42" s="489"/>
      <c r="P42" s="490"/>
      <c r="Q42" s="490"/>
      <c r="R42" s="490"/>
      <c r="S42" s="490"/>
      <c r="T42" s="490"/>
      <c r="U42" s="490"/>
      <c r="V42" s="490"/>
      <c r="W42" s="490"/>
      <c r="X42" s="491"/>
      <c r="Y42" s="490"/>
      <c r="Z42" s="490"/>
      <c r="AA42" s="490"/>
      <c r="AB42" s="490"/>
      <c r="AC42" s="490"/>
      <c r="AD42" s="490"/>
      <c r="AE42" s="490"/>
      <c r="AF42" s="490"/>
      <c r="AG42" s="490"/>
      <c r="AH42" s="491"/>
      <c r="AI42" s="490"/>
      <c r="AJ42" s="490"/>
      <c r="AK42" s="490"/>
      <c r="AL42" s="490"/>
      <c r="AM42" s="490"/>
      <c r="AN42" s="490"/>
      <c r="AO42" s="490"/>
      <c r="AP42" s="490"/>
      <c r="AQ42" s="490"/>
      <c r="AR42" s="492"/>
      <c r="AS42" s="486"/>
      <c r="AT42" s="490"/>
      <c r="AU42" s="490"/>
      <c r="AV42" s="490"/>
      <c r="AW42" s="490"/>
      <c r="AX42" s="490"/>
      <c r="AY42" s="490"/>
      <c r="AZ42" s="490"/>
      <c r="BA42" s="490"/>
      <c r="BB42" s="490"/>
      <c r="BC42" s="493"/>
      <c r="BD42" s="482"/>
      <c r="BE42" s="482"/>
      <c r="BF42" s="482"/>
      <c r="BG42" s="482"/>
      <c r="BH42" s="482"/>
      <c r="BI42" s="482"/>
      <c r="BJ42" s="482"/>
      <c r="BK42" s="482"/>
      <c r="BL42" s="483"/>
      <c r="BM42" s="494"/>
      <c r="BN42" s="495"/>
      <c r="BO42" s="435"/>
      <c r="BP42" s="435"/>
      <c r="BQ42" s="494"/>
      <c r="BR42" s="495"/>
      <c r="BS42" s="376"/>
      <c r="BT42" s="525"/>
      <c r="BU42" s="627"/>
      <c r="BV42" s="445"/>
      <c r="BW42" s="400"/>
      <c r="BX42" s="977"/>
      <c r="BY42" s="465"/>
      <c r="BZ42" s="465"/>
      <c r="CA42" s="465"/>
      <c r="CB42" s="465"/>
    </row>
    <row r="43" spans="1:80" s="381" customFormat="1" ht="15" thickBot="1" x14ac:dyDescent="0.35">
      <c r="A43" s="22">
        <v>29</v>
      </c>
      <c r="B43" s="22"/>
      <c r="C43" s="425" t="s">
        <v>1599</v>
      </c>
      <c r="D43" s="426">
        <v>1568</v>
      </c>
      <c r="E43" s="496"/>
      <c r="F43" s="496"/>
      <c r="G43" s="496"/>
      <c r="H43" s="496"/>
      <c r="I43" s="496"/>
      <c r="J43" s="496"/>
      <c r="K43" s="496"/>
      <c r="L43" s="496"/>
      <c r="M43" s="496"/>
      <c r="N43" s="497"/>
      <c r="O43" s="466"/>
      <c r="P43" s="467"/>
      <c r="Q43" s="467"/>
      <c r="R43" s="467"/>
      <c r="S43" s="478">
        <f>O43+P43-Q43+SUM(R43:R43)</f>
        <v>0</v>
      </c>
      <c r="T43" s="467"/>
      <c r="U43" s="467"/>
      <c r="V43" s="467"/>
      <c r="W43" s="467"/>
      <c r="X43" s="479">
        <f>T43+U43-V43+W43</f>
        <v>0</v>
      </c>
      <c r="Y43" s="498">
        <f>S43</f>
        <v>0</v>
      </c>
      <c r="Z43" s="467"/>
      <c r="AA43" s="467"/>
      <c r="AB43" s="467"/>
      <c r="AC43" s="478">
        <f>Y43+Z43-AA43+SUM(AB43:AB43)</f>
        <v>0</v>
      </c>
      <c r="AD43" s="478">
        <f>X43</f>
        <v>0</v>
      </c>
      <c r="AE43" s="467"/>
      <c r="AF43" s="467"/>
      <c r="AG43" s="460"/>
      <c r="AH43" s="479">
        <f>AD43+AE43-AF43+AG43</f>
        <v>0</v>
      </c>
      <c r="AI43" s="480">
        <f>AC43</f>
        <v>0</v>
      </c>
      <c r="AJ43" s="467">
        <v>0</v>
      </c>
      <c r="AK43" s="467">
        <v>0</v>
      </c>
      <c r="AL43" s="504">
        <v>119727.52</v>
      </c>
      <c r="AM43" s="478">
        <f>AI43+AJ43-AK43+SUM(AL43:AL43)</f>
        <v>119727.52</v>
      </c>
      <c r="AN43" s="478">
        <f>AH43</f>
        <v>0</v>
      </c>
      <c r="AO43" s="467">
        <v>2821.12</v>
      </c>
      <c r="AP43" s="467">
        <v>2420.02</v>
      </c>
      <c r="AQ43" s="504">
        <f>-1027.95+3193.69</f>
        <v>2165.7399999999998</v>
      </c>
      <c r="AR43" s="479">
        <f>AN43+AO43-AP43+AQ43</f>
        <v>2566.8399999999997</v>
      </c>
      <c r="AS43" s="480">
        <f>AM43</f>
        <v>119727.52</v>
      </c>
      <c r="AT43" s="467">
        <v>86979.12</v>
      </c>
      <c r="AU43" s="467">
        <v>119727.55</v>
      </c>
      <c r="AV43" s="467">
        <v>0.04</v>
      </c>
      <c r="AW43" s="478">
        <f>AS43+AT43-AU43+SUM(AV43:AV43)</f>
        <v>86979.13</v>
      </c>
      <c r="AX43" s="478">
        <f>AR43</f>
        <v>2566.8399999999997</v>
      </c>
      <c r="AY43" s="461">
        <v>2070.1</v>
      </c>
      <c r="AZ43" s="467">
        <v>3124.5</v>
      </c>
      <c r="BA43" s="467">
        <v>557.66</v>
      </c>
      <c r="BB43" s="478">
        <f>AX43+AY43-AZ43+BA43</f>
        <v>2070.0999999999995</v>
      </c>
      <c r="BC43" s="480">
        <f>AW43</f>
        <v>86979.13</v>
      </c>
      <c r="BD43" s="461">
        <v>32531.360000000001</v>
      </c>
      <c r="BE43" s="461">
        <v>86979.13</v>
      </c>
      <c r="BF43" s="461"/>
      <c r="BG43" s="478">
        <f>BC43+BD43-BE43+SUM(BF43:BF43)</f>
        <v>32531.360000000001</v>
      </c>
      <c r="BH43" s="478">
        <f>BB43</f>
        <v>2070.0999999999995</v>
      </c>
      <c r="BI43" s="461">
        <v>1029.28</v>
      </c>
      <c r="BJ43" s="467">
        <v>2130.98</v>
      </c>
      <c r="BK43" s="467">
        <f>60.88</f>
        <v>60.88</v>
      </c>
      <c r="BL43" s="481">
        <f>BH43+BI43-BJ43+BK43</f>
        <v>1029.2799999999993</v>
      </c>
      <c r="BM43" s="461">
        <v>32531.360000000001</v>
      </c>
      <c r="BN43" s="461">
        <v>1029.28</v>
      </c>
      <c r="BO43" s="409">
        <f>BG43-BM43</f>
        <v>0</v>
      </c>
      <c r="BP43" s="437">
        <f>BL43-BN43</f>
        <v>0</v>
      </c>
      <c r="BQ43" s="466">
        <v>0</v>
      </c>
      <c r="BR43" s="461">
        <v>0</v>
      </c>
      <c r="BS43" s="401">
        <f>BP43+BQ43+BR43</f>
        <v>0</v>
      </c>
      <c r="BT43" s="525">
        <f>SUM(BO43:BR43)</f>
        <v>0</v>
      </c>
      <c r="BU43" s="627"/>
      <c r="BV43" s="446">
        <v>33560.639999999999</v>
      </c>
      <c r="BW43" s="407">
        <f>ROUND(BV43-SUM(BG43,BL43),2)</f>
        <v>0</v>
      </c>
      <c r="BX43" s="975" t="str">
        <f t="shared" si="18"/>
        <v/>
      </c>
      <c r="BY43" s="465"/>
      <c r="BZ43" s="465"/>
      <c r="CA43" s="465"/>
      <c r="CB43" s="465"/>
    </row>
    <row r="44" spans="1:80" s="381" customFormat="1" x14ac:dyDescent="0.3">
      <c r="A44" s="22"/>
      <c r="B44" s="22"/>
      <c r="C44" s="425"/>
      <c r="D44" s="426"/>
      <c r="E44" s="487"/>
      <c r="F44" s="487"/>
      <c r="G44" s="487"/>
      <c r="H44" s="487"/>
      <c r="I44" s="487"/>
      <c r="J44" s="487"/>
      <c r="K44" s="487"/>
      <c r="L44" s="487"/>
      <c r="M44" s="487"/>
      <c r="N44" s="499"/>
      <c r="O44" s="489"/>
      <c r="P44" s="490"/>
      <c r="Q44" s="490"/>
      <c r="R44" s="490"/>
      <c r="S44" s="490"/>
      <c r="T44" s="490"/>
      <c r="U44" s="490"/>
      <c r="V44" s="490"/>
      <c r="W44" s="490"/>
      <c r="X44" s="483"/>
      <c r="Y44" s="490"/>
      <c r="Z44" s="490"/>
      <c r="AA44" s="490"/>
      <c r="AB44" s="490"/>
      <c r="AC44" s="490"/>
      <c r="AD44" s="490"/>
      <c r="AE44" s="490"/>
      <c r="AF44" s="490"/>
      <c r="AG44" s="490"/>
      <c r="AH44" s="483"/>
      <c r="AI44" s="490"/>
      <c r="AJ44" s="490"/>
      <c r="AK44" s="490"/>
      <c r="AL44" s="490"/>
      <c r="AM44" s="490"/>
      <c r="AN44" s="490"/>
      <c r="AO44" s="490"/>
      <c r="AP44" s="490"/>
      <c r="AQ44" s="490"/>
      <c r="AR44" s="490"/>
      <c r="AS44" s="486"/>
      <c r="AT44" s="490"/>
      <c r="AU44" s="490"/>
      <c r="AV44" s="490"/>
      <c r="AW44" s="490"/>
      <c r="AX44" s="490"/>
      <c r="AY44" s="490"/>
      <c r="AZ44" s="490"/>
      <c r="BA44" s="490"/>
      <c r="BB44" s="490"/>
      <c r="BC44" s="493"/>
      <c r="BD44" s="482"/>
      <c r="BE44" s="482"/>
      <c r="BF44" s="482"/>
      <c r="BG44" s="482"/>
      <c r="BH44" s="482"/>
      <c r="BI44" s="482"/>
      <c r="BJ44" s="482"/>
      <c r="BK44" s="482"/>
      <c r="BL44" s="483"/>
      <c r="BM44" s="494"/>
      <c r="BN44" s="495"/>
      <c r="BO44" s="435"/>
      <c r="BP44" s="435"/>
      <c r="BQ44" s="494"/>
      <c r="BR44" s="495"/>
      <c r="BS44" s="435"/>
      <c r="BT44" s="525"/>
      <c r="BU44" s="627"/>
      <c r="BV44" s="445"/>
      <c r="BW44" s="400"/>
      <c r="BX44" s="977"/>
      <c r="BY44" s="465"/>
      <c r="BZ44" s="465"/>
      <c r="CA44" s="465"/>
      <c r="CB44" s="465"/>
    </row>
    <row r="45" spans="1:80" s="384" customFormat="1" ht="15" thickBot="1" x14ac:dyDescent="0.35">
      <c r="A45" s="383"/>
      <c r="B45" s="383"/>
      <c r="C45" s="427" t="s">
        <v>1600</v>
      </c>
      <c r="D45" s="428"/>
      <c r="E45" s="402">
        <f>SUM(E41,E43)</f>
        <v>0</v>
      </c>
      <c r="F45" s="402">
        <f t="shared" ref="F45:BQ45" si="38">SUM(F41,F43)</f>
        <v>0</v>
      </c>
      <c r="G45" s="402">
        <f t="shared" si="38"/>
        <v>0</v>
      </c>
      <c r="H45" s="402">
        <f t="shared" si="38"/>
        <v>0</v>
      </c>
      <c r="I45" s="402">
        <f t="shared" si="38"/>
        <v>0</v>
      </c>
      <c r="J45" s="402">
        <f t="shared" si="38"/>
        <v>0</v>
      </c>
      <c r="K45" s="402">
        <f t="shared" si="38"/>
        <v>0</v>
      </c>
      <c r="L45" s="402">
        <f t="shared" si="38"/>
        <v>0</v>
      </c>
      <c r="M45" s="402">
        <f t="shared" si="38"/>
        <v>0</v>
      </c>
      <c r="N45" s="403">
        <f t="shared" si="38"/>
        <v>0</v>
      </c>
      <c r="O45" s="406">
        <f t="shared" si="38"/>
        <v>0</v>
      </c>
      <c r="P45" s="402">
        <f t="shared" si="38"/>
        <v>0</v>
      </c>
      <c r="Q45" s="402">
        <f t="shared" si="38"/>
        <v>0</v>
      </c>
      <c r="R45" s="402">
        <f t="shared" si="38"/>
        <v>0</v>
      </c>
      <c r="S45" s="402">
        <f t="shared" si="38"/>
        <v>0</v>
      </c>
      <c r="T45" s="402">
        <f t="shared" si="38"/>
        <v>0</v>
      </c>
      <c r="U45" s="402">
        <f t="shared" si="38"/>
        <v>0</v>
      </c>
      <c r="V45" s="402">
        <f t="shared" si="38"/>
        <v>0</v>
      </c>
      <c r="W45" s="402">
        <f t="shared" si="38"/>
        <v>0</v>
      </c>
      <c r="X45" s="402">
        <f t="shared" si="38"/>
        <v>0</v>
      </c>
      <c r="Y45" s="406">
        <f t="shared" si="38"/>
        <v>0</v>
      </c>
      <c r="Z45" s="402">
        <f t="shared" si="38"/>
        <v>0</v>
      </c>
      <c r="AA45" s="402">
        <f t="shared" si="38"/>
        <v>0</v>
      </c>
      <c r="AB45" s="402">
        <f t="shared" si="38"/>
        <v>0</v>
      </c>
      <c r="AC45" s="402">
        <f t="shared" si="38"/>
        <v>0</v>
      </c>
      <c r="AD45" s="402">
        <f t="shared" si="38"/>
        <v>0</v>
      </c>
      <c r="AE45" s="402">
        <f t="shared" si="38"/>
        <v>0</v>
      </c>
      <c r="AF45" s="402">
        <f t="shared" si="38"/>
        <v>0</v>
      </c>
      <c r="AG45" s="402">
        <f t="shared" si="38"/>
        <v>0</v>
      </c>
      <c r="AH45" s="402">
        <f t="shared" si="38"/>
        <v>0</v>
      </c>
      <c r="AI45" s="406">
        <f t="shared" si="38"/>
        <v>0</v>
      </c>
      <c r="AJ45" s="402">
        <f t="shared" si="38"/>
        <v>-52989.61</v>
      </c>
      <c r="AK45" s="402">
        <f t="shared" si="38"/>
        <v>-70317.59</v>
      </c>
      <c r="AL45" s="402">
        <f t="shared" si="38"/>
        <v>593576.14999999991</v>
      </c>
      <c r="AM45" s="402">
        <f t="shared" si="38"/>
        <v>610904.12999999989</v>
      </c>
      <c r="AN45" s="402">
        <f t="shared" si="38"/>
        <v>0</v>
      </c>
      <c r="AO45" s="402">
        <f t="shared" si="38"/>
        <v>3138.43</v>
      </c>
      <c r="AP45" s="402">
        <f t="shared" si="38"/>
        <v>-0.17999999999983629</v>
      </c>
      <c r="AQ45" s="402">
        <f t="shared" si="38"/>
        <v>-69890.78</v>
      </c>
      <c r="AR45" s="402">
        <f t="shared" si="38"/>
        <v>-66752.170000000013</v>
      </c>
      <c r="AS45" s="406">
        <f t="shared" si="38"/>
        <v>610904.12999999989</v>
      </c>
      <c r="AT45" s="402">
        <f t="shared" si="38"/>
        <v>-397337.05000000005</v>
      </c>
      <c r="AU45" s="402">
        <f t="shared" si="38"/>
        <v>-101677.9099999999</v>
      </c>
      <c r="AV45" s="402">
        <f t="shared" si="38"/>
        <v>0.04</v>
      </c>
      <c r="AW45" s="402">
        <f t="shared" si="38"/>
        <v>315245.02999999974</v>
      </c>
      <c r="AX45" s="402">
        <f t="shared" si="38"/>
        <v>-66752.170000000013</v>
      </c>
      <c r="AY45" s="402">
        <f t="shared" si="38"/>
        <v>10455.529999999999</v>
      </c>
      <c r="AZ45" s="402">
        <f t="shared" si="38"/>
        <v>-50779.33</v>
      </c>
      <c r="BA45" s="402">
        <f t="shared" si="38"/>
        <v>712.70999999999992</v>
      </c>
      <c r="BB45" s="402">
        <f t="shared" si="38"/>
        <v>-4804.6000000000104</v>
      </c>
      <c r="BC45" s="432">
        <f t="shared" si="38"/>
        <v>315245.02999999974</v>
      </c>
      <c r="BD45" s="433">
        <f t="shared" si="38"/>
        <v>-115639.93000000004</v>
      </c>
      <c r="BE45" s="433">
        <f t="shared" si="38"/>
        <v>1.0000000038417056E-2</v>
      </c>
      <c r="BF45" s="433">
        <f t="shared" si="38"/>
        <v>5236.9199999999983</v>
      </c>
      <c r="BG45" s="433">
        <f t="shared" si="38"/>
        <v>204842.00999999978</v>
      </c>
      <c r="BH45" s="433">
        <f t="shared" si="38"/>
        <v>-4804.6000000000104</v>
      </c>
      <c r="BI45" s="433">
        <f t="shared" si="38"/>
        <v>7192.4099999999989</v>
      </c>
      <c r="BJ45" s="433">
        <f t="shared" si="38"/>
        <v>1.6099999999992178</v>
      </c>
      <c r="BK45" s="433">
        <f t="shared" si="38"/>
        <v>60.88</v>
      </c>
      <c r="BL45" s="434">
        <f t="shared" si="38"/>
        <v>2447.0799999999895</v>
      </c>
      <c r="BM45" s="433">
        <f t="shared" si="38"/>
        <v>32531.360000000001</v>
      </c>
      <c r="BN45" s="433">
        <f t="shared" si="38"/>
        <v>1029.28</v>
      </c>
      <c r="BO45" s="433">
        <f t="shared" si="38"/>
        <v>172310.64999999976</v>
      </c>
      <c r="BP45" s="433">
        <f t="shared" si="38"/>
        <v>1417.7999999999902</v>
      </c>
      <c r="BQ45" s="432">
        <f t="shared" si="38"/>
        <v>2361.69</v>
      </c>
      <c r="BR45" s="433">
        <f>SUM(BR41,BR43)</f>
        <v>0</v>
      </c>
      <c r="BS45" s="442">
        <f>SUM(BS41,BS43)</f>
        <v>3779.4899999999916</v>
      </c>
      <c r="BT45" s="442">
        <f>SUM(BT41,BT43)</f>
        <v>96273.269999999873</v>
      </c>
      <c r="BU45" s="402"/>
      <c r="BV45" s="447">
        <f>SUM(BV41,BV43)</f>
        <v>202052.17000000004</v>
      </c>
      <c r="BW45" s="436">
        <f>ROUND(SUM(BW41,BW43),2)</f>
        <v>-5236.92</v>
      </c>
      <c r="BX45" s="978"/>
    </row>
    <row r="46" spans="1:80" s="379" customFormat="1" x14ac:dyDescent="0.3">
      <c r="A46" s="110"/>
      <c r="B46" s="110"/>
      <c r="C46" s="385"/>
      <c r="D46" s="382"/>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476"/>
      <c r="BE46" s="476"/>
      <c r="BF46" s="476"/>
      <c r="BG46" s="476"/>
      <c r="BH46" s="476"/>
      <c r="BI46" s="476"/>
      <c r="BJ46" s="476"/>
      <c r="BK46" s="476"/>
      <c r="BL46" s="476"/>
      <c r="BM46" s="476"/>
      <c r="BN46" s="476"/>
      <c r="BO46" s="476"/>
      <c r="BP46" s="476"/>
      <c r="BQ46" s="458"/>
      <c r="BR46" s="458"/>
      <c r="BS46" s="458"/>
      <c r="BT46" s="458"/>
      <c r="BU46" s="458"/>
      <c r="BV46" s="458"/>
      <c r="BW46" s="458"/>
      <c r="BX46" s="979"/>
      <c r="BY46" s="458"/>
      <c r="BZ46" s="458"/>
      <c r="CA46" s="458"/>
      <c r="CB46" s="458"/>
    </row>
    <row r="47" spans="1:80" s="22" customFormat="1" x14ac:dyDescent="0.3">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c r="AL47" s="472"/>
      <c r="AM47" s="472"/>
      <c r="AN47" s="472"/>
      <c r="AO47" s="472"/>
      <c r="AP47" s="472"/>
      <c r="AQ47" s="472"/>
      <c r="AR47" s="472"/>
      <c r="AS47" s="472"/>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980"/>
      <c r="BY47" s="25"/>
      <c r="BZ47" s="25"/>
      <c r="CA47" s="25"/>
      <c r="CB47" s="25"/>
    </row>
    <row r="48" spans="1:80" s="22" customFormat="1" x14ac:dyDescent="0.3">
      <c r="B48" s="5"/>
      <c r="C48" s="1787" t="s">
        <v>1880</v>
      </c>
      <c r="D48" s="1787"/>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980"/>
      <c r="BY48" s="25"/>
      <c r="BZ48" s="25"/>
      <c r="CA48" s="25"/>
      <c r="CB48" s="25"/>
    </row>
    <row r="49" spans="2:80" s="22" customFormat="1" ht="31.5" customHeight="1" x14ac:dyDescent="0.3">
      <c r="B49" s="386"/>
      <c r="C49" s="1787"/>
      <c r="D49" s="1787"/>
      <c r="E49" s="500"/>
      <c r="F49" s="500"/>
      <c r="G49" s="500"/>
      <c r="H49" s="500"/>
      <c r="I49" s="500"/>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980"/>
      <c r="BY49" s="25"/>
      <c r="BZ49" s="25"/>
      <c r="CA49" s="25"/>
      <c r="CB49" s="25"/>
    </row>
    <row r="50" spans="2:80" s="22" customFormat="1" ht="16.8" x14ac:dyDescent="0.3">
      <c r="B50" s="387"/>
      <c r="C50" s="388"/>
      <c r="D50" s="6"/>
      <c r="E50" s="500"/>
      <c r="F50" s="500"/>
      <c r="G50" s="500"/>
      <c r="H50" s="500"/>
      <c r="I50" s="500"/>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980"/>
      <c r="BY50" s="25"/>
      <c r="BZ50" s="25"/>
      <c r="CA50" s="25"/>
      <c r="CB50" s="25"/>
    </row>
    <row r="51" spans="2:80" s="22" customFormat="1" ht="26.25" customHeight="1" x14ac:dyDescent="0.3">
      <c r="B51" s="389">
        <v>1</v>
      </c>
      <c r="C51" s="390" t="s">
        <v>1881</v>
      </c>
      <c r="D51" s="6"/>
      <c r="E51" s="501"/>
      <c r="F51" s="501"/>
      <c r="G51" s="501"/>
      <c r="H51" s="501"/>
      <c r="I51" s="501"/>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c r="AL51" s="472"/>
      <c r="AM51" s="472"/>
      <c r="AN51" s="472"/>
      <c r="AO51" s="472"/>
      <c r="AP51" s="472"/>
      <c r="AQ51" s="472"/>
      <c r="AR51" s="472"/>
      <c r="AS51" s="472"/>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980"/>
      <c r="BY51" s="25"/>
      <c r="BZ51" s="25"/>
      <c r="CA51" s="25"/>
      <c r="CB51" s="25"/>
    </row>
    <row r="52" spans="2:80" s="22" customFormat="1" ht="76.5" customHeight="1" x14ac:dyDescent="0.3">
      <c r="B52" s="389">
        <v>2</v>
      </c>
      <c r="C52" s="390" t="s">
        <v>6834</v>
      </c>
      <c r="D52" s="391"/>
      <c r="E52" s="500"/>
      <c r="F52" s="500"/>
      <c r="G52" s="500"/>
      <c r="H52" s="500"/>
      <c r="I52" s="500"/>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c r="AL52" s="472"/>
      <c r="AM52" s="472"/>
      <c r="AN52" s="472"/>
      <c r="AO52" s="472"/>
      <c r="AP52" s="472"/>
      <c r="AQ52" s="472"/>
      <c r="AR52" s="472"/>
      <c r="AS52" s="472"/>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980"/>
      <c r="BY52" s="25"/>
      <c r="BZ52" s="25"/>
      <c r="CA52" s="25"/>
      <c r="CB52" s="25"/>
    </row>
    <row r="53" spans="2:80" s="22" customFormat="1" ht="110.7" customHeight="1" x14ac:dyDescent="0.3">
      <c r="B53" s="389">
        <v>3</v>
      </c>
      <c r="C53" s="390" t="s">
        <v>6836</v>
      </c>
      <c r="D53" s="391"/>
      <c r="E53" s="502"/>
      <c r="F53" s="502"/>
      <c r="G53" s="502"/>
      <c r="H53" s="502"/>
      <c r="I53" s="50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c r="AL53" s="472"/>
      <c r="AM53" s="472"/>
      <c r="AN53" s="472"/>
      <c r="AO53" s="472"/>
      <c r="AP53" s="472"/>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980"/>
      <c r="BY53" s="25"/>
      <c r="BZ53" s="25"/>
      <c r="CA53" s="25"/>
      <c r="CB53" s="25"/>
    </row>
    <row r="54" spans="2:80" ht="88.5" customHeight="1" x14ac:dyDescent="0.3">
      <c r="B54" s="622">
        <v>4</v>
      </c>
      <c r="C54" s="623" t="s">
        <v>6835</v>
      </c>
      <c r="E54" s="502"/>
      <c r="F54" s="502"/>
      <c r="G54" s="502"/>
      <c r="H54" s="502"/>
      <c r="I54" s="50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975"/>
      <c r="BY54" s="263"/>
      <c r="BZ54" s="263"/>
      <c r="CA54" s="263"/>
      <c r="CB54" s="263"/>
    </row>
    <row r="55" spans="2:80" ht="37.5" customHeight="1" x14ac:dyDescent="0.3">
      <c r="B55" s="622">
        <v>5</v>
      </c>
      <c r="C55" s="623" t="s">
        <v>6837</v>
      </c>
      <c r="E55" s="502"/>
      <c r="F55" s="502"/>
      <c r="G55" s="502"/>
      <c r="H55" s="502"/>
      <c r="I55" s="50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472"/>
      <c r="AS55" s="472"/>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975"/>
      <c r="BY55" s="263"/>
      <c r="BZ55" s="263"/>
      <c r="CA55" s="263"/>
      <c r="CB55" s="263"/>
    </row>
    <row r="56" spans="2:80" x14ac:dyDescent="0.3">
      <c r="E56" s="502"/>
      <c r="F56" s="502"/>
      <c r="G56" s="502"/>
      <c r="H56" s="502"/>
      <c r="I56" s="50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975"/>
      <c r="BY56" s="263"/>
      <c r="BZ56" s="263"/>
      <c r="CA56" s="263"/>
      <c r="CB56" s="263"/>
    </row>
    <row r="57" spans="2:80" x14ac:dyDescent="0.3">
      <c r="E57" s="472"/>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975"/>
      <c r="BY57" s="263"/>
      <c r="BZ57" s="263"/>
      <c r="CA57" s="263"/>
      <c r="CB57" s="263"/>
    </row>
    <row r="58" spans="2:80" x14ac:dyDescent="0.3">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c r="AL58" s="472"/>
      <c r="AM58" s="472"/>
      <c r="AN58" s="472"/>
      <c r="AO58" s="472"/>
      <c r="AP58" s="472"/>
      <c r="AQ58" s="472"/>
      <c r="AR58" s="472"/>
      <c r="AS58" s="472"/>
      <c r="AT58" s="472"/>
      <c r="AU58" s="472"/>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975"/>
      <c r="BY58" s="263"/>
      <c r="BZ58" s="263"/>
      <c r="CA58" s="263"/>
      <c r="CB58" s="263"/>
    </row>
    <row r="59" spans="2:80" x14ac:dyDescent="0.3">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c r="AL59" s="472"/>
      <c r="AM59" s="472"/>
      <c r="AN59" s="472"/>
      <c r="AO59" s="472"/>
      <c r="AP59" s="472"/>
      <c r="AQ59" s="472"/>
      <c r="AR59" s="472"/>
      <c r="AS59" s="472"/>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975"/>
      <c r="BY59" s="263"/>
      <c r="BZ59" s="263"/>
      <c r="CA59" s="263"/>
      <c r="CB59" s="263"/>
    </row>
  </sheetData>
  <sheetProtection algorithmName="SHA-512" hashValue="7SbREMZUN3icv7WFVIEEVA/mgn37AM+m36+iA+I5xY+YCF84dVcUUq1/uAJgjeLWmJujgOtAg1qHWAz0Q4A6fw==" saltValue="S+uizrciG9WlUc7itYBgeQ==" spinCount="100000" sheet="1" objects="1" scenarios="1"/>
  <mergeCells count="83">
    <mergeCell ref="O16:X16"/>
    <mergeCell ref="Y17:Y19"/>
    <mergeCell ref="Z17:Z19"/>
    <mergeCell ref="BM16:BP16"/>
    <mergeCell ref="AY17:AY19"/>
    <mergeCell ref="BP17:BP19"/>
    <mergeCell ref="AS17:AS19"/>
    <mergeCell ref="AB17:AB19"/>
    <mergeCell ref="AC17:AC19"/>
    <mergeCell ref="AD17:AD19"/>
    <mergeCell ref="AE17:AE19"/>
    <mergeCell ref="AF17:AF19"/>
    <mergeCell ref="O17:O19"/>
    <mergeCell ref="P17:P19"/>
    <mergeCell ref="Q17:Q19"/>
    <mergeCell ref="R17:R19"/>
    <mergeCell ref="C12:D15"/>
    <mergeCell ref="E16:N16"/>
    <mergeCell ref="Y16:AH16"/>
    <mergeCell ref="AI16:AR16"/>
    <mergeCell ref="AR17:AR19"/>
    <mergeCell ref="AN17:AN19"/>
    <mergeCell ref="AO17:AO19"/>
    <mergeCell ref="AP17:AP19"/>
    <mergeCell ref="AQ17:AQ19"/>
    <mergeCell ref="AG17:AG19"/>
    <mergeCell ref="AH17:AH19"/>
    <mergeCell ref="AI17:AI19"/>
    <mergeCell ref="AJ17:AJ19"/>
    <mergeCell ref="AK17:AK19"/>
    <mergeCell ref="AA17:AA19"/>
    <mergeCell ref="AM17:AM19"/>
    <mergeCell ref="BQ16:BT16"/>
    <mergeCell ref="C17:C19"/>
    <mergeCell ref="D17:D19"/>
    <mergeCell ref="E17:E19"/>
    <mergeCell ref="F17:F19"/>
    <mergeCell ref="G17:G19"/>
    <mergeCell ref="H17:H19"/>
    <mergeCell ref="I17:I19"/>
    <mergeCell ref="AS16:BB16"/>
    <mergeCell ref="J17:J19"/>
    <mergeCell ref="K17:K19"/>
    <mergeCell ref="L17:L19"/>
    <mergeCell ref="M17:M19"/>
    <mergeCell ref="N17:N19"/>
    <mergeCell ref="BC16:BL16"/>
    <mergeCell ref="AL17:AL19"/>
    <mergeCell ref="BQ17:BQ19"/>
    <mergeCell ref="BF17:BF19"/>
    <mergeCell ref="BG17:BG19"/>
    <mergeCell ref="BH17:BH19"/>
    <mergeCell ref="BI17:BI19"/>
    <mergeCell ref="BJ17:BJ19"/>
    <mergeCell ref="BK17:BK19"/>
    <mergeCell ref="C48:D49"/>
    <mergeCell ref="BL17:BL19"/>
    <mergeCell ref="BM17:BM19"/>
    <mergeCell ref="BN17:BN19"/>
    <mergeCell ref="BO17:BO19"/>
    <mergeCell ref="AZ17:AZ19"/>
    <mergeCell ref="BA17:BA19"/>
    <mergeCell ref="BB17:BB19"/>
    <mergeCell ref="BC17:BC19"/>
    <mergeCell ref="BD17:BD19"/>
    <mergeCell ref="BE17:BE19"/>
    <mergeCell ref="AT17:AT19"/>
    <mergeCell ref="AU17:AU19"/>
    <mergeCell ref="AV17:AV19"/>
    <mergeCell ref="AW17:AW19"/>
    <mergeCell ref="AX17:AX19"/>
    <mergeCell ref="BR17:BR19"/>
    <mergeCell ref="BS17:BS19"/>
    <mergeCell ref="BT17:BT19"/>
    <mergeCell ref="BV17:BV19"/>
    <mergeCell ref="BW17:BW19"/>
    <mergeCell ref="BU17:BU19"/>
    <mergeCell ref="S17:S19"/>
    <mergeCell ref="T17:T19"/>
    <mergeCell ref="U17:U19"/>
    <mergeCell ref="W17:W19"/>
    <mergeCell ref="X17:X19"/>
    <mergeCell ref="V17:V19"/>
  </mergeCells>
  <dataValidations count="2">
    <dataValidation type="list" errorTitle="Selection Needed" error="Please select an option from the drop-down list." prompt="Use the following format eg: January 1, 2013" sqref="BU30:BU34 BU37" xr:uid="{00000000-0002-0000-0400-000000000000}">
      <formula1>"Yes,No"</formula1>
    </dataValidation>
    <dataValidation errorTitle="Selection Needed" error="Please select an option from the drop-down list." prompt="Use the following format eg: January 1, 2013" sqref="BU28:BU29 BU35:BU36" xr:uid="{00000000-0002-0000-0400-000001000000}"/>
  </dataValidations>
  <pageMargins left="0.23622047244094491" right="0.23622047244094491" top="0.74803149606299213" bottom="0.74803149606299213" header="0.31496062992125984" footer="0.31496062992125984"/>
  <pageSetup scale="57" fitToWidth="8" orientation="portrait" r:id="rId1"/>
  <headerFooter>
    <oddFooter>&amp;C&amp;A</oddFooter>
  </headerFooter>
  <rowBreaks count="1" manualBreakCount="1">
    <brk id="45" max="78" man="1"/>
  </rowBreaks>
  <colBreaks count="4" manualBreakCount="4">
    <brk id="4" max="1048575" man="1"/>
    <brk id="14" max="54" man="1"/>
    <brk id="24" max="1048575" man="1"/>
    <brk id="44" max="1048575" man="1"/>
  </colBreaks>
  <ignoredErrors>
    <ignoredError sqref="BT24"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AA15510"/>
  <sheetViews>
    <sheetView workbookViewId="0">
      <selection activeCell="C16" sqref="C16"/>
    </sheetView>
  </sheetViews>
  <sheetFormatPr defaultRowHeight="14.4" x14ac:dyDescent="0.3"/>
  <cols>
    <col min="1" max="1" width="38.6640625" style="603" customWidth="1"/>
    <col min="2" max="2" width="11" bestFit="1" customWidth="1"/>
    <col min="3" max="3" width="49.33203125" customWidth="1"/>
    <col min="5" max="5" width="19.109375" style="678" customWidth="1"/>
    <col min="27" max="27" width="104.33203125" bestFit="1" customWidth="1"/>
  </cols>
  <sheetData>
    <row r="1" spans="1:27" x14ac:dyDescent="0.3">
      <c r="A1" s="1192" t="s">
        <v>3744</v>
      </c>
      <c r="B1" t="s">
        <v>5134</v>
      </c>
      <c r="C1" s="678" t="s">
        <v>2045</v>
      </c>
      <c r="D1" s="392"/>
      <c r="I1" t="s">
        <v>427</v>
      </c>
      <c r="Q1" t="s">
        <v>427</v>
      </c>
      <c r="X1">
        <v>8</v>
      </c>
      <c r="Y1">
        <v>0</v>
      </c>
    </row>
    <row r="2" spans="1:27" x14ac:dyDescent="0.3">
      <c r="A2" s="1192" t="s">
        <v>158</v>
      </c>
      <c r="B2" t="s">
        <v>5135</v>
      </c>
      <c r="C2" s="678" t="s">
        <v>3894</v>
      </c>
      <c r="D2" t="s">
        <v>603</v>
      </c>
      <c r="I2" t="s">
        <v>2522</v>
      </c>
      <c r="Q2" t="s">
        <v>2522</v>
      </c>
      <c r="AA2" t="s">
        <v>209</v>
      </c>
    </row>
    <row r="3" spans="1:27" x14ac:dyDescent="0.3">
      <c r="A3" s="1192" t="s">
        <v>195</v>
      </c>
      <c r="B3" t="s">
        <v>5155</v>
      </c>
      <c r="C3" s="678" t="s">
        <v>3895</v>
      </c>
      <c r="D3" t="s">
        <v>603</v>
      </c>
      <c r="I3" t="s">
        <v>611</v>
      </c>
      <c r="Q3" t="s">
        <v>611</v>
      </c>
      <c r="AA3" t="s">
        <v>609</v>
      </c>
    </row>
    <row r="4" spans="1:27" x14ac:dyDescent="0.3">
      <c r="A4" s="1192" t="s">
        <v>228</v>
      </c>
      <c r="B4" t="s">
        <v>5154</v>
      </c>
      <c r="C4" s="678" t="s">
        <v>4514</v>
      </c>
      <c r="D4" t="s">
        <v>603</v>
      </c>
      <c r="I4" t="s">
        <v>612</v>
      </c>
      <c r="Q4" t="s">
        <v>612</v>
      </c>
      <c r="AA4" t="s">
        <v>211</v>
      </c>
    </row>
    <row r="5" spans="1:27" x14ac:dyDescent="0.3">
      <c r="A5" s="1192" t="s">
        <v>169</v>
      </c>
      <c r="B5" t="s">
        <v>5183</v>
      </c>
      <c r="C5" s="678" t="s">
        <v>3896</v>
      </c>
      <c r="D5" t="s">
        <v>603</v>
      </c>
      <c r="I5" t="s">
        <v>592</v>
      </c>
      <c r="Q5" t="s">
        <v>592</v>
      </c>
      <c r="AA5" t="s">
        <v>595</v>
      </c>
    </row>
    <row r="6" spans="1:27" x14ac:dyDescent="0.3">
      <c r="A6" s="1192" t="s">
        <v>170</v>
      </c>
      <c r="B6" t="s">
        <v>5156</v>
      </c>
      <c r="C6" s="678" t="s">
        <v>5679</v>
      </c>
      <c r="D6" t="s">
        <v>603</v>
      </c>
      <c r="I6" t="s">
        <v>604</v>
      </c>
      <c r="Q6" t="s">
        <v>604</v>
      </c>
      <c r="AA6" t="s">
        <v>610</v>
      </c>
    </row>
    <row r="7" spans="1:27" x14ac:dyDescent="0.3">
      <c r="A7" s="1192" t="s">
        <v>415</v>
      </c>
      <c r="B7" t="s">
        <v>5137</v>
      </c>
      <c r="C7" s="1" t="s">
        <v>2045</v>
      </c>
      <c r="I7" t="s">
        <v>590</v>
      </c>
      <c r="Q7" t="s">
        <v>590</v>
      </c>
      <c r="AA7" t="s">
        <v>616</v>
      </c>
    </row>
    <row r="8" spans="1:27" x14ac:dyDescent="0.3">
      <c r="A8" s="1192" t="s">
        <v>171</v>
      </c>
      <c r="B8" t="s">
        <v>5136</v>
      </c>
      <c r="C8" s="1" t="s">
        <v>2045</v>
      </c>
      <c r="D8" t="s">
        <v>603</v>
      </c>
      <c r="I8" t="s">
        <v>593</v>
      </c>
      <c r="AA8" t="s">
        <v>212</v>
      </c>
    </row>
    <row r="9" spans="1:27" x14ac:dyDescent="0.3">
      <c r="A9" s="1192" t="s">
        <v>196</v>
      </c>
      <c r="B9" t="s">
        <v>5185</v>
      </c>
      <c r="C9" t="s">
        <v>6897</v>
      </c>
      <c r="E9"/>
      <c r="AA9" t="s">
        <v>219</v>
      </c>
    </row>
    <row r="10" spans="1:27" x14ac:dyDescent="0.3">
      <c r="A10" s="1192" t="s">
        <v>172</v>
      </c>
      <c r="B10" t="s">
        <v>5147</v>
      </c>
      <c r="C10" s="1" t="s">
        <v>6909</v>
      </c>
      <c r="D10" t="s">
        <v>603</v>
      </c>
    </row>
    <row r="11" spans="1:27" s="678" customFormat="1" x14ac:dyDescent="0.3">
      <c r="A11" s="1192" t="s">
        <v>173</v>
      </c>
      <c r="B11" t="s">
        <v>5157</v>
      </c>
      <c r="C11" s="1" t="s">
        <v>2045</v>
      </c>
    </row>
    <row r="12" spans="1:27" s="678" customFormat="1" x14ac:dyDescent="0.3">
      <c r="A12" s="1192" t="s">
        <v>5684</v>
      </c>
      <c r="B12" s="678" t="s">
        <v>5151</v>
      </c>
      <c r="C12" s="678" t="s">
        <v>5936</v>
      </c>
      <c r="D12" s="678" t="s">
        <v>603</v>
      </c>
    </row>
    <row r="13" spans="1:27" x14ac:dyDescent="0.3">
      <c r="A13" s="1192" t="s">
        <v>2041</v>
      </c>
      <c r="B13" t="s">
        <v>5187</v>
      </c>
      <c r="C13" s="678" t="s">
        <v>5683</v>
      </c>
    </row>
    <row r="14" spans="1:27" x14ac:dyDescent="0.3">
      <c r="A14" s="1192" t="s">
        <v>416</v>
      </c>
      <c r="B14" t="s">
        <v>5138</v>
      </c>
      <c r="C14" t="s">
        <v>2045</v>
      </c>
    </row>
    <row r="15" spans="1:27" x14ac:dyDescent="0.3">
      <c r="A15" s="1192" t="s">
        <v>4737</v>
      </c>
      <c r="B15" t="s">
        <v>5176</v>
      </c>
      <c r="C15" s="1" t="s">
        <v>4604</v>
      </c>
      <c r="D15" t="s">
        <v>603</v>
      </c>
    </row>
    <row r="16" spans="1:27" x14ac:dyDescent="0.3">
      <c r="A16" s="1192" t="s">
        <v>4649</v>
      </c>
      <c r="B16" t="s">
        <v>5158</v>
      </c>
      <c r="C16" s="1"/>
      <c r="D16" t="s">
        <v>603</v>
      </c>
    </row>
    <row r="17" spans="1:27" x14ac:dyDescent="0.3">
      <c r="A17" s="1192" t="s">
        <v>6898</v>
      </c>
      <c r="B17" t="s">
        <v>5178</v>
      </c>
      <c r="C17" t="s">
        <v>2042</v>
      </c>
      <c r="D17" t="s">
        <v>603</v>
      </c>
    </row>
    <row r="18" spans="1:27" x14ac:dyDescent="0.3">
      <c r="A18" s="603" t="s">
        <v>197</v>
      </c>
      <c r="B18" t="s">
        <v>5181</v>
      </c>
      <c r="C18" t="s">
        <v>2043</v>
      </c>
      <c r="D18" t="s">
        <v>603</v>
      </c>
    </row>
    <row r="19" spans="1:27" x14ac:dyDescent="0.3">
      <c r="A19" s="1192" t="s">
        <v>175</v>
      </c>
      <c r="B19" t="s">
        <v>5186</v>
      </c>
      <c r="C19" t="s">
        <v>2045</v>
      </c>
    </row>
    <row r="20" spans="1:27" x14ac:dyDescent="0.3">
      <c r="A20" s="1192" t="s">
        <v>176</v>
      </c>
      <c r="B20" t="s">
        <v>5159</v>
      </c>
      <c r="C20" t="s">
        <v>2045</v>
      </c>
      <c r="D20" t="s">
        <v>603</v>
      </c>
    </row>
    <row r="21" spans="1:27" x14ac:dyDescent="0.3">
      <c r="A21" s="1192" t="s">
        <v>177</v>
      </c>
      <c r="B21" t="s">
        <v>5139</v>
      </c>
      <c r="C21" t="s">
        <v>2044</v>
      </c>
      <c r="AA21" t="s">
        <v>213</v>
      </c>
    </row>
    <row r="22" spans="1:27" x14ac:dyDescent="0.3">
      <c r="A22" s="1192" t="s">
        <v>160</v>
      </c>
      <c r="B22" t="s">
        <v>5160</v>
      </c>
      <c r="C22" t="s">
        <v>2046</v>
      </c>
      <c r="AA22" t="s">
        <v>607</v>
      </c>
    </row>
    <row r="23" spans="1:27" x14ac:dyDescent="0.3">
      <c r="A23" s="1192" t="s">
        <v>600</v>
      </c>
      <c r="B23" t="s">
        <v>5161</v>
      </c>
      <c r="C23" t="s">
        <v>2047</v>
      </c>
      <c r="AA23" t="s">
        <v>215</v>
      </c>
    </row>
    <row r="24" spans="1:27" x14ac:dyDescent="0.3">
      <c r="A24" s="1192" t="s">
        <v>199</v>
      </c>
      <c r="B24" t="s">
        <v>5140</v>
      </c>
      <c r="C24" t="s">
        <v>2045</v>
      </c>
      <c r="AA24" t="s">
        <v>216</v>
      </c>
    </row>
    <row r="25" spans="1:27" x14ac:dyDescent="0.3">
      <c r="A25" s="1192" t="s">
        <v>4745</v>
      </c>
      <c r="B25" t="s">
        <v>5162</v>
      </c>
      <c r="C25" t="s">
        <v>4544</v>
      </c>
      <c r="D25" t="s">
        <v>603</v>
      </c>
      <c r="AA25" t="s">
        <v>608</v>
      </c>
    </row>
    <row r="26" spans="1:27" x14ac:dyDescent="0.3">
      <c r="A26" s="1192" t="s">
        <v>200</v>
      </c>
      <c r="B26" t="s">
        <v>5177</v>
      </c>
      <c r="C26" t="s">
        <v>4540</v>
      </c>
    </row>
    <row r="27" spans="1:27" x14ac:dyDescent="0.3">
      <c r="A27" s="1192" t="s">
        <v>179</v>
      </c>
      <c r="B27" t="s">
        <v>5188</v>
      </c>
      <c r="C27" t="s">
        <v>2045</v>
      </c>
      <c r="AA27" t="s">
        <v>218</v>
      </c>
    </row>
    <row r="28" spans="1:27" x14ac:dyDescent="0.3">
      <c r="A28" s="1192" t="s">
        <v>207</v>
      </c>
      <c r="B28" t="s">
        <v>5141</v>
      </c>
      <c r="C28" s="678" t="s">
        <v>4615</v>
      </c>
    </row>
    <row r="29" spans="1:27" s="678" customFormat="1" x14ac:dyDescent="0.3">
      <c r="A29" s="1192" t="s">
        <v>201</v>
      </c>
      <c r="B29" t="s">
        <v>5163</v>
      </c>
      <c r="C29" t="s">
        <v>4628</v>
      </c>
      <c r="D29" s="678" t="s">
        <v>603</v>
      </c>
    </row>
    <row r="30" spans="1:27" s="678" customFormat="1" x14ac:dyDescent="0.3">
      <c r="A30" s="1192" t="s">
        <v>1950</v>
      </c>
      <c r="B30" s="678" t="s">
        <v>5682</v>
      </c>
    </row>
    <row r="31" spans="1:27" x14ac:dyDescent="0.3">
      <c r="A31" s="1192" t="s">
        <v>159</v>
      </c>
      <c r="B31" t="s">
        <v>5142</v>
      </c>
      <c r="C31" t="s">
        <v>2045</v>
      </c>
    </row>
    <row r="32" spans="1:27" x14ac:dyDescent="0.3">
      <c r="A32" s="1192" t="s">
        <v>180</v>
      </c>
      <c r="B32" t="s">
        <v>5143</v>
      </c>
      <c r="C32" t="s">
        <v>2045</v>
      </c>
    </row>
    <row r="33" spans="1:4" x14ac:dyDescent="0.3">
      <c r="A33" s="1192" t="s">
        <v>202</v>
      </c>
      <c r="B33" t="s">
        <v>5144</v>
      </c>
      <c r="C33" t="s">
        <v>4695</v>
      </c>
    </row>
    <row r="34" spans="1:4" x14ac:dyDescent="0.3">
      <c r="A34" s="1192" t="s">
        <v>181</v>
      </c>
      <c r="B34" t="s">
        <v>5145</v>
      </c>
      <c r="C34" t="s">
        <v>5294</v>
      </c>
      <c r="D34" t="s">
        <v>603</v>
      </c>
    </row>
    <row r="35" spans="1:4" x14ac:dyDescent="0.3">
      <c r="A35" s="1192" t="s">
        <v>182</v>
      </c>
      <c r="B35" t="s">
        <v>5148</v>
      </c>
      <c r="C35" t="s">
        <v>2045</v>
      </c>
    </row>
    <row r="36" spans="1:4" x14ac:dyDescent="0.3">
      <c r="A36" s="1192" t="s">
        <v>429</v>
      </c>
      <c r="B36" t="s">
        <v>5152</v>
      </c>
      <c r="C36" t="s">
        <v>2045</v>
      </c>
      <c r="D36" t="s">
        <v>603</v>
      </c>
    </row>
    <row r="37" spans="1:4" x14ac:dyDescent="0.3">
      <c r="A37" s="1192" t="s">
        <v>621</v>
      </c>
      <c r="B37" t="s">
        <v>5165</v>
      </c>
      <c r="C37" t="s">
        <v>2045</v>
      </c>
      <c r="D37" t="s">
        <v>603</v>
      </c>
    </row>
    <row r="38" spans="1:4" x14ac:dyDescent="0.3">
      <c r="A38" s="1192" t="s">
        <v>418</v>
      </c>
      <c r="B38" t="s">
        <v>5166</v>
      </c>
      <c r="C38" t="s">
        <v>2045</v>
      </c>
    </row>
    <row r="39" spans="1:4" x14ac:dyDescent="0.3">
      <c r="A39" s="1192" t="s">
        <v>184</v>
      </c>
      <c r="B39" t="s">
        <v>5153</v>
      </c>
      <c r="C39" t="s">
        <v>2045</v>
      </c>
    </row>
    <row r="40" spans="1:4" x14ac:dyDescent="0.3">
      <c r="A40" s="1192" t="s">
        <v>185</v>
      </c>
      <c r="B40" t="s">
        <v>5169</v>
      </c>
      <c r="C40" t="s">
        <v>2045</v>
      </c>
      <c r="D40" t="s">
        <v>603</v>
      </c>
    </row>
    <row r="41" spans="1:4" x14ac:dyDescent="0.3">
      <c r="A41" s="1192" t="s">
        <v>186</v>
      </c>
      <c r="B41" t="s">
        <v>5189</v>
      </c>
      <c r="C41" t="s">
        <v>2045</v>
      </c>
      <c r="D41" t="s">
        <v>603</v>
      </c>
    </row>
    <row r="42" spans="1:4" x14ac:dyDescent="0.3">
      <c r="A42" s="1192" t="s">
        <v>234</v>
      </c>
      <c r="B42" t="s">
        <v>5167</v>
      </c>
      <c r="C42" t="s">
        <v>2045</v>
      </c>
    </row>
    <row r="43" spans="1:4" x14ac:dyDescent="0.3">
      <c r="A43" s="1192" t="s">
        <v>142</v>
      </c>
      <c r="B43" t="s">
        <v>5168</v>
      </c>
      <c r="C43" t="s">
        <v>2045</v>
      </c>
    </row>
    <row r="44" spans="1:4" x14ac:dyDescent="0.3">
      <c r="A44" s="1192" t="s">
        <v>235</v>
      </c>
      <c r="B44" t="s">
        <v>5184</v>
      </c>
      <c r="C44" t="s">
        <v>2045</v>
      </c>
    </row>
    <row r="45" spans="1:4" x14ac:dyDescent="0.3">
      <c r="A45" s="1192" t="s">
        <v>203</v>
      </c>
      <c r="B45" t="s">
        <v>5170</v>
      </c>
      <c r="C45" t="s">
        <v>2045</v>
      </c>
    </row>
    <row r="46" spans="1:4" x14ac:dyDescent="0.3">
      <c r="A46" s="1192" t="s">
        <v>187</v>
      </c>
      <c r="B46" t="s">
        <v>5171</v>
      </c>
      <c r="C46" t="s">
        <v>2045</v>
      </c>
    </row>
    <row r="47" spans="1:4" x14ac:dyDescent="0.3">
      <c r="A47" s="1192" t="s">
        <v>236</v>
      </c>
      <c r="B47" t="s">
        <v>5182</v>
      </c>
      <c r="C47" t="s">
        <v>2045</v>
      </c>
      <c r="D47" t="s">
        <v>603</v>
      </c>
    </row>
    <row r="48" spans="1:4" x14ac:dyDescent="0.3">
      <c r="A48" s="1192" t="s">
        <v>188</v>
      </c>
      <c r="B48" t="s">
        <v>5172</v>
      </c>
      <c r="C48" t="s">
        <v>2045</v>
      </c>
    </row>
    <row r="49" spans="1:5" x14ac:dyDescent="0.3">
      <c r="A49" s="1192" t="s">
        <v>189</v>
      </c>
      <c r="B49" t="s">
        <v>5173</v>
      </c>
      <c r="C49" t="s">
        <v>2045</v>
      </c>
      <c r="D49" t="s">
        <v>603</v>
      </c>
    </row>
    <row r="50" spans="1:5" x14ac:dyDescent="0.3">
      <c r="A50" s="1192" t="s">
        <v>204</v>
      </c>
      <c r="B50" t="s">
        <v>5190</v>
      </c>
      <c r="C50" t="s">
        <v>2045</v>
      </c>
      <c r="D50" t="s">
        <v>603</v>
      </c>
    </row>
    <row r="51" spans="1:5" x14ac:dyDescent="0.3">
      <c r="A51" s="1192" t="s">
        <v>190</v>
      </c>
      <c r="B51" t="s">
        <v>5146</v>
      </c>
      <c r="C51" t="s">
        <v>2045</v>
      </c>
      <c r="D51" t="s">
        <v>603</v>
      </c>
    </row>
    <row r="52" spans="1:5" x14ac:dyDescent="0.3">
      <c r="A52" s="1192" t="s">
        <v>4692</v>
      </c>
      <c r="B52" t="s">
        <v>5174</v>
      </c>
      <c r="C52" t="s">
        <v>2045</v>
      </c>
    </row>
    <row r="53" spans="1:5" x14ac:dyDescent="0.3">
      <c r="A53" s="1192" t="s">
        <v>191</v>
      </c>
      <c r="B53" t="s">
        <v>5175</v>
      </c>
      <c r="C53" t="s">
        <v>2045</v>
      </c>
    </row>
    <row r="54" spans="1:5" x14ac:dyDescent="0.3">
      <c r="A54" s="1192" t="s">
        <v>165</v>
      </c>
      <c r="B54" t="s">
        <v>5164</v>
      </c>
      <c r="C54" t="s">
        <v>2045</v>
      </c>
      <c r="D54" t="s">
        <v>603</v>
      </c>
    </row>
    <row r="55" spans="1:5" x14ac:dyDescent="0.3">
      <c r="A55" s="1192" t="s">
        <v>166</v>
      </c>
      <c r="B55" t="s">
        <v>5179</v>
      </c>
      <c r="C55" t="s">
        <v>2045</v>
      </c>
      <c r="D55" t="s">
        <v>603</v>
      </c>
    </row>
    <row r="56" spans="1:5" x14ac:dyDescent="0.3">
      <c r="A56" s="1192" t="s">
        <v>167</v>
      </c>
      <c r="B56" t="s">
        <v>5149</v>
      </c>
      <c r="C56" t="s">
        <v>2045</v>
      </c>
    </row>
    <row r="57" spans="1:5" x14ac:dyDescent="0.3">
      <c r="A57" s="1192" t="s">
        <v>238</v>
      </c>
      <c r="B57" t="s">
        <v>5180</v>
      </c>
      <c r="C57" s="678" t="s">
        <v>2045</v>
      </c>
    </row>
    <row r="58" spans="1:5" s="678" customFormat="1" x14ac:dyDescent="0.3">
      <c r="A58" s="1192" t="s">
        <v>206</v>
      </c>
      <c r="B58" t="s">
        <v>5150</v>
      </c>
      <c r="C58" t="s">
        <v>2045</v>
      </c>
    </row>
    <row r="59" spans="1:5" x14ac:dyDescent="0.3">
      <c r="A59" s="1192" t="s">
        <v>193</v>
      </c>
      <c r="B59" s="1192" t="s">
        <v>6875</v>
      </c>
      <c r="C59" t="s">
        <v>2045</v>
      </c>
      <c r="D59" t="s">
        <v>603</v>
      </c>
    </row>
    <row r="60" spans="1:5" x14ac:dyDescent="0.3">
      <c r="A60"/>
      <c r="B60" s="1192"/>
    </row>
    <row r="61" spans="1:5" x14ac:dyDescent="0.3">
      <c r="A61"/>
      <c r="D61" t="s">
        <v>603</v>
      </c>
      <c r="E61"/>
    </row>
    <row r="62" spans="1:5" x14ac:dyDescent="0.3">
      <c r="A62"/>
      <c r="D62" t="s">
        <v>603</v>
      </c>
      <c r="E62"/>
    </row>
    <row r="63" spans="1:5" x14ac:dyDescent="0.3">
      <c r="A63"/>
      <c r="E63"/>
    </row>
    <row r="64" spans="1:5" x14ac:dyDescent="0.3">
      <c r="A64"/>
      <c r="E64"/>
    </row>
    <row r="65" spans="1:5" x14ac:dyDescent="0.3">
      <c r="A65"/>
      <c r="E65"/>
    </row>
    <row r="66" spans="1:5" x14ac:dyDescent="0.3">
      <c r="A66"/>
      <c r="D66" t="s">
        <v>603</v>
      </c>
      <c r="E66"/>
    </row>
    <row r="67" spans="1:5" x14ac:dyDescent="0.3">
      <c r="A67"/>
      <c r="E67"/>
    </row>
    <row r="68" spans="1:5" x14ac:dyDescent="0.3">
      <c r="A68"/>
      <c r="D68" t="s">
        <v>603</v>
      </c>
      <c r="E68"/>
    </row>
    <row r="69" spans="1:5" x14ac:dyDescent="0.3">
      <c r="A69"/>
      <c r="E69"/>
    </row>
    <row r="70" spans="1:5" x14ac:dyDescent="0.3">
      <c r="A70"/>
      <c r="E70"/>
    </row>
    <row r="71" spans="1:5" x14ac:dyDescent="0.3">
      <c r="A71"/>
      <c r="D71" t="s">
        <v>603</v>
      </c>
      <c r="E71"/>
    </row>
    <row r="72" spans="1:5" x14ac:dyDescent="0.3">
      <c r="A72"/>
      <c r="D72" t="s">
        <v>603</v>
      </c>
      <c r="E72"/>
    </row>
    <row r="73" spans="1:5" x14ac:dyDescent="0.3">
      <c r="A73"/>
      <c r="D73" s="678"/>
      <c r="E73"/>
    </row>
    <row r="74" spans="1:5" x14ac:dyDescent="0.3">
      <c r="A74"/>
      <c r="D74" s="678"/>
      <c r="E74"/>
    </row>
    <row r="75" spans="1:5" x14ac:dyDescent="0.3">
      <c r="A75"/>
      <c r="D75" s="678"/>
      <c r="E75"/>
    </row>
    <row r="76" spans="1:5" x14ac:dyDescent="0.3">
      <c r="A76"/>
      <c r="D76" s="678"/>
      <c r="E76"/>
    </row>
    <row r="77" spans="1:5" x14ac:dyDescent="0.3">
      <c r="A77"/>
      <c r="D77" s="678"/>
      <c r="E77"/>
    </row>
    <row r="78" spans="1:5" x14ac:dyDescent="0.3">
      <c r="A78"/>
      <c r="D78" s="678"/>
      <c r="E78"/>
    </row>
    <row r="79" spans="1:5" x14ac:dyDescent="0.3">
      <c r="A79"/>
      <c r="D79" s="678"/>
      <c r="E79"/>
    </row>
    <row r="80" spans="1:5" x14ac:dyDescent="0.3">
      <c r="A80"/>
      <c r="D80" s="678"/>
      <c r="E80"/>
    </row>
    <row r="81" spans="1:5" x14ac:dyDescent="0.3">
      <c r="A81"/>
      <c r="D81" s="678"/>
      <c r="E81"/>
    </row>
    <row r="82" spans="1:5" x14ac:dyDescent="0.3">
      <c r="A82"/>
      <c r="D82" s="678"/>
      <c r="E82"/>
    </row>
    <row r="83" spans="1:5" x14ac:dyDescent="0.3">
      <c r="A83"/>
      <c r="D83" s="678"/>
      <c r="E83"/>
    </row>
    <row r="84" spans="1:5" x14ac:dyDescent="0.3">
      <c r="A84"/>
      <c r="D84" s="678"/>
      <c r="E84"/>
    </row>
    <row r="85" spans="1:5" x14ac:dyDescent="0.3">
      <c r="A85"/>
      <c r="D85" s="678"/>
      <c r="E85"/>
    </row>
    <row r="86" spans="1:5" x14ac:dyDescent="0.3">
      <c r="A86"/>
      <c r="D86" s="678"/>
      <c r="E86"/>
    </row>
    <row r="87" spans="1:5" x14ac:dyDescent="0.3">
      <c r="A87"/>
      <c r="D87" s="678"/>
      <c r="E87"/>
    </row>
    <row r="88" spans="1:5" x14ac:dyDescent="0.3">
      <c r="A88"/>
      <c r="D88" s="678"/>
      <c r="E88"/>
    </row>
    <row r="89" spans="1:5" x14ac:dyDescent="0.3">
      <c r="A89"/>
      <c r="D89" s="678"/>
      <c r="E89"/>
    </row>
    <row r="90" spans="1:5" x14ac:dyDescent="0.3">
      <c r="A90"/>
      <c r="D90" s="678"/>
      <c r="E90"/>
    </row>
    <row r="91" spans="1:5" x14ac:dyDescent="0.3">
      <c r="A91"/>
      <c r="D91" s="678"/>
      <c r="E91"/>
    </row>
    <row r="92" spans="1:5" x14ac:dyDescent="0.3">
      <c r="A92"/>
      <c r="D92" s="678"/>
      <c r="E92"/>
    </row>
    <row r="93" spans="1:5" x14ac:dyDescent="0.3">
      <c r="A93"/>
      <c r="D93" s="678"/>
      <c r="E93"/>
    </row>
    <row r="94" spans="1:5" x14ac:dyDescent="0.3">
      <c r="A94"/>
      <c r="D94" s="678"/>
      <c r="E94"/>
    </row>
    <row r="95" spans="1:5" x14ac:dyDescent="0.3">
      <c r="A95"/>
      <c r="D95" s="678"/>
      <c r="E95"/>
    </row>
    <row r="96" spans="1:5" x14ac:dyDescent="0.3">
      <c r="A96"/>
      <c r="D96" s="678"/>
      <c r="E96"/>
    </row>
    <row r="97" spans="1:5" x14ac:dyDescent="0.3">
      <c r="A97"/>
      <c r="D97" s="678"/>
      <c r="E97"/>
    </row>
    <row r="98" spans="1:5" x14ac:dyDescent="0.3">
      <c r="A98"/>
      <c r="D98" s="678"/>
      <c r="E98"/>
    </row>
    <row r="99" spans="1:5" x14ac:dyDescent="0.3">
      <c r="A99"/>
      <c r="D99" s="678"/>
      <c r="E99"/>
    </row>
    <row r="100" spans="1:5" x14ac:dyDescent="0.3">
      <c r="A100"/>
      <c r="D100" s="678"/>
      <c r="E100"/>
    </row>
    <row r="101" spans="1:5" x14ac:dyDescent="0.3">
      <c r="A101"/>
      <c r="D101" s="678"/>
      <c r="E101"/>
    </row>
    <row r="102" spans="1:5" x14ac:dyDescent="0.3">
      <c r="A102"/>
      <c r="D102" s="678"/>
      <c r="E102"/>
    </row>
    <row r="103" spans="1:5" x14ac:dyDescent="0.3">
      <c r="A103"/>
      <c r="D103" s="678"/>
      <c r="E103"/>
    </row>
    <row r="104" spans="1:5" x14ac:dyDescent="0.3">
      <c r="A104"/>
      <c r="D104" s="678"/>
      <c r="E104"/>
    </row>
    <row r="105" spans="1:5" x14ac:dyDescent="0.3">
      <c r="A105"/>
      <c r="D105" s="678"/>
      <c r="E105"/>
    </row>
    <row r="106" spans="1:5" x14ac:dyDescent="0.3">
      <c r="A106"/>
      <c r="D106" s="678"/>
      <c r="E106"/>
    </row>
    <row r="107" spans="1:5" x14ac:dyDescent="0.3">
      <c r="A107"/>
      <c r="D107" s="678"/>
      <c r="E107"/>
    </row>
    <row r="108" spans="1:5" x14ac:dyDescent="0.3">
      <c r="A108"/>
      <c r="D108" s="678"/>
      <c r="E108"/>
    </row>
    <row r="109" spans="1:5" x14ac:dyDescent="0.3">
      <c r="A109"/>
      <c r="D109" s="678"/>
      <c r="E109"/>
    </row>
    <row r="110" spans="1:5" x14ac:dyDescent="0.3">
      <c r="A110"/>
      <c r="D110" s="678"/>
      <c r="E110"/>
    </row>
    <row r="111" spans="1:5" x14ac:dyDescent="0.3">
      <c r="A111"/>
      <c r="D111" s="678"/>
      <c r="E111"/>
    </row>
    <row r="112" spans="1:5" x14ac:dyDescent="0.3">
      <c r="A112"/>
      <c r="D112" s="678"/>
      <c r="E112"/>
    </row>
    <row r="113" spans="1:5" x14ac:dyDescent="0.3">
      <c r="A113"/>
      <c r="D113" s="678"/>
      <c r="E113"/>
    </row>
    <row r="114" spans="1:5" x14ac:dyDescent="0.3">
      <c r="A114"/>
      <c r="D114" s="678"/>
      <c r="E114"/>
    </row>
    <row r="115" spans="1:5" x14ac:dyDescent="0.3">
      <c r="A115"/>
      <c r="D115" s="678"/>
      <c r="E115"/>
    </row>
    <row r="116" spans="1:5" x14ac:dyDescent="0.3">
      <c r="A116"/>
      <c r="D116" s="678"/>
      <c r="E116"/>
    </row>
    <row r="117" spans="1:5" x14ac:dyDescent="0.3">
      <c r="A117"/>
      <c r="D117" s="678"/>
      <c r="E117"/>
    </row>
    <row r="118" spans="1:5" x14ac:dyDescent="0.3">
      <c r="A118"/>
      <c r="D118" s="678"/>
      <c r="E118"/>
    </row>
    <row r="119" spans="1:5" x14ac:dyDescent="0.3">
      <c r="A119"/>
      <c r="D119" s="678"/>
      <c r="E119"/>
    </row>
    <row r="120" spans="1:5" x14ac:dyDescent="0.3">
      <c r="A120"/>
      <c r="D120" s="678"/>
      <c r="E120"/>
    </row>
    <row r="121" spans="1:5" x14ac:dyDescent="0.3">
      <c r="A121"/>
      <c r="D121" s="678"/>
      <c r="E121"/>
    </row>
    <row r="122" spans="1:5" x14ac:dyDescent="0.3">
      <c r="A122"/>
      <c r="D122" s="678"/>
      <c r="E122"/>
    </row>
    <row r="123" spans="1:5" x14ac:dyDescent="0.3">
      <c r="A123"/>
      <c r="D123" s="678"/>
      <c r="E123"/>
    </row>
    <row r="124" spans="1:5" x14ac:dyDescent="0.3">
      <c r="A124"/>
      <c r="D124" s="678"/>
      <c r="E124"/>
    </row>
    <row r="125" spans="1:5" x14ac:dyDescent="0.3">
      <c r="A125"/>
      <c r="D125" s="678"/>
      <c r="E125"/>
    </row>
    <row r="126" spans="1:5" x14ac:dyDescent="0.3">
      <c r="A126"/>
      <c r="D126" s="678"/>
      <c r="E126"/>
    </row>
    <row r="127" spans="1:5" x14ac:dyDescent="0.3">
      <c r="A127"/>
      <c r="D127" s="678"/>
      <c r="E127"/>
    </row>
    <row r="128" spans="1:5" x14ac:dyDescent="0.3">
      <c r="A128"/>
      <c r="D128" s="678"/>
      <c r="E128"/>
    </row>
    <row r="129" spans="1:5" x14ac:dyDescent="0.3">
      <c r="A129"/>
      <c r="D129" s="678"/>
      <c r="E129"/>
    </row>
    <row r="130" spans="1:5" x14ac:dyDescent="0.3">
      <c r="A130"/>
      <c r="D130" s="678"/>
      <c r="E130"/>
    </row>
    <row r="131" spans="1:5" x14ac:dyDescent="0.3">
      <c r="A131"/>
      <c r="D131" s="678"/>
      <c r="E131"/>
    </row>
    <row r="132" spans="1:5" x14ac:dyDescent="0.3">
      <c r="A132"/>
      <c r="D132" s="678"/>
      <c r="E132"/>
    </row>
    <row r="133" spans="1:5" x14ac:dyDescent="0.3">
      <c r="A133"/>
      <c r="D133" s="678"/>
      <c r="E133"/>
    </row>
    <row r="134" spans="1:5" x14ac:dyDescent="0.3">
      <c r="A134"/>
      <c r="D134" s="678"/>
      <c r="E134"/>
    </row>
    <row r="135" spans="1:5" x14ac:dyDescent="0.3">
      <c r="A135"/>
      <c r="D135" s="678"/>
      <c r="E135"/>
    </row>
    <row r="136" spans="1:5" x14ac:dyDescent="0.3">
      <c r="A136"/>
      <c r="D136" s="678"/>
      <c r="E136"/>
    </row>
    <row r="137" spans="1:5" x14ac:dyDescent="0.3">
      <c r="A137"/>
      <c r="D137" s="678"/>
      <c r="E137"/>
    </row>
    <row r="138" spans="1:5" x14ac:dyDescent="0.3">
      <c r="A138"/>
      <c r="D138" s="678"/>
      <c r="E138"/>
    </row>
    <row r="139" spans="1:5" x14ac:dyDescent="0.3">
      <c r="A139"/>
      <c r="D139" s="678"/>
      <c r="E139"/>
    </row>
    <row r="140" spans="1:5" x14ac:dyDescent="0.3">
      <c r="A140"/>
      <c r="D140" s="678"/>
      <c r="E140"/>
    </row>
    <row r="141" spans="1:5" x14ac:dyDescent="0.3">
      <c r="A141"/>
      <c r="D141" s="678"/>
      <c r="E141"/>
    </row>
    <row r="142" spans="1:5" x14ac:dyDescent="0.3">
      <c r="A142"/>
      <c r="D142" s="678"/>
      <c r="E142"/>
    </row>
    <row r="143" spans="1:5" x14ac:dyDescent="0.3">
      <c r="A143"/>
      <c r="D143" s="678"/>
      <c r="E143"/>
    </row>
    <row r="144" spans="1:5" x14ac:dyDescent="0.3">
      <c r="A144"/>
      <c r="D144" s="678"/>
      <c r="E144"/>
    </row>
    <row r="145" spans="1:5" x14ac:dyDescent="0.3">
      <c r="A145"/>
      <c r="D145" s="678"/>
      <c r="E145"/>
    </row>
    <row r="146" spans="1:5" x14ac:dyDescent="0.3">
      <c r="A146"/>
      <c r="D146" s="678"/>
      <c r="E146"/>
    </row>
    <row r="147" spans="1:5" x14ac:dyDescent="0.3">
      <c r="A147"/>
      <c r="D147" s="678"/>
      <c r="E147"/>
    </row>
    <row r="148" spans="1:5" x14ac:dyDescent="0.3">
      <c r="A148"/>
      <c r="D148" s="678"/>
      <c r="E148"/>
    </row>
    <row r="149" spans="1:5" x14ac:dyDescent="0.3">
      <c r="A149"/>
      <c r="D149" s="678"/>
      <c r="E149"/>
    </row>
    <row r="150" spans="1:5" x14ac:dyDescent="0.3">
      <c r="A150"/>
      <c r="D150" s="678"/>
      <c r="E150"/>
    </row>
    <row r="151" spans="1:5" x14ac:dyDescent="0.3">
      <c r="A151"/>
      <c r="D151" s="678"/>
      <c r="E151"/>
    </row>
    <row r="152" spans="1:5" x14ac:dyDescent="0.3">
      <c r="A152"/>
      <c r="D152" s="678"/>
      <c r="E152"/>
    </row>
    <row r="153" spans="1:5" x14ac:dyDescent="0.3">
      <c r="A153"/>
      <c r="D153" s="678"/>
      <c r="E153"/>
    </row>
    <row r="154" spans="1:5" x14ac:dyDescent="0.3">
      <c r="A154"/>
      <c r="D154" s="678"/>
      <c r="E154"/>
    </row>
    <row r="155" spans="1:5" x14ac:dyDescent="0.3">
      <c r="A155"/>
      <c r="D155" s="678"/>
      <c r="E155"/>
    </row>
    <row r="156" spans="1:5" x14ac:dyDescent="0.3">
      <c r="A156"/>
      <c r="D156" s="678"/>
      <c r="E156"/>
    </row>
    <row r="157" spans="1:5" x14ac:dyDescent="0.3">
      <c r="A157"/>
      <c r="D157" s="678"/>
      <c r="E157"/>
    </row>
    <row r="158" spans="1:5" x14ac:dyDescent="0.3">
      <c r="A158"/>
      <c r="D158" s="678"/>
      <c r="E158"/>
    </row>
    <row r="159" spans="1:5" x14ac:dyDescent="0.3">
      <c r="A159"/>
      <c r="D159" s="678"/>
      <c r="E159"/>
    </row>
    <row r="160" spans="1:5" x14ac:dyDescent="0.3">
      <c r="A160"/>
      <c r="D160" s="678"/>
      <c r="E160"/>
    </row>
    <row r="161" spans="1:5" x14ac:dyDescent="0.3">
      <c r="A161"/>
      <c r="D161" s="678"/>
      <c r="E161"/>
    </row>
    <row r="162" spans="1:5" x14ac:dyDescent="0.3">
      <c r="A162"/>
      <c r="D162" s="678"/>
      <c r="E162"/>
    </row>
    <row r="163" spans="1:5" x14ac:dyDescent="0.3">
      <c r="A163"/>
      <c r="D163" s="678"/>
      <c r="E163"/>
    </row>
    <row r="164" spans="1:5" x14ac:dyDescent="0.3">
      <c r="A164"/>
      <c r="D164" s="678"/>
      <c r="E164"/>
    </row>
    <row r="165" spans="1:5" x14ac:dyDescent="0.3">
      <c r="A165"/>
      <c r="D165" s="678"/>
      <c r="E165"/>
    </row>
    <row r="166" spans="1:5" x14ac:dyDescent="0.3">
      <c r="A166"/>
      <c r="D166" s="678"/>
      <c r="E166"/>
    </row>
    <row r="167" spans="1:5" x14ac:dyDescent="0.3">
      <c r="A167"/>
      <c r="D167" s="678"/>
      <c r="E167"/>
    </row>
    <row r="168" spans="1:5" x14ac:dyDescent="0.3">
      <c r="A168"/>
      <c r="D168" s="678"/>
      <c r="E168"/>
    </row>
    <row r="169" spans="1:5" x14ac:dyDescent="0.3">
      <c r="A169"/>
      <c r="D169" s="678"/>
      <c r="E169"/>
    </row>
    <row r="170" spans="1:5" x14ac:dyDescent="0.3">
      <c r="A170"/>
      <c r="D170" s="678"/>
      <c r="E170"/>
    </row>
    <row r="171" spans="1:5" x14ac:dyDescent="0.3">
      <c r="A171"/>
      <c r="D171" s="678"/>
      <c r="E171"/>
    </row>
    <row r="172" spans="1:5" x14ac:dyDescent="0.3">
      <c r="A172"/>
      <c r="D172" s="678"/>
      <c r="E172"/>
    </row>
    <row r="173" spans="1:5" x14ac:dyDescent="0.3">
      <c r="A173"/>
      <c r="D173" s="678"/>
      <c r="E173"/>
    </row>
    <row r="174" spans="1:5" x14ac:dyDescent="0.3">
      <c r="A174"/>
      <c r="D174" s="678"/>
      <c r="E174"/>
    </row>
    <row r="175" spans="1:5" x14ac:dyDescent="0.3">
      <c r="A175"/>
      <c r="D175" s="678"/>
      <c r="E175"/>
    </row>
    <row r="176" spans="1:5" x14ac:dyDescent="0.3">
      <c r="A176"/>
      <c r="D176" s="678"/>
      <c r="E176"/>
    </row>
    <row r="177" spans="1:5" x14ac:dyDescent="0.3">
      <c r="A177"/>
      <c r="D177" s="678"/>
      <c r="E177"/>
    </row>
    <row r="178" spans="1:5" x14ac:dyDescent="0.3">
      <c r="A178"/>
      <c r="D178" s="678"/>
      <c r="E178"/>
    </row>
    <row r="179" spans="1:5" x14ac:dyDescent="0.3">
      <c r="A179"/>
      <c r="D179" s="678"/>
      <c r="E179"/>
    </row>
    <row r="180" spans="1:5" x14ac:dyDescent="0.3">
      <c r="A180"/>
      <c r="D180" s="678"/>
      <c r="E180"/>
    </row>
    <row r="181" spans="1:5" x14ac:dyDescent="0.3">
      <c r="A181"/>
      <c r="D181" s="678"/>
      <c r="E181"/>
    </row>
    <row r="182" spans="1:5" x14ac:dyDescent="0.3">
      <c r="A182"/>
      <c r="D182" s="678"/>
      <c r="E182"/>
    </row>
    <row r="183" spans="1:5" x14ac:dyDescent="0.3">
      <c r="A183"/>
      <c r="D183" s="678"/>
      <c r="E183"/>
    </row>
    <row r="184" spans="1:5" x14ac:dyDescent="0.3">
      <c r="A184"/>
      <c r="D184" s="678"/>
      <c r="E184"/>
    </row>
    <row r="185" spans="1:5" x14ac:dyDescent="0.3">
      <c r="A185"/>
      <c r="D185" s="678"/>
      <c r="E185"/>
    </row>
    <row r="186" spans="1:5" x14ac:dyDescent="0.3">
      <c r="A186"/>
      <c r="D186" s="678"/>
      <c r="E186"/>
    </row>
    <row r="187" spans="1:5" x14ac:dyDescent="0.3">
      <c r="A187"/>
      <c r="D187" s="678"/>
      <c r="E187"/>
    </row>
    <row r="188" spans="1:5" x14ac:dyDescent="0.3">
      <c r="A188"/>
      <c r="D188" s="678"/>
      <c r="E188"/>
    </row>
    <row r="189" spans="1:5" x14ac:dyDescent="0.3">
      <c r="A189"/>
      <c r="D189" s="678"/>
      <c r="E189"/>
    </row>
    <row r="190" spans="1:5" x14ac:dyDescent="0.3">
      <c r="A190"/>
      <c r="D190" s="678"/>
      <c r="E190"/>
    </row>
    <row r="191" spans="1:5" x14ac:dyDescent="0.3">
      <c r="A191"/>
      <c r="D191" s="678"/>
      <c r="E191"/>
    </row>
    <row r="192" spans="1:5" x14ac:dyDescent="0.3">
      <c r="A192"/>
      <c r="D192" s="678"/>
      <c r="E192"/>
    </row>
    <row r="193" spans="1:5" x14ac:dyDescent="0.3">
      <c r="A193"/>
      <c r="D193" s="678"/>
      <c r="E193"/>
    </row>
    <row r="194" spans="1:5" x14ac:dyDescent="0.3">
      <c r="A194"/>
      <c r="D194" s="678"/>
      <c r="E194"/>
    </row>
    <row r="195" spans="1:5" x14ac:dyDescent="0.3">
      <c r="A195"/>
      <c r="D195" s="678"/>
      <c r="E195"/>
    </row>
    <row r="196" spans="1:5" x14ac:dyDescent="0.3">
      <c r="A196"/>
      <c r="D196" s="678"/>
      <c r="E196"/>
    </row>
    <row r="197" spans="1:5" x14ac:dyDescent="0.3">
      <c r="A197"/>
      <c r="D197" s="678"/>
      <c r="E197"/>
    </row>
    <row r="198" spans="1:5" x14ac:dyDescent="0.3">
      <c r="A198"/>
      <c r="D198" s="678"/>
      <c r="E198"/>
    </row>
    <row r="199" spans="1:5" x14ac:dyDescent="0.3">
      <c r="A199"/>
      <c r="D199" s="678"/>
      <c r="E199"/>
    </row>
    <row r="200" spans="1:5" x14ac:dyDescent="0.3">
      <c r="A200"/>
      <c r="D200" s="678"/>
      <c r="E200"/>
    </row>
    <row r="201" spans="1:5" x14ac:dyDescent="0.3">
      <c r="A201"/>
      <c r="D201" s="678"/>
      <c r="E201"/>
    </row>
    <row r="202" spans="1:5" x14ac:dyDescent="0.3">
      <c r="A202"/>
      <c r="D202" s="678"/>
      <c r="E202"/>
    </row>
    <row r="203" spans="1:5" x14ac:dyDescent="0.3">
      <c r="A203"/>
      <c r="D203" s="678"/>
      <c r="E203"/>
    </row>
    <row r="204" spans="1:5" x14ac:dyDescent="0.3">
      <c r="A204"/>
      <c r="D204" s="678"/>
      <c r="E204"/>
    </row>
    <row r="205" spans="1:5" x14ac:dyDescent="0.3">
      <c r="A205"/>
      <c r="D205" s="678"/>
      <c r="E205"/>
    </row>
    <row r="206" spans="1:5" x14ac:dyDescent="0.3">
      <c r="A206"/>
      <c r="D206" s="678"/>
      <c r="E206"/>
    </row>
    <row r="207" spans="1:5" x14ac:dyDescent="0.3">
      <c r="A207"/>
      <c r="D207" s="678"/>
      <c r="E207"/>
    </row>
    <row r="208" spans="1:5" x14ac:dyDescent="0.3">
      <c r="A208"/>
      <c r="D208" s="678"/>
      <c r="E208"/>
    </row>
    <row r="209" spans="1:5" x14ac:dyDescent="0.3">
      <c r="A209"/>
      <c r="D209" s="678"/>
      <c r="E209"/>
    </row>
    <row r="210" spans="1:5" x14ac:dyDescent="0.3">
      <c r="A210"/>
      <c r="D210" s="678"/>
      <c r="E210"/>
    </row>
    <row r="211" spans="1:5" x14ac:dyDescent="0.3">
      <c r="A211"/>
      <c r="D211" s="678"/>
      <c r="E211"/>
    </row>
    <row r="212" spans="1:5" x14ac:dyDescent="0.3">
      <c r="A212"/>
      <c r="D212" s="678"/>
      <c r="E212"/>
    </row>
    <row r="213" spans="1:5" x14ac:dyDescent="0.3">
      <c r="A213"/>
      <c r="D213" s="678"/>
      <c r="E213"/>
    </row>
    <row r="214" spans="1:5" x14ac:dyDescent="0.3">
      <c r="A214"/>
      <c r="D214" s="678"/>
      <c r="E214"/>
    </row>
    <row r="215" spans="1:5" x14ac:dyDescent="0.3">
      <c r="A215"/>
      <c r="D215" s="678"/>
      <c r="E215"/>
    </row>
    <row r="216" spans="1:5" x14ac:dyDescent="0.3">
      <c r="A216"/>
      <c r="D216" s="678"/>
      <c r="E216"/>
    </row>
    <row r="217" spans="1:5" x14ac:dyDescent="0.3">
      <c r="A217"/>
      <c r="D217" s="678"/>
      <c r="E217"/>
    </row>
    <row r="218" spans="1:5" x14ac:dyDescent="0.3">
      <c r="A218"/>
      <c r="D218" s="678"/>
      <c r="E218"/>
    </row>
    <row r="219" spans="1:5" x14ac:dyDescent="0.3">
      <c r="A219"/>
      <c r="D219" s="678"/>
      <c r="E219"/>
    </row>
    <row r="220" spans="1:5" x14ac:dyDescent="0.3">
      <c r="A220"/>
      <c r="D220" s="678"/>
      <c r="E220"/>
    </row>
    <row r="221" spans="1:5" x14ac:dyDescent="0.3">
      <c r="A221"/>
      <c r="D221" s="678"/>
      <c r="E221"/>
    </row>
    <row r="222" spans="1:5" x14ac:dyDescent="0.3">
      <c r="A222"/>
      <c r="D222" s="678"/>
      <c r="E222"/>
    </row>
    <row r="223" spans="1:5" x14ac:dyDescent="0.3">
      <c r="A223"/>
      <c r="D223" s="678"/>
      <c r="E223"/>
    </row>
    <row r="224" spans="1:5" x14ac:dyDescent="0.3">
      <c r="A224"/>
      <c r="D224" s="678"/>
      <c r="E224"/>
    </row>
    <row r="225" spans="1:5" x14ac:dyDescent="0.3">
      <c r="A225"/>
      <c r="D225" s="678"/>
      <c r="E225"/>
    </row>
    <row r="226" spans="1:5" x14ac:dyDescent="0.3">
      <c r="A226"/>
      <c r="D226" s="678"/>
      <c r="E226"/>
    </row>
    <row r="227" spans="1:5" x14ac:dyDescent="0.3">
      <c r="A227"/>
      <c r="D227" s="678"/>
      <c r="E227"/>
    </row>
    <row r="228" spans="1:5" x14ac:dyDescent="0.3">
      <c r="A228"/>
      <c r="D228" s="678"/>
      <c r="E228"/>
    </row>
    <row r="229" spans="1:5" x14ac:dyDescent="0.3">
      <c r="A229"/>
      <c r="D229" s="678"/>
      <c r="E229"/>
    </row>
    <row r="230" spans="1:5" x14ac:dyDescent="0.3">
      <c r="A230"/>
      <c r="D230" s="678"/>
      <c r="E230"/>
    </row>
    <row r="231" spans="1:5" x14ac:dyDescent="0.3">
      <c r="A231"/>
      <c r="D231" s="678"/>
      <c r="E231"/>
    </row>
    <row r="232" spans="1:5" x14ac:dyDescent="0.3">
      <c r="A232"/>
      <c r="D232" s="678"/>
      <c r="E232"/>
    </row>
    <row r="233" spans="1:5" x14ac:dyDescent="0.3">
      <c r="A233"/>
      <c r="D233" s="678"/>
      <c r="E233"/>
    </row>
    <row r="234" spans="1:5" x14ac:dyDescent="0.3">
      <c r="A234"/>
      <c r="D234" s="678"/>
      <c r="E234"/>
    </row>
    <row r="235" spans="1:5" x14ac:dyDescent="0.3">
      <c r="A235"/>
      <c r="D235" s="678"/>
      <c r="E235"/>
    </row>
    <row r="236" spans="1:5" x14ac:dyDescent="0.3">
      <c r="A236"/>
      <c r="D236" s="678"/>
      <c r="E236"/>
    </row>
    <row r="237" spans="1:5" x14ac:dyDescent="0.3">
      <c r="A237"/>
      <c r="D237" s="678"/>
      <c r="E237"/>
    </row>
    <row r="238" spans="1:5" x14ac:dyDescent="0.3">
      <c r="A238"/>
      <c r="D238" s="678"/>
      <c r="E238"/>
    </row>
    <row r="239" spans="1:5" x14ac:dyDescent="0.3">
      <c r="A239"/>
      <c r="D239" s="678"/>
      <c r="E239"/>
    </row>
    <row r="240" spans="1:5" x14ac:dyDescent="0.3">
      <c r="A240"/>
      <c r="D240" s="678"/>
      <c r="E240"/>
    </row>
    <row r="241" spans="1:5" x14ac:dyDescent="0.3">
      <c r="A241"/>
      <c r="D241" s="678"/>
      <c r="E241"/>
    </row>
    <row r="242" spans="1:5" x14ac:dyDescent="0.3">
      <c r="A242"/>
      <c r="D242" s="678"/>
      <c r="E242"/>
    </row>
    <row r="243" spans="1:5" x14ac:dyDescent="0.3">
      <c r="A243"/>
      <c r="D243" s="678"/>
      <c r="E243"/>
    </row>
    <row r="244" spans="1:5" x14ac:dyDescent="0.3">
      <c r="A244"/>
      <c r="D244" s="678"/>
      <c r="E244"/>
    </row>
    <row r="245" spans="1:5" x14ac:dyDescent="0.3">
      <c r="A245"/>
      <c r="D245" s="678"/>
      <c r="E245"/>
    </row>
    <row r="246" spans="1:5" x14ac:dyDescent="0.3">
      <c r="A246"/>
      <c r="D246" s="678"/>
      <c r="E246"/>
    </row>
    <row r="247" spans="1:5" x14ac:dyDescent="0.3">
      <c r="A247"/>
      <c r="D247" s="678"/>
      <c r="E247"/>
    </row>
    <row r="248" spans="1:5" x14ac:dyDescent="0.3">
      <c r="A248"/>
      <c r="D248" s="678"/>
      <c r="E248"/>
    </row>
    <row r="249" spans="1:5" x14ac:dyDescent="0.3">
      <c r="A249"/>
      <c r="D249" s="678"/>
      <c r="E249"/>
    </row>
    <row r="250" spans="1:5" x14ac:dyDescent="0.3">
      <c r="A250"/>
      <c r="D250" s="678"/>
      <c r="E250"/>
    </row>
    <row r="251" spans="1:5" x14ac:dyDescent="0.3">
      <c r="A251"/>
      <c r="D251" s="678"/>
      <c r="E251"/>
    </row>
    <row r="252" spans="1:5" x14ac:dyDescent="0.3">
      <c r="A252"/>
      <c r="D252" s="678"/>
      <c r="E252"/>
    </row>
    <row r="253" spans="1:5" x14ac:dyDescent="0.3">
      <c r="A253"/>
      <c r="D253" s="678"/>
      <c r="E253"/>
    </row>
    <row r="254" spans="1:5" x14ac:dyDescent="0.3">
      <c r="A254"/>
      <c r="D254" s="678"/>
      <c r="E254"/>
    </row>
    <row r="255" spans="1:5" x14ac:dyDescent="0.3">
      <c r="A255"/>
      <c r="D255" s="678"/>
      <c r="E255"/>
    </row>
    <row r="256" spans="1:5" x14ac:dyDescent="0.3">
      <c r="A256"/>
      <c r="D256" s="678"/>
      <c r="E256"/>
    </row>
    <row r="257" spans="1:5" x14ac:dyDescent="0.3">
      <c r="A257"/>
      <c r="D257" s="678"/>
      <c r="E257"/>
    </row>
    <row r="258" spans="1:5" x14ac:dyDescent="0.3">
      <c r="A258"/>
      <c r="D258" s="678"/>
      <c r="E258"/>
    </row>
    <row r="259" spans="1:5" x14ac:dyDescent="0.3">
      <c r="A259"/>
      <c r="D259" s="678"/>
      <c r="E259"/>
    </row>
    <row r="260" spans="1:5" x14ac:dyDescent="0.3">
      <c r="A260"/>
      <c r="D260" s="678"/>
      <c r="E260"/>
    </row>
    <row r="261" spans="1:5" x14ac:dyDescent="0.3">
      <c r="A261"/>
      <c r="D261" s="678"/>
      <c r="E261"/>
    </row>
    <row r="262" spans="1:5" x14ac:dyDescent="0.3">
      <c r="A262"/>
      <c r="D262" s="678"/>
      <c r="E262"/>
    </row>
    <row r="263" spans="1:5" x14ac:dyDescent="0.3">
      <c r="A263"/>
      <c r="D263" s="678"/>
      <c r="E263"/>
    </row>
    <row r="264" spans="1:5" x14ac:dyDescent="0.3">
      <c r="A264"/>
      <c r="D264" s="678"/>
      <c r="E264"/>
    </row>
    <row r="265" spans="1:5" x14ac:dyDescent="0.3">
      <c r="A265"/>
      <c r="D265" s="678"/>
      <c r="E265"/>
    </row>
    <row r="266" spans="1:5" x14ac:dyDescent="0.3">
      <c r="A266"/>
      <c r="D266" s="678"/>
      <c r="E266"/>
    </row>
    <row r="267" spans="1:5" x14ac:dyDescent="0.3">
      <c r="A267"/>
      <c r="D267" s="678"/>
      <c r="E267"/>
    </row>
    <row r="268" spans="1:5" x14ac:dyDescent="0.3">
      <c r="A268"/>
      <c r="D268" s="678"/>
      <c r="E268"/>
    </row>
    <row r="269" spans="1:5" x14ac:dyDescent="0.3">
      <c r="A269"/>
      <c r="D269" s="678"/>
      <c r="E269"/>
    </row>
    <row r="270" spans="1:5" x14ac:dyDescent="0.3">
      <c r="A270"/>
      <c r="D270" s="678"/>
      <c r="E270"/>
    </row>
    <row r="271" spans="1:5" x14ac:dyDescent="0.3">
      <c r="A271"/>
      <c r="D271" s="678"/>
      <c r="E271"/>
    </row>
    <row r="272" spans="1:5" x14ac:dyDescent="0.3">
      <c r="A272"/>
      <c r="D272" s="678"/>
      <c r="E272"/>
    </row>
    <row r="273" spans="1:5" x14ac:dyDescent="0.3">
      <c r="A273"/>
      <c r="D273" s="678"/>
      <c r="E273"/>
    </row>
    <row r="274" spans="1:5" x14ac:dyDescent="0.3">
      <c r="A274"/>
      <c r="D274" s="678"/>
      <c r="E274"/>
    </row>
    <row r="275" spans="1:5" x14ac:dyDescent="0.3">
      <c r="A275"/>
      <c r="D275" s="678"/>
      <c r="E275"/>
    </row>
    <row r="276" spans="1:5" x14ac:dyDescent="0.3">
      <c r="A276"/>
      <c r="D276" s="678"/>
      <c r="E276"/>
    </row>
    <row r="277" spans="1:5" x14ac:dyDescent="0.3">
      <c r="A277"/>
      <c r="D277" s="678"/>
      <c r="E277"/>
    </row>
    <row r="278" spans="1:5" x14ac:dyDescent="0.3">
      <c r="A278"/>
      <c r="D278" s="678"/>
      <c r="E278"/>
    </row>
    <row r="279" spans="1:5" x14ac:dyDescent="0.3">
      <c r="A279"/>
      <c r="D279" s="678"/>
      <c r="E279"/>
    </row>
    <row r="280" spans="1:5" x14ac:dyDescent="0.3">
      <c r="A280"/>
      <c r="D280" s="678"/>
      <c r="E280"/>
    </row>
    <row r="281" spans="1:5" x14ac:dyDescent="0.3">
      <c r="A281"/>
      <c r="D281" s="678"/>
      <c r="E281"/>
    </row>
    <row r="282" spans="1:5" x14ac:dyDescent="0.3">
      <c r="A282"/>
      <c r="D282" s="678"/>
      <c r="E282"/>
    </row>
    <row r="283" spans="1:5" x14ac:dyDescent="0.3">
      <c r="A283"/>
      <c r="D283" s="678"/>
      <c r="E283"/>
    </row>
    <row r="284" spans="1:5" x14ac:dyDescent="0.3">
      <c r="A284"/>
      <c r="D284" s="678"/>
      <c r="E284"/>
    </row>
    <row r="285" spans="1:5" x14ac:dyDescent="0.3">
      <c r="A285"/>
      <c r="D285" s="678"/>
      <c r="E285"/>
    </row>
    <row r="286" spans="1:5" x14ac:dyDescent="0.3">
      <c r="A286"/>
      <c r="D286" s="678"/>
      <c r="E286"/>
    </row>
    <row r="287" spans="1:5" x14ac:dyDescent="0.3">
      <c r="A287"/>
      <c r="D287" s="678"/>
      <c r="E287"/>
    </row>
    <row r="288" spans="1:5" x14ac:dyDescent="0.3">
      <c r="A288"/>
      <c r="D288" s="678"/>
      <c r="E288"/>
    </row>
    <row r="289" spans="1:5" x14ac:dyDescent="0.3">
      <c r="A289"/>
      <c r="D289" s="678"/>
      <c r="E289"/>
    </row>
    <row r="290" spans="1:5" x14ac:dyDescent="0.3">
      <c r="A290"/>
      <c r="D290" s="678"/>
      <c r="E290"/>
    </row>
    <row r="291" spans="1:5" x14ac:dyDescent="0.3">
      <c r="A291"/>
      <c r="D291" s="678"/>
      <c r="E291"/>
    </row>
    <row r="292" spans="1:5" x14ac:dyDescent="0.3">
      <c r="A292"/>
      <c r="D292" s="678"/>
      <c r="E292"/>
    </row>
    <row r="293" spans="1:5" x14ac:dyDescent="0.3">
      <c r="A293"/>
      <c r="D293" s="678"/>
      <c r="E293"/>
    </row>
    <row r="294" spans="1:5" x14ac:dyDescent="0.3">
      <c r="A294"/>
      <c r="D294" s="678"/>
      <c r="E294"/>
    </row>
    <row r="295" spans="1:5" x14ac:dyDescent="0.3">
      <c r="A295"/>
      <c r="D295" s="678"/>
      <c r="E295"/>
    </row>
    <row r="296" spans="1:5" x14ac:dyDescent="0.3">
      <c r="A296"/>
      <c r="D296" s="678"/>
      <c r="E296"/>
    </row>
    <row r="297" spans="1:5" x14ac:dyDescent="0.3">
      <c r="A297"/>
      <c r="D297" s="678"/>
      <c r="E297"/>
    </row>
    <row r="298" spans="1:5" x14ac:dyDescent="0.3">
      <c r="A298"/>
      <c r="D298" s="678"/>
      <c r="E298"/>
    </row>
    <row r="299" spans="1:5" x14ac:dyDescent="0.3">
      <c r="A299"/>
      <c r="D299" s="678"/>
      <c r="E299"/>
    </row>
    <row r="300" spans="1:5" x14ac:dyDescent="0.3">
      <c r="A300"/>
      <c r="D300" s="678"/>
      <c r="E300"/>
    </row>
    <row r="301" spans="1:5" x14ac:dyDescent="0.3">
      <c r="A301"/>
      <c r="D301" s="678"/>
      <c r="E301"/>
    </row>
    <row r="302" spans="1:5" x14ac:dyDescent="0.3">
      <c r="A302"/>
      <c r="D302" s="678"/>
      <c r="E302"/>
    </row>
    <row r="303" spans="1:5" x14ac:dyDescent="0.3">
      <c r="A303"/>
      <c r="D303" s="678"/>
      <c r="E303"/>
    </row>
    <row r="304" spans="1:5" x14ac:dyDescent="0.3">
      <c r="A304"/>
      <c r="D304" s="678"/>
      <c r="E304"/>
    </row>
    <row r="305" spans="1:5" x14ac:dyDescent="0.3">
      <c r="A305"/>
      <c r="D305" s="678"/>
      <c r="E305"/>
    </row>
    <row r="306" spans="1:5" x14ac:dyDescent="0.3">
      <c r="A306"/>
      <c r="D306" s="678"/>
      <c r="E306"/>
    </row>
    <row r="307" spans="1:5" x14ac:dyDescent="0.3">
      <c r="A307"/>
      <c r="D307" s="678"/>
      <c r="E307"/>
    </row>
    <row r="308" spans="1:5" x14ac:dyDescent="0.3">
      <c r="A308"/>
      <c r="D308" s="678"/>
      <c r="E308"/>
    </row>
    <row r="309" spans="1:5" x14ac:dyDescent="0.3">
      <c r="A309"/>
      <c r="D309" s="678"/>
      <c r="E309"/>
    </row>
    <row r="310" spans="1:5" x14ac:dyDescent="0.3">
      <c r="A310"/>
      <c r="D310" s="678"/>
      <c r="E310"/>
    </row>
    <row r="311" spans="1:5" x14ac:dyDescent="0.3">
      <c r="A311"/>
      <c r="D311" s="678"/>
      <c r="E311"/>
    </row>
    <row r="312" spans="1:5" x14ac:dyDescent="0.3">
      <c r="A312"/>
      <c r="D312" s="678"/>
      <c r="E312"/>
    </row>
    <row r="313" spans="1:5" x14ac:dyDescent="0.3">
      <c r="A313"/>
      <c r="D313" s="678"/>
      <c r="E313"/>
    </row>
    <row r="314" spans="1:5" x14ac:dyDescent="0.3">
      <c r="A314"/>
      <c r="D314" s="678"/>
      <c r="E314"/>
    </row>
    <row r="315" spans="1:5" x14ac:dyDescent="0.3">
      <c r="A315"/>
      <c r="D315" s="678"/>
      <c r="E315"/>
    </row>
    <row r="316" spans="1:5" x14ac:dyDescent="0.3">
      <c r="A316"/>
      <c r="D316" s="678"/>
      <c r="E316"/>
    </row>
    <row r="317" spans="1:5" x14ac:dyDescent="0.3">
      <c r="A317"/>
      <c r="D317" s="678"/>
      <c r="E317"/>
    </row>
    <row r="318" spans="1:5" x14ac:dyDescent="0.3">
      <c r="A318"/>
      <c r="D318" s="678"/>
      <c r="E318"/>
    </row>
    <row r="319" spans="1:5" x14ac:dyDescent="0.3">
      <c r="A319"/>
      <c r="D319" s="678"/>
      <c r="E319"/>
    </row>
    <row r="320" spans="1:5" x14ac:dyDescent="0.3">
      <c r="A320"/>
      <c r="D320" s="678"/>
      <c r="E320"/>
    </row>
    <row r="321" spans="1:5" x14ac:dyDescent="0.3">
      <c r="A321"/>
      <c r="D321" s="678"/>
      <c r="E321"/>
    </row>
    <row r="322" spans="1:5" x14ac:dyDescent="0.3">
      <c r="A322"/>
      <c r="D322" s="678"/>
      <c r="E322"/>
    </row>
    <row r="323" spans="1:5" x14ac:dyDescent="0.3">
      <c r="A323"/>
      <c r="D323" s="678"/>
      <c r="E323"/>
    </row>
    <row r="324" spans="1:5" x14ac:dyDescent="0.3">
      <c r="A324"/>
      <c r="D324" s="678"/>
      <c r="E324"/>
    </row>
    <row r="325" spans="1:5" x14ac:dyDescent="0.3">
      <c r="A325"/>
      <c r="D325" s="678"/>
      <c r="E325"/>
    </row>
    <row r="326" spans="1:5" x14ac:dyDescent="0.3">
      <c r="A326"/>
      <c r="D326" s="678"/>
      <c r="E326"/>
    </row>
    <row r="327" spans="1:5" x14ac:dyDescent="0.3">
      <c r="A327"/>
      <c r="D327" s="678"/>
      <c r="E327"/>
    </row>
    <row r="328" spans="1:5" x14ac:dyDescent="0.3">
      <c r="A328"/>
      <c r="D328" s="678"/>
      <c r="E328"/>
    </row>
    <row r="329" spans="1:5" x14ac:dyDescent="0.3">
      <c r="A329"/>
      <c r="D329" s="678"/>
      <c r="E329"/>
    </row>
    <row r="330" spans="1:5" x14ac:dyDescent="0.3">
      <c r="A330"/>
      <c r="D330" s="678"/>
      <c r="E330"/>
    </row>
    <row r="331" spans="1:5" x14ac:dyDescent="0.3">
      <c r="A331"/>
      <c r="D331" s="678"/>
      <c r="E331"/>
    </row>
    <row r="332" spans="1:5" x14ac:dyDescent="0.3">
      <c r="A332"/>
      <c r="D332" s="678"/>
      <c r="E332"/>
    </row>
    <row r="333" spans="1:5" x14ac:dyDescent="0.3">
      <c r="A333"/>
      <c r="D333" s="678"/>
      <c r="E333"/>
    </row>
    <row r="334" spans="1:5" x14ac:dyDescent="0.3">
      <c r="A334"/>
      <c r="D334" s="678"/>
      <c r="E334"/>
    </row>
    <row r="335" spans="1:5" x14ac:dyDescent="0.3">
      <c r="A335"/>
      <c r="D335" s="678"/>
      <c r="E335"/>
    </row>
    <row r="336" spans="1:5" x14ac:dyDescent="0.3">
      <c r="A336"/>
      <c r="D336" s="678"/>
      <c r="E336"/>
    </row>
    <row r="337" spans="1:5" x14ac:dyDescent="0.3">
      <c r="A337"/>
      <c r="D337" s="678"/>
      <c r="E337"/>
    </row>
    <row r="338" spans="1:5" x14ac:dyDescent="0.3">
      <c r="A338"/>
      <c r="D338" s="678"/>
      <c r="E338"/>
    </row>
    <row r="339" spans="1:5" x14ac:dyDescent="0.3">
      <c r="A339"/>
      <c r="D339" s="678"/>
      <c r="E339"/>
    </row>
    <row r="340" spans="1:5" x14ac:dyDescent="0.3">
      <c r="A340"/>
      <c r="D340" s="678"/>
      <c r="E340"/>
    </row>
    <row r="341" spans="1:5" x14ac:dyDescent="0.3">
      <c r="A341"/>
      <c r="D341" s="678"/>
      <c r="E341"/>
    </row>
    <row r="342" spans="1:5" x14ac:dyDescent="0.3">
      <c r="A342"/>
      <c r="D342" s="678"/>
      <c r="E342"/>
    </row>
    <row r="343" spans="1:5" x14ac:dyDescent="0.3">
      <c r="A343"/>
      <c r="D343" s="678"/>
      <c r="E343"/>
    </row>
    <row r="344" spans="1:5" x14ac:dyDescent="0.3">
      <c r="A344"/>
      <c r="D344" s="678"/>
      <c r="E344"/>
    </row>
    <row r="345" spans="1:5" x14ac:dyDescent="0.3">
      <c r="A345"/>
      <c r="D345" s="678"/>
      <c r="E345"/>
    </row>
    <row r="346" spans="1:5" x14ac:dyDescent="0.3">
      <c r="A346"/>
      <c r="D346" s="678"/>
      <c r="E346"/>
    </row>
    <row r="347" spans="1:5" x14ac:dyDescent="0.3">
      <c r="A347"/>
      <c r="D347" s="678"/>
      <c r="E347"/>
    </row>
    <row r="348" spans="1:5" x14ac:dyDescent="0.3">
      <c r="A348"/>
      <c r="D348" s="678"/>
      <c r="E348"/>
    </row>
    <row r="349" spans="1:5" x14ac:dyDescent="0.3">
      <c r="A349"/>
      <c r="D349" s="678"/>
      <c r="E349"/>
    </row>
    <row r="350" spans="1:5" x14ac:dyDescent="0.3">
      <c r="A350"/>
      <c r="D350" s="678"/>
      <c r="E350"/>
    </row>
    <row r="351" spans="1:5" x14ac:dyDescent="0.3">
      <c r="A351"/>
      <c r="D351" s="678"/>
      <c r="E351"/>
    </row>
    <row r="352" spans="1:5" x14ac:dyDescent="0.3">
      <c r="A352"/>
      <c r="D352" s="678"/>
      <c r="E352"/>
    </row>
    <row r="353" spans="1:5" x14ac:dyDescent="0.3">
      <c r="A353"/>
      <c r="D353" s="678"/>
      <c r="E353"/>
    </row>
    <row r="354" spans="1:5" x14ac:dyDescent="0.3">
      <c r="A354"/>
      <c r="D354" s="678"/>
      <c r="E354"/>
    </row>
    <row r="355" spans="1:5" x14ac:dyDescent="0.3">
      <c r="A355"/>
      <c r="D355" s="678"/>
      <c r="E355"/>
    </row>
    <row r="356" spans="1:5" x14ac:dyDescent="0.3">
      <c r="A356"/>
      <c r="D356" s="678"/>
      <c r="E356"/>
    </row>
    <row r="357" spans="1:5" x14ac:dyDescent="0.3">
      <c r="A357"/>
      <c r="D357" s="678"/>
      <c r="E357"/>
    </row>
    <row r="358" spans="1:5" x14ac:dyDescent="0.3">
      <c r="A358"/>
      <c r="D358" s="678"/>
      <c r="E358"/>
    </row>
    <row r="359" spans="1:5" x14ac:dyDescent="0.3">
      <c r="A359"/>
      <c r="D359" s="678"/>
      <c r="E359"/>
    </row>
    <row r="360" spans="1:5" x14ac:dyDescent="0.3">
      <c r="A360"/>
      <c r="D360" s="678"/>
      <c r="E360"/>
    </row>
    <row r="361" spans="1:5" x14ac:dyDescent="0.3">
      <c r="A361"/>
      <c r="D361" s="678"/>
      <c r="E361"/>
    </row>
    <row r="362" spans="1:5" x14ac:dyDescent="0.3">
      <c r="A362"/>
      <c r="D362" s="678"/>
      <c r="E362"/>
    </row>
    <row r="363" spans="1:5" x14ac:dyDescent="0.3">
      <c r="A363"/>
      <c r="D363" s="678"/>
      <c r="E363"/>
    </row>
    <row r="364" spans="1:5" x14ac:dyDescent="0.3">
      <c r="A364"/>
      <c r="D364" s="678"/>
      <c r="E364"/>
    </row>
    <row r="365" spans="1:5" x14ac:dyDescent="0.3">
      <c r="A365"/>
      <c r="D365" s="678"/>
      <c r="E365"/>
    </row>
    <row r="366" spans="1:5" x14ac:dyDescent="0.3">
      <c r="A366"/>
      <c r="D366" s="678"/>
      <c r="E366"/>
    </row>
    <row r="367" spans="1:5" x14ac:dyDescent="0.3">
      <c r="A367"/>
      <c r="D367" s="678"/>
      <c r="E367"/>
    </row>
    <row r="368" spans="1:5" x14ac:dyDescent="0.3">
      <c r="A368"/>
      <c r="D368" s="678"/>
      <c r="E368"/>
    </row>
    <row r="369" spans="1:5" x14ac:dyDescent="0.3">
      <c r="A369"/>
      <c r="D369" s="678"/>
      <c r="E369"/>
    </row>
    <row r="370" spans="1:5" x14ac:dyDescent="0.3">
      <c r="A370"/>
      <c r="D370" s="678"/>
      <c r="E370"/>
    </row>
    <row r="371" spans="1:5" x14ac:dyDescent="0.3">
      <c r="A371"/>
      <c r="D371" s="678"/>
      <c r="E371"/>
    </row>
    <row r="372" spans="1:5" x14ac:dyDescent="0.3">
      <c r="A372"/>
      <c r="D372" s="678"/>
      <c r="E372"/>
    </row>
    <row r="373" spans="1:5" x14ac:dyDescent="0.3">
      <c r="A373"/>
      <c r="D373" s="678"/>
      <c r="E373"/>
    </row>
    <row r="374" spans="1:5" x14ac:dyDescent="0.3">
      <c r="A374"/>
      <c r="D374" s="678"/>
      <c r="E374"/>
    </row>
    <row r="375" spans="1:5" x14ac:dyDescent="0.3">
      <c r="A375"/>
      <c r="D375" s="678"/>
      <c r="E375"/>
    </row>
    <row r="376" spans="1:5" x14ac:dyDescent="0.3">
      <c r="A376"/>
      <c r="D376" s="678"/>
      <c r="E376"/>
    </row>
    <row r="377" spans="1:5" x14ac:dyDescent="0.3">
      <c r="A377"/>
      <c r="D377" s="678"/>
      <c r="E377"/>
    </row>
    <row r="378" spans="1:5" x14ac:dyDescent="0.3">
      <c r="A378"/>
      <c r="D378" s="678"/>
      <c r="E378"/>
    </row>
    <row r="379" spans="1:5" x14ac:dyDescent="0.3">
      <c r="A379"/>
      <c r="D379" s="678"/>
      <c r="E379"/>
    </row>
    <row r="380" spans="1:5" x14ac:dyDescent="0.3">
      <c r="A380"/>
      <c r="D380" s="678"/>
      <c r="E380"/>
    </row>
    <row r="381" spans="1:5" x14ac:dyDescent="0.3">
      <c r="A381"/>
      <c r="D381" s="678"/>
      <c r="E381"/>
    </row>
    <row r="382" spans="1:5" x14ac:dyDescent="0.3">
      <c r="A382"/>
      <c r="D382" s="678"/>
      <c r="E382"/>
    </row>
    <row r="383" spans="1:5" x14ac:dyDescent="0.3">
      <c r="A383"/>
      <c r="D383" s="678"/>
      <c r="E383"/>
    </row>
    <row r="384" spans="1:5" x14ac:dyDescent="0.3">
      <c r="A384"/>
      <c r="D384" s="678"/>
      <c r="E384"/>
    </row>
    <row r="385" spans="1:5" x14ac:dyDescent="0.3">
      <c r="A385"/>
      <c r="D385" s="678"/>
      <c r="E385"/>
    </row>
    <row r="386" spans="1:5" x14ac:dyDescent="0.3">
      <c r="A386"/>
      <c r="D386" s="678"/>
      <c r="E386"/>
    </row>
    <row r="387" spans="1:5" x14ac:dyDescent="0.3">
      <c r="A387"/>
      <c r="D387" s="678"/>
      <c r="E387"/>
    </row>
    <row r="388" spans="1:5" x14ac:dyDescent="0.3">
      <c r="A388"/>
      <c r="D388" s="678"/>
      <c r="E388"/>
    </row>
    <row r="389" spans="1:5" x14ac:dyDescent="0.3">
      <c r="A389"/>
      <c r="D389" s="678"/>
      <c r="E389"/>
    </row>
    <row r="390" spans="1:5" x14ac:dyDescent="0.3">
      <c r="A390"/>
      <c r="D390" s="678"/>
      <c r="E390"/>
    </row>
    <row r="391" spans="1:5" x14ac:dyDescent="0.3">
      <c r="A391"/>
      <c r="D391" s="678"/>
      <c r="E391"/>
    </row>
    <row r="392" spans="1:5" x14ac:dyDescent="0.3">
      <c r="A392"/>
      <c r="D392" s="678"/>
      <c r="E392"/>
    </row>
    <row r="393" spans="1:5" x14ac:dyDescent="0.3">
      <c r="A393"/>
      <c r="D393" s="678"/>
      <c r="E393"/>
    </row>
    <row r="394" spans="1:5" x14ac:dyDescent="0.3">
      <c r="A394"/>
      <c r="D394" s="678"/>
      <c r="E394"/>
    </row>
    <row r="395" spans="1:5" x14ac:dyDescent="0.3">
      <c r="A395"/>
      <c r="D395" s="678"/>
      <c r="E395"/>
    </row>
    <row r="396" spans="1:5" x14ac:dyDescent="0.3">
      <c r="A396"/>
      <c r="D396" s="678"/>
      <c r="E396"/>
    </row>
    <row r="397" spans="1:5" x14ac:dyDescent="0.3">
      <c r="A397"/>
      <c r="D397" s="678"/>
      <c r="E397"/>
    </row>
    <row r="398" spans="1:5" x14ac:dyDescent="0.3">
      <c r="A398"/>
      <c r="D398" s="678"/>
      <c r="E398"/>
    </row>
    <row r="399" spans="1:5" x14ac:dyDescent="0.3">
      <c r="A399"/>
      <c r="D399" s="678"/>
      <c r="E399"/>
    </row>
    <row r="400" spans="1:5" x14ac:dyDescent="0.3">
      <c r="A400"/>
      <c r="D400" s="678"/>
      <c r="E400"/>
    </row>
    <row r="401" spans="1:5" x14ac:dyDescent="0.3">
      <c r="A401"/>
      <c r="D401" s="678"/>
      <c r="E401"/>
    </row>
    <row r="402" spans="1:5" x14ac:dyDescent="0.3">
      <c r="A402"/>
      <c r="D402" s="678"/>
      <c r="E402"/>
    </row>
    <row r="403" spans="1:5" x14ac:dyDescent="0.3">
      <c r="A403"/>
      <c r="D403" s="678"/>
      <c r="E403"/>
    </row>
    <row r="404" spans="1:5" x14ac:dyDescent="0.3">
      <c r="A404"/>
      <c r="D404" s="678"/>
      <c r="E404"/>
    </row>
    <row r="405" spans="1:5" x14ac:dyDescent="0.3">
      <c r="A405"/>
      <c r="D405" s="678"/>
      <c r="E405"/>
    </row>
    <row r="406" spans="1:5" x14ac:dyDescent="0.3">
      <c r="A406"/>
      <c r="D406" s="678"/>
      <c r="E406"/>
    </row>
    <row r="407" spans="1:5" x14ac:dyDescent="0.3">
      <c r="A407"/>
      <c r="D407" s="678"/>
      <c r="E407"/>
    </row>
    <row r="408" spans="1:5" x14ac:dyDescent="0.3">
      <c r="A408"/>
      <c r="D408" s="678"/>
      <c r="E408"/>
    </row>
    <row r="409" spans="1:5" x14ac:dyDescent="0.3">
      <c r="A409"/>
      <c r="D409" s="678"/>
      <c r="E409"/>
    </row>
    <row r="410" spans="1:5" x14ac:dyDescent="0.3">
      <c r="A410"/>
      <c r="D410" s="678"/>
      <c r="E410"/>
    </row>
    <row r="411" spans="1:5" x14ac:dyDescent="0.3">
      <c r="A411"/>
      <c r="D411" s="678"/>
      <c r="E411"/>
    </row>
    <row r="412" spans="1:5" x14ac:dyDescent="0.3">
      <c r="A412"/>
      <c r="D412" s="678"/>
      <c r="E412"/>
    </row>
    <row r="413" spans="1:5" x14ac:dyDescent="0.3">
      <c r="A413"/>
      <c r="D413" s="678"/>
      <c r="E413"/>
    </row>
    <row r="414" spans="1:5" x14ac:dyDescent="0.3">
      <c r="A414"/>
      <c r="D414" s="678"/>
      <c r="E414"/>
    </row>
    <row r="415" spans="1:5" x14ac:dyDescent="0.3">
      <c r="A415"/>
      <c r="D415" s="678"/>
      <c r="E415"/>
    </row>
    <row r="416" spans="1:5" x14ac:dyDescent="0.3">
      <c r="A416"/>
      <c r="D416" s="678"/>
      <c r="E416"/>
    </row>
    <row r="417" spans="1:5" x14ac:dyDescent="0.3">
      <c r="A417"/>
      <c r="D417" s="678"/>
      <c r="E417"/>
    </row>
    <row r="418" spans="1:5" x14ac:dyDescent="0.3">
      <c r="A418"/>
      <c r="D418" s="678"/>
      <c r="E418"/>
    </row>
    <row r="419" spans="1:5" x14ac:dyDescent="0.3">
      <c r="A419"/>
      <c r="D419" s="678"/>
      <c r="E419"/>
    </row>
    <row r="420" spans="1:5" x14ac:dyDescent="0.3">
      <c r="A420"/>
      <c r="D420" s="678"/>
      <c r="E420"/>
    </row>
    <row r="421" spans="1:5" x14ac:dyDescent="0.3">
      <c r="A421"/>
      <c r="D421" s="678"/>
      <c r="E421"/>
    </row>
    <row r="422" spans="1:5" x14ac:dyDescent="0.3">
      <c r="A422"/>
      <c r="D422" s="678"/>
      <c r="E422"/>
    </row>
    <row r="423" spans="1:5" x14ac:dyDescent="0.3">
      <c r="A423"/>
      <c r="D423" s="678"/>
      <c r="E423"/>
    </row>
    <row r="424" spans="1:5" x14ac:dyDescent="0.3">
      <c r="A424"/>
      <c r="D424" s="678"/>
      <c r="E424"/>
    </row>
    <row r="425" spans="1:5" x14ac:dyDescent="0.3">
      <c r="A425"/>
      <c r="D425" s="678"/>
      <c r="E425"/>
    </row>
    <row r="426" spans="1:5" x14ac:dyDescent="0.3">
      <c r="A426"/>
      <c r="D426" s="678"/>
      <c r="E426"/>
    </row>
    <row r="427" spans="1:5" x14ac:dyDescent="0.3">
      <c r="A427"/>
      <c r="D427" s="678"/>
      <c r="E427"/>
    </row>
    <row r="428" spans="1:5" x14ac:dyDescent="0.3">
      <c r="A428"/>
      <c r="D428" s="678"/>
      <c r="E428"/>
    </row>
    <row r="429" spans="1:5" x14ac:dyDescent="0.3">
      <c r="A429"/>
      <c r="D429" s="678"/>
      <c r="E429"/>
    </row>
    <row r="430" spans="1:5" x14ac:dyDescent="0.3">
      <c r="A430"/>
      <c r="D430" s="678"/>
      <c r="E430"/>
    </row>
    <row r="431" spans="1:5" x14ac:dyDescent="0.3">
      <c r="A431"/>
      <c r="D431" s="678"/>
      <c r="E431"/>
    </row>
    <row r="432" spans="1:5" x14ac:dyDescent="0.3">
      <c r="A432"/>
      <c r="D432" s="678"/>
      <c r="E432"/>
    </row>
    <row r="433" spans="1:5" x14ac:dyDescent="0.3">
      <c r="A433"/>
      <c r="D433" s="678"/>
      <c r="E433"/>
    </row>
    <row r="434" spans="1:5" x14ac:dyDescent="0.3">
      <c r="A434"/>
      <c r="D434" s="678"/>
      <c r="E434"/>
    </row>
    <row r="435" spans="1:5" x14ac:dyDescent="0.3">
      <c r="A435"/>
      <c r="D435" s="678"/>
      <c r="E435"/>
    </row>
    <row r="436" spans="1:5" x14ac:dyDescent="0.3">
      <c r="A436"/>
      <c r="D436" s="678"/>
      <c r="E436"/>
    </row>
    <row r="437" spans="1:5" x14ac:dyDescent="0.3">
      <c r="A437"/>
      <c r="D437" s="678"/>
      <c r="E437"/>
    </row>
    <row r="438" spans="1:5" x14ac:dyDescent="0.3">
      <c r="A438"/>
      <c r="D438" s="678"/>
      <c r="E438"/>
    </row>
    <row r="439" spans="1:5" x14ac:dyDescent="0.3">
      <c r="A439"/>
      <c r="D439" s="678"/>
      <c r="E439"/>
    </row>
    <row r="440" spans="1:5" x14ac:dyDescent="0.3">
      <c r="A440"/>
      <c r="D440" s="678"/>
      <c r="E440"/>
    </row>
    <row r="441" spans="1:5" x14ac:dyDescent="0.3">
      <c r="A441"/>
      <c r="D441" s="678"/>
      <c r="E441"/>
    </row>
    <row r="442" spans="1:5" x14ac:dyDescent="0.3">
      <c r="A442"/>
      <c r="D442" s="678"/>
      <c r="E442"/>
    </row>
    <row r="443" spans="1:5" x14ac:dyDescent="0.3">
      <c r="A443"/>
      <c r="D443" s="678"/>
      <c r="E443"/>
    </row>
    <row r="444" spans="1:5" x14ac:dyDescent="0.3">
      <c r="A444"/>
      <c r="D444" s="678"/>
      <c r="E444"/>
    </row>
    <row r="445" spans="1:5" x14ac:dyDescent="0.3">
      <c r="A445"/>
      <c r="D445" s="678"/>
      <c r="E445"/>
    </row>
    <row r="446" spans="1:5" x14ac:dyDescent="0.3">
      <c r="A446"/>
      <c r="D446" s="678"/>
      <c r="E446"/>
    </row>
    <row r="447" spans="1:5" x14ac:dyDescent="0.3">
      <c r="A447"/>
      <c r="D447" s="678"/>
      <c r="E447"/>
    </row>
    <row r="448" spans="1:5" x14ac:dyDescent="0.3">
      <c r="A448"/>
      <c r="D448" s="678"/>
      <c r="E448"/>
    </row>
    <row r="449" spans="1:5" x14ac:dyDescent="0.3">
      <c r="A449"/>
      <c r="D449" s="678"/>
      <c r="E449"/>
    </row>
    <row r="450" spans="1:5" x14ac:dyDescent="0.3">
      <c r="A450"/>
      <c r="D450" s="678"/>
      <c r="E450"/>
    </row>
    <row r="451" spans="1:5" x14ac:dyDescent="0.3">
      <c r="A451"/>
      <c r="D451" s="678"/>
      <c r="E451"/>
    </row>
    <row r="452" spans="1:5" x14ac:dyDescent="0.3">
      <c r="A452"/>
      <c r="D452" s="678"/>
      <c r="E452"/>
    </row>
    <row r="453" spans="1:5" x14ac:dyDescent="0.3">
      <c r="A453"/>
      <c r="D453" s="678"/>
      <c r="E453"/>
    </row>
    <row r="454" spans="1:5" x14ac:dyDescent="0.3">
      <c r="A454"/>
      <c r="D454" s="678"/>
      <c r="E454"/>
    </row>
    <row r="455" spans="1:5" x14ac:dyDescent="0.3">
      <c r="A455"/>
      <c r="D455" s="678"/>
      <c r="E455"/>
    </row>
    <row r="456" spans="1:5" x14ac:dyDescent="0.3">
      <c r="A456"/>
      <c r="D456" s="678"/>
      <c r="E456"/>
    </row>
    <row r="457" spans="1:5" x14ac:dyDescent="0.3">
      <c r="A457"/>
      <c r="D457" s="678"/>
      <c r="E457"/>
    </row>
    <row r="458" spans="1:5" x14ac:dyDescent="0.3">
      <c r="A458"/>
      <c r="D458" s="678"/>
      <c r="E458"/>
    </row>
    <row r="459" spans="1:5" x14ac:dyDescent="0.3">
      <c r="A459"/>
      <c r="D459" s="678"/>
      <c r="E459"/>
    </row>
    <row r="460" spans="1:5" x14ac:dyDescent="0.3">
      <c r="A460"/>
      <c r="D460" s="678"/>
      <c r="E460"/>
    </row>
    <row r="461" spans="1:5" x14ac:dyDescent="0.3">
      <c r="A461"/>
      <c r="D461" s="678"/>
      <c r="E461"/>
    </row>
    <row r="462" spans="1:5" x14ac:dyDescent="0.3">
      <c r="A462"/>
      <c r="D462" s="678"/>
      <c r="E462"/>
    </row>
    <row r="463" spans="1:5" x14ac:dyDescent="0.3">
      <c r="A463"/>
      <c r="D463" s="678"/>
      <c r="E463"/>
    </row>
    <row r="464" spans="1:5" x14ac:dyDescent="0.3">
      <c r="A464"/>
      <c r="D464" s="678"/>
      <c r="E464"/>
    </row>
    <row r="465" spans="1:5" x14ac:dyDescent="0.3">
      <c r="A465"/>
      <c r="D465" s="678"/>
      <c r="E465"/>
    </row>
    <row r="466" spans="1:5" x14ac:dyDescent="0.3">
      <c r="A466"/>
      <c r="D466" s="678"/>
      <c r="E466"/>
    </row>
    <row r="467" spans="1:5" x14ac:dyDescent="0.3">
      <c r="A467"/>
      <c r="D467" s="678"/>
      <c r="E467"/>
    </row>
    <row r="468" spans="1:5" x14ac:dyDescent="0.3">
      <c r="A468"/>
      <c r="D468" s="678"/>
      <c r="E468"/>
    </row>
    <row r="469" spans="1:5" x14ac:dyDescent="0.3">
      <c r="A469"/>
      <c r="D469" s="678"/>
      <c r="E469"/>
    </row>
    <row r="470" spans="1:5" x14ac:dyDescent="0.3">
      <c r="A470"/>
      <c r="D470" s="678"/>
      <c r="E470"/>
    </row>
    <row r="471" spans="1:5" x14ac:dyDescent="0.3">
      <c r="A471"/>
      <c r="D471" s="678"/>
      <c r="E471"/>
    </row>
    <row r="472" spans="1:5" x14ac:dyDescent="0.3">
      <c r="A472"/>
      <c r="D472" s="678"/>
      <c r="E472"/>
    </row>
    <row r="473" spans="1:5" x14ac:dyDescent="0.3">
      <c r="A473"/>
      <c r="D473" s="678"/>
      <c r="E473"/>
    </row>
    <row r="474" spans="1:5" x14ac:dyDescent="0.3">
      <c r="A474"/>
      <c r="D474" s="678"/>
      <c r="E474"/>
    </row>
    <row r="475" spans="1:5" x14ac:dyDescent="0.3">
      <c r="A475"/>
      <c r="D475" s="678"/>
      <c r="E475"/>
    </row>
    <row r="476" spans="1:5" x14ac:dyDescent="0.3">
      <c r="A476"/>
      <c r="D476" s="678"/>
      <c r="E476"/>
    </row>
    <row r="477" spans="1:5" x14ac:dyDescent="0.3">
      <c r="A477"/>
      <c r="D477" s="678"/>
      <c r="E477"/>
    </row>
    <row r="478" spans="1:5" x14ac:dyDescent="0.3">
      <c r="A478"/>
      <c r="D478" s="678"/>
      <c r="E478"/>
    </row>
    <row r="479" spans="1:5" x14ac:dyDescent="0.3">
      <c r="A479"/>
      <c r="D479" s="678"/>
      <c r="E479"/>
    </row>
    <row r="480" spans="1:5" x14ac:dyDescent="0.3">
      <c r="A480"/>
      <c r="D480" s="678"/>
      <c r="E480"/>
    </row>
    <row r="481" spans="1:5" x14ac:dyDescent="0.3">
      <c r="A481"/>
      <c r="D481" s="678"/>
      <c r="E481"/>
    </row>
    <row r="482" spans="1:5" x14ac:dyDescent="0.3">
      <c r="A482"/>
      <c r="D482" s="678"/>
      <c r="E482"/>
    </row>
    <row r="483" spans="1:5" x14ac:dyDescent="0.3">
      <c r="A483"/>
      <c r="D483" s="678"/>
      <c r="E483"/>
    </row>
    <row r="484" spans="1:5" x14ac:dyDescent="0.3">
      <c r="A484"/>
      <c r="D484" s="678"/>
      <c r="E484"/>
    </row>
    <row r="485" spans="1:5" x14ac:dyDescent="0.3">
      <c r="A485"/>
      <c r="D485" s="678"/>
      <c r="E485"/>
    </row>
    <row r="486" spans="1:5" x14ac:dyDescent="0.3">
      <c r="A486"/>
      <c r="D486" s="678"/>
      <c r="E486"/>
    </row>
    <row r="487" spans="1:5" x14ac:dyDescent="0.3">
      <c r="A487"/>
      <c r="D487" s="678"/>
      <c r="E487"/>
    </row>
    <row r="488" spans="1:5" x14ac:dyDescent="0.3">
      <c r="A488"/>
      <c r="D488" s="678"/>
      <c r="E488"/>
    </row>
    <row r="489" spans="1:5" x14ac:dyDescent="0.3">
      <c r="A489"/>
      <c r="D489" s="678"/>
      <c r="E489"/>
    </row>
    <row r="490" spans="1:5" x14ac:dyDescent="0.3">
      <c r="A490"/>
      <c r="D490" s="678"/>
      <c r="E490"/>
    </row>
    <row r="491" spans="1:5" x14ac:dyDescent="0.3">
      <c r="A491"/>
      <c r="D491" s="678"/>
      <c r="E491"/>
    </row>
    <row r="492" spans="1:5" x14ac:dyDescent="0.3">
      <c r="A492"/>
      <c r="D492" s="678"/>
      <c r="E492"/>
    </row>
    <row r="493" spans="1:5" x14ac:dyDescent="0.3">
      <c r="A493" s="678"/>
      <c r="D493" s="678"/>
      <c r="E493"/>
    </row>
    <row r="494" spans="1:5" x14ac:dyDescent="0.3">
      <c r="A494" s="678"/>
      <c r="D494" s="678"/>
      <c r="E494"/>
    </row>
    <row r="495" spans="1:5" x14ac:dyDescent="0.3">
      <c r="A495" s="678"/>
      <c r="D495" s="678"/>
      <c r="E495"/>
    </row>
    <row r="496" spans="1:5" x14ac:dyDescent="0.3">
      <c r="A496" s="678"/>
    </row>
    <row r="497" spans="1:1" x14ac:dyDescent="0.3">
      <c r="A497" s="678"/>
    </row>
    <row r="498" spans="1:1" x14ac:dyDescent="0.3">
      <c r="A498" s="678"/>
    </row>
    <row r="499" spans="1:1" x14ac:dyDescent="0.3">
      <c r="A499" s="678"/>
    </row>
    <row r="500" spans="1:1" x14ac:dyDescent="0.3">
      <c r="A500" s="678"/>
    </row>
    <row r="501" spans="1:1" x14ac:dyDescent="0.3">
      <c r="A501" s="678"/>
    </row>
    <row r="502" spans="1:1" x14ac:dyDescent="0.3">
      <c r="A502" s="678"/>
    </row>
    <row r="503" spans="1:1" x14ac:dyDescent="0.3">
      <c r="A503" s="678"/>
    </row>
    <row r="504" spans="1:1" x14ac:dyDescent="0.3">
      <c r="A504" s="678"/>
    </row>
    <row r="505" spans="1:1" x14ac:dyDescent="0.3">
      <c r="A505" s="678"/>
    </row>
    <row r="506" spans="1:1" x14ac:dyDescent="0.3">
      <c r="A506" s="678"/>
    </row>
    <row r="507" spans="1:1" x14ac:dyDescent="0.3">
      <c r="A507" s="678"/>
    </row>
    <row r="508" spans="1:1" x14ac:dyDescent="0.3">
      <c r="A508" s="678"/>
    </row>
    <row r="509" spans="1:1" x14ac:dyDescent="0.3">
      <c r="A509" s="678"/>
    </row>
    <row r="510" spans="1:1" x14ac:dyDescent="0.3">
      <c r="A510" s="678"/>
    </row>
    <row r="511" spans="1:1" x14ac:dyDescent="0.3">
      <c r="A511" s="678"/>
    </row>
    <row r="512" spans="1:1" x14ac:dyDescent="0.3">
      <c r="A512" s="678"/>
    </row>
    <row r="513" spans="1:1" x14ac:dyDescent="0.3">
      <c r="A513" s="678"/>
    </row>
    <row r="514" spans="1:1" x14ac:dyDescent="0.3">
      <c r="A514" s="678"/>
    </row>
    <row r="515" spans="1:1" x14ac:dyDescent="0.3">
      <c r="A515" s="678"/>
    </row>
    <row r="516" spans="1:1" x14ac:dyDescent="0.3">
      <c r="A516" s="678"/>
    </row>
    <row r="517" spans="1:1" x14ac:dyDescent="0.3">
      <c r="A517" s="678"/>
    </row>
    <row r="518" spans="1:1" x14ac:dyDescent="0.3">
      <c r="A518" s="678"/>
    </row>
    <row r="519" spans="1:1" x14ac:dyDescent="0.3">
      <c r="A519" s="678"/>
    </row>
    <row r="520" spans="1:1" x14ac:dyDescent="0.3">
      <c r="A520" s="678"/>
    </row>
    <row r="521" spans="1:1" x14ac:dyDescent="0.3">
      <c r="A521" s="678"/>
    </row>
    <row r="522" spans="1:1" x14ac:dyDescent="0.3">
      <c r="A522" s="678"/>
    </row>
    <row r="523" spans="1:1" x14ac:dyDescent="0.3">
      <c r="A523" s="678"/>
    </row>
    <row r="524" spans="1:1" x14ac:dyDescent="0.3">
      <c r="A524" s="678"/>
    </row>
    <row r="525" spans="1:1" x14ac:dyDescent="0.3">
      <c r="A525" s="678"/>
    </row>
    <row r="526" spans="1:1" x14ac:dyDescent="0.3">
      <c r="A526" s="678"/>
    </row>
    <row r="527" spans="1:1" x14ac:dyDescent="0.3">
      <c r="A527" s="678"/>
    </row>
    <row r="528" spans="1:1" x14ac:dyDescent="0.3">
      <c r="A528" s="678"/>
    </row>
    <row r="529" spans="1:1" x14ac:dyDescent="0.3">
      <c r="A529" s="678"/>
    </row>
    <row r="530" spans="1:1" x14ac:dyDescent="0.3">
      <c r="A530" s="678"/>
    </row>
    <row r="531" spans="1:1" x14ac:dyDescent="0.3">
      <c r="A531" s="678"/>
    </row>
    <row r="532" spans="1:1" x14ac:dyDescent="0.3">
      <c r="A532" s="678"/>
    </row>
    <row r="533" spans="1:1" x14ac:dyDescent="0.3">
      <c r="A533" s="678"/>
    </row>
    <row r="534" spans="1:1" x14ac:dyDescent="0.3">
      <c r="A534" s="678"/>
    </row>
    <row r="535" spans="1:1" x14ac:dyDescent="0.3">
      <c r="A535" s="678"/>
    </row>
    <row r="536" spans="1:1" x14ac:dyDescent="0.3">
      <c r="A536" s="678"/>
    </row>
    <row r="537" spans="1:1" x14ac:dyDescent="0.3">
      <c r="A537" s="678"/>
    </row>
    <row r="538" spans="1:1" x14ac:dyDescent="0.3">
      <c r="A538" s="678"/>
    </row>
    <row r="539" spans="1:1" x14ac:dyDescent="0.3">
      <c r="A539" s="678"/>
    </row>
    <row r="540" spans="1:1" x14ac:dyDescent="0.3">
      <c r="A540" s="678"/>
    </row>
    <row r="541" spans="1:1" x14ac:dyDescent="0.3">
      <c r="A541" s="678"/>
    </row>
    <row r="542" spans="1:1" x14ac:dyDescent="0.3">
      <c r="A542" s="678"/>
    </row>
    <row r="543" spans="1:1" x14ac:dyDescent="0.3">
      <c r="A543" s="678"/>
    </row>
    <row r="544" spans="1:1" x14ac:dyDescent="0.3">
      <c r="A544" s="678"/>
    </row>
    <row r="545" spans="1:1" x14ac:dyDescent="0.3">
      <c r="A545" s="678"/>
    </row>
    <row r="546" spans="1:1" x14ac:dyDescent="0.3">
      <c r="A546" s="678"/>
    </row>
    <row r="547" spans="1:1" x14ac:dyDescent="0.3">
      <c r="A547" s="678"/>
    </row>
    <row r="548" spans="1:1" x14ac:dyDescent="0.3">
      <c r="A548" s="678"/>
    </row>
    <row r="549" spans="1:1" x14ac:dyDescent="0.3">
      <c r="A549" s="678"/>
    </row>
    <row r="550" spans="1:1" x14ac:dyDescent="0.3">
      <c r="A550" s="678"/>
    </row>
    <row r="551" spans="1:1" x14ac:dyDescent="0.3">
      <c r="A551" s="678"/>
    </row>
    <row r="552" spans="1:1" x14ac:dyDescent="0.3">
      <c r="A552" s="678"/>
    </row>
    <row r="553" spans="1:1" x14ac:dyDescent="0.3">
      <c r="A553" s="678"/>
    </row>
    <row r="554" spans="1:1" x14ac:dyDescent="0.3">
      <c r="A554" s="678"/>
    </row>
    <row r="555" spans="1:1" x14ac:dyDescent="0.3">
      <c r="A555" s="678"/>
    </row>
    <row r="556" spans="1:1" x14ac:dyDescent="0.3">
      <c r="A556" s="678"/>
    </row>
    <row r="557" spans="1:1" x14ac:dyDescent="0.3">
      <c r="A557" s="678"/>
    </row>
    <row r="558" spans="1:1" x14ac:dyDescent="0.3">
      <c r="A558" s="678"/>
    </row>
    <row r="559" spans="1:1" x14ac:dyDescent="0.3">
      <c r="A559" s="678"/>
    </row>
    <row r="560" spans="1:1" x14ac:dyDescent="0.3">
      <c r="A560" s="678"/>
    </row>
    <row r="561" spans="1:1" x14ac:dyDescent="0.3">
      <c r="A561" s="678"/>
    </row>
    <row r="562" spans="1:1" x14ac:dyDescent="0.3">
      <c r="A562" s="678"/>
    </row>
    <row r="563" spans="1:1" x14ac:dyDescent="0.3">
      <c r="A563" s="678"/>
    </row>
    <row r="564" spans="1:1" x14ac:dyDescent="0.3">
      <c r="A564" s="678"/>
    </row>
    <row r="565" spans="1:1" x14ac:dyDescent="0.3">
      <c r="A565" s="678"/>
    </row>
    <row r="566" spans="1:1" x14ac:dyDescent="0.3">
      <c r="A566" s="678"/>
    </row>
    <row r="567" spans="1:1" x14ac:dyDescent="0.3">
      <c r="A567" s="678"/>
    </row>
    <row r="568" spans="1:1" x14ac:dyDescent="0.3">
      <c r="A568" s="678"/>
    </row>
    <row r="569" spans="1:1" x14ac:dyDescent="0.3">
      <c r="A569" s="678"/>
    </row>
    <row r="570" spans="1:1" x14ac:dyDescent="0.3">
      <c r="A570" s="678"/>
    </row>
    <row r="571" spans="1:1" x14ac:dyDescent="0.3">
      <c r="A571" s="678"/>
    </row>
    <row r="572" spans="1:1" x14ac:dyDescent="0.3">
      <c r="A572" s="678"/>
    </row>
    <row r="573" spans="1:1" x14ac:dyDescent="0.3">
      <c r="A573" s="678"/>
    </row>
    <row r="574" spans="1:1" x14ac:dyDescent="0.3">
      <c r="A574" s="678"/>
    </row>
    <row r="575" spans="1:1" x14ac:dyDescent="0.3">
      <c r="A575" s="678"/>
    </row>
    <row r="576" spans="1:1" x14ac:dyDescent="0.3">
      <c r="A576" s="678"/>
    </row>
    <row r="577" spans="1:1" x14ac:dyDescent="0.3">
      <c r="A577" s="678"/>
    </row>
    <row r="578" spans="1:1" x14ac:dyDescent="0.3">
      <c r="A578" s="678"/>
    </row>
    <row r="579" spans="1:1" x14ac:dyDescent="0.3">
      <c r="A579" s="678"/>
    </row>
    <row r="580" spans="1:1" x14ac:dyDescent="0.3">
      <c r="A580" s="678"/>
    </row>
    <row r="581" spans="1:1" x14ac:dyDescent="0.3">
      <c r="A581" s="678"/>
    </row>
    <row r="582" spans="1:1" x14ac:dyDescent="0.3">
      <c r="A582" s="678"/>
    </row>
    <row r="583" spans="1:1" x14ac:dyDescent="0.3">
      <c r="A583" s="678"/>
    </row>
    <row r="584" spans="1:1" x14ac:dyDescent="0.3">
      <c r="A584" s="678"/>
    </row>
    <row r="585" spans="1:1" x14ac:dyDescent="0.3">
      <c r="A585" s="678"/>
    </row>
    <row r="586" spans="1:1" x14ac:dyDescent="0.3">
      <c r="A586" s="678"/>
    </row>
    <row r="587" spans="1:1" x14ac:dyDescent="0.3">
      <c r="A587" s="678"/>
    </row>
    <row r="588" spans="1:1" x14ac:dyDescent="0.3">
      <c r="A588" s="678"/>
    </row>
    <row r="589" spans="1:1" x14ac:dyDescent="0.3">
      <c r="A589" s="678"/>
    </row>
    <row r="590" spans="1:1" x14ac:dyDescent="0.3">
      <c r="A590" s="678"/>
    </row>
    <row r="591" spans="1:1" x14ac:dyDescent="0.3">
      <c r="A591" s="678"/>
    </row>
    <row r="592" spans="1:1" x14ac:dyDescent="0.3">
      <c r="A592" s="678"/>
    </row>
    <row r="593" spans="1:1" x14ac:dyDescent="0.3">
      <c r="A593" s="678"/>
    </row>
    <row r="594" spans="1:1" x14ac:dyDescent="0.3">
      <c r="A594" s="678"/>
    </row>
    <row r="595" spans="1:1" x14ac:dyDescent="0.3">
      <c r="A595" s="678"/>
    </row>
    <row r="596" spans="1:1" x14ac:dyDescent="0.3">
      <c r="A596" s="678"/>
    </row>
    <row r="597" spans="1:1" x14ac:dyDescent="0.3">
      <c r="A597" s="678"/>
    </row>
    <row r="598" spans="1:1" x14ac:dyDescent="0.3">
      <c r="A598" s="678"/>
    </row>
    <row r="599" spans="1:1" x14ac:dyDescent="0.3">
      <c r="A599" s="678"/>
    </row>
    <row r="600" spans="1:1" x14ac:dyDescent="0.3">
      <c r="A600" s="678"/>
    </row>
    <row r="601" spans="1:1" x14ac:dyDescent="0.3">
      <c r="A601" s="678"/>
    </row>
    <row r="602" spans="1:1" x14ac:dyDescent="0.3">
      <c r="A602" s="678"/>
    </row>
    <row r="603" spans="1:1" x14ac:dyDescent="0.3">
      <c r="A603" s="678"/>
    </row>
    <row r="604" spans="1:1" x14ac:dyDescent="0.3">
      <c r="A604" s="678"/>
    </row>
    <row r="605" spans="1:1" x14ac:dyDescent="0.3">
      <c r="A605" s="678"/>
    </row>
    <row r="606" spans="1:1" x14ac:dyDescent="0.3">
      <c r="A606" s="678"/>
    </row>
    <row r="607" spans="1:1" x14ac:dyDescent="0.3">
      <c r="A607" s="678"/>
    </row>
    <row r="608" spans="1:1" x14ac:dyDescent="0.3">
      <c r="A608" s="678"/>
    </row>
    <row r="609" spans="1:1" x14ac:dyDescent="0.3">
      <c r="A609" s="678"/>
    </row>
    <row r="610" spans="1:1" x14ac:dyDescent="0.3">
      <c r="A610" s="678"/>
    </row>
    <row r="611" spans="1:1" x14ac:dyDescent="0.3">
      <c r="A611" s="678"/>
    </row>
    <row r="612" spans="1:1" x14ac:dyDescent="0.3">
      <c r="A612" s="678"/>
    </row>
    <row r="613" spans="1:1" x14ac:dyDescent="0.3">
      <c r="A613" s="678"/>
    </row>
    <row r="614" spans="1:1" x14ac:dyDescent="0.3">
      <c r="A614" s="678"/>
    </row>
    <row r="615" spans="1:1" x14ac:dyDescent="0.3">
      <c r="A615" s="678"/>
    </row>
    <row r="616" spans="1:1" x14ac:dyDescent="0.3">
      <c r="A616" s="678"/>
    </row>
    <row r="617" spans="1:1" x14ac:dyDescent="0.3">
      <c r="A617" s="678"/>
    </row>
    <row r="618" spans="1:1" x14ac:dyDescent="0.3">
      <c r="A618" s="678"/>
    </row>
    <row r="619" spans="1:1" x14ac:dyDescent="0.3">
      <c r="A619" s="678"/>
    </row>
    <row r="620" spans="1:1" x14ac:dyDescent="0.3">
      <c r="A620" s="678"/>
    </row>
    <row r="621" spans="1:1" x14ac:dyDescent="0.3">
      <c r="A621" s="678"/>
    </row>
    <row r="622" spans="1:1" x14ac:dyDescent="0.3">
      <c r="A622" s="678"/>
    </row>
    <row r="623" spans="1:1" x14ac:dyDescent="0.3">
      <c r="A623" s="678"/>
    </row>
    <row r="624" spans="1:1" x14ac:dyDescent="0.3">
      <c r="A624" s="678"/>
    </row>
    <row r="625" spans="1:1" x14ac:dyDescent="0.3">
      <c r="A625" s="678"/>
    </row>
    <row r="626" spans="1:1" x14ac:dyDescent="0.3">
      <c r="A626" s="678"/>
    </row>
    <row r="627" spans="1:1" x14ac:dyDescent="0.3">
      <c r="A627" s="678"/>
    </row>
    <row r="628" spans="1:1" x14ac:dyDescent="0.3">
      <c r="A628" s="678"/>
    </row>
    <row r="629" spans="1:1" x14ac:dyDescent="0.3">
      <c r="A629" s="678"/>
    </row>
    <row r="630" spans="1:1" x14ac:dyDescent="0.3">
      <c r="A630" s="678"/>
    </row>
    <row r="631" spans="1:1" x14ac:dyDescent="0.3">
      <c r="A631" s="678"/>
    </row>
    <row r="632" spans="1:1" x14ac:dyDescent="0.3">
      <c r="A632" s="678"/>
    </row>
    <row r="633" spans="1:1" x14ac:dyDescent="0.3">
      <c r="A633" s="678"/>
    </row>
    <row r="634" spans="1:1" x14ac:dyDescent="0.3">
      <c r="A634" s="678"/>
    </row>
    <row r="635" spans="1:1" x14ac:dyDescent="0.3">
      <c r="A635" s="678"/>
    </row>
    <row r="636" spans="1:1" x14ac:dyDescent="0.3">
      <c r="A636" s="678"/>
    </row>
    <row r="637" spans="1:1" x14ac:dyDescent="0.3">
      <c r="A637" s="678"/>
    </row>
    <row r="638" spans="1:1" x14ac:dyDescent="0.3">
      <c r="A638" s="678"/>
    </row>
    <row r="639" spans="1:1" x14ac:dyDescent="0.3">
      <c r="A639" s="678"/>
    </row>
    <row r="640" spans="1:1" x14ac:dyDescent="0.3">
      <c r="A640" s="678"/>
    </row>
    <row r="641" spans="1:1" x14ac:dyDescent="0.3">
      <c r="A641" s="678"/>
    </row>
    <row r="642" spans="1:1" x14ac:dyDescent="0.3">
      <c r="A642" s="678"/>
    </row>
    <row r="643" spans="1:1" x14ac:dyDescent="0.3">
      <c r="A643" s="678"/>
    </row>
    <row r="644" spans="1:1" x14ac:dyDescent="0.3">
      <c r="A644" s="678"/>
    </row>
    <row r="645" spans="1:1" x14ac:dyDescent="0.3">
      <c r="A645" s="678"/>
    </row>
    <row r="646" spans="1:1" x14ac:dyDescent="0.3">
      <c r="A646" s="678"/>
    </row>
    <row r="647" spans="1:1" x14ac:dyDescent="0.3">
      <c r="A647" s="678"/>
    </row>
    <row r="648" spans="1:1" x14ac:dyDescent="0.3">
      <c r="A648" s="678"/>
    </row>
    <row r="649" spans="1:1" x14ac:dyDescent="0.3">
      <c r="A649" s="678"/>
    </row>
    <row r="650" spans="1:1" x14ac:dyDescent="0.3">
      <c r="A650" s="678"/>
    </row>
    <row r="651" spans="1:1" x14ac:dyDescent="0.3">
      <c r="A651" s="678"/>
    </row>
    <row r="652" spans="1:1" x14ac:dyDescent="0.3">
      <c r="A652" s="678"/>
    </row>
    <row r="653" spans="1:1" x14ac:dyDescent="0.3">
      <c r="A653" s="678"/>
    </row>
    <row r="654" spans="1:1" x14ac:dyDescent="0.3">
      <c r="A654" s="678"/>
    </row>
    <row r="655" spans="1:1" x14ac:dyDescent="0.3">
      <c r="A655" s="678"/>
    </row>
    <row r="656" spans="1:1" x14ac:dyDescent="0.3">
      <c r="A656" s="678"/>
    </row>
    <row r="657" spans="1:1" x14ac:dyDescent="0.3">
      <c r="A657" s="678"/>
    </row>
    <row r="658" spans="1:1" x14ac:dyDescent="0.3">
      <c r="A658" s="678"/>
    </row>
    <row r="659" spans="1:1" x14ac:dyDescent="0.3">
      <c r="A659" s="678"/>
    </row>
    <row r="660" spans="1:1" x14ac:dyDescent="0.3">
      <c r="A660" s="678"/>
    </row>
    <row r="661" spans="1:1" x14ac:dyDescent="0.3">
      <c r="A661" s="678"/>
    </row>
    <row r="662" spans="1:1" x14ac:dyDescent="0.3">
      <c r="A662" s="678"/>
    </row>
    <row r="663" spans="1:1" x14ac:dyDescent="0.3">
      <c r="A663" s="678"/>
    </row>
    <row r="664" spans="1:1" x14ac:dyDescent="0.3">
      <c r="A664" s="678"/>
    </row>
    <row r="665" spans="1:1" x14ac:dyDescent="0.3">
      <c r="A665" s="678"/>
    </row>
    <row r="666" spans="1:1" x14ac:dyDescent="0.3">
      <c r="A666" s="678"/>
    </row>
    <row r="667" spans="1:1" x14ac:dyDescent="0.3">
      <c r="A667" s="678"/>
    </row>
    <row r="668" spans="1:1" x14ac:dyDescent="0.3">
      <c r="A668" s="678"/>
    </row>
    <row r="669" spans="1:1" x14ac:dyDescent="0.3">
      <c r="A669" s="678"/>
    </row>
    <row r="670" spans="1:1" x14ac:dyDescent="0.3">
      <c r="A670" s="678"/>
    </row>
    <row r="671" spans="1:1" x14ac:dyDescent="0.3">
      <c r="A671" s="678"/>
    </row>
    <row r="672" spans="1:1" x14ac:dyDescent="0.3">
      <c r="A672" s="678"/>
    </row>
    <row r="673" spans="1:1" x14ac:dyDescent="0.3">
      <c r="A673" s="678"/>
    </row>
    <row r="674" spans="1:1" x14ac:dyDescent="0.3">
      <c r="A674" s="678"/>
    </row>
    <row r="675" spans="1:1" x14ac:dyDescent="0.3">
      <c r="A675" s="678"/>
    </row>
    <row r="676" spans="1:1" x14ac:dyDescent="0.3">
      <c r="A676" s="678"/>
    </row>
    <row r="677" spans="1:1" x14ac:dyDescent="0.3">
      <c r="A677" s="678"/>
    </row>
    <row r="678" spans="1:1" x14ac:dyDescent="0.3">
      <c r="A678" s="678"/>
    </row>
    <row r="679" spans="1:1" x14ac:dyDescent="0.3">
      <c r="A679" s="678"/>
    </row>
    <row r="680" spans="1:1" x14ac:dyDescent="0.3">
      <c r="A680" s="678"/>
    </row>
    <row r="681" spans="1:1" x14ac:dyDescent="0.3">
      <c r="A681" s="678"/>
    </row>
    <row r="682" spans="1:1" x14ac:dyDescent="0.3">
      <c r="A682" s="678"/>
    </row>
    <row r="683" spans="1:1" x14ac:dyDescent="0.3">
      <c r="A683" s="678"/>
    </row>
    <row r="684" spans="1:1" x14ac:dyDescent="0.3">
      <c r="A684" s="678"/>
    </row>
    <row r="685" spans="1:1" x14ac:dyDescent="0.3">
      <c r="A685" s="678"/>
    </row>
    <row r="686" spans="1:1" x14ac:dyDescent="0.3">
      <c r="A686" s="678"/>
    </row>
    <row r="687" spans="1:1" x14ac:dyDescent="0.3">
      <c r="A687" s="678"/>
    </row>
    <row r="688" spans="1:1" x14ac:dyDescent="0.3">
      <c r="A688" s="678"/>
    </row>
    <row r="689" spans="1:1" x14ac:dyDescent="0.3">
      <c r="A689" s="678"/>
    </row>
    <row r="690" spans="1:1" x14ac:dyDescent="0.3">
      <c r="A690" s="678"/>
    </row>
    <row r="691" spans="1:1" x14ac:dyDescent="0.3">
      <c r="A691" s="678"/>
    </row>
    <row r="692" spans="1:1" x14ac:dyDescent="0.3">
      <c r="A692" s="678"/>
    </row>
    <row r="693" spans="1:1" x14ac:dyDescent="0.3">
      <c r="A693" s="678"/>
    </row>
    <row r="694" spans="1:1" x14ac:dyDescent="0.3">
      <c r="A694" s="678"/>
    </row>
    <row r="695" spans="1:1" x14ac:dyDescent="0.3">
      <c r="A695" s="678"/>
    </row>
    <row r="696" spans="1:1" x14ac:dyDescent="0.3">
      <c r="A696" s="678"/>
    </row>
    <row r="697" spans="1:1" x14ac:dyDescent="0.3">
      <c r="A697" s="678"/>
    </row>
    <row r="698" spans="1:1" x14ac:dyDescent="0.3">
      <c r="A698" s="678"/>
    </row>
    <row r="699" spans="1:1" x14ac:dyDescent="0.3">
      <c r="A699" s="678"/>
    </row>
    <row r="700" spans="1:1" x14ac:dyDescent="0.3">
      <c r="A700" s="678"/>
    </row>
    <row r="701" spans="1:1" x14ac:dyDescent="0.3">
      <c r="A701" s="678"/>
    </row>
    <row r="702" spans="1:1" x14ac:dyDescent="0.3">
      <c r="A702" s="678"/>
    </row>
    <row r="703" spans="1:1" x14ac:dyDescent="0.3">
      <c r="A703" s="678"/>
    </row>
    <row r="704" spans="1:1" x14ac:dyDescent="0.3">
      <c r="A704" s="678"/>
    </row>
    <row r="705" spans="1:1" x14ac:dyDescent="0.3">
      <c r="A705" s="678"/>
    </row>
    <row r="706" spans="1:1" x14ac:dyDescent="0.3">
      <c r="A706" s="678"/>
    </row>
    <row r="707" spans="1:1" x14ac:dyDescent="0.3">
      <c r="A707" s="678"/>
    </row>
    <row r="708" spans="1:1" x14ac:dyDescent="0.3">
      <c r="A708" s="678"/>
    </row>
    <row r="709" spans="1:1" x14ac:dyDescent="0.3">
      <c r="A709" s="678"/>
    </row>
    <row r="710" spans="1:1" x14ac:dyDescent="0.3">
      <c r="A710" s="678"/>
    </row>
    <row r="711" spans="1:1" x14ac:dyDescent="0.3">
      <c r="A711" s="678"/>
    </row>
    <row r="712" spans="1:1" x14ac:dyDescent="0.3">
      <c r="A712" s="678"/>
    </row>
    <row r="713" spans="1:1" x14ac:dyDescent="0.3">
      <c r="A713" s="678"/>
    </row>
    <row r="714" spans="1:1" x14ac:dyDescent="0.3">
      <c r="A714" s="678"/>
    </row>
    <row r="715" spans="1:1" x14ac:dyDescent="0.3">
      <c r="A715" s="678"/>
    </row>
    <row r="716" spans="1:1" x14ac:dyDescent="0.3">
      <c r="A716" s="678"/>
    </row>
    <row r="717" spans="1:1" x14ac:dyDescent="0.3">
      <c r="A717" s="678"/>
    </row>
    <row r="718" spans="1:1" x14ac:dyDescent="0.3">
      <c r="A718" s="678"/>
    </row>
    <row r="719" spans="1:1" x14ac:dyDescent="0.3">
      <c r="A719" s="678"/>
    </row>
    <row r="720" spans="1:1" x14ac:dyDescent="0.3">
      <c r="A720" s="678"/>
    </row>
    <row r="721" spans="1:1" x14ac:dyDescent="0.3">
      <c r="A721" s="678"/>
    </row>
    <row r="722" spans="1:1" x14ac:dyDescent="0.3">
      <c r="A722" s="678"/>
    </row>
    <row r="723" spans="1:1" x14ac:dyDescent="0.3">
      <c r="A723" s="678"/>
    </row>
    <row r="724" spans="1:1" x14ac:dyDescent="0.3">
      <c r="A724" s="678"/>
    </row>
    <row r="725" spans="1:1" x14ac:dyDescent="0.3">
      <c r="A725" s="678"/>
    </row>
    <row r="726" spans="1:1" x14ac:dyDescent="0.3">
      <c r="A726" s="678"/>
    </row>
    <row r="727" spans="1:1" x14ac:dyDescent="0.3">
      <c r="A727" s="678"/>
    </row>
    <row r="728" spans="1:1" x14ac:dyDescent="0.3">
      <c r="A728" s="678"/>
    </row>
    <row r="729" spans="1:1" x14ac:dyDescent="0.3">
      <c r="A729" s="678"/>
    </row>
    <row r="730" spans="1:1" x14ac:dyDescent="0.3">
      <c r="A730" s="678"/>
    </row>
    <row r="731" spans="1:1" x14ac:dyDescent="0.3">
      <c r="A731" s="678"/>
    </row>
    <row r="732" spans="1:1" x14ac:dyDescent="0.3">
      <c r="A732" s="678"/>
    </row>
    <row r="733" spans="1:1" x14ac:dyDescent="0.3">
      <c r="A733" s="678"/>
    </row>
    <row r="734" spans="1:1" x14ac:dyDescent="0.3">
      <c r="A734" s="678"/>
    </row>
    <row r="735" spans="1:1" x14ac:dyDescent="0.3">
      <c r="A735" s="678"/>
    </row>
    <row r="736" spans="1:1" x14ac:dyDescent="0.3">
      <c r="A736" s="678"/>
    </row>
    <row r="737" spans="1:1" x14ac:dyDescent="0.3">
      <c r="A737" s="678"/>
    </row>
    <row r="738" spans="1:1" x14ac:dyDescent="0.3">
      <c r="A738" s="678"/>
    </row>
    <row r="739" spans="1:1" x14ac:dyDescent="0.3">
      <c r="A739" s="678"/>
    </row>
    <row r="740" spans="1:1" x14ac:dyDescent="0.3">
      <c r="A740" s="678"/>
    </row>
    <row r="741" spans="1:1" x14ac:dyDescent="0.3">
      <c r="A741" s="678"/>
    </row>
    <row r="742" spans="1:1" x14ac:dyDescent="0.3">
      <c r="A742" s="678"/>
    </row>
    <row r="743" spans="1:1" x14ac:dyDescent="0.3">
      <c r="A743" s="678"/>
    </row>
    <row r="744" spans="1:1" x14ac:dyDescent="0.3">
      <c r="A744" s="678"/>
    </row>
    <row r="745" spans="1:1" x14ac:dyDescent="0.3">
      <c r="A745" s="678"/>
    </row>
    <row r="746" spans="1:1" x14ac:dyDescent="0.3">
      <c r="A746" s="678"/>
    </row>
    <row r="747" spans="1:1" x14ac:dyDescent="0.3">
      <c r="A747" s="678"/>
    </row>
    <row r="748" spans="1:1" x14ac:dyDescent="0.3">
      <c r="A748" s="678"/>
    </row>
    <row r="749" spans="1:1" x14ac:dyDescent="0.3">
      <c r="A749" s="678"/>
    </row>
    <row r="750" spans="1:1" x14ac:dyDescent="0.3">
      <c r="A750" s="678"/>
    </row>
    <row r="751" spans="1:1" x14ac:dyDescent="0.3">
      <c r="A751" s="678"/>
    </row>
    <row r="752" spans="1:1" x14ac:dyDescent="0.3">
      <c r="A752" s="678"/>
    </row>
    <row r="753" spans="1:1" x14ac:dyDescent="0.3">
      <c r="A753" s="678"/>
    </row>
    <row r="754" spans="1:1" x14ac:dyDescent="0.3">
      <c r="A754" s="678"/>
    </row>
    <row r="755" spans="1:1" x14ac:dyDescent="0.3">
      <c r="A755" s="678"/>
    </row>
    <row r="756" spans="1:1" x14ac:dyDescent="0.3">
      <c r="A756" s="678"/>
    </row>
    <row r="757" spans="1:1" x14ac:dyDescent="0.3">
      <c r="A757" s="678"/>
    </row>
    <row r="758" spans="1:1" x14ac:dyDescent="0.3">
      <c r="A758" s="678"/>
    </row>
    <row r="759" spans="1:1" x14ac:dyDescent="0.3">
      <c r="A759" s="678"/>
    </row>
    <row r="760" spans="1:1" x14ac:dyDescent="0.3">
      <c r="A760" s="678"/>
    </row>
    <row r="761" spans="1:1" x14ac:dyDescent="0.3">
      <c r="A761" s="678"/>
    </row>
    <row r="762" spans="1:1" x14ac:dyDescent="0.3">
      <c r="A762" s="678"/>
    </row>
    <row r="763" spans="1:1" x14ac:dyDescent="0.3">
      <c r="A763" s="678"/>
    </row>
    <row r="764" spans="1:1" x14ac:dyDescent="0.3">
      <c r="A764" s="678"/>
    </row>
    <row r="765" spans="1:1" x14ac:dyDescent="0.3">
      <c r="A765" s="678"/>
    </row>
    <row r="766" spans="1:1" x14ac:dyDescent="0.3">
      <c r="A766" s="678"/>
    </row>
    <row r="767" spans="1:1" x14ac:dyDescent="0.3">
      <c r="A767" s="678"/>
    </row>
    <row r="768" spans="1:1" x14ac:dyDescent="0.3">
      <c r="A768" s="678"/>
    </row>
    <row r="769" spans="1:1" x14ac:dyDescent="0.3">
      <c r="A769" s="678"/>
    </row>
    <row r="770" spans="1:1" x14ac:dyDescent="0.3">
      <c r="A770" s="678"/>
    </row>
    <row r="771" spans="1:1" x14ac:dyDescent="0.3">
      <c r="A771" s="678"/>
    </row>
    <row r="772" spans="1:1" x14ac:dyDescent="0.3">
      <c r="A772" s="678"/>
    </row>
    <row r="773" spans="1:1" x14ac:dyDescent="0.3">
      <c r="A773" s="678"/>
    </row>
    <row r="774" spans="1:1" x14ac:dyDescent="0.3">
      <c r="A774" s="678"/>
    </row>
    <row r="775" spans="1:1" x14ac:dyDescent="0.3">
      <c r="A775" s="678"/>
    </row>
    <row r="776" spans="1:1" x14ac:dyDescent="0.3">
      <c r="A776" s="678"/>
    </row>
    <row r="777" spans="1:1" x14ac:dyDescent="0.3">
      <c r="A777" s="678"/>
    </row>
    <row r="778" spans="1:1" x14ac:dyDescent="0.3">
      <c r="A778" s="678"/>
    </row>
    <row r="779" spans="1:1" x14ac:dyDescent="0.3">
      <c r="A779" s="678"/>
    </row>
    <row r="780" spans="1:1" x14ac:dyDescent="0.3">
      <c r="A780" s="678"/>
    </row>
    <row r="781" spans="1:1" x14ac:dyDescent="0.3">
      <c r="A781" s="678"/>
    </row>
    <row r="782" spans="1:1" x14ac:dyDescent="0.3">
      <c r="A782" s="678"/>
    </row>
    <row r="783" spans="1:1" x14ac:dyDescent="0.3">
      <c r="A783" s="678"/>
    </row>
    <row r="784" spans="1:1" x14ac:dyDescent="0.3">
      <c r="A784" s="678"/>
    </row>
    <row r="785" spans="1:1" x14ac:dyDescent="0.3">
      <c r="A785" s="678"/>
    </row>
    <row r="786" spans="1:1" x14ac:dyDescent="0.3">
      <c r="A786" s="678"/>
    </row>
    <row r="787" spans="1:1" x14ac:dyDescent="0.3">
      <c r="A787" s="678"/>
    </row>
    <row r="788" spans="1:1" x14ac:dyDescent="0.3">
      <c r="A788" s="678"/>
    </row>
    <row r="789" spans="1:1" x14ac:dyDescent="0.3">
      <c r="A789" s="678"/>
    </row>
    <row r="790" spans="1:1" x14ac:dyDescent="0.3">
      <c r="A790" s="678"/>
    </row>
    <row r="791" spans="1:1" x14ac:dyDescent="0.3">
      <c r="A791" s="678"/>
    </row>
    <row r="792" spans="1:1" x14ac:dyDescent="0.3">
      <c r="A792" s="678"/>
    </row>
    <row r="793" spans="1:1" x14ac:dyDescent="0.3">
      <c r="A793" s="678"/>
    </row>
    <row r="794" spans="1:1" x14ac:dyDescent="0.3">
      <c r="A794" s="678"/>
    </row>
    <row r="795" spans="1:1" x14ac:dyDescent="0.3">
      <c r="A795" s="678"/>
    </row>
    <row r="796" spans="1:1" x14ac:dyDescent="0.3">
      <c r="A796" s="678"/>
    </row>
    <row r="797" spans="1:1" x14ac:dyDescent="0.3">
      <c r="A797" s="678"/>
    </row>
    <row r="798" spans="1:1" x14ac:dyDescent="0.3">
      <c r="A798" s="678"/>
    </row>
    <row r="799" spans="1:1" x14ac:dyDescent="0.3">
      <c r="A799" s="678"/>
    </row>
    <row r="800" spans="1:1" x14ac:dyDescent="0.3">
      <c r="A800" s="678"/>
    </row>
    <row r="801" spans="1:1" x14ac:dyDescent="0.3">
      <c r="A801" s="678"/>
    </row>
    <row r="802" spans="1:1" x14ac:dyDescent="0.3">
      <c r="A802" s="678"/>
    </row>
    <row r="803" spans="1:1" x14ac:dyDescent="0.3">
      <c r="A803" s="678"/>
    </row>
    <row r="804" spans="1:1" x14ac:dyDescent="0.3">
      <c r="A804" s="678"/>
    </row>
    <row r="805" spans="1:1" x14ac:dyDescent="0.3">
      <c r="A805" s="678"/>
    </row>
    <row r="806" spans="1:1" x14ac:dyDescent="0.3">
      <c r="A806" s="678"/>
    </row>
    <row r="807" spans="1:1" x14ac:dyDescent="0.3">
      <c r="A807" s="678"/>
    </row>
    <row r="808" spans="1:1" x14ac:dyDescent="0.3">
      <c r="A808" s="678"/>
    </row>
    <row r="809" spans="1:1" x14ac:dyDescent="0.3">
      <c r="A809" s="678"/>
    </row>
    <row r="810" spans="1:1" x14ac:dyDescent="0.3">
      <c r="A810" s="678"/>
    </row>
    <row r="811" spans="1:1" x14ac:dyDescent="0.3">
      <c r="A811" s="678"/>
    </row>
    <row r="812" spans="1:1" x14ac:dyDescent="0.3">
      <c r="A812" s="678"/>
    </row>
    <row r="813" spans="1:1" x14ac:dyDescent="0.3">
      <c r="A813" s="678"/>
    </row>
    <row r="814" spans="1:1" x14ac:dyDescent="0.3">
      <c r="A814" s="678"/>
    </row>
    <row r="815" spans="1:1" x14ac:dyDescent="0.3">
      <c r="A815" s="678"/>
    </row>
    <row r="816" spans="1:1" x14ac:dyDescent="0.3">
      <c r="A816" s="678"/>
    </row>
    <row r="817" spans="1:1" x14ac:dyDescent="0.3">
      <c r="A817" s="678"/>
    </row>
    <row r="818" spans="1:1" x14ac:dyDescent="0.3">
      <c r="A818" s="678"/>
    </row>
    <row r="819" spans="1:1" x14ac:dyDescent="0.3">
      <c r="A819" s="678"/>
    </row>
    <row r="820" spans="1:1" x14ac:dyDescent="0.3">
      <c r="A820" s="678"/>
    </row>
    <row r="821" spans="1:1" x14ac:dyDescent="0.3">
      <c r="A821" s="678"/>
    </row>
    <row r="822" spans="1:1" x14ac:dyDescent="0.3">
      <c r="A822" s="678"/>
    </row>
    <row r="823" spans="1:1" x14ac:dyDescent="0.3">
      <c r="A823" s="678"/>
    </row>
    <row r="824" spans="1:1" x14ac:dyDescent="0.3">
      <c r="A824" s="678"/>
    </row>
    <row r="825" spans="1:1" x14ac:dyDescent="0.3">
      <c r="A825" s="678"/>
    </row>
    <row r="826" spans="1:1" x14ac:dyDescent="0.3">
      <c r="A826" s="678"/>
    </row>
    <row r="827" spans="1:1" x14ac:dyDescent="0.3">
      <c r="A827" s="678"/>
    </row>
    <row r="828" spans="1:1" x14ac:dyDescent="0.3">
      <c r="A828" s="678"/>
    </row>
    <row r="829" spans="1:1" x14ac:dyDescent="0.3">
      <c r="A829" s="678"/>
    </row>
    <row r="830" spans="1:1" x14ac:dyDescent="0.3">
      <c r="A830" s="678"/>
    </row>
    <row r="831" spans="1:1" x14ac:dyDescent="0.3">
      <c r="A831" s="678"/>
    </row>
    <row r="832" spans="1:1" x14ac:dyDescent="0.3">
      <c r="A832" s="678"/>
    </row>
    <row r="833" spans="1:1" x14ac:dyDescent="0.3">
      <c r="A833" s="678"/>
    </row>
    <row r="834" spans="1:1" x14ac:dyDescent="0.3">
      <c r="A834" s="678"/>
    </row>
    <row r="835" spans="1:1" x14ac:dyDescent="0.3">
      <c r="A835" s="678"/>
    </row>
    <row r="836" spans="1:1" x14ac:dyDescent="0.3">
      <c r="A836" s="678"/>
    </row>
    <row r="837" spans="1:1" x14ac:dyDescent="0.3">
      <c r="A837" s="678"/>
    </row>
    <row r="838" spans="1:1" x14ac:dyDescent="0.3">
      <c r="A838" s="678"/>
    </row>
    <row r="839" spans="1:1" x14ac:dyDescent="0.3">
      <c r="A839" s="678"/>
    </row>
    <row r="840" spans="1:1" x14ac:dyDescent="0.3">
      <c r="A840" s="678"/>
    </row>
    <row r="841" spans="1:1" x14ac:dyDescent="0.3">
      <c r="A841" s="678"/>
    </row>
    <row r="842" spans="1:1" x14ac:dyDescent="0.3">
      <c r="A842" s="678"/>
    </row>
    <row r="843" spans="1:1" x14ac:dyDescent="0.3">
      <c r="A843" s="678"/>
    </row>
    <row r="844" spans="1:1" x14ac:dyDescent="0.3">
      <c r="A844" s="678"/>
    </row>
    <row r="845" spans="1:1" x14ac:dyDescent="0.3">
      <c r="A845" s="678"/>
    </row>
    <row r="846" spans="1:1" x14ac:dyDescent="0.3">
      <c r="A846" s="678"/>
    </row>
    <row r="847" spans="1:1" x14ac:dyDescent="0.3">
      <c r="A847" s="678"/>
    </row>
    <row r="848" spans="1:1" x14ac:dyDescent="0.3">
      <c r="A848" s="678"/>
    </row>
    <row r="849" spans="1:1" x14ac:dyDescent="0.3">
      <c r="A849" s="678"/>
    </row>
    <row r="850" spans="1:1" x14ac:dyDescent="0.3">
      <c r="A850" s="678"/>
    </row>
    <row r="851" spans="1:1" x14ac:dyDescent="0.3">
      <c r="A851" s="678"/>
    </row>
    <row r="852" spans="1:1" x14ac:dyDescent="0.3">
      <c r="A852" s="678"/>
    </row>
    <row r="853" spans="1:1" x14ac:dyDescent="0.3">
      <c r="A853" s="678"/>
    </row>
    <row r="854" spans="1:1" x14ac:dyDescent="0.3">
      <c r="A854" s="678"/>
    </row>
    <row r="855" spans="1:1" x14ac:dyDescent="0.3">
      <c r="A855" s="678"/>
    </row>
    <row r="856" spans="1:1" x14ac:dyDescent="0.3">
      <c r="A856" s="678"/>
    </row>
    <row r="857" spans="1:1" x14ac:dyDescent="0.3">
      <c r="A857" s="678"/>
    </row>
    <row r="858" spans="1:1" x14ac:dyDescent="0.3">
      <c r="A858" s="678"/>
    </row>
    <row r="859" spans="1:1" x14ac:dyDescent="0.3">
      <c r="A859" s="678"/>
    </row>
    <row r="860" spans="1:1" x14ac:dyDescent="0.3">
      <c r="A860" s="678"/>
    </row>
    <row r="861" spans="1:1" x14ac:dyDescent="0.3">
      <c r="A861" s="678"/>
    </row>
    <row r="862" spans="1:1" x14ac:dyDescent="0.3">
      <c r="A862" s="678"/>
    </row>
    <row r="863" spans="1:1" x14ac:dyDescent="0.3">
      <c r="A863" s="678"/>
    </row>
    <row r="864" spans="1:1" x14ac:dyDescent="0.3">
      <c r="A864" s="678"/>
    </row>
    <row r="865" spans="1:1" x14ac:dyDescent="0.3">
      <c r="A865" s="678"/>
    </row>
    <row r="866" spans="1:1" x14ac:dyDescent="0.3">
      <c r="A866" s="678"/>
    </row>
    <row r="867" spans="1:1" x14ac:dyDescent="0.3">
      <c r="A867" s="678"/>
    </row>
    <row r="868" spans="1:1" x14ac:dyDescent="0.3">
      <c r="A868" s="678"/>
    </row>
    <row r="869" spans="1:1" x14ac:dyDescent="0.3">
      <c r="A869" s="678"/>
    </row>
    <row r="870" spans="1:1" x14ac:dyDescent="0.3">
      <c r="A870" s="678"/>
    </row>
    <row r="871" spans="1:1" x14ac:dyDescent="0.3">
      <c r="A871" s="678"/>
    </row>
    <row r="872" spans="1:1" x14ac:dyDescent="0.3">
      <c r="A872" s="678"/>
    </row>
    <row r="873" spans="1:1" x14ac:dyDescent="0.3">
      <c r="A873" s="678"/>
    </row>
    <row r="874" spans="1:1" x14ac:dyDescent="0.3">
      <c r="A874" s="678"/>
    </row>
    <row r="875" spans="1:1" x14ac:dyDescent="0.3">
      <c r="A875" s="678"/>
    </row>
    <row r="876" spans="1:1" x14ac:dyDescent="0.3">
      <c r="A876" s="678"/>
    </row>
    <row r="877" spans="1:1" x14ac:dyDescent="0.3">
      <c r="A877" s="678"/>
    </row>
    <row r="878" spans="1:1" x14ac:dyDescent="0.3">
      <c r="A878" s="678"/>
    </row>
    <row r="879" spans="1:1" x14ac:dyDescent="0.3">
      <c r="A879" s="678"/>
    </row>
    <row r="880" spans="1:1" x14ac:dyDescent="0.3">
      <c r="A880" s="678"/>
    </row>
    <row r="881" spans="1:1" x14ac:dyDescent="0.3">
      <c r="A881" s="678"/>
    </row>
    <row r="882" spans="1:1" x14ac:dyDescent="0.3">
      <c r="A882" s="678"/>
    </row>
    <row r="883" spans="1:1" x14ac:dyDescent="0.3">
      <c r="A883" s="678"/>
    </row>
    <row r="884" spans="1:1" x14ac:dyDescent="0.3">
      <c r="A884" s="678"/>
    </row>
    <row r="885" spans="1:1" x14ac:dyDescent="0.3">
      <c r="A885" s="678"/>
    </row>
    <row r="886" spans="1:1" x14ac:dyDescent="0.3">
      <c r="A886" s="678"/>
    </row>
    <row r="887" spans="1:1" x14ac:dyDescent="0.3">
      <c r="A887" s="678"/>
    </row>
    <row r="888" spans="1:1" x14ac:dyDescent="0.3">
      <c r="A888" s="678"/>
    </row>
    <row r="889" spans="1:1" x14ac:dyDescent="0.3">
      <c r="A889" s="678"/>
    </row>
    <row r="890" spans="1:1" x14ac:dyDescent="0.3">
      <c r="A890" s="678"/>
    </row>
    <row r="891" spans="1:1" x14ac:dyDescent="0.3">
      <c r="A891" s="678"/>
    </row>
    <row r="892" spans="1:1" x14ac:dyDescent="0.3">
      <c r="A892" s="678"/>
    </row>
    <row r="893" spans="1:1" x14ac:dyDescent="0.3">
      <c r="A893" s="678"/>
    </row>
    <row r="894" spans="1:1" x14ac:dyDescent="0.3">
      <c r="A894" s="678"/>
    </row>
    <row r="895" spans="1:1" x14ac:dyDescent="0.3">
      <c r="A895" s="678"/>
    </row>
    <row r="896" spans="1:1" x14ac:dyDescent="0.3">
      <c r="A896" s="678"/>
    </row>
    <row r="897" spans="1:1" x14ac:dyDescent="0.3">
      <c r="A897" s="678"/>
    </row>
    <row r="898" spans="1:1" x14ac:dyDescent="0.3">
      <c r="A898" s="678"/>
    </row>
    <row r="899" spans="1:1" x14ac:dyDescent="0.3">
      <c r="A899" s="678"/>
    </row>
    <row r="900" spans="1:1" x14ac:dyDescent="0.3">
      <c r="A900" s="678"/>
    </row>
    <row r="901" spans="1:1" x14ac:dyDescent="0.3">
      <c r="A901" s="678"/>
    </row>
    <row r="902" spans="1:1" x14ac:dyDescent="0.3">
      <c r="A902" s="678"/>
    </row>
    <row r="903" spans="1:1" x14ac:dyDescent="0.3">
      <c r="A903" s="678"/>
    </row>
    <row r="904" spans="1:1" x14ac:dyDescent="0.3">
      <c r="A904" s="678"/>
    </row>
    <row r="905" spans="1:1" x14ac:dyDescent="0.3">
      <c r="A905" s="678"/>
    </row>
    <row r="906" spans="1:1" x14ac:dyDescent="0.3">
      <c r="A906" s="678"/>
    </row>
    <row r="907" spans="1:1" x14ac:dyDescent="0.3">
      <c r="A907" s="678"/>
    </row>
    <row r="908" spans="1:1" x14ac:dyDescent="0.3">
      <c r="A908" s="678"/>
    </row>
    <row r="909" spans="1:1" x14ac:dyDescent="0.3">
      <c r="A909" s="678"/>
    </row>
    <row r="910" spans="1:1" x14ac:dyDescent="0.3">
      <c r="A910" s="678"/>
    </row>
    <row r="911" spans="1:1" x14ac:dyDescent="0.3">
      <c r="A911" s="678"/>
    </row>
    <row r="912" spans="1:1" x14ac:dyDescent="0.3">
      <c r="A912" s="678"/>
    </row>
    <row r="913" spans="1:1" x14ac:dyDescent="0.3">
      <c r="A913" s="678"/>
    </row>
    <row r="914" spans="1:1" x14ac:dyDescent="0.3">
      <c r="A914" s="678"/>
    </row>
    <row r="915" spans="1:1" x14ac:dyDescent="0.3">
      <c r="A915" s="678"/>
    </row>
    <row r="916" spans="1:1" x14ac:dyDescent="0.3">
      <c r="A916" s="678"/>
    </row>
    <row r="917" spans="1:1" x14ac:dyDescent="0.3">
      <c r="A917" s="678"/>
    </row>
    <row r="918" spans="1:1" x14ac:dyDescent="0.3">
      <c r="A918" s="678"/>
    </row>
    <row r="919" spans="1:1" x14ac:dyDescent="0.3">
      <c r="A919" s="678"/>
    </row>
    <row r="920" spans="1:1" x14ac:dyDescent="0.3">
      <c r="A920" s="678"/>
    </row>
    <row r="921" spans="1:1" x14ac:dyDescent="0.3">
      <c r="A921" s="678"/>
    </row>
    <row r="922" spans="1:1" x14ac:dyDescent="0.3">
      <c r="A922" s="678"/>
    </row>
    <row r="923" spans="1:1" x14ac:dyDescent="0.3">
      <c r="A923" s="678"/>
    </row>
    <row r="924" spans="1:1" x14ac:dyDescent="0.3">
      <c r="A924" s="678"/>
    </row>
    <row r="925" spans="1:1" x14ac:dyDescent="0.3">
      <c r="A925" s="678"/>
    </row>
    <row r="926" spans="1:1" x14ac:dyDescent="0.3">
      <c r="A926" s="678"/>
    </row>
    <row r="927" spans="1:1" x14ac:dyDescent="0.3">
      <c r="A927" s="678"/>
    </row>
    <row r="928" spans="1:1" x14ac:dyDescent="0.3">
      <c r="A928" s="678"/>
    </row>
    <row r="929" spans="1:1" x14ac:dyDescent="0.3">
      <c r="A929" s="678"/>
    </row>
    <row r="930" spans="1:1" x14ac:dyDescent="0.3">
      <c r="A930" s="678"/>
    </row>
    <row r="931" spans="1:1" x14ac:dyDescent="0.3">
      <c r="A931" s="678"/>
    </row>
    <row r="932" spans="1:1" x14ac:dyDescent="0.3">
      <c r="A932" s="678"/>
    </row>
    <row r="933" spans="1:1" x14ac:dyDescent="0.3">
      <c r="A933" s="678"/>
    </row>
    <row r="934" spans="1:1" x14ac:dyDescent="0.3">
      <c r="A934" s="678"/>
    </row>
    <row r="935" spans="1:1" x14ac:dyDescent="0.3">
      <c r="A935" s="678"/>
    </row>
    <row r="936" spans="1:1" x14ac:dyDescent="0.3">
      <c r="A936" s="678"/>
    </row>
    <row r="937" spans="1:1" x14ac:dyDescent="0.3">
      <c r="A937" s="678"/>
    </row>
    <row r="938" spans="1:1" x14ac:dyDescent="0.3">
      <c r="A938" s="678"/>
    </row>
    <row r="939" spans="1:1" x14ac:dyDescent="0.3">
      <c r="A939" s="678"/>
    </row>
    <row r="940" spans="1:1" x14ac:dyDescent="0.3">
      <c r="A940" s="678"/>
    </row>
    <row r="941" spans="1:1" x14ac:dyDescent="0.3">
      <c r="A941" s="678"/>
    </row>
    <row r="942" spans="1:1" x14ac:dyDescent="0.3">
      <c r="A942" s="678"/>
    </row>
    <row r="943" spans="1:1" x14ac:dyDescent="0.3">
      <c r="A943" s="678"/>
    </row>
    <row r="944" spans="1:1" x14ac:dyDescent="0.3">
      <c r="A944" s="678"/>
    </row>
    <row r="945" spans="1:1" x14ac:dyDescent="0.3">
      <c r="A945" s="678"/>
    </row>
    <row r="946" spans="1:1" x14ac:dyDescent="0.3">
      <c r="A946" s="678"/>
    </row>
    <row r="947" spans="1:1" x14ac:dyDescent="0.3">
      <c r="A947" s="678"/>
    </row>
    <row r="948" spans="1:1" x14ac:dyDescent="0.3">
      <c r="A948" s="678"/>
    </row>
    <row r="949" spans="1:1" x14ac:dyDescent="0.3">
      <c r="A949" s="678"/>
    </row>
    <row r="950" spans="1:1" x14ac:dyDescent="0.3">
      <c r="A950" s="678"/>
    </row>
    <row r="951" spans="1:1" x14ac:dyDescent="0.3">
      <c r="A951" s="678"/>
    </row>
    <row r="952" spans="1:1" x14ac:dyDescent="0.3">
      <c r="A952" s="678"/>
    </row>
    <row r="953" spans="1:1" x14ac:dyDescent="0.3">
      <c r="A953" s="678"/>
    </row>
    <row r="954" spans="1:1" x14ac:dyDescent="0.3">
      <c r="A954" s="678"/>
    </row>
    <row r="955" spans="1:1" x14ac:dyDescent="0.3">
      <c r="A955" s="678"/>
    </row>
    <row r="956" spans="1:1" x14ac:dyDescent="0.3">
      <c r="A956" s="678"/>
    </row>
    <row r="957" spans="1:1" x14ac:dyDescent="0.3">
      <c r="A957" s="678"/>
    </row>
    <row r="958" spans="1:1" x14ac:dyDescent="0.3">
      <c r="A958" s="678"/>
    </row>
    <row r="959" spans="1:1" x14ac:dyDescent="0.3">
      <c r="A959" s="678"/>
    </row>
    <row r="960" spans="1:1" x14ac:dyDescent="0.3">
      <c r="A960" s="678"/>
    </row>
    <row r="961" spans="1:1" x14ac:dyDescent="0.3">
      <c r="A961" s="678"/>
    </row>
    <row r="962" spans="1:1" x14ac:dyDescent="0.3">
      <c r="A962" s="678"/>
    </row>
    <row r="963" spans="1:1" x14ac:dyDescent="0.3">
      <c r="A963" s="678"/>
    </row>
    <row r="964" spans="1:1" x14ac:dyDescent="0.3">
      <c r="A964" s="678"/>
    </row>
    <row r="965" spans="1:1" x14ac:dyDescent="0.3">
      <c r="A965" s="678"/>
    </row>
    <row r="966" spans="1:1" x14ac:dyDescent="0.3">
      <c r="A966" s="678"/>
    </row>
    <row r="967" spans="1:1" x14ac:dyDescent="0.3">
      <c r="A967" s="678"/>
    </row>
    <row r="968" spans="1:1" x14ac:dyDescent="0.3">
      <c r="A968" s="678"/>
    </row>
    <row r="969" spans="1:1" x14ac:dyDescent="0.3">
      <c r="A969" s="678"/>
    </row>
    <row r="970" spans="1:1" x14ac:dyDescent="0.3">
      <c r="A970" s="678"/>
    </row>
    <row r="971" spans="1:1" x14ac:dyDescent="0.3">
      <c r="A971" s="678"/>
    </row>
    <row r="972" spans="1:1" x14ac:dyDescent="0.3">
      <c r="A972" s="678"/>
    </row>
    <row r="973" spans="1:1" x14ac:dyDescent="0.3">
      <c r="A973" s="678"/>
    </row>
    <row r="974" spans="1:1" x14ac:dyDescent="0.3">
      <c r="A974" s="678"/>
    </row>
    <row r="975" spans="1:1" x14ac:dyDescent="0.3">
      <c r="A975" s="678"/>
    </row>
    <row r="976" spans="1:1" x14ac:dyDescent="0.3">
      <c r="A976" s="678"/>
    </row>
    <row r="977" spans="1:1" x14ac:dyDescent="0.3">
      <c r="A977" s="678"/>
    </row>
    <row r="978" spans="1:1" x14ac:dyDescent="0.3">
      <c r="A978" s="678"/>
    </row>
    <row r="979" spans="1:1" x14ac:dyDescent="0.3">
      <c r="A979" s="678"/>
    </row>
    <row r="980" spans="1:1" x14ac:dyDescent="0.3">
      <c r="A980" s="678"/>
    </row>
    <row r="981" spans="1:1" x14ac:dyDescent="0.3">
      <c r="A981" s="678"/>
    </row>
    <row r="982" spans="1:1" x14ac:dyDescent="0.3">
      <c r="A982" s="678"/>
    </row>
    <row r="983" spans="1:1" x14ac:dyDescent="0.3">
      <c r="A983" s="678"/>
    </row>
    <row r="984" spans="1:1" x14ac:dyDescent="0.3">
      <c r="A984" s="678"/>
    </row>
    <row r="985" spans="1:1" x14ac:dyDescent="0.3">
      <c r="A985" s="678"/>
    </row>
    <row r="986" spans="1:1" x14ac:dyDescent="0.3">
      <c r="A986" s="678"/>
    </row>
    <row r="987" spans="1:1" x14ac:dyDescent="0.3">
      <c r="A987" s="678"/>
    </row>
    <row r="988" spans="1:1" x14ac:dyDescent="0.3">
      <c r="A988" s="678"/>
    </row>
    <row r="989" spans="1:1" x14ac:dyDescent="0.3">
      <c r="A989" s="678"/>
    </row>
    <row r="990" spans="1:1" x14ac:dyDescent="0.3">
      <c r="A990" s="678"/>
    </row>
    <row r="991" spans="1:1" x14ac:dyDescent="0.3">
      <c r="A991" s="678"/>
    </row>
    <row r="992" spans="1:1" x14ac:dyDescent="0.3">
      <c r="A992" s="678"/>
    </row>
    <row r="993" spans="1:1" x14ac:dyDescent="0.3">
      <c r="A993" s="678"/>
    </row>
    <row r="994" spans="1:1" x14ac:dyDescent="0.3">
      <c r="A994" s="678"/>
    </row>
    <row r="995" spans="1:1" x14ac:dyDescent="0.3">
      <c r="A995" s="678"/>
    </row>
    <row r="996" spans="1:1" x14ac:dyDescent="0.3">
      <c r="A996" s="678"/>
    </row>
    <row r="997" spans="1:1" x14ac:dyDescent="0.3">
      <c r="A997" s="678"/>
    </row>
    <row r="998" spans="1:1" x14ac:dyDescent="0.3">
      <c r="A998" s="678"/>
    </row>
    <row r="999" spans="1:1" x14ac:dyDescent="0.3">
      <c r="A999" s="678"/>
    </row>
    <row r="1000" spans="1:1" x14ac:dyDescent="0.3">
      <c r="A1000" s="678"/>
    </row>
    <row r="1001" spans="1:1" x14ac:dyDescent="0.3">
      <c r="A1001" s="678"/>
    </row>
    <row r="1002" spans="1:1" x14ac:dyDescent="0.3">
      <c r="A1002" s="678"/>
    </row>
    <row r="1003" spans="1:1" x14ac:dyDescent="0.3">
      <c r="A1003" s="678"/>
    </row>
    <row r="1004" spans="1:1" x14ac:dyDescent="0.3">
      <c r="A1004" s="678"/>
    </row>
    <row r="1005" spans="1:1" x14ac:dyDescent="0.3">
      <c r="A1005" s="678"/>
    </row>
    <row r="1006" spans="1:1" x14ac:dyDescent="0.3">
      <c r="A1006" s="678"/>
    </row>
    <row r="1007" spans="1:1" x14ac:dyDescent="0.3">
      <c r="A1007" s="678"/>
    </row>
    <row r="1008" spans="1:1" x14ac:dyDescent="0.3">
      <c r="A1008" s="678"/>
    </row>
    <row r="1009" spans="1:1" x14ac:dyDescent="0.3">
      <c r="A1009" s="678"/>
    </row>
    <row r="1010" spans="1:1" x14ac:dyDescent="0.3">
      <c r="A1010" s="678"/>
    </row>
    <row r="1011" spans="1:1" x14ac:dyDescent="0.3">
      <c r="A1011" s="678"/>
    </row>
    <row r="1012" spans="1:1" x14ac:dyDescent="0.3">
      <c r="A1012" s="678"/>
    </row>
    <row r="1013" spans="1:1" x14ac:dyDescent="0.3">
      <c r="A1013" s="678"/>
    </row>
    <row r="1014" spans="1:1" x14ac:dyDescent="0.3">
      <c r="A1014" s="678"/>
    </row>
    <row r="1015" spans="1:1" x14ac:dyDescent="0.3">
      <c r="A1015" s="678"/>
    </row>
    <row r="1016" spans="1:1" x14ac:dyDescent="0.3">
      <c r="A1016" s="678"/>
    </row>
    <row r="1017" spans="1:1" x14ac:dyDescent="0.3">
      <c r="A1017" s="678"/>
    </row>
    <row r="1018" spans="1:1" x14ac:dyDescent="0.3">
      <c r="A1018" s="678"/>
    </row>
    <row r="1019" spans="1:1" x14ac:dyDescent="0.3">
      <c r="A1019" s="678"/>
    </row>
    <row r="1020" spans="1:1" x14ac:dyDescent="0.3">
      <c r="A1020" s="678"/>
    </row>
    <row r="1021" spans="1:1" x14ac:dyDescent="0.3">
      <c r="A1021" s="678"/>
    </row>
    <row r="1022" spans="1:1" x14ac:dyDescent="0.3">
      <c r="A1022" s="678"/>
    </row>
    <row r="1023" spans="1:1" x14ac:dyDescent="0.3">
      <c r="A1023" s="678"/>
    </row>
    <row r="1024" spans="1:1" x14ac:dyDescent="0.3">
      <c r="A1024" s="678"/>
    </row>
    <row r="1025" spans="1:1" x14ac:dyDescent="0.3">
      <c r="A1025" s="678"/>
    </row>
    <row r="1026" spans="1:1" x14ac:dyDescent="0.3">
      <c r="A1026" s="678"/>
    </row>
    <row r="1027" spans="1:1" x14ac:dyDescent="0.3">
      <c r="A1027" s="678"/>
    </row>
    <row r="1028" spans="1:1" x14ac:dyDescent="0.3">
      <c r="A1028" s="678"/>
    </row>
    <row r="1029" spans="1:1" x14ac:dyDescent="0.3">
      <c r="A1029" s="678"/>
    </row>
    <row r="1030" spans="1:1" x14ac:dyDescent="0.3">
      <c r="A1030" s="678"/>
    </row>
    <row r="1031" spans="1:1" x14ac:dyDescent="0.3">
      <c r="A1031" s="678"/>
    </row>
    <row r="1032" spans="1:1" x14ac:dyDescent="0.3">
      <c r="A1032" s="678"/>
    </row>
    <row r="1033" spans="1:1" x14ac:dyDescent="0.3">
      <c r="A1033" s="678"/>
    </row>
    <row r="1034" spans="1:1" x14ac:dyDescent="0.3">
      <c r="A1034" s="678"/>
    </row>
    <row r="1035" spans="1:1" x14ac:dyDescent="0.3">
      <c r="A1035" s="678"/>
    </row>
    <row r="1036" spans="1:1" x14ac:dyDescent="0.3">
      <c r="A1036" s="678"/>
    </row>
    <row r="1037" spans="1:1" x14ac:dyDescent="0.3">
      <c r="A1037" s="678"/>
    </row>
    <row r="1038" spans="1:1" x14ac:dyDescent="0.3">
      <c r="A1038" s="678"/>
    </row>
    <row r="1039" spans="1:1" x14ac:dyDescent="0.3">
      <c r="A1039" s="678"/>
    </row>
    <row r="1040" spans="1:1" x14ac:dyDescent="0.3">
      <c r="A1040" s="678"/>
    </row>
    <row r="1041" spans="1:1" x14ac:dyDescent="0.3">
      <c r="A1041" s="678"/>
    </row>
    <row r="1042" spans="1:1" x14ac:dyDescent="0.3">
      <c r="A1042" s="678"/>
    </row>
    <row r="1043" spans="1:1" x14ac:dyDescent="0.3">
      <c r="A1043" s="678"/>
    </row>
    <row r="1044" spans="1:1" x14ac:dyDescent="0.3">
      <c r="A1044" s="678"/>
    </row>
    <row r="1045" spans="1:1" x14ac:dyDescent="0.3">
      <c r="A1045" s="678"/>
    </row>
    <row r="1046" spans="1:1" x14ac:dyDescent="0.3">
      <c r="A1046" s="678"/>
    </row>
    <row r="1047" spans="1:1" x14ac:dyDescent="0.3">
      <c r="A1047" s="678"/>
    </row>
    <row r="1048" spans="1:1" x14ac:dyDescent="0.3">
      <c r="A1048" s="678"/>
    </row>
    <row r="1049" spans="1:1" x14ac:dyDescent="0.3">
      <c r="A1049" s="678"/>
    </row>
    <row r="1050" spans="1:1" x14ac:dyDescent="0.3">
      <c r="A1050" s="678"/>
    </row>
    <row r="1051" spans="1:1" x14ac:dyDescent="0.3">
      <c r="A1051" s="678"/>
    </row>
    <row r="1052" spans="1:1" x14ac:dyDescent="0.3">
      <c r="A1052" s="678"/>
    </row>
    <row r="1053" spans="1:1" x14ac:dyDescent="0.3">
      <c r="A1053" s="678"/>
    </row>
    <row r="1054" spans="1:1" x14ac:dyDescent="0.3">
      <c r="A1054" s="678"/>
    </row>
    <row r="1055" spans="1:1" x14ac:dyDescent="0.3">
      <c r="A1055" s="678"/>
    </row>
    <row r="1056" spans="1:1" x14ac:dyDescent="0.3">
      <c r="A1056" s="678"/>
    </row>
    <row r="1057" spans="1:1" x14ac:dyDescent="0.3">
      <c r="A1057" s="678"/>
    </row>
    <row r="1058" spans="1:1" x14ac:dyDescent="0.3">
      <c r="A1058" s="678"/>
    </row>
    <row r="1059" spans="1:1" x14ac:dyDescent="0.3">
      <c r="A1059" s="678"/>
    </row>
    <row r="1060" spans="1:1" x14ac:dyDescent="0.3">
      <c r="A1060" s="678"/>
    </row>
    <row r="1061" spans="1:1" x14ac:dyDescent="0.3">
      <c r="A1061" s="678"/>
    </row>
    <row r="1062" spans="1:1" x14ac:dyDescent="0.3">
      <c r="A1062" s="678"/>
    </row>
    <row r="1063" spans="1:1" x14ac:dyDescent="0.3">
      <c r="A1063" s="678"/>
    </row>
    <row r="1064" spans="1:1" x14ac:dyDescent="0.3">
      <c r="A1064" s="678"/>
    </row>
    <row r="1065" spans="1:1" x14ac:dyDescent="0.3">
      <c r="A1065" s="678"/>
    </row>
    <row r="1066" spans="1:1" x14ac:dyDescent="0.3">
      <c r="A1066" s="678"/>
    </row>
    <row r="1067" spans="1:1" x14ac:dyDescent="0.3">
      <c r="A1067" s="678"/>
    </row>
    <row r="1068" spans="1:1" x14ac:dyDescent="0.3">
      <c r="A1068" s="678"/>
    </row>
    <row r="1069" spans="1:1" x14ac:dyDescent="0.3">
      <c r="A1069" s="678"/>
    </row>
    <row r="1070" spans="1:1" x14ac:dyDescent="0.3">
      <c r="A1070" s="678"/>
    </row>
    <row r="1071" spans="1:1" x14ac:dyDescent="0.3">
      <c r="A1071" s="678"/>
    </row>
    <row r="1072" spans="1:1" x14ac:dyDescent="0.3">
      <c r="A1072" s="678"/>
    </row>
    <row r="1073" spans="1:1" x14ac:dyDescent="0.3">
      <c r="A1073" s="678"/>
    </row>
    <row r="1074" spans="1:1" x14ac:dyDescent="0.3">
      <c r="A1074" s="678"/>
    </row>
    <row r="1075" spans="1:1" x14ac:dyDescent="0.3">
      <c r="A1075" s="678"/>
    </row>
    <row r="1076" spans="1:1" x14ac:dyDescent="0.3">
      <c r="A1076" s="678"/>
    </row>
    <row r="1077" spans="1:1" x14ac:dyDescent="0.3">
      <c r="A1077" s="678"/>
    </row>
    <row r="1078" spans="1:1" x14ac:dyDescent="0.3">
      <c r="A1078" s="678"/>
    </row>
    <row r="1079" spans="1:1" x14ac:dyDescent="0.3">
      <c r="A1079" s="678"/>
    </row>
    <row r="1080" spans="1:1" x14ac:dyDescent="0.3">
      <c r="A1080" s="678"/>
    </row>
    <row r="1081" spans="1:1" x14ac:dyDescent="0.3">
      <c r="A1081" s="678"/>
    </row>
    <row r="1082" spans="1:1" x14ac:dyDescent="0.3">
      <c r="A1082" s="678"/>
    </row>
    <row r="1083" spans="1:1" x14ac:dyDescent="0.3">
      <c r="A1083" s="678"/>
    </row>
    <row r="1084" spans="1:1" x14ac:dyDescent="0.3">
      <c r="A1084" s="678"/>
    </row>
    <row r="1085" spans="1:1" x14ac:dyDescent="0.3">
      <c r="A1085" s="678"/>
    </row>
    <row r="1086" spans="1:1" x14ac:dyDescent="0.3">
      <c r="A1086" s="678"/>
    </row>
    <row r="1087" spans="1:1" x14ac:dyDescent="0.3">
      <c r="A1087" s="678"/>
    </row>
    <row r="1088" spans="1:1" x14ac:dyDescent="0.3">
      <c r="A1088" s="678"/>
    </row>
    <row r="1089" spans="1:1" x14ac:dyDescent="0.3">
      <c r="A1089" s="678"/>
    </row>
    <row r="1090" spans="1:1" x14ac:dyDescent="0.3">
      <c r="A1090" s="678"/>
    </row>
    <row r="1091" spans="1:1" x14ac:dyDescent="0.3">
      <c r="A1091" s="678"/>
    </row>
    <row r="1092" spans="1:1" x14ac:dyDescent="0.3">
      <c r="A1092" s="678"/>
    </row>
    <row r="1093" spans="1:1" x14ac:dyDescent="0.3">
      <c r="A1093" s="678"/>
    </row>
    <row r="1094" spans="1:1" x14ac:dyDescent="0.3">
      <c r="A1094" s="678"/>
    </row>
    <row r="1095" spans="1:1" x14ac:dyDescent="0.3">
      <c r="A1095" s="678"/>
    </row>
    <row r="1096" spans="1:1" x14ac:dyDescent="0.3">
      <c r="A1096" s="678"/>
    </row>
    <row r="1097" spans="1:1" x14ac:dyDescent="0.3">
      <c r="A1097" s="678"/>
    </row>
    <row r="1098" spans="1:1" x14ac:dyDescent="0.3">
      <c r="A1098" s="678"/>
    </row>
    <row r="1099" spans="1:1" x14ac:dyDescent="0.3">
      <c r="A1099" s="678"/>
    </row>
    <row r="1100" spans="1:1" x14ac:dyDescent="0.3">
      <c r="A1100" s="678"/>
    </row>
    <row r="1101" spans="1:1" x14ac:dyDescent="0.3">
      <c r="A1101" s="678"/>
    </row>
    <row r="1102" spans="1:1" x14ac:dyDescent="0.3">
      <c r="A1102" s="678"/>
    </row>
    <row r="1103" spans="1:1" x14ac:dyDescent="0.3">
      <c r="A1103" s="678"/>
    </row>
    <row r="1104" spans="1:1" x14ac:dyDescent="0.3">
      <c r="A1104" s="678"/>
    </row>
    <row r="1105" spans="1:1" x14ac:dyDescent="0.3">
      <c r="A1105" s="678"/>
    </row>
    <row r="1106" spans="1:1" x14ac:dyDescent="0.3">
      <c r="A1106" s="678"/>
    </row>
    <row r="1107" spans="1:1" x14ac:dyDescent="0.3">
      <c r="A1107" s="678"/>
    </row>
    <row r="1108" spans="1:1" x14ac:dyDescent="0.3">
      <c r="A1108" s="678"/>
    </row>
    <row r="1109" spans="1:1" x14ac:dyDescent="0.3">
      <c r="A1109" s="678"/>
    </row>
    <row r="1110" spans="1:1" x14ac:dyDescent="0.3">
      <c r="A1110" s="678"/>
    </row>
    <row r="1111" spans="1:1" x14ac:dyDescent="0.3">
      <c r="A1111" s="678"/>
    </row>
    <row r="1112" spans="1:1" x14ac:dyDescent="0.3">
      <c r="A1112" s="678"/>
    </row>
    <row r="1113" spans="1:1" x14ac:dyDescent="0.3">
      <c r="A1113" s="678"/>
    </row>
    <row r="1114" spans="1:1" x14ac:dyDescent="0.3">
      <c r="A1114" s="678"/>
    </row>
    <row r="1115" spans="1:1" x14ac:dyDescent="0.3">
      <c r="A1115" s="678"/>
    </row>
    <row r="1116" spans="1:1" x14ac:dyDescent="0.3">
      <c r="A1116" s="678"/>
    </row>
    <row r="1117" spans="1:1" x14ac:dyDescent="0.3">
      <c r="A1117" s="678"/>
    </row>
    <row r="1118" spans="1:1" x14ac:dyDescent="0.3">
      <c r="A1118" s="678"/>
    </row>
    <row r="1119" spans="1:1" x14ac:dyDescent="0.3">
      <c r="A1119" s="678"/>
    </row>
    <row r="1120" spans="1:1" x14ac:dyDescent="0.3">
      <c r="A1120" s="678"/>
    </row>
    <row r="1121" spans="1:1" x14ac:dyDescent="0.3">
      <c r="A1121" s="678"/>
    </row>
    <row r="1122" spans="1:1" x14ac:dyDescent="0.3">
      <c r="A1122" s="678"/>
    </row>
    <row r="1123" spans="1:1" x14ac:dyDescent="0.3">
      <c r="A1123" s="678"/>
    </row>
    <row r="1124" spans="1:1" x14ac:dyDescent="0.3">
      <c r="A1124" s="678"/>
    </row>
    <row r="1125" spans="1:1" x14ac:dyDescent="0.3">
      <c r="A1125" s="678"/>
    </row>
    <row r="1126" spans="1:1" x14ac:dyDescent="0.3">
      <c r="A1126" s="678"/>
    </row>
    <row r="1127" spans="1:1" x14ac:dyDescent="0.3">
      <c r="A1127" s="678"/>
    </row>
    <row r="1128" spans="1:1" x14ac:dyDescent="0.3">
      <c r="A1128" s="678"/>
    </row>
    <row r="1129" spans="1:1" x14ac:dyDescent="0.3">
      <c r="A1129" s="678"/>
    </row>
    <row r="1130" spans="1:1" x14ac:dyDescent="0.3">
      <c r="A1130" s="678"/>
    </row>
    <row r="1131" spans="1:1" x14ac:dyDescent="0.3">
      <c r="A1131" s="678"/>
    </row>
    <row r="1132" spans="1:1" x14ac:dyDescent="0.3">
      <c r="A1132" s="678"/>
    </row>
    <row r="1133" spans="1:1" x14ac:dyDescent="0.3">
      <c r="A1133" s="678"/>
    </row>
    <row r="1134" spans="1:1" x14ac:dyDescent="0.3">
      <c r="A1134" s="678"/>
    </row>
    <row r="1135" spans="1:1" x14ac:dyDescent="0.3">
      <c r="A1135" s="678"/>
    </row>
    <row r="1136" spans="1:1" x14ac:dyDescent="0.3">
      <c r="A1136" s="678"/>
    </row>
    <row r="1137" spans="1:1" x14ac:dyDescent="0.3">
      <c r="A1137" s="678"/>
    </row>
    <row r="1138" spans="1:1" x14ac:dyDescent="0.3">
      <c r="A1138" s="678"/>
    </row>
    <row r="1139" spans="1:1" x14ac:dyDescent="0.3">
      <c r="A1139" s="678"/>
    </row>
    <row r="1140" spans="1:1" x14ac:dyDescent="0.3">
      <c r="A1140" s="678"/>
    </row>
    <row r="1141" spans="1:1" x14ac:dyDescent="0.3">
      <c r="A1141" s="678"/>
    </row>
    <row r="1142" spans="1:1" x14ac:dyDescent="0.3">
      <c r="A1142" s="678"/>
    </row>
    <row r="1143" spans="1:1" x14ac:dyDescent="0.3">
      <c r="A1143" s="678"/>
    </row>
    <row r="1144" spans="1:1" x14ac:dyDescent="0.3">
      <c r="A1144" s="678"/>
    </row>
    <row r="1145" spans="1:1" x14ac:dyDescent="0.3">
      <c r="A1145" s="678"/>
    </row>
    <row r="1146" spans="1:1" x14ac:dyDescent="0.3">
      <c r="A1146" s="678"/>
    </row>
    <row r="1147" spans="1:1" x14ac:dyDescent="0.3">
      <c r="A1147" s="678"/>
    </row>
    <row r="1148" spans="1:1" x14ac:dyDescent="0.3">
      <c r="A1148" s="678"/>
    </row>
    <row r="1149" spans="1:1" x14ac:dyDescent="0.3">
      <c r="A1149" s="678"/>
    </row>
    <row r="1150" spans="1:1" x14ac:dyDescent="0.3">
      <c r="A1150" s="678"/>
    </row>
    <row r="1151" spans="1:1" x14ac:dyDescent="0.3">
      <c r="A1151" s="678"/>
    </row>
    <row r="1152" spans="1:1" x14ac:dyDescent="0.3">
      <c r="A1152" s="678"/>
    </row>
    <row r="1153" spans="1:1" x14ac:dyDescent="0.3">
      <c r="A1153" s="678"/>
    </row>
    <row r="1154" spans="1:1" x14ac:dyDescent="0.3">
      <c r="A1154" s="678"/>
    </row>
    <row r="1155" spans="1:1" x14ac:dyDescent="0.3">
      <c r="A1155" s="678"/>
    </row>
    <row r="1156" spans="1:1" x14ac:dyDescent="0.3">
      <c r="A1156" s="678"/>
    </row>
    <row r="1157" spans="1:1" x14ac:dyDescent="0.3">
      <c r="A1157" s="678"/>
    </row>
    <row r="1158" spans="1:1" x14ac:dyDescent="0.3">
      <c r="A1158" s="678"/>
    </row>
    <row r="1159" spans="1:1" x14ac:dyDescent="0.3">
      <c r="A1159" s="678"/>
    </row>
    <row r="1160" spans="1:1" x14ac:dyDescent="0.3">
      <c r="A1160" s="678"/>
    </row>
    <row r="1161" spans="1:1" x14ac:dyDescent="0.3">
      <c r="A1161" s="678"/>
    </row>
    <row r="1162" spans="1:1" x14ac:dyDescent="0.3">
      <c r="A1162" s="678"/>
    </row>
    <row r="1163" spans="1:1" x14ac:dyDescent="0.3">
      <c r="A1163" s="678"/>
    </row>
    <row r="1164" spans="1:1" x14ac:dyDescent="0.3">
      <c r="A1164" s="678"/>
    </row>
    <row r="1165" spans="1:1" x14ac:dyDescent="0.3">
      <c r="A1165" s="678"/>
    </row>
    <row r="1166" spans="1:1" x14ac:dyDescent="0.3">
      <c r="A1166" s="678"/>
    </row>
    <row r="1167" spans="1:1" x14ac:dyDescent="0.3">
      <c r="A1167" s="678"/>
    </row>
    <row r="1168" spans="1:1" x14ac:dyDescent="0.3">
      <c r="A1168" s="678"/>
    </row>
    <row r="1169" spans="1:1" x14ac:dyDescent="0.3">
      <c r="A1169" s="678"/>
    </row>
    <row r="1170" spans="1:1" x14ac:dyDescent="0.3">
      <c r="A1170" s="678"/>
    </row>
    <row r="1171" spans="1:1" x14ac:dyDescent="0.3">
      <c r="A1171" s="678"/>
    </row>
    <row r="1172" spans="1:1" x14ac:dyDescent="0.3">
      <c r="A1172" s="678"/>
    </row>
    <row r="1173" spans="1:1" x14ac:dyDescent="0.3">
      <c r="A1173" s="678"/>
    </row>
    <row r="1174" spans="1:1" x14ac:dyDescent="0.3">
      <c r="A1174" s="678"/>
    </row>
    <row r="1175" spans="1:1" x14ac:dyDescent="0.3">
      <c r="A1175" s="678"/>
    </row>
    <row r="1176" spans="1:1" x14ac:dyDescent="0.3">
      <c r="A1176" s="678"/>
    </row>
    <row r="1177" spans="1:1" x14ac:dyDescent="0.3">
      <c r="A1177" s="678"/>
    </row>
    <row r="1178" spans="1:1" x14ac:dyDescent="0.3">
      <c r="A1178" s="678"/>
    </row>
    <row r="1179" spans="1:1" x14ac:dyDescent="0.3">
      <c r="A1179" s="678"/>
    </row>
    <row r="1180" spans="1:1" x14ac:dyDescent="0.3">
      <c r="A1180" s="678"/>
    </row>
    <row r="1181" spans="1:1" x14ac:dyDescent="0.3">
      <c r="A1181" s="678"/>
    </row>
    <row r="1182" spans="1:1" x14ac:dyDescent="0.3">
      <c r="A1182" s="678"/>
    </row>
    <row r="1183" spans="1:1" x14ac:dyDescent="0.3">
      <c r="A1183" s="678"/>
    </row>
    <row r="1184" spans="1:1" x14ac:dyDescent="0.3">
      <c r="A1184" s="678"/>
    </row>
    <row r="1185" spans="1:1" x14ac:dyDescent="0.3">
      <c r="A1185" s="678"/>
    </row>
    <row r="1186" spans="1:1" x14ac:dyDescent="0.3">
      <c r="A1186" s="678"/>
    </row>
    <row r="1187" spans="1:1" x14ac:dyDescent="0.3">
      <c r="A1187" s="678"/>
    </row>
    <row r="1188" spans="1:1" x14ac:dyDescent="0.3">
      <c r="A1188" s="678"/>
    </row>
    <row r="1189" spans="1:1" x14ac:dyDescent="0.3">
      <c r="A1189" s="678"/>
    </row>
    <row r="1190" spans="1:1" x14ac:dyDescent="0.3">
      <c r="A1190" s="678"/>
    </row>
    <row r="1191" spans="1:1" x14ac:dyDescent="0.3">
      <c r="A1191" s="678"/>
    </row>
    <row r="1192" spans="1:1" x14ac:dyDescent="0.3">
      <c r="A1192" s="678"/>
    </row>
    <row r="1193" spans="1:1" x14ac:dyDescent="0.3">
      <c r="A1193" s="678"/>
    </row>
    <row r="1194" spans="1:1" x14ac:dyDescent="0.3">
      <c r="A1194" s="678"/>
    </row>
    <row r="1195" spans="1:1" x14ac:dyDescent="0.3">
      <c r="A1195" s="678"/>
    </row>
    <row r="1196" spans="1:1" x14ac:dyDescent="0.3">
      <c r="A1196" s="678"/>
    </row>
    <row r="1197" spans="1:1" x14ac:dyDescent="0.3">
      <c r="A1197" s="678"/>
    </row>
    <row r="1198" spans="1:1" x14ac:dyDescent="0.3">
      <c r="A1198" s="678"/>
    </row>
    <row r="1199" spans="1:1" x14ac:dyDescent="0.3">
      <c r="A1199" s="678"/>
    </row>
    <row r="1200" spans="1:1" x14ac:dyDescent="0.3">
      <c r="A1200" s="678"/>
    </row>
    <row r="1201" spans="1:1" x14ac:dyDescent="0.3">
      <c r="A1201" s="678"/>
    </row>
    <row r="1202" spans="1:1" x14ac:dyDescent="0.3">
      <c r="A1202" s="678"/>
    </row>
    <row r="1203" spans="1:1" x14ac:dyDescent="0.3">
      <c r="A1203" s="678"/>
    </row>
    <row r="1204" spans="1:1" x14ac:dyDescent="0.3">
      <c r="A1204" s="678"/>
    </row>
    <row r="1205" spans="1:1" x14ac:dyDescent="0.3">
      <c r="A1205" s="678"/>
    </row>
    <row r="1206" spans="1:1" x14ac:dyDescent="0.3">
      <c r="A1206" s="678"/>
    </row>
    <row r="1207" spans="1:1" x14ac:dyDescent="0.3">
      <c r="A1207" s="678"/>
    </row>
    <row r="1208" spans="1:1" x14ac:dyDescent="0.3">
      <c r="A1208" s="678"/>
    </row>
    <row r="1209" spans="1:1" x14ac:dyDescent="0.3">
      <c r="A1209" s="678"/>
    </row>
    <row r="1210" spans="1:1" x14ac:dyDescent="0.3">
      <c r="A1210" s="678"/>
    </row>
    <row r="1211" spans="1:1" x14ac:dyDescent="0.3">
      <c r="A1211" s="678"/>
    </row>
    <row r="1212" spans="1:1" x14ac:dyDescent="0.3">
      <c r="A1212" s="678"/>
    </row>
    <row r="1213" spans="1:1" x14ac:dyDescent="0.3">
      <c r="A1213" s="678"/>
    </row>
    <row r="1214" spans="1:1" x14ac:dyDescent="0.3">
      <c r="A1214" s="678"/>
    </row>
    <row r="1215" spans="1:1" x14ac:dyDescent="0.3">
      <c r="A1215" s="678"/>
    </row>
    <row r="1216" spans="1:1" x14ac:dyDescent="0.3">
      <c r="A1216" s="678"/>
    </row>
    <row r="1217" spans="1:1" x14ac:dyDescent="0.3">
      <c r="A1217" s="678"/>
    </row>
    <row r="1218" spans="1:1" x14ac:dyDescent="0.3">
      <c r="A1218" s="678"/>
    </row>
    <row r="1219" spans="1:1" x14ac:dyDescent="0.3">
      <c r="A1219" s="678"/>
    </row>
    <row r="1220" spans="1:1" x14ac:dyDescent="0.3">
      <c r="A1220" s="678"/>
    </row>
    <row r="1221" spans="1:1" x14ac:dyDescent="0.3">
      <c r="A1221" s="678"/>
    </row>
    <row r="1222" spans="1:1" x14ac:dyDescent="0.3">
      <c r="A1222" s="678"/>
    </row>
    <row r="1223" spans="1:1" x14ac:dyDescent="0.3">
      <c r="A1223" s="678"/>
    </row>
    <row r="1224" spans="1:1" x14ac:dyDescent="0.3">
      <c r="A1224" s="678"/>
    </row>
    <row r="1225" spans="1:1" x14ac:dyDescent="0.3">
      <c r="A1225" s="678"/>
    </row>
    <row r="1226" spans="1:1" x14ac:dyDescent="0.3">
      <c r="A1226" s="678"/>
    </row>
    <row r="1227" spans="1:1" x14ac:dyDescent="0.3">
      <c r="A1227" s="678"/>
    </row>
    <row r="1228" spans="1:1" x14ac:dyDescent="0.3">
      <c r="A1228" s="678"/>
    </row>
    <row r="1229" spans="1:1" x14ac:dyDescent="0.3">
      <c r="A1229" s="678"/>
    </row>
    <row r="1230" spans="1:1" x14ac:dyDescent="0.3">
      <c r="A1230" s="678"/>
    </row>
    <row r="1231" spans="1:1" x14ac:dyDescent="0.3">
      <c r="A1231" s="678"/>
    </row>
    <row r="1232" spans="1:1" x14ac:dyDescent="0.3">
      <c r="A1232" s="678"/>
    </row>
    <row r="1233" spans="1:1" x14ac:dyDescent="0.3">
      <c r="A1233" s="678"/>
    </row>
    <row r="1234" spans="1:1" x14ac:dyDescent="0.3">
      <c r="A1234" s="678"/>
    </row>
    <row r="1235" spans="1:1" x14ac:dyDescent="0.3">
      <c r="A1235" s="678"/>
    </row>
    <row r="1236" spans="1:1" x14ac:dyDescent="0.3">
      <c r="A1236" s="678"/>
    </row>
    <row r="1237" spans="1:1" x14ac:dyDescent="0.3">
      <c r="A1237" s="678"/>
    </row>
    <row r="1238" spans="1:1" x14ac:dyDescent="0.3">
      <c r="A1238" s="678"/>
    </row>
    <row r="1239" spans="1:1" x14ac:dyDescent="0.3">
      <c r="A1239" s="678"/>
    </row>
    <row r="1240" spans="1:1" x14ac:dyDescent="0.3">
      <c r="A1240" s="678"/>
    </row>
    <row r="1241" spans="1:1" x14ac:dyDescent="0.3">
      <c r="A1241" s="678"/>
    </row>
    <row r="1242" spans="1:1" x14ac:dyDescent="0.3">
      <c r="A1242" s="678"/>
    </row>
    <row r="1243" spans="1:1" x14ac:dyDescent="0.3">
      <c r="A1243" s="678"/>
    </row>
    <row r="1244" spans="1:1" x14ac:dyDescent="0.3">
      <c r="A1244" s="678"/>
    </row>
    <row r="1245" spans="1:1" x14ac:dyDescent="0.3">
      <c r="A1245" s="678"/>
    </row>
    <row r="1246" spans="1:1" x14ac:dyDescent="0.3">
      <c r="A1246" s="678"/>
    </row>
    <row r="1247" spans="1:1" x14ac:dyDescent="0.3">
      <c r="A1247" s="678"/>
    </row>
    <row r="1248" spans="1:1" x14ac:dyDescent="0.3">
      <c r="A1248" s="678"/>
    </row>
    <row r="1249" spans="1:1" x14ac:dyDescent="0.3">
      <c r="A1249" s="678"/>
    </row>
    <row r="1250" spans="1:1" x14ac:dyDescent="0.3">
      <c r="A1250" s="678"/>
    </row>
    <row r="1251" spans="1:1" x14ac:dyDescent="0.3">
      <c r="A1251" s="678"/>
    </row>
    <row r="1252" spans="1:1" x14ac:dyDescent="0.3">
      <c r="A1252" s="678"/>
    </row>
    <row r="1253" spans="1:1" x14ac:dyDescent="0.3">
      <c r="A1253" s="678"/>
    </row>
    <row r="1254" spans="1:1" x14ac:dyDescent="0.3">
      <c r="A1254" s="678"/>
    </row>
    <row r="1255" spans="1:1" x14ac:dyDescent="0.3">
      <c r="A1255" s="678"/>
    </row>
    <row r="1256" spans="1:1" x14ac:dyDescent="0.3">
      <c r="A1256" s="678"/>
    </row>
    <row r="1257" spans="1:1" x14ac:dyDescent="0.3">
      <c r="A1257" s="678"/>
    </row>
    <row r="1258" spans="1:1" x14ac:dyDescent="0.3">
      <c r="A1258" s="678"/>
    </row>
    <row r="1259" spans="1:1" x14ac:dyDescent="0.3">
      <c r="A1259" s="678"/>
    </row>
    <row r="1260" spans="1:1" x14ac:dyDescent="0.3">
      <c r="A1260" s="678"/>
    </row>
    <row r="1261" spans="1:1" x14ac:dyDescent="0.3">
      <c r="A1261" s="678"/>
    </row>
    <row r="1262" spans="1:1" x14ac:dyDescent="0.3">
      <c r="A1262" s="678"/>
    </row>
    <row r="1263" spans="1:1" x14ac:dyDescent="0.3">
      <c r="A1263" s="678"/>
    </row>
    <row r="1264" spans="1:1" x14ac:dyDescent="0.3">
      <c r="A1264" s="678"/>
    </row>
    <row r="1265" spans="1:1" x14ac:dyDescent="0.3">
      <c r="A1265" s="678"/>
    </row>
    <row r="1266" spans="1:1" x14ac:dyDescent="0.3">
      <c r="A1266" s="678"/>
    </row>
    <row r="1267" spans="1:1" x14ac:dyDescent="0.3">
      <c r="A1267" s="678"/>
    </row>
    <row r="1268" spans="1:1" x14ac:dyDescent="0.3">
      <c r="A1268" s="678"/>
    </row>
    <row r="1269" spans="1:1" x14ac:dyDescent="0.3">
      <c r="A1269" s="678"/>
    </row>
    <row r="1270" spans="1:1" x14ac:dyDescent="0.3">
      <c r="A1270" s="678"/>
    </row>
    <row r="1271" spans="1:1" x14ac:dyDescent="0.3">
      <c r="A1271" s="678"/>
    </row>
    <row r="1272" spans="1:1" x14ac:dyDescent="0.3">
      <c r="A1272" s="678"/>
    </row>
    <row r="1273" spans="1:1" x14ac:dyDescent="0.3">
      <c r="A1273" s="678"/>
    </row>
    <row r="1274" spans="1:1" x14ac:dyDescent="0.3">
      <c r="A1274" s="678"/>
    </row>
    <row r="1275" spans="1:1" x14ac:dyDescent="0.3">
      <c r="A1275" s="678"/>
    </row>
    <row r="1276" spans="1:1" x14ac:dyDescent="0.3">
      <c r="A1276" s="678"/>
    </row>
    <row r="1277" spans="1:1" x14ac:dyDescent="0.3">
      <c r="A1277" s="678"/>
    </row>
    <row r="1278" spans="1:1" x14ac:dyDescent="0.3">
      <c r="A1278" s="678"/>
    </row>
    <row r="1279" spans="1:1" x14ac:dyDescent="0.3">
      <c r="A1279" s="678"/>
    </row>
    <row r="1280" spans="1:1" x14ac:dyDescent="0.3">
      <c r="A1280" s="678"/>
    </row>
    <row r="1281" spans="1:1" x14ac:dyDescent="0.3">
      <c r="A1281" s="678"/>
    </row>
    <row r="1282" spans="1:1" x14ac:dyDescent="0.3">
      <c r="A1282" s="678"/>
    </row>
    <row r="1283" spans="1:1" x14ac:dyDescent="0.3">
      <c r="A1283" s="678"/>
    </row>
    <row r="1284" spans="1:1" x14ac:dyDescent="0.3">
      <c r="A1284" s="678"/>
    </row>
    <row r="1285" spans="1:1" x14ac:dyDescent="0.3">
      <c r="A1285" s="678"/>
    </row>
    <row r="1286" spans="1:1" x14ac:dyDescent="0.3">
      <c r="A1286" s="678"/>
    </row>
    <row r="1287" spans="1:1" x14ac:dyDescent="0.3">
      <c r="A1287" s="678"/>
    </row>
    <row r="1288" spans="1:1" x14ac:dyDescent="0.3">
      <c r="A1288" s="678"/>
    </row>
    <row r="1289" spans="1:1" x14ac:dyDescent="0.3">
      <c r="A1289" s="678"/>
    </row>
    <row r="1290" spans="1:1" x14ac:dyDescent="0.3">
      <c r="A1290" s="678"/>
    </row>
    <row r="1291" spans="1:1" x14ac:dyDescent="0.3">
      <c r="A1291" s="678"/>
    </row>
    <row r="1292" spans="1:1" x14ac:dyDescent="0.3">
      <c r="A1292" s="678"/>
    </row>
    <row r="1293" spans="1:1" x14ac:dyDescent="0.3">
      <c r="A1293" s="678"/>
    </row>
    <row r="1294" spans="1:1" x14ac:dyDescent="0.3">
      <c r="A1294" s="678"/>
    </row>
    <row r="1295" spans="1:1" x14ac:dyDescent="0.3">
      <c r="A1295" s="678"/>
    </row>
    <row r="1296" spans="1:1" x14ac:dyDescent="0.3">
      <c r="A1296" s="678"/>
    </row>
    <row r="1297" spans="1:1" x14ac:dyDescent="0.3">
      <c r="A1297" s="678"/>
    </row>
    <row r="1298" spans="1:1" x14ac:dyDescent="0.3">
      <c r="A1298" s="678"/>
    </row>
    <row r="1299" spans="1:1" x14ac:dyDescent="0.3">
      <c r="A1299" s="678"/>
    </row>
    <row r="1300" spans="1:1" x14ac:dyDescent="0.3">
      <c r="A1300" s="678"/>
    </row>
    <row r="1301" spans="1:1" x14ac:dyDescent="0.3">
      <c r="A1301" s="678"/>
    </row>
    <row r="1302" spans="1:1" x14ac:dyDescent="0.3">
      <c r="A1302" s="678"/>
    </row>
    <row r="1303" spans="1:1" x14ac:dyDescent="0.3">
      <c r="A1303" s="678"/>
    </row>
    <row r="1304" spans="1:1" x14ac:dyDescent="0.3">
      <c r="A1304" s="678"/>
    </row>
    <row r="1305" spans="1:1" x14ac:dyDescent="0.3">
      <c r="A1305" s="678"/>
    </row>
    <row r="1306" spans="1:1" x14ac:dyDescent="0.3">
      <c r="A1306" s="678"/>
    </row>
    <row r="1307" spans="1:1" x14ac:dyDescent="0.3">
      <c r="A1307" s="678"/>
    </row>
    <row r="1308" spans="1:1" x14ac:dyDescent="0.3">
      <c r="A1308" s="678"/>
    </row>
    <row r="1309" spans="1:1" x14ac:dyDescent="0.3">
      <c r="A1309" s="678"/>
    </row>
    <row r="1310" spans="1:1" x14ac:dyDescent="0.3">
      <c r="A1310" s="678"/>
    </row>
    <row r="1311" spans="1:1" x14ac:dyDescent="0.3">
      <c r="A1311" s="678"/>
    </row>
    <row r="1312" spans="1:1" x14ac:dyDescent="0.3">
      <c r="A1312" s="678"/>
    </row>
    <row r="1313" spans="1:1" x14ac:dyDescent="0.3">
      <c r="A1313" s="678"/>
    </row>
    <row r="1314" spans="1:1" x14ac:dyDescent="0.3">
      <c r="A1314" s="678"/>
    </row>
    <row r="1315" spans="1:1" x14ac:dyDescent="0.3">
      <c r="A1315" s="678"/>
    </row>
    <row r="1316" spans="1:1" x14ac:dyDescent="0.3">
      <c r="A1316" s="678"/>
    </row>
    <row r="1317" spans="1:1" x14ac:dyDescent="0.3">
      <c r="A1317" s="678"/>
    </row>
    <row r="1318" spans="1:1" x14ac:dyDescent="0.3">
      <c r="A1318" s="678"/>
    </row>
    <row r="1319" spans="1:1" x14ac:dyDescent="0.3">
      <c r="A1319" s="678"/>
    </row>
    <row r="1320" spans="1:1" x14ac:dyDescent="0.3">
      <c r="A1320" s="678"/>
    </row>
    <row r="1321" spans="1:1" x14ac:dyDescent="0.3">
      <c r="A1321" s="678"/>
    </row>
    <row r="1322" spans="1:1" x14ac:dyDescent="0.3">
      <c r="A1322" s="678"/>
    </row>
    <row r="1323" spans="1:1" x14ac:dyDescent="0.3">
      <c r="A1323" s="678"/>
    </row>
    <row r="1324" spans="1:1" x14ac:dyDescent="0.3">
      <c r="A1324" s="678"/>
    </row>
    <row r="1325" spans="1:1" x14ac:dyDescent="0.3">
      <c r="A1325" s="678"/>
    </row>
    <row r="1326" spans="1:1" x14ac:dyDescent="0.3">
      <c r="A1326" s="678"/>
    </row>
    <row r="1327" spans="1:1" x14ac:dyDescent="0.3">
      <c r="A1327" s="678"/>
    </row>
    <row r="1328" spans="1:1" x14ac:dyDescent="0.3">
      <c r="A1328" s="678"/>
    </row>
    <row r="1329" spans="1:1" x14ac:dyDescent="0.3">
      <c r="A1329" s="678"/>
    </row>
    <row r="1330" spans="1:1" x14ac:dyDescent="0.3">
      <c r="A1330" s="678"/>
    </row>
    <row r="1331" spans="1:1" x14ac:dyDescent="0.3">
      <c r="A1331" s="678"/>
    </row>
    <row r="1332" spans="1:1" x14ac:dyDescent="0.3">
      <c r="A1332" s="678"/>
    </row>
    <row r="1333" spans="1:1" x14ac:dyDescent="0.3">
      <c r="A1333" s="678"/>
    </row>
    <row r="1334" spans="1:1" x14ac:dyDescent="0.3">
      <c r="A1334" s="678"/>
    </row>
    <row r="1335" spans="1:1" x14ac:dyDescent="0.3">
      <c r="A1335" s="678"/>
    </row>
    <row r="1336" spans="1:1" x14ac:dyDescent="0.3">
      <c r="A1336" s="678"/>
    </row>
    <row r="1337" spans="1:1" x14ac:dyDescent="0.3">
      <c r="A1337" s="678"/>
    </row>
    <row r="1338" spans="1:1" x14ac:dyDescent="0.3">
      <c r="A1338" s="678"/>
    </row>
    <row r="1339" spans="1:1" x14ac:dyDescent="0.3">
      <c r="A1339" s="678"/>
    </row>
    <row r="1340" spans="1:1" x14ac:dyDescent="0.3">
      <c r="A1340" s="678"/>
    </row>
    <row r="1341" spans="1:1" x14ac:dyDescent="0.3">
      <c r="A1341" s="678"/>
    </row>
    <row r="1342" spans="1:1" x14ac:dyDescent="0.3">
      <c r="A1342" s="678"/>
    </row>
    <row r="1343" spans="1:1" x14ac:dyDescent="0.3">
      <c r="A1343" s="678"/>
    </row>
    <row r="1344" spans="1:1" x14ac:dyDescent="0.3">
      <c r="A1344" s="678"/>
    </row>
    <row r="1345" spans="1:1" x14ac:dyDescent="0.3">
      <c r="A1345" s="678"/>
    </row>
    <row r="1346" spans="1:1" x14ac:dyDescent="0.3">
      <c r="A1346" s="678"/>
    </row>
    <row r="1347" spans="1:1" x14ac:dyDescent="0.3">
      <c r="A1347" s="678"/>
    </row>
    <row r="1348" spans="1:1" x14ac:dyDescent="0.3">
      <c r="A1348" s="678"/>
    </row>
    <row r="1349" spans="1:1" x14ac:dyDescent="0.3">
      <c r="A1349" s="678"/>
    </row>
    <row r="1350" spans="1:1" x14ac:dyDescent="0.3">
      <c r="A1350" s="678"/>
    </row>
    <row r="1351" spans="1:1" x14ac:dyDescent="0.3">
      <c r="A1351" s="678"/>
    </row>
    <row r="1352" spans="1:1" x14ac:dyDescent="0.3">
      <c r="A1352" s="678"/>
    </row>
    <row r="1353" spans="1:1" x14ac:dyDescent="0.3">
      <c r="A1353" s="678"/>
    </row>
    <row r="1354" spans="1:1" x14ac:dyDescent="0.3">
      <c r="A1354" s="678"/>
    </row>
    <row r="1355" spans="1:1" x14ac:dyDescent="0.3">
      <c r="A1355" s="678"/>
    </row>
    <row r="1356" spans="1:1" x14ac:dyDescent="0.3">
      <c r="A1356" s="678"/>
    </row>
    <row r="1357" spans="1:1" x14ac:dyDescent="0.3">
      <c r="A1357" s="678"/>
    </row>
    <row r="1358" spans="1:1" x14ac:dyDescent="0.3">
      <c r="A1358" s="678"/>
    </row>
    <row r="1359" spans="1:1" x14ac:dyDescent="0.3">
      <c r="A1359" s="678"/>
    </row>
    <row r="1360" spans="1:1" x14ac:dyDescent="0.3">
      <c r="A1360" s="678"/>
    </row>
    <row r="1361" spans="1:1" x14ac:dyDescent="0.3">
      <c r="A1361" s="678"/>
    </row>
    <row r="1362" spans="1:1" x14ac:dyDescent="0.3">
      <c r="A1362" s="678"/>
    </row>
    <row r="1363" spans="1:1" x14ac:dyDescent="0.3">
      <c r="A1363" s="678"/>
    </row>
    <row r="1364" spans="1:1" x14ac:dyDescent="0.3">
      <c r="A1364" s="678"/>
    </row>
    <row r="1365" spans="1:1" x14ac:dyDescent="0.3">
      <c r="A1365" s="678"/>
    </row>
    <row r="1366" spans="1:1" x14ac:dyDescent="0.3">
      <c r="A1366" s="678"/>
    </row>
    <row r="1367" spans="1:1" x14ac:dyDescent="0.3">
      <c r="A1367" s="678"/>
    </row>
    <row r="1368" spans="1:1" x14ac:dyDescent="0.3">
      <c r="A1368" s="678"/>
    </row>
    <row r="1369" spans="1:1" x14ac:dyDescent="0.3">
      <c r="A1369" s="678"/>
    </row>
    <row r="1370" spans="1:1" x14ac:dyDescent="0.3">
      <c r="A1370" s="678"/>
    </row>
    <row r="1371" spans="1:1" x14ac:dyDescent="0.3">
      <c r="A1371" s="678"/>
    </row>
    <row r="1372" spans="1:1" x14ac:dyDescent="0.3">
      <c r="A1372" s="678"/>
    </row>
    <row r="1373" spans="1:1" x14ac:dyDescent="0.3">
      <c r="A1373" s="678"/>
    </row>
    <row r="1374" spans="1:1" x14ac:dyDescent="0.3">
      <c r="A1374" s="678"/>
    </row>
    <row r="1375" spans="1:1" x14ac:dyDescent="0.3">
      <c r="A1375" s="678"/>
    </row>
    <row r="1376" spans="1:1" x14ac:dyDescent="0.3">
      <c r="A1376" s="678"/>
    </row>
    <row r="1377" spans="1:1" x14ac:dyDescent="0.3">
      <c r="A1377" s="678"/>
    </row>
    <row r="1378" spans="1:1" x14ac:dyDescent="0.3">
      <c r="A1378" s="678"/>
    </row>
    <row r="1379" spans="1:1" x14ac:dyDescent="0.3">
      <c r="A1379" s="678"/>
    </row>
    <row r="1380" spans="1:1" x14ac:dyDescent="0.3">
      <c r="A1380" s="678"/>
    </row>
    <row r="1381" spans="1:1" x14ac:dyDescent="0.3">
      <c r="A1381" s="678"/>
    </row>
    <row r="1382" spans="1:1" x14ac:dyDescent="0.3">
      <c r="A1382" s="678"/>
    </row>
    <row r="1383" spans="1:1" x14ac:dyDescent="0.3">
      <c r="A1383" s="678"/>
    </row>
    <row r="1384" spans="1:1" x14ac:dyDescent="0.3">
      <c r="A1384" s="678"/>
    </row>
    <row r="1385" spans="1:1" x14ac:dyDescent="0.3">
      <c r="A1385" s="678"/>
    </row>
    <row r="1386" spans="1:1" x14ac:dyDescent="0.3">
      <c r="A1386" s="678"/>
    </row>
    <row r="1387" spans="1:1" x14ac:dyDescent="0.3">
      <c r="A1387" s="678"/>
    </row>
    <row r="1388" spans="1:1" x14ac:dyDescent="0.3">
      <c r="A1388" s="678"/>
    </row>
    <row r="1389" spans="1:1" x14ac:dyDescent="0.3">
      <c r="A1389" s="678"/>
    </row>
    <row r="1390" spans="1:1" x14ac:dyDescent="0.3">
      <c r="A1390" s="678"/>
    </row>
    <row r="1391" spans="1:1" x14ac:dyDescent="0.3">
      <c r="A1391" s="678"/>
    </row>
    <row r="1392" spans="1:1" x14ac:dyDescent="0.3">
      <c r="A1392" s="678"/>
    </row>
    <row r="1393" spans="1:1" x14ac:dyDescent="0.3">
      <c r="A1393" s="678"/>
    </row>
    <row r="1394" spans="1:1" x14ac:dyDescent="0.3">
      <c r="A1394" s="678"/>
    </row>
    <row r="1395" spans="1:1" x14ac:dyDescent="0.3">
      <c r="A1395" s="678"/>
    </row>
    <row r="1396" spans="1:1" x14ac:dyDescent="0.3">
      <c r="A1396" s="678"/>
    </row>
    <row r="1397" spans="1:1" x14ac:dyDescent="0.3">
      <c r="A1397" s="678"/>
    </row>
    <row r="1398" spans="1:1" x14ac:dyDescent="0.3">
      <c r="A1398" s="678"/>
    </row>
    <row r="1399" spans="1:1" x14ac:dyDescent="0.3">
      <c r="A1399" s="678"/>
    </row>
    <row r="1400" spans="1:1" x14ac:dyDescent="0.3">
      <c r="A1400" s="678"/>
    </row>
    <row r="1401" spans="1:1" x14ac:dyDescent="0.3">
      <c r="A1401" s="678"/>
    </row>
    <row r="1402" spans="1:1" x14ac:dyDescent="0.3">
      <c r="A1402" s="678"/>
    </row>
    <row r="1403" spans="1:1" x14ac:dyDescent="0.3">
      <c r="A1403" s="678"/>
    </row>
    <row r="1404" spans="1:1" x14ac:dyDescent="0.3">
      <c r="A1404" s="678"/>
    </row>
    <row r="1405" spans="1:1" x14ac:dyDescent="0.3">
      <c r="A1405" s="678"/>
    </row>
    <row r="1406" spans="1:1" x14ac:dyDescent="0.3">
      <c r="A1406" s="678"/>
    </row>
    <row r="1407" spans="1:1" x14ac:dyDescent="0.3">
      <c r="A1407" s="678"/>
    </row>
    <row r="1408" spans="1:1" x14ac:dyDescent="0.3">
      <c r="A1408" s="678"/>
    </row>
    <row r="1409" spans="1:1" x14ac:dyDescent="0.3">
      <c r="A1409" s="678"/>
    </row>
    <row r="1410" spans="1:1" x14ac:dyDescent="0.3">
      <c r="A1410" s="678"/>
    </row>
    <row r="1411" spans="1:1" x14ac:dyDescent="0.3">
      <c r="A1411" s="678"/>
    </row>
    <row r="1412" spans="1:1" x14ac:dyDescent="0.3">
      <c r="A1412" s="678"/>
    </row>
    <row r="1413" spans="1:1" x14ac:dyDescent="0.3">
      <c r="A1413" s="678"/>
    </row>
    <row r="1414" spans="1:1" x14ac:dyDescent="0.3">
      <c r="A1414" s="678"/>
    </row>
    <row r="1415" spans="1:1" x14ac:dyDescent="0.3">
      <c r="A1415" s="678"/>
    </row>
    <row r="1416" spans="1:1" x14ac:dyDescent="0.3">
      <c r="A1416" s="678"/>
    </row>
    <row r="1417" spans="1:1" x14ac:dyDescent="0.3">
      <c r="A1417" s="678"/>
    </row>
    <row r="1418" spans="1:1" x14ac:dyDescent="0.3">
      <c r="A1418" s="678"/>
    </row>
    <row r="1419" spans="1:1" x14ac:dyDescent="0.3">
      <c r="A1419" s="678"/>
    </row>
    <row r="1420" spans="1:1" x14ac:dyDescent="0.3">
      <c r="A1420" s="678"/>
    </row>
    <row r="1421" spans="1:1" x14ac:dyDescent="0.3">
      <c r="A1421" s="678"/>
    </row>
    <row r="1422" spans="1:1" x14ac:dyDescent="0.3">
      <c r="A1422" s="678"/>
    </row>
    <row r="1423" spans="1:1" x14ac:dyDescent="0.3">
      <c r="A1423" s="678"/>
    </row>
    <row r="1424" spans="1:1" x14ac:dyDescent="0.3">
      <c r="A1424" s="678"/>
    </row>
    <row r="1425" spans="1:1" x14ac:dyDescent="0.3">
      <c r="A1425" s="678"/>
    </row>
    <row r="1426" spans="1:1" x14ac:dyDescent="0.3">
      <c r="A1426" s="678"/>
    </row>
    <row r="1427" spans="1:1" x14ac:dyDescent="0.3">
      <c r="A1427" s="678"/>
    </row>
    <row r="1428" spans="1:1" x14ac:dyDescent="0.3">
      <c r="A1428" s="678"/>
    </row>
    <row r="1429" spans="1:1" x14ac:dyDescent="0.3">
      <c r="A1429" s="678"/>
    </row>
    <row r="1430" spans="1:1" x14ac:dyDescent="0.3">
      <c r="A1430" s="678"/>
    </row>
    <row r="1431" spans="1:1" x14ac:dyDescent="0.3">
      <c r="A1431" s="678"/>
    </row>
    <row r="1432" spans="1:1" x14ac:dyDescent="0.3">
      <c r="A1432" s="678"/>
    </row>
    <row r="1433" spans="1:1" x14ac:dyDescent="0.3">
      <c r="A1433" s="678"/>
    </row>
    <row r="1434" spans="1:1" x14ac:dyDescent="0.3">
      <c r="A1434" s="678"/>
    </row>
    <row r="1435" spans="1:1" x14ac:dyDescent="0.3">
      <c r="A1435" s="678"/>
    </row>
    <row r="1436" spans="1:1" x14ac:dyDescent="0.3">
      <c r="A1436" s="678"/>
    </row>
    <row r="1437" spans="1:1" x14ac:dyDescent="0.3">
      <c r="A1437" s="678"/>
    </row>
    <row r="1438" spans="1:1" x14ac:dyDescent="0.3">
      <c r="A1438" s="678"/>
    </row>
    <row r="1439" spans="1:1" x14ac:dyDescent="0.3">
      <c r="A1439" s="678"/>
    </row>
    <row r="1440" spans="1:1" x14ac:dyDescent="0.3">
      <c r="A1440" s="678"/>
    </row>
    <row r="1441" spans="1:1" x14ac:dyDescent="0.3">
      <c r="A1441" s="678"/>
    </row>
    <row r="1442" spans="1:1" x14ac:dyDescent="0.3">
      <c r="A1442" s="678"/>
    </row>
    <row r="1443" spans="1:1" x14ac:dyDescent="0.3">
      <c r="A1443" s="678"/>
    </row>
    <row r="1444" spans="1:1" x14ac:dyDescent="0.3">
      <c r="A1444" s="678"/>
    </row>
    <row r="1445" spans="1:1" x14ac:dyDescent="0.3">
      <c r="A1445" s="678"/>
    </row>
    <row r="1446" spans="1:1" x14ac:dyDescent="0.3">
      <c r="A1446" s="678"/>
    </row>
    <row r="1447" spans="1:1" x14ac:dyDescent="0.3">
      <c r="A1447" s="678"/>
    </row>
    <row r="1448" spans="1:1" x14ac:dyDescent="0.3">
      <c r="A1448" s="678"/>
    </row>
    <row r="1449" spans="1:1" x14ac:dyDescent="0.3">
      <c r="A1449" s="678"/>
    </row>
    <row r="1450" spans="1:1" x14ac:dyDescent="0.3">
      <c r="A1450" s="678"/>
    </row>
    <row r="1451" spans="1:1" x14ac:dyDescent="0.3">
      <c r="A1451" s="678"/>
    </row>
    <row r="1452" spans="1:1" x14ac:dyDescent="0.3">
      <c r="A1452" s="678"/>
    </row>
    <row r="1453" spans="1:1" x14ac:dyDescent="0.3">
      <c r="A1453" s="678"/>
    </row>
    <row r="1454" spans="1:1" x14ac:dyDescent="0.3">
      <c r="A1454" s="678"/>
    </row>
    <row r="1455" spans="1:1" x14ac:dyDescent="0.3">
      <c r="A1455" s="678"/>
    </row>
    <row r="1456" spans="1:1" x14ac:dyDescent="0.3">
      <c r="A1456" s="678"/>
    </row>
    <row r="1457" spans="1:1" x14ac:dyDescent="0.3">
      <c r="A1457" s="678"/>
    </row>
    <row r="1458" spans="1:1" x14ac:dyDescent="0.3">
      <c r="A1458" s="678"/>
    </row>
    <row r="1459" spans="1:1" x14ac:dyDescent="0.3">
      <c r="A1459" s="678"/>
    </row>
    <row r="1460" spans="1:1" x14ac:dyDescent="0.3">
      <c r="A1460" s="678"/>
    </row>
    <row r="1461" spans="1:1" x14ac:dyDescent="0.3">
      <c r="A1461" s="678"/>
    </row>
    <row r="1462" spans="1:1" x14ac:dyDescent="0.3">
      <c r="A1462" s="678"/>
    </row>
    <row r="1463" spans="1:1" x14ac:dyDescent="0.3">
      <c r="A1463" s="678"/>
    </row>
    <row r="1464" spans="1:1" x14ac:dyDescent="0.3">
      <c r="A1464" s="678"/>
    </row>
    <row r="1465" spans="1:1" x14ac:dyDescent="0.3">
      <c r="A1465" s="678"/>
    </row>
    <row r="1466" spans="1:1" x14ac:dyDescent="0.3">
      <c r="A1466" s="678"/>
    </row>
    <row r="1467" spans="1:1" x14ac:dyDescent="0.3">
      <c r="A1467" s="678"/>
    </row>
    <row r="1468" spans="1:1" x14ac:dyDescent="0.3">
      <c r="A1468" s="678"/>
    </row>
    <row r="1469" spans="1:1" x14ac:dyDescent="0.3">
      <c r="A1469" s="678"/>
    </row>
    <row r="1470" spans="1:1" x14ac:dyDescent="0.3">
      <c r="A1470" s="678"/>
    </row>
    <row r="1471" spans="1:1" x14ac:dyDescent="0.3">
      <c r="A1471" s="678"/>
    </row>
    <row r="1472" spans="1:1" x14ac:dyDescent="0.3">
      <c r="A1472" s="678"/>
    </row>
    <row r="1473" spans="1:1" x14ac:dyDescent="0.3">
      <c r="A1473" s="678"/>
    </row>
    <row r="1474" spans="1:1" x14ac:dyDescent="0.3">
      <c r="A1474" s="678"/>
    </row>
    <row r="1475" spans="1:1" x14ac:dyDescent="0.3">
      <c r="A1475" s="678"/>
    </row>
    <row r="1476" spans="1:1" x14ac:dyDescent="0.3">
      <c r="A1476" s="678"/>
    </row>
    <row r="1477" spans="1:1" x14ac:dyDescent="0.3">
      <c r="A1477" s="678"/>
    </row>
    <row r="1478" spans="1:1" x14ac:dyDescent="0.3">
      <c r="A1478" s="678"/>
    </row>
    <row r="1479" spans="1:1" x14ac:dyDescent="0.3">
      <c r="A1479" s="678"/>
    </row>
    <row r="1480" spans="1:1" x14ac:dyDescent="0.3">
      <c r="A1480" s="678"/>
    </row>
    <row r="1481" spans="1:1" x14ac:dyDescent="0.3">
      <c r="A1481" s="678"/>
    </row>
    <row r="1482" spans="1:1" x14ac:dyDescent="0.3">
      <c r="A1482" s="678"/>
    </row>
    <row r="1483" spans="1:1" x14ac:dyDescent="0.3">
      <c r="A1483" s="678"/>
    </row>
    <row r="1484" spans="1:1" x14ac:dyDescent="0.3">
      <c r="A1484" s="678"/>
    </row>
    <row r="1485" spans="1:1" x14ac:dyDescent="0.3">
      <c r="A1485" s="678"/>
    </row>
    <row r="1486" spans="1:1" x14ac:dyDescent="0.3">
      <c r="A1486" s="678"/>
    </row>
    <row r="1487" spans="1:1" x14ac:dyDescent="0.3">
      <c r="A1487" s="678"/>
    </row>
    <row r="1488" spans="1:1" x14ac:dyDescent="0.3">
      <c r="A1488" s="678"/>
    </row>
    <row r="1489" spans="1:1" x14ac:dyDescent="0.3">
      <c r="A1489" s="678"/>
    </row>
    <row r="1490" spans="1:1" x14ac:dyDescent="0.3">
      <c r="A1490" s="678"/>
    </row>
    <row r="1491" spans="1:1" x14ac:dyDescent="0.3">
      <c r="A1491" s="678"/>
    </row>
    <row r="1492" spans="1:1" x14ac:dyDescent="0.3">
      <c r="A1492" s="678"/>
    </row>
    <row r="1493" spans="1:1" x14ac:dyDescent="0.3">
      <c r="A1493" s="678"/>
    </row>
    <row r="1494" spans="1:1" x14ac:dyDescent="0.3">
      <c r="A1494" s="678"/>
    </row>
    <row r="1495" spans="1:1" x14ac:dyDescent="0.3">
      <c r="A1495" s="678"/>
    </row>
    <row r="1496" spans="1:1" x14ac:dyDescent="0.3">
      <c r="A1496" s="678"/>
    </row>
    <row r="1497" spans="1:1" x14ac:dyDescent="0.3">
      <c r="A1497" s="678"/>
    </row>
    <row r="1498" spans="1:1" x14ac:dyDescent="0.3">
      <c r="A1498" s="678"/>
    </row>
    <row r="1499" spans="1:1" x14ac:dyDescent="0.3">
      <c r="A1499" s="678"/>
    </row>
    <row r="1500" spans="1:1" x14ac:dyDescent="0.3">
      <c r="A1500" s="678"/>
    </row>
    <row r="1501" spans="1:1" x14ac:dyDescent="0.3">
      <c r="A1501" s="678"/>
    </row>
    <row r="1502" spans="1:1" x14ac:dyDescent="0.3">
      <c r="A1502" s="678"/>
    </row>
    <row r="1503" spans="1:1" x14ac:dyDescent="0.3">
      <c r="A1503" s="678"/>
    </row>
    <row r="1504" spans="1:1" x14ac:dyDescent="0.3">
      <c r="A1504" s="678"/>
    </row>
    <row r="1505" spans="1:1" x14ac:dyDescent="0.3">
      <c r="A1505" s="678"/>
    </row>
    <row r="1506" spans="1:1" x14ac:dyDescent="0.3">
      <c r="A1506" s="678"/>
    </row>
    <row r="1507" spans="1:1" x14ac:dyDescent="0.3">
      <c r="A1507" s="678"/>
    </row>
    <row r="1508" spans="1:1" x14ac:dyDescent="0.3">
      <c r="A1508" s="678"/>
    </row>
    <row r="1509" spans="1:1" x14ac:dyDescent="0.3">
      <c r="A1509" s="678"/>
    </row>
    <row r="1510" spans="1:1" x14ac:dyDescent="0.3">
      <c r="A1510" s="678"/>
    </row>
    <row r="1511" spans="1:1" x14ac:dyDescent="0.3">
      <c r="A1511" s="678"/>
    </row>
    <row r="1512" spans="1:1" x14ac:dyDescent="0.3">
      <c r="A1512" s="678"/>
    </row>
    <row r="1513" spans="1:1" x14ac:dyDescent="0.3">
      <c r="A1513" s="678"/>
    </row>
    <row r="1514" spans="1:1" x14ac:dyDescent="0.3">
      <c r="A1514" s="678"/>
    </row>
    <row r="1515" spans="1:1" x14ac:dyDescent="0.3">
      <c r="A1515" s="678"/>
    </row>
    <row r="1516" spans="1:1" x14ac:dyDescent="0.3">
      <c r="A1516" s="678"/>
    </row>
    <row r="1517" spans="1:1" x14ac:dyDescent="0.3">
      <c r="A1517" s="678"/>
    </row>
    <row r="1518" spans="1:1" x14ac:dyDescent="0.3">
      <c r="A1518" s="678"/>
    </row>
    <row r="1519" spans="1:1" x14ac:dyDescent="0.3">
      <c r="A1519" s="678"/>
    </row>
    <row r="1520" spans="1:1" x14ac:dyDescent="0.3">
      <c r="A1520" s="678"/>
    </row>
    <row r="1521" spans="1:1" x14ac:dyDescent="0.3">
      <c r="A1521" s="678"/>
    </row>
    <row r="1522" spans="1:1" x14ac:dyDescent="0.3">
      <c r="A1522" s="678"/>
    </row>
    <row r="1523" spans="1:1" x14ac:dyDescent="0.3">
      <c r="A1523" s="678"/>
    </row>
    <row r="1524" spans="1:1" x14ac:dyDescent="0.3">
      <c r="A1524" s="678"/>
    </row>
    <row r="1525" spans="1:1" x14ac:dyDescent="0.3">
      <c r="A1525" s="678"/>
    </row>
    <row r="1526" spans="1:1" x14ac:dyDescent="0.3">
      <c r="A1526" s="678"/>
    </row>
    <row r="1527" spans="1:1" x14ac:dyDescent="0.3">
      <c r="A1527" s="678"/>
    </row>
    <row r="1528" spans="1:1" x14ac:dyDescent="0.3">
      <c r="A1528" s="678"/>
    </row>
    <row r="1529" spans="1:1" x14ac:dyDescent="0.3">
      <c r="A1529" s="678"/>
    </row>
    <row r="1530" spans="1:1" x14ac:dyDescent="0.3">
      <c r="A1530" s="678"/>
    </row>
    <row r="1531" spans="1:1" x14ac:dyDescent="0.3">
      <c r="A1531" s="678"/>
    </row>
    <row r="1532" spans="1:1" x14ac:dyDescent="0.3">
      <c r="A1532" s="678"/>
    </row>
    <row r="1533" spans="1:1" x14ac:dyDescent="0.3">
      <c r="A1533" s="678"/>
    </row>
    <row r="1534" spans="1:1" x14ac:dyDescent="0.3">
      <c r="A1534" s="678"/>
    </row>
    <row r="1535" spans="1:1" x14ac:dyDescent="0.3">
      <c r="A1535" s="678"/>
    </row>
    <row r="1536" spans="1:1" x14ac:dyDescent="0.3">
      <c r="A1536" s="678"/>
    </row>
    <row r="1537" spans="1:1" x14ac:dyDescent="0.3">
      <c r="A1537" s="678"/>
    </row>
    <row r="1538" spans="1:1" x14ac:dyDescent="0.3">
      <c r="A1538" s="678"/>
    </row>
    <row r="1539" spans="1:1" x14ac:dyDescent="0.3">
      <c r="A1539" s="678"/>
    </row>
    <row r="1540" spans="1:1" x14ac:dyDescent="0.3">
      <c r="A1540" s="678"/>
    </row>
    <row r="1541" spans="1:1" x14ac:dyDescent="0.3">
      <c r="A1541" s="678"/>
    </row>
    <row r="1542" spans="1:1" x14ac:dyDescent="0.3">
      <c r="A1542" s="678"/>
    </row>
    <row r="1543" spans="1:1" x14ac:dyDescent="0.3">
      <c r="A1543" s="678"/>
    </row>
    <row r="1544" spans="1:1" x14ac:dyDescent="0.3">
      <c r="A1544" s="678"/>
    </row>
    <row r="1545" spans="1:1" x14ac:dyDescent="0.3">
      <c r="A1545" s="678"/>
    </row>
    <row r="1546" spans="1:1" x14ac:dyDescent="0.3">
      <c r="A1546" s="678"/>
    </row>
    <row r="1547" spans="1:1" x14ac:dyDescent="0.3">
      <c r="A1547" s="678"/>
    </row>
    <row r="1548" spans="1:1" x14ac:dyDescent="0.3">
      <c r="A1548" s="678"/>
    </row>
    <row r="1549" spans="1:1" x14ac:dyDescent="0.3">
      <c r="A1549" s="678"/>
    </row>
    <row r="1550" spans="1:1" x14ac:dyDescent="0.3">
      <c r="A1550" s="678"/>
    </row>
    <row r="1551" spans="1:1" x14ac:dyDescent="0.3">
      <c r="A1551" s="678"/>
    </row>
    <row r="1552" spans="1:1" x14ac:dyDescent="0.3">
      <c r="A1552" s="678"/>
    </row>
    <row r="1553" spans="1:1" x14ac:dyDescent="0.3">
      <c r="A1553" s="678"/>
    </row>
    <row r="1554" spans="1:1" x14ac:dyDescent="0.3">
      <c r="A1554" s="678"/>
    </row>
    <row r="1555" spans="1:1" x14ac:dyDescent="0.3">
      <c r="A1555" s="678"/>
    </row>
    <row r="1556" spans="1:1" x14ac:dyDescent="0.3">
      <c r="A1556" s="678"/>
    </row>
    <row r="1557" spans="1:1" x14ac:dyDescent="0.3">
      <c r="A1557" s="678"/>
    </row>
    <row r="1558" spans="1:1" x14ac:dyDescent="0.3">
      <c r="A1558" s="678"/>
    </row>
    <row r="1559" spans="1:1" x14ac:dyDescent="0.3">
      <c r="A1559" s="678"/>
    </row>
    <row r="1560" spans="1:1" x14ac:dyDescent="0.3">
      <c r="A1560" s="678"/>
    </row>
    <row r="1561" spans="1:1" x14ac:dyDescent="0.3">
      <c r="A1561" s="678"/>
    </row>
    <row r="1562" spans="1:1" x14ac:dyDescent="0.3">
      <c r="A1562" s="678"/>
    </row>
    <row r="1563" spans="1:1" x14ac:dyDescent="0.3">
      <c r="A1563" s="678"/>
    </row>
    <row r="1564" spans="1:1" x14ac:dyDescent="0.3">
      <c r="A1564" s="678"/>
    </row>
    <row r="1565" spans="1:1" x14ac:dyDescent="0.3">
      <c r="A1565" s="678"/>
    </row>
    <row r="1566" spans="1:1" x14ac:dyDescent="0.3">
      <c r="A1566" s="678"/>
    </row>
    <row r="1567" spans="1:1" x14ac:dyDescent="0.3">
      <c r="A1567" s="678"/>
    </row>
    <row r="1568" spans="1:1" x14ac:dyDescent="0.3">
      <c r="A1568" s="678"/>
    </row>
    <row r="1569" spans="1:1" x14ac:dyDescent="0.3">
      <c r="A1569" s="678"/>
    </row>
    <row r="1570" spans="1:1" x14ac:dyDescent="0.3">
      <c r="A1570" s="678"/>
    </row>
    <row r="1571" spans="1:1" x14ac:dyDescent="0.3">
      <c r="A1571" s="678"/>
    </row>
    <row r="1572" spans="1:1" x14ac:dyDescent="0.3">
      <c r="A1572" s="678"/>
    </row>
    <row r="1573" spans="1:1" x14ac:dyDescent="0.3">
      <c r="A1573" s="678"/>
    </row>
    <row r="1574" spans="1:1" x14ac:dyDescent="0.3">
      <c r="A1574" s="678"/>
    </row>
    <row r="1575" spans="1:1" x14ac:dyDescent="0.3">
      <c r="A1575" s="678"/>
    </row>
    <row r="1576" spans="1:1" x14ac:dyDescent="0.3">
      <c r="A1576" s="678"/>
    </row>
    <row r="1577" spans="1:1" x14ac:dyDescent="0.3">
      <c r="A1577" s="678"/>
    </row>
    <row r="1578" spans="1:1" x14ac:dyDescent="0.3">
      <c r="A1578" s="678"/>
    </row>
    <row r="1579" spans="1:1" x14ac:dyDescent="0.3">
      <c r="A1579" s="678"/>
    </row>
    <row r="1580" spans="1:1" x14ac:dyDescent="0.3">
      <c r="A1580" s="678"/>
    </row>
    <row r="1581" spans="1:1" x14ac:dyDescent="0.3">
      <c r="A1581" s="678"/>
    </row>
    <row r="1582" spans="1:1" x14ac:dyDescent="0.3">
      <c r="A1582" s="678"/>
    </row>
    <row r="1583" spans="1:1" x14ac:dyDescent="0.3">
      <c r="A1583" s="678"/>
    </row>
    <row r="1584" spans="1:1" x14ac:dyDescent="0.3">
      <c r="A1584" s="678"/>
    </row>
    <row r="1585" spans="1:1" x14ac:dyDescent="0.3">
      <c r="A1585" s="678"/>
    </row>
    <row r="1586" spans="1:1" x14ac:dyDescent="0.3">
      <c r="A1586" s="678"/>
    </row>
    <row r="1587" spans="1:1" x14ac:dyDescent="0.3">
      <c r="A1587" s="678"/>
    </row>
    <row r="1588" spans="1:1" x14ac:dyDescent="0.3">
      <c r="A1588" s="678"/>
    </row>
    <row r="1589" spans="1:1" x14ac:dyDescent="0.3">
      <c r="A1589" s="678"/>
    </row>
    <row r="1590" spans="1:1" x14ac:dyDescent="0.3">
      <c r="A1590" s="678"/>
    </row>
    <row r="1591" spans="1:1" x14ac:dyDescent="0.3">
      <c r="A1591" s="678"/>
    </row>
    <row r="1592" spans="1:1" x14ac:dyDescent="0.3">
      <c r="A1592" s="678"/>
    </row>
    <row r="1593" spans="1:1" x14ac:dyDescent="0.3">
      <c r="A1593" s="678"/>
    </row>
    <row r="1594" spans="1:1" x14ac:dyDescent="0.3">
      <c r="A1594" s="678"/>
    </row>
    <row r="1595" spans="1:1" x14ac:dyDescent="0.3">
      <c r="A1595" s="678"/>
    </row>
    <row r="1596" spans="1:1" x14ac:dyDescent="0.3">
      <c r="A1596" s="678"/>
    </row>
    <row r="1597" spans="1:1" x14ac:dyDescent="0.3">
      <c r="A1597" s="678"/>
    </row>
    <row r="1598" spans="1:1" x14ac:dyDescent="0.3">
      <c r="A1598" s="678"/>
    </row>
    <row r="1599" spans="1:1" x14ac:dyDescent="0.3">
      <c r="A1599" s="678"/>
    </row>
    <row r="1600" spans="1:1" x14ac:dyDescent="0.3">
      <c r="A1600" s="678"/>
    </row>
    <row r="1601" spans="1:1" x14ac:dyDescent="0.3">
      <c r="A1601" s="678"/>
    </row>
    <row r="1602" spans="1:1" x14ac:dyDescent="0.3">
      <c r="A1602" s="678"/>
    </row>
    <row r="1603" spans="1:1" x14ac:dyDescent="0.3">
      <c r="A1603" s="678"/>
    </row>
    <row r="1604" spans="1:1" x14ac:dyDescent="0.3">
      <c r="A1604" s="678"/>
    </row>
    <row r="1605" spans="1:1" x14ac:dyDescent="0.3">
      <c r="A1605" s="678"/>
    </row>
    <row r="1606" spans="1:1" x14ac:dyDescent="0.3">
      <c r="A1606" s="678"/>
    </row>
    <row r="1607" spans="1:1" x14ac:dyDescent="0.3">
      <c r="A1607" s="678"/>
    </row>
    <row r="1608" spans="1:1" x14ac:dyDescent="0.3">
      <c r="A1608" s="678"/>
    </row>
    <row r="1609" spans="1:1" x14ac:dyDescent="0.3">
      <c r="A1609" s="678"/>
    </row>
    <row r="1610" spans="1:1" x14ac:dyDescent="0.3">
      <c r="A1610" s="678"/>
    </row>
    <row r="1611" spans="1:1" x14ac:dyDescent="0.3">
      <c r="A1611" s="678"/>
    </row>
    <row r="1612" spans="1:1" x14ac:dyDescent="0.3">
      <c r="A1612" s="678"/>
    </row>
    <row r="1613" spans="1:1" x14ac:dyDescent="0.3">
      <c r="A1613" s="678"/>
    </row>
    <row r="1614" spans="1:1" x14ac:dyDescent="0.3">
      <c r="A1614" s="678"/>
    </row>
    <row r="1615" spans="1:1" x14ac:dyDescent="0.3">
      <c r="A1615" s="678"/>
    </row>
    <row r="1616" spans="1:1" x14ac:dyDescent="0.3">
      <c r="A1616" s="678"/>
    </row>
    <row r="1617" spans="1:1" x14ac:dyDescent="0.3">
      <c r="A1617" s="678"/>
    </row>
    <row r="1618" spans="1:1" x14ac:dyDescent="0.3">
      <c r="A1618" s="678"/>
    </row>
    <row r="1619" spans="1:1" x14ac:dyDescent="0.3">
      <c r="A1619" s="678"/>
    </row>
    <row r="1620" spans="1:1" x14ac:dyDescent="0.3">
      <c r="A1620" s="678"/>
    </row>
    <row r="1621" spans="1:1" x14ac:dyDescent="0.3">
      <c r="A1621" s="678"/>
    </row>
    <row r="1622" spans="1:1" x14ac:dyDescent="0.3">
      <c r="A1622" s="678"/>
    </row>
    <row r="1623" spans="1:1" x14ac:dyDescent="0.3">
      <c r="A1623" s="678"/>
    </row>
    <row r="1624" spans="1:1" x14ac:dyDescent="0.3">
      <c r="A1624" s="678"/>
    </row>
    <row r="1625" spans="1:1" x14ac:dyDescent="0.3">
      <c r="A1625" s="678"/>
    </row>
    <row r="1626" spans="1:1" x14ac:dyDescent="0.3">
      <c r="A1626" s="678"/>
    </row>
    <row r="1627" spans="1:1" x14ac:dyDescent="0.3">
      <c r="A1627" s="678"/>
    </row>
    <row r="1628" spans="1:1" x14ac:dyDescent="0.3">
      <c r="A1628" s="678"/>
    </row>
    <row r="1629" spans="1:1" x14ac:dyDescent="0.3">
      <c r="A1629" s="678"/>
    </row>
    <row r="1630" spans="1:1" x14ac:dyDescent="0.3">
      <c r="A1630" s="678"/>
    </row>
    <row r="1631" spans="1:1" x14ac:dyDescent="0.3">
      <c r="A1631" s="678"/>
    </row>
    <row r="1632" spans="1:1" x14ac:dyDescent="0.3">
      <c r="A1632" s="678"/>
    </row>
    <row r="1633" spans="1:1" x14ac:dyDescent="0.3">
      <c r="A1633" s="678"/>
    </row>
    <row r="1634" spans="1:1" x14ac:dyDescent="0.3">
      <c r="A1634" s="678"/>
    </row>
    <row r="1635" spans="1:1" x14ac:dyDescent="0.3">
      <c r="A1635" s="678"/>
    </row>
    <row r="1636" spans="1:1" x14ac:dyDescent="0.3">
      <c r="A1636" s="678"/>
    </row>
    <row r="1637" spans="1:1" x14ac:dyDescent="0.3">
      <c r="A1637" s="678"/>
    </row>
    <row r="1638" spans="1:1" x14ac:dyDescent="0.3">
      <c r="A1638" s="678"/>
    </row>
    <row r="1639" spans="1:1" x14ac:dyDescent="0.3">
      <c r="A1639" s="678"/>
    </row>
    <row r="1640" spans="1:1" x14ac:dyDescent="0.3">
      <c r="A1640" s="678"/>
    </row>
    <row r="1641" spans="1:1" x14ac:dyDescent="0.3">
      <c r="A1641" s="678"/>
    </row>
    <row r="1642" spans="1:1" x14ac:dyDescent="0.3">
      <c r="A1642" s="678"/>
    </row>
    <row r="1643" spans="1:1" x14ac:dyDescent="0.3">
      <c r="A1643" s="678"/>
    </row>
    <row r="1644" spans="1:1" x14ac:dyDescent="0.3">
      <c r="A1644" s="678"/>
    </row>
    <row r="1645" spans="1:1" x14ac:dyDescent="0.3">
      <c r="A1645" s="678"/>
    </row>
    <row r="1646" spans="1:1" x14ac:dyDescent="0.3">
      <c r="A1646" s="678"/>
    </row>
    <row r="1647" spans="1:1" x14ac:dyDescent="0.3">
      <c r="A1647" s="678"/>
    </row>
    <row r="1648" spans="1:1" x14ac:dyDescent="0.3">
      <c r="A1648" s="678"/>
    </row>
    <row r="1649" spans="1:1" x14ac:dyDescent="0.3">
      <c r="A1649" s="678"/>
    </row>
    <row r="1650" spans="1:1" x14ac:dyDescent="0.3">
      <c r="A1650" s="678"/>
    </row>
    <row r="1651" spans="1:1" x14ac:dyDescent="0.3">
      <c r="A1651" s="678"/>
    </row>
    <row r="1652" spans="1:1" x14ac:dyDescent="0.3">
      <c r="A1652" s="678"/>
    </row>
    <row r="1653" spans="1:1" x14ac:dyDescent="0.3">
      <c r="A1653" s="678"/>
    </row>
    <row r="1654" spans="1:1" x14ac:dyDescent="0.3">
      <c r="A1654" s="678"/>
    </row>
    <row r="1655" spans="1:1" x14ac:dyDescent="0.3">
      <c r="A1655" s="678"/>
    </row>
    <row r="1656" spans="1:1" x14ac:dyDescent="0.3">
      <c r="A1656" s="678"/>
    </row>
    <row r="1657" spans="1:1" x14ac:dyDescent="0.3">
      <c r="A1657" s="678"/>
    </row>
    <row r="1658" spans="1:1" x14ac:dyDescent="0.3">
      <c r="A1658" s="678"/>
    </row>
    <row r="1659" spans="1:1" x14ac:dyDescent="0.3">
      <c r="A1659" s="678"/>
    </row>
    <row r="1660" spans="1:1" x14ac:dyDescent="0.3">
      <c r="A1660" s="678"/>
    </row>
    <row r="1661" spans="1:1" x14ac:dyDescent="0.3">
      <c r="A1661" s="678"/>
    </row>
    <row r="1662" spans="1:1" x14ac:dyDescent="0.3">
      <c r="A1662" s="678"/>
    </row>
    <row r="1663" spans="1:1" x14ac:dyDescent="0.3">
      <c r="A1663" s="678"/>
    </row>
    <row r="1664" spans="1:1" x14ac:dyDescent="0.3">
      <c r="A1664" s="678"/>
    </row>
    <row r="1665" spans="1:1" x14ac:dyDescent="0.3">
      <c r="A1665" s="678"/>
    </row>
    <row r="1666" spans="1:1" x14ac:dyDescent="0.3">
      <c r="A1666" s="678"/>
    </row>
    <row r="1667" spans="1:1" x14ac:dyDescent="0.3">
      <c r="A1667" s="678"/>
    </row>
    <row r="1668" spans="1:1" x14ac:dyDescent="0.3">
      <c r="A1668" s="678"/>
    </row>
    <row r="1669" spans="1:1" x14ac:dyDescent="0.3">
      <c r="A1669" s="678"/>
    </row>
    <row r="1670" spans="1:1" x14ac:dyDescent="0.3">
      <c r="A1670" s="678"/>
    </row>
    <row r="1671" spans="1:1" x14ac:dyDescent="0.3">
      <c r="A1671" s="678"/>
    </row>
    <row r="1672" spans="1:1" x14ac:dyDescent="0.3">
      <c r="A1672" s="678"/>
    </row>
    <row r="1673" spans="1:1" x14ac:dyDescent="0.3">
      <c r="A1673" s="678"/>
    </row>
    <row r="1674" spans="1:1" x14ac:dyDescent="0.3">
      <c r="A1674" s="678"/>
    </row>
    <row r="1675" spans="1:1" x14ac:dyDescent="0.3">
      <c r="A1675" s="678"/>
    </row>
    <row r="1676" spans="1:1" x14ac:dyDescent="0.3">
      <c r="A1676" s="678"/>
    </row>
    <row r="1677" spans="1:1" x14ac:dyDescent="0.3">
      <c r="A1677" s="678"/>
    </row>
    <row r="1678" spans="1:1" x14ac:dyDescent="0.3">
      <c r="A1678" s="678"/>
    </row>
    <row r="1679" spans="1:1" x14ac:dyDescent="0.3">
      <c r="A1679" s="678"/>
    </row>
    <row r="1680" spans="1:1" x14ac:dyDescent="0.3">
      <c r="A1680" s="678"/>
    </row>
    <row r="1681" spans="1:1" x14ac:dyDescent="0.3">
      <c r="A1681" s="678"/>
    </row>
    <row r="1682" spans="1:1" x14ac:dyDescent="0.3">
      <c r="A1682" s="678"/>
    </row>
    <row r="1683" spans="1:1" x14ac:dyDescent="0.3">
      <c r="A1683" s="678"/>
    </row>
    <row r="1684" spans="1:1" x14ac:dyDescent="0.3">
      <c r="A1684" s="678"/>
    </row>
    <row r="1685" spans="1:1" x14ac:dyDescent="0.3">
      <c r="A1685" s="678"/>
    </row>
    <row r="1686" spans="1:1" x14ac:dyDescent="0.3">
      <c r="A1686" s="678"/>
    </row>
    <row r="1687" spans="1:1" x14ac:dyDescent="0.3">
      <c r="A1687" s="678"/>
    </row>
    <row r="1688" spans="1:1" x14ac:dyDescent="0.3">
      <c r="A1688" s="678"/>
    </row>
    <row r="1689" spans="1:1" x14ac:dyDescent="0.3">
      <c r="A1689" s="678"/>
    </row>
    <row r="1690" spans="1:1" x14ac:dyDescent="0.3">
      <c r="A1690" s="678"/>
    </row>
    <row r="1691" spans="1:1" x14ac:dyDescent="0.3">
      <c r="A1691" s="678"/>
    </row>
    <row r="1692" spans="1:1" x14ac:dyDescent="0.3">
      <c r="A1692" s="678"/>
    </row>
    <row r="1693" spans="1:1" x14ac:dyDescent="0.3">
      <c r="A1693" s="678"/>
    </row>
    <row r="1694" spans="1:1" x14ac:dyDescent="0.3">
      <c r="A1694" s="678"/>
    </row>
    <row r="1695" spans="1:1" x14ac:dyDescent="0.3">
      <c r="A1695" s="678"/>
    </row>
    <row r="1696" spans="1:1" x14ac:dyDescent="0.3">
      <c r="A1696" s="678"/>
    </row>
    <row r="1697" spans="1:1" x14ac:dyDescent="0.3">
      <c r="A1697" s="678"/>
    </row>
    <row r="1698" spans="1:1" x14ac:dyDescent="0.3">
      <c r="A1698" s="678"/>
    </row>
    <row r="1699" spans="1:1" x14ac:dyDescent="0.3">
      <c r="A1699" s="678"/>
    </row>
    <row r="1700" spans="1:1" x14ac:dyDescent="0.3">
      <c r="A1700" s="678"/>
    </row>
    <row r="1701" spans="1:1" x14ac:dyDescent="0.3">
      <c r="A1701" s="678"/>
    </row>
    <row r="1702" spans="1:1" x14ac:dyDescent="0.3">
      <c r="A1702" s="678"/>
    </row>
    <row r="1703" spans="1:1" x14ac:dyDescent="0.3">
      <c r="A1703" s="678"/>
    </row>
    <row r="1704" spans="1:1" x14ac:dyDescent="0.3">
      <c r="A1704" s="678"/>
    </row>
    <row r="1705" spans="1:1" x14ac:dyDescent="0.3">
      <c r="A1705" s="678"/>
    </row>
    <row r="1706" spans="1:1" x14ac:dyDescent="0.3">
      <c r="A1706" s="678"/>
    </row>
    <row r="1707" spans="1:1" x14ac:dyDescent="0.3">
      <c r="A1707" s="678"/>
    </row>
    <row r="1708" spans="1:1" x14ac:dyDescent="0.3">
      <c r="A1708" s="678"/>
    </row>
    <row r="1709" spans="1:1" x14ac:dyDescent="0.3">
      <c r="A1709" s="678"/>
    </row>
    <row r="1710" spans="1:1" x14ac:dyDescent="0.3">
      <c r="A1710" s="678"/>
    </row>
    <row r="1711" spans="1:1" x14ac:dyDescent="0.3">
      <c r="A1711" s="678"/>
    </row>
    <row r="1712" spans="1:1" x14ac:dyDescent="0.3">
      <c r="A1712" s="678"/>
    </row>
    <row r="1713" spans="1:1" x14ac:dyDescent="0.3">
      <c r="A1713" s="678"/>
    </row>
    <row r="1714" spans="1:1" x14ac:dyDescent="0.3">
      <c r="A1714" s="678"/>
    </row>
    <row r="1715" spans="1:1" x14ac:dyDescent="0.3">
      <c r="A1715" s="678"/>
    </row>
    <row r="1716" spans="1:1" x14ac:dyDescent="0.3">
      <c r="A1716" s="678"/>
    </row>
    <row r="1717" spans="1:1" x14ac:dyDescent="0.3">
      <c r="A1717" s="678"/>
    </row>
    <row r="1718" spans="1:1" x14ac:dyDescent="0.3">
      <c r="A1718" s="678"/>
    </row>
    <row r="1719" spans="1:1" x14ac:dyDescent="0.3">
      <c r="A1719" s="678"/>
    </row>
    <row r="1720" spans="1:1" x14ac:dyDescent="0.3">
      <c r="A1720" s="678"/>
    </row>
    <row r="1721" spans="1:1" x14ac:dyDescent="0.3">
      <c r="A1721" s="678"/>
    </row>
    <row r="1722" spans="1:1" x14ac:dyDescent="0.3">
      <c r="A1722" s="678"/>
    </row>
    <row r="1723" spans="1:1" x14ac:dyDescent="0.3">
      <c r="A1723" s="678"/>
    </row>
    <row r="1724" spans="1:1" x14ac:dyDescent="0.3">
      <c r="A1724" s="678"/>
    </row>
    <row r="1725" spans="1:1" x14ac:dyDescent="0.3">
      <c r="A1725" s="678"/>
    </row>
    <row r="1726" spans="1:1" x14ac:dyDescent="0.3">
      <c r="A1726" s="678"/>
    </row>
    <row r="1727" spans="1:1" x14ac:dyDescent="0.3">
      <c r="A1727" s="678"/>
    </row>
    <row r="1728" spans="1:1" x14ac:dyDescent="0.3">
      <c r="A1728" s="678"/>
    </row>
    <row r="1729" spans="1:1" x14ac:dyDescent="0.3">
      <c r="A1729" s="678"/>
    </row>
    <row r="1730" spans="1:1" x14ac:dyDescent="0.3">
      <c r="A1730" s="678"/>
    </row>
    <row r="1731" spans="1:1" x14ac:dyDescent="0.3">
      <c r="A1731" s="678"/>
    </row>
    <row r="1732" spans="1:1" x14ac:dyDescent="0.3">
      <c r="A1732" s="678"/>
    </row>
    <row r="1733" spans="1:1" x14ac:dyDescent="0.3">
      <c r="A1733" s="678"/>
    </row>
    <row r="1734" spans="1:1" x14ac:dyDescent="0.3">
      <c r="A1734" s="678"/>
    </row>
    <row r="1735" spans="1:1" x14ac:dyDescent="0.3">
      <c r="A1735" s="678"/>
    </row>
    <row r="1736" spans="1:1" x14ac:dyDescent="0.3">
      <c r="A1736" s="678"/>
    </row>
    <row r="1737" spans="1:1" x14ac:dyDescent="0.3">
      <c r="A1737" s="678"/>
    </row>
    <row r="1738" spans="1:1" x14ac:dyDescent="0.3">
      <c r="A1738" s="678"/>
    </row>
    <row r="1739" spans="1:1" x14ac:dyDescent="0.3">
      <c r="A1739" s="678"/>
    </row>
    <row r="1740" spans="1:1" x14ac:dyDescent="0.3">
      <c r="A1740" s="678"/>
    </row>
    <row r="1741" spans="1:1" x14ac:dyDescent="0.3">
      <c r="A1741" s="678"/>
    </row>
    <row r="1742" spans="1:1" x14ac:dyDescent="0.3">
      <c r="A1742" s="678"/>
    </row>
    <row r="1743" spans="1:1" x14ac:dyDescent="0.3">
      <c r="A1743" s="678"/>
    </row>
    <row r="1744" spans="1:1" x14ac:dyDescent="0.3">
      <c r="A1744" s="678"/>
    </row>
    <row r="1745" spans="1:1" x14ac:dyDescent="0.3">
      <c r="A1745" s="678"/>
    </row>
    <row r="1746" spans="1:1" x14ac:dyDescent="0.3">
      <c r="A1746" s="678"/>
    </row>
    <row r="1747" spans="1:1" x14ac:dyDescent="0.3">
      <c r="A1747" s="678"/>
    </row>
    <row r="1748" spans="1:1" x14ac:dyDescent="0.3">
      <c r="A1748" s="678"/>
    </row>
    <row r="1749" spans="1:1" x14ac:dyDescent="0.3">
      <c r="A1749" s="678"/>
    </row>
    <row r="1750" spans="1:1" x14ac:dyDescent="0.3">
      <c r="A1750" s="678"/>
    </row>
    <row r="1751" spans="1:1" x14ac:dyDescent="0.3">
      <c r="A1751" s="678"/>
    </row>
    <row r="1752" spans="1:1" x14ac:dyDescent="0.3">
      <c r="A1752" s="678"/>
    </row>
    <row r="1753" spans="1:1" x14ac:dyDescent="0.3">
      <c r="A1753" s="678"/>
    </row>
    <row r="1754" spans="1:1" x14ac:dyDescent="0.3">
      <c r="A1754" s="678"/>
    </row>
    <row r="1755" spans="1:1" x14ac:dyDescent="0.3">
      <c r="A1755" s="678"/>
    </row>
    <row r="1756" spans="1:1" x14ac:dyDescent="0.3">
      <c r="A1756" s="678"/>
    </row>
    <row r="1757" spans="1:1" x14ac:dyDescent="0.3">
      <c r="A1757" s="678"/>
    </row>
    <row r="1758" spans="1:1" x14ac:dyDescent="0.3">
      <c r="A1758" s="678"/>
    </row>
    <row r="1759" spans="1:1" x14ac:dyDescent="0.3">
      <c r="A1759" s="678"/>
    </row>
    <row r="1760" spans="1:1" x14ac:dyDescent="0.3">
      <c r="A1760" s="678"/>
    </row>
    <row r="1761" spans="1:1" x14ac:dyDescent="0.3">
      <c r="A1761" s="678"/>
    </row>
    <row r="1762" spans="1:1" x14ac:dyDescent="0.3">
      <c r="A1762" s="678"/>
    </row>
    <row r="1763" spans="1:1" x14ac:dyDescent="0.3">
      <c r="A1763" s="678"/>
    </row>
    <row r="1764" spans="1:1" x14ac:dyDescent="0.3">
      <c r="A1764" s="678"/>
    </row>
    <row r="1765" spans="1:1" x14ac:dyDescent="0.3">
      <c r="A1765" s="678"/>
    </row>
    <row r="1766" spans="1:1" x14ac:dyDescent="0.3">
      <c r="A1766" s="678"/>
    </row>
    <row r="1767" spans="1:1" x14ac:dyDescent="0.3">
      <c r="A1767" s="678"/>
    </row>
    <row r="1768" spans="1:1" x14ac:dyDescent="0.3">
      <c r="A1768" s="678"/>
    </row>
    <row r="1769" spans="1:1" x14ac:dyDescent="0.3">
      <c r="A1769" s="678"/>
    </row>
    <row r="1770" spans="1:1" x14ac:dyDescent="0.3">
      <c r="A1770" s="678"/>
    </row>
    <row r="1771" spans="1:1" x14ac:dyDescent="0.3">
      <c r="A1771" s="678"/>
    </row>
    <row r="1772" spans="1:1" x14ac:dyDescent="0.3">
      <c r="A1772" s="678"/>
    </row>
    <row r="1773" spans="1:1" x14ac:dyDescent="0.3">
      <c r="A1773" s="678"/>
    </row>
    <row r="1774" spans="1:1" x14ac:dyDescent="0.3">
      <c r="A1774" s="678"/>
    </row>
    <row r="1775" spans="1:1" x14ac:dyDescent="0.3">
      <c r="A1775" s="678"/>
    </row>
    <row r="1776" spans="1:1" x14ac:dyDescent="0.3">
      <c r="A1776" s="678"/>
    </row>
    <row r="1777" spans="1:1" x14ac:dyDescent="0.3">
      <c r="A1777" s="678"/>
    </row>
    <row r="1778" spans="1:1" x14ac:dyDescent="0.3">
      <c r="A1778" s="678"/>
    </row>
    <row r="1779" spans="1:1" x14ac:dyDescent="0.3">
      <c r="A1779" s="678"/>
    </row>
    <row r="1780" spans="1:1" x14ac:dyDescent="0.3">
      <c r="A1780" s="678"/>
    </row>
    <row r="1781" spans="1:1" x14ac:dyDescent="0.3">
      <c r="A1781" s="678"/>
    </row>
    <row r="1782" spans="1:1" x14ac:dyDescent="0.3">
      <c r="A1782" s="678"/>
    </row>
    <row r="1783" spans="1:1" x14ac:dyDescent="0.3">
      <c r="A1783" s="678"/>
    </row>
    <row r="1784" spans="1:1" x14ac:dyDescent="0.3">
      <c r="A1784" s="678"/>
    </row>
    <row r="1785" spans="1:1" x14ac:dyDescent="0.3">
      <c r="A1785" s="678"/>
    </row>
    <row r="1786" spans="1:1" x14ac:dyDescent="0.3">
      <c r="A1786" s="678"/>
    </row>
    <row r="1787" spans="1:1" x14ac:dyDescent="0.3">
      <c r="A1787" s="678"/>
    </row>
    <row r="1788" spans="1:1" x14ac:dyDescent="0.3">
      <c r="A1788" s="678"/>
    </row>
    <row r="1789" spans="1:1" x14ac:dyDescent="0.3">
      <c r="A1789" s="678"/>
    </row>
    <row r="1790" spans="1:1" x14ac:dyDescent="0.3">
      <c r="A1790" s="678"/>
    </row>
    <row r="1791" spans="1:1" x14ac:dyDescent="0.3">
      <c r="A1791" s="678"/>
    </row>
    <row r="1792" spans="1:1" x14ac:dyDescent="0.3">
      <c r="A1792" s="678"/>
    </row>
    <row r="1793" spans="1:1" x14ac:dyDescent="0.3">
      <c r="A1793" s="678"/>
    </row>
    <row r="1794" spans="1:1" x14ac:dyDescent="0.3">
      <c r="A1794" s="678"/>
    </row>
    <row r="1795" spans="1:1" x14ac:dyDescent="0.3">
      <c r="A1795" s="678"/>
    </row>
    <row r="1796" spans="1:1" x14ac:dyDescent="0.3">
      <c r="A1796" s="678"/>
    </row>
    <row r="1797" spans="1:1" x14ac:dyDescent="0.3">
      <c r="A1797" s="678"/>
    </row>
    <row r="1798" spans="1:1" x14ac:dyDescent="0.3">
      <c r="A1798" s="678"/>
    </row>
    <row r="1799" spans="1:1" x14ac:dyDescent="0.3">
      <c r="A1799" s="678"/>
    </row>
    <row r="1800" spans="1:1" x14ac:dyDescent="0.3">
      <c r="A1800" s="678"/>
    </row>
    <row r="1801" spans="1:1" x14ac:dyDescent="0.3">
      <c r="A1801" s="678"/>
    </row>
    <row r="1802" spans="1:1" x14ac:dyDescent="0.3">
      <c r="A1802" s="678"/>
    </row>
    <row r="1803" spans="1:1" x14ac:dyDescent="0.3">
      <c r="A1803" s="678"/>
    </row>
    <row r="1804" spans="1:1" x14ac:dyDescent="0.3">
      <c r="A1804" s="678"/>
    </row>
    <row r="1805" spans="1:1" x14ac:dyDescent="0.3">
      <c r="A1805" s="678"/>
    </row>
    <row r="1806" spans="1:1" x14ac:dyDescent="0.3">
      <c r="A1806" s="678"/>
    </row>
    <row r="1807" spans="1:1" x14ac:dyDescent="0.3">
      <c r="A1807" s="678"/>
    </row>
    <row r="1808" spans="1:1" x14ac:dyDescent="0.3">
      <c r="A1808" s="678"/>
    </row>
    <row r="1809" spans="1:1" x14ac:dyDescent="0.3">
      <c r="A1809" s="678"/>
    </row>
    <row r="1810" spans="1:1" x14ac:dyDescent="0.3">
      <c r="A1810" s="678"/>
    </row>
    <row r="1811" spans="1:1" x14ac:dyDescent="0.3">
      <c r="A1811" s="678"/>
    </row>
    <row r="1812" spans="1:1" x14ac:dyDescent="0.3">
      <c r="A1812" s="678"/>
    </row>
    <row r="1813" spans="1:1" x14ac:dyDescent="0.3">
      <c r="A1813" s="678"/>
    </row>
    <row r="1814" spans="1:1" x14ac:dyDescent="0.3">
      <c r="A1814" s="678"/>
    </row>
    <row r="1815" spans="1:1" x14ac:dyDescent="0.3">
      <c r="A1815" s="678"/>
    </row>
    <row r="1816" spans="1:1" x14ac:dyDescent="0.3">
      <c r="A1816" s="678"/>
    </row>
    <row r="1817" spans="1:1" x14ac:dyDescent="0.3">
      <c r="A1817" s="678"/>
    </row>
    <row r="1818" spans="1:1" x14ac:dyDescent="0.3">
      <c r="A1818" s="678"/>
    </row>
    <row r="1819" spans="1:1" x14ac:dyDescent="0.3">
      <c r="A1819" s="678"/>
    </row>
    <row r="1820" spans="1:1" x14ac:dyDescent="0.3">
      <c r="A1820" s="678"/>
    </row>
    <row r="1821" spans="1:1" x14ac:dyDescent="0.3">
      <c r="A1821" s="678"/>
    </row>
    <row r="1822" spans="1:1" x14ac:dyDescent="0.3">
      <c r="A1822" s="678"/>
    </row>
    <row r="1823" spans="1:1" x14ac:dyDescent="0.3">
      <c r="A1823" s="678"/>
    </row>
    <row r="1824" spans="1:1" x14ac:dyDescent="0.3">
      <c r="A1824" s="678"/>
    </row>
    <row r="1825" spans="1:1" x14ac:dyDescent="0.3">
      <c r="A1825" s="678"/>
    </row>
    <row r="1826" spans="1:1" x14ac:dyDescent="0.3">
      <c r="A1826" s="678"/>
    </row>
    <row r="1827" spans="1:1" x14ac:dyDescent="0.3">
      <c r="A1827" s="678"/>
    </row>
    <row r="1828" spans="1:1" x14ac:dyDescent="0.3">
      <c r="A1828" s="678"/>
    </row>
    <row r="1829" spans="1:1" x14ac:dyDescent="0.3">
      <c r="A1829" s="678"/>
    </row>
    <row r="1830" spans="1:1" x14ac:dyDescent="0.3">
      <c r="A1830" s="678"/>
    </row>
    <row r="1831" spans="1:1" x14ac:dyDescent="0.3">
      <c r="A1831" s="678"/>
    </row>
    <row r="1832" spans="1:1" x14ac:dyDescent="0.3">
      <c r="A1832" s="678"/>
    </row>
    <row r="1833" spans="1:1" x14ac:dyDescent="0.3">
      <c r="A1833" s="678"/>
    </row>
    <row r="1834" spans="1:1" x14ac:dyDescent="0.3">
      <c r="A1834" s="678"/>
    </row>
    <row r="1835" spans="1:1" x14ac:dyDescent="0.3">
      <c r="A1835" s="678"/>
    </row>
    <row r="1836" spans="1:1" x14ac:dyDescent="0.3">
      <c r="A1836" s="678"/>
    </row>
    <row r="1837" spans="1:1" x14ac:dyDescent="0.3">
      <c r="A1837" s="678"/>
    </row>
    <row r="1838" spans="1:1" x14ac:dyDescent="0.3">
      <c r="A1838" s="678"/>
    </row>
    <row r="1839" spans="1:1" x14ac:dyDescent="0.3">
      <c r="A1839" s="678"/>
    </row>
    <row r="1840" spans="1:1" x14ac:dyDescent="0.3">
      <c r="A1840" s="678"/>
    </row>
    <row r="1841" spans="1:1" x14ac:dyDescent="0.3">
      <c r="A1841" s="678"/>
    </row>
    <row r="1842" spans="1:1" x14ac:dyDescent="0.3">
      <c r="A1842" s="678"/>
    </row>
    <row r="1843" spans="1:1" x14ac:dyDescent="0.3">
      <c r="A1843" s="678"/>
    </row>
    <row r="1844" spans="1:1" x14ac:dyDescent="0.3">
      <c r="A1844" s="678"/>
    </row>
    <row r="1845" spans="1:1" x14ac:dyDescent="0.3">
      <c r="A1845" s="678"/>
    </row>
    <row r="1846" spans="1:1" x14ac:dyDescent="0.3">
      <c r="A1846" s="678"/>
    </row>
    <row r="1847" spans="1:1" x14ac:dyDescent="0.3">
      <c r="A1847" s="678"/>
    </row>
    <row r="1848" spans="1:1" x14ac:dyDescent="0.3">
      <c r="A1848" s="678"/>
    </row>
    <row r="1849" spans="1:1" x14ac:dyDescent="0.3">
      <c r="A1849" s="678"/>
    </row>
    <row r="1850" spans="1:1" x14ac:dyDescent="0.3">
      <c r="A1850" s="678"/>
    </row>
    <row r="1851" spans="1:1" x14ac:dyDescent="0.3">
      <c r="A1851" s="678"/>
    </row>
    <row r="1852" spans="1:1" x14ac:dyDescent="0.3">
      <c r="A1852" s="678"/>
    </row>
    <row r="1853" spans="1:1" x14ac:dyDescent="0.3">
      <c r="A1853" s="678"/>
    </row>
    <row r="1854" spans="1:1" x14ac:dyDescent="0.3">
      <c r="A1854" s="678"/>
    </row>
    <row r="1855" spans="1:1" x14ac:dyDescent="0.3">
      <c r="A1855" s="678"/>
    </row>
    <row r="1856" spans="1:1" x14ac:dyDescent="0.3">
      <c r="A1856" s="678"/>
    </row>
    <row r="1857" spans="1:1" x14ac:dyDescent="0.3">
      <c r="A1857" s="678"/>
    </row>
    <row r="1858" spans="1:1" x14ac:dyDescent="0.3">
      <c r="A1858" s="678"/>
    </row>
    <row r="1859" spans="1:1" x14ac:dyDescent="0.3">
      <c r="A1859" s="678"/>
    </row>
    <row r="1860" spans="1:1" x14ac:dyDescent="0.3">
      <c r="A1860" s="678"/>
    </row>
    <row r="1861" spans="1:1" x14ac:dyDescent="0.3">
      <c r="A1861" s="678"/>
    </row>
    <row r="1862" spans="1:1" x14ac:dyDescent="0.3">
      <c r="A1862" s="678"/>
    </row>
    <row r="1863" spans="1:1" x14ac:dyDescent="0.3">
      <c r="A1863" s="678"/>
    </row>
    <row r="1864" spans="1:1" x14ac:dyDescent="0.3">
      <c r="A1864" s="678"/>
    </row>
    <row r="1865" spans="1:1" x14ac:dyDescent="0.3">
      <c r="A1865" s="678"/>
    </row>
    <row r="1866" spans="1:1" x14ac:dyDescent="0.3">
      <c r="A1866" s="678"/>
    </row>
    <row r="1867" spans="1:1" x14ac:dyDescent="0.3">
      <c r="A1867" s="678"/>
    </row>
    <row r="1868" spans="1:1" x14ac:dyDescent="0.3">
      <c r="A1868" s="678"/>
    </row>
    <row r="1869" spans="1:1" x14ac:dyDescent="0.3">
      <c r="A1869" s="678"/>
    </row>
    <row r="1870" spans="1:1" x14ac:dyDescent="0.3">
      <c r="A1870" s="678"/>
    </row>
    <row r="1871" spans="1:1" x14ac:dyDescent="0.3">
      <c r="A1871" s="678"/>
    </row>
    <row r="1872" spans="1:1" x14ac:dyDescent="0.3">
      <c r="A1872" s="678"/>
    </row>
    <row r="1873" spans="1:1" x14ac:dyDescent="0.3">
      <c r="A1873" s="678"/>
    </row>
    <row r="1874" spans="1:1" x14ac:dyDescent="0.3">
      <c r="A1874" s="678"/>
    </row>
    <row r="1875" spans="1:1" x14ac:dyDescent="0.3">
      <c r="A1875" s="678"/>
    </row>
    <row r="1876" spans="1:1" x14ac:dyDescent="0.3">
      <c r="A1876" s="678"/>
    </row>
    <row r="1877" spans="1:1" x14ac:dyDescent="0.3">
      <c r="A1877" s="678"/>
    </row>
    <row r="1878" spans="1:1" x14ac:dyDescent="0.3">
      <c r="A1878" s="678"/>
    </row>
    <row r="1879" spans="1:1" x14ac:dyDescent="0.3">
      <c r="A1879" s="678"/>
    </row>
    <row r="1880" spans="1:1" x14ac:dyDescent="0.3">
      <c r="A1880" s="678"/>
    </row>
    <row r="1881" spans="1:1" x14ac:dyDescent="0.3">
      <c r="A1881" s="678"/>
    </row>
    <row r="1882" spans="1:1" x14ac:dyDescent="0.3">
      <c r="A1882" s="678"/>
    </row>
    <row r="1883" spans="1:1" x14ac:dyDescent="0.3">
      <c r="A1883" s="678"/>
    </row>
    <row r="1884" spans="1:1" x14ac:dyDescent="0.3">
      <c r="A1884" s="678"/>
    </row>
    <row r="1885" spans="1:1" x14ac:dyDescent="0.3">
      <c r="A1885" s="678"/>
    </row>
    <row r="1886" spans="1:1" x14ac:dyDescent="0.3">
      <c r="A1886" s="678"/>
    </row>
    <row r="1887" spans="1:1" x14ac:dyDescent="0.3">
      <c r="A1887" s="678"/>
    </row>
    <row r="1888" spans="1:1" x14ac:dyDescent="0.3">
      <c r="A1888" s="678"/>
    </row>
    <row r="1889" spans="1:1" x14ac:dyDescent="0.3">
      <c r="A1889" s="678"/>
    </row>
    <row r="1890" spans="1:1" x14ac:dyDescent="0.3">
      <c r="A1890" s="678"/>
    </row>
    <row r="1891" spans="1:1" x14ac:dyDescent="0.3">
      <c r="A1891" s="678"/>
    </row>
    <row r="1892" spans="1:1" x14ac:dyDescent="0.3">
      <c r="A1892" s="678"/>
    </row>
    <row r="1893" spans="1:1" x14ac:dyDescent="0.3">
      <c r="A1893" s="678"/>
    </row>
    <row r="1894" spans="1:1" x14ac:dyDescent="0.3">
      <c r="A1894" s="678"/>
    </row>
    <row r="1895" spans="1:1" x14ac:dyDescent="0.3">
      <c r="A1895" s="678"/>
    </row>
    <row r="1896" spans="1:1" x14ac:dyDescent="0.3">
      <c r="A1896" s="678"/>
    </row>
    <row r="1897" spans="1:1" x14ac:dyDescent="0.3">
      <c r="A1897" s="678"/>
    </row>
    <row r="1898" spans="1:1" x14ac:dyDescent="0.3">
      <c r="A1898" s="678"/>
    </row>
    <row r="1899" spans="1:1" x14ac:dyDescent="0.3">
      <c r="A1899" s="678"/>
    </row>
    <row r="1900" spans="1:1" x14ac:dyDescent="0.3">
      <c r="A1900" s="678"/>
    </row>
    <row r="1901" spans="1:1" x14ac:dyDescent="0.3">
      <c r="A1901" s="678"/>
    </row>
    <row r="1902" spans="1:1" x14ac:dyDescent="0.3">
      <c r="A1902" s="678"/>
    </row>
    <row r="1903" spans="1:1" x14ac:dyDescent="0.3">
      <c r="A1903" s="678"/>
    </row>
    <row r="1904" spans="1:1" x14ac:dyDescent="0.3">
      <c r="A1904" s="678"/>
    </row>
    <row r="1905" spans="1:1" x14ac:dyDescent="0.3">
      <c r="A1905" s="678"/>
    </row>
    <row r="1906" spans="1:1" x14ac:dyDescent="0.3">
      <c r="A1906" s="678"/>
    </row>
    <row r="1907" spans="1:1" x14ac:dyDescent="0.3">
      <c r="A1907" s="678"/>
    </row>
    <row r="1908" spans="1:1" x14ac:dyDescent="0.3">
      <c r="A1908" s="678"/>
    </row>
    <row r="1909" spans="1:1" x14ac:dyDescent="0.3">
      <c r="A1909" s="678"/>
    </row>
    <row r="1910" spans="1:1" x14ac:dyDescent="0.3">
      <c r="A1910" s="678"/>
    </row>
    <row r="1911" spans="1:1" x14ac:dyDescent="0.3">
      <c r="A1911" s="678"/>
    </row>
    <row r="1912" spans="1:1" x14ac:dyDescent="0.3">
      <c r="A1912" s="678"/>
    </row>
    <row r="1913" spans="1:1" x14ac:dyDescent="0.3">
      <c r="A1913" s="678"/>
    </row>
    <row r="1914" spans="1:1" x14ac:dyDescent="0.3">
      <c r="A1914" s="678"/>
    </row>
    <row r="1915" spans="1:1" x14ac:dyDescent="0.3">
      <c r="A1915" s="678"/>
    </row>
    <row r="1916" spans="1:1" x14ac:dyDescent="0.3">
      <c r="A1916" s="678"/>
    </row>
    <row r="1917" spans="1:1" x14ac:dyDescent="0.3">
      <c r="A1917" s="678"/>
    </row>
    <row r="1918" spans="1:1" x14ac:dyDescent="0.3">
      <c r="A1918" s="678"/>
    </row>
    <row r="1919" spans="1:1" x14ac:dyDescent="0.3">
      <c r="A1919" s="678"/>
    </row>
    <row r="1920" spans="1:1" x14ac:dyDescent="0.3">
      <c r="A1920" s="678"/>
    </row>
    <row r="1921" spans="1:1" x14ac:dyDescent="0.3">
      <c r="A1921" s="678"/>
    </row>
    <row r="1922" spans="1:1" x14ac:dyDescent="0.3">
      <c r="A1922" s="678"/>
    </row>
    <row r="1923" spans="1:1" x14ac:dyDescent="0.3">
      <c r="A1923" s="678"/>
    </row>
    <row r="1924" spans="1:1" x14ac:dyDescent="0.3">
      <c r="A1924" s="678"/>
    </row>
    <row r="1925" spans="1:1" x14ac:dyDescent="0.3">
      <c r="A1925" s="678"/>
    </row>
    <row r="1926" spans="1:1" x14ac:dyDescent="0.3">
      <c r="A1926" s="678"/>
    </row>
    <row r="1927" spans="1:1" x14ac:dyDescent="0.3">
      <c r="A1927" s="678"/>
    </row>
    <row r="1928" spans="1:1" x14ac:dyDescent="0.3">
      <c r="A1928" s="678"/>
    </row>
    <row r="1929" spans="1:1" x14ac:dyDescent="0.3">
      <c r="A1929" s="678"/>
    </row>
    <row r="1930" spans="1:1" x14ac:dyDescent="0.3">
      <c r="A1930" s="678"/>
    </row>
    <row r="1931" spans="1:1" x14ac:dyDescent="0.3">
      <c r="A1931" s="678"/>
    </row>
    <row r="1932" spans="1:1" x14ac:dyDescent="0.3">
      <c r="A1932" s="678"/>
    </row>
    <row r="1933" spans="1:1" x14ac:dyDescent="0.3">
      <c r="A1933" s="678"/>
    </row>
    <row r="1934" spans="1:1" x14ac:dyDescent="0.3">
      <c r="A1934" s="678"/>
    </row>
    <row r="1935" spans="1:1" x14ac:dyDescent="0.3">
      <c r="A1935" s="678"/>
    </row>
    <row r="1936" spans="1:1" x14ac:dyDescent="0.3">
      <c r="A1936" s="678"/>
    </row>
    <row r="1937" spans="1:1" x14ac:dyDescent="0.3">
      <c r="A1937" s="678"/>
    </row>
    <row r="1938" spans="1:1" x14ac:dyDescent="0.3">
      <c r="A1938" s="678"/>
    </row>
    <row r="1939" spans="1:1" x14ac:dyDescent="0.3">
      <c r="A1939" s="678"/>
    </row>
    <row r="1940" spans="1:1" x14ac:dyDescent="0.3">
      <c r="A1940" s="678"/>
    </row>
    <row r="1941" spans="1:1" x14ac:dyDescent="0.3">
      <c r="A1941" s="678"/>
    </row>
    <row r="1942" spans="1:1" x14ac:dyDescent="0.3">
      <c r="A1942" s="678"/>
    </row>
    <row r="1943" spans="1:1" x14ac:dyDescent="0.3">
      <c r="A1943" s="678"/>
    </row>
    <row r="1944" spans="1:1" x14ac:dyDescent="0.3">
      <c r="A1944" s="678"/>
    </row>
    <row r="1945" spans="1:1" x14ac:dyDescent="0.3">
      <c r="A1945" s="678"/>
    </row>
    <row r="1946" spans="1:1" x14ac:dyDescent="0.3">
      <c r="A1946" s="678"/>
    </row>
    <row r="1947" spans="1:1" x14ac:dyDescent="0.3">
      <c r="A1947" s="678"/>
    </row>
    <row r="1948" spans="1:1" x14ac:dyDescent="0.3">
      <c r="A1948" s="678"/>
    </row>
    <row r="1949" spans="1:1" x14ac:dyDescent="0.3">
      <c r="A1949" s="678"/>
    </row>
    <row r="1950" spans="1:1" x14ac:dyDescent="0.3">
      <c r="A1950" s="678"/>
    </row>
    <row r="1951" spans="1:1" x14ac:dyDescent="0.3">
      <c r="A1951" s="678"/>
    </row>
    <row r="1952" spans="1:1" x14ac:dyDescent="0.3">
      <c r="A1952" s="678"/>
    </row>
    <row r="1953" spans="1:1" x14ac:dyDescent="0.3">
      <c r="A1953" s="678"/>
    </row>
    <row r="1954" spans="1:1" x14ac:dyDescent="0.3">
      <c r="A1954" s="678"/>
    </row>
    <row r="1955" spans="1:1" x14ac:dyDescent="0.3">
      <c r="A1955" s="678"/>
    </row>
    <row r="1956" spans="1:1" x14ac:dyDescent="0.3">
      <c r="A1956" s="678"/>
    </row>
    <row r="1957" spans="1:1" x14ac:dyDescent="0.3">
      <c r="A1957" s="678"/>
    </row>
    <row r="1958" spans="1:1" x14ac:dyDescent="0.3">
      <c r="A1958" s="678"/>
    </row>
    <row r="1959" spans="1:1" x14ac:dyDescent="0.3">
      <c r="A1959" s="678"/>
    </row>
    <row r="1960" spans="1:1" x14ac:dyDescent="0.3">
      <c r="A1960" s="678"/>
    </row>
    <row r="1961" spans="1:1" x14ac:dyDescent="0.3">
      <c r="A1961" s="678"/>
    </row>
    <row r="1962" spans="1:1" x14ac:dyDescent="0.3">
      <c r="A1962" s="678"/>
    </row>
    <row r="1963" spans="1:1" x14ac:dyDescent="0.3">
      <c r="A1963" s="678"/>
    </row>
    <row r="1964" spans="1:1" x14ac:dyDescent="0.3">
      <c r="A1964" s="678"/>
    </row>
    <row r="1965" spans="1:1" x14ac:dyDescent="0.3">
      <c r="A1965" s="678"/>
    </row>
    <row r="1966" spans="1:1" x14ac:dyDescent="0.3">
      <c r="A1966" s="678"/>
    </row>
    <row r="1967" spans="1:1" x14ac:dyDescent="0.3">
      <c r="A1967" s="678"/>
    </row>
    <row r="1968" spans="1:1" x14ac:dyDescent="0.3">
      <c r="A1968" s="678"/>
    </row>
    <row r="1969" spans="1:1" x14ac:dyDescent="0.3">
      <c r="A1969" s="678"/>
    </row>
    <row r="1970" spans="1:1" x14ac:dyDescent="0.3">
      <c r="A1970" s="678"/>
    </row>
    <row r="1971" spans="1:1" x14ac:dyDescent="0.3">
      <c r="A1971" s="678"/>
    </row>
    <row r="1972" spans="1:1" x14ac:dyDescent="0.3">
      <c r="A1972" s="678"/>
    </row>
    <row r="1973" spans="1:1" x14ac:dyDescent="0.3">
      <c r="A1973" s="678"/>
    </row>
    <row r="1974" spans="1:1" x14ac:dyDescent="0.3">
      <c r="A1974" s="678"/>
    </row>
    <row r="1975" spans="1:1" x14ac:dyDescent="0.3">
      <c r="A1975" s="678"/>
    </row>
    <row r="1976" spans="1:1" x14ac:dyDescent="0.3">
      <c r="A1976" s="678"/>
    </row>
    <row r="1977" spans="1:1" x14ac:dyDescent="0.3">
      <c r="A1977" s="678"/>
    </row>
    <row r="1978" spans="1:1" x14ac:dyDescent="0.3">
      <c r="A1978" s="678"/>
    </row>
    <row r="1979" spans="1:1" x14ac:dyDescent="0.3">
      <c r="A1979" s="678"/>
    </row>
    <row r="1980" spans="1:1" x14ac:dyDescent="0.3">
      <c r="A1980" s="678"/>
    </row>
    <row r="1981" spans="1:1" x14ac:dyDescent="0.3">
      <c r="A1981" s="678"/>
    </row>
    <row r="1982" spans="1:1" x14ac:dyDescent="0.3">
      <c r="A1982" s="678"/>
    </row>
    <row r="1983" spans="1:1" x14ac:dyDescent="0.3">
      <c r="A1983" s="678"/>
    </row>
    <row r="1984" spans="1:1" x14ac:dyDescent="0.3">
      <c r="A1984" s="678"/>
    </row>
    <row r="1985" spans="1:1" x14ac:dyDescent="0.3">
      <c r="A1985" s="678"/>
    </row>
    <row r="1986" spans="1:1" x14ac:dyDescent="0.3">
      <c r="A1986" s="678"/>
    </row>
    <row r="1987" spans="1:1" x14ac:dyDescent="0.3">
      <c r="A1987" s="678"/>
    </row>
    <row r="1988" spans="1:1" x14ac:dyDescent="0.3">
      <c r="A1988" s="678"/>
    </row>
    <row r="1989" spans="1:1" x14ac:dyDescent="0.3">
      <c r="A1989" s="678"/>
    </row>
    <row r="1990" spans="1:1" x14ac:dyDescent="0.3">
      <c r="A1990" s="678"/>
    </row>
    <row r="1991" spans="1:1" x14ac:dyDescent="0.3">
      <c r="A1991" s="678"/>
    </row>
    <row r="1992" spans="1:1" x14ac:dyDescent="0.3">
      <c r="A1992" s="678"/>
    </row>
    <row r="1993" spans="1:1" x14ac:dyDescent="0.3">
      <c r="A1993" s="678"/>
    </row>
    <row r="1994" spans="1:1" x14ac:dyDescent="0.3">
      <c r="A1994" s="678"/>
    </row>
    <row r="1995" spans="1:1" x14ac:dyDescent="0.3">
      <c r="A1995" s="678"/>
    </row>
    <row r="1996" spans="1:1" x14ac:dyDescent="0.3">
      <c r="A1996" s="678"/>
    </row>
    <row r="1997" spans="1:1" x14ac:dyDescent="0.3">
      <c r="A1997" s="678"/>
    </row>
    <row r="1998" spans="1:1" x14ac:dyDescent="0.3">
      <c r="A1998" s="678"/>
    </row>
    <row r="1999" spans="1:1" x14ac:dyDescent="0.3">
      <c r="A1999" s="678"/>
    </row>
    <row r="2000" spans="1:1" x14ac:dyDescent="0.3">
      <c r="A2000" s="678"/>
    </row>
    <row r="2001" spans="1:1" x14ac:dyDescent="0.3">
      <c r="A2001" s="678"/>
    </row>
    <row r="2002" spans="1:1" x14ac:dyDescent="0.3">
      <c r="A2002" s="678"/>
    </row>
    <row r="2003" spans="1:1" x14ac:dyDescent="0.3">
      <c r="A2003" s="678"/>
    </row>
    <row r="2004" spans="1:1" x14ac:dyDescent="0.3">
      <c r="A2004" s="678"/>
    </row>
    <row r="2005" spans="1:1" x14ac:dyDescent="0.3">
      <c r="A2005" s="678"/>
    </row>
    <row r="2006" spans="1:1" x14ac:dyDescent="0.3">
      <c r="A2006" s="678"/>
    </row>
    <row r="2007" spans="1:1" x14ac:dyDescent="0.3">
      <c r="A2007" s="678"/>
    </row>
    <row r="2008" spans="1:1" x14ac:dyDescent="0.3">
      <c r="A2008" s="678"/>
    </row>
    <row r="2009" spans="1:1" x14ac:dyDescent="0.3">
      <c r="A2009" s="678"/>
    </row>
    <row r="2010" spans="1:1" x14ac:dyDescent="0.3">
      <c r="A2010" s="678"/>
    </row>
    <row r="2011" spans="1:1" x14ac:dyDescent="0.3">
      <c r="A2011" s="678"/>
    </row>
    <row r="2012" spans="1:1" x14ac:dyDescent="0.3">
      <c r="A2012" s="678"/>
    </row>
    <row r="2013" spans="1:1" x14ac:dyDescent="0.3">
      <c r="A2013" s="678"/>
    </row>
    <row r="2014" spans="1:1" x14ac:dyDescent="0.3">
      <c r="A2014" s="678"/>
    </row>
    <row r="2015" spans="1:1" x14ac:dyDescent="0.3">
      <c r="A2015" s="678"/>
    </row>
    <row r="2016" spans="1:1" x14ac:dyDescent="0.3">
      <c r="A2016" s="678"/>
    </row>
    <row r="2017" spans="1:1" x14ac:dyDescent="0.3">
      <c r="A2017" s="678"/>
    </row>
    <row r="2018" spans="1:1" x14ac:dyDescent="0.3">
      <c r="A2018" s="678"/>
    </row>
    <row r="2019" spans="1:1" x14ac:dyDescent="0.3">
      <c r="A2019" s="678"/>
    </row>
    <row r="2020" spans="1:1" x14ac:dyDescent="0.3">
      <c r="A2020" s="678"/>
    </row>
    <row r="2021" spans="1:1" x14ac:dyDescent="0.3">
      <c r="A2021" s="678"/>
    </row>
    <row r="2022" spans="1:1" x14ac:dyDescent="0.3">
      <c r="A2022" s="678"/>
    </row>
    <row r="2023" spans="1:1" x14ac:dyDescent="0.3">
      <c r="A2023" s="678"/>
    </row>
    <row r="2024" spans="1:1" x14ac:dyDescent="0.3">
      <c r="A2024" s="678"/>
    </row>
    <row r="2025" spans="1:1" x14ac:dyDescent="0.3">
      <c r="A2025" s="678"/>
    </row>
    <row r="2026" spans="1:1" x14ac:dyDescent="0.3">
      <c r="A2026" s="678"/>
    </row>
    <row r="2027" spans="1:1" x14ac:dyDescent="0.3">
      <c r="A2027" s="678"/>
    </row>
    <row r="2028" spans="1:1" x14ac:dyDescent="0.3">
      <c r="A2028" s="678"/>
    </row>
    <row r="2029" spans="1:1" x14ac:dyDescent="0.3">
      <c r="A2029" s="678"/>
    </row>
    <row r="2030" spans="1:1" x14ac:dyDescent="0.3">
      <c r="A2030" s="678"/>
    </row>
    <row r="2031" spans="1:1" x14ac:dyDescent="0.3">
      <c r="A2031" s="678"/>
    </row>
    <row r="2032" spans="1:1" x14ac:dyDescent="0.3">
      <c r="A2032" s="678"/>
    </row>
    <row r="2033" spans="1:1" x14ac:dyDescent="0.3">
      <c r="A2033" s="678"/>
    </row>
    <row r="2034" spans="1:1" x14ac:dyDescent="0.3">
      <c r="A2034" s="678"/>
    </row>
    <row r="2035" spans="1:1" x14ac:dyDescent="0.3">
      <c r="A2035" s="678"/>
    </row>
    <row r="2036" spans="1:1" x14ac:dyDescent="0.3">
      <c r="A2036" s="678"/>
    </row>
    <row r="2037" spans="1:1" x14ac:dyDescent="0.3">
      <c r="A2037" s="678"/>
    </row>
    <row r="2038" spans="1:1" x14ac:dyDescent="0.3">
      <c r="A2038" s="678"/>
    </row>
    <row r="2039" spans="1:1" x14ac:dyDescent="0.3">
      <c r="A2039" s="678"/>
    </row>
    <row r="2040" spans="1:1" x14ac:dyDescent="0.3">
      <c r="A2040" s="678"/>
    </row>
    <row r="2041" spans="1:1" x14ac:dyDescent="0.3">
      <c r="A2041" s="678"/>
    </row>
    <row r="2042" spans="1:1" x14ac:dyDescent="0.3">
      <c r="A2042" s="678"/>
    </row>
    <row r="2043" spans="1:1" x14ac:dyDescent="0.3">
      <c r="A2043" s="678"/>
    </row>
    <row r="2044" spans="1:1" x14ac:dyDescent="0.3">
      <c r="A2044" s="678"/>
    </row>
    <row r="2045" spans="1:1" x14ac:dyDescent="0.3">
      <c r="A2045" s="678"/>
    </row>
    <row r="2046" spans="1:1" x14ac:dyDescent="0.3">
      <c r="A2046" s="678"/>
    </row>
    <row r="2047" spans="1:1" x14ac:dyDescent="0.3">
      <c r="A2047" s="678"/>
    </row>
    <row r="2048" spans="1:1" x14ac:dyDescent="0.3">
      <c r="A2048" s="678"/>
    </row>
    <row r="2049" spans="1:1" x14ac:dyDescent="0.3">
      <c r="A2049" s="678"/>
    </row>
    <row r="2050" spans="1:1" x14ac:dyDescent="0.3">
      <c r="A2050" s="678"/>
    </row>
    <row r="2051" spans="1:1" x14ac:dyDescent="0.3">
      <c r="A2051" s="678"/>
    </row>
    <row r="2052" spans="1:1" x14ac:dyDescent="0.3">
      <c r="A2052" s="678"/>
    </row>
    <row r="2053" spans="1:1" x14ac:dyDescent="0.3">
      <c r="A2053" s="678"/>
    </row>
    <row r="2054" spans="1:1" x14ac:dyDescent="0.3">
      <c r="A2054" s="678"/>
    </row>
    <row r="2055" spans="1:1" x14ac:dyDescent="0.3">
      <c r="A2055" s="678"/>
    </row>
    <row r="2056" spans="1:1" x14ac:dyDescent="0.3">
      <c r="A2056" s="678"/>
    </row>
    <row r="2057" spans="1:1" x14ac:dyDescent="0.3">
      <c r="A2057" s="678"/>
    </row>
    <row r="2058" spans="1:1" x14ac:dyDescent="0.3">
      <c r="A2058" s="678"/>
    </row>
    <row r="2059" spans="1:1" x14ac:dyDescent="0.3">
      <c r="A2059" s="678"/>
    </row>
    <row r="2060" spans="1:1" x14ac:dyDescent="0.3">
      <c r="A2060" s="678"/>
    </row>
    <row r="2061" spans="1:1" x14ac:dyDescent="0.3">
      <c r="A2061" s="678"/>
    </row>
    <row r="2062" spans="1:1" x14ac:dyDescent="0.3">
      <c r="A2062" s="678"/>
    </row>
    <row r="2063" spans="1:1" x14ac:dyDescent="0.3">
      <c r="A2063" s="678"/>
    </row>
    <row r="2064" spans="1:1" x14ac:dyDescent="0.3">
      <c r="A2064" s="678"/>
    </row>
    <row r="2065" spans="1:1" x14ac:dyDescent="0.3">
      <c r="A2065" s="678"/>
    </row>
    <row r="2066" spans="1:1" x14ac:dyDescent="0.3">
      <c r="A2066" s="678"/>
    </row>
    <row r="2067" spans="1:1" x14ac:dyDescent="0.3">
      <c r="A2067" s="678"/>
    </row>
    <row r="2068" spans="1:1" x14ac:dyDescent="0.3">
      <c r="A2068" s="678"/>
    </row>
    <row r="2069" spans="1:1" x14ac:dyDescent="0.3">
      <c r="A2069" s="678"/>
    </row>
    <row r="2070" spans="1:1" x14ac:dyDescent="0.3">
      <c r="A2070" s="678"/>
    </row>
    <row r="2071" spans="1:1" x14ac:dyDescent="0.3">
      <c r="A2071" s="678"/>
    </row>
    <row r="2072" spans="1:1" x14ac:dyDescent="0.3">
      <c r="A2072" s="678"/>
    </row>
    <row r="2073" spans="1:1" x14ac:dyDescent="0.3">
      <c r="A2073" s="678"/>
    </row>
    <row r="2074" spans="1:1" x14ac:dyDescent="0.3">
      <c r="A2074" s="678"/>
    </row>
    <row r="2075" spans="1:1" x14ac:dyDescent="0.3">
      <c r="A2075" s="678"/>
    </row>
    <row r="2076" spans="1:1" x14ac:dyDescent="0.3">
      <c r="A2076" s="678"/>
    </row>
    <row r="2077" spans="1:1" x14ac:dyDescent="0.3">
      <c r="A2077" s="678"/>
    </row>
    <row r="2078" spans="1:1" x14ac:dyDescent="0.3">
      <c r="A2078" s="678"/>
    </row>
    <row r="2079" spans="1:1" x14ac:dyDescent="0.3">
      <c r="A2079" s="678"/>
    </row>
    <row r="2080" spans="1:1" x14ac:dyDescent="0.3">
      <c r="A2080" s="678"/>
    </row>
    <row r="2081" spans="1:1" x14ac:dyDescent="0.3">
      <c r="A2081" s="678"/>
    </row>
    <row r="2082" spans="1:1" x14ac:dyDescent="0.3">
      <c r="A2082" s="678"/>
    </row>
    <row r="2083" spans="1:1" x14ac:dyDescent="0.3">
      <c r="A2083" s="678"/>
    </row>
    <row r="2084" spans="1:1" x14ac:dyDescent="0.3">
      <c r="A2084" s="678"/>
    </row>
    <row r="2085" spans="1:1" x14ac:dyDescent="0.3">
      <c r="A2085" s="678"/>
    </row>
    <row r="2086" spans="1:1" x14ac:dyDescent="0.3">
      <c r="A2086" s="678"/>
    </row>
    <row r="2087" spans="1:1" x14ac:dyDescent="0.3">
      <c r="A2087" s="678"/>
    </row>
    <row r="2088" spans="1:1" x14ac:dyDescent="0.3">
      <c r="A2088" s="678"/>
    </row>
    <row r="2089" spans="1:1" x14ac:dyDescent="0.3">
      <c r="A2089" s="678"/>
    </row>
    <row r="2090" spans="1:1" x14ac:dyDescent="0.3">
      <c r="A2090" s="678"/>
    </row>
    <row r="2091" spans="1:1" x14ac:dyDescent="0.3">
      <c r="A2091" s="678"/>
    </row>
    <row r="2092" spans="1:1" x14ac:dyDescent="0.3">
      <c r="A2092" s="678"/>
    </row>
    <row r="2093" spans="1:1" x14ac:dyDescent="0.3">
      <c r="A2093" s="678"/>
    </row>
    <row r="2094" spans="1:1" x14ac:dyDescent="0.3">
      <c r="A2094" s="678"/>
    </row>
    <row r="2095" spans="1:1" x14ac:dyDescent="0.3">
      <c r="A2095" s="678"/>
    </row>
    <row r="2096" spans="1:1" x14ac:dyDescent="0.3">
      <c r="A2096" s="678"/>
    </row>
    <row r="2097" spans="1:1" x14ac:dyDescent="0.3">
      <c r="A2097" s="678"/>
    </row>
    <row r="2098" spans="1:1" x14ac:dyDescent="0.3">
      <c r="A2098" s="678"/>
    </row>
    <row r="2099" spans="1:1" x14ac:dyDescent="0.3">
      <c r="A2099" s="678"/>
    </row>
    <row r="2100" spans="1:1" x14ac:dyDescent="0.3">
      <c r="A2100" s="678"/>
    </row>
    <row r="2101" spans="1:1" x14ac:dyDescent="0.3">
      <c r="A2101" s="678"/>
    </row>
    <row r="2102" spans="1:1" x14ac:dyDescent="0.3">
      <c r="A2102" s="678"/>
    </row>
    <row r="2103" spans="1:1" x14ac:dyDescent="0.3">
      <c r="A2103" s="678"/>
    </row>
    <row r="2104" spans="1:1" x14ac:dyDescent="0.3">
      <c r="A2104" s="678"/>
    </row>
    <row r="2105" spans="1:1" x14ac:dyDescent="0.3">
      <c r="A2105" s="678"/>
    </row>
    <row r="2106" spans="1:1" x14ac:dyDescent="0.3">
      <c r="A2106" s="678"/>
    </row>
    <row r="2107" spans="1:1" x14ac:dyDescent="0.3">
      <c r="A2107" s="678"/>
    </row>
    <row r="2108" spans="1:1" x14ac:dyDescent="0.3">
      <c r="A2108" s="678"/>
    </row>
    <row r="2109" spans="1:1" x14ac:dyDescent="0.3">
      <c r="A2109" s="678"/>
    </row>
    <row r="2110" spans="1:1" x14ac:dyDescent="0.3">
      <c r="A2110" s="678"/>
    </row>
    <row r="2111" spans="1:1" x14ac:dyDescent="0.3">
      <c r="A2111" s="678"/>
    </row>
    <row r="2112" spans="1:1" x14ac:dyDescent="0.3">
      <c r="A2112" s="678"/>
    </row>
    <row r="2113" spans="1:1" x14ac:dyDescent="0.3">
      <c r="A2113" s="678"/>
    </row>
    <row r="2114" spans="1:1" x14ac:dyDescent="0.3">
      <c r="A2114" s="678"/>
    </row>
    <row r="2115" spans="1:1" x14ac:dyDescent="0.3">
      <c r="A2115" s="678"/>
    </row>
    <row r="2116" spans="1:1" x14ac:dyDescent="0.3">
      <c r="A2116" s="678"/>
    </row>
    <row r="2117" spans="1:1" x14ac:dyDescent="0.3">
      <c r="A2117" s="678"/>
    </row>
    <row r="2118" spans="1:1" x14ac:dyDescent="0.3">
      <c r="A2118" s="678"/>
    </row>
    <row r="2119" spans="1:1" x14ac:dyDescent="0.3">
      <c r="A2119" s="678"/>
    </row>
    <row r="2120" spans="1:1" x14ac:dyDescent="0.3">
      <c r="A2120" s="678"/>
    </row>
    <row r="2121" spans="1:1" x14ac:dyDescent="0.3">
      <c r="A2121" s="678"/>
    </row>
    <row r="2122" spans="1:1" x14ac:dyDescent="0.3">
      <c r="A2122" s="678"/>
    </row>
    <row r="2123" spans="1:1" x14ac:dyDescent="0.3">
      <c r="A2123" s="678"/>
    </row>
    <row r="2124" spans="1:1" x14ac:dyDescent="0.3">
      <c r="A2124" s="678"/>
    </row>
    <row r="2125" spans="1:1" x14ac:dyDescent="0.3">
      <c r="A2125" s="678"/>
    </row>
    <row r="2126" spans="1:1" x14ac:dyDescent="0.3">
      <c r="A2126" s="678"/>
    </row>
    <row r="2127" spans="1:1" x14ac:dyDescent="0.3">
      <c r="A2127" s="678"/>
    </row>
    <row r="2128" spans="1:1" x14ac:dyDescent="0.3">
      <c r="A2128" s="678"/>
    </row>
    <row r="2129" spans="1:1" x14ac:dyDescent="0.3">
      <c r="A2129" s="678"/>
    </row>
    <row r="2130" spans="1:1" x14ac:dyDescent="0.3">
      <c r="A2130" s="678"/>
    </row>
    <row r="2131" spans="1:1" x14ac:dyDescent="0.3">
      <c r="A2131" s="678"/>
    </row>
    <row r="2132" spans="1:1" x14ac:dyDescent="0.3">
      <c r="A2132" s="678"/>
    </row>
    <row r="2133" spans="1:1" x14ac:dyDescent="0.3">
      <c r="A2133" s="678"/>
    </row>
    <row r="2134" spans="1:1" x14ac:dyDescent="0.3">
      <c r="A2134" s="678"/>
    </row>
    <row r="2135" spans="1:1" x14ac:dyDescent="0.3">
      <c r="A2135" s="678"/>
    </row>
    <row r="2136" spans="1:1" x14ac:dyDescent="0.3">
      <c r="A2136" s="678"/>
    </row>
    <row r="2137" spans="1:1" x14ac:dyDescent="0.3">
      <c r="A2137" s="678"/>
    </row>
    <row r="2138" spans="1:1" x14ac:dyDescent="0.3">
      <c r="A2138" s="678"/>
    </row>
    <row r="2139" spans="1:1" x14ac:dyDescent="0.3">
      <c r="A2139" s="678"/>
    </row>
    <row r="2140" spans="1:1" x14ac:dyDescent="0.3">
      <c r="A2140" s="678"/>
    </row>
    <row r="2141" spans="1:1" x14ac:dyDescent="0.3">
      <c r="A2141" s="678"/>
    </row>
    <row r="2142" spans="1:1" x14ac:dyDescent="0.3">
      <c r="A2142" s="678"/>
    </row>
    <row r="2143" spans="1:1" x14ac:dyDescent="0.3">
      <c r="A2143" s="678"/>
    </row>
    <row r="2144" spans="1:1" x14ac:dyDescent="0.3">
      <c r="A2144" s="678"/>
    </row>
    <row r="2145" spans="1:1" x14ac:dyDescent="0.3">
      <c r="A2145" s="678"/>
    </row>
    <row r="2146" spans="1:1" x14ac:dyDescent="0.3">
      <c r="A2146" s="678"/>
    </row>
    <row r="2147" spans="1:1" x14ac:dyDescent="0.3">
      <c r="A2147" s="678"/>
    </row>
    <row r="2148" spans="1:1" x14ac:dyDescent="0.3">
      <c r="A2148" s="678"/>
    </row>
    <row r="2149" spans="1:1" x14ac:dyDescent="0.3">
      <c r="A2149" s="678"/>
    </row>
    <row r="2150" spans="1:1" x14ac:dyDescent="0.3">
      <c r="A2150" s="678"/>
    </row>
    <row r="2151" spans="1:1" x14ac:dyDescent="0.3">
      <c r="A2151" s="678"/>
    </row>
    <row r="2152" spans="1:1" x14ac:dyDescent="0.3">
      <c r="A2152" s="678"/>
    </row>
    <row r="2153" spans="1:1" x14ac:dyDescent="0.3">
      <c r="A2153" s="678"/>
    </row>
    <row r="2154" spans="1:1" x14ac:dyDescent="0.3">
      <c r="A2154" s="678"/>
    </row>
    <row r="2155" spans="1:1" x14ac:dyDescent="0.3">
      <c r="A2155" s="678"/>
    </row>
    <row r="2156" spans="1:1" x14ac:dyDescent="0.3">
      <c r="A2156" s="678"/>
    </row>
    <row r="2157" spans="1:1" x14ac:dyDescent="0.3">
      <c r="A2157" s="678"/>
    </row>
    <row r="2158" spans="1:1" x14ac:dyDescent="0.3">
      <c r="A2158" s="678"/>
    </row>
    <row r="2159" spans="1:1" x14ac:dyDescent="0.3">
      <c r="A2159" s="678"/>
    </row>
    <row r="2160" spans="1:1" x14ac:dyDescent="0.3">
      <c r="A2160" s="678"/>
    </row>
    <row r="2161" spans="1:1" x14ac:dyDescent="0.3">
      <c r="A2161" s="678"/>
    </row>
    <row r="2162" spans="1:1" x14ac:dyDescent="0.3">
      <c r="A2162" s="678"/>
    </row>
    <row r="2163" spans="1:1" x14ac:dyDescent="0.3">
      <c r="A2163" s="678"/>
    </row>
    <row r="2164" spans="1:1" x14ac:dyDescent="0.3">
      <c r="A2164" s="678"/>
    </row>
    <row r="2165" spans="1:1" x14ac:dyDescent="0.3">
      <c r="A2165" s="678"/>
    </row>
    <row r="2166" spans="1:1" x14ac:dyDescent="0.3">
      <c r="A2166" s="678"/>
    </row>
    <row r="2167" spans="1:1" x14ac:dyDescent="0.3">
      <c r="A2167" s="678"/>
    </row>
    <row r="2168" spans="1:1" x14ac:dyDescent="0.3">
      <c r="A2168" s="678"/>
    </row>
    <row r="2169" spans="1:1" x14ac:dyDescent="0.3">
      <c r="A2169" s="678"/>
    </row>
    <row r="2170" spans="1:1" x14ac:dyDescent="0.3">
      <c r="A2170" s="678"/>
    </row>
    <row r="2171" spans="1:1" x14ac:dyDescent="0.3">
      <c r="A2171" s="678"/>
    </row>
    <row r="2172" spans="1:1" x14ac:dyDescent="0.3">
      <c r="A2172" s="678"/>
    </row>
    <row r="2173" spans="1:1" x14ac:dyDescent="0.3">
      <c r="A2173" s="678"/>
    </row>
    <row r="2174" spans="1:1" x14ac:dyDescent="0.3">
      <c r="A2174" s="678"/>
    </row>
    <row r="2175" spans="1:1" x14ac:dyDescent="0.3">
      <c r="A2175" s="678"/>
    </row>
    <row r="2176" spans="1:1" x14ac:dyDescent="0.3">
      <c r="A2176" s="678"/>
    </row>
    <row r="2177" spans="1:1" x14ac:dyDescent="0.3">
      <c r="A2177" s="678"/>
    </row>
    <row r="2178" spans="1:1" x14ac:dyDescent="0.3">
      <c r="A2178" s="678"/>
    </row>
    <row r="2179" spans="1:1" x14ac:dyDescent="0.3">
      <c r="A2179" s="678"/>
    </row>
    <row r="2180" spans="1:1" x14ac:dyDescent="0.3">
      <c r="A2180" s="678"/>
    </row>
    <row r="2181" spans="1:1" x14ac:dyDescent="0.3">
      <c r="A2181" s="678"/>
    </row>
    <row r="2182" spans="1:1" x14ac:dyDescent="0.3">
      <c r="A2182" s="678"/>
    </row>
    <row r="2183" spans="1:1" x14ac:dyDescent="0.3">
      <c r="A2183" s="678"/>
    </row>
    <row r="2184" spans="1:1" x14ac:dyDescent="0.3">
      <c r="A2184" s="678"/>
    </row>
    <row r="2185" spans="1:1" x14ac:dyDescent="0.3">
      <c r="A2185" s="678"/>
    </row>
    <row r="2186" spans="1:1" x14ac:dyDescent="0.3">
      <c r="A2186" s="678"/>
    </row>
    <row r="2187" spans="1:1" x14ac:dyDescent="0.3">
      <c r="A2187" s="678"/>
    </row>
    <row r="2188" spans="1:1" x14ac:dyDescent="0.3">
      <c r="A2188" s="678"/>
    </row>
    <row r="2189" spans="1:1" x14ac:dyDescent="0.3">
      <c r="A2189" s="678"/>
    </row>
    <row r="2190" spans="1:1" x14ac:dyDescent="0.3">
      <c r="A2190" s="678"/>
    </row>
    <row r="2191" spans="1:1" x14ac:dyDescent="0.3">
      <c r="A2191" s="678"/>
    </row>
    <row r="2192" spans="1:1" x14ac:dyDescent="0.3">
      <c r="A2192" s="678"/>
    </row>
    <row r="2193" spans="1:1" x14ac:dyDescent="0.3">
      <c r="A2193" s="678"/>
    </row>
    <row r="2194" spans="1:1" x14ac:dyDescent="0.3">
      <c r="A2194" s="678"/>
    </row>
    <row r="2195" spans="1:1" x14ac:dyDescent="0.3">
      <c r="A2195" s="678"/>
    </row>
    <row r="2196" spans="1:1" x14ac:dyDescent="0.3">
      <c r="A2196" s="678"/>
    </row>
    <row r="2197" spans="1:1" x14ac:dyDescent="0.3">
      <c r="A2197" s="678"/>
    </row>
    <row r="2198" spans="1:1" x14ac:dyDescent="0.3">
      <c r="A2198" s="678"/>
    </row>
    <row r="2199" spans="1:1" x14ac:dyDescent="0.3">
      <c r="A2199" s="678"/>
    </row>
    <row r="2200" spans="1:1" x14ac:dyDescent="0.3">
      <c r="A2200" s="678"/>
    </row>
    <row r="2201" spans="1:1" x14ac:dyDescent="0.3">
      <c r="A2201" s="678"/>
    </row>
    <row r="2202" spans="1:1" x14ac:dyDescent="0.3">
      <c r="A2202" s="678"/>
    </row>
    <row r="2203" spans="1:1" x14ac:dyDescent="0.3">
      <c r="A2203" s="678"/>
    </row>
    <row r="2204" spans="1:1" x14ac:dyDescent="0.3">
      <c r="A2204" s="678"/>
    </row>
    <row r="2205" spans="1:1" x14ac:dyDescent="0.3">
      <c r="A2205" s="678"/>
    </row>
    <row r="2206" spans="1:1" x14ac:dyDescent="0.3">
      <c r="A2206" s="678"/>
    </row>
    <row r="2207" spans="1:1" x14ac:dyDescent="0.3">
      <c r="A2207" s="678"/>
    </row>
    <row r="2208" spans="1:1" x14ac:dyDescent="0.3">
      <c r="A2208" s="678"/>
    </row>
    <row r="2209" spans="1:1" x14ac:dyDescent="0.3">
      <c r="A2209" s="678"/>
    </row>
    <row r="2210" spans="1:1" x14ac:dyDescent="0.3">
      <c r="A2210" s="678"/>
    </row>
    <row r="2211" spans="1:1" x14ac:dyDescent="0.3">
      <c r="A2211" s="678"/>
    </row>
    <row r="2212" spans="1:1" x14ac:dyDescent="0.3">
      <c r="A2212" s="678"/>
    </row>
    <row r="2213" spans="1:1" x14ac:dyDescent="0.3">
      <c r="A2213" s="678"/>
    </row>
    <row r="2214" spans="1:1" x14ac:dyDescent="0.3">
      <c r="A2214" s="678"/>
    </row>
    <row r="2215" spans="1:1" x14ac:dyDescent="0.3">
      <c r="A2215" s="678"/>
    </row>
    <row r="2216" spans="1:1" x14ac:dyDescent="0.3">
      <c r="A2216" s="678"/>
    </row>
    <row r="2217" spans="1:1" x14ac:dyDescent="0.3">
      <c r="A2217" s="678"/>
    </row>
    <row r="2218" spans="1:1" x14ac:dyDescent="0.3">
      <c r="A2218" s="678"/>
    </row>
    <row r="2219" spans="1:1" x14ac:dyDescent="0.3">
      <c r="A2219" s="678"/>
    </row>
    <row r="2220" spans="1:1" x14ac:dyDescent="0.3">
      <c r="A2220" s="678"/>
    </row>
    <row r="2221" spans="1:1" x14ac:dyDescent="0.3">
      <c r="A2221" s="678"/>
    </row>
    <row r="2222" spans="1:1" x14ac:dyDescent="0.3">
      <c r="A2222" s="678"/>
    </row>
    <row r="2223" spans="1:1" x14ac:dyDescent="0.3">
      <c r="A2223" s="678"/>
    </row>
    <row r="2224" spans="1:1" x14ac:dyDescent="0.3">
      <c r="A2224" s="678"/>
    </row>
    <row r="2225" spans="1:1" x14ac:dyDescent="0.3">
      <c r="A2225" s="678"/>
    </row>
    <row r="2226" spans="1:1" x14ac:dyDescent="0.3">
      <c r="A2226" s="678"/>
    </row>
    <row r="2227" spans="1:1" x14ac:dyDescent="0.3">
      <c r="A2227" s="678"/>
    </row>
    <row r="2228" spans="1:1" x14ac:dyDescent="0.3">
      <c r="A2228" s="678"/>
    </row>
    <row r="2229" spans="1:1" x14ac:dyDescent="0.3">
      <c r="A2229" s="678"/>
    </row>
    <row r="2230" spans="1:1" x14ac:dyDescent="0.3">
      <c r="A2230" s="678"/>
    </row>
    <row r="2231" spans="1:1" x14ac:dyDescent="0.3">
      <c r="A2231" s="678"/>
    </row>
    <row r="2232" spans="1:1" x14ac:dyDescent="0.3">
      <c r="A2232" s="678"/>
    </row>
    <row r="2233" spans="1:1" x14ac:dyDescent="0.3">
      <c r="A2233" s="678"/>
    </row>
    <row r="2234" spans="1:1" x14ac:dyDescent="0.3">
      <c r="A2234" s="678"/>
    </row>
    <row r="2235" spans="1:1" x14ac:dyDescent="0.3">
      <c r="A2235" s="678"/>
    </row>
    <row r="2236" spans="1:1" x14ac:dyDescent="0.3">
      <c r="A2236" s="678"/>
    </row>
    <row r="2237" spans="1:1" x14ac:dyDescent="0.3">
      <c r="A2237" s="678"/>
    </row>
    <row r="2238" spans="1:1" x14ac:dyDescent="0.3">
      <c r="A2238" s="678"/>
    </row>
    <row r="2239" spans="1:1" x14ac:dyDescent="0.3">
      <c r="A2239" s="678"/>
    </row>
    <row r="2240" spans="1:1" x14ac:dyDescent="0.3">
      <c r="A2240" s="678"/>
    </row>
    <row r="2241" spans="1:1" x14ac:dyDescent="0.3">
      <c r="A2241" s="678"/>
    </row>
    <row r="2242" spans="1:1" x14ac:dyDescent="0.3">
      <c r="A2242" s="678"/>
    </row>
    <row r="2243" spans="1:1" x14ac:dyDescent="0.3">
      <c r="A2243" s="678"/>
    </row>
    <row r="2244" spans="1:1" x14ac:dyDescent="0.3">
      <c r="A2244" s="678"/>
    </row>
    <row r="2245" spans="1:1" x14ac:dyDescent="0.3">
      <c r="A2245" s="678"/>
    </row>
    <row r="2246" spans="1:1" x14ac:dyDescent="0.3">
      <c r="A2246" s="678"/>
    </row>
    <row r="2247" spans="1:1" x14ac:dyDescent="0.3">
      <c r="A2247" s="678"/>
    </row>
    <row r="2248" spans="1:1" x14ac:dyDescent="0.3">
      <c r="A2248" s="678"/>
    </row>
    <row r="2249" spans="1:1" x14ac:dyDescent="0.3">
      <c r="A2249" s="678"/>
    </row>
    <row r="2250" spans="1:1" x14ac:dyDescent="0.3">
      <c r="A2250" s="678"/>
    </row>
    <row r="2251" spans="1:1" x14ac:dyDescent="0.3">
      <c r="A2251" s="678"/>
    </row>
    <row r="2252" spans="1:1" x14ac:dyDescent="0.3">
      <c r="A2252" s="678"/>
    </row>
    <row r="2253" spans="1:1" x14ac:dyDescent="0.3">
      <c r="A2253" s="678"/>
    </row>
    <row r="2254" spans="1:1" x14ac:dyDescent="0.3">
      <c r="A2254" s="678"/>
    </row>
    <row r="2255" spans="1:1" x14ac:dyDescent="0.3">
      <c r="A2255" s="678"/>
    </row>
    <row r="2256" spans="1:1" x14ac:dyDescent="0.3">
      <c r="A2256" s="678"/>
    </row>
    <row r="2257" spans="1:1" x14ac:dyDescent="0.3">
      <c r="A2257" s="678"/>
    </row>
    <row r="2258" spans="1:1" x14ac:dyDescent="0.3">
      <c r="A2258" s="678"/>
    </row>
    <row r="2259" spans="1:1" x14ac:dyDescent="0.3">
      <c r="A2259" s="678"/>
    </row>
    <row r="2260" spans="1:1" x14ac:dyDescent="0.3">
      <c r="A2260" s="678"/>
    </row>
    <row r="2261" spans="1:1" x14ac:dyDescent="0.3">
      <c r="A2261" s="678"/>
    </row>
    <row r="2262" spans="1:1" x14ac:dyDescent="0.3">
      <c r="A2262" s="678"/>
    </row>
    <row r="2263" spans="1:1" x14ac:dyDescent="0.3">
      <c r="A2263" s="678"/>
    </row>
    <row r="2264" spans="1:1" x14ac:dyDescent="0.3">
      <c r="A2264" s="678"/>
    </row>
    <row r="2265" spans="1:1" x14ac:dyDescent="0.3">
      <c r="A2265" s="678"/>
    </row>
    <row r="2266" spans="1:1" x14ac:dyDescent="0.3">
      <c r="A2266" s="678"/>
    </row>
    <row r="2267" spans="1:1" x14ac:dyDescent="0.3">
      <c r="A2267" s="678"/>
    </row>
    <row r="2268" spans="1:1" x14ac:dyDescent="0.3">
      <c r="A2268" s="678"/>
    </row>
    <row r="2269" spans="1:1" x14ac:dyDescent="0.3">
      <c r="A2269" s="678"/>
    </row>
    <row r="2270" spans="1:1" x14ac:dyDescent="0.3">
      <c r="A2270" s="678"/>
    </row>
    <row r="2271" spans="1:1" x14ac:dyDescent="0.3">
      <c r="A2271" s="678"/>
    </row>
    <row r="2272" spans="1:1" x14ac:dyDescent="0.3">
      <c r="A2272" s="678"/>
    </row>
    <row r="2273" spans="1:1" x14ac:dyDescent="0.3">
      <c r="A2273" s="678"/>
    </row>
    <row r="2274" spans="1:1" x14ac:dyDescent="0.3">
      <c r="A2274" s="678"/>
    </row>
    <row r="2275" spans="1:1" x14ac:dyDescent="0.3">
      <c r="A2275" s="678"/>
    </row>
    <row r="2276" spans="1:1" x14ac:dyDescent="0.3">
      <c r="A2276" s="678"/>
    </row>
    <row r="2277" spans="1:1" x14ac:dyDescent="0.3">
      <c r="A2277" s="678"/>
    </row>
    <row r="2278" spans="1:1" x14ac:dyDescent="0.3">
      <c r="A2278" s="678"/>
    </row>
    <row r="2279" spans="1:1" x14ac:dyDescent="0.3">
      <c r="A2279" s="678"/>
    </row>
    <row r="2280" spans="1:1" x14ac:dyDescent="0.3">
      <c r="A2280" s="678"/>
    </row>
    <row r="2281" spans="1:1" x14ac:dyDescent="0.3">
      <c r="A2281" s="678"/>
    </row>
    <row r="2282" spans="1:1" x14ac:dyDescent="0.3">
      <c r="A2282" s="678"/>
    </row>
    <row r="2283" spans="1:1" x14ac:dyDescent="0.3">
      <c r="A2283" s="678"/>
    </row>
    <row r="2284" spans="1:1" x14ac:dyDescent="0.3">
      <c r="A2284" s="678"/>
    </row>
    <row r="2285" spans="1:1" x14ac:dyDescent="0.3">
      <c r="A2285" s="678"/>
    </row>
    <row r="2286" spans="1:1" x14ac:dyDescent="0.3">
      <c r="A2286" s="678"/>
    </row>
    <row r="2287" spans="1:1" x14ac:dyDescent="0.3">
      <c r="A2287" s="678"/>
    </row>
    <row r="2288" spans="1:1" x14ac:dyDescent="0.3">
      <c r="A2288" s="678"/>
    </row>
    <row r="2289" spans="1:1" x14ac:dyDescent="0.3">
      <c r="A2289" s="678"/>
    </row>
    <row r="2290" spans="1:1" x14ac:dyDescent="0.3">
      <c r="A2290" s="678"/>
    </row>
    <row r="2291" spans="1:1" x14ac:dyDescent="0.3">
      <c r="A2291" s="678"/>
    </row>
    <row r="2292" spans="1:1" x14ac:dyDescent="0.3">
      <c r="A2292" s="678"/>
    </row>
    <row r="2293" spans="1:1" x14ac:dyDescent="0.3">
      <c r="A2293" s="678"/>
    </row>
    <row r="2294" spans="1:1" x14ac:dyDescent="0.3">
      <c r="A2294" s="678"/>
    </row>
    <row r="2295" spans="1:1" x14ac:dyDescent="0.3">
      <c r="A2295" s="678"/>
    </row>
    <row r="2296" spans="1:1" x14ac:dyDescent="0.3">
      <c r="A2296" s="678"/>
    </row>
    <row r="2297" spans="1:1" x14ac:dyDescent="0.3">
      <c r="A2297" s="678"/>
    </row>
    <row r="2298" spans="1:1" x14ac:dyDescent="0.3">
      <c r="A2298" s="678"/>
    </row>
    <row r="2299" spans="1:1" x14ac:dyDescent="0.3">
      <c r="A2299" s="678"/>
    </row>
    <row r="2300" spans="1:1" x14ac:dyDescent="0.3">
      <c r="A2300" s="678"/>
    </row>
    <row r="2301" spans="1:1" x14ac:dyDescent="0.3">
      <c r="A2301" s="678"/>
    </row>
    <row r="2302" spans="1:1" x14ac:dyDescent="0.3">
      <c r="A2302" s="678"/>
    </row>
    <row r="2303" spans="1:1" x14ac:dyDescent="0.3">
      <c r="A2303" s="678"/>
    </row>
    <row r="2304" spans="1:1" x14ac:dyDescent="0.3">
      <c r="A2304" s="678"/>
    </row>
    <row r="2305" spans="1:1" x14ac:dyDescent="0.3">
      <c r="A2305" s="678"/>
    </row>
    <row r="2306" spans="1:1" x14ac:dyDescent="0.3">
      <c r="A2306" s="678"/>
    </row>
    <row r="2307" spans="1:1" x14ac:dyDescent="0.3">
      <c r="A2307" s="678"/>
    </row>
    <row r="2308" spans="1:1" x14ac:dyDescent="0.3">
      <c r="A2308" s="678"/>
    </row>
    <row r="2309" spans="1:1" x14ac:dyDescent="0.3">
      <c r="A2309" s="678"/>
    </row>
    <row r="2310" spans="1:1" x14ac:dyDescent="0.3">
      <c r="A2310" s="678"/>
    </row>
    <row r="2311" spans="1:1" x14ac:dyDescent="0.3">
      <c r="A2311" s="678"/>
    </row>
    <row r="2312" spans="1:1" x14ac:dyDescent="0.3">
      <c r="A2312" s="678"/>
    </row>
    <row r="2313" spans="1:1" x14ac:dyDescent="0.3">
      <c r="A2313" s="678"/>
    </row>
    <row r="2314" spans="1:1" x14ac:dyDescent="0.3">
      <c r="A2314" s="678"/>
    </row>
    <row r="2315" spans="1:1" x14ac:dyDescent="0.3">
      <c r="A2315" s="678"/>
    </row>
    <row r="2316" spans="1:1" x14ac:dyDescent="0.3">
      <c r="A2316" s="678"/>
    </row>
    <row r="2317" spans="1:1" x14ac:dyDescent="0.3">
      <c r="A2317" s="678"/>
    </row>
    <row r="2318" spans="1:1" x14ac:dyDescent="0.3">
      <c r="A2318" s="678"/>
    </row>
    <row r="2319" spans="1:1" x14ac:dyDescent="0.3">
      <c r="A2319" s="678"/>
    </row>
    <row r="2320" spans="1:1" x14ac:dyDescent="0.3">
      <c r="A2320" s="678"/>
    </row>
    <row r="2321" spans="1:1" x14ac:dyDescent="0.3">
      <c r="A2321" s="678"/>
    </row>
    <row r="2322" spans="1:1" x14ac:dyDescent="0.3">
      <c r="A2322" s="678"/>
    </row>
    <row r="2323" spans="1:1" x14ac:dyDescent="0.3">
      <c r="A2323" s="678"/>
    </row>
    <row r="2324" spans="1:1" x14ac:dyDescent="0.3">
      <c r="A2324" s="678"/>
    </row>
    <row r="2325" spans="1:1" x14ac:dyDescent="0.3">
      <c r="A2325" s="678"/>
    </row>
    <row r="2326" spans="1:1" x14ac:dyDescent="0.3">
      <c r="A2326" s="678"/>
    </row>
    <row r="2327" spans="1:1" x14ac:dyDescent="0.3">
      <c r="A2327" s="678"/>
    </row>
    <row r="2328" spans="1:1" x14ac:dyDescent="0.3">
      <c r="A2328" s="678"/>
    </row>
    <row r="2329" spans="1:1" x14ac:dyDescent="0.3">
      <c r="A2329" s="678"/>
    </row>
    <row r="2330" spans="1:1" x14ac:dyDescent="0.3">
      <c r="A2330" s="678"/>
    </row>
    <row r="2331" spans="1:1" x14ac:dyDescent="0.3">
      <c r="A2331" s="678"/>
    </row>
    <row r="2332" spans="1:1" x14ac:dyDescent="0.3">
      <c r="A2332" s="678"/>
    </row>
    <row r="2333" spans="1:1" x14ac:dyDescent="0.3">
      <c r="A2333" s="678"/>
    </row>
    <row r="2334" spans="1:1" x14ac:dyDescent="0.3">
      <c r="A2334" s="678"/>
    </row>
    <row r="2335" spans="1:1" x14ac:dyDescent="0.3">
      <c r="A2335" s="678"/>
    </row>
    <row r="2336" spans="1:1" x14ac:dyDescent="0.3">
      <c r="A2336" s="678"/>
    </row>
    <row r="2337" spans="1:1" x14ac:dyDescent="0.3">
      <c r="A2337" s="678"/>
    </row>
    <row r="2338" spans="1:1" x14ac:dyDescent="0.3">
      <c r="A2338" s="678"/>
    </row>
    <row r="2339" spans="1:1" x14ac:dyDescent="0.3">
      <c r="A2339" s="678"/>
    </row>
    <row r="2340" spans="1:1" x14ac:dyDescent="0.3">
      <c r="A2340" s="678"/>
    </row>
    <row r="2341" spans="1:1" x14ac:dyDescent="0.3">
      <c r="A2341" s="678"/>
    </row>
    <row r="2342" spans="1:1" x14ac:dyDescent="0.3">
      <c r="A2342" s="678"/>
    </row>
    <row r="2343" spans="1:1" x14ac:dyDescent="0.3">
      <c r="A2343" s="678"/>
    </row>
    <row r="2344" spans="1:1" x14ac:dyDescent="0.3">
      <c r="A2344" s="678"/>
    </row>
    <row r="2345" spans="1:1" x14ac:dyDescent="0.3">
      <c r="A2345" s="678"/>
    </row>
    <row r="2346" spans="1:1" x14ac:dyDescent="0.3">
      <c r="A2346" s="678"/>
    </row>
    <row r="2347" spans="1:1" x14ac:dyDescent="0.3">
      <c r="A2347" s="678"/>
    </row>
    <row r="2348" spans="1:1" x14ac:dyDescent="0.3">
      <c r="A2348" s="678"/>
    </row>
    <row r="2349" spans="1:1" x14ac:dyDescent="0.3">
      <c r="A2349" s="678"/>
    </row>
    <row r="2350" spans="1:1" x14ac:dyDescent="0.3">
      <c r="A2350" s="678"/>
    </row>
    <row r="2351" spans="1:1" x14ac:dyDescent="0.3">
      <c r="A2351" s="678"/>
    </row>
    <row r="2352" spans="1:1" x14ac:dyDescent="0.3">
      <c r="A2352" s="678"/>
    </row>
    <row r="2353" spans="1:1" x14ac:dyDescent="0.3">
      <c r="A2353" s="678"/>
    </row>
    <row r="2354" spans="1:1" x14ac:dyDescent="0.3">
      <c r="A2354" s="678"/>
    </row>
    <row r="2355" spans="1:1" x14ac:dyDescent="0.3">
      <c r="A2355" s="678"/>
    </row>
    <row r="2356" spans="1:1" x14ac:dyDescent="0.3">
      <c r="A2356" s="678"/>
    </row>
    <row r="2357" spans="1:1" x14ac:dyDescent="0.3">
      <c r="A2357" s="678"/>
    </row>
    <row r="2358" spans="1:1" x14ac:dyDescent="0.3">
      <c r="A2358" s="678"/>
    </row>
    <row r="2359" spans="1:1" x14ac:dyDescent="0.3">
      <c r="A2359" s="678"/>
    </row>
    <row r="2360" spans="1:1" x14ac:dyDescent="0.3">
      <c r="A2360" s="678"/>
    </row>
    <row r="2361" spans="1:1" x14ac:dyDescent="0.3">
      <c r="A2361" s="678"/>
    </row>
    <row r="2362" spans="1:1" x14ac:dyDescent="0.3">
      <c r="A2362" s="678"/>
    </row>
    <row r="2363" spans="1:1" x14ac:dyDescent="0.3">
      <c r="A2363" s="678"/>
    </row>
    <row r="2364" spans="1:1" x14ac:dyDescent="0.3">
      <c r="A2364" s="678"/>
    </row>
    <row r="2365" spans="1:1" x14ac:dyDescent="0.3">
      <c r="A2365" s="678"/>
    </row>
    <row r="2366" spans="1:1" x14ac:dyDescent="0.3">
      <c r="A2366" s="678"/>
    </row>
    <row r="2367" spans="1:1" x14ac:dyDescent="0.3">
      <c r="A2367" s="678"/>
    </row>
    <row r="2368" spans="1:1" x14ac:dyDescent="0.3">
      <c r="A2368" s="678"/>
    </row>
    <row r="2369" spans="1:1" x14ac:dyDescent="0.3">
      <c r="A2369" s="678"/>
    </row>
    <row r="2370" spans="1:1" x14ac:dyDescent="0.3">
      <c r="A2370" s="678"/>
    </row>
    <row r="2371" spans="1:1" x14ac:dyDescent="0.3">
      <c r="A2371" s="678"/>
    </row>
    <row r="2372" spans="1:1" x14ac:dyDescent="0.3">
      <c r="A2372" s="678"/>
    </row>
    <row r="2373" spans="1:1" x14ac:dyDescent="0.3">
      <c r="A2373" s="678"/>
    </row>
    <row r="2374" spans="1:1" x14ac:dyDescent="0.3">
      <c r="A2374" s="678"/>
    </row>
    <row r="2375" spans="1:1" x14ac:dyDescent="0.3">
      <c r="A2375" s="678"/>
    </row>
    <row r="2376" spans="1:1" x14ac:dyDescent="0.3">
      <c r="A2376" s="678"/>
    </row>
    <row r="2377" spans="1:1" x14ac:dyDescent="0.3">
      <c r="A2377" s="678"/>
    </row>
    <row r="2378" spans="1:1" x14ac:dyDescent="0.3">
      <c r="A2378" s="678"/>
    </row>
    <row r="2379" spans="1:1" x14ac:dyDescent="0.3">
      <c r="A2379" s="678"/>
    </row>
    <row r="2380" spans="1:1" x14ac:dyDescent="0.3">
      <c r="A2380" s="678"/>
    </row>
    <row r="2381" spans="1:1" x14ac:dyDescent="0.3">
      <c r="A2381" s="678"/>
    </row>
    <row r="2382" spans="1:1" x14ac:dyDescent="0.3">
      <c r="A2382" s="678"/>
    </row>
    <row r="2383" spans="1:1" x14ac:dyDescent="0.3">
      <c r="A2383" s="678"/>
    </row>
    <row r="2384" spans="1:1" x14ac:dyDescent="0.3">
      <c r="A2384" s="678"/>
    </row>
    <row r="2385" spans="1:1" x14ac:dyDescent="0.3">
      <c r="A2385" s="678"/>
    </row>
    <row r="2386" spans="1:1" x14ac:dyDescent="0.3">
      <c r="A2386" s="678"/>
    </row>
    <row r="2387" spans="1:1" x14ac:dyDescent="0.3">
      <c r="A2387" s="678"/>
    </row>
    <row r="2388" spans="1:1" x14ac:dyDescent="0.3">
      <c r="A2388" s="678"/>
    </row>
    <row r="2389" spans="1:1" x14ac:dyDescent="0.3">
      <c r="A2389" s="678"/>
    </row>
    <row r="2390" spans="1:1" x14ac:dyDescent="0.3">
      <c r="A2390" s="678"/>
    </row>
    <row r="2391" spans="1:1" x14ac:dyDescent="0.3">
      <c r="A2391" s="678"/>
    </row>
    <row r="2392" spans="1:1" x14ac:dyDescent="0.3">
      <c r="A2392" s="678"/>
    </row>
    <row r="2393" spans="1:1" x14ac:dyDescent="0.3">
      <c r="A2393" s="678"/>
    </row>
    <row r="2394" spans="1:1" x14ac:dyDescent="0.3">
      <c r="A2394" s="678"/>
    </row>
    <row r="2395" spans="1:1" x14ac:dyDescent="0.3">
      <c r="A2395" s="678"/>
    </row>
    <row r="2396" spans="1:1" x14ac:dyDescent="0.3">
      <c r="A2396" s="678"/>
    </row>
    <row r="2397" spans="1:1" x14ac:dyDescent="0.3">
      <c r="A2397" s="678"/>
    </row>
    <row r="2398" spans="1:1" x14ac:dyDescent="0.3">
      <c r="A2398" s="678"/>
    </row>
    <row r="2399" spans="1:1" x14ac:dyDescent="0.3">
      <c r="A2399" s="678"/>
    </row>
    <row r="2400" spans="1:1" x14ac:dyDescent="0.3">
      <c r="A2400" s="678"/>
    </row>
    <row r="2401" spans="1:1" x14ac:dyDescent="0.3">
      <c r="A2401" s="678"/>
    </row>
    <row r="2402" spans="1:1" x14ac:dyDescent="0.3">
      <c r="A2402" s="678"/>
    </row>
    <row r="2403" spans="1:1" x14ac:dyDescent="0.3">
      <c r="A2403" s="678"/>
    </row>
    <row r="2404" spans="1:1" x14ac:dyDescent="0.3">
      <c r="A2404" s="678"/>
    </row>
    <row r="2405" spans="1:1" x14ac:dyDescent="0.3">
      <c r="A2405" s="678"/>
    </row>
    <row r="2406" spans="1:1" x14ac:dyDescent="0.3">
      <c r="A2406" s="678"/>
    </row>
    <row r="2407" spans="1:1" x14ac:dyDescent="0.3">
      <c r="A2407" s="678"/>
    </row>
    <row r="2408" spans="1:1" x14ac:dyDescent="0.3">
      <c r="A2408" s="678"/>
    </row>
    <row r="2409" spans="1:1" x14ac:dyDescent="0.3">
      <c r="A2409" s="678"/>
    </row>
    <row r="2410" spans="1:1" x14ac:dyDescent="0.3">
      <c r="A2410" s="678"/>
    </row>
    <row r="2411" spans="1:1" x14ac:dyDescent="0.3">
      <c r="A2411" s="678"/>
    </row>
    <row r="2412" spans="1:1" x14ac:dyDescent="0.3">
      <c r="A2412" s="678"/>
    </row>
    <row r="2413" spans="1:1" x14ac:dyDescent="0.3">
      <c r="A2413" s="678"/>
    </row>
    <row r="2414" spans="1:1" x14ac:dyDescent="0.3">
      <c r="A2414" s="678"/>
    </row>
    <row r="2415" spans="1:1" x14ac:dyDescent="0.3">
      <c r="A2415" s="678"/>
    </row>
    <row r="2416" spans="1:1" x14ac:dyDescent="0.3">
      <c r="A2416" s="678"/>
    </row>
    <row r="2417" spans="1:1" x14ac:dyDescent="0.3">
      <c r="A2417" s="678"/>
    </row>
    <row r="2418" spans="1:1" x14ac:dyDescent="0.3">
      <c r="A2418" s="678"/>
    </row>
    <row r="2419" spans="1:1" x14ac:dyDescent="0.3">
      <c r="A2419" s="678"/>
    </row>
    <row r="2420" spans="1:1" x14ac:dyDescent="0.3">
      <c r="A2420" s="678"/>
    </row>
    <row r="2421" spans="1:1" x14ac:dyDescent="0.3">
      <c r="A2421" s="678"/>
    </row>
    <row r="2422" spans="1:1" x14ac:dyDescent="0.3">
      <c r="A2422" s="678"/>
    </row>
    <row r="2423" spans="1:1" x14ac:dyDescent="0.3">
      <c r="A2423" s="678"/>
    </row>
    <row r="2424" spans="1:1" x14ac:dyDescent="0.3">
      <c r="A2424" s="678"/>
    </row>
    <row r="2425" spans="1:1" x14ac:dyDescent="0.3">
      <c r="A2425" s="678"/>
    </row>
    <row r="2426" spans="1:1" x14ac:dyDescent="0.3">
      <c r="A2426" s="678"/>
    </row>
    <row r="2427" spans="1:1" x14ac:dyDescent="0.3">
      <c r="A2427" s="678"/>
    </row>
    <row r="2428" spans="1:1" x14ac:dyDescent="0.3">
      <c r="A2428" s="678"/>
    </row>
    <row r="2429" spans="1:1" x14ac:dyDescent="0.3">
      <c r="A2429" s="678"/>
    </row>
    <row r="2430" spans="1:1" x14ac:dyDescent="0.3">
      <c r="A2430" s="678"/>
    </row>
    <row r="2431" spans="1:1" x14ac:dyDescent="0.3">
      <c r="A2431" s="678"/>
    </row>
    <row r="2432" spans="1:1" x14ac:dyDescent="0.3">
      <c r="A2432" s="678"/>
    </row>
    <row r="2433" spans="1:1" x14ac:dyDescent="0.3">
      <c r="A2433" s="678"/>
    </row>
    <row r="2434" spans="1:1" x14ac:dyDescent="0.3">
      <c r="A2434" s="678"/>
    </row>
    <row r="2435" spans="1:1" x14ac:dyDescent="0.3">
      <c r="A2435" s="678"/>
    </row>
    <row r="2436" spans="1:1" x14ac:dyDescent="0.3">
      <c r="A2436" s="678"/>
    </row>
    <row r="2437" spans="1:1" x14ac:dyDescent="0.3">
      <c r="A2437" s="678"/>
    </row>
    <row r="2438" spans="1:1" x14ac:dyDescent="0.3">
      <c r="A2438" s="678"/>
    </row>
    <row r="2439" spans="1:1" x14ac:dyDescent="0.3">
      <c r="A2439" s="678"/>
    </row>
    <row r="2440" spans="1:1" x14ac:dyDescent="0.3">
      <c r="A2440" s="678"/>
    </row>
    <row r="2441" spans="1:1" x14ac:dyDescent="0.3">
      <c r="A2441" s="678"/>
    </row>
    <row r="2442" spans="1:1" x14ac:dyDescent="0.3">
      <c r="A2442" s="678"/>
    </row>
    <row r="2443" spans="1:1" x14ac:dyDescent="0.3">
      <c r="A2443" s="678"/>
    </row>
    <row r="2444" spans="1:1" x14ac:dyDescent="0.3">
      <c r="A2444" s="678"/>
    </row>
    <row r="2445" spans="1:1" x14ac:dyDescent="0.3">
      <c r="A2445" s="678"/>
    </row>
    <row r="2446" spans="1:1" x14ac:dyDescent="0.3">
      <c r="A2446" s="678"/>
    </row>
    <row r="2447" spans="1:1" x14ac:dyDescent="0.3">
      <c r="A2447" s="678"/>
    </row>
    <row r="2448" spans="1:1" x14ac:dyDescent="0.3">
      <c r="A2448" s="678"/>
    </row>
    <row r="2449" spans="1:1" x14ac:dyDescent="0.3">
      <c r="A2449" s="678"/>
    </row>
    <row r="2450" spans="1:1" x14ac:dyDescent="0.3">
      <c r="A2450" s="678"/>
    </row>
    <row r="2451" spans="1:1" x14ac:dyDescent="0.3">
      <c r="A2451" s="678"/>
    </row>
    <row r="2452" spans="1:1" x14ac:dyDescent="0.3">
      <c r="A2452" s="678"/>
    </row>
    <row r="2453" spans="1:1" x14ac:dyDescent="0.3">
      <c r="A2453" s="678"/>
    </row>
    <row r="2454" spans="1:1" x14ac:dyDescent="0.3">
      <c r="A2454" s="678"/>
    </row>
    <row r="2455" spans="1:1" x14ac:dyDescent="0.3">
      <c r="A2455" s="678"/>
    </row>
    <row r="2456" spans="1:1" x14ac:dyDescent="0.3">
      <c r="A2456" s="678"/>
    </row>
    <row r="2457" spans="1:1" x14ac:dyDescent="0.3">
      <c r="A2457" s="678"/>
    </row>
    <row r="2458" spans="1:1" x14ac:dyDescent="0.3">
      <c r="A2458" s="678"/>
    </row>
    <row r="2459" spans="1:1" x14ac:dyDescent="0.3">
      <c r="A2459" s="678"/>
    </row>
    <row r="2460" spans="1:1" x14ac:dyDescent="0.3">
      <c r="A2460" s="678"/>
    </row>
    <row r="2461" spans="1:1" x14ac:dyDescent="0.3">
      <c r="A2461" s="678"/>
    </row>
    <row r="2462" spans="1:1" x14ac:dyDescent="0.3">
      <c r="A2462" s="678"/>
    </row>
    <row r="2463" spans="1:1" x14ac:dyDescent="0.3">
      <c r="A2463" s="678"/>
    </row>
    <row r="2464" spans="1:1" x14ac:dyDescent="0.3">
      <c r="A2464" s="678"/>
    </row>
    <row r="2465" spans="1:1" x14ac:dyDescent="0.3">
      <c r="A2465" s="678"/>
    </row>
    <row r="2466" spans="1:1" x14ac:dyDescent="0.3">
      <c r="A2466" s="678"/>
    </row>
    <row r="2467" spans="1:1" x14ac:dyDescent="0.3">
      <c r="A2467" s="678"/>
    </row>
    <row r="2468" spans="1:1" x14ac:dyDescent="0.3">
      <c r="A2468" s="678"/>
    </row>
    <row r="2469" spans="1:1" x14ac:dyDescent="0.3">
      <c r="A2469" s="678"/>
    </row>
    <row r="2470" spans="1:1" x14ac:dyDescent="0.3">
      <c r="A2470" s="678"/>
    </row>
    <row r="2471" spans="1:1" x14ac:dyDescent="0.3">
      <c r="A2471" s="678"/>
    </row>
    <row r="2472" spans="1:1" x14ac:dyDescent="0.3">
      <c r="A2472" s="678"/>
    </row>
    <row r="2473" spans="1:1" x14ac:dyDescent="0.3">
      <c r="A2473" s="678"/>
    </row>
    <row r="2474" spans="1:1" x14ac:dyDescent="0.3">
      <c r="A2474" s="678"/>
    </row>
    <row r="2475" spans="1:1" x14ac:dyDescent="0.3">
      <c r="A2475" s="678"/>
    </row>
    <row r="2476" spans="1:1" x14ac:dyDescent="0.3">
      <c r="A2476" s="678"/>
    </row>
    <row r="2477" spans="1:1" x14ac:dyDescent="0.3">
      <c r="A2477" s="678"/>
    </row>
    <row r="2478" spans="1:1" x14ac:dyDescent="0.3">
      <c r="A2478" s="678"/>
    </row>
    <row r="2479" spans="1:1" x14ac:dyDescent="0.3">
      <c r="A2479" s="678"/>
    </row>
    <row r="2480" spans="1:1" x14ac:dyDescent="0.3">
      <c r="A2480" s="678"/>
    </row>
    <row r="2481" spans="1:1" x14ac:dyDescent="0.3">
      <c r="A2481" s="678"/>
    </row>
    <row r="2482" spans="1:1" x14ac:dyDescent="0.3">
      <c r="A2482" s="678"/>
    </row>
    <row r="2483" spans="1:1" x14ac:dyDescent="0.3">
      <c r="A2483" s="678"/>
    </row>
    <row r="2484" spans="1:1" x14ac:dyDescent="0.3">
      <c r="A2484" s="678"/>
    </row>
    <row r="2485" spans="1:1" x14ac:dyDescent="0.3">
      <c r="A2485" s="678"/>
    </row>
    <row r="2486" spans="1:1" x14ac:dyDescent="0.3">
      <c r="A2486" s="678"/>
    </row>
    <row r="2487" spans="1:1" x14ac:dyDescent="0.3">
      <c r="A2487" s="678"/>
    </row>
    <row r="2488" spans="1:1" x14ac:dyDescent="0.3">
      <c r="A2488" s="678"/>
    </row>
    <row r="2489" spans="1:1" x14ac:dyDescent="0.3">
      <c r="A2489" s="678"/>
    </row>
    <row r="2490" spans="1:1" x14ac:dyDescent="0.3">
      <c r="A2490" s="678"/>
    </row>
    <row r="2491" spans="1:1" x14ac:dyDescent="0.3">
      <c r="A2491" s="678"/>
    </row>
    <row r="2492" spans="1:1" x14ac:dyDescent="0.3">
      <c r="A2492" s="678"/>
    </row>
    <row r="2493" spans="1:1" x14ac:dyDescent="0.3">
      <c r="A2493" s="678"/>
    </row>
    <row r="2494" spans="1:1" x14ac:dyDescent="0.3">
      <c r="A2494" s="678"/>
    </row>
    <row r="2495" spans="1:1" x14ac:dyDescent="0.3">
      <c r="A2495" s="678"/>
    </row>
    <row r="2496" spans="1:1" x14ac:dyDescent="0.3">
      <c r="A2496" s="678"/>
    </row>
    <row r="2497" spans="1:1" x14ac:dyDescent="0.3">
      <c r="A2497" s="678"/>
    </row>
    <row r="2498" spans="1:1" x14ac:dyDescent="0.3">
      <c r="A2498" s="678"/>
    </row>
    <row r="2499" spans="1:1" x14ac:dyDescent="0.3">
      <c r="A2499" s="678"/>
    </row>
    <row r="2500" spans="1:1" x14ac:dyDescent="0.3">
      <c r="A2500" s="678"/>
    </row>
    <row r="2501" spans="1:1" x14ac:dyDescent="0.3">
      <c r="A2501" s="678"/>
    </row>
    <row r="2502" spans="1:1" x14ac:dyDescent="0.3">
      <c r="A2502" s="678"/>
    </row>
    <row r="2503" spans="1:1" x14ac:dyDescent="0.3">
      <c r="A2503" s="678"/>
    </row>
    <row r="2504" spans="1:1" x14ac:dyDescent="0.3">
      <c r="A2504" s="678"/>
    </row>
    <row r="2505" spans="1:1" x14ac:dyDescent="0.3">
      <c r="A2505" s="678"/>
    </row>
    <row r="2506" spans="1:1" x14ac:dyDescent="0.3">
      <c r="A2506" s="678"/>
    </row>
    <row r="2507" spans="1:1" x14ac:dyDescent="0.3">
      <c r="A2507" s="678"/>
    </row>
    <row r="2508" spans="1:1" x14ac:dyDescent="0.3">
      <c r="A2508" s="678"/>
    </row>
    <row r="2509" spans="1:1" x14ac:dyDescent="0.3">
      <c r="A2509" s="678"/>
    </row>
    <row r="2510" spans="1:1" x14ac:dyDescent="0.3">
      <c r="A2510" s="678"/>
    </row>
    <row r="2511" spans="1:1" x14ac:dyDescent="0.3">
      <c r="A2511" s="678"/>
    </row>
    <row r="2512" spans="1:1" x14ac:dyDescent="0.3">
      <c r="A2512" s="678"/>
    </row>
    <row r="2513" spans="1:1" x14ac:dyDescent="0.3">
      <c r="A2513" s="678"/>
    </row>
    <row r="2514" spans="1:1" x14ac:dyDescent="0.3">
      <c r="A2514" s="678"/>
    </row>
    <row r="2515" spans="1:1" x14ac:dyDescent="0.3">
      <c r="A2515" s="678"/>
    </row>
    <row r="2516" spans="1:1" x14ac:dyDescent="0.3">
      <c r="A2516" s="678"/>
    </row>
    <row r="2517" spans="1:1" x14ac:dyDescent="0.3">
      <c r="A2517" s="678"/>
    </row>
    <row r="2518" spans="1:1" x14ac:dyDescent="0.3">
      <c r="A2518" s="678"/>
    </row>
    <row r="2519" spans="1:1" x14ac:dyDescent="0.3">
      <c r="A2519" s="678"/>
    </row>
    <row r="2520" spans="1:1" x14ac:dyDescent="0.3">
      <c r="A2520" s="678"/>
    </row>
    <row r="2521" spans="1:1" x14ac:dyDescent="0.3">
      <c r="A2521" s="678"/>
    </row>
    <row r="2522" spans="1:1" x14ac:dyDescent="0.3">
      <c r="A2522" s="678"/>
    </row>
    <row r="2523" spans="1:1" x14ac:dyDescent="0.3">
      <c r="A2523" s="678"/>
    </row>
    <row r="2524" spans="1:1" x14ac:dyDescent="0.3">
      <c r="A2524" s="678"/>
    </row>
    <row r="2525" spans="1:1" x14ac:dyDescent="0.3">
      <c r="A2525" s="678"/>
    </row>
    <row r="2526" spans="1:1" x14ac:dyDescent="0.3">
      <c r="A2526" s="678"/>
    </row>
    <row r="2527" spans="1:1" x14ac:dyDescent="0.3">
      <c r="A2527" s="678"/>
    </row>
    <row r="2528" spans="1:1" x14ac:dyDescent="0.3">
      <c r="A2528" s="678"/>
    </row>
    <row r="2529" spans="1:1" x14ac:dyDescent="0.3">
      <c r="A2529" s="678"/>
    </row>
    <row r="2530" spans="1:1" x14ac:dyDescent="0.3">
      <c r="A2530" s="678"/>
    </row>
    <row r="2531" spans="1:1" x14ac:dyDescent="0.3">
      <c r="A2531" s="678"/>
    </row>
    <row r="2532" spans="1:1" x14ac:dyDescent="0.3">
      <c r="A2532" s="678"/>
    </row>
    <row r="2533" spans="1:1" x14ac:dyDescent="0.3">
      <c r="A2533" s="678"/>
    </row>
    <row r="2534" spans="1:1" x14ac:dyDescent="0.3">
      <c r="A2534" s="678"/>
    </row>
    <row r="2535" spans="1:1" x14ac:dyDescent="0.3">
      <c r="A2535" s="678"/>
    </row>
    <row r="2536" spans="1:1" x14ac:dyDescent="0.3">
      <c r="A2536" s="678"/>
    </row>
    <row r="2537" spans="1:1" x14ac:dyDescent="0.3">
      <c r="A2537" s="678"/>
    </row>
    <row r="2538" spans="1:1" x14ac:dyDescent="0.3">
      <c r="A2538" s="678"/>
    </row>
    <row r="2539" spans="1:1" x14ac:dyDescent="0.3">
      <c r="A2539" s="678"/>
    </row>
    <row r="2540" spans="1:1" x14ac:dyDescent="0.3">
      <c r="A2540" s="678"/>
    </row>
    <row r="2541" spans="1:1" x14ac:dyDescent="0.3">
      <c r="A2541" s="678"/>
    </row>
    <row r="2542" spans="1:1" x14ac:dyDescent="0.3">
      <c r="A2542" s="678"/>
    </row>
    <row r="2543" spans="1:1" x14ac:dyDescent="0.3">
      <c r="A2543" s="678"/>
    </row>
    <row r="2544" spans="1:1" x14ac:dyDescent="0.3">
      <c r="A2544" s="678"/>
    </row>
    <row r="2545" spans="1:1" x14ac:dyDescent="0.3">
      <c r="A2545" s="678"/>
    </row>
    <row r="2546" spans="1:1" x14ac:dyDescent="0.3">
      <c r="A2546" s="678"/>
    </row>
    <row r="2547" spans="1:1" x14ac:dyDescent="0.3">
      <c r="A2547" s="678"/>
    </row>
    <row r="2548" spans="1:1" x14ac:dyDescent="0.3">
      <c r="A2548" s="678"/>
    </row>
    <row r="2549" spans="1:1" x14ac:dyDescent="0.3">
      <c r="A2549" s="678"/>
    </row>
    <row r="2550" spans="1:1" x14ac:dyDescent="0.3">
      <c r="A2550" s="678"/>
    </row>
    <row r="2551" spans="1:1" x14ac:dyDescent="0.3">
      <c r="A2551" s="678"/>
    </row>
    <row r="2552" spans="1:1" x14ac:dyDescent="0.3">
      <c r="A2552" s="678"/>
    </row>
    <row r="2553" spans="1:1" x14ac:dyDescent="0.3">
      <c r="A2553" s="678"/>
    </row>
    <row r="2554" spans="1:1" x14ac:dyDescent="0.3">
      <c r="A2554" s="678"/>
    </row>
    <row r="2555" spans="1:1" x14ac:dyDescent="0.3">
      <c r="A2555" s="678"/>
    </row>
    <row r="2556" spans="1:1" x14ac:dyDescent="0.3">
      <c r="A2556" s="678"/>
    </row>
    <row r="2557" spans="1:1" x14ac:dyDescent="0.3">
      <c r="A2557" s="678"/>
    </row>
    <row r="2558" spans="1:1" x14ac:dyDescent="0.3">
      <c r="A2558" s="678"/>
    </row>
    <row r="2559" spans="1:1" x14ac:dyDescent="0.3">
      <c r="A2559" s="678"/>
    </row>
    <row r="2560" spans="1:1" x14ac:dyDescent="0.3">
      <c r="A2560" s="678"/>
    </row>
    <row r="2561" spans="1:1" x14ac:dyDescent="0.3">
      <c r="A2561" s="678"/>
    </row>
    <row r="2562" spans="1:1" x14ac:dyDescent="0.3">
      <c r="A2562" s="678"/>
    </row>
    <row r="2563" spans="1:1" x14ac:dyDescent="0.3">
      <c r="A2563" s="678"/>
    </row>
    <row r="2564" spans="1:1" x14ac:dyDescent="0.3">
      <c r="A2564" s="678"/>
    </row>
    <row r="2565" spans="1:1" x14ac:dyDescent="0.3">
      <c r="A2565" s="678"/>
    </row>
    <row r="2566" spans="1:1" x14ac:dyDescent="0.3">
      <c r="A2566" s="678"/>
    </row>
    <row r="2567" spans="1:1" x14ac:dyDescent="0.3">
      <c r="A2567" s="678"/>
    </row>
    <row r="2568" spans="1:1" x14ac:dyDescent="0.3">
      <c r="A2568" s="678"/>
    </row>
    <row r="2569" spans="1:1" x14ac:dyDescent="0.3">
      <c r="A2569" s="678"/>
    </row>
    <row r="2570" spans="1:1" x14ac:dyDescent="0.3">
      <c r="A2570" s="678"/>
    </row>
    <row r="2571" spans="1:1" x14ac:dyDescent="0.3">
      <c r="A2571" s="678"/>
    </row>
    <row r="2572" spans="1:1" x14ac:dyDescent="0.3">
      <c r="A2572" s="678"/>
    </row>
    <row r="2573" spans="1:1" x14ac:dyDescent="0.3">
      <c r="A2573" s="678"/>
    </row>
    <row r="2574" spans="1:1" x14ac:dyDescent="0.3">
      <c r="A2574" s="678"/>
    </row>
    <row r="2575" spans="1:1" x14ac:dyDescent="0.3">
      <c r="A2575" s="678"/>
    </row>
    <row r="2576" spans="1:1" x14ac:dyDescent="0.3">
      <c r="A2576" s="678"/>
    </row>
    <row r="2577" spans="1:1" x14ac:dyDescent="0.3">
      <c r="A2577" s="678"/>
    </row>
    <row r="2578" spans="1:1" x14ac:dyDescent="0.3">
      <c r="A2578" s="678"/>
    </row>
    <row r="2579" spans="1:1" x14ac:dyDescent="0.3">
      <c r="A2579" s="678"/>
    </row>
    <row r="2580" spans="1:1" x14ac:dyDescent="0.3">
      <c r="A2580" s="678"/>
    </row>
    <row r="2581" spans="1:1" x14ac:dyDescent="0.3">
      <c r="A2581" s="678"/>
    </row>
    <row r="2582" spans="1:1" x14ac:dyDescent="0.3">
      <c r="A2582" s="678"/>
    </row>
    <row r="2583" spans="1:1" x14ac:dyDescent="0.3">
      <c r="A2583" s="678"/>
    </row>
    <row r="2584" spans="1:1" x14ac:dyDescent="0.3">
      <c r="A2584" s="678"/>
    </row>
    <row r="2585" spans="1:1" x14ac:dyDescent="0.3">
      <c r="A2585" s="678"/>
    </row>
    <row r="2586" spans="1:1" x14ac:dyDescent="0.3">
      <c r="A2586" s="678"/>
    </row>
    <row r="2587" spans="1:1" x14ac:dyDescent="0.3">
      <c r="A2587" s="678"/>
    </row>
    <row r="2588" spans="1:1" x14ac:dyDescent="0.3">
      <c r="A2588" s="678"/>
    </row>
    <row r="2589" spans="1:1" x14ac:dyDescent="0.3">
      <c r="A2589" s="678"/>
    </row>
    <row r="2590" spans="1:1" x14ac:dyDescent="0.3">
      <c r="A2590" s="678"/>
    </row>
    <row r="2591" spans="1:1" x14ac:dyDescent="0.3">
      <c r="A2591" s="678"/>
    </row>
    <row r="2592" spans="1:1" x14ac:dyDescent="0.3">
      <c r="A2592" s="678"/>
    </row>
    <row r="2593" spans="1:1" x14ac:dyDescent="0.3">
      <c r="A2593" s="678"/>
    </row>
    <row r="2594" spans="1:1" x14ac:dyDescent="0.3">
      <c r="A2594" s="678"/>
    </row>
    <row r="2595" spans="1:1" x14ac:dyDescent="0.3">
      <c r="A2595" s="678"/>
    </row>
    <row r="2596" spans="1:1" x14ac:dyDescent="0.3">
      <c r="A2596" s="678"/>
    </row>
    <row r="2597" spans="1:1" x14ac:dyDescent="0.3">
      <c r="A2597" s="678"/>
    </row>
    <row r="2598" spans="1:1" x14ac:dyDescent="0.3">
      <c r="A2598" s="678"/>
    </row>
    <row r="2599" spans="1:1" x14ac:dyDescent="0.3">
      <c r="A2599" s="678"/>
    </row>
    <row r="2600" spans="1:1" x14ac:dyDescent="0.3">
      <c r="A2600" s="678"/>
    </row>
    <row r="2601" spans="1:1" x14ac:dyDescent="0.3">
      <c r="A2601" s="678"/>
    </row>
    <row r="2602" spans="1:1" x14ac:dyDescent="0.3">
      <c r="A2602" s="678"/>
    </row>
    <row r="2603" spans="1:1" x14ac:dyDescent="0.3">
      <c r="A2603" s="678"/>
    </row>
    <row r="2604" spans="1:1" x14ac:dyDescent="0.3">
      <c r="A2604" s="678"/>
    </row>
    <row r="2605" spans="1:1" x14ac:dyDescent="0.3">
      <c r="A2605" s="678"/>
    </row>
    <row r="2606" spans="1:1" x14ac:dyDescent="0.3">
      <c r="A2606" s="678"/>
    </row>
    <row r="2607" spans="1:1" x14ac:dyDescent="0.3">
      <c r="A2607" s="678"/>
    </row>
    <row r="2608" spans="1:1" x14ac:dyDescent="0.3">
      <c r="A2608" s="678"/>
    </row>
    <row r="2609" spans="1:1" x14ac:dyDescent="0.3">
      <c r="A2609" s="678"/>
    </row>
    <row r="2610" spans="1:1" x14ac:dyDescent="0.3">
      <c r="A2610" s="678"/>
    </row>
    <row r="2611" spans="1:1" x14ac:dyDescent="0.3">
      <c r="A2611" s="678"/>
    </row>
    <row r="2612" spans="1:1" x14ac:dyDescent="0.3">
      <c r="A2612" s="678"/>
    </row>
    <row r="2613" spans="1:1" x14ac:dyDescent="0.3">
      <c r="A2613" s="678"/>
    </row>
    <row r="2614" spans="1:1" x14ac:dyDescent="0.3">
      <c r="A2614" s="678"/>
    </row>
    <row r="2615" spans="1:1" x14ac:dyDescent="0.3">
      <c r="A2615" s="678"/>
    </row>
    <row r="2616" spans="1:1" x14ac:dyDescent="0.3">
      <c r="A2616" s="678"/>
    </row>
    <row r="2617" spans="1:1" x14ac:dyDescent="0.3">
      <c r="A2617" s="678"/>
    </row>
    <row r="2618" spans="1:1" x14ac:dyDescent="0.3">
      <c r="A2618" s="678"/>
    </row>
    <row r="2619" spans="1:1" x14ac:dyDescent="0.3">
      <c r="A2619" s="678"/>
    </row>
    <row r="2620" spans="1:1" x14ac:dyDescent="0.3">
      <c r="A2620" s="678"/>
    </row>
    <row r="2621" spans="1:1" x14ac:dyDescent="0.3">
      <c r="A2621" s="678"/>
    </row>
    <row r="2622" spans="1:1" x14ac:dyDescent="0.3">
      <c r="A2622" s="678"/>
    </row>
    <row r="2623" spans="1:1" x14ac:dyDescent="0.3">
      <c r="A2623" s="678"/>
    </row>
    <row r="2624" spans="1:1" x14ac:dyDescent="0.3">
      <c r="A2624" s="678"/>
    </row>
    <row r="2625" spans="1:1" x14ac:dyDescent="0.3">
      <c r="A2625" s="678"/>
    </row>
    <row r="2626" spans="1:1" x14ac:dyDescent="0.3">
      <c r="A2626" s="678"/>
    </row>
    <row r="2627" spans="1:1" x14ac:dyDescent="0.3">
      <c r="A2627" s="678"/>
    </row>
    <row r="2628" spans="1:1" x14ac:dyDescent="0.3">
      <c r="A2628" s="678"/>
    </row>
    <row r="2629" spans="1:1" x14ac:dyDescent="0.3">
      <c r="A2629" s="678"/>
    </row>
    <row r="2630" spans="1:1" x14ac:dyDescent="0.3">
      <c r="A2630" s="678"/>
    </row>
    <row r="2631" spans="1:1" x14ac:dyDescent="0.3">
      <c r="A2631" s="678"/>
    </row>
    <row r="2632" spans="1:1" x14ac:dyDescent="0.3">
      <c r="A2632" s="678"/>
    </row>
    <row r="2633" spans="1:1" x14ac:dyDescent="0.3">
      <c r="A2633" s="678"/>
    </row>
    <row r="2634" spans="1:1" x14ac:dyDescent="0.3">
      <c r="A2634" s="678"/>
    </row>
    <row r="2635" spans="1:1" x14ac:dyDescent="0.3">
      <c r="A2635" s="678"/>
    </row>
    <row r="2636" spans="1:1" x14ac:dyDescent="0.3">
      <c r="A2636" s="678"/>
    </row>
    <row r="2637" spans="1:1" x14ac:dyDescent="0.3">
      <c r="A2637" s="678"/>
    </row>
    <row r="2638" spans="1:1" x14ac:dyDescent="0.3">
      <c r="A2638" s="678"/>
    </row>
    <row r="2639" spans="1:1" x14ac:dyDescent="0.3">
      <c r="A2639" s="678"/>
    </row>
    <row r="2640" spans="1:1" x14ac:dyDescent="0.3">
      <c r="A2640" s="678"/>
    </row>
    <row r="2641" spans="1:1" x14ac:dyDescent="0.3">
      <c r="A2641" s="678"/>
    </row>
    <row r="2642" spans="1:1" x14ac:dyDescent="0.3">
      <c r="A2642" s="678"/>
    </row>
    <row r="2643" spans="1:1" x14ac:dyDescent="0.3">
      <c r="A2643" s="678"/>
    </row>
    <row r="2644" spans="1:1" x14ac:dyDescent="0.3">
      <c r="A2644" s="678"/>
    </row>
    <row r="2645" spans="1:1" x14ac:dyDescent="0.3">
      <c r="A2645" s="678"/>
    </row>
    <row r="2646" spans="1:1" x14ac:dyDescent="0.3">
      <c r="A2646" s="678"/>
    </row>
    <row r="2647" spans="1:1" x14ac:dyDescent="0.3">
      <c r="A2647" s="678"/>
    </row>
    <row r="2648" spans="1:1" x14ac:dyDescent="0.3">
      <c r="A2648" s="678"/>
    </row>
    <row r="2649" spans="1:1" x14ac:dyDescent="0.3">
      <c r="A2649" s="678"/>
    </row>
    <row r="2650" spans="1:1" x14ac:dyDescent="0.3">
      <c r="A2650" s="678"/>
    </row>
    <row r="2651" spans="1:1" x14ac:dyDescent="0.3">
      <c r="A2651" s="678"/>
    </row>
    <row r="2652" spans="1:1" x14ac:dyDescent="0.3">
      <c r="A2652" s="678"/>
    </row>
    <row r="2653" spans="1:1" x14ac:dyDescent="0.3">
      <c r="A2653" s="678"/>
    </row>
    <row r="2654" spans="1:1" x14ac:dyDescent="0.3">
      <c r="A2654" s="678"/>
    </row>
    <row r="2655" spans="1:1" x14ac:dyDescent="0.3">
      <c r="A2655" s="678"/>
    </row>
    <row r="2656" spans="1:1" x14ac:dyDescent="0.3">
      <c r="A2656" s="678"/>
    </row>
    <row r="2657" spans="1:1" x14ac:dyDescent="0.3">
      <c r="A2657" s="678"/>
    </row>
    <row r="2658" spans="1:1" x14ac:dyDescent="0.3">
      <c r="A2658" s="678"/>
    </row>
    <row r="2659" spans="1:1" x14ac:dyDescent="0.3">
      <c r="A2659" s="678"/>
    </row>
    <row r="2660" spans="1:1" x14ac:dyDescent="0.3">
      <c r="A2660" s="678"/>
    </row>
    <row r="2661" spans="1:1" x14ac:dyDescent="0.3">
      <c r="A2661" s="678"/>
    </row>
    <row r="2662" spans="1:1" x14ac:dyDescent="0.3">
      <c r="A2662" s="678"/>
    </row>
    <row r="2663" spans="1:1" x14ac:dyDescent="0.3">
      <c r="A2663" s="678"/>
    </row>
    <row r="2664" spans="1:1" x14ac:dyDescent="0.3">
      <c r="A2664" s="678"/>
    </row>
    <row r="2665" spans="1:1" x14ac:dyDescent="0.3">
      <c r="A2665" s="678"/>
    </row>
    <row r="2666" spans="1:1" x14ac:dyDescent="0.3">
      <c r="A2666" s="678"/>
    </row>
    <row r="2667" spans="1:1" x14ac:dyDescent="0.3">
      <c r="A2667" s="678"/>
    </row>
    <row r="2668" spans="1:1" x14ac:dyDescent="0.3">
      <c r="A2668" s="678"/>
    </row>
    <row r="2669" spans="1:1" x14ac:dyDescent="0.3">
      <c r="A2669" s="678"/>
    </row>
    <row r="2670" spans="1:1" x14ac:dyDescent="0.3">
      <c r="A2670" s="678"/>
    </row>
    <row r="2671" spans="1:1" x14ac:dyDescent="0.3">
      <c r="A2671" s="678"/>
    </row>
    <row r="2672" spans="1:1" x14ac:dyDescent="0.3">
      <c r="A2672" s="678"/>
    </row>
    <row r="2673" spans="1:1" x14ac:dyDescent="0.3">
      <c r="A2673" s="678"/>
    </row>
    <row r="2674" spans="1:1" x14ac:dyDescent="0.3">
      <c r="A2674" s="678"/>
    </row>
    <row r="2675" spans="1:1" x14ac:dyDescent="0.3">
      <c r="A2675" s="678"/>
    </row>
    <row r="2676" spans="1:1" x14ac:dyDescent="0.3">
      <c r="A2676" s="678"/>
    </row>
    <row r="2677" spans="1:1" x14ac:dyDescent="0.3">
      <c r="A2677" s="678"/>
    </row>
    <row r="2678" spans="1:1" x14ac:dyDescent="0.3">
      <c r="A2678" s="678"/>
    </row>
    <row r="2679" spans="1:1" x14ac:dyDescent="0.3">
      <c r="A2679" s="678"/>
    </row>
    <row r="2680" spans="1:1" x14ac:dyDescent="0.3">
      <c r="A2680" s="678"/>
    </row>
    <row r="2681" spans="1:1" x14ac:dyDescent="0.3">
      <c r="A2681" s="678"/>
    </row>
    <row r="2682" spans="1:1" x14ac:dyDescent="0.3">
      <c r="A2682" s="678"/>
    </row>
    <row r="2683" spans="1:1" x14ac:dyDescent="0.3">
      <c r="A2683" s="678"/>
    </row>
    <row r="2684" spans="1:1" x14ac:dyDescent="0.3">
      <c r="A2684" s="678"/>
    </row>
    <row r="2685" spans="1:1" x14ac:dyDescent="0.3">
      <c r="A2685" s="678"/>
    </row>
    <row r="2686" spans="1:1" x14ac:dyDescent="0.3">
      <c r="A2686" s="678"/>
    </row>
    <row r="2687" spans="1:1" x14ac:dyDescent="0.3">
      <c r="A2687" s="678"/>
    </row>
    <row r="2688" spans="1:1" x14ac:dyDescent="0.3">
      <c r="A2688" s="678"/>
    </row>
    <row r="2689" spans="1:1" x14ac:dyDescent="0.3">
      <c r="A2689" s="678"/>
    </row>
    <row r="2690" spans="1:1" x14ac:dyDescent="0.3">
      <c r="A2690" s="678"/>
    </row>
    <row r="2691" spans="1:1" x14ac:dyDescent="0.3">
      <c r="A2691" s="678"/>
    </row>
    <row r="2692" spans="1:1" x14ac:dyDescent="0.3">
      <c r="A2692" s="678"/>
    </row>
    <row r="2693" spans="1:1" x14ac:dyDescent="0.3">
      <c r="A2693" s="678"/>
    </row>
    <row r="2694" spans="1:1" x14ac:dyDescent="0.3">
      <c r="A2694" s="678"/>
    </row>
    <row r="2695" spans="1:1" x14ac:dyDescent="0.3">
      <c r="A2695" s="678"/>
    </row>
    <row r="2696" spans="1:1" x14ac:dyDescent="0.3">
      <c r="A2696" s="678"/>
    </row>
    <row r="2697" spans="1:1" x14ac:dyDescent="0.3">
      <c r="A2697" s="678"/>
    </row>
    <row r="2698" spans="1:1" x14ac:dyDescent="0.3">
      <c r="A2698" s="678"/>
    </row>
    <row r="2699" spans="1:1" x14ac:dyDescent="0.3">
      <c r="A2699" s="678"/>
    </row>
    <row r="2700" spans="1:1" x14ac:dyDescent="0.3">
      <c r="A2700" s="678"/>
    </row>
    <row r="2701" spans="1:1" x14ac:dyDescent="0.3">
      <c r="A2701" s="678"/>
    </row>
    <row r="2702" spans="1:1" x14ac:dyDescent="0.3">
      <c r="A2702" s="678"/>
    </row>
    <row r="2703" spans="1:1" x14ac:dyDescent="0.3">
      <c r="A2703" s="678"/>
    </row>
    <row r="2704" spans="1:1" x14ac:dyDescent="0.3">
      <c r="A2704" s="678"/>
    </row>
    <row r="2705" spans="1:1" x14ac:dyDescent="0.3">
      <c r="A2705" s="678"/>
    </row>
    <row r="2706" spans="1:1" x14ac:dyDescent="0.3">
      <c r="A2706" s="678"/>
    </row>
    <row r="2707" spans="1:1" x14ac:dyDescent="0.3">
      <c r="A2707" s="678"/>
    </row>
    <row r="2708" spans="1:1" x14ac:dyDescent="0.3">
      <c r="A2708" s="678"/>
    </row>
    <row r="2709" spans="1:1" x14ac:dyDescent="0.3">
      <c r="A2709" s="678"/>
    </row>
    <row r="2710" spans="1:1" x14ac:dyDescent="0.3">
      <c r="A2710" s="678"/>
    </row>
    <row r="2711" spans="1:1" x14ac:dyDescent="0.3">
      <c r="A2711" s="678"/>
    </row>
    <row r="2712" spans="1:1" x14ac:dyDescent="0.3">
      <c r="A2712" s="678"/>
    </row>
    <row r="2713" spans="1:1" x14ac:dyDescent="0.3">
      <c r="A2713" s="678"/>
    </row>
    <row r="2714" spans="1:1" x14ac:dyDescent="0.3">
      <c r="A2714" s="678"/>
    </row>
    <row r="2715" spans="1:1" x14ac:dyDescent="0.3">
      <c r="A2715" s="678"/>
    </row>
    <row r="2716" spans="1:1" x14ac:dyDescent="0.3">
      <c r="A2716" s="678"/>
    </row>
    <row r="2717" spans="1:1" x14ac:dyDescent="0.3">
      <c r="A2717" s="678"/>
    </row>
    <row r="2718" spans="1:1" x14ac:dyDescent="0.3">
      <c r="A2718" s="678"/>
    </row>
    <row r="2719" spans="1:1" x14ac:dyDescent="0.3">
      <c r="A2719" s="678"/>
    </row>
    <row r="2720" spans="1:1" x14ac:dyDescent="0.3">
      <c r="A2720" s="678"/>
    </row>
    <row r="2721" spans="1:1" x14ac:dyDescent="0.3">
      <c r="A2721" s="678"/>
    </row>
    <row r="2722" spans="1:1" x14ac:dyDescent="0.3">
      <c r="A2722" s="678"/>
    </row>
    <row r="2723" spans="1:1" x14ac:dyDescent="0.3">
      <c r="A2723" s="678"/>
    </row>
    <row r="2724" spans="1:1" x14ac:dyDescent="0.3">
      <c r="A2724" s="678"/>
    </row>
    <row r="2725" spans="1:1" x14ac:dyDescent="0.3">
      <c r="A2725" s="678"/>
    </row>
    <row r="2726" spans="1:1" x14ac:dyDescent="0.3">
      <c r="A2726" s="678"/>
    </row>
    <row r="2727" spans="1:1" x14ac:dyDescent="0.3">
      <c r="A2727" s="678"/>
    </row>
    <row r="2728" spans="1:1" x14ac:dyDescent="0.3">
      <c r="A2728" s="678"/>
    </row>
    <row r="2729" spans="1:1" x14ac:dyDescent="0.3">
      <c r="A2729" s="678"/>
    </row>
    <row r="2730" spans="1:1" x14ac:dyDescent="0.3">
      <c r="A2730" s="678"/>
    </row>
    <row r="2731" spans="1:1" x14ac:dyDescent="0.3">
      <c r="A2731" s="678"/>
    </row>
    <row r="2732" spans="1:1" x14ac:dyDescent="0.3">
      <c r="A2732" s="678"/>
    </row>
    <row r="2733" spans="1:1" x14ac:dyDescent="0.3">
      <c r="A2733" s="678"/>
    </row>
    <row r="2734" spans="1:1" x14ac:dyDescent="0.3">
      <c r="A2734" s="678"/>
    </row>
    <row r="2735" spans="1:1" x14ac:dyDescent="0.3">
      <c r="A2735" s="678"/>
    </row>
    <row r="2736" spans="1:1" x14ac:dyDescent="0.3">
      <c r="A2736" s="678"/>
    </row>
    <row r="2737" spans="1:1" x14ac:dyDescent="0.3">
      <c r="A2737" s="678"/>
    </row>
    <row r="2738" spans="1:1" x14ac:dyDescent="0.3">
      <c r="A2738" s="678"/>
    </row>
    <row r="2739" spans="1:1" x14ac:dyDescent="0.3">
      <c r="A2739" s="678"/>
    </row>
    <row r="2740" spans="1:1" x14ac:dyDescent="0.3">
      <c r="A2740" s="678"/>
    </row>
    <row r="2741" spans="1:1" x14ac:dyDescent="0.3">
      <c r="A2741" s="678"/>
    </row>
    <row r="2742" spans="1:1" x14ac:dyDescent="0.3">
      <c r="A2742" s="678"/>
    </row>
    <row r="2743" spans="1:1" x14ac:dyDescent="0.3">
      <c r="A2743" s="678"/>
    </row>
    <row r="2744" spans="1:1" x14ac:dyDescent="0.3">
      <c r="A2744" s="678"/>
    </row>
    <row r="2745" spans="1:1" x14ac:dyDescent="0.3">
      <c r="A2745" s="678"/>
    </row>
    <row r="2746" spans="1:1" x14ac:dyDescent="0.3">
      <c r="A2746" s="678"/>
    </row>
    <row r="2747" spans="1:1" x14ac:dyDescent="0.3">
      <c r="A2747" s="678"/>
    </row>
    <row r="2748" spans="1:1" x14ac:dyDescent="0.3">
      <c r="A2748" s="678"/>
    </row>
    <row r="2749" spans="1:1" x14ac:dyDescent="0.3">
      <c r="A2749" s="678"/>
    </row>
    <row r="2750" spans="1:1" x14ac:dyDescent="0.3">
      <c r="A2750" s="678"/>
    </row>
    <row r="2751" spans="1:1" x14ac:dyDescent="0.3">
      <c r="A2751" s="678"/>
    </row>
    <row r="2752" spans="1:1" x14ac:dyDescent="0.3">
      <c r="A2752" s="678"/>
    </row>
    <row r="2753" spans="1:1" x14ac:dyDescent="0.3">
      <c r="A2753" s="678"/>
    </row>
    <row r="2754" spans="1:1" x14ac:dyDescent="0.3">
      <c r="A2754" s="678"/>
    </row>
    <row r="2755" spans="1:1" x14ac:dyDescent="0.3">
      <c r="A2755" s="678"/>
    </row>
    <row r="2756" spans="1:1" x14ac:dyDescent="0.3">
      <c r="A2756" s="678"/>
    </row>
    <row r="2757" spans="1:1" x14ac:dyDescent="0.3">
      <c r="A2757" s="678"/>
    </row>
    <row r="2758" spans="1:1" x14ac:dyDescent="0.3">
      <c r="A2758" s="678"/>
    </row>
    <row r="2759" spans="1:1" x14ac:dyDescent="0.3">
      <c r="A2759" s="678"/>
    </row>
    <row r="2760" spans="1:1" x14ac:dyDescent="0.3">
      <c r="A2760" s="678"/>
    </row>
    <row r="2761" spans="1:1" x14ac:dyDescent="0.3">
      <c r="A2761" s="678"/>
    </row>
    <row r="2762" spans="1:1" x14ac:dyDescent="0.3">
      <c r="A2762" s="678"/>
    </row>
    <row r="2763" spans="1:1" x14ac:dyDescent="0.3">
      <c r="A2763" s="678"/>
    </row>
    <row r="2764" spans="1:1" x14ac:dyDescent="0.3">
      <c r="A2764" s="678"/>
    </row>
    <row r="2765" spans="1:1" x14ac:dyDescent="0.3">
      <c r="A2765" s="678"/>
    </row>
    <row r="2766" spans="1:1" x14ac:dyDescent="0.3">
      <c r="A2766" s="678"/>
    </row>
    <row r="2767" spans="1:1" x14ac:dyDescent="0.3">
      <c r="A2767" s="678"/>
    </row>
    <row r="2768" spans="1:1" x14ac:dyDescent="0.3">
      <c r="A2768" s="678"/>
    </row>
    <row r="2769" spans="1:1" x14ac:dyDescent="0.3">
      <c r="A2769" s="678"/>
    </row>
    <row r="2770" spans="1:1" x14ac:dyDescent="0.3">
      <c r="A2770" s="678"/>
    </row>
    <row r="2771" spans="1:1" x14ac:dyDescent="0.3">
      <c r="A2771" s="678"/>
    </row>
    <row r="2772" spans="1:1" x14ac:dyDescent="0.3">
      <c r="A2772" s="678"/>
    </row>
    <row r="2773" spans="1:1" x14ac:dyDescent="0.3">
      <c r="A2773" s="678"/>
    </row>
    <row r="2774" spans="1:1" x14ac:dyDescent="0.3">
      <c r="A2774" s="678"/>
    </row>
    <row r="2775" spans="1:1" x14ac:dyDescent="0.3">
      <c r="A2775" s="678"/>
    </row>
    <row r="2776" spans="1:1" x14ac:dyDescent="0.3">
      <c r="A2776" s="678"/>
    </row>
    <row r="2777" spans="1:1" x14ac:dyDescent="0.3">
      <c r="A2777" s="678"/>
    </row>
    <row r="2778" spans="1:1" x14ac:dyDescent="0.3">
      <c r="A2778" s="678"/>
    </row>
    <row r="2779" spans="1:1" x14ac:dyDescent="0.3">
      <c r="A2779" s="678"/>
    </row>
    <row r="2780" spans="1:1" x14ac:dyDescent="0.3">
      <c r="A2780" s="678"/>
    </row>
    <row r="2781" spans="1:1" x14ac:dyDescent="0.3">
      <c r="A2781" s="678"/>
    </row>
    <row r="2782" spans="1:1" x14ac:dyDescent="0.3">
      <c r="A2782" s="678"/>
    </row>
    <row r="2783" spans="1:1" x14ac:dyDescent="0.3">
      <c r="A2783" s="678"/>
    </row>
    <row r="2784" spans="1:1" x14ac:dyDescent="0.3">
      <c r="A2784" s="678"/>
    </row>
    <row r="2785" spans="1:1" x14ac:dyDescent="0.3">
      <c r="A2785" s="678"/>
    </row>
    <row r="2786" spans="1:1" x14ac:dyDescent="0.3">
      <c r="A2786" s="678"/>
    </row>
    <row r="2787" spans="1:1" x14ac:dyDescent="0.3">
      <c r="A2787" s="678"/>
    </row>
    <row r="2788" spans="1:1" x14ac:dyDescent="0.3">
      <c r="A2788" s="678"/>
    </row>
    <row r="2789" spans="1:1" x14ac:dyDescent="0.3">
      <c r="A2789" s="678"/>
    </row>
    <row r="2790" spans="1:1" x14ac:dyDescent="0.3">
      <c r="A2790" s="678"/>
    </row>
    <row r="2791" spans="1:1" x14ac:dyDescent="0.3">
      <c r="A2791" s="678"/>
    </row>
    <row r="2792" spans="1:1" x14ac:dyDescent="0.3">
      <c r="A2792" s="678"/>
    </row>
    <row r="2793" spans="1:1" x14ac:dyDescent="0.3">
      <c r="A2793" s="678"/>
    </row>
    <row r="2794" spans="1:1" x14ac:dyDescent="0.3">
      <c r="A2794" s="678"/>
    </row>
    <row r="2795" spans="1:1" x14ac:dyDescent="0.3">
      <c r="A2795" s="678"/>
    </row>
    <row r="2796" spans="1:1" x14ac:dyDescent="0.3">
      <c r="A2796" s="678"/>
    </row>
    <row r="2797" spans="1:1" x14ac:dyDescent="0.3">
      <c r="A2797" s="678"/>
    </row>
    <row r="2798" spans="1:1" x14ac:dyDescent="0.3">
      <c r="A2798" s="678"/>
    </row>
    <row r="2799" spans="1:1" x14ac:dyDescent="0.3">
      <c r="A2799" s="678"/>
    </row>
    <row r="2800" spans="1:1" x14ac:dyDescent="0.3">
      <c r="A2800" s="678"/>
    </row>
    <row r="2801" spans="1:1" x14ac:dyDescent="0.3">
      <c r="A2801" s="678"/>
    </row>
    <row r="2802" spans="1:1" x14ac:dyDescent="0.3">
      <c r="A2802" s="678"/>
    </row>
    <row r="2803" spans="1:1" x14ac:dyDescent="0.3">
      <c r="A2803" s="678"/>
    </row>
    <row r="2804" spans="1:1" x14ac:dyDescent="0.3">
      <c r="A2804" s="678"/>
    </row>
    <row r="2805" spans="1:1" x14ac:dyDescent="0.3">
      <c r="A2805" s="678"/>
    </row>
    <row r="2806" spans="1:1" x14ac:dyDescent="0.3">
      <c r="A2806" s="678"/>
    </row>
    <row r="2807" spans="1:1" x14ac:dyDescent="0.3">
      <c r="A2807" s="678"/>
    </row>
    <row r="2808" spans="1:1" x14ac:dyDescent="0.3">
      <c r="A2808" s="678"/>
    </row>
    <row r="2809" spans="1:1" x14ac:dyDescent="0.3">
      <c r="A2809" s="678"/>
    </row>
    <row r="2810" spans="1:1" x14ac:dyDescent="0.3">
      <c r="A2810" s="678"/>
    </row>
    <row r="2811" spans="1:1" x14ac:dyDescent="0.3">
      <c r="A2811" s="678"/>
    </row>
    <row r="2812" spans="1:1" x14ac:dyDescent="0.3">
      <c r="A2812" s="678"/>
    </row>
    <row r="2813" spans="1:1" x14ac:dyDescent="0.3">
      <c r="A2813" s="678"/>
    </row>
    <row r="2814" spans="1:1" x14ac:dyDescent="0.3">
      <c r="A2814" s="678"/>
    </row>
    <row r="2815" spans="1:1" x14ac:dyDescent="0.3">
      <c r="A2815" s="678"/>
    </row>
    <row r="2816" spans="1:1" x14ac:dyDescent="0.3">
      <c r="A2816" s="678"/>
    </row>
    <row r="2817" spans="1:1" x14ac:dyDescent="0.3">
      <c r="A2817" s="678"/>
    </row>
    <row r="2818" spans="1:1" x14ac:dyDescent="0.3">
      <c r="A2818" s="678"/>
    </row>
    <row r="2819" spans="1:1" x14ac:dyDescent="0.3">
      <c r="A2819" s="678"/>
    </row>
    <row r="2820" spans="1:1" x14ac:dyDescent="0.3">
      <c r="A2820" s="678"/>
    </row>
    <row r="2821" spans="1:1" x14ac:dyDescent="0.3">
      <c r="A2821" s="678"/>
    </row>
    <row r="2822" spans="1:1" x14ac:dyDescent="0.3">
      <c r="A2822" s="678"/>
    </row>
    <row r="2823" spans="1:1" x14ac:dyDescent="0.3">
      <c r="A2823" s="678"/>
    </row>
    <row r="2824" spans="1:1" x14ac:dyDescent="0.3">
      <c r="A2824" s="678"/>
    </row>
    <row r="2825" spans="1:1" x14ac:dyDescent="0.3">
      <c r="A2825" s="678"/>
    </row>
    <row r="2826" spans="1:1" x14ac:dyDescent="0.3">
      <c r="A2826" s="678"/>
    </row>
    <row r="2827" spans="1:1" x14ac:dyDescent="0.3">
      <c r="A2827" s="678"/>
    </row>
    <row r="2828" spans="1:1" x14ac:dyDescent="0.3">
      <c r="A2828" s="678"/>
    </row>
    <row r="2829" spans="1:1" x14ac:dyDescent="0.3">
      <c r="A2829" s="678"/>
    </row>
    <row r="2830" spans="1:1" x14ac:dyDescent="0.3">
      <c r="A2830" s="678"/>
    </row>
    <row r="2831" spans="1:1" x14ac:dyDescent="0.3">
      <c r="A2831" s="678"/>
    </row>
    <row r="2832" spans="1:1" x14ac:dyDescent="0.3">
      <c r="A2832" s="678"/>
    </row>
    <row r="2833" spans="1:1" x14ac:dyDescent="0.3">
      <c r="A2833" s="678"/>
    </row>
    <row r="2834" spans="1:1" x14ac:dyDescent="0.3">
      <c r="A2834" s="678"/>
    </row>
    <row r="2835" spans="1:1" x14ac:dyDescent="0.3">
      <c r="A2835" s="678"/>
    </row>
    <row r="2836" spans="1:1" x14ac:dyDescent="0.3">
      <c r="A2836" s="678"/>
    </row>
    <row r="2837" spans="1:1" x14ac:dyDescent="0.3">
      <c r="A2837" s="678"/>
    </row>
    <row r="2838" spans="1:1" x14ac:dyDescent="0.3">
      <c r="A2838" s="678"/>
    </row>
    <row r="2839" spans="1:1" x14ac:dyDescent="0.3">
      <c r="A2839" s="678"/>
    </row>
    <row r="2840" spans="1:1" x14ac:dyDescent="0.3">
      <c r="A2840" s="678"/>
    </row>
    <row r="2841" spans="1:1" x14ac:dyDescent="0.3">
      <c r="A2841" s="678"/>
    </row>
    <row r="2842" spans="1:1" x14ac:dyDescent="0.3">
      <c r="A2842" s="678"/>
    </row>
    <row r="2843" spans="1:1" x14ac:dyDescent="0.3">
      <c r="A2843" s="678"/>
    </row>
    <row r="2844" spans="1:1" x14ac:dyDescent="0.3">
      <c r="A2844" s="678"/>
    </row>
    <row r="2845" spans="1:1" x14ac:dyDescent="0.3">
      <c r="A2845" s="678"/>
    </row>
    <row r="2846" spans="1:1" x14ac:dyDescent="0.3">
      <c r="A2846" s="678"/>
    </row>
    <row r="2847" spans="1:1" x14ac:dyDescent="0.3">
      <c r="A2847" s="678"/>
    </row>
    <row r="2848" spans="1:1" x14ac:dyDescent="0.3">
      <c r="A2848" s="678"/>
    </row>
    <row r="2849" spans="1:1" x14ac:dyDescent="0.3">
      <c r="A2849" s="678"/>
    </row>
    <row r="2850" spans="1:1" x14ac:dyDescent="0.3">
      <c r="A2850" s="678"/>
    </row>
    <row r="2851" spans="1:1" x14ac:dyDescent="0.3">
      <c r="A2851" s="678"/>
    </row>
    <row r="2852" spans="1:1" x14ac:dyDescent="0.3">
      <c r="A2852" s="678"/>
    </row>
    <row r="2853" spans="1:1" x14ac:dyDescent="0.3">
      <c r="A2853" s="678"/>
    </row>
    <row r="2854" spans="1:1" x14ac:dyDescent="0.3">
      <c r="A2854" s="678"/>
    </row>
    <row r="2855" spans="1:1" x14ac:dyDescent="0.3">
      <c r="A2855" s="678"/>
    </row>
    <row r="2856" spans="1:1" x14ac:dyDescent="0.3">
      <c r="A2856" s="678"/>
    </row>
    <row r="2857" spans="1:1" x14ac:dyDescent="0.3">
      <c r="A2857" s="678"/>
    </row>
    <row r="2858" spans="1:1" x14ac:dyDescent="0.3">
      <c r="A2858" s="678"/>
    </row>
    <row r="2859" spans="1:1" x14ac:dyDescent="0.3">
      <c r="A2859" s="678"/>
    </row>
    <row r="2860" spans="1:1" x14ac:dyDescent="0.3">
      <c r="A2860" s="678"/>
    </row>
    <row r="2861" spans="1:1" x14ac:dyDescent="0.3">
      <c r="A2861" s="678"/>
    </row>
    <row r="2862" spans="1:1" x14ac:dyDescent="0.3">
      <c r="A2862" s="678"/>
    </row>
    <row r="2863" spans="1:1" x14ac:dyDescent="0.3">
      <c r="A2863" s="678"/>
    </row>
    <row r="2864" spans="1:1" x14ac:dyDescent="0.3">
      <c r="A2864" s="678"/>
    </row>
    <row r="2865" spans="1:1" x14ac:dyDescent="0.3">
      <c r="A2865" s="678"/>
    </row>
    <row r="2866" spans="1:1" x14ac:dyDescent="0.3">
      <c r="A2866" s="678"/>
    </row>
    <row r="2867" spans="1:1" x14ac:dyDescent="0.3">
      <c r="A2867" s="678"/>
    </row>
    <row r="2868" spans="1:1" x14ac:dyDescent="0.3">
      <c r="A2868" s="678"/>
    </row>
    <row r="2869" spans="1:1" x14ac:dyDescent="0.3">
      <c r="A2869" s="678"/>
    </row>
    <row r="2870" spans="1:1" x14ac:dyDescent="0.3">
      <c r="A2870" s="678"/>
    </row>
    <row r="2871" spans="1:1" x14ac:dyDescent="0.3">
      <c r="A2871" s="678"/>
    </row>
    <row r="2872" spans="1:1" x14ac:dyDescent="0.3">
      <c r="A2872" s="678"/>
    </row>
    <row r="2873" spans="1:1" x14ac:dyDescent="0.3">
      <c r="A2873" s="678"/>
    </row>
    <row r="2874" spans="1:1" x14ac:dyDescent="0.3">
      <c r="A2874" s="678"/>
    </row>
    <row r="2875" spans="1:1" x14ac:dyDescent="0.3">
      <c r="A2875" s="678"/>
    </row>
    <row r="2876" spans="1:1" x14ac:dyDescent="0.3">
      <c r="A2876" s="678"/>
    </row>
    <row r="2877" spans="1:1" x14ac:dyDescent="0.3">
      <c r="A2877" s="678"/>
    </row>
    <row r="2878" spans="1:1" x14ac:dyDescent="0.3">
      <c r="A2878" s="678"/>
    </row>
    <row r="2879" spans="1:1" x14ac:dyDescent="0.3">
      <c r="A2879" s="678"/>
    </row>
    <row r="2880" spans="1:1" x14ac:dyDescent="0.3">
      <c r="A2880" s="678"/>
    </row>
    <row r="2881" spans="1:1" x14ac:dyDescent="0.3">
      <c r="A2881" s="678"/>
    </row>
    <row r="2882" spans="1:1" x14ac:dyDescent="0.3">
      <c r="A2882" s="678"/>
    </row>
    <row r="2883" spans="1:1" x14ac:dyDescent="0.3">
      <c r="A2883" s="678"/>
    </row>
    <row r="2884" spans="1:1" x14ac:dyDescent="0.3">
      <c r="A2884" s="678"/>
    </row>
    <row r="2885" spans="1:1" x14ac:dyDescent="0.3">
      <c r="A2885" s="678"/>
    </row>
    <row r="2886" spans="1:1" x14ac:dyDescent="0.3">
      <c r="A2886" s="678"/>
    </row>
    <row r="2887" spans="1:1" x14ac:dyDescent="0.3">
      <c r="A2887" s="678"/>
    </row>
    <row r="2888" spans="1:1" x14ac:dyDescent="0.3">
      <c r="A2888" s="678"/>
    </row>
    <row r="2889" spans="1:1" x14ac:dyDescent="0.3">
      <c r="A2889" s="678"/>
    </row>
    <row r="2890" spans="1:1" x14ac:dyDescent="0.3">
      <c r="A2890" s="678"/>
    </row>
    <row r="2891" spans="1:1" x14ac:dyDescent="0.3">
      <c r="A2891" s="678"/>
    </row>
    <row r="2892" spans="1:1" x14ac:dyDescent="0.3">
      <c r="A2892" s="678"/>
    </row>
    <row r="2893" spans="1:1" x14ac:dyDescent="0.3">
      <c r="A2893" s="678"/>
    </row>
    <row r="2894" spans="1:1" x14ac:dyDescent="0.3">
      <c r="A2894" s="678"/>
    </row>
    <row r="2895" spans="1:1" x14ac:dyDescent="0.3">
      <c r="A2895" s="678"/>
    </row>
    <row r="2896" spans="1:1" x14ac:dyDescent="0.3">
      <c r="A2896" s="678"/>
    </row>
    <row r="2897" spans="1:1" x14ac:dyDescent="0.3">
      <c r="A2897" s="678"/>
    </row>
    <row r="2898" spans="1:1" x14ac:dyDescent="0.3">
      <c r="A2898" s="678"/>
    </row>
    <row r="2899" spans="1:1" x14ac:dyDescent="0.3">
      <c r="A2899" s="678"/>
    </row>
    <row r="2900" spans="1:1" x14ac:dyDescent="0.3">
      <c r="A2900" s="678"/>
    </row>
    <row r="2901" spans="1:1" x14ac:dyDescent="0.3">
      <c r="A2901" s="678"/>
    </row>
    <row r="2902" spans="1:1" x14ac:dyDescent="0.3">
      <c r="A2902" s="678"/>
    </row>
    <row r="2903" spans="1:1" x14ac:dyDescent="0.3">
      <c r="A2903" s="678"/>
    </row>
    <row r="2904" spans="1:1" x14ac:dyDescent="0.3">
      <c r="A2904" s="678"/>
    </row>
    <row r="2905" spans="1:1" x14ac:dyDescent="0.3">
      <c r="A2905" s="678"/>
    </row>
    <row r="2906" spans="1:1" x14ac:dyDescent="0.3">
      <c r="A2906" s="678"/>
    </row>
    <row r="2907" spans="1:1" x14ac:dyDescent="0.3">
      <c r="A2907" s="678"/>
    </row>
    <row r="2908" spans="1:1" x14ac:dyDescent="0.3">
      <c r="A2908" s="678"/>
    </row>
    <row r="2909" spans="1:1" x14ac:dyDescent="0.3">
      <c r="A2909" s="678"/>
    </row>
    <row r="2910" spans="1:1" x14ac:dyDescent="0.3">
      <c r="A2910" s="678"/>
    </row>
    <row r="2911" spans="1:1" x14ac:dyDescent="0.3">
      <c r="A2911" s="678"/>
    </row>
    <row r="2912" spans="1:1" x14ac:dyDescent="0.3">
      <c r="A2912" s="678"/>
    </row>
    <row r="2913" spans="1:1" x14ac:dyDescent="0.3">
      <c r="A2913" s="678"/>
    </row>
    <row r="2914" spans="1:1" x14ac:dyDescent="0.3">
      <c r="A2914" s="678"/>
    </row>
    <row r="2915" spans="1:1" x14ac:dyDescent="0.3">
      <c r="A2915" s="678"/>
    </row>
    <row r="2916" spans="1:1" x14ac:dyDescent="0.3">
      <c r="A2916" s="678"/>
    </row>
    <row r="2917" spans="1:1" x14ac:dyDescent="0.3">
      <c r="A2917" s="678"/>
    </row>
    <row r="2918" spans="1:1" x14ac:dyDescent="0.3">
      <c r="A2918" s="678"/>
    </row>
    <row r="2919" spans="1:1" x14ac:dyDescent="0.3">
      <c r="A2919" s="678"/>
    </row>
    <row r="2920" spans="1:1" x14ac:dyDescent="0.3">
      <c r="A2920" s="678"/>
    </row>
    <row r="2921" spans="1:1" x14ac:dyDescent="0.3">
      <c r="A2921" s="678"/>
    </row>
    <row r="2922" spans="1:1" x14ac:dyDescent="0.3">
      <c r="A2922" s="678"/>
    </row>
    <row r="2923" spans="1:1" x14ac:dyDescent="0.3">
      <c r="A2923" s="678"/>
    </row>
    <row r="2924" spans="1:1" x14ac:dyDescent="0.3">
      <c r="A2924" s="678"/>
    </row>
    <row r="2925" spans="1:1" x14ac:dyDescent="0.3">
      <c r="A2925" s="678"/>
    </row>
    <row r="2926" spans="1:1" x14ac:dyDescent="0.3">
      <c r="A2926" s="678"/>
    </row>
    <row r="2927" spans="1:1" x14ac:dyDescent="0.3">
      <c r="A2927" s="678"/>
    </row>
    <row r="2928" spans="1:1" x14ac:dyDescent="0.3">
      <c r="A2928" s="678"/>
    </row>
    <row r="2929" spans="1:1" x14ac:dyDescent="0.3">
      <c r="A2929" s="678"/>
    </row>
    <row r="2930" spans="1:1" x14ac:dyDescent="0.3">
      <c r="A2930" s="678"/>
    </row>
    <row r="2931" spans="1:1" x14ac:dyDescent="0.3">
      <c r="A2931" s="678"/>
    </row>
    <row r="2932" spans="1:1" x14ac:dyDescent="0.3">
      <c r="A2932" s="678"/>
    </row>
    <row r="2933" spans="1:1" x14ac:dyDescent="0.3">
      <c r="A2933" s="678"/>
    </row>
    <row r="2934" spans="1:1" x14ac:dyDescent="0.3">
      <c r="A2934" s="678"/>
    </row>
    <row r="2935" spans="1:1" x14ac:dyDescent="0.3">
      <c r="A2935" s="678"/>
    </row>
    <row r="2936" spans="1:1" x14ac:dyDescent="0.3">
      <c r="A2936" s="678"/>
    </row>
    <row r="2937" spans="1:1" x14ac:dyDescent="0.3">
      <c r="A2937" s="678"/>
    </row>
    <row r="2938" spans="1:1" x14ac:dyDescent="0.3">
      <c r="A2938" s="678"/>
    </row>
    <row r="2939" spans="1:1" x14ac:dyDescent="0.3">
      <c r="A2939" s="678"/>
    </row>
    <row r="2940" spans="1:1" x14ac:dyDescent="0.3">
      <c r="A2940" s="678"/>
    </row>
    <row r="2941" spans="1:1" x14ac:dyDescent="0.3">
      <c r="A2941" s="678"/>
    </row>
    <row r="2942" spans="1:1" x14ac:dyDescent="0.3">
      <c r="A2942" s="678"/>
    </row>
    <row r="2943" spans="1:1" x14ac:dyDescent="0.3">
      <c r="A2943" s="678"/>
    </row>
    <row r="2944" spans="1:1" x14ac:dyDescent="0.3">
      <c r="A2944" s="678"/>
    </row>
    <row r="2945" spans="1:1" x14ac:dyDescent="0.3">
      <c r="A2945" s="678"/>
    </row>
    <row r="2946" spans="1:1" x14ac:dyDescent="0.3">
      <c r="A2946" s="678"/>
    </row>
    <row r="2947" spans="1:1" x14ac:dyDescent="0.3">
      <c r="A2947" s="678"/>
    </row>
    <row r="2948" spans="1:1" x14ac:dyDescent="0.3">
      <c r="A2948" s="678"/>
    </row>
    <row r="2949" spans="1:1" x14ac:dyDescent="0.3">
      <c r="A2949" s="678"/>
    </row>
    <row r="2950" spans="1:1" x14ac:dyDescent="0.3">
      <c r="A2950" s="678"/>
    </row>
    <row r="2951" spans="1:1" x14ac:dyDescent="0.3">
      <c r="A2951" s="678"/>
    </row>
    <row r="2952" spans="1:1" x14ac:dyDescent="0.3">
      <c r="A2952" s="678"/>
    </row>
    <row r="2953" spans="1:1" x14ac:dyDescent="0.3">
      <c r="A2953" s="678"/>
    </row>
    <row r="2954" spans="1:1" x14ac:dyDescent="0.3">
      <c r="A2954" s="678"/>
    </row>
    <row r="2955" spans="1:1" x14ac:dyDescent="0.3">
      <c r="A2955" s="678"/>
    </row>
    <row r="2956" spans="1:1" x14ac:dyDescent="0.3">
      <c r="A2956" s="678"/>
    </row>
    <row r="2957" spans="1:1" x14ac:dyDescent="0.3">
      <c r="A2957" s="678"/>
    </row>
    <row r="2958" spans="1:1" x14ac:dyDescent="0.3">
      <c r="A2958" s="678"/>
    </row>
    <row r="2959" spans="1:1" x14ac:dyDescent="0.3">
      <c r="A2959" s="678"/>
    </row>
    <row r="2960" spans="1:1" x14ac:dyDescent="0.3">
      <c r="A2960" s="678"/>
    </row>
    <row r="2961" spans="1:1" x14ac:dyDescent="0.3">
      <c r="A2961" s="678"/>
    </row>
    <row r="2962" spans="1:1" x14ac:dyDescent="0.3">
      <c r="A2962" s="678"/>
    </row>
    <row r="2963" spans="1:1" x14ac:dyDescent="0.3">
      <c r="A2963" s="678"/>
    </row>
    <row r="2964" spans="1:1" x14ac:dyDescent="0.3">
      <c r="A2964" s="678"/>
    </row>
    <row r="2965" spans="1:1" x14ac:dyDescent="0.3">
      <c r="A2965" s="678"/>
    </row>
    <row r="2966" spans="1:1" x14ac:dyDescent="0.3">
      <c r="A2966" s="678"/>
    </row>
    <row r="2967" spans="1:1" x14ac:dyDescent="0.3">
      <c r="A2967" s="678"/>
    </row>
    <row r="2968" spans="1:1" x14ac:dyDescent="0.3">
      <c r="A2968" s="678"/>
    </row>
    <row r="2969" spans="1:1" x14ac:dyDescent="0.3">
      <c r="A2969" s="678"/>
    </row>
    <row r="2970" spans="1:1" x14ac:dyDescent="0.3">
      <c r="A2970" s="678"/>
    </row>
    <row r="2971" spans="1:1" x14ac:dyDescent="0.3">
      <c r="A2971" s="678"/>
    </row>
    <row r="2972" spans="1:1" x14ac:dyDescent="0.3">
      <c r="A2972" s="678"/>
    </row>
    <row r="2973" spans="1:1" x14ac:dyDescent="0.3">
      <c r="A2973" s="678"/>
    </row>
    <row r="2974" spans="1:1" x14ac:dyDescent="0.3">
      <c r="A2974" s="678"/>
    </row>
    <row r="2975" spans="1:1" x14ac:dyDescent="0.3">
      <c r="A2975" s="678"/>
    </row>
    <row r="2976" spans="1:1" x14ac:dyDescent="0.3">
      <c r="A2976" s="678"/>
    </row>
    <row r="2977" spans="1:1" x14ac:dyDescent="0.3">
      <c r="A2977" s="678"/>
    </row>
    <row r="2978" spans="1:1" x14ac:dyDescent="0.3">
      <c r="A2978" s="678"/>
    </row>
    <row r="2979" spans="1:1" x14ac:dyDescent="0.3">
      <c r="A2979" s="678"/>
    </row>
    <row r="2980" spans="1:1" x14ac:dyDescent="0.3">
      <c r="A2980" s="678"/>
    </row>
    <row r="2981" spans="1:1" x14ac:dyDescent="0.3">
      <c r="A2981" s="678"/>
    </row>
    <row r="2982" spans="1:1" x14ac:dyDescent="0.3">
      <c r="A2982" s="678"/>
    </row>
    <row r="2983" spans="1:1" x14ac:dyDescent="0.3">
      <c r="A2983" s="678"/>
    </row>
    <row r="2984" spans="1:1" x14ac:dyDescent="0.3">
      <c r="A2984" s="678"/>
    </row>
    <row r="2985" spans="1:1" x14ac:dyDescent="0.3">
      <c r="A2985" s="678"/>
    </row>
    <row r="2986" spans="1:1" x14ac:dyDescent="0.3">
      <c r="A2986" s="678"/>
    </row>
    <row r="2987" spans="1:1" x14ac:dyDescent="0.3">
      <c r="A2987" s="678"/>
    </row>
    <row r="2988" spans="1:1" x14ac:dyDescent="0.3">
      <c r="A2988" s="678"/>
    </row>
    <row r="2989" spans="1:1" x14ac:dyDescent="0.3">
      <c r="A2989" s="678"/>
    </row>
    <row r="2990" spans="1:1" x14ac:dyDescent="0.3">
      <c r="A2990" s="678"/>
    </row>
    <row r="2991" spans="1:1" x14ac:dyDescent="0.3">
      <c r="A2991" s="678"/>
    </row>
    <row r="2992" spans="1:1" x14ac:dyDescent="0.3">
      <c r="A2992" s="678"/>
    </row>
    <row r="2993" spans="1:1" x14ac:dyDescent="0.3">
      <c r="A2993" s="678"/>
    </row>
    <row r="2994" spans="1:1" x14ac:dyDescent="0.3">
      <c r="A2994" s="678"/>
    </row>
    <row r="2995" spans="1:1" x14ac:dyDescent="0.3">
      <c r="A2995" s="678"/>
    </row>
    <row r="2996" spans="1:1" x14ac:dyDescent="0.3">
      <c r="A2996" s="678"/>
    </row>
    <row r="2997" spans="1:1" x14ac:dyDescent="0.3">
      <c r="A2997" s="678"/>
    </row>
    <row r="2998" spans="1:1" x14ac:dyDescent="0.3">
      <c r="A2998" s="678"/>
    </row>
    <row r="2999" spans="1:1" x14ac:dyDescent="0.3">
      <c r="A2999" s="678"/>
    </row>
    <row r="3000" spans="1:1" x14ac:dyDescent="0.3">
      <c r="A3000" s="678"/>
    </row>
    <row r="3001" spans="1:1" x14ac:dyDescent="0.3">
      <c r="A3001" s="678"/>
    </row>
    <row r="3002" spans="1:1" x14ac:dyDescent="0.3">
      <c r="A3002" s="678"/>
    </row>
    <row r="3003" spans="1:1" x14ac:dyDescent="0.3">
      <c r="A3003" s="678"/>
    </row>
    <row r="3004" spans="1:1" x14ac:dyDescent="0.3">
      <c r="A3004" s="678"/>
    </row>
    <row r="3005" spans="1:1" x14ac:dyDescent="0.3">
      <c r="A3005" s="678"/>
    </row>
    <row r="3006" spans="1:1" x14ac:dyDescent="0.3">
      <c r="A3006" s="678"/>
    </row>
    <row r="3007" spans="1:1" x14ac:dyDescent="0.3">
      <c r="A3007" s="678"/>
    </row>
    <row r="3008" spans="1:1" x14ac:dyDescent="0.3">
      <c r="A3008" s="678"/>
    </row>
    <row r="3009" spans="1:1" x14ac:dyDescent="0.3">
      <c r="A3009" s="678"/>
    </row>
    <row r="3010" spans="1:1" x14ac:dyDescent="0.3">
      <c r="A3010" s="678"/>
    </row>
    <row r="3011" spans="1:1" x14ac:dyDescent="0.3">
      <c r="A3011" s="678"/>
    </row>
    <row r="3012" spans="1:1" x14ac:dyDescent="0.3">
      <c r="A3012" s="678"/>
    </row>
    <row r="3013" spans="1:1" x14ac:dyDescent="0.3">
      <c r="A3013" s="678"/>
    </row>
    <row r="3014" spans="1:1" x14ac:dyDescent="0.3">
      <c r="A3014" s="678"/>
    </row>
    <row r="3015" spans="1:1" x14ac:dyDescent="0.3">
      <c r="A3015" s="678"/>
    </row>
    <row r="3016" spans="1:1" x14ac:dyDescent="0.3">
      <c r="A3016" s="678"/>
    </row>
    <row r="3017" spans="1:1" x14ac:dyDescent="0.3">
      <c r="A3017" s="678"/>
    </row>
    <row r="3018" spans="1:1" x14ac:dyDescent="0.3">
      <c r="A3018" s="678"/>
    </row>
    <row r="3019" spans="1:1" x14ac:dyDescent="0.3">
      <c r="A3019" s="678"/>
    </row>
    <row r="3020" spans="1:1" x14ac:dyDescent="0.3">
      <c r="A3020" s="678"/>
    </row>
    <row r="3021" spans="1:1" x14ac:dyDescent="0.3">
      <c r="A3021" s="678"/>
    </row>
    <row r="3022" spans="1:1" x14ac:dyDescent="0.3">
      <c r="A3022" s="678"/>
    </row>
    <row r="3023" spans="1:1" x14ac:dyDescent="0.3">
      <c r="A3023" s="678"/>
    </row>
    <row r="3024" spans="1:1" x14ac:dyDescent="0.3">
      <c r="A3024" s="678"/>
    </row>
    <row r="3025" spans="1:1" x14ac:dyDescent="0.3">
      <c r="A3025" s="678"/>
    </row>
    <row r="3026" spans="1:1" x14ac:dyDescent="0.3">
      <c r="A3026" s="678"/>
    </row>
    <row r="3027" spans="1:1" x14ac:dyDescent="0.3">
      <c r="A3027" s="678"/>
    </row>
    <row r="3028" spans="1:1" x14ac:dyDescent="0.3">
      <c r="A3028" s="678"/>
    </row>
    <row r="3029" spans="1:1" x14ac:dyDescent="0.3">
      <c r="A3029" s="678"/>
    </row>
    <row r="3030" spans="1:1" x14ac:dyDescent="0.3">
      <c r="A3030" s="678"/>
    </row>
    <row r="3031" spans="1:1" x14ac:dyDescent="0.3">
      <c r="A3031" s="678"/>
    </row>
    <row r="3032" spans="1:1" x14ac:dyDescent="0.3">
      <c r="A3032" s="678"/>
    </row>
    <row r="3033" spans="1:1" x14ac:dyDescent="0.3">
      <c r="A3033" s="678"/>
    </row>
    <row r="3034" spans="1:1" x14ac:dyDescent="0.3">
      <c r="A3034" s="678"/>
    </row>
    <row r="3035" spans="1:1" x14ac:dyDescent="0.3">
      <c r="A3035" s="678"/>
    </row>
    <row r="3036" spans="1:1" x14ac:dyDescent="0.3">
      <c r="A3036" s="678"/>
    </row>
    <row r="3037" spans="1:1" x14ac:dyDescent="0.3">
      <c r="A3037" s="678"/>
    </row>
    <row r="3038" spans="1:1" x14ac:dyDescent="0.3">
      <c r="A3038" s="678"/>
    </row>
    <row r="3039" spans="1:1" x14ac:dyDescent="0.3">
      <c r="A3039" s="678"/>
    </row>
    <row r="3040" spans="1:1" x14ac:dyDescent="0.3">
      <c r="A3040" s="678"/>
    </row>
    <row r="3041" spans="1:1" x14ac:dyDescent="0.3">
      <c r="A3041" s="678"/>
    </row>
    <row r="3042" spans="1:1" x14ac:dyDescent="0.3">
      <c r="A3042" s="678"/>
    </row>
    <row r="3043" spans="1:1" x14ac:dyDescent="0.3">
      <c r="A3043" s="678"/>
    </row>
    <row r="3044" spans="1:1" x14ac:dyDescent="0.3">
      <c r="A3044" s="678"/>
    </row>
    <row r="3045" spans="1:1" x14ac:dyDescent="0.3">
      <c r="A3045" s="678"/>
    </row>
    <row r="3046" spans="1:1" x14ac:dyDescent="0.3">
      <c r="A3046" s="678"/>
    </row>
    <row r="3047" spans="1:1" x14ac:dyDescent="0.3">
      <c r="A3047" s="678"/>
    </row>
    <row r="3048" spans="1:1" x14ac:dyDescent="0.3">
      <c r="A3048" s="678"/>
    </row>
    <row r="3049" spans="1:1" x14ac:dyDescent="0.3">
      <c r="A3049" s="678"/>
    </row>
    <row r="3050" spans="1:1" x14ac:dyDescent="0.3">
      <c r="A3050" s="678"/>
    </row>
    <row r="3051" spans="1:1" x14ac:dyDescent="0.3">
      <c r="A3051" s="678"/>
    </row>
    <row r="3052" spans="1:1" x14ac:dyDescent="0.3">
      <c r="A3052" s="678"/>
    </row>
    <row r="3053" spans="1:1" x14ac:dyDescent="0.3">
      <c r="A3053" s="678"/>
    </row>
    <row r="3054" spans="1:1" x14ac:dyDescent="0.3">
      <c r="A3054" s="678"/>
    </row>
    <row r="3055" spans="1:1" x14ac:dyDescent="0.3">
      <c r="A3055" s="678"/>
    </row>
    <row r="3056" spans="1:1" x14ac:dyDescent="0.3">
      <c r="A3056" s="678"/>
    </row>
    <row r="3057" spans="1:1" x14ac:dyDescent="0.3">
      <c r="A3057" s="678"/>
    </row>
    <row r="3058" spans="1:1" x14ac:dyDescent="0.3">
      <c r="A3058" s="678"/>
    </row>
    <row r="3059" spans="1:1" x14ac:dyDescent="0.3">
      <c r="A3059" s="678"/>
    </row>
    <row r="3060" spans="1:1" x14ac:dyDescent="0.3">
      <c r="A3060" s="678"/>
    </row>
    <row r="3061" spans="1:1" x14ac:dyDescent="0.3">
      <c r="A3061" s="678"/>
    </row>
    <row r="3062" spans="1:1" x14ac:dyDescent="0.3">
      <c r="A3062" s="678"/>
    </row>
    <row r="3063" spans="1:1" x14ac:dyDescent="0.3">
      <c r="A3063" s="678"/>
    </row>
    <row r="3064" spans="1:1" x14ac:dyDescent="0.3">
      <c r="A3064" s="678"/>
    </row>
    <row r="3065" spans="1:1" x14ac:dyDescent="0.3">
      <c r="A3065" s="678"/>
    </row>
    <row r="3066" spans="1:1" x14ac:dyDescent="0.3">
      <c r="A3066" s="678"/>
    </row>
    <row r="3067" spans="1:1" x14ac:dyDescent="0.3">
      <c r="A3067" s="678"/>
    </row>
    <row r="3068" spans="1:1" x14ac:dyDescent="0.3">
      <c r="A3068" s="678"/>
    </row>
    <row r="3069" spans="1:1" x14ac:dyDescent="0.3">
      <c r="A3069" s="678"/>
    </row>
    <row r="3070" spans="1:1" x14ac:dyDescent="0.3">
      <c r="A3070" s="678"/>
    </row>
    <row r="3071" spans="1:1" x14ac:dyDescent="0.3">
      <c r="A3071" s="678"/>
    </row>
    <row r="3072" spans="1:1" x14ac:dyDescent="0.3">
      <c r="A3072" s="678"/>
    </row>
    <row r="3073" spans="1:1" x14ac:dyDescent="0.3">
      <c r="A3073" s="678"/>
    </row>
    <row r="3074" spans="1:1" x14ac:dyDescent="0.3">
      <c r="A3074" s="678"/>
    </row>
    <row r="3075" spans="1:1" x14ac:dyDescent="0.3">
      <c r="A3075" s="678"/>
    </row>
    <row r="3076" spans="1:1" x14ac:dyDescent="0.3">
      <c r="A3076" s="678"/>
    </row>
    <row r="3077" spans="1:1" x14ac:dyDescent="0.3">
      <c r="A3077" s="678"/>
    </row>
    <row r="3078" spans="1:1" x14ac:dyDescent="0.3">
      <c r="A3078" s="678"/>
    </row>
    <row r="3079" spans="1:1" x14ac:dyDescent="0.3">
      <c r="A3079" s="678"/>
    </row>
    <row r="3080" spans="1:1" x14ac:dyDescent="0.3">
      <c r="A3080" s="678"/>
    </row>
    <row r="3081" spans="1:1" x14ac:dyDescent="0.3">
      <c r="A3081" s="678"/>
    </row>
    <row r="3082" spans="1:1" x14ac:dyDescent="0.3">
      <c r="A3082" s="678"/>
    </row>
    <row r="3083" spans="1:1" x14ac:dyDescent="0.3">
      <c r="A3083" s="678"/>
    </row>
    <row r="3084" spans="1:1" x14ac:dyDescent="0.3">
      <c r="A3084" s="678"/>
    </row>
    <row r="3085" spans="1:1" x14ac:dyDescent="0.3">
      <c r="A3085" s="678"/>
    </row>
    <row r="3086" spans="1:1" x14ac:dyDescent="0.3">
      <c r="A3086" s="678"/>
    </row>
    <row r="3087" spans="1:1" x14ac:dyDescent="0.3">
      <c r="A3087" s="678"/>
    </row>
    <row r="3088" spans="1:1" x14ac:dyDescent="0.3">
      <c r="A3088" s="678"/>
    </row>
    <row r="3089" spans="1:1" x14ac:dyDescent="0.3">
      <c r="A3089" s="678"/>
    </row>
    <row r="3090" spans="1:1" x14ac:dyDescent="0.3">
      <c r="A3090" s="678"/>
    </row>
    <row r="3091" spans="1:1" x14ac:dyDescent="0.3">
      <c r="A3091" s="678"/>
    </row>
    <row r="3092" spans="1:1" x14ac:dyDescent="0.3">
      <c r="A3092" s="678"/>
    </row>
    <row r="3093" spans="1:1" x14ac:dyDescent="0.3">
      <c r="A3093" s="678"/>
    </row>
    <row r="3094" spans="1:1" x14ac:dyDescent="0.3">
      <c r="A3094" s="678"/>
    </row>
    <row r="3095" spans="1:1" x14ac:dyDescent="0.3">
      <c r="A3095" s="678"/>
    </row>
    <row r="3096" spans="1:1" x14ac:dyDescent="0.3">
      <c r="A3096" s="678"/>
    </row>
    <row r="3097" spans="1:1" x14ac:dyDescent="0.3">
      <c r="A3097" s="678"/>
    </row>
    <row r="3098" spans="1:1" x14ac:dyDescent="0.3">
      <c r="A3098" s="678"/>
    </row>
    <row r="3099" spans="1:1" x14ac:dyDescent="0.3">
      <c r="A3099" s="678"/>
    </row>
    <row r="3100" spans="1:1" x14ac:dyDescent="0.3">
      <c r="A3100" s="678"/>
    </row>
    <row r="3101" spans="1:1" x14ac:dyDescent="0.3">
      <c r="A3101" s="678"/>
    </row>
    <row r="3102" spans="1:1" x14ac:dyDescent="0.3">
      <c r="A3102" s="678"/>
    </row>
    <row r="3103" spans="1:1" x14ac:dyDescent="0.3">
      <c r="A3103" s="678"/>
    </row>
    <row r="3104" spans="1:1" x14ac:dyDescent="0.3">
      <c r="A3104" s="678"/>
    </row>
    <row r="3105" spans="1:1" x14ac:dyDescent="0.3">
      <c r="A3105" s="678"/>
    </row>
    <row r="3106" spans="1:1" x14ac:dyDescent="0.3">
      <c r="A3106" s="678"/>
    </row>
    <row r="3107" spans="1:1" x14ac:dyDescent="0.3">
      <c r="A3107" s="678"/>
    </row>
    <row r="3108" spans="1:1" x14ac:dyDescent="0.3">
      <c r="A3108" s="678"/>
    </row>
    <row r="3109" spans="1:1" x14ac:dyDescent="0.3">
      <c r="A3109" s="678"/>
    </row>
    <row r="3110" spans="1:1" x14ac:dyDescent="0.3">
      <c r="A3110" s="678"/>
    </row>
    <row r="3111" spans="1:1" x14ac:dyDescent="0.3">
      <c r="A3111" s="678"/>
    </row>
    <row r="3112" spans="1:1" x14ac:dyDescent="0.3">
      <c r="A3112" s="678"/>
    </row>
    <row r="3113" spans="1:1" x14ac:dyDescent="0.3">
      <c r="A3113" s="678"/>
    </row>
    <row r="3114" spans="1:1" x14ac:dyDescent="0.3">
      <c r="A3114" s="678"/>
    </row>
    <row r="3115" spans="1:1" x14ac:dyDescent="0.3">
      <c r="A3115" s="678"/>
    </row>
    <row r="3116" spans="1:1" x14ac:dyDescent="0.3">
      <c r="A3116" s="678"/>
    </row>
    <row r="3117" spans="1:1" x14ac:dyDescent="0.3">
      <c r="A3117" s="678"/>
    </row>
    <row r="3118" spans="1:1" x14ac:dyDescent="0.3">
      <c r="A3118" s="678"/>
    </row>
    <row r="3119" spans="1:1" x14ac:dyDescent="0.3">
      <c r="A3119" s="678"/>
    </row>
    <row r="3120" spans="1:1" x14ac:dyDescent="0.3">
      <c r="A3120" s="678"/>
    </row>
    <row r="3121" spans="1:1" x14ac:dyDescent="0.3">
      <c r="A3121" s="678"/>
    </row>
    <row r="3122" spans="1:1" x14ac:dyDescent="0.3">
      <c r="A3122" s="678"/>
    </row>
    <row r="3123" spans="1:1" x14ac:dyDescent="0.3">
      <c r="A3123" s="678"/>
    </row>
    <row r="3124" spans="1:1" x14ac:dyDescent="0.3">
      <c r="A3124" s="678"/>
    </row>
    <row r="3125" spans="1:1" x14ac:dyDescent="0.3">
      <c r="A3125" s="678"/>
    </row>
    <row r="3126" spans="1:1" x14ac:dyDescent="0.3">
      <c r="A3126" s="678"/>
    </row>
    <row r="3127" spans="1:1" x14ac:dyDescent="0.3">
      <c r="A3127" s="678"/>
    </row>
    <row r="3128" spans="1:1" x14ac:dyDescent="0.3">
      <c r="A3128" s="678"/>
    </row>
    <row r="3129" spans="1:1" x14ac:dyDescent="0.3">
      <c r="A3129" s="678"/>
    </row>
    <row r="3130" spans="1:1" x14ac:dyDescent="0.3">
      <c r="A3130" s="678"/>
    </row>
    <row r="3131" spans="1:1" x14ac:dyDescent="0.3">
      <c r="A3131" s="678"/>
    </row>
    <row r="3132" spans="1:1" x14ac:dyDescent="0.3">
      <c r="A3132" s="678"/>
    </row>
    <row r="3133" spans="1:1" x14ac:dyDescent="0.3">
      <c r="A3133" s="678"/>
    </row>
    <row r="3134" spans="1:1" x14ac:dyDescent="0.3">
      <c r="A3134" s="678"/>
    </row>
    <row r="3135" spans="1:1" x14ac:dyDescent="0.3">
      <c r="A3135" s="678"/>
    </row>
    <row r="3136" spans="1:1" x14ac:dyDescent="0.3">
      <c r="A3136" s="678"/>
    </row>
    <row r="3137" spans="1:1" x14ac:dyDescent="0.3">
      <c r="A3137" s="678"/>
    </row>
    <row r="3138" spans="1:1" x14ac:dyDescent="0.3">
      <c r="A3138" s="678"/>
    </row>
    <row r="3139" spans="1:1" x14ac:dyDescent="0.3">
      <c r="A3139" s="678"/>
    </row>
    <row r="3140" spans="1:1" x14ac:dyDescent="0.3">
      <c r="A3140" s="678"/>
    </row>
    <row r="3141" spans="1:1" x14ac:dyDescent="0.3">
      <c r="A3141" s="678"/>
    </row>
    <row r="3142" spans="1:1" x14ac:dyDescent="0.3">
      <c r="A3142" s="678"/>
    </row>
    <row r="3143" spans="1:1" x14ac:dyDescent="0.3">
      <c r="A3143" s="678"/>
    </row>
    <row r="3144" spans="1:1" x14ac:dyDescent="0.3">
      <c r="A3144" s="678"/>
    </row>
    <row r="3145" spans="1:1" x14ac:dyDescent="0.3">
      <c r="A3145" s="678"/>
    </row>
    <row r="3146" spans="1:1" x14ac:dyDescent="0.3">
      <c r="A3146" s="678"/>
    </row>
    <row r="3147" spans="1:1" x14ac:dyDescent="0.3">
      <c r="A3147" s="678"/>
    </row>
    <row r="3148" spans="1:1" x14ac:dyDescent="0.3">
      <c r="A3148" s="678"/>
    </row>
    <row r="3149" spans="1:1" x14ac:dyDescent="0.3">
      <c r="A3149" s="678"/>
    </row>
    <row r="3150" spans="1:1" x14ac:dyDescent="0.3">
      <c r="A3150" s="678"/>
    </row>
    <row r="3151" spans="1:1" x14ac:dyDescent="0.3">
      <c r="A3151" s="678"/>
    </row>
    <row r="3152" spans="1:1" x14ac:dyDescent="0.3">
      <c r="A3152" s="678"/>
    </row>
    <row r="3153" spans="1:1" x14ac:dyDescent="0.3">
      <c r="A3153" s="678"/>
    </row>
    <row r="3154" spans="1:1" x14ac:dyDescent="0.3">
      <c r="A3154" s="678"/>
    </row>
    <row r="3155" spans="1:1" x14ac:dyDescent="0.3">
      <c r="A3155" s="678"/>
    </row>
    <row r="3156" spans="1:1" x14ac:dyDescent="0.3">
      <c r="A3156" s="678"/>
    </row>
    <row r="3157" spans="1:1" x14ac:dyDescent="0.3">
      <c r="A3157" s="678"/>
    </row>
    <row r="3158" spans="1:1" x14ac:dyDescent="0.3">
      <c r="A3158" s="678"/>
    </row>
    <row r="3159" spans="1:1" x14ac:dyDescent="0.3">
      <c r="A3159" s="678"/>
    </row>
    <row r="3160" spans="1:1" x14ac:dyDescent="0.3">
      <c r="A3160" s="678"/>
    </row>
    <row r="3161" spans="1:1" x14ac:dyDescent="0.3">
      <c r="A3161" s="678"/>
    </row>
    <row r="3162" spans="1:1" x14ac:dyDescent="0.3">
      <c r="A3162" s="678"/>
    </row>
    <row r="3163" spans="1:1" x14ac:dyDescent="0.3">
      <c r="A3163" s="678"/>
    </row>
    <row r="3164" spans="1:1" x14ac:dyDescent="0.3">
      <c r="A3164" s="678"/>
    </row>
    <row r="3165" spans="1:1" x14ac:dyDescent="0.3">
      <c r="A3165" s="678"/>
    </row>
    <row r="3166" spans="1:1" x14ac:dyDescent="0.3">
      <c r="A3166" s="678"/>
    </row>
    <row r="3167" spans="1:1" x14ac:dyDescent="0.3">
      <c r="A3167" s="678"/>
    </row>
    <row r="3168" spans="1:1" x14ac:dyDescent="0.3">
      <c r="A3168" s="678"/>
    </row>
    <row r="3169" spans="1:1" x14ac:dyDescent="0.3">
      <c r="A3169" s="678"/>
    </row>
    <row r="3170" spans="1:1" x14ac:dyDescent="0.3">
      <c r="A3170" s="678"/>
    </row>
    <row r="3171" spans="1:1" x14ac:dyDescent="0.3">
      <c r="A3171" s="678"/>
    </row>
    <row r="3172" spans="1:1" x14ac:dyDescent="0.3">
      <c r="A3172" s="678"/>
    </row>
    <row r="3173" spans="1:1" x14ac:dyDescent="0.3">
      <c r="A3173" s="678"/>
    </row>
    <row r="3174" spans="1:1" x14ac:dyDescent="0.3">
      <c r="A3174" s="678"/>
    </row>
    <row r="3175" spans="1:1" x14ac:dyDescent="0.3">
      <c r="A3175" s="678"/>
    </row>
    <row r="3176" spans="1:1" x14ac:dyDescent="0.3">
      <c r="A3176" s="678"/>
    </row>
    <row r="3177" spans="1:1" x14ac:dyDescent="0.3">
      <c r="A3177" s="678"/>
    </row>
    <row r="3178" spans="1:1" x14ac:dyDescent="0.3">
      <c r="A3178" s="678"/>
    </row>
    <row r="3179" spans="1:1" x14ac:dyDescent="0.3">
      <c r="A3179" s="678"/>
    </row>
    <row r="3180" spans="1:1" x14ac:dyDescent="0.3">
      <c r="A3180" s="678"/>
    </row>
    <row r="3181" spans="1:1" x14ac:dyDescent="0.3">
      <c r="A3181" s="678"/>
    </row>
    <row r="3182" spans="1:1" x14ac:dyDescent="0.3">
      <c r="A3182" s="678"/>
    </row>
    <row r="3183" spans="1:1" x14ac:dyDescent="0.3">
      <c r="A3183" s="678"/>
    </row>
    <row r="3184" spans="1:1" x14ac:dyDescent="0.3">
      <c r="A3184" s="678"/>
    </row>
    <row r="3185" spans="1:1" x14ac:dyDescent="0.3">
      <c r="A3185" s="678"/>
    </row>
    <row r="3186" spans="1:1" x14ac:dyDescent="0.3">
      <c r="A3186" s="678"/>
    </row>
    <row r="3187" spans="1:1" x14ac:dyDescent="0.3">
      <c r="A3187" s="678"/>
    </row>
    <row r="3188" spans="1:1" x14ac:dyDescent="0.3">
      <c r="A3188" s="678"/>
    </row>
    <row r="3189" spans="1:1" x14ac:dyDescent="0.3">
      <c r="A3189" s="678"/>
    </row>
    <row r="3190" spans="1:1" x14ac:dyDescent="0.3">
      <c r="A3190" s="678"/>
    </row>
    <row r="3191" spans="1:1" x14ac:dyDescent="0.3">
      <c r="A3191" s="678"/>
    </row>
    <row r="3192" spans="1:1" x14ac:dyDescent="0.3">
      <c r="A3192" s="678"/>
    </row>
    <row r="3193" spans="1:1" x14ac:dyDescent="0.3">
      <c r="A3193" s="678"/>
    </row>
    <row r="3194" spans="1:1" x14ac:dyDescent="0.3">
      <c r="A3194" s="678"/>
    </row>
    <row r="3195" spans="1:1" x14ac:dyDescent="0.3">
      <c r="A3195" s="678"/>
    </row>
    <row r="3196" spans="1:1" x14ac:dyDescent="0.3">
      <c r="A3196" s="678"/>
    </row>
    <row r="3197" spans="1:1" x14ac:dyDescent="0.3">
      <c r="A3197" s="678"/>
    </row>
    <row r="3198" spans="1:1" x14ac:dyDescent="0.3">
      <c r="A3198" s="678"/>
    </row>
    <row r="3199" spans="1:1" x14ac:dyDescent="0.3">
      <c r="A3199" s="678"/>
    </row>
    <row r="3200" spans="1:1" x14ac:dyDescent="0.3">
      <c r="A3200" s="678"/>
    </row>
    <row r="3201" spans="1:1" x14ac:dyDescent="0.3">
      <c r="A3201" s="678"/>
    </row>
    <row r="3202" spans="1:1" x14ac:dyDescent="0.3">
      <c r="A3202" s="678"/>
    </row>
    <row r="3203" spans="1:1" x14ac:dyDescent="0.3">
      <c r="A3203" s="678"/>
    </row>
    <row r="3204" spans="1:1" x14ac:dyDescent="0.3">
      <c r="A3204" s="678"/>
    </row>
    <row r="3205" spans="1:1" x14ac:dyDescent="0.3">
      <c r="A3205" s="678"/>
    </row>
    <row r="3206" spans="1:1" x14ac:dyDescent="0.3">
      <c r="A3206" s="678"/>
    </row>
    <row r="3207" spans="1:1" x14ac:dyDescent="0.3">
      <c r="A3207" s="678"/>
    </row>
    <row r="3208" spans="1:1" x14ac:dyDescent="0.3">
      <c r="A3208" s="678"/>
    </row>
    <row r="3209" spans="1:1" x14ac:dyDescent="0.3">
      <c r="A3209" s="678"/>
    </row>
    <row r="3210" spans="1:1" x14ac:dyDescent="0.3">
      <c r="A3210" s="678"/>
    </row>
    <row r="3211" spans="1:1" x14ac:dyDescent="0.3">
      <c r="A3211" s="678"/>
    </row>
    <row r="3212" spans="1:1" x14ac:dyDescent="0.3">
      <c r="A3212" s="678"/>
    </row>
    <row r="3213" spans="1:1" x14ac:dyDescent="0.3">
      <c r="A3213" s="678"/>
    </row>
    <row r="3214" spans="1:1" x14ac:dyDescent="0.3">
      <c r="A3214" s="678"/>
    </row>
    <row r="3215" spans="1:1" x14ac:dyDescent="0.3">
      <c r="A3215" s="678"/>
    </row>
    <row r="3216" spans="1:1" x14ac:dyDescent="0.3">
      <c r="A3216" s="678"/>
    </row>
    <row r="3217" spans="1:1" x14ac:dyDescent="0.3">
      <c r="A3217" s="678"/>
    </row>
    <row r="3218" spans="1:1" x14ac:dyDescent="0.3">
      <c r="A3218" s="678"/>
    </row>
    <row r="3219" spans="1:1" x14ac:dyDescent="0.3">
      <c r="A3219" s="678"/>
    </row>
    <row r="3220" spans="1:1" x14ac:dyDescent="0.3">
      <c r="A3220" s="678"/>
    </row>
    <row r="3221" spans="1:1" x14ac:dyDescent="0.3">
      <c r="A3221" s="678"/>
    </row>
    <row r="3222" spans="1:1" x14ac:dyDescent="0.3">
      <c r="A3222" s="678"/>
    </row>
    <row r="3223" spans="1:1" x14ac:dyDescent="0.3">
      <c r="A3223" s="678"/>
    </row>
    <row r="3224" spans="1:1" x14ac:dyDescent="0.3">
      <c r="A3224" s="678"/>
    </row>
    <row r="3225" spans="1:1" x14ac:dyDescent="0.3">
      <c r="A3225" s="678"/>
    </row>
    <row r="3226" spans="1:1" x14ac:dyDescent="0.3">
      <c r="A3226" s="678"/>
    </row>
    <row r="3227" spans="1:1" x14ac:dyDescent="0.3">
      <c r="A3227" s="678"/>
    </row>
    <row r="3228" spans="1:1" x14ac:dyDescent="0.3">
      <c r="A3228" s="678"/>
    </row>
    <row r="3229" spans="1:1" x14ac:dyDescent="0.3">
      <c r="A3229" s="678"/>
    </row>
    <row r="3230" spans="1:1" x14ac:dyDescent="0.3">
      <c r="A3230" s="678"/>
    </row>
    <row r="3231" spans="1:1" x14ac:dyDescent="0.3">
      <c r="A3231" s="678"/>
    </row>
    <row r="3232" spans="1:1" x14ac:dyDescent="0.3">
      <c r="A3232" s="678"/>
    </row>
    <row r="3233" spans="1:1" x14ac:dyDescent="0.3">
      <c r="A3233" s="678"/>
    </row>
    <row r="3234" spans="1:1" x14ac:dyDescent="0.3">
      <c r="A3234" s="678"/>
    </row>
    <row r="3235" spans="1:1" x14ac:dyDescent="0.3">
      <c r="A3235" s="678"/>
    </row>
    <row r="3236" spans="1:1" x14ac:dyDescent="0.3">
      <c r="A3236" s="678"/>
    </row>
    <row r="3237" spans="1:1" x14ac:dyDescent="0.3">
      <c r="A3237" s="678"/>
    </row>
    <row r="3238" spans="1:1" x14ac:dyDescent="0.3">
      <c r="A3238" s="678"/>
    </row>
    <row r="3239" spans="1:1" x14ac:dyDescent="0.3">
      <c r="A3239" s="678"/>
    </row>
    <row r="3240" spans="1:1" x14ac:dyDescent="0.3">
      <c r="A3240" s="678"/>
    </row>
    <row r="3241" spans="1:1" x14ac:dyDescent="0.3">
      <c r="A3241" s="678"/>
    </row>
    <row r="3242" spans="1:1" x14ac:dyDescent="0.3">
      <c r="A3242" s="678"/>
    </row>
    <row r="3243" spans="1:1" x14ac:dyDescent="0.3">
      <c r="A3243" s="678"/>
    </row>
    <row r="3244" spans="1:1" x14ac:dyDescent="0.3">
      <c r="A3244" s="678"/>
    </row>
    <row r="3245" spans="1:1" x14ac:dyDescent="0.3">
      <c r="A3245" s="678"/>
    </row>
    <row r="3246" spans="1:1" x14ac:dyDescent="0.3">
      <c r="A3246" s="678"/>
    </row>
    <row r="3247" spans="1:1" x14ac:dyDescent="0.3">
      <c r="A3247" s="678"/>
    </row>
    <row r="3248" spans="1:1" x14ac:dyDescent="0.3">
      <c r="A3248" s="678"/>
    </row>
    <row r="3249" spans="1:1" x14ac:dyDescent="0.3">
      <c r="A3249" s="678"/>
    </row>
    <row r="3250" spans="1:1" x14ac:dyDescent="0.3">
      <c r="A3250" s="678"/>
    </row>
    <row r="3251" spans="1:1" x14ac:dyDescent="0.3">
      <c r="A3251" s="678"/>
    </row>
    <row r="3252" spans="1:1" x14ac:dyDescent="0.3">
      <c r="A3252" s="678"/>
    </row>
    <row r="3253" spans="1:1" x14ac:dyDescent="0.3">
      <c r="A3253" s="678"/>
    </row>
    <row r="3254" spans="1:1" x14ac:dyDescent="0.3">
      <c r="A3254" s="678"/>
    </row>
    <row r="3255" spans="1:1" x14ac:dyDescent="0.3">
      <c r="A3255" s="678"/>
    </row>
    <row r="3256" spans="1:1" x14ac:dyDescent="0.3">
      <c r="A3256" s="678"/>
    </row>
    <row r="3257" spans="1:1" x14ac:dyDescent="0.3">
      <c r="A3257" s="678"/>
    </row>
    <row r="3258" spans="1:1" x14ac:dyDescent="0.3">
      <c r="A3258" s="678"/>
    </row>
    <row r="3259" spans="1:1" x14ac:dyDescent="0.3">
      <c r="A3259" s="678"/>
    </row>
    <row r="3260" spans="1:1" x14ac:dyDescent="0.3">
      <c r="A3260" s="678"/>
    </row>
    <row r="3261" spans="1:1" x14ac:dyDescent="0.3">
      <c r="A3261" s="678"/>
    </row>
    <row r="3262" spans="1:1" x14ac:dyDescent="0.3">
      <c r="A3262" s="678"/>
    </row>
    <row r="3263" spans="1:1" x14ac:dyDescent="0.3">
      <c r="A3263" s="678"/>
    </row>
    <row r="3264" spans="1:1" x14ac:dyDescent="0.3">
      <c r="A3264" s="678"/>
    </row>
    <row r="3265" spans="1:1" x14ac:dyDescent="0.3">
      <c r="A3265" s="678"/>
    </row>
    <row r="3266" spans="1:1" x14ac:dyDescent="0.3">
      <c r="A3266" s="678"/>
    </row>
    <row r="3267" spans="1:1" x14ac:dyDescent="0.3">
      <c r="A3267" s="678"/>
    </row>
    <row r="3268" spans="1:1" x14ac:dyDescent="0.3">
      <c r="A3268" s="678"/>
    </row>
    <row r="3269" spans="1:1" x14ac:dyDescent="0.3">
      <c r="A3269" s="678"/>
    </row>
    <row r="3270" spans="1:1" x14ac:dyDescent="0.3">
      <c r="A3270" s="678"/>
    </row>
    <row r="3271" spans="1:1" x14ac:dyDescent="0.3">
      <c r="A3271" s="678"/>
    </row>
    <row r="3272" spans="1:1" x14ac:dyDescent="0.3">
      <c r="A3272" s="678"/>
    </row>
    <row r="3273" spans="1:1" x14ac:dyDescent="0.3">
      <c r="A3273" s="678"/>
    </row>
    <row r="3274" spans="1:1" x14ac:dyDescent="0.3">
      <c r="A3274" s="678"/>
    </row>
    <row r="3275" spans="1:1" x14ac:dyDescent="0.3">
      <c r="A3275" s="678"/>
    </row>
    <row r="3276" spans="1:1" x14ac:dyDescent="0.3">
      <c r="A3276" s="678"/>
    </row>
    <row r="3277" spans="1:1" x14ac:dyDescent="0.3">
      <c r="A3277" s="678"/>
    </row>
    <row r="3278" spans="1:1" x14ac:dyDescent="0.3">
      <c r="A3278" s="678"/>
    </row>
    <row r="3279" spans="1:1" x14ac:dyDescent="0.3">
      <c r="A3279" s="678"/>
    </row>
    <row r="3280" spans="1:1" x14ac:dyDescent="0.3">
      <c r="A3280" s="678"/>
    </row>
    <row r="3281" spans="1:1" x14ac:dyDescent="0.3">
      <c r="A3281" s="678"/>
    </row>
    <row r="3282" spans="1:1" x14ac:dyDescent="0.3">
      <c r="A3282" s="678"/>
    </row>
    <row r="3283" spans="1:1" x14ac:dyDescent="0.3">
      <c r="A3283" s="678"/>
    </row>
    <row r="3284" spans="1:1" x14ac:dyDescent="0.3">
      <c r="A3284" s="678"/>
    </row>
    <row r="3285" spans="1:1" x14ac:dyDescent="0.3">
      <c r="A3285" s="678"/>
    </row>
    <row r="3286" spans="1:1" x14ac:dyDescent="0.3">
      <c r="A3286" s="678"/>
    </row>
    <row r="3287" spans="1:1" x14ac:dyDescent="0.3">
      <c r="A3287" s="678"/>
    </row>
    <row r="3288" spans="1:1" x14ac:dyDescent="0.3">
      <c r="A3288" s="678"/>
    </row>
    <row r="3289" spans="1:1" x14ac:dyDescent="0.3">
      <c r="A3289" s="678"/>
    </row>
    <row r="3290" spans="1:1" x14ac:dyDescent="0.3">
      <c r="A3290" s="678"/>
    </row>
    <row r="3291" spans="1:1" x14ac:dyDescent="0.3">
      <c r="A3291" s="678"/>
    </row>
    <row r="3292" spans="1:1" x14ac:dyDescent="0.3">
      <c r="A3292" s="678"/>
    </row>
    <row r="3293" spans="1:1" x14ac:dyDescent="0.3">
      <c r="A3293" s="678"/>
    </row>
    <row r="3294" spans="1:1" x14ac:dyDescent="0.3">
      <c r="A3294" s="678"/>
    </row>
    <row r="3295" spans="1:1" x14ac:dyDescent="0.3">
      <c r="A3295" s="678"/>
    </row>
    <row r="3296" spans="1:1" x14ac:dyDescent="0.3">
      <c r="A3296" s="678"/>
    </row>
    <row r="3297" spans="1:1" x14ac:dyDescent="0.3">
      <c r="A3297" s="678"/>
    </row>
    <row r="3298" spans="1:1" x14ac:dyDescent="0.3">
      <c r="A3298" s="678"/>
    </row>
    <row r="3299" spans="1:1" x14ac:dyDescent="0.3">
      <c r="A3299" s="678"/>
    </row>
    <row r="3300" spans="1:1" x14ac:dyDescent="0.3">
      <c r="A3300" s="678"/>
    </row>
    <row r="3301" spans="1:1" x14ac:dyDescent="0.3">
      <c r="A3301" s="678"/>
    </row>
    <row r="3302" spans="1:1" x14ac:dyDescent="0.3">
      <c r="A3302" s="678"/>
    </row>
    <row r="3303" spans="1:1" x14ac:dyDescent="0.3">
      <c r="A3303" s="678"/>
    </row>
    <row r="3304" spans="1:1" x14ac:dyDescent="0.3">
      <c r="A3304" s="678"/>
    </row>
    <row r="3305" spans="1:1" x14ac:dyDescent="0.3">
      <c r="A3305" s="678"/>
    </row>
    <row r="3306" spans="1:1" x14ac:dyDescent="0.3">
      <c r="A3306" s="678"/>
    </row>
    <row r="3307" spans="1:1" x14ac:dyDescent="0.3">
      <c r="A3307" s="678"/>
    </row>
    <row r="3308" spans="1:1" x14ac:dyDescent="0.3">
      <c r="A3308" s="678"/>
    </row>
    <row r="3309" spans="1:1" x14ac:dyDescent="0.3">
      <c r="A3309" s="678"/>
    </row>
    <row r="3310" spans="1:1" x14ac:dyDescent="0.3">
      <c r="A3310" s="678"/>
    </row>
    <row r="3311" spans="1:1" x14ac:dyDescent="0.3">
      <c r="A3311" s="678"/>
    </row>
    <row r="3312" spans="1:1" x14ac:dyDescent="0.3">
      <c r="A3312" s="678"/>
    </row>
    <row r="3313" spans="1:1" x14ac:dyDescent="0.3">
      <c r="A3313" s="678"/>
    </row>
    <row r="3314" spans="1:1" x14ac:dyDescent="0.3">
      <c r="A3314" s="678"/>
    </row>
    <row r="3315" spans="1:1" x14ac:dyDescent="0.3">
      <c r="A3315" s="678"/>
    </row>
    <row r="3316" spans="1:1" x14ac:dyDescent="0.3">
      <c r="A3316" s="678"/>
    </row>
    <row r="3317" spans="1:1" x14ac:dyDescent="0.3">
      <c r="A3317" s="678"/>
    </row>
    <row r="3318" spans="1:1" x14ac:dyDescent="0.3">
      <c r="A3318" s="678"/>
    </row>
    <row r="3319" spans="1:1" x14ac:dyDescent="0.3">
      <c r="A3319" s="678"/>
    </row>
    <row r="3320" spans="1:1" x14ac:dyDescent="0.3">
      <c r="A3320" s="678"/>
    </row>
    <row r="3321" spans="1:1" x14ac:dyDescent="0.3">
      <c r="A3321" s="678"/>
    </row>
    <row r="3322" spans="1:1" x14ac:dyDescent="0.3">
      <c r="A3322" s="678"/>
    </row>
    <row r="3323" spans="1:1" x14ac:dyDescent="0.3">
      <c r="A3323" s="678"/>
    </row>
    <row r="3324" spans="1:1" x14ac:dyDescent="0.3">
      <c r="A3324" s="678"/>
    </row>
    <row r="3325" spans="1:1" x14ac:dyDescent="0.3">
      <c r="A3325" s="678"/>
    </row>
    <row r="3326" spans="1:1" x14ac:dyDescent="0.3">
      <c r="A3326" s="678"/>
    </row>
    <row r="3327" spans="1:1" x14ac:dyDescent="0.3">
      <c r="A3327" s="678"/>
    </row>
    <row r="3328" spans="1:1" x14ac:dyDescent="0.3">
      <c r="A3328" s="678"/>
    </row>
    <row r="3329" spans="1:1" x14ac:dyDescent="0.3">
      <c r="A3329" s="678"/>
    </row>
    <row r="3330" spans="1:1" x14ac:dyDescent="0.3">
      <c r="A3330" s="678"/>
    </row>
    <row r="3331" spans="1:1" x14ac:dyDescent="0.3">
      <c r="A3331" s="678"/>
    </row>
    <row r="3332" spans="1:1" x14ac:dyDescent="0.3">
      <c r="A3332" s="678"/>
    </row>
    <row r="3333" spans="1:1" x14ac:dyDescent="0.3">
      <c r="A3333" s="678"/>
    </row>
    <row r="3334" spans="1:1" x14ac:dyDescent="0.3">
      <c r="A3334" s="678"/>
    </row>
    <row r="3335" spans="1:1" x14ac:dyDescent="0.3">
      <c r="A3335" s="678"/>
    </row>
    <row r="3336" spans="1:1" x14ac:dyDescent="0.3">
      <c r="A3336" s="678"/>
    </row>
    <row r="3337" spans="1:1" x14ac:dyDescent="0.3">
      <c r="A3337" s="678"/>
    </row>
    <row r="3338" spans="1:1" x14ac:dyDescent="0.3">
      <c r="A3338" s="678"/>
    </row>
    <row r="3339" spans="1:1" x14ac:dyDescent="0.3">
      <c r="A3339" s="678"/>
    </row>
    <row r="3340" spans="1:1" x14ac:dyDescent="0.3">
      <c r="A3340" s="678"/>
    </row>
    <row r="3341" spans="1:1" x14ac:dyDescent="0.3">
      <c r="A3341" s="678"/>
    </row>
    <row r="3342" spans="1:1" x14ac:dyDescent="0.3">
      <c r="A3342" s="678"/>
    </row>
    <row r="3343" spans="1:1" x14ac:dyDescent="0.3">
      <c r="A3343" s="678"/>
    </row>
    <row r="3344" spans="1:1" x14ac:dyDescent="0.3">
      <c r="A3344" s="678"/>
    </row>
    <row r="3345" spans="1:1" x14ac:dyDescent="0.3">
      <c r="A3345" s="678"/>
    </row>
    <row r="3346" spans="1:1" x14ac:dyDescent="0.3">
      <c r="A3346" s="678"/>
    </row>
    <row r="3347" spans="1:1" x14ac:dyDescent="0.3">
      <c r="A3347" s="678"/>
    </row>
    <row r="3348" spans="1:1" x14ac:dyDescent="0.3">
      <c r="A3348" s="678"/>
    </row>
    <row r="3349" spans="1:1" x14ac:dyDescent="0.3">
      <c r="A3349" s="678"/>
    </row>
    <row r="3350" spans="1:1" x14ac:dyDescent="0.3">
      <c r="A3350" s="678"/>
    </row>
    <row r="3351" spans="1:1" x14ac:dyDescent="0.3">
      <c r="A3351" s="678"/>
    </row>
    <row r="3352" spans="1:1" x14ac:dyDescent="0.3">
      <c r="A3352" s="678"/>
    </row>
    <row r="3353" spans="1:1" x14ac:dyDescent="0.3">
      <c r="A3353" s="678"/>
    </row>
    <row r="3354" spans="1:1" x14ac:dyDescent="0.3">
      <c r="A3354" s="678"/>
    </row>
    <row r="3355" spans="1:1" x14ac:dyDescent="0.3">
      <c r="A3355" s="678"/>
    </row>
    <row r="3356" spans="1:1" x14ac:dyDescent="0.3">
      <c r="A3356" s="678"/>
    </row>
    <row r="3357" spans="1:1" x14ac:dyDescent="0.3">
      <c r="A3357" s="678"/>
    </row>
    <row r="3358" spans="1:1" x14ac:dyDescent="0.3">
      <c r="A3358" s="678"/>
    </row>
    <row r="3359" spans="1:1" x14ac:dyDescent="0.3">
      <c r="A3359" s="678"/>
    </row>
    <row r="3360" spans="1:1" x14ac:dyDescent="0.3">
      <c r="A3360" s="678"/>
    </row>
    <row r="3361" spans="1:1" x14ac:dyDescent="0.3">
      <c r="A3361" s="678"/>
    </row>
    <row r="3362" spans="1:1" x14ac:dyDescent="0.3">
      <c r="A3362" s="678"/>
    </row>
    <row r="3363" spans="1:1" x14ac:dyDescent="0.3">
      <c r="A3363" s="678"/>
    </row>
    <row r="3364" spans="1:1" x14ac:dyDescent="0.3">
      <c r="A3364" s="678"/>
    </row>
    <row r="3365" spans="1:1" x14ac:dyDescent="0.3">
      <c r="A3365" s="678"/>
    </row>
    <row r="3366" spans="1:1" x14ac:dyDescent="0.3">
      <c r="A3366" s="678"/>
    </row>
    <row r="3367" spans="1:1" x14ac:dyDescent="0.3">
      <c r="A3367" s="678"/>
    </row>
    <row r="3368" spans="1:1" x14ac:dyDescent="0.3">
      <c r="A3368" s="678"/>
    </row>
    <row r="3369" spans="1:1" x14ac:dyDescent="0.3">
      <c r="A3369" s="678"/>
    </row>
    <row r="3370" spans="1:1" x14ac:dyDescent="0.3">
      <c r="A3370" s="678"/>
    </row>
    <row r="3371" spans="1:1" x14ac:dyDescent="0.3">
      <c r="A3371" s="678"/>
    </row>
    <row r="3372" spans="1:1" x14ac:dyDescent="0.3">
      <c r="A3372" s="678"/>
    </row>
    <row r="3373" spans="1:1" x14ac:dyDescent="0.3">
      <c r="A3373" s="678"/>
    </row>
    <row r="3374" spans="1:1" x14ac:dyDescent="0.3">
      <c r="A3374" s="678"/>
    </row>
    <row r="3375" spans="1:1" x14ac:dyDescent="0.3">
      <c r="A3375" s="678"/>
    </row>
    <row r="3376" spans="1:1" x14ac:dyDescent="0.3">
      <c r="A3376" s="678"/>
    </row>
    <row r="3377" spans="1:1" x14ac:dyDescent="0.3">
      <c r="A3377" s="678"/>
    </row>
    <row r="3378" spans="1:1" x14ac:dyDescent="0.3">
      <c r="A3378" s="678"/>
    </row>
    <row r="3379" spans="1:1" x14ac:dyDescent="0.3">
      <c r="A3379" s="678"/>
    </row>
    <row r="3380" spans="1:1" x14ac:dyDescent="0.3">
      <c r="A3380" s="678"/>
    </row>
    <row r="3381" spans="1:1" x14ac:dyDescent="0.3">
      <c r="A3381" s="678"/>
    </row>
    <row r="3382" spans="1:1" x14ac:dyDescent="0.3">
      <c r="A3382" s="678"/>
    </row>
    <row r="3383" spans="1:1" x14ac:dyDescent="0.3">
      <c r="A3383" s="678"/>
    </row>
    <row r="3384" spans="1:1" x14ac:dyDescent="0.3">
      <c r="A3384" s="678"/>
    </row>
    <row r="3385" spans="1:1" x14ac:dyDescent="0.3">
      <c r="A3385" s="678"/>
    </row>
    <row r="3386" spans="1:1" x14ac:dyDescent="0.3">
      <c r="A3386" s="678"/>
    </row>
    <row r="3387" spans="1:1" x14ac:dyDescent="0.3">
      <c r="A3387" s="678"/>
    </row>
    <row r="3388" spans="1:1" x14ac:dyDescent="0.3">
      <c r="A3388" s="678"/>
    </row>
    <row r="3389" spans="1:1" x14ac:dyDescent="0.3">
      <c r="A3389" s="678"/>
    </row>
    <row r="3390" spans="1:1" x14ac:dyDescent="0.3">
      <c r="A3390" s="678"/>
    </row>
    <row r="3391" spans="1:1" x14ac:dyDescent="0.3">
      <c r="A3391" s="678"/>
    </row>
    <row r="3392" spans="1:1" x14ac:dyDescent="0.3">
      <c r="A3392" s="678"/>
    </row>
    <row r="3393" spans="1:1" x14ac:dyDescent="0.3">
      <c r="A3393" s="678"/>
    </row>
    <row r="3394" spans="1:1" x14ac:dyDescent="0.3">
      <c r="A3394" s="678"/>
    </row>
    <row r="3395" spans="1:1" x14ac:dyDescent="0.3">
      <c r="A3395" s="678"/>
    </row>
    <row r="3396" spans="1:1" x14ac:dyDescent="0.3">
      <c r="A3396" s="678"/>
    </row>
    <row r="3397" spans="1:1" x14ac:dyDescent="0.3">
      <c r="A3397" s="678"/>
    </row>
    <row r="3398" spans="1:1" x14ac:dyDescent="0.3">
      <c r="A3398" s="678"/>
    </row>
    <row r="3399" spans="1:1" x14ac:dyDescent="0.3">
      <c r="A3399" s="678"/>
    </row>
    <row r="3400" spans="1:1" x14ac:dyDescent="0.3">
      <c r="A3400" s="678"/>
    </row>
    <row r="3401" spans="1:1" x14ac:dyDescent="0.3">
      <c r="A3401" s="678"/>
    </row>
    <row r="3402" spans="1:1" x14ac:dyDescent="0.3">
      <c r="A3402" s="678"/>
    </row>
    <row r="3403" spans="1:1" x14ac:dyDescent="0.3">
      <c r="A3403" s="678"/>
    </row>
    <row r="3404" spans="1:1" x14ac:dyDescent="0.3">
      <c r="A3404" s="678"/>
    </row>
    <row r="3405" spans="1:1" x14ac:dyDescent="0.3">
      <c r="A3405" s="678"/>
    </row>
    <row r="3406" spans="1:1" x14ac:dyDescent="0.3">
      <c r="A3406" s="678"/>
    </row>
    <row r="3407" spans="1:1" x14ac:dyDescent="0.3">
      <c r="A3407" s="678"/>
    </row>
    <row r="3408" spans="1:1" x14ac:dyDescent="0.3">
      <c r="A3408" s="678"/>
    </row>
    <row r="3409" spans="1:1" x14ac:dyDescent="0.3">
      <c r="A3409" s="678"/>
    </row>
    <row r="3410" spans="1:1" x14ac:dyDescent="0.3">
      <c r="A3410" s="678"/>
    </row>
    <row r="3411" spans="1:1" x14ac:dyDescent="0.3">
      <c r="A3411" s="678"/>
    </row>
    <row r="3412" spans="1:1" x14ac:dyDescent="0.3">
      <c r="A3412" s="678"/>
    </row>
    <row r="3413" spans="1:1" x14ac:dyDescent="0.3">
      <c r="A3413" s="678"/>
    </row>
    <row r="3414" spans="1:1" x14ac:dyDescent="0.3">
      <c r="A3414" s="678"/>
    </row>
    <row r="3415" spans="1:1" x14ac:dyDescent="0.3">
      <c r="A3415" s="678"/>
    </row>
    <row r="3416" spans="1:1" x14ac:dyDescent="0.3">
      <c r="A3416" s="678"/>
    </row>
    <row r="3417" spans="1:1" x14ac:dyDescent="0.3">
      <c r="A3417" s="678"/>
    </row>
    <row r="3418" spans="1:1" x14ac:dyDescent="0.3">
      <c r="A3418" s="678"/>
    </row>
    <row r="3419" spans="1:1" x14ac:dyDescent="0.3">
      <c r="A3419" s="678"/>
    </row>
    <row r="3420" spans="1:1" x14ac:dyDescent="0.3">
      <c r="A3420" s="678"/>
    </row>
    <row r="3421" spans="1:1" x14ac:dyDescent="0.3">
      <c r="A3421" s="678"/>
    </row>
    <row r="3422" spans="1:1" x14ac:dyDescent="0.3">
      <c r="A3422" s="678"/>
    </row>
    <row r="3423" spans="1:1" x14ac:dyDescent="0.3">
      <c r="A3423" s="678"/>
    </row>
    <row r="3424" spans="1:1" x14ac:dyDescent="0.3">
      <c r="A3424" s="678"/>
    </row>
    <row r="3425" spans="1:1" x14ac:dyDescent="0.3">
      <c r="A3425" s="678"/>
    </row>
    <row r="3426" spans="1:1" x14ac:dyDescent="0.3">
      <c r="A3426" s="678"/>
    </row>
    <row r="3427" spans="1:1" x14ac:dyDescent="0.3">
      <c r="A3427" s="678"/>
    </row>
    <row r="3428" spans="1:1" x14ac:dyDescent="0.3">
      <c r="A3428" s="678"/>
    </row>
    <row r="3429" spans="1:1" x14ac:dyDescent="0.3">
      <c r="A3429" s="678"/>
    </row>
    <row r="3430" spans="1:1" x14ac:dyDescent="0.3">
      <c r="A3430" s="678"/>
    </row>
    <row r="3431" spans="1:1" x14ac:dyDescent="0.3">
      <c r="A3431" s="678"/>
    </row>
    <row r="3432" spans="1:1" x14ac:dyDescent="0.3">
      <c r="A3432" s="678"/>
    </row>
    <row r="3433" spans="1:1" x14ac:dyDescent="0.3">
      <c r="A3433" s="678"/>
    </row>
    <row r="3434" spans="1:1" x14ac:dyDescent="0.3">
      <c r="A3434" s="678"/>
    </row>
    <row r="3435" spans="1:1" x14ac:dyDescent="0.3">
      <c r="A3435" s="678"/>
    </row>
    <row r="3436" spans="1:1" x14ac:dyDescent="0.3">
      <c r="A3436" s="678"/>
    </row>
    <row r="3437" spans="1:1" x14ac:dyDescent="0.3">
      <c r="A3437" s="678"/>
    </row>
    <row r="3438" spans="1:1" x14ac:dyDescent="0.3">
      <c r="A3438" s="678"/>
    </row>
    <row r="3439" spans="1:1" x14ac:dyDescent="0.3">
      <c r="A3439" s="678"/>
    </row>
    <row r="3440" spans="1:1" x14ac:dyDescent="0.3">
      <c r="A3440" s="678"/>
    </row>
    <row r="3441" spans="1:1" x14ac:dyDescent="0.3">
      <c r="A3441" s="678"/>
    </row>
    <row r="3442" spans="1:1" x14ac:dyDescent="0.3">
      <c r="A3442" s="678"/>
    </row>
    <row r="3443" spans="1:1" x14ac:dyDescent="0.3">
      <c r="A3443" s="678"/>
    </row>
    <row r="3444" spans="1:1" x14ac:dyDescent="0.3">
      <c r="A3444" s="678"/>
    </row>
    <row r="3445" spans="1:1" x14ac:dyDescent="0.3">
      <c r="A3445" s="678"/>
    </row>
    <row r="3446" spans="1:1" x14ac:dyDescent="0.3">
      <c r="A3446" s="678"/>
    </row>
    <row r="3447" spans="1:1" x14ac:dyDescent="0.3">
      <c r="A3447" s="678"/>
    </row>
    <row r="3448" spans="1:1" x14ac:dyDescent="0.3">
      <c r="A3448" s="678"/>
    </row>
    <row r="3449" spans="1:1" x14ac:dyDescent="0.3">
      <c r="A3449" s="678"/>
    </row>
    <row r="3450" spans="1:1" x14ac:dyDescent="0.3">
      <c r="A3450" s="678"/>
    </row>
    <row r="3451" spans="1:1" x14ac:dyDescent="0.3">
      <c r="A3451" s="678"/>
    </row>
    <row r="3452" spans="1:1" x14ac:dyDescent="0.3">
      <c r="A3452" s="678"/>
    </row>
    <row r="3453" spans="1:1" x14ac:dyDescent="0.3">
      <c r="A3453" s="678"/>
    </row>
    <row r="3454" spans="1:1" x14ac:dyDescent="0.3">
      <c r="A3454" s="678"/>
    </row>
    <row r="3455" spans="1:1" x14ac:dyDescent="0.3">
      <c r="A3455" s="678"/>
    </row>
    <row r="3456" spans="1:1" x14ac:dyDescent="0.3">
      <c r="A3456" s="678"/>
    </row>
    <row r="3457" spans="1:1" x14ac:dyDescent="0.3">
      <c r="A3457" s="678"/>
    </row>
    <row r="3458" spans="1:1" x14ac:dyDescent="0.3">
      <c r="A3458" s="678"/>
    </row>
    <row r="3459" spans="1:1" x14ac:dyDescent="0.3">
      <c r="A3459" s="678"/>
    </row>
    <row r="3460" spans="1:1" x14ac:dyDescent="0.3">
      <c r="A3460" s="678"/>
    </row>
    <row r="3461" spans="1:1" x14ac:dyDescent="0.3">
      <c r="A3461" s="678"/>
    </row>
    <row r="3462" spans="1:1" x14ac:dyDescent="0.3">
      <c r="A3462" s="678"/>
    </row>
    <row r="3463" spans="1:1" x14ac:dyDescent="0.3">
      <c r="A3463" s="678"/>
    </row>
    <row r="3464" spans="1:1" x14ac:dyDescent="0.3">
      <c r="A3464" s="678"/>
    </row>
    <row r="3465" spans="1:1" x14ac:dyDescent="0.3">
      <c r="A3465" s="678"/>
    </row>
    <row r="3466" spans="1:1" x14ac:dyDescent="0.3">
      <c r="A3466" s="678"/>
    </row>
    <row r="3467" spans="1:1" x14ac:dyDescent="0.3">
      <c r="A3467" s="678"/>
    </row>
    <row r="3468" spans="1:1" x14ac:dyDescent="0.3">
      <c r="A3468" s="678"/>
    </row>
    <row r="3469" spans="1:1" x14ac:dyDescent="0.3">
      <c r="A3469" s="678"/>
    </row>
    <row r="3470" spans="1:1" x14ac:dyDescent="0.3">
      <c r="A3470" s="678"/>
    </row>
    <row r="3471" spans="1:1" x14ac:dyDescent="0.3">
      <c r="A3471" s="678"/>
    </row>
    <row r="3472" spans="1:1" x14ac:dyDescent="0.3">
      <c r="A3472" s="678"/>
    </row>
    <row r="3473" spans="1:1" x14ac:dyDescent="0.3">
      <c r="A3473" s="678"/>
    </row>
    <row r="3474" spans="1:1" x14ac:dyDescent="0.3">
      <c r="A3474" s="678"/>
    </row>
    <row r="3475" spans="1:1" x14ac:dyDescent="0.3">
      <c r="A3475" s="678"/>
    </row>
    <row r="3476" spans="1:1" x14ac:dyDescent="0.3">
      <c r="A3476" s="678"/>
    </row>
    <row r="3477" spans="1:1" x14ac:dyDescent="0.3">
      <c r="A3477" s="678"/>
    </row>
    <row r="3478" spans="1:1" x14ac:dyDescent="0.3">
      <c r="A3478" s="678"/>
    </row>
    <row r="3479" spans="1:1" x14ac:dyDescent="0.3">
      <c r="A3479" s="678"/>
    </row>
    <row r="3480" spans="1:1" x14ac:dyDescent="0.3">
      <c r="A3480" s="678"/>
    </row>
    <row r="3481" spans="1:1" x14ac:dyDescent="0.3">
      <c r="A3481" s="678"/>
    </row>
    <row r="3482" spans="1:1" x14ac:dyDescent="0.3">
      <c r="A3482" s="678"/>
    </row>
    <row r="3483" spans="1:1" x14ac:dyDescent="0.3">
      <c r="A3483" s="678"/>
    </row>
    <row r="3484" spans="1:1" x14ac:dyDescent="0.3">
      <c r="A3484" s="678"/>
    </row>
    <row r="3485" spans="1:1" x14ac:dyDescent="0.3">
      <c r="A3485" s="678"/>
    </row>
    <row r="3486" spans="1:1" x14ac:dyDescent="0.3">
      <c r="A3486" s="678"/>
    </row>
    <row r="3487" spans="1:1" x14ac:dyDescent="0.3">
      <c r="A3487" s="678"/>
    </row>
    <row r="3488" spans="1:1" x14ac:dyDescent="0.3">
      <c r="A3488" s="678"/>
    </row>
    <row r="3489" spans="1:1" x14ac:dyDescent="0.3">
      <c r="A3489" s="678"/>
    </row>
    <row r="3490" spans="1:1" x14ac:dyDescent="0.3">
      <c r="A3490" s="678"/>
    </row>
    <row r="3491" spans="1:1" x14ac:dyDescent="0.3">
      <c r="A3491" s="678"/>
    </row>
    <row r="3492" spans="1:1" x14ac:dyDescent="0.3">
      <c r="A3492" s="678"/>
    </row>
    <row r="3493" spans="1:1" x14ac:dyDescent="0.3">
      <c r="A3493" s="678"/>
    </row>
    <row r="3494" spans="1:1" x14ac:dyDescent="0.3">
      <c r="A3494" s="678"/>
    </row>
    <row r="3495" spans="1:1" x14ac:dyDescent="0.3">
      <c r="A3495" s="678"/>
    </row>
    <row r="3496" spans="1:1" x14ac:dyDescent="0.3">
      <c r="A3496" s="678"/>
    </row>
    <row r="3497" spans="1:1" x14ac:dyDescent="0.3">
      <c r="A3497" s="678"/>
    </row>
    <row r="3498" spans="1:1" x14ac:dyDescent="0.3">
      <c r="A3498" s="678"/>
    </row>
    <row r="3499" spans="1:1" x14ac:dyDescent="0.3">
      <c r="A3499" s="678"/>
    </row>
    <row r="3500" spans="1:1" x14ac:dyDescent="0.3">
      <c r="A3500" s="678"/>
    </row>
    <row r="3501" spans="1:1" x14ac:dyDescent="0.3">
      <c r="A3501" s="678"/>
    </row>
    <row r="3502" spans="1:1" x14ac:dyDescent="0.3">
      <c r="A3502" s="678"/>
    </row>
    <row r="3503" spans="1:1" x14ac:dyDescent="0.3">
      <c r="A3503" s="678"/>
    </row>
    <row r="3504" spans="1:1" x14ac:dyDescent="0.3">
      <c r="A3504" s="678"/>
    </row>
    <row r="3505" spans="1:1" x14ac:dyDescent="0.3">
      <c r="A3505" s="678"/>
    </row>
    <row r="3506" spans="1:1" x14ac:dyDescent="0.3">
      <c r="A3506" s="678"/>
    </row>
    <row r="3507" spans="1:1" x14ac:dyDescent="0.3">
      <c r="A3507" s="678"/>
    </row>
    <row r="3508" spans="1:1" x14ac:dyDescent="0.3">
      <c r="A3508" s="678"/>
    </row>
    <row r="3509" spans="1:1" x14ac:dyDescent="0.3">
      <c r="A3509" s="678"/>
    </row>
    <row r="3510" spans="1:1" x14ac:dyDescent="0.3">
      <c r="A3510" s="678"/>
    </row>
    <row r="3511" spans="1:1" x14ac:dyDescent="0.3">
      <c r="A3511" s="678"/>
    </row>
    <row r="3512" spans="1:1" x14ac:dyDescent="0.3">
      <c r="A3512" s="678"/>
    </row>
    <row r="3513" spans="1:1" x14ac:dyDescent="0.3">
      <c r="A3513" s="678"/>
    </row>
    <row r="3514" spans="1:1" x14ac:dyDescent="0.3">
      <c r="A3514" s="678"/>
    </row>
    <row r="3515" spans="1:1" x14ac:dyDescent="0.3">
      <c r="A3515" s="678"/>
    </row>
    <row r="3516" spans="1:1" x14ac:dyDescent="0.3">
      <c r="A3516" s="678"/>
    </row>
    <row r="3517" spans="1:1" x14ac:dyDescent="0.3">
      <c r="A3517" s="678"/>
    </row>
    <row r="3518" spans="1:1" x14ac:dyDescent="0.3">
      <c r="A3518" s="678"/>
    </row>
    <row r="3519" spans="1:1" x14ac:dyDescent="0.3">
      <c r="A3519" s="678"/>
    </row>
    <row r="3520" spans="1:1" x14ac:dyDescent="0.3">
      <c r="A3520" s="678"/>
    </row>
    <row r="3521" spans="1:1" x14ac:dyDescent="0.3">
      <c r="A3521" s="678"/>
    </row>
    <row r="3522" spans="1:1" x14ac:dyDescent="0.3">
      <c r="A3522" s="678"/>
    </row>
    <row r="3523" spans="1:1" x14ac:dyDescent="0.3">
      <c r="A3523" s="678"/>
    </row>
    <row r="3524" spans="1:1" x14ac:dyDescent="0.3">
      <c r="A3524" s="678"/>
    </row>
    <row r="3525" spans="1:1" x14ac:dyDescent="0.3">
      <c r="A3525" s="678"/>
    </row>
    <row r="3526" spans="1:1" x14ac:dyDescent="0.3">
      <c r="A3526" s="678"/>
    </row>
    <row r="3527" spans="1:1" x14ac:dyDescent="0.3">
      <c r="A3527" s="678"/>
    </row>
    <row r="3528" spans="1:1" x14ac:dyDescent="0.3">
      <c r="A3528" s="678"/>
    </row>
    <row r="3529" spans="1:1" x14ac:dyDescent="0.3">
      <c r="A3529" s="678"/>
    </row>
    <row r="3530" spans="1:1" x14ac:dyDescent="0.3">
      <c r="A3530" s="678"/>
    </row>
    <row r="3531" spans="1:1" x14ac:dyDescent="0.3">
      <c r="A3531" s="678"/>
    </row>
    <row r="3532" spans="1:1" x14ac:dyDescent="0.3">
      <c r="A3532" s="678"/>
    </row>
    <row r="3533" spans="1:1" x14ac:dyDescent="0.3">
      <c r="A3533" s="678"/>
    </row>
    <row r="3534" spans="1:1" x14ac:dyDescent="0.3">
      <c r="A3534" s="678"/>
    </row>
    <row r="3535" spans="1:1" x14ac:dyDescent="0.3">
      <c r="A3535" s="678"/>
    </row>
    <row r="3536" spans="1:1" x14ac:dyDescent="0.3">
      <c r="A3536" s="678"/>
    </row>
    <row r="3537" spans="1:1" x14ac:dyDescent="0.3">
      <c r="A3537" s="678"/>
    </row>
    <row r="3538" spans="1:1" x14ac:dyDescent="0.3">
      <c r="A3538" s="678"/>
    </row>
    <row r="3539" spans="1:1" x14ac:dyDescent="0.3">
      <c r="A3539" s="678"/>
    </row>
    <row r="3540" spans="1:1" x14ac:dyDescent="0.3">
      <c r="A3540" s="678"/>
    </row>
    <row r="3541" spans="1:1" x14ac:dyDescent="0.3">
      <c r="A3541" s="678"/>
    </row>
    <row r="3542" spans="1:1" x14ac:dyDescent="0.3">
      <c r="A3542" s="678"/>
    </row>
    <row r="3543" spans="1:1" x14ac:dyDescent="0.3">
      <c r="A3543" s="678"/>
    </row>
    <row r="3544" spans="1:1" x14ac:dyDescent="0.3">
      <c r="A3544" s="678"/>
    </row>
    <row r="3545" spans="1:1" x14ac:dyDescent="0.3">
      <c r="A3545" s="678"/>
    </row>
    <row r="3546" spans="1:1" x14ac:dyDescent="0.3">
      <c r="A3546" s="678"/>
    </row>
    <row r="3547" spans="1:1" x14ac:dyDescent="0.3">
      <c r="A3547" s="678"/>
    </row>
    <row r="3548" spans="1:1" x14ac:dyDescent="0.3">
      <c r="A3548" s="678"/>
    </row>
    <row r="3549" spans="1:1" x14ac:dyDescent="0.3">
      <c r="A3549" s="678"/>
    </row>
    <row r="3550" spans="1:1" x14ac:dyDescent="0.3">
      <c r="A3550" s="678"/>
    </row>
    <row r="3551" spans="1:1" x14ac:dyDescent="0.3">
      <c r="A3551" s="678"/>
    </row>
    <row r="3552" spans="1:1" x14ac:dyDescent="0.3">
      <c r="A3552" s="678"/>
    </row>
    <row r="3553" spans="1:1" x14ac:dyDescent="0.3">
      <c r="A3553" s="678"/>
    </row>
    <row r="3554" spans="1:1" x14ac:dyDescent="0.3">
      <c r="A3554" s="678"/>
    </row>
    <row r="3555" spans="1:1" x14ac:dyDescent="0.3">
      <c r="A3555" s="678"/>
    </row>
    <row r="3556" spans="1:1" x14ac:dyDescent="0.3">
      <c r="A3556" s="678"/>
    </row>
    <row r="3557" spans="1:1" x14ac:dyDescent="0.3">
      <c r="A3557" s="678"/>
    </row>
    <row r="3558" spans="1:1" x14ac:dyDescent="0.3">
      <c r="A3558" s="678"/>
    </row>
    <row r="3559" spans="1:1" x14ac:dyDescent="0.3">
      <c r="A3559" s="678"/>
    </row>
    <row r="3560" spans="1:1" x14ac:dyDescent="0.3">
      <c r="A3560" s="678"/>
    </row>
    <row r="3561" spans="1:1" x14ac:dyDescent="0.3">
      <c r="A3561" s="678"/>
    </row>
    <row r="3562" spans="1:1" x14ac:dyDescent="0.3">
      <c r="A3562" s="678"/>
    </row>
    <row r="3563" spans="1:1" x14ac:dyDescent="0.3">
      <c r="A3563" s="678"/>
    </row>
    <row r="3564" spans="1:1" x14ac:dyDescent="0.3">
      <c r="A3564" s="678"/>
    </row>
    <row r="3565" spans="1:1" x14ac:dyDescent="0.3">
      <c r="A3565" s="678"/>
    </row>
    <row r="3566" spans="1:1" x14ac:dyDescent="0.3">
      <c r="A3566" s="678"/>
    </row>
    <row r="3567" spans="1:1" x14ac:dyDescent="0.3">
      <c r="A3567" s="678"/>
    </row>
    <row r="3568" spans="1:1" x14ac:dyDescent="0.3">
      <c r="A3568" s="678"/>
    </row>
    <row r="3569" spans="1:1" x14ac:dyDescent="0.3">
      <c r="A3569" s="678"/>
    </row>
    <row r="3570" spans="1:1" x14ac:dyDescent="0.3">
      <c r="A3570" s="678"/>
    </row>
    <row r="3571" spans="1:1" x14ac:dyDescent="0.3">
      <c r="A3571" s="678"/>
    </row>
    <row r="3572" spans="1:1" x14ac:dyDescent="0.3">
      <c r="A3572" s="678"/>
    </row>
    <row r="3573" spans="1:1" x14ac:dyDescent="0.3">
      <c r="A3573" s="678"/>
    </row>
    <row r="3574" spans="1:1" x14ac:dyDescent="0.3">
      <c r="A3574" s="678"/>
    </row>
    <row r="3575" spans="1:1" x14ac:dyDescent="0.3">
      <c r="A3575" s="678"/>
    </row>
    <row r="3576" spans="1:1" x14ac:dyDescent="0.3">
      <c r="A3576" s="678"/>
    </row>
    <row r="3577" spans="1:1" x14ac:dyDescent="0.3">
      <c r="A3577" s="678"/>
    </row>
    <row r="3578" spans="1:1" x14ac:dyDescent="0.3">
      <c r="A3578" s="678"/>
    </row>
    <row r="3579" spans="1:1" x14ac:dyDescent="0.3">
      <c r="A3579" s="678"/>
    </row>
    <row r="3580" spans="1:1" x14ac:dyDescent="0.3">
      <c r="A3580" s="678"/>
    </row>
    <row r="3581" spans="1:1" x14ac:dyDescent="0.3">
      <c r="A3581" s="678"/>
    </row>
    <row r="3582" spans="1:1" x14ac:dyDescent="0.3">
      <c r="A3582" s="678"/>
    </row>
    <row r="3583" spans="1:1" x14ac:dyDescent="0.3">
      <c r="A3583" s="678"/>
    </row>
    <row r="3584" spans="1:1" x14ac:dyDescent="0.3">
      <c r="A3584" s="678"/>
    </row>
    <row r="3585" spans="1:1" x14ac:dyDescent="0.3">
      <c r="A3585" s="678"/>
    </row>
    <row r="3586" spans="1:1" x14ac:dyDescent="0.3">
      <c r="A3586" s="678"/>
    </row>
    <row r="3587" spans="1:1" x14ac:dyDescent="0.3">
      <c r="A3587" s="678"/>
    </row>
    <row r="3588" spans="1:1" x14ac:dyDescent="0.3">
      <c r="A3588" s="678"/>
    </row>
    <row r="3589" spans="1:1" x14ac:dyDescent="0.3">
      <c r="A3589" s="678"/>
    </row>
    <row r="3590" spans="1:1" x14ac:dyDescent="0.3">
      <c r="A3590" s="678"/>
    </row>
    <row r="3591" spans="1:1" x14ac:dyDescent="0.3">
      <c r="A3591" s="678"/>
    </row>
    <row r="3592" spans="1:1" x14ac:dyDescent="0.3">
      <c r="A3592" s="678"/>
    </row>
    <row r="3593" spans="1:1" x14ac:dyDescent="0.3">
      <c r="A3593" s="678"/>
    </row>
    <row r="3594" spans="1:1" x14ac:dyDescent="0.3">
      <c r="A3594" s="678"/>
    </row>
    <row r="3595" spans="1:1" x14ac:dyDescent="0.3">
      <c r="A3595" s="678"/>
    </row>
    <row r="3596" spans="1:1" x14ac:dyDescent="0.3">
      <c r="A3596" s="678"/>
    </row>
    <row r="3597" spans="1:1" x14ac:dyDescent="0.3">
      <c r="A3597" s="678"/>
    </row>
    <row r="3598" spans="1:1" x14ac:dyDescent="0.3">
      <c r="A3598" s="678"/>
    </row>
    <row r="3599" spans="1:1" x14ac:dyDescent="0.3">
      <c r="A3599" s="678"/>
    </row>
    <row r="3600" spans="1:1" x14ac:dyDescent="0.3">
      <c r="A3600" s="678"/>
    </row>
    <row r="3601" spans="1:1" x14ac:dyDescent="0.3">
      <c r="A3601" s="678"/>
    </row>
    <row r="3602" spans="1:1" x14ac:dyDescent="0.3">
      <c r="A3602" s="678"/>
    </row>
    <row r="3603" spans="1:1" x14ac:dyDescent="0.3">
      <c r="A3603" s="678"/>
    </row>
    <row r="3604" spans="1:1" x14ac:dyDescent="0.3">
      <c r="A3604" s="678"/>
    </row>
    <row r="3605" spans="1:1" x14ac:dyDescent="0.3">
      <c r="A3605" s="678"/>
    </row>
    <row r="3606" spans="1:1" x14ac:dyDescent="0.3">
      <c r="A3606" s="678"/>
    </row>
    <row r="3607" spans="1:1" x14ac:dyDescent="0.3">
      <c r="A3607" s="678"/>
    </row>
    <row r="3608" spans="1:1" x14ac:dyDescent="0.3">
      <c r="A3608" s="678"/>
    </row>
    <row r="3609" spans="1:1" x14ac:dyDescent="0.3">
      <c r="A3609" s="678"/>
    </row>
    <row r="3610" spans="1:1" x14ac:dyDescent="0.3">
      <c r="A3610" s="678"/>
    </row>
    <row r="3611" spans="1:1" x14ac:dyDescent="0.3">
      <c r="A3611" s="678"/>
    </row>
    <row r="3612" spans="1:1" x14ac:dyDescent="0.3">
      <c r="A3612" s="678"/>
    </row>
    <row r="3613" spans="1:1" x14ac:dyDescent="0.3">
      <c r="A3613" s="678"/>
    </row>
    <row r="3614" spans="1:1" x14ac:dyDescent="0.3">
      <c r="A3614" s="678"/>
    </row>
    <row r="3615" spans="1:1" x14ac:dyDescent="0.3">
      <c r="A3615" s="678"/>
    </row>
    <row r="3616" spans="1:1" x14ac:dyDescent="0.3">
      <c r="A3616" s="678"/>
    </row>
    <row r="3617" spans="1:1" x14ac:dyDescent="0.3">
      <c r="A3617" s="678"/>
    </row>
    <row r="3618" spans="1:1" x14ac:dyDescent="0.3">
      <c r="A3618" s="678"/>
    </row>
    <row r="3619" spans="1:1" x14ac:dyDescent="0.3">
      <c r="A3619" s="678"/>
    </row>
    <row r="3620" spans="1:1" x14ac:dyDescent="0.3">
      <c r="A3620" s="678"/>
    </row>
    <row r="3621" spans="1:1" x14ac:dyDescent="0.3">
      <c r="A3621" s="678"/>
    </row>
    <row r="3622" spans="1:1" x14ac:dyDescent="0.3">
      <c r="A3622" s="678"/>
    </row>
    <row r="3623" spans="1:1" x14ac:dyDescent="0.3">
      <c r="A3623" s="678"/>
    </row>
    <row r="3624" spans="1:1" x14ac:dyDescent="0.3">
      <c r="A3624" s="678"/>
    </row>
    <row r="3625" spans="1:1" x14ac:dyDescent="0.3">
      <c r="A3625" s="678"/>
    </row>
    <row r="3626" spans="1:1" x14ac:dyDescent="0.3">
      <c r="A3626" s="678"/>
    </row>
    <row r="3627" spans="1:1" x14ac:dyDescent="0.3">
      <c r="A3627" s="678"/>
    </row>
    <row r="3628" spans="1:1" x14ac:dyDescent="0.3">
      <c r="A3628" s="678"/>
    </row>
    <row r="3629" spans="1:1" x14ac:dyDescent="0.3">
      <c r="A3629" s="678"/>
    </row>
    <row r="3630" spans="1:1" x14ac:dyDescent="0.3">
      <c r="A3630" s="678"/>
    </row>
    <row r="3631" spans="1:1" x14ac:dyDescent="0.3">
      <c r="A3631" s="678"/>
    </row>
    <row r="3632" spans="1:1" x14ac:dyDescent="0.3">
      <c r="A3632" s="678"/>
    </row>
    <row r="3633" spans="1:1" x14ac:dyDescent="0.3">
      <c r="A3633" s="678"/>
    </row>
    <row r="3634" spans="1:1" x14ac:dyDescent="0.3">
      <c r="A3634" s="678"/>
    </row>
    <row r="3635" spans="1:1" x14ac:dyDescent="0.3">
      <c r="A3635" s="678"/>
    </row>
    <row r="3636" spans="1:1" x14ac:dyDescent="0.3">
      <c r="A3636" s="678"/>
    </row>
    <row r="3637" spans="1:1" x14ac:dyDescent="0.3">
      <c r="A3637" s="678"/>
    </row>
    <row r="3638" spans="1:1" x14ac:dyDescent="0.3">
      <c r="A3638" s="678"/>
    </row>
    <row r="3639" spans="1:1" x14ac:dyDescent="0.3">
      <c r="A3639" s="678"/>
    </row>
    <row r="3640" spans="1:1" x14ac:dyDescent="0.3">
      <c r="A3640" s="678"/>
    </row>
    <row r="3641" spans="1:1" x14ac:dyDescent="0.3">
      <c r="A3641" s="678"/>
    </row>
    <row r="3642" spans="1:1" x14ac:dyDescent="0.3">
      <c r="A3642" s="678"/>
    </row>
    <row r="3643" spans="1:1" x14ac:dyDescent="0.3">
      <c r="A3643" s="678"/>
    </row>
    <row r="3644" spans="1:1" x14ac:dyDescent="0.3">
      <c r="A3644" s="678"/>
    </row>
    <row r="3645" spans="1:1" x14ac:dyDescent="0.3">
      <c r="A3645" s="678"/>
    </row>
    <row r="3646" spans="1:1" x14ac:dyDescent="0.3">
      <c r="A3646" s="678"/>
    </row>
    <row r="3647" spans="1:1" x14ac:dyDescent="0.3">
      <c r="A3647" s="678"/>
    </row>
    <row r="3648" spans="1:1" x14ac:dyDescent="0.3">
      <c r="A3648" s="678"/>
    </row>
    <row r="3649" spans="1:1" x14ac:dyDescent="0.3">
      <c r="A3649" s="678"/>
    </row>
    <row r="3650" spans="1:1" x14ac:dyDescent="0.3">
      <c r="A3650" s="678"/>
    </row>
    <row r="3651" spans="1:1" x14ac:dyDescent="0.3">
      <c r="A3651" s="678"/>
    </row>
    <row r="3652" spans="1:1" x14ac:dyDescent="0.3">
      <c r="A3652" s="678"/>
    </row>
    <row r="3653" spans="1:1" x14ac:dyDescent="0.3">
      <c r="A3653" s="678"/>
    </row>
    <row r="3654" spans="1:1" x14ac:dyDescent="0.3">
      <c r="A3654" s="678"/>
    </row>
    <row r="3655" spans="1:1" x14ac:dyDescent="0.3">
      <c r="A3655" s="678"/>
    </row>
    <row r="3656" spans="1:1" x14ac:dyDescent="0.3">
      <c r="A3656" s="678"/>
    </row>
    <row r="3657" spans="1:1" x14ac:dyDescent="0.3">
      <c r="A3657" s="678"/>
    </row>
    <row r="3658" spans="1:1" x14ac:dyDescent="0.3">
      <c r="A3658" s="678"/>
    </row>
    <row r="3659" spans="1:1" x14ac:dyDescent="0.3">
      <c r="A3659" s="678"/>
    </row>
    <row r="3660" spans="1:1" x14ac:dyDescent="0.3">
      <c r="A3660" s="678"/>
    </row>
    <row r="3661" spans="1:1" x14ac:dyDescent="0.3">
      <c r="A3661" s="678"/>
    </row>
    <row r="3662" spans="1:1" x14ac:dyDescent="0.3">
      <c r="A3662" s="678"/>
    </row>
    <row r="3663" spans="1:1" x14ac:dyDescent="0.3">
      <c r="A3663" s="678"/>
    </row>
    <row r="3664" spans="1:1" x14ac:dyDescent="0.3">
      <c r="A3664" s="678"/>
    </row>
    <row r="3665" spans="1:1" x14ac:dyDescent="0.3">
      <c r="A3665" s="678"/>
    </row>
    <row r="3666" spans="1:1" x14ac:dyDescent="0.3">
      <c r="A3666" s="678"/>
    </row>
    <row r="3667" spans="1:1" x14ac:dyDescent="0.3">
      <c r="A3667" s="678"/>
    </row>
    <row r="3668" spans="1:1" x14ac:dyDescent="0.3">
      <c r="A3668" s="678"/>
    </row>
    <row r="3669" spans="1:1" x14ac:dyDescent="0.3">
      <c r="A3669" s="678"/>
    </row>
    <row r="3670" spans="1:1" x14ac:dyDescent="0.3">
      <c r="A3670" s="678"/>
    </row>
    <row r="3671" spans="1:1" x14ac:dyDescent="0.3">
      <c r="A3671" s="678"/>
    </row>
    <row r="3672" spans="1:1" x14ac:dyDescent="0.3">
      <c r="A3672" s="678"/>
    </row>
    <row r="3673" spans="1:1" x14ac:dyDescent="0.3">
      <c r="A3673" s="678"/>
    </row>
    <row r="3674" spans="1:1" x14ac:dyDescent="0.3">
      <c r="A3674" s="678"/>
    </row>
    <row r="3675" spans="1:1" x14ac:dyDescent="0.3">
      <c r="A3675" s="678"/>
    </row>
    <row r="3676" spans="1:1" x14ac:dyDescent="0.3">
      <c r="A3676" s="678"/>
    </row>
    <row r="3677" spans="1:1" x14ac:dyDescent="0.3">
      <c r="A3677" s="678"/>
    </row>
    <row r="3678" spans="1:1" x14ac:dyDescent="0.3">
      <c r="A3678" s="678"/>
    </row>
    <row r="3679" spans="1:1" x14ac:dyDescent="0.3">
      <c r="A3679" s="678"/>
    </row>
    <row r="3680" spans="1:1" x14ac:dyDescent="0.3">
      <c r="A3680" s="678"/>
    </row>
    <row r="3681" spans="1:1" x14ac:dyDescent="0.3">
      <c r="A3681" s="678"/>
    </row>
    <row r="3682" spans="1:1" x14ac:dyDescent="0.3">
      <c r="A3682" s="678"/>
    </row>
    <row r="3683" spans="1:1" x14ac:dyDescent="0.3">
      <c r="A3683" s="678"/>
    </row>
    <row r="3684" spans="1:1" x14ac:dyDescent="0.3">
      <c r="A3684" s="678"/>
    </row>
    <row r="3685" spans="1:1" x14ac:dyDescent="0.3">
      <c r="A3685" s="678"/>
    </row>
    <row r="3686" spans="1:1" x14ac:dyDescent="0.3">
      <c r="A3686" s="678"/>
    </row>
    <row r="3687" spans="1:1" x14ac:dyDescent="0.3">
      <c r="A3687" s="678"/>
    </row>
    <row r="3688" spans="1:1" x14ac:dyDescent="0.3">
      <c r="A3688" s="678"/>
    </row>
    <row r="3689" spans="1:1" x14ac:dyDescent="0.3">
      <c r="A3689" s="678"/>
    </row>
    <row r="3690" spans="1:1" x14ac:dyDescent="0.3">
      <c r="A3690" s="678"/>
    </row>
    <row r="3691" spans="1:1" x14ac:dyDescent="0.3">
      <c r="A3691" s="678"/>
    </row>
    <row r="3692" spans="1:1" x14ac:dyDescent="0.3">
      <c r="A3692" s="678"/>
    </row>
    <row r="3693" spans="1:1" x14ac:dyDescent="0.3">
      <c r="A3693" s="678"/>
    </row>
    <row r="3694" spans="1:1" x14ac:dyDescent="0.3">
      <c r="A3694" s="678"/>
    </row>
    <row r="3695" spans="1:1" x14ac:dyDescent="0.3">
      <c r="A3695" s="678"/>
    </row>
    <row r="3696" spans="1:1" x14ac:dyDescent="0.3">
      <c r="A3696" s="678"/>
    </row>
    <row r="3697" spans="1:1" x14ac:dyDescent="0.3">
      <c r="A3697" s="678"/>
    </row>
    <row r="3698" spans="1:1" x14ac:dyDescent="0.3">
      <c r="A3698" s="678"/>
    </row>
    <row r="3699" spans="1:1" x14ac:dyDescent="0.3">
      <c r="A3699" s="678"/>
    </row>
    <row r="3700" spans="1:1" x14ac:dyDescent="0.3">
      <c r="A3700" s="678"/>
    </row>
    <row r="3701" spans="1:1" x14ac:dyDescent="0.3">
      <c r="A3701" s="678"/>
    </row>
    <row r="3702" spans="1:1" x14ac:dyDescent="0.3">
      <c r="A3702" s="678"/>
    </row>
    <row r="3703" spans="1:1" x14ac:dyDescent="0.3">
      <c r="A3703" s="678"/>
    </row>
    <row r="3704" spans="1:1" x14ac:dyDescent="0.3">
      <c r="A3704" s="678"/>
    </row>
    <row r="3705" spans="1:1" x14ac:dyDescent="0.3">
      <c r="A3705" s="678"/>
    </row>
    <row r="3706" spans="1:1" x14ac:dyDescent="0.3">
      <c r="A3706" s="678"/>
    </row>
    <row r="3707" spans="1:1" x14ac:dyDescent="0.3">
      <c r="A3707" s="678"/>
    </row>
    <row r="3708" spans="1:1" x14ac:dyDescent="0.3">
      <c r="A3708" s="678"/>
    </row>
    <row r="3709" spans="1:1" x14ac:dyDescent="0.3">
      <c r="A3709" s="678"/>
    </row>
    <row r="3710" spans="1:1" x14ac:dyDescent="0.3">
      <c r="A3710" s="678"/>
    </row>
    <row r="3711" spans="1:1" x14ac:dyDescent="0.3">
      <c r="A3711" s="678"/>
    </row>
    <row r="3712" spans="1:1" x14ac:dyDescent="0.3">
      <c r="A3712" s="678"/>
    </row>
    <row r="3713" spans="1:1" x14ac:dyDescent="0.3">
      <c r="A3713" s="678"/>
    </row>
    <row r="3714" spans="1:1" x14ac:dyDescent="0.3">
      <c r="A3714" s="678"/>
    </row>
    <row r="3715" spans="1:1" x14ac:dyDescent="0.3">
      <c r="A3715" s="678"/>
    </row>
    <row r="3716" spans="1:1" x14ac:dyDescent="0.3">
      <c r="A3716" s="678"/>
    </row>
    <row r="3717" spans="1:1" x14ac:dyDescent="0.3">
      <c r="A3717" s="678"/>
    </row>
    <row r="3718" spans="1:1" x14ac:dyDescent="0.3">
      <c r="A3718" s="678"/>
    </row>
    <row r="3719" spans="1:1" x14ac:dyDescent="0.3">
      <c r="A3719" s="678"/>
    </row>
    <row r="3720" spans="1:1" x14ac:dyDescent="0.3">
      <c r="A3720" s="678"/>
    </row>
    <row r="3721" spans="1:1" x14ac:dyDescent="0.3">
      <c r="A3721" s="678"/>
    </row>
    <row r="3722" spans="1:1" x14ac:dyDescent="0.3">
      <c r="A3722" s="678"/>
    </row>
    <row r="3723" spans="1:1" x14ac:dyDescent="0.3">
      <c r="A3723" s="678"/>
    </row>
    <row r="3724" spans="1:1" x14ac:dyDescent="0.3">
      <c r="A3724" s="678"/>
    </row>
    <row r="3725" spans="1:1" x14ac:dyDescent="0.3">
      <c r="A3725" s="678"/>
    </row>
    <row r="3726" spans="1:1" x14ac:dyDescent="0.3">
      <c r="A3726" s="678"/>
    </row>
    <row r="3727" spans="1:1" x14ac:dyDescent="0.3">
      <c r="A3727" s="678"/>
    </row>
    <row r="3728" spans="1:1" x14ac:dyDescent="0.3">
      <c r="A3728" s="678"/>
    </row>
    <row r="3729" spans="1:1" x14ac:dyDescent="0.3">
      <c r="A3729" s="678"/>
    </row>
    <row r="3730" spans="1:1" x14ac:dyDescent="0.3">
      <c r="A3730" s="678"/>
    </row>
    <row r="3731" spans="1:1" x14ac:dyDescent="0.3">
      <c r="A3731" s="678"/>
    </row>
    <row r="3732" spans="1:1" x14ac:dyDescent="0.3">
      <c r="A3732" s="678"/>
    </row>
    <row r="3733" spans="1:1" x14ac:dyDescent="0.3">
      <c r="A3733" s="678"/>
    </row>
    <row r="3734" spans="1:1" x14ac:dyDescent="0.3">
      <c r="A3734" s="678"/>
    </row>
    <row r="3735" spans="1:1" x14ac:dyDescent="0.3">
      <c r="A3735" s="678"/>
    </row>
    <row r="3736" spans="1:1" x14ac:dyDescent="0.3">
      <c r="A3736" s="678"/>
    </row>
    <row r="3737" spans="1:1" x14ac:dyDescent="0.3">
      <c r="A3737" s="678"/>
    </row>
    <row r="3738" spans="1:1" x14ac:dyDescent="0.3">
      <c r="A3738" s="678"/>
    </row>
    <row r="3739" spans="1:1" x14ac:dyDescent="0.3">
      <c r="A3739" s="678"/>
    </row>
    <row r="3740" spans="1:1" x14ac:dyDescent="0.3">
      <c r="A3740" s="678"/>
    </row>
    <row r="3741" spans="1:1" x14ac:dyDescent="0.3">
      <c r="A3741" s="678"/>
    </row>
    <row r="3742" spans="1:1" x14ac:dyDescent="0.3">
      <c r="A3742" s="678"/>
    </row>
    <row r="3743" spans="1:1" x14ac:dyDescent="0.3">
      <c r="A3743" s="678"/>
    </row>
    <row r="3744" spans="1:1" x14ac:dyDescent="0.3">
      <c r="A3744" s="678"/>
    </row>
    <row r="3745" spans="1:1" x14ac:dyDescent="0.3">
      <c r="A3745" s="678"/>
    </row>
    <row r="3746" spans="1:1" x14ac:dyDescent="0.3">
      <c r="A3746" s="678"/>
    </row>
    <row r="3747" spans="1:1" x14ac:dyDescent="0.3">
      <c r="A3747" s="678"/>
    </row>
    <row r="3748" spans="1:1" x14ac:dyDescent="0.3">
      <c r="A3748" s="678"/>
    </row>
    <row r="3749" spans="1:1" x14ac:dyDescent="0.3">
      <c r="A3749" s="678"/>
    </row>
    <row r="3750" spans="1:1" x14ac:dyDescent="0.3">
      <c r="A3750" s="678"/>
    </row>
    <row r="3751" spans="1:1" x14ac:dyDescent="0.3">
      <c r="A3751" s="678"/>
    </row>
    <row r="3752" spans="1:1" x14ac:dyDescent="0.3">
      <c r="A3752" s="678"/>
    </row>
    <row r="3753" spans="1:1" x14ac:dyDescent="0.3">
      <c r="A3753" s="678"/>
    </row>
    <row r="3754" spans="1:1" x14ac:dyDescent="0.3">
      <c r="A3754" s="678"/>
    </row>
    <row r="3755" spans="1:1" x14ac:dyDescent="0.3">
      <c r="A3755" s="678"/>
    </row>
    <row r="3756" spans="1:1" x14ac:dyDescent="0.3">
      <c r="A3756" s="678"/>
    </row>
    <row r="3757" spans="1:1" x14ac:dyDescent="0.3">
      <c r="A3757" s="678"/>
    </row>
    <row r="3758" spans="1:1" x14ac:dyDescent="0.3">
      <c r="A3758" s="678"/>
    </row>
    <row r="3759" spans="1:1" x14ac:dyDescent="0.3">
      <c r="A3759" s="678"/>
    </row>
    <row r="3760" spans="1:1" x14ac:dyDescent="0.3">
      <c r="A3760" s="678"/>
    </row>
    <row r="3761" spans="1:1" x14ac:dyDescent="0.3">
      <c r="A3761" s="678"/>
    </row>
    <row r="3762" spans="1:1" x14ac:dyDescent="0.3">
      <c r="A3762" s="678"/>
    </row>
    <row r="3763" spans="1:1" x14ac:dyDescent="0.3">
      <c r="A3763" s="678"/>
    </row>
    <row r="3764" spans="1:1" x14ac:dyDescent="0.3">
      <c r="A3764" s="678"/>
    </row>
    <row r="3765" spans="1:1" x14ac:dyDescent="0.3">
      <c r="A3765" s="678"/>
    </row>
    <row r="3766" spans="1:1" x14ac:dyDescent="0.3">
      <c r="A3766" s="678"/>
    </row>
    <row r="3767" spans="1:1" x14ac:dyDescent="0.3">
      <c r="A3767" s="678"/>
    </row>
    <row r="3768" spans="1:1" x14ac:dyDescent="0.3">
      <c r="A3768" s="678"/>
    </row>
    <row r="3769" spans="1:1" x14ac:dyDescent="0.3">
      <c r="A3769" s="678"/>
    </row>
    <row r="3770" spans="1:1" x14ac:dyDescent="0.3">
      <c r="A3770" s="678"/>
    </row>
    <row r="3771" spans="1:1" x14ac:dyDescent="0.3">
      <c r="A3771" s="678"/>
    </row>
    <row r="3772" spans="1:1" x14ac:dyDescent="0.3">
      <c r="A3772" s="678"/>
    </row>
    <row r="3773" spans="1:1" x14ac:dyDescent="0.3">
      <c r="A3773" s="678"/>
    </row>
    <row r="3774" spans="1:1" x14ac:dyDescent="0.3">
      <c r="A3774" s="678"/>
    </row>
    <row r="3775" spans="1:1" x14ac:dyDescent="0.3">
      <c r="A3775" s="678"/>
    </row>
    <row r="3776" spans="1:1" x14ac:dyDescent="0.3">
      <c r="A3776" s="678"/>
    </row>
    <row r="3777" spans="1:1" x14ac:dyDescent="0.3">
      <c r="A3777" s="678"/>
    </row>
    <row r="3778" spans="1:1" x14ac:dyDescent="0.3">
      <c r="A3778" s="678"/>
    </row>
    <row r="3779" spans="1:1" x14ac:dyDescent="0.3">
      <c r="A3779" s="678"/>
    </row>
    <row r="3780" spans="1:1" x14ac:dyDescent="0.3">
      <c r="A3780" s="678"/>
    </row>
    <row r="3781" spans="1:1" x14ac:dyDescent="0.3">
      <c r="A3781" s="678"/>
    </row>
    <row r="3782" spans="1:1" x14ac:dyDescent="0.3">
      <c r="A3782" s="678"/>
    </row>
    <row r="3783" spans="1:1" x14ac:dyDescent="0.3">
      <c r="A3783" s="678"/>
    </row>
    <row r="3784" spans="1:1" x14ac:dyDescent="0.3">
      <c r="A3784" s="678"/>
    </row>
    <row r="3785" spans="1:1" x14ac:dyDescent="0.3">
      <c r="A3785" s="678"/>
    </row>
    <row r="3786" spans="1:1" x14ac:dyDescent="0.3">
      <c r="A3786" s="678"/>
    </row>
    <row r="3787" spans="1:1" x14ac:dyDescent="0.3">
      <c r="A3787" s="678"/>
    </row>
    <row r="3788" spans="1:1" x14ac:dyDescent="0.3">
      <c r="A3788" s="678"/>
    </row>
    <row r="3789" spans="1:1" x14ac:dyDescent="0.3">
      <c r="A3789" s="678"/>
    </row>
    <row r="3790" spans="1:1" x14ac:dyDescent="0.3">
      <c r="A3790" s="678"/>
    </row>
    <row r="3791" spans="1:1" x14ac:dyDescent="0.3">
      <c r="A3791" s="678"/>
    </row>
    <row r="3792" spans="1:1" x14ac:dyDescent="0.3">
      <c r="A3792" s="678"/>
    </row>
    <row r="3793" spans="1:1" x14ac:dyDescent="0.3">
      <c r="A3793" s="678"/>
    </row>
    <row r="3794" spans="1:1" x14ac:dyDescent="0.3">
      <c r="A3794" s="678"/>
    </row>
    <row r="3795" spans="1:1" x14ac:dyDescent="0.3">
      <c r="A3795" s="678"/>
    </row>
    <row r="3796" spans="1:1" x14ac:dyDescent="0.3">
      <c r="A3796" s="678"/>
    </row>
    <row r="3797" spans="1:1" x14ac:dyDescent="0.3">
      <c r="A3797" s="678"/>
    </row>
    <row r="3798" spans="1:1" x14ac:dyDescent="0.3">
      <c r="A3798" s="678"/>
    </row>
    <row r="3799" spans="1:1" x14ac:dyDescent="0.3">
      <c r="A3799" s="678"/>
    </row>
    <row r="3800" spans="1:1" x14ac:dyDescent="0.3">
      <c r="A3800" s="678"/>
    </row>
    <row r="3801" spans="1:1" x14ac:dyDescent="0.3">
      <c r="A3801" s="678"/>
    </row>
    <row r="3802" spans="1:1" x14ac:dyDescent="0.3">
      <c r="A3802" s="678"/>
    </row>
    <row r="3803" spans="1:1" x14ac:dyDescent="0.3">
      <c r="A3803" s="678"/>
    </row>
    <row r="3804" spans="1:1" x14ac:dyDescent="0.3">
      <c r="A3804" s="678"/>
    </row>
    <row r="3805" spans="1:1" x14ac:dyDescent="0.3">
      <c r="A3805" s="678"/>
    </row>
    <row r="3806" spans="1:1" x14ac:dyDescent="0.3">
      <c r="A3806" s="678"/>
    </row>
    <row r="3807" spans="1:1" x14ac:dyDescent="0.3">
      <c r="A3807" s="678"/>
    </row>
    <row r="3808" spans="1:1" x14ac:dyDescent="0.3">
      <c r="A3808" s="678"/>
    </row>
    <row r="3809" spans="1:1" x14ac:dyDescent="0.3">
      <c r="A3809" s="678"/>
    </row>
    <row r="3810" spans="1:1" x14ac:dyDescent="0.3">
      <c r="A3810" s="678"/>
    </row>
    <row r="3811" spans="1:1" x14ac:dyDescent="0.3">
      <c r="A3811" s="678"/>
    </row>
    <row r="3812" spans="1:1" x14ac:dyDescent="0.3">
      <c r="A3812" s="678"/>
    </row>
    <row r="3813" spans="1:1" x14ac:dyDescent="0.3">
      <c r="A3813" s="678"/>
    </row>
    <row r="3814" spans="1:1" x14ac:dyDescent="0.3">
      <c r="A3814" s="678"/>
    </row>
    <row r="3815" spans="1:1" x14ac:dyDescent="0.3">
      <c r="A3815" s="678"/>
    </row>
    <row r="3816" spans="1:1" x14ac:dyDescent="0.3">
      <c r="A3816" s="678"/>
    </row>
    <row r="3817" spans="1:1" x14ac:dyDescent="0.3">
      <c r="A3817" s="678"/>
    </row>
    <row r="3818" spans="1:1" x14ac:dyDescent="0.3">
      <c r="A3818" s="678"/>
    </row>
    <row r="3819" spans="1:1" x14ac:dyDescent="0.3">
      <c r="A3819" s="678"/>
    </row>
    <row r="3820" spans="1:1" x14ac:dyDescent="0.3">
      <c r="A3820" s="678"/>
    </row>
    <row r="3821" spans="1:1" x14ac:dyDescent="0.3">
      <c r="A3821" s="678"/>
    </row>
    <row r="3822" spans="1:1" x14ac:dyDescent="0.3">
      <c r="A3822" s="678"/>
    </row>
    <row r="3823" spans="1:1" x14ac:dyDescent="0.3">
      <c r="A3823" s="678"/>
    </row>
    <row r="3824" spans="1:1" x14ac:dyDescent="0.3">
      <c r="A3824" s="678"/>
    </row>
    <row r="3825" spans="1:1" x14ac:dyDescent="0.3">
      <c r="A3825" s="678"/>
    </row>
    <row r="3826" spans="1:1" x14ac:dyDescent="0.3">
      <c r="A3826" s="678"/>
    </row>
    <row r="3827" spans="1:1" x14ac:dyDescent="0.3">
      <c r="A3827" s="678"/>
    </row>
    <row r="3828" spans="1:1" x14ac:dyDescent="0.3">
      <c r="A3828" s="678"/>
    </row>
    <row r="3829" spans="1:1" x14ac:dyDescent="0.3">
      <c r="A3829" s="678"/>
    </row>
    <row r="3830" spans="1:1" x14ac:dyDescent="0.3">
      <c r="A3830" s="678"/>
    </row>
    <row r="3831" spans="1:1" x14ac:dyDescent="0.3">
      <c r="A3831" s="678"/>
    </row>
    <row r="3832" spans="1:1" x14ac:dyDescent="0.3">
      <c r="A3832" s="678"/>
    </row>
    <row r="3833" spans="1:1" x14ac:dyDescent="0.3">
      <c r="A3833" s="678"/>
    </row>
    <row r="3834" spans="1:1" x14ac:dyDescent="0.3">
      <c r="A3834" s="678"/>
    </row>
    <row r="3835" spans="1:1" x14ac:dyDescent="0.3">
      <c r="A3835" s="678"/>
    </row>
    <row r="3836" spans="1:1" x14ac:dyDescent="0.3">
      <c r="A3836" s="678"/>
    </row>
    <row r="3837" spans="1:1" x14ac:dyDescent="0.3">
      <c r="A3837" s="678"/>
    </row>
    <row r="3838" spans="1:1" x14ac:dyDescent="0.3">
      <c r="A3838" s="678"/>
    </row>
    <row r="3839" spans="1:1" x14ac:dyDescent="0.3">
      <c r="A3839" s="678"/>
    </row>
    <row r="3840" spans="1:1" x14ac:dyDescent="0.3">
      <c r="A3840" s="678"/>
    </row>
    <row r="3841" spans="1:1" x14ac:dyDescent="0.3">
      <c r="A3841" s="678"/>
    </row>
    <row r="3842" spans="1:1" x14ac:dyDescent="0.3">
      <c r="A3842" s="678"/>
    </row>
    <row r="3843" spans="1:1" x14ac:dyDescent="0.3">
      <c r="A3843" s="678"/>
    </row>
    <row r="3844" spans="1:1" x14ac:dyDescent="0.3">
      <c r="A3844" s="678"/>
    </row>
    <row r="3845" spans="1:1" x14ac:dyDescent="0.3">
      <c r="A3845" s="678"/>
    </row>
    <row r="3846" spans="1:1" x14ac:dyDescent="0.3">
      <c r="A3846" s="678"/>
    </row>
    <row r="3847" spans="1:1" x14ac:dyDescent="0.3">
      <c r="A3847" s="678"/>
    </row>
    <row r="3848" spans="1:1" x14ac:dyDescent="0.3">
      <c r="A3848" s="678"/>
    </row>
    <row r="3849" spans="1:1" x14ac:dyDescent="0.3">
      <c r="A3849" s="678"/>
    </row>
    <row r="3850" spans="1:1" x14ac:dyDescent="0.3">
      <c r="A3850" s="678"/>
    </row>
    <row r="3851" spans="1:1" x14ac:dyDescent="0.3">
      <c r="A3851" s="678"/>
    </row>
    <row r="3852" spans="1:1" x14ac:dyDescent="0.3">
      <c r="A3852" s="678"/>
    </row>
    <row r="3853" spans="1:1" x14ac:dyDescent="0.3">
      <c r="A3853" s="678"/>
    </row>
    <row r="3854" spans="1:1" x14ac:dyDescent="0.3">
      <c r="A3854" s="678"/>
    </row>
    <row r="3855" spans="1:1" x14ac:dyDescent="0.3">
      <c r="A3855" s="678"/>
    </row>
    <row r="3856" spans="1:1" x14ac:dyDescent="0.3">
      <c r="A3856" s="678"/>
    </row>
    <row r="3857" spans="1:1" x14ac:dyDescent="0.3">
      <c r="A3857" s="678"/>
    </row>
    <row r="3858" spans="1:1" x14ac:dyDescent="0.3">
      <c r="A3858" s="678"/>
    </row>
    <row r="3859" spans="1:1" x14ac:dyDescent="0.3">
      <c r="A3859" s="678"/>
    </row>
    <row r="3860" spans="1:1" x14ac:dyDescent="0.3">
      <c r="A3860" s="678"/>
    </row>
    <row r="3861" spans="1:1" x14ac:dyDescent="0.3">
      <c r="A3861" s="678"/>
    </row>
    <row r="3862" spans="1:1" x14ac:dyDescent="0.3">
      <c r="A3862" s="678"/>
    </row>
    <row r="3863" spans="1:1" x14ac:dyDescent="0.3">
      <c r="A3863" s="678"/>
    </row>
    <row r="3864" spans="1:1" x14ac:dyDescent="0.3">
      <c r="A3864" s="678"/>
    </row>
    <row r="3865" spans="1:1" x14ac:dyDescent="0.3">
      <c r="A3865" s="678"/>
    </row>
    <row r="3866" spans="1:1" x14ac:dyDescent="0.3">
      <c r="A3866" s="678"/>
    </row>
    <row r="3867" spans="1:1" x14ac:dyDescent="0.3">
      <c r="A3867" s="678"/>
    </row>
    <row r="3868" spans="1:1" x14ac:dyDescent="0.3">
      <c r="A3868" s="678"/>
    </row>
    <row r="3869" spans="1:1" x14ac:dyDescent="0.3">
      <c r="A3869" s="678"/>
    </row>
    <row r="3870" spans="1:1" x14ac:dyDescent="0.3">
      <c r="A3870" s="678"/>
    </row>
    <row r="3871" spans="1:1" x14ac:dyDescent="0.3">
      <c r="A3871" s="678"/>
    </row>
    <row r="3872" spans="1:1" x14ac:dyDescent="0.3">
      <c r="A3872" s="678"/>
    </row>
    <row r="3873" spans="1:1" x14ac:dyDescent="0.3">
      <c r="A3873" s="678"/>
    </row>
    <row r="3874" spans="1:1" x14ac:dyDescent="0.3">
      <c r="A3874" s="678"/>
    </row>
    <row r="3875" spans="1:1" x14ac:dyDescent="0.3">
      <c r="A3875" s="678"/>
    </row>
    <row r="3876" spans="1:1" x14ac:dyDescent="0.3">
      <c r="A3876" s="678"/>
    </row>
    <row r="3877" spans="1:1" x14ac:dyDescent="0.3">
      <c r="A3877" s="678"/>
    </row>
    <row r="3878" spans="1:1" x14ac:dyDescent="0.3">
      <c r="A3878" s="678"/>
    </row>
    <row r="3879" spans="1:1" x14ac:dyDescent="0.3">
      <c r="A3879" s="678"/>
    </row>
    <row r="3880" spans="1:1" x14ac:dyDescent="0.3">
      <c r="A3880" s="678"/>
    </row>
    <row r="3881" spans="1:1" x14ac:dyDescent="0.3">
      <c r="A3881" s="678"/>
    </row>
    <row r="3882" spans="1:1" x14ac:dyDescent="0.3">
      <c r="A3882" s="678"/>
    </row>
    <row r="3883" spans="1:1" x14ac:dyDescent="0.3">
      <c r="A3883" s="678"/>
    </row>
    <row r="3884" spans="1:1" x14ac:dyDescent="0.3">
      <c r="A3884" s="678"/>
    </row>
    <row r="3885" spans="1:1" x14ac:dyDescent="0.3">
      <c r="A3885" s="678"/>
    </row>
    <row r="3886" spans="1:1" x14ac:dyDescent="0.3">
      <c r="A3886" s="678"/>
    </row>
    <row r="3887" spans="1:1" x14ac:dyDescent="0.3">
      <c r="A3887" s="678"/>
    </row>
    <row r="3888" spans="1:1" x14ac:dyDescent="0.3">
      <c r="A3888" s="678"/>
    </row>
    <row r="3889" spans="1:1" x14ac:dyDescent="0.3">
      <c r="A3889" s="678"/>
    </row>
    <row r="3890" spans="1:1" x14ac:dyDescent="0.3">
      <c r="A3890" s="678"/>
    </row>
    <row r="3891" spans="1:1" x14ac:dyDescent="0.3">
      <c r="A3891" s="678"/>
    </row>
    <row r="3892" spans="1:1" x14ac:dyDescent="0.3">
      <c r="A3892" s="678"/>
    </row>
    <row r="3893" spans="1:1" x14ac:dyDescent="0.3">
      <c r="A3893" s="678"/>
    </row>
    <row r="3894" spans="1:1" x14ac:dyDescent="0.3">
      <c r="A3894" s="678"/>
    </row>
    <row r="3895" spans="1:1" x14ac:dyDescent="0.3">
      <c r="A3895" s="678"/>
    </row>
    <row r="3896" spans="1:1" x14ac:dyDescent="0.3">
      <c r="A3896" s="678"/>
    </row>
    <row r="3897" spans="1:1" x14ac:dyDescent="0.3">
      <c r="A3897" s="678"/>
    </row>
    <row r="3898" spans="1:1" x14ac:dyDescent="0.3">
      <c r="A3898" s="678"/>
    </row>
    <row r="3899" spans="1:1" x14ac:dyDescent="0.3">
      <c r="A3899" s="678"/>
    </row>
    <row r="3900" spans="1:1" x14ac:dyDescent="0.3">
      <c r="A3900" s="678"/>
    </row>
    <row r="3901" spans="1:1" x14ac:dyDescent="0.3">
      <c r="A3901" s="678"/>
    </row>
    <row r="3902" spans="1:1" x14ac:dyDescent="0.3">
      <c r="A3902" s="678"/>
    </row>
    <row r="3903" spans="1:1" x14ac:dyDescent="0.3">
      <c r="A3903" s="678"/>
    </row>
    <row r="3904" spans="1:1" x14ac:dyDescent="0.3">
      <c r="A3904" s="678"/>
    </row>
    <row r="3905" spans="1:1" x14ac:dyDescent="0.3">
      <c r="A3905" s="678"/>
    </row>
    <row r="3906" spans="1:1" x14ac:dyDescent="0.3">
      <c r="A3906" s="678"/>
    </row>
    <row r="3907" spans="1:1" x14ac:dyDescent="0.3">
      <c r="A3907" s="678"/>
    </row>
    <row r="3908" spans="1:1" x14ac:dyDescent="0.3">
      <c r="A3908" s="678"/>
    </row>
    <row r="3909" spans="1:1" x14ac:dyDescent="0.3">
      <c r="A3909" s="678"/>
    </row>
    <row r="3910" spans="1:1" x14ac:dyDescent="0.3">
      <c r="A3910" s="678"/>
    </row>
    <row r="3911" spans="1:1" x14ac:dyDescent="0.3">
      <c r="A3911" s="678"/>
    </row>
    <row r="3912" spans="1:1" x14ac:dyDescent="0.3">
      <c r="A3912" s="678"/>
    </row>
    <row r="3913" spans="1:1" x14ac:dyDescent="0.3">
      <c r="A3913" s="678"/>
    </row>
    <row r="3914" spans="1:1" x14ac:dyDescent="0.3">
      <c r="A3914" s="678"/>
    </row>
    <row r="3915" spans="1:1" x14ac:dyDescent="0.3">
      <c r="A3915" s="678"/>
    </row>
    <row r="3916" spans="1:1" x14ac:dyDescent="0.3">
      <c r="A3916" s="678"/>
    </row>
    <row r="3917" spans="1:1" x14ac:dyDescent="0.3">
      <c r="A3917" s="678"/>
    </row>
    <row r="3918" spans="1:1" x14ac:dyDescent="0.3">
      <c r="A3918" s="678"/>
    </row>
    <row r="3919" spans="1:1" x14ac:dyDescent="0.3">
      <c r="A3919" s="678"/>
    </row>
    <row r="3920" spans="1:1" x14ac:dyDescent="0.3">
      <c r="A3920" s="678"/>
    </row>
    <row r="3921" spans="1:1" x14ac:dyDescent="0.3">
      <c r="A3921" s="678"/>
    </row>
    <row r="3922" spans="1:1" x14ac:dyDescent="0.3">
      <c r="A3922" s="678"/>
    </row>
    <row r="3923" spans="1:1" x14ac:dyDescent="0.3">
      <c r="A3923" s="678"/>
    </row>
    <row r="3924" spans="1:1" x14ac:dyDescent="0.3">
      <c r="A3924" s="678"/>
    </row>
    <row r="3925" spans="1:1" x14ac:dyDescent="0.3">
      <c r="A3925" s="678"/>
    </row>
    <row r="3926" spans="1:1" x14ac:dyDescent="0.3">
      <c r="A3926" s="678"/>
    </row>
    <row r="3927" spans="1:1" x14ac:dyDescent="0.3">
      <c r="A3927" s="678"/>
    </row>
    <row r="3928" spans="1:1" x14ac:dyDescent="0.3">
      <c r="A3928" s="678"/>
    </row>
    <row r="3929" spans="1:1" x14ac:dyDescent="0.3">
      <c r="A3929" s="678"/>
    </row>
    <row r="3930" spans="1:1" x14ac:dyDescent="0.3">
      <c r="A3930" s="678"/>
    </row>
    <row r="3931" spans="1:1" x14ac:dyDescent="0.3">
      <c r="A3931" s="678"/>
    </row>
    <row r="3932" spans="1:1" x14ac:dyDescent="0.3">
      <c r="A3932" s="678"/>
    </row>
    <row r="3933" spans="1:1" x14ac:dyDescent="0.3">
      <c r="A3933" s="678"/>
    </row>
    <row r="3934" spans="1:1" x14ac:dyDescent="0.3">
      <c r="A3934" s="678"/>
    </row>
    <row r="3935" spans="1:1" x14ac:dyDescent="0.3">
      <c r="A3935" s="678"/>
    </row>
    <row r="3936" spans="1:1" x14ac:dyDescent="0.3">
      <c r="A3936" s="678"/>
    </row>
    <row r="3937" spans="1:1" x14ac:dyDescent="0.3">
      <c r="A3937" s="678"/>
    </row>
    <row r="3938" spans="1:1" x14ac:dyDescent="0.3">
      <c r="A3938" s="678"/>
    </row>
    <row r="3939" spans="1:1" x14ac:dyDescent="0.3">
      <c r="A3939" s="678"/>
    </row>
    <row r="3940" spans="1:1" x14ac:dyDescent="0.3">
      <c r="A3940" s="678"/>
    </row>
    <row r="3941" spans="1:1" x14ac:dyDescent="0.3">
      <c r="A3941" s="678"/>
    </row>
    <row r="3942" spans="1:1" x14ac:dyDescent="0.3">
      <c r="A3942" s="678"/>
    </row>
    <row r="3943" spans="1:1" x14ac:dyDescent="0.3">
      <c r="A3943" s="678"/>
    </row>
    <row r="3944" spans="1:1" x14ac:dyDescent="0.3">
      <c r="A3944" s="678"/>
    </row>
    <row r="3945" spans="1:1" x14ac:dyDescent="0.3">
      <c r="A3945" s="678"/>
    </row>
    <row r="3946" spans="1:1" x14ac:dyDescent="0.3">
      <c r="A3946" s="678"/>
    </row>
    <row r="3947" spans="1:1" x14ac:dyDescent="0.3">
      <c r="A3947" s="678"/>
    </row>
    <row r="3948" spans="1:1" x14ac:dyDescent="0.3">
      <c r="A3948" s="678"/>
    </row>
    <row r="3949" spans="1:1" x14ac:dyDescent="0.3">
      <c r="A3949" s="678"/>
    </row>
    <row r="3950" spans="1:1" x14ac:dyDescent="0.3">
      <c r="A3950" s="678"/>
    </row>
    <row r="3951" spans="1:1" x14ac:dyDescent="0.3">
      <c r="A3951" s="678"/>
    </row>
    <row r="3952" spans="1:1" x14ac:dyDescent="0.3">
      <c r="A3952" s="678"/>
    </row>
    <row r="3953" spans="1:1" x14ac:dyDescent="0.3">
      <c r="A3953" s="678"/>
    </row>
    <row r="3954" spans="1:1" x14ac:dyDescent="0.3">
      <c r="A3954" s="678"/>
    </row>
    <row r="3955" spans="1:1" x14ac:dyDescent="0.3">
      <c r="A3955" s="678"/>
    </row>
    <row r="3956" spans="1:1" x14ac:dyDescent="0.3">
      <c r="A3956" s="678"/>
    </row>
    <row r="3957" spans="1:1" x14ac:dyDescent="0.3">
      <c r="A3957" s="678"/>
    </row>
    <row r="3958" spans="1:1" x14ac:dyDescent="0.3">
      <c r="A3958" s="678"/>
    </row>
    <row r="3959" spans="1:1" x14ac:dyDescent="0.3">
      <c r="A3959" s="678"/>
    </row>
    <row r="3960" spans="1:1" x14ac:dyDescent="0.3">
      <c r="A3960" s="678"/>
    </row>
    <row r="3961" spans="1:1" x14ac:dyDescent="0.3">
      <c r="A3961" s="678"/>
    </row>
    <row r="3962" spans="1:1" x14ac:dyDescent="0.3">
      <c r="A3962" s="678"/>
    </row>
    <row r="3963" spans="1:1" x14ac:dyDescent="0.3">
      <c r="A3963" s="678"/>
    </row>
    <row r="3964" spans="1:1" x14ac:dyDescent="0.3">
      <c r="A3964" s="678"/>
    </row>
    <row r="3965" spans="1:1" x14ac:dyDescent="0.3">
      <c r="A3965" s="678"/>
    </row>
    <row r="3966" spans="1:1" x14ac:dyDescent="0.3">
      <c r="A3966" s="678"/>
    </row>
    <row r="3967" spans="1:1" x14ac:dyDescent="0.3">
      <c r="A3967" s="678"/>
    </row>
    <row r="3968" spans="1:1" x14ac:dyDescent="0.3">
      <c r="A3968" s="678"/>
    </row>
    <row r="3969" spans="1:1" x14ac:dyDescent="0.3">
      <c r="A3969" s="678"/>
    </row>
    <row r="3970" spans="1:1" x14ac:dyDescent="0.3">
      <c r="A3970" s="678"/>
    </row>
    <row r="3971" spans="1:1" x14ac:dyDescent="0.3">
      <c r="A3971" s="678"/>
    </row>
    <row r="3972" spans="1:1" x14ac:dyDescent="0.3">
      <c r="A3972" s="678"/>
    </row>
    <row r="3973" spans="1:1" x14ac:dyDescent="0.3">
      <c r="A3973" s="678"/>
    </row>
    <row r="3974" spans="1:1" x14ac:dyDescent="0.3">
      <c r="A3974" s="678"/>
    </row>
    <row r="3975" spans="1:1" x14ac:dyDescent="0.3">
      <c r="A3975" s="678"/>
    </row>
    <row r="3976" spans="1:1" x14ac:dyDescent="0.3">
      <c r="A3976" s="678"/>
    </row>
    <row r="3977" spans="1:1" x14ac:dyDescent="0.3">
      <c r="A3977" s="678"/>
    </row>
    <row r="3978" spans="1:1" x14ac:dyDescent="0.3">
      <c r="A3978" s="678"/>
    </row>
    <row r="3979" spans="1:1" x14ac:dyDescent="0.3">
      <c r="A3979" s="678"/>
    </row>
    <row r="3980" spans="1:1" x14ac:dyDescent="0.3">
      <c r="A3980" s="678"/>
    </row>
    <row r="3981" spans="1:1" x14ac:dyDescent="0.3">
      <c r="A3981" s="678"/>
    </row>
    <row r="3982" spans="1:1" x14ac:dyDescent="0.3">
      <c r="A3982" s="678"/>
    </row>
    <row r="3983" spans="1:1" x14ac:dyDescent="0.3">
      <c r="A3983" s="678"/>
    </row>
    <row r="3984" spans="1:1" x14ac:dyDescent="0.3">
      <c r="A3984" s="678"/>
    </row>
    <row r="3985" spans="1:1" x14ac:dyDescent="0.3">
      <c r="A3985" s="678"/>
    </row>
    <row r="3986" spans="1:1" x14ac:dyDescent="0.3">
      <c r="A3986" s="678"/>
    </row>
    <row r="3987" spans="1:1" x14ac:dyDescent="0.3">
      <c r="A3987" s="678"/>
    </row>
    <row r="3988" spans="1:1" x14ac:dyDescent="0.3">
      <c r="A3988" s="678"/>
    </row>
    <row r="3989" spans="1:1" x14ac:dyDescent="0.3">
      <c r="A3989" s="678"/>
    </row>
    <row r="3990" spans="1:1" x14ac:dyDescent="0.3">
      <c r="A3990" s="678"/>
    </row>
    <row r="3991" spans="1:1" x14ac:dyDescent="0.3">
      <c r="A3991" s="678"/>
    </row>
    <row r="3992" spans="1:1" x14ac:dyDescent="0.3">
      <c r="A3992" s="678"/>
    </row>
    <row r="3993" spans="1:1" x14ac:dyDescent="0.3">
      <c r="A3993" s="678"/>
    </row>
    <row r="3994" spans="1:1" x14ac:dyDescent="0.3">
      <c r="A3994" s="678"/>
    </row>
    <row r="3995" spans="1:1" x14ac:dyDescent="0.3">
      <c r="A3995" s="678"/>
    </row>
    <row r="3996" spans="1:1" x14ac:dyDescent="0.3">
      <c r="A3996" s="678"/>
    </row>
    <row r="3997" spans="1:1" x14ac:dyDescent="0.3">
      <c r="A3997" s="678"/>
    </row>
    <row r="3998" spans="1:1" x14ac:dyDescent="0.3">
      <c r="A3998" s="678"/>
    </row>
    <row r="3999" spans="1:1" x14ac:dyDescent="0.3">
      <c r="A3999" s="678"/>
    </row>
    <row r="4000" spans="1:1" x14ac:dyDescent="0.3">
      <c r="A4000" s="678"/>
    </row>
    <row r="4001" spans="1:1" x14ac:dyDescent="0.3">
      <c r="A4001" s="678"/>
    </row>
    <row r="4002" spans="1:1" x14ac:dyDescent="0.3">
      <c r="A4002" s="678"/>
    </row>
    <row r="4003" spans="1:1" x14ac:dyDescent="0.3">
      <c r="A4003" s="678"/>
    </row>
    <row r="4004" spans="1:1" x14ac:dyDescent="0.3">
      <c r="A4004" s="678"/>
    </row>
    <row r="4005" spans="1:1" x14ac:dyDescent="0.3">
      <c r="A4005" s="678"/>
    </row>
    <row r="4006" spans="1:1" x14ac:dyDescent="0.3">
      <c r="A4006" s="678"/>
    </row>
    <row r="4007" spans="1:1" x14ac:dyDescent="0.3">
      <c r="A4007" s="678"/>
    </row>
    <row r="4008" spans="1:1" x14ac:dyDescent="0.3">
      <c r="A4008" s="678"/>
    </row>
    <row r="4009" spans="1:1" x14ac:dyDescent="0.3">
      <c r="A4009" s="678"/>
    </row>
    <row r="4010" spans="1:1" x14ac:dyDescent="0.3">
      <c r="A4010" s="678"/>
    </row>
    <row r="4011" spans="1:1" x14ac:dyDescent="0.3">
      <c r="A4011" s="678"/>
    </row>
    <row r="4012" spans="1:1" x14ac:dyDescent="0.3">
      <c r="A4012" s="678"/>
    </row>
    <row r="4013" spans="1:1" x14ac:dyDescent="0.3">
      <c r="A4013" s="678"/>
    </row>
    <row r="4014" spans="1:1" x14ac:dyDescent="0.3">
      <c r="A4014" s="678"/>
    </row>
    <row r="4015" spans="1:1" x14ac:dyDescent="0.3">
      <c r="A4015" s="678"/>
    </row>
    <row r="4016" spans="1:1" x14ac:dyDescent="0.3">
      <c r="A4016" s="678"/>
    </row>
    <row r="4017" spans="1:1" x14ac:dyDescent="0.3">
      <c r="A4017" s="678"/>
    </row>
    <row r="4018" spans="1:1" x14ac:dyDescent="0.3">
      <c r="A4018" s="678"/>
    </row>
    <row r="4019" spans="1:1" x14ac:dyDescent="0.3">
      <c r="A4019" s="678"/>
    </row>
    <row r="4020" spans="1:1" x14ac:dyDescent="0.3">
      <c r="A4020" s="678"/>
    </row>
    <row r="4021" spans="1:1" x14ac:dyDescent="0.3">
      <c r="A4021" s="678"/>
    </row>
    <row r="4022" spans="1:1" x14ac:dyDescent="0.3">
      <c r="A4022" s="678"/>
    </row>
    <row r="4023" spans="1:1" x14ac:dyDescent="0.3">
      <c r="A4023" s="678"/>
    </row>
    <row r="4024" spans="1:1" x14ac:dyDescent="0.3">
      <c r="A4024" s="678"/>
    </row>
    <row r="4025" spans="1:1" x14ac:dyDescent="0.3">
      <c r="A4025" s="678"/>
    </row>
    <row r="4026" spans="1:1" x14ac:dyDescent="0.3">
      <c r="A4026" s="678"/>
    </row>
    <row r="4027" spans="1:1" x14ac:dyDescent="0.3">
      <c r="A4027" s="678"/>
    </row>
    <row r="4028" spans="1:1" x14ac:dyDescent="0.3">
      <c r="A4028" s="678"/>
    </row>
    <row r="4029" spans="1:1" x14ac:dyDescent="0.3">
      <c r="A4029" s="678"/>
    </row>
    <row r="4030" spans="1:1" x14ac:dyDescent="0.3">
      <c r="A4030" s="678"/>
    </row>
    <row r="4031" spans="1:1" x14ac:dyDescent="0.3">
      <c r="A4031" s="678"/>
    </row>
    <row r="4032" spans="1:1" x14ac:dyDescent="0.3">
      <c r="A4032" s="678"/>
    </row>
    <row r="4033" spans="1:1" x14ac:dyDescent="0.3">
      <c r="A4033" s="678"/>
    </row>
    <row r="4034" spans="1:1" x14ac:dyDescent="0.3">
      <c r="A4034" s="678"/>
    </row>
    <row r="4035" spans="1:1" x14ac:dyDescent="0.3">
      <c r="A4035" s="678"/>
    </row>
    <row r="4036" spans="1:1" x14ac:dyDescent="0.3">
      <c r="A4036" s="678"/>
    </row>
    <row r="4037" spans="1:1" x14ac:dyDescent="0.3">
      <c r="A4037" s="678"/>
    </row>
    <row r="4038" spans="1:1" x14ac:dyDescent="0.3">
      <c r="A4038" s="678"/>
    </row>
    <row r="4039" spans="1:1" x14ac:dyDescent="0.3">
      <c r="A4039" s="678"/>
    </row>
    <row r="4040" spans="1:1" x14ac:dyDescent="0.3">
      <c r="A4040" s="678"/>
    </row>
    <row r="4041" spans="1:1" x14ac:dyDescent="0.3">
      <c r="A4041" s="678"/>
    </row>
    <row r="4042" spans="1:1" x14ac:dyDescent="0.3">
      <c r="A4042" s="678"/>
    </row>
    <row r="4043" spans="1:1" x14ac:dyDescent="0.3">
      <c r="A4043" s="678"/>
    </row>
    <row r="4044" spans="1:1" x14ac:dyDescent="0.3">
      <c r="A4044" s="678"/>
    </row>
    <row r="4045" spans="1:1" x14ac:dyDescent="0.3">
      <c r="A4045" s="678"/>
    </row>
    <row r="4046" spans="1:1" x14ac:dyDescent="0.3">
      <c r="A4046" s="678"/>
    </row>
    <row r="4047" spans="1:1" x14ac:dyDescent="0.3">
      <c r="A4047" s="678"/>
    </row>
    <row r="4048" spans="1:1" x14ac:dyDescent="0.3">
      <c r="A4048" s="678"/>
    </row>
    <row r="4049" spans="1:1" x14ac:dyDescent="0.3">
      <c r="A4049" s="678"/>
    </row>
    <row r="4050" spans="1:1" x14ac:dyDescent="0.3">
      <c r="A4050" s="678"/>
    </row>
    <row r="4051" spans="1:1" x14ac:dyDescent="0.3">
      <c r="A4051" s="678"/>
    </row>
    <row r="4052" spans="1:1" x14ac:dyDescent="0.3">
      <c r="A4052" s="678"/>
    </row>
    <row r="4053" spans="1:1" x14ac:dyDescent="0.3">
      <c r="A4053" s="678"/>
    </row>
    <row r="4054" spans="1:1" x14ac:dyDescent="0.3">
      <c r="A4054" s="678"/>
    </row>
    <row r="4055" spans="1:1" x14ac:dyDescent="0.3">
      <c r="A4055" s="678"/>
    </row>
    <row r="4056" spans="1:1" x14ac:dyDescent="0.3">
      <c r="A4056" s="678"/>
    </row>
    <row r="4057" spans="1:1" x14ac:dyDescent="0.3">
      <c r="A4057" s="678"/>
    </row>
    <row r="4058" spans="1:1" x14ac:dyDescent="0.3">
      <c r="A4058" s="678"/>
    </row>
    <row r="4059" spans="1:1" x14ac:dyDescent="0.3">
      <c r="A4059" s="678"/>
    </row>
    <row r="4060" spans="1:1" x14ac:dyDescent="0.3">
      <c r="A4060" s="678"/>
    </row>
    <row r="4061" spans="1:1" x14ac:dyDescent="0.3">
      <c r="A4061" s="678"/>
    </row>
    <row r="4062" spans="1:1" x14ac:dyDescent="0.3">
      <c r="A4062" s="678"/>
    </row>
    <row r="4063" spans="1:1" x14ac:dyDescent="0.3">
      <c r="A4063" s="678"/>
    </row>
    <row r="4064" spans="1:1" x14ac:dyDescent="0.3">
      <c r="A4064" s="678"/>
    </row>
    <row r="4065" spans="1:1" x14ac:dyDescent="0.3">
      <c r="A4065" s="678"/>
    </row>
    <row r="4066" spans="1:1" x14ac:dyDescent="0.3">
      <c r="A4066" s="678"/>
    </row>
    <row r="4067" spans="1:1" x14ac:dyDescent="0.3">
      <c r="A4067" s="678"/>
    </row>
    <row r="4068" spans="1:1" x14ac:dyDescent="0.3">
      <c r="A4068" s="678"/>
    </row>
    <row r="4069" spans="1:1" x14ac:dyDescent="0.3">
      <c r="A4069" s="678"/>
    </row>
    <row r="4070" spans="1:1" x14ac:dyDescent="0.3">
      <c r="A4070" s="678"/>
    </row>
    <row r="4071" spans="1:1" x14ac:dyDescent="0.3">
      <c r="A4071" s="678"/>
    </row>
    <row r="4072" spans="1:1" x14ac:dyDescent="0.3">
      <c r="A4072" s="678"/>
    </row>
    <row r="4073" spans="1:1" x14ac:dyDescent="0.3">
      <c r="A4073" s="678"/>
    </row>
    <row r="4074" spans="1:1" x14ac:dyDescent="0.3">
      <c r="A4074" s="678"/>
    </row>
    <row r="4075" spans="1:1" x14ac:dyDescent="0.3">
      <c r="A4075" s="678"/>
    </row>
    <row r="4076" spans="1:1" x14ac:dyDescent="0.3">
      <c r="A4076" s="678"/>
    </row>
    <row r="4077" spans="1:1" x14ac:dyDescent="0.3">
      <c r="A4077" s="678"/>
    </row>
    <row r="4078" spans="1:1" x14ac:dyDescent="0.3">
      <c r="A4078" s="678"/>
    </row>
    <row r="4079" spans="1:1" x14ac:dyDescent="0.3">
      <c r="A4079" s="678"/>
    </row>
    <row r="4080" spans="1:1" x14ac:dyDescent="0.3">
      <c r="A4080" s="678"/>
    </row>
    <row r="4081" spans="1:1" x14ac:dyDescent="0.3">
      <c r="A4081" s="678"/>
    </row>
    <row r="4082" spans="1:1" x14ac:dyDescent="0.3">
      <c r="A4082" s="678"/>
    </row>
    <row r="4083" spans="1:1" x14ac:dyDescent="0.3">
      <c r="A4083" s="678"/>
    </row>
    <row r="4084" spans="1:1" x14ac:dyDescent="0.3">
      <c r="A4084" s="678"/>
    </row>
    <row r="4085" spans="1:1" x14ac:dyDescent="0.3">
      <c r="A4085" s="678"/>
    </row>
    <row r="4086" spans="1:1" x14ac:dyDescent="0.3">
      <c r="A4086" s="678"/>
    </row>
    <row r="4087" spans="1:1" x14ac:dyDescent="0.3">
      <c r="A4087" s="678"/>
    </row>
    <row r="4088" spans="1:1" x14ac:dyDescent="0.3">
      <c r="A4088" s="678"/>
    </row>
    <row r="4089" spans="1:1" x14ac:dyDescent="0.3">
      <c r="A4089" s="678"/>
    </row>
    <row r="4090" spans="1:1" x14ac:dyDescent="0.3">
      <c r="A4090" s="678"/>
    </row>
    <row r="4091" spans="1:1" x14ac:dyDescent="0.3">
      <c r="A4091" s="678"/>
    </row>
    <row r="4092" spans="1:1" x14ac:dyDescent="0.3">
      <c r="A4092" s="678"/>
    </row>
    <row r="4093" spans="1:1" x14ac:dyDescent="0.3">
      <c r="A4093" s="678"/>
    </row>
    <row r="4094" spans="1:1" x14ac:dyDescent="0.3">
      <c r="A4094" s="678"/>
    </row>
    <row r="4095" spans="1:1" x14ac:dyDescent="0.3">
      <c r="A4095" s="678"/>
    </row>
    <row r="4096" spans="1:1" x14ac:dyDescent="0.3">
      <c r="A4096" s="678"/>
    </row>
    <row r="4097" spans="1:1" x14ac:dyDescent="0.3">
      <c r="A4097" s="678"/>
    </row>
    <row r="4098" spans="1:1" x14ac:dyDescent="0.3">
      <c r="A4098" s="678"/>
    </row>
    <row r="4099" spans="1:1" x14ac:dyDescent="0.3">
      <c r="A4099" s="678"/>
    </row>
    <row r="4100" spans="1:1" x14ac:dyDescent="0.3">
      <c r="A4100" s="678"/>
    </row>
    <row r="4101" spans="1:1" x14ac:dyDescent="0.3">
      <c r="A4101" s="678"/>
    </row>
    <row r="4102" spans="1:1" x14ac:dyDescent="0.3">
      <c r="A4102" s="678"/>
    </row>
    <row r="4103" spans="1:1" x14ac:dyDescent="0.3">
      <c r="A4103" s="678"/>
    </row>
    <row r="4104" spans="1:1" x14ac:dyDescent="0.3">
      <c r="A4104" s="678"/>
    </row>
    <row r="4105" spans="1:1" x14ac:dyDescent="0.3">
      <c r="A4105" s="678"/>
    </row>
    <row r="4106" spans="1:1" x14ac:dyDescent="0.3">
      <c r="A4106" s="678"/>
    </row>
    <row r="4107" spans="1:1" x14ac:dyDescent="0.3">
      <c r="A4107" s="678"/>
    </row>
    <row r="4108" spans="1:1" x14ac:dyDescent="0.3">
      <c r="A4108" s="678"/>
    </row>
    <row r="4109" spans="1:1" x14ac:dyDescent="0.3">
      <c r="A4109" s="678"/>
    </row>
    <row r="4110" spans="1:1" x14ac:dyDescent="0.3">
      <c r="A4110" s="678"/>
    </row>
    <row r="4111" spans="1:1" x14ac:dyDescent="0.3">
      <c r="A4111" s="678"/>
    </row>
    <row r="4112" spans="1:1" x14ac:dyDescent="0.3">
      <c r="A4112" s="678"/>
    </row>
    <row r="4113" spans="1:1" x14ac:dyDescent="0.3">
      <c r="A4113" s="678"/>
    </row>
    <row r="4114" spans="1:1" x14ac:dyDescent="0.3">
      <c r="A4114" s="678"/>
    </row>
    <row r="4115" spans="1:1" x14ac:dyDescent="0.3">
      <c r="A4115" s="678"/>
    </row>
    <row r="4116" spans="1:1" x14ac:dyDescent="0.3">
      <c r="A4116" s="678"/>
    </row>
    <row r="4117" spans="1:1" x14ac:dyDescent="0.3">
      <c r="A4117" s="678"/>
    </row>
    <row r="4118" spans="1:1" x14ac:dyDescent="0.3">
      <c r="A4118" s="678"/>
    </row>
    <row r="4119" spans="1:1" x14ac:dyDescent="0.3">
      <c r="A4119" s="678"/>
    </row>
    <row r="4120" spans="1:1" x14ac:dyDescent="0.3">
      <c r="A4120" s="678"/>
    </row>
    <row r="4121" spans="1:1" x14ac:dyDescent="0.3">
      <c r="A4121" s="678"/>
    </row>
    <row r="4122" spans="1:1" x14ac:dyDescent="0.3">
      <c r="A4122" s="678"/>
    </row>
    <row r="4123" spans="1:1" x14ac:dyDescent="0.3">
      <c r="A4123" s="678"/>
    </row>
    <row r="4124" spans="1:1" x14ac:dyDescent="0.3">
      <c r="A4124" s="678"/>
    </row>
    <row r="4125" spans="1:1" x14ac:dyDescent="0.3">
      <c r="A4125" s="678"/>
    </row>
    <row r="4126" spans="1:1" x14ac:dyDescent="0.3">
      <c r="A4126" s="678"/>
    </row>
    <row r="4127" spans="1:1" x14ac:dyDescent="0.3">
      <c r="A4127" s="678"/>
    </row>
    <row r="4128" spans="1:1" x14ac:dyDescent="0.3">
      <c r="A4128" s="678"/>
    </row>
    <row r="4129" spans="1:1" x14ac:dyDescent="0.3">
      <c r="A4129" s="678"/>
    </row>
    <row r="4130" spans="1:1" x14ac:dyDescent="0.3">
      <c r="A4130" s="678"/>
    </row>
    <row r="4131" spans="1:1" x14ac:dyDescent="0.3">
      <c r="A4131" s="678"/>
    </row>
    <row r="4132" spans="1:1" x14ac:dyDescent="0.3">
      <c r="A4132" s="678"/>
    </row>
    <row r="4133" spans="1:1" x14ac:dyDescent="0.3">
      <c r="A4133" s="678"/>
    </row>
    <row r="4134" spans="1:1" x14ac:dyDescent="0.3">
      <c r="A4134" s="678"/>
    </row>
    <row r="4135" spans="1:1" x14ac:dyDescent="0.3">
      <c r="A4135" s="678"/>
    </row>
    <row r="4136" spans="1:1" x14ac:dyDescent="0.3">
      <c r="A4136" s="678"/>
    </row>
    <row r="4137" spans="1:1" x14ac:dyDescent="0.3">
      <c r="A4137" s="678"/>
    </row>
    <row r="4138" spans="1:1" x14ac:dyDescent="0.3">
      <c r="A4138" s="678"/>
    </row>
    <row r="4139" spans="1:1" x14ac:dyDescent="0.3">
      <c r="A4139" s="678"/>
    </row>
    <row r="4140" spans="1:1" x14ac:dyDescent="0.3">
      <c r="A4140" s="678"/>
    </row>
    <row r="4141" spans="1:1" x14ac:dyDescent="0.3">
      <c r="A4141" s="678"/>
    </row>
    <row r="4142" spans="1:1" x14ac:dyDescent="0.3">
      <c r="A4142" s="678"/>
    </row>
    <row r="4143" spans="1:1" x14ac:dyDescent="0.3">
      <c r="A4143" s="678"/>
    </row>
    <row r="4144" spans="1:1" x14ac:dyDescent="0.3">
      <c r="A4144" s="678"/>
    </row>
    <row r="4145" spans="1:1" x14ac:dyDescent="0.3">
      <c r="A4145" s="678"/>
    </row>
    <row r="4146" spans="1:1" x14ac:dyDescent="0.3">
      <c r="A4146" s="678"/>
    </row>
    <row r="4147" spans="1:1" x14ac:dyDescent="0.3">
      <c r="A4147" s="678"/>
    </row>
    <row r="4148" spans="1:1" x14ac:dyDescent="0.3">
      <c r="A4148" s="678"/>
    </row>
    <row r="4149" spans="1:1" x14ac:dyDescent="0.3">
      <c r="A4149" s="678"/>
    </row>
    <row r="4150" spans="1:1" x14ac:dyDescent="0.3">
      <c r="A4150" s="678"/>
    </row>
    <row r="4151" spans="1:1" x14ac:dyDescent="0.3">
      <c r="A4151" s="678"/>
    </row>
    <row r="4152" spans="1:1" x14ac:dyDescent="0.3">
      <c r="A4152" s="678"/>
    </row>
    <row r="4153" spans="1:1" x14ac:dyDescent="0.3">
      <c r="A4153" s="678"/>
    </row>
    <row r="4154" spans="1:1" x14ac:dyDescent="0.3">
      <c r="A4154" s="678"/>
    </row>
    <row r="4155" spans="1:1" x14ac:dyDescent="0.3">
      <c r="A4155" s="678"/>
    </row>
    <row r="4156" spans="1:1" x14ac:dyDescent="0.3">
      <c r="A4156" s="678"/>
    </row>
    <row r="4157" spans="1:1" x14ac:dyDescent="0.3">
      <c r="A4157" s="678"/>
    </row>
    <row r="4158" spans="1:1" x14ac:dyDescent="0.3">
      <c r="A4158" s="678"/>
    </row>
    <row r="4159" spans="1:1" x14ac:dyDescent="0.3">
      <c r="A4159" s="678"/>
    </row>
    <row r="4160" spans="1:1" x14ac:dyDescent="0.3">
      <c r="A4160" s="678"/>
    </row>
    <row r="4161" spans="1:1" x14ac:dyDescent="0.3">
      <c r="A4161" s="678"/>
    </row>
    <row r="4162" spans="1:1" x14ac:dyDescent="0.3">
      <c r="A4162" s="678"/>
    </row>
    <row r="4163" spans="1:1" x14ac:dyDescent="0.3">
      <c r="A4163" s="678"/>
    </row>
    <row r="4164" spans="1:1" x14ac:dyDescent="0.3">
      <c r="A4164" s="678"/>
    </row>
    <row r="4165" spans="1:1" x14ac:dyDescent="0.3">
      <c r="A4165" s="678"/>
    </row>
    <row r="4166" spans="1:1" x14ac:dyDescent="0.3">
      <c r="A4166" s="678"/>
    </row>
    <row r="4167" spans="1:1" x14ac:dyDescent="0.3">
      <c r="A4167" s="678"/>
    </row>
    <row r="4168" spans="1:1" x14ac:dyDescent="0.3">
      <c r="A4168" s="678"/>
    </row>
    <row r="4169" spans="1:1" x14ac:dyDescent="0.3">
      <c r="A4169" s="678"/>
    </row>
    <row r="4170" spans="1:1" x14ac:dyDescent="0.3">
      <c r="A4170" s="678"/>
    </row>
    <row r="4171" spans="1:1" x14ac:dyDescent="0.3">
      <c r="A4171" s="678"/>
    </row>
    <row r="4172" spans="1:1" x14ac:dyDescent="0.3">
      <c r="A4172" s="678"/>
    </row>
    <row r="4173" spans="1:1" x14ac:dyDescent="0.3">
      <c r="A4173" s="678"/>
    </row>
    <row r="4174" spans="1:1" x14ac:dyDescent="0.3">
      <c r="A4174" s="678"/>
    </row>
    <row r="4175" spans="1:1" x14ac:dyDescent="0.3">
      <c r="A4175" s="678"/>
    </row>
    <row r="4176" spans="1:1" x14ac:dyDescent="0.3">
      <c r="A4176" s="678"/>
    </row>
    <row r="4177" spans="1:1" x14ac:dyDescent="0.3">
      <c r="A4177" s="678"/>
    </row>
    <row r="4178" spans="1:1" x14ac:dyDescent="0.3">
      <c r="A4178" s="678"/>
    </row>
    <row r="4179" spans="1:1" x14ac:dyDescent="0.3">
      <c r="A4179" s="678"/>
    </row>
    <row r="4180" spans="1:1" x14ac:dyDescent="0.3">
      <c r="A4180" s="678"/>
    </row>
    <row r="4181" spans="1:1" x14ac:dyDescent="0.3">
      <c r="A4181" s="678"/>
    </row>
    <row r="4182" spans="1:1" x14ac:dyDescent="0.3">
      <c r="A4182" s="678"/>
    </row>
    <row r="4183" spans="1:1" x14ac:dyDescent="0.3">
      <c r="A4183" s="678"/>
    </row>
    <row r="4184" spans="1:1" x14ac:dyDescent="0.3">
      <c r="A4184" s="678"/>
    </row>
    <row r="4185" spans="1:1" x14ac:dyDescent="0.3">
      <c r="A4185" s="678"/>
    </row>
    <row r="4186" spans="1:1" x14ac:dyDescent="0.3">
      <c r="A4186" s="678"/>
    </row>
    <row r="4187" spans="1:1" x14ac:dyDescent="0.3">
      <c r="A4187" s="678"/>
    </row>
    <row r="4188" spans="1:1" x14ac:dyDescent="0.3">
      <c r="A4188" s="678"/>
    </row>
    <row r="4189" spans="1:1" x14ac:dyDescent="0.3">
      <c r="A4189" s="678"/>
    </row>
    <row r="4190" spans="1:1" x14ac:dyDescent="0.3">
      <c r="A4190" s="678"/>
    </row>
    <row r="4191" spans="1:1" x14ac:dyDescent="0.3">
      <c r="A4191" s="678"/>
    </row>
    <row r="4192" spans="1:1" x14ac:dyDescent="0.3">
      <c r="A4192" s="678"/>
    </row>
    <row r="4193" spans="1:1" x14ac:dyDescent="0.3">
      <c r="A4193" s="678"/>
    </row>
    <row r="4194" spans="1:1" x14ac:dyDescent="0.3">
      <c r="A4194" s="678"/>
    </row>
    <row r="4195" spans="1:1" x14ac:dyDescent="0.3">
      <c r="A4195" s="678"/>
    </row>
    <row r="4196" spans="1:1" x14ac:dyDescent="0.3">
      <c r="A4196" s="678"/>
    </row>
    <row r="4197" spans="1:1" x14ac:dyDescent="0.3">
      <c r="A4197" s="678"/>
    </row>
    <row r="4198" spans="1:1" x14ac:dyDescent="0.3">
      <c r="A4198" s="678"/>
    </row>
    <row r="4199" spans="1:1" x14ac:dyDescent="0.3">
      <c r="A4199" s="678"/>
    </row>
    <row r="4200" spans="1:1" x14ac:dyDescent="0.3">
      <c r="A4200" s="678"/>
    </row>
    <row r="4201" spans="1:1" x14ac:dyDescent="0.3">
      <c r="A4201" s="678"/>
    </row>
    <row r="4202" spans="1:1" x14ac:dyDescent="0.3">
      <c r="A4202" s="678"/>
    </row>
    <row r="4203" spans="1:1" x14ac:dyDescent="0.3">
      <c r="A4203" s="678"/>
    </row>
    <row r="4204" spans="1:1" x14ac:dyDescent="0.3">
      <c r="A4204" s="678"/>
    </row>
    <row r="4205" spans="1:1" x14ac:dyDescent="0.3">
      <c r="A4205" s="678"/>
    </row>
    <row r="4206" spans="1:1" x14ac:dyDescent="0.3">
      <c r="A4206" s="678"/>
    </row>
    <row r="4207" spans="1:1" x14ac:dyDescent="0.3">
      <c r="A4207" s="678"/>
    </row>
    <row r="4208" spans="1:1" x14ac:dyDescent="0.3">
      <c r="A4208" s="678"/>
    </row>
    <row r="4209" spans="1:1" x14ac:dyDescent="0.3">
      <c r="A4209" s="678"/>
    </row>
    <row r="4210" spans="1:1" x14ac:dyDescent="0.3">
      <c r="A4210" s="678"/>
    </row>
    <row r="4211" spans="1:1" x14ac:dyDescent="0.3">
      <c r="A4211" s="678"/>
    </row>
    <row r="4212" spans="1:1" x14ac:dyDescent="0.3">
      <c r="A4212" s="678"/>
    </row>
    <row r="4213" spans="1:1" x14ac:dyDescent="0.3">
      <c r="A4213" s="678"/>
    </row>
    <row r="4214" spans="1:1" x14ac:dyDescent="0.3">
      <c r="A4214" s="678"/>
    </row>
    <row r="4215" spans="1:1" x14ac:dyDescent="0.3">
      <c r="A4215" s="678"/>
    </row>
    <row r="4216" spans="1:1" x14ac:dyDescent="0.3">
      <c r="A4216" s="678"/>
    </row>
    <row r="4217" spans="1:1" x14ac:dyDescent="0.3">
      <c r="A4217" s="678"/>
    </row>
    <row r="4218" spans="1:1" x14ac:dyDescent="0.3">
      <c r="A4218" s="678"/>
    </row>
    <row r="4219" spans="1:1" x14ac:dyDescent="0.3">
      <c r="A4219" s="678"/>
    </row>
    <row r="4220" spans="1:1" x14ac:dyDescent="0.3">
      <c r="A4220" s="678"/>
    </row>
    <row r="4221" spans="1:1" x14ac:dyDescent="0.3">
      <c r="A4221" s="678"/>
    </row>
    <row r="4222" spans="1:1" x14ac:dyDescent="0.3">
      <c r="A4222" s="678"/>
    </row>
    <row r="4223" spans="1:1" x14ac:dyDescent="0.3">
      <c r="A4223" s="678"/>
    </row>
    <row r="4224" spans="1:1" x14ac:dyDescent="0.3">
      <c r="A4224" s="678"/>
    </row>
    <row r="4225" spans="1:1" x14ac:dyDescent="0.3">
      <c r="A4225" s="678"/>
    </row>
    <row r="4226" spans="1:1" x14ac:dyDescent="0.3">
      <c r="A4226" s="678"/>
    </row>
    <row r="4227" spans="1:1" x14ac:dyDescent="0.3">
      <c r="A4227" s="678"/>
    </row>
    <row r="4228" spans="1:1" x14ac:dyDescent="0.3">
      <c r="A4228" s="678"/>
    </row>
    <row r="4229" spans="1:1" x14ac:dyDescent="0.3">
      <c r="A4229" s="678"/>
    </row>
    <row r="4230" spans="1:1" x14ac:dyDescent="0.3">
      <c r="A4230" s="678"/>
    </row>
    <row r="4231" spans="1:1" x14ac:dyDescent="0.3">
      <c r="A4231" s="678"/>
    </row>
    <row r="4232" spans="1:1" x14ac:dyDescent="0.3">
      <c r="A4232" s="678"/>
    </row>
    <row r="4233" spans="1:1" x14ac:dyDescent="0.3">
      <c r="A4233" s="678"/>
    </row>
    <row r="4234" spans="1:1" x14ac:dyDescent="0.3">
      <c r="A4234" s="678"/>
    </row>
    <row r="4235" spans="1:1" x14ac:dyDescent="0.3">
      <c r="A4235" s="678"/>
    </row>
    <row r="4236" spans="1:1" x14ac:dyDescent="0.3">
      <c r="A4236" s="678"/>
    </row>
    <row r="4237" spans="1:1" x14ac:dyDescent="0.3">
      <c r="A4237" s="678"/>
    </row>
    <row r="4238" spans="1:1" x14ac:dyDescent="0.3">
      <c r="A4238" s="678"/>
    </row>
    <row r="4239" spans="1:1" x14ac:dyDescent="0.3">
      <c r="A4239" s="678"/>
    </row>
    <row r="4240" spans="1:1" x14ac:dyDescent="0.3">
      <c r="A4240" s="678"/>
    </row>
    <row r="4241" spans="1:1" x14ac:dyDescent="0.3">
      <c r="A4241" s="678"/>
    </row>
    <row r="4242" spans="1:1" x14ac:dyDescent="0.3">
      <c r="A4242" s="678"/>
    </row>
    <row r="4243" spans="1:1" x14ac:dyDescent="0.3">
      <c r="A4243" s="678"/>
    </row>
    <row r="4244" spans="1:1" x14ac:dyDescent="0.3">
      <c r="A4244" s="678"/>
    </row>
    <row r="4245" spans="1:1" x14ac:dyDescent="0.3">
      <c r="A4245" s="678"/>
    </row>
    <row r="4246" spans="1:1" x14ac:dyDescent="0.3">
      <c r="A4246" s="678"/>
    </row>
    <row r="4247" spans="1:1" x14ac:dyDescent="0.3">
      <c r="A4247" s="678"/>
    </row>
    <row r="4248" spans="1:1" x14ac:dyDescent="0.3">
      <c r="A4248" s="678"/>
    </row>
    <row r="4249" spans="1:1" x14ac:dyDescent="0.3">
      <c r="A4249" s="678"/>
    </row>
    <row r="4250" spans="1:1" x14ac:dyDescent="0.3">
      <c r="A4250" s="678"/>
    </row>
    <row r="4251" spans="1:1" x14ac:dyDescent="0.3">
      <c r="A4251" s="678"/>
    </row>
    <row r="4252" spans="1:1" x14ac:dyDescent="0.3">
      <c r="A4252" s="678"/>
    </row>
    <row r="4253" spans="1:1" x14ac:dyDescent="0.3">
      <c r="A4253" s="678"/>
    </row>
    <row r="4254" spans="1:1" x14ac:dyDescent="0.3">
      <c r="A4254" s="678"/>
    </row>
    <row r="4255" spans="1:1" x14ac:dyDescent="0.3">
      <c r="A4255" s="678"/>
    </row>
    <row r="4256" spans="1:1" x14ac:dyDescent="0.3">
      <c r="A4256" s="678"/>
    </row>
    <row r="4257" spans="1:1" x14ac:dyDescent="0.3">
      <c r="A4257" s="678"/>
    </row>
    <row r="4258" spans="1:1" x14ac:dyDescent="0.3">
      <c r="A4258" s="678"/>
    </row>
    <row r="4259" spans="1:1" x14ac:dyDescent="0.3">
      <c r="A4259" s="678"/>
    </row>
    <row r="4260" spans="1:1" x14ac:dyDescent="0.3">
      <c r="A4260" s="678"/>
    </row>
    <row r="4261" spans="1:1" x14ac:dyDescent="0.3">
      <c r="A4261" s="678"/>
    </row>
    <row r="4262" spans="1:1" x14ac:dyDescent="0.3">
      <c r="A4262" s="678"/>
    </row>
    <row r="4263" spans="1:1" x14ac:dyDescent="0.3">
      <c r="A4263" s="678"/>
    </row>
    <row r="4264" spans="1:1" x14ac:dyDescent="0.3">
      <c r="A4264" s="678"/>
    </row>
    <row r="4265" spans="1:1" x14ac:dyDescent="0.3">
      <c r="A4265" s="678"/>
    </row>
    <row r="4266" spans="1:1" x14ac:dyDescent="0.3">
      <c r="A4266" s="678"/>
    </row>
    <row r="4267" spans="1:1" x14ac:dyDescent="0.3">
      <c r="A4267" s="678"/>
    </row>
    <row r="4268" spans="1:1" x14ac:dyDescent="0.3">
      <c r="A4268" s="678"/>
    </row>
    <row r="4269" spans="1:1" x14ac:dyDescent="0.3">
      <c r="A4269" s="678"/>
    </row>
    <row r="4270" spans="1:1" x14ac:dyDescent="0.3">
      <c r="A4270" s="678"/>
    </row>
    <row r="4271" spans="1:1" x14ac:dyDescent="0.3">
      <c r="A4271" s="678"/>
    </row>
    <row r="4272" spans="1:1" x14ac:dyDescent="0.3">
      <c r="A4272" s="678"/>
    </row>
    <row r="4273" spans="1:1" x14ac:dyDescent="0.3">
      <c r="A4273" s="678"/>
    </row>
    <row r="4274" spans="1:1" x14ac:dyDescent="0.3">
      <c r="A4274" s="678"/>
    </row>
    <row r="4275" spans="1:1" x14ac:dyDescent="0.3">
      <c r="A4275" s="678"/>
    </row>
    <row r="4276" spans="1:1" x14ac:dyDescent="0.3">
      <c r="A4276" s="678"/>
    </row>
    <row r="4277" spans="1:1" x14ac:dyDescent="0.3">
      <c r="A4277" s="678"/>
    </row>
    <row r="4278" spans="1:1" x14ac:dyDescent="0.3">
      <c r="A4278" s="678"/>
    </row>
    <row r="4279" spans="1:1" x14ac:dyDescent="0.3">
      <c r="A4279" s="678"/>
    </row>
    <row r="4280" spans="1:1" x14ac:dyDescent="0.3">
      <c r="A4280" s="678"/>
    </row>
    <row r="4281" spans="1:1" x14ac:dyDescent="0.3">
      <c r="A4281" s="678"/>
    </row>
    <row r="4282" spans="1:1" x14ac:dyDescent="0.3">
      <c r="A4282" s="678"/>
    </row>
    <row r="4283" spans="1:1" x14ac:dyDescent="0.3">
      <c r="A4283" s="678"/>
    </row>
    <row r="4284" spans="1:1" x14ac:dyDescent="0.3">
      <c r="A4284" s="678"/>
    </row>
    <row r="4285" spans="1:1" x14ac:dyDescent="0.3">
      <c r="A4285" s="678"/>
    </row>
    <row r="4286" spans="1:1" x14ac:dyDescent="0.3">
      <c r="A4286" s="678"/>
    </row>
    <row r="4287" spans="1:1" x14ac:dyDescent="0.3">
      <c r="A4287" s="678"/>
    </row>
    <row r="4288" spans="1:1" x14ac:dyDescent="0.3">
      <c r="A4288" s="678"/>
    </row>
    <row r="4289" spans="1:1" x14ac:dyDescent="0.3">
      <c r="A4289" s="678"/>
    </row>
    <row r="4290" spans="1:1" x14ac:dyDescent="0.3">
      <c r="A4290" s="678"/>
    </row>
    <row r="4291" spans="1:1" x14ac:dyDescent="0.3">
      <c r="A4291" s="678"/>
    </row>
    <row r="4292" spans="1:1" x14ac:dyDescent="0.3">
      <c r="A4292" s="678"/>
    </row>
    <row r="4293" spans="1:1" x14ac:dyDescent="0.3">
      <c r="A4293" s="678"/>
    </row>
    <row r="4294" spans="1:1" x14ac:dyDescent="0.3">
      <c r="A4294" s="678"/>
    </row>
    <row r="4295" spans="1:1" x14ac:dyDescent="0.3">
      <c r="A4295" s="678"/>
    </row>
    <row r="4296" spans="1:1" x14ac:dyDescent="0.3">
      <c r="A4296" s="678"/>
    </row>
    <row r="4297" spans="1:1" x14ac:dyDescent="0.3">
      <c r="A4297" s="678"/>
    </row>
    <row r="4298" spans="1:1" x14ac:dyDescent="0.3">
      <c r="A4298" s="678"/>
    </row>
    <row r="4299" spans="1:1" x14ac:dyDescent="0.3">
      <c r="A4299" s="678"/>
    </row>
    <row r="4300" spans="1:1" x14ac:dyDescent="0.3">
      <c r="A4300" s="678"/>
    </row>
    <row r="4301" spans="1:1" x14ac:dyDescent="0.3">
      <c r="A4301" s="678"/>
    </row>
    <row r="4302" spans="1:1" x14ac:dyDescent="0.3">
      <c r="A4302" s="678"/>
    </row>
    <row r="4303" spans="1:1" x14ac:dyDescent="0.3">
      <c r="A4303" s="678"/>
    </row>
    <row r="4304" spans="1:1" x14ac:dyDescent="0.3">
      <c r="A4304" s="678"/>
    </row>
    <row r="4305" spans="1:1" x14ac:dyDescent="0.3">
      <c r="A4305" s="678"/>
    </row>
    <row r="4306" spans="1:1" x14ac:dyDescent="0.3">
      <c r="A4306" s="678"/>
    </row>
    <row r="4307" spans="1:1" x14ac:dyDescent="0.3">
      <c r="A4307" s="678"/>
    </row>
    <row r="4308" spans="1:1" x14ac:dyDescent="0.3">
      <c r="A4308" s="678"/>
    </row>
    <row r="4309" spans="1:1" x14ac:dyDescent="0.3">
      <c r="A4309" s="678"/>
    </row>
    <row r="4310" spans="1:1" x14ac:dyDescent="0.3">
      <c r="A4310" s="678"/>
    </row>
    <row r="4311" spans="1:1" x14ac:dyDescent="0.3">
      <c r="A4311" s="678"/>
    </row>
    <row r="4312" spans="1:1" x14ac:dyDescent="0.3">
      <c r="A4312" s="678"/>
    </row>
    <row r="4313" spans="1:1" x14ac:dyDescent="0.3">
      <c r="A4313" s="678"/>
    </row>
    <row r="4314" spans="1:1" x14ac:dyDescent="0.3">
      <c r="A4314" s="678"/>
    </row>
    <row r="4315" spans="1:1" x14ac:dyDescent="0.3">
      <c r="A4315" s="678"/>
    </row>
    <row r="4316" spans="1:1" x14ac:dyDescent="0.3">
      <c r="A4316" s="678"/>
    </row>
    <row r="4317" spans="1:1" x14ac:dyDescent="0.3">
      <c r="A4317" s="678"/>
    </row>
    <row r="4318" spans="1:1" x14ac:dyDescent="0.3">
      <c r="A4318" s="678"/>
    </row>
    <row r="4319" spans="1:1" x14ac:dyDescent="0.3">
      <c r="A4319" s="678"/>
    </row>
    <row r="4320" spans="1:1" x14ac:dyDescent="0.3">
      <c r="A4320" s="678"/>
    </row>
    <row r="4321" spans="1:1" x14ac:dyDescent="0.3">
      <c r="A4321" s="678"/>
    </row>
    <row r="4322" spans="1:1" x14ac:dyDescent="0.3">
      <c r="A4322" s="678"/>
    </row>
    <row r="4323" spans="1:1" x14ac:dyDescent="0.3">
      <c r="A4323" s="678"/>
    </row>
    <row r="4324" spans="1:1" x14ac:dyDescent="0.3">
      <c r="A4324" s="678"/>
    </row>
    <row r="4325" spans="1:1" x14ac:dyDescent="0.3">
      <c r="A4325" s="678"/>
    </row>
    <row r="4326" spans="1:1" x14ac:dyDescent="0.3">
      <c r="A4326" s="678"/>
    </row>
    <row r="4327" spans="1:1" x14ac:dyDescent="0.3">
      <c r="A4327" s="678"/>
    </row>
    <row r="4328" spans="1:1" x14ac:dyDescent="0.3">
      <c r="A4328" s="678"/>
    </row>
    <row r="4329" spans="1:1" x14ac:dyDescent="0.3">
      <c r="A4329" s="678"/>
    </row>
    <row r="4330" spans="1:1" x14ac:dyDescent="0.3">
      <c r="A4330" s="678"/>
    </row>
    <row r="4331" spans="1:1" x14ac:dyDescent="0.3">
      <c r="A4331" s="678"/>
    </row>
    <row r="4332" spans="1:1" x14ac:dyDescent="0.3">
      <c r="A4332" s="678"/>
    </row>
    <row r="4333" spans="1:1" x14ac:dyDescent="0.3">
      <c r="A4333" s="678"/>
    </row>
    <row r="4334" spans="1:1" x14ac:dyDescent="0.3">
      <c r="A4334" s="678"/>
    </row>
    <row r="4335" spans="1:1" x14ac:dyDescent="0.3">
      <c r="A4335" s="678"/>
    </row>
    <row r="4336" spans="1:1" x14ac:dyDescent="0.3">
      <c r="A4336" s="678"/>
    </row>
    <row r="4337" spans="1:1" x14ac:dyDescent="0.3">
      <c r="A4337" s="678"/>
    </row>
    <row r="4338" spans="1:1" x14ac:dyDescent="0.3">
      <c r="A4338" s="678"/>
    </row>
    <row r="4339" spans="1:1" x14ac:dyDescent="0.3">
      <c r="A4339" s="678"/>
    </row>
    <row r="4340" spans="1:1" x14ac:dyDescent="0.3">
      <c r="A4340" s="678"/>
    </row>
    <row r="4341" spans="1:1" x14ac:dyDescent="0.3">
      <c r="A4341" s="678"/>
    </row>
    <row r="4342" spans="1:1" x14ac:dyDescent="0.3">
      <c r="A4342" s="678"/>
    </row>
    <row r="4343" spans="1:1" x14ac:dyDescent="0.3">
      <c r="A4343" s="678"/>
    </row>
    <row r="4344" spans="1:1" x14ac:dyDescent="0.3">
      <c r="A4344" s="678"/>
    </row>
    <row r="4345" spans="1:1" x14ac:dyDescent="0.3">
      <c r="A4345" s="678"/>
    </row>
    <row r="4346" spans="1:1" x14ac:dyDescent="0.3">
      <c r="A4346" s="678"/>
    </row>
    <row r="4347" spans="1:1" x14ac:dyDescent="0.3">
      <c r="A4347" s="678"/>
    </row>
    <row r="4348" spans="1:1" x14ac:dyDescent="0.3">
      <c r="A4348" s="678"/>
    </row>
    <row r="4349" spans="1:1" x14ac:dyDescent="0.3">
      <c r="A4349" s="678"/>
    </row>
    <row r="4350" spans="1:1" x14ac:dyDescent="0.3">
      <c r="A4350" s="678"/>
    </row>
    <row r="4351" spans="1:1" x14ac:dyDescent="0.3">
      <c r="A4351" s="678"/>
    </row>
    <row r="4352" spans="1:1" x14ac:dyDescent="0.3">
      <c r="A4352" s="678"/>
    </row>
    <row r="4353" spans="1:1" x14ac:dyDescent="0.3">
      <c r="A4353" s="678"/>
    </row>
    <row r="4354" spans="1:1" x14ac:dyDescent="0.3">
      <c r="A4354" s="678"/>
    </row>
    <row r="4355" spans="1:1" x14ac:dyDescent="0.3">
      <c r="A4355" s="678"/>
    </row>
    <row r="4356" spans="1:1" x14ac:dyDescent="0.3">
      <c r="A4356" s="678"/>
    </row>
    <row r="4357" spans="1:1" x14ac:dyDescent="0.3">
      <c r="A4357" s="678"/>
    </row>
    <row r="4358" spans="1:1" x14ac:dyDescent="0.3">
      <c r="A4358" s="678"/>
    </row>
    <row r="4359" spans="1:1" x14ac:dyDescent="0.3">
      <c r="A4359" s="678"/>
    </row>
    <row r="4360" spans="1:1" x14ac:dyDescent="0.3">
      <c r="A4360" s="678"/>
    </row>
    <row r="4361" spans="1:1" x14ac:dyDescent="0.3">
      <c r="A4361" s="678"/>
    </row>
    <row r="4362" spans="1:1" x14ac:dyDescent="0.3">
      <c r="A4362" s="678"/>
    </row>
    <row r="4363" spans="1:1" x14ac:dyDescent="0.3">
      <c r="A4363" s="678"/>
    </row>
    <row r="4364" spans="1:1" x14ac:dyDescent="0.3">
      <c r="A4364" s="678"/>
    </row>
    <row r="4365" spans="1:1" x14ac:dyDescent="0.3">
      <c r="A4365" s="678"/>
    </row>
    <row r="4366" spans="1:1" x14ac:dyDescent="0.3">
      <c r="A4366" s="678"/>
    </row>
    <row r="4367" spans="1:1" x14ac:dyDescent="0.3">
      <c r="A4367" s="678"/>
    </row>
    <row r="4368" spans="1:1" x14ac:dyDescent="0.3">
      <c r="A4368" s="678"/>
    </row>
    <row r="4369" spans="1:1" x14ac:dyDescent="0.3">
      <c r="A4369" s="678"/>
    </row>
    <row r="4370" spans="1:1" x14ac:dyDescent="0.3">
      <c r="A4370" s="678"/>
    </row>
    <row r="4371" spans="1:1" x14ac:dyDescent="0.3">
      <c r="A4371" s="678"/>
    </row>
    <row r="4372" spans="1:1" x14ac:dyDescent="0.3">
      <c r="A4372" s="678"/>
    </row>
    <row r="4373" spans="1:1" x14ac:dyDescent="0.3">
      <c r="A4373" s="678"/>
    </row>
    <row r="4374" spans="1:1" x14ac:dyDescent="0.3">
      <c r="A4374" s="678"/>
    </row>
    <row r="4375" spans="1:1" x14ac:dyDescent="0.3">
      <c r="A4375" s="678"/>
    </row>
    <row r="4376" spans="1:1" x14ac:dyDescent="0.3">
      <c r="A4376" s="678"/>
    </row>
    <row r="4377" spans="1:1" x14ac:dyDescent="0.3">
      <c r="A4377" s="678"/>
    </row>
    <row r="4378" spans="1:1" x14ac:dyDescent="0.3">
      <c r="A4378" s="678"/>
    </row>
    <row r="4379" spans="1:1" x14ac:dyDescent="0.3">
      <c r="A4379" s="678"/>
    </row>
    <row r="4380" spans="1:1" x14ac:dyDescent="0.3">
      <c r="A4380" s="678"/>
    </row>
    <row r="4381" spans="1:1" x14ac:dyDescent="0.3">
      <c r="A4381" s="678"/>
    </row>
    <row r="4382" spans="1:1" x14ac:dyDescent="0.3">
      <c r="A4382" s="678"/>
    </row>
    <row r="4383" spans="1:1" x14ac:dyDescent="0.3">
      <c r="A4383" s="678"/>
    </row>
    <row r="4384" spans="1:1" x14ac:dyDescent="0.3">
      <c r="A4384" s="678"/>
    </row>
    <row r="4385" spans="1:1" x14ac:dyDescent="0.3">
      <c r="A4385" s="678"/>
    </row>
    <row r="4386" spans="1:1" x14ac:dyDescent="0.3">
      <c r="A4386" s="678"/>
    </row>
    <row r="4387" spans="1:1" x14ac:dyDescent="0.3">
      <c r="A4387" s="678"/>
    </row>
    <row r="4388" spans="1:1" x14ac:dyDescent="0.3">
      <c r="A4388" s="678"/>
    </row>
    <row r="4389" spans="1:1" x14ac:dyDescent="0.3">
      <c r="A4389" s="678"/>
    </row>
    <row r="4390" spans="1:1" x14ac:dyDescent="0.3">
      <c r="A4390" s="678"/>
    </row>
    <row r="4391" spans="1:1" x14ac:dyDescent="0.3">
      <c r="A4391" s="678"/>
    </row>
    <row r="4392" spans="1:1" x14ac:dyDescent="0.3">
      <c r="A4392" s="678"/>
    </row>
    <row r="4393" spans="1:1" x14ac:dyDescent="0.3">
      <c r="A4393" s="678"/>
    </row>
    <row r="4394" spans="1:1" x14ac:dyDescent="0.3">
      <c r="A4394" s="678"/>
    </row>
    <row r="4395" spans="1:1" x14ac:dyDescent="0.3">
      <c r="A4395" s="678"/>
    </row>
    <row r="4396" spans="1:1" x14ac:dyDescent="0.3">
      <c r="A4396" s="678"/>
    </row>
    <row r="4397" spans="1:1" x14ac:dyDescent="0.3">
      <c r="A4397" s="678"/>
    </row>
    <row r="4398" spans="1:1" x14ac:dyDescent="0.3">
      <c r="A4398" s="678"/>
    </row>
    <row r="4399" spans="1:1" x14ac:dyDescent="0.3">
      <c r="A4399" s="678"/>
    </row>
    <row r="4400" spans="1:1" x14ac:dyDescent="0.3">
      <c r="A4400" s="678"/>
    </row>
    <row r="4401" spans="1:1" x14ac:dyDescent="0.3">
      <c r="A4401" s="678"/>
    </row>
    <row r="4402" spans="1:1" x14ac:dyDescent="0.3">
      <c r="A4402" s="678"/>
    </row>
    <row r="4403" spans="1:1" x14ac:dyDescent="0.3">
      <c r="A4403" s="678"/>
    </row>
    <row r="4404" spans="1:1" x14ac:dyDescent="0.3">
      <c r="A4404" s="678"/>
    </row>
    <row r="4405" spans="1:1" x14ac:dyDescent="0.3">
      <c r="A4405" s="678"/>
    </row>
    <row r="4406" spans="1:1" x14ac:dyDescent="0.3">
      <c r="A4406" s="678"/>
    </row>
    <row r="4407" spans="1:1" x14ac:dyDescent="0.3">
      <c r="A4407" s="678"/>
    </row>
    <row r="4408" spans="1:1" x14ac:dyDescent="0.3">
      <c r="A4408" s="678"/>
    </row>
    <row r="4409" spans="1:1" x14ac:dyDescent="0.3">
      <c r="A4409" s="678"/>
    </row>
    <row r="4410" spans="1:1" x14ac:dyDescent="0.3">
      <c r="A4410" s="678"/>
    </row>
    <row r="4411" spans="1:1" x14ac:dyDescent="0.3">
      <c r="A4411" s="678"/>
    </row>
    <row r="4412" spans="1:1" x14ac:dyDescent="0.3">
      <c r="A4412" s="678"/>
    </row>
    <row r="4413" spans="1:1" x14ac:dyDescent="0.3">
      <c r="A4413" s="678"/>
    </row>
    <row r="4414" spans="1:1" x14ac:dyDescent="0.3">
      <c r="A4414" s="678"/>
    </row>
    <row r="4415" spans="1:1" x14ac:dyDescent="0.3">
      <c r="A4415" s="678"/>
    </row>
    <row r="4416" spans="1:1" x14ac:dyDescent="0.3">
      <c r="A4416" s="678"/>
    </row>
    <row r="4417" spans="1:1" x14ac:dyDescent="0.3">
      <c r="A4417" s="678"/>
    </row>
    <row r="4418" spans="1:1" x14ac:dyDescent="0.3">
      <c r="A4418" s="678"/>
    </row>
    <row r="4419" spans="1:1" x14ac:dyDescent="0.3">
      <c r="A4419" s="678"/>
    </row>
    <row r="4420" spans="1:1" x14ac:dyDescent="0.3">
      <c r="A4420" s="678"/>
    </row>
    <row r="4421" spans="1:1" x14ac:dyDescent="0.3">
      <c r="A4421" s="678"/>
    </row>
    <row r="4422" spans="1:1" x14ac:dyDescent="0.3">
      <c r="A4422" s="678"/>
    </row>
    <row r="4423" spans="1:1" x14ac:dyDescent="0.3">
      <c r="A4423" s="678"/>
    </row>
    <row r="4424" spans="1:1" x14ac:dyDescent="0.3">
      <c r="A4424" s="678"/>
    </row>
    <row r="4425" spans="1:1" x14ac:dyDescent="0.3">
      <c r="A4425" s="678"/>
    </row>
    <row r="4426" spans="1:1" x14ac:dyDescent="0.3">
      <c r="A4426" s="678"/>
    </row>
    <row r="4427" spans="1:1" x14ac:dyDescent="0.3">
      <c r="A4427" s="678"/>
    </row>
    <row r="4428" spans="1:1" x14ac:dyDescent="0.3">
      <c r="A4428" s="678"/>
    </row>
    <row r="4429" spans="1:1" x14ac:dyDescent="0.3">
      <c r="A4429" s="678"/>
    </row>
    <row r="4430" spans="1:1" x14ac:dyDescent="0.3">
      <c r="A4430" s="678"/>
    </row>
    <row r="4431" spans="1:1" x14ac:dyDescent="0.3">
      <c r="A4431" s="678"/>
    </row>
    <row r="4432" spans="1:1" x14ac:dyDescent="0.3">
      <c r="A4432" s="678"/>
    </row>
    <row r="4433" spans="1:1" x14ac:dyDescent="0.3">
      <c r="A4433" s="678"/>
    </row>
    <row r="4434" spans="1:1" x14ac:dyDescent="0.3">
      <c r="A4434" s="678"/>
    </row>
    <row r="4435" spans="1:1" x14ac:dyDescent="0.3">
      <c r="A4435" s="678"/>
    </row>
    <row r="4436" spans="1:1" x14ac:dyDescent="0.3">
      <c r="A4436" s="678"/>
    </row>
    <row r="4437" spans="1:1" x14ac:dyDescent="0.3">
      <c r="A4437" s="678"/>
    </row>
    <row r="4438" spans="1:1" x14ac:dyDescent="0.3">
      <c r="A4438" s="678"/>
    </row>
    <row r="4439" spans="1:1" x14ac:dyDescent="0.3">
      <c r="A4439" s="678"/>
    </row>
    <row r="4440" spans="1:1" x14ac:dyDescent="0.3">
      <c r="A4440" s="678"/>
    </row>
    <row r="4441" spans="1:1" x14ac:dyDescent="0.3">
      <c r="A4441" s="678"/>
    </row>
    <row r="4442" spans="1:1" x14ac:dyDescent="0.3">
      <c r="A4442" s="678"/>
    </row>
    <row r="4443" spans="1:1" x14ac:dyDescent="0.3">
      <c r="A4443" s="678"/>
    </row>
    <row r="4444" spans="1:1" x14ac:dyDescent="0.3">
      <c r="A4444" s="678"/>
    </row>
    <row r="4445" spans="1:1" x14ac:dyDescent="0.3">
      <c r="A4445" s="678"/>
    </row>
    <row r="4446" spans="1:1" x14ac:dyDescent="0.3">
      <c r="A4446" s="678"/>
    </row>
    <row r="4447" spans="1:1" x14ac:dyDescent="0.3">
      <c r="A4447" s="678"/>
    </row>
    <row r="4448" spans="1:1" x14ac:dyDescent="0.3">
      <c r="A4448" s="678"/>
    </row>
    <row r="4449" spans="1:1" x14ac:dyDescent="0.3">
      <c r="A4449" s="678"/>
    </row>
    <row r="4450" spans="1:1" x14ac:dyDescent="0.3">
      <c r="A4450" s="678"/>
    </row>
    <row r="4451" spans="1:1" x14ac:dyDescent="0.3">
      <c r="A4451" s="678"/>
    </row>
    <row r="4452" spans="1:1" x14ac:dyDescent="0.3">
      <c r="A4452" s="678"/>
    </row>
    <row r="4453" spans="1:1" x14ac:dyDescent="0.3">
      <c r="A4453" s="678"/>
    </row>
    <row r="4454" spans="1:1" x14ac:dyDescent="0.3">
      <c r="A4454" s="678"/>
    </row>
    <row r="4455" spans="1:1" x14ac:dyDescent="0.3">
      <c r="A4455" s="678"/>
    </row>
    <row r="4456" spans="1:1" x14ac:dyDescent="0.3">
      <c r="A4456" s="678"/>
    </row>
    <row r="4457" spans="1:1" x14ac:dyDescent="0.3">
      <c r="A4457" s="678"/>
    </row>
    <row r="4458" spans="1:1" x14ac:dyDescent="0.3">
      <c r="A4458" s="678"/>
    </row>
    <row r="4459" spans="1:1" x14ac:dyDescent="0.3">
      <c r="A4459" s="678"/>
    </row>
    <row r="4460" spans="1:1" x14ac:dyDescent="0.3">
      <c r="A4460" s="678"/>
    </row>
    <row r="4461" spans="1:1" x14ac:dyDescent="0.3">
      <c r="A4461" s="678"/>
    </row>
    <row r="4462" spans="1:1" x14ac:dyDescent="0.3">
      <c r="A4462" s="678"/>
    </row>
    <row r="4463" spans="1:1" x14ac:dyDescent="0.3">
      <c r="A4463" s="678"/>
    </row>
    <row r="4464" spans="1:1" x14ac:dyDescent="0.3">
      <c r="A4464" s="678"/>
    </row>
    <row r="4465" spans="1:1" x14ac:dyDescent="0.3">
      <c r="A4465" s="678"/>
    </row>
    <row r="4466" spans="1:1" x14ac:dyDescent="0.3">
      <c r="A4466" s="678"/>
    </row>
    <row r="4467" spans="1:1" x14ac:dyDescent="0.3">
      <c r="A4467" s="678"/>
    </row>
    <row r="4468" spans="1:1" x14ac:dyDescent="0.3">
      <c r="A4468" s="678"/>
    </row>
    <row r="4469" spans="1:1" x14ac:dyDescent="0.3">
      <c r="A4469" s="678"/>
    </row>
    <row r="4470" spans="1:1" x14ac:dyDescent="0.3">
      <c r="A4470" s="678"/>
    </row>
    <row r="4471" spans="1:1" x14ac:dyDescent="0.3">
      <c r="A4471" s="678"/>
    </row>
    <row r="4472" spans="1:1" x14ac:dyDescent="0.3">
      <c r="A4472" s="678"/>
    </row>
    <row r="4473" spans="1:1" x14ac:dyDescent="0.3">
      <c r="A4473" s="678"/>
    </row>
    <row r="4474" spans="1:1" x14ac:dyDescent="0.3">
      <c r="A4474" s="678"/>
    </row>
    <row r="4475" spans="1:1" x14ac:dyDescent="0.3">
      <c r="A4475" s="678"/>
    </row>
    <row r="4476" spans="1:1" x14ac:dyDescent="0.3">
      <c r="A4476" s="678"/>
    </row>
    <row r="4477" spans="1:1" x14ac:dyDescent="0.3">
      <c r="A4477" s="678"/>
    </row>
    <row r="4478" spans="1:1" x14ac:dyDescent="0.3">
      <c r="A4478" s="678"/>
    </row>
    <row r="4479" spans="1:1" x14ac:dyDescent="0.3">
      <c r="A4479" s="678"/>
    </row>
    <row r="4480" spans="1:1" x14ac:dyDescent="0.3">
      <c r="A4480" s="678"/>
    </row>
    <row r="4481" spans="1:1" x14ac:dyDescent="0.3">
      <c r="A4481" s="678"/>
    </row>
    <row r="4482" spans="1:1" x14ac:dyDescent="0.3">
      <c r="A4482" s="678"/>
    </row>
    <row r="4483" spans="1:1" x14ac:dyDescent="0.3">
      <c r="A4483" s="678"/>
    </row>
    <row r="4484" spans="1:1" x14ac:dyDescent="0.3">
      <c r="A4484" s="678"/>
    </row>
    <row r="4485" spans="1:1" x14ac:dyDescent="0.3">
      <c r="A4485" s="678"/>
    </row>
    <row r="4486" spans="1:1" x14ac:dyDescent="0.3">
      <c r="A4486" s="678"/>
    </row>
    <row r="4487" spans="1:1" x14ac:dyDescent="0.3">
      <c r="A4487" s="678"/>
    </row>
    <row r="4488" spans="1:1" x14ac:dyDescent="0.3">
      <c r="A4488" s="678"/>
    </row>
    <row r="4489" spans="1:1" x14ac:dyDescent="0.3">
      <c r="A4489" s="678"/>
    </row>
    <row r="4490" spans="1:1" x14ac:dyDescent="0.3">
      <c r="A4490" s="678"/>
    </row>
    <row r="4491" spans="1:1" x14ac:dyDescent="0.3">
      <c r="A4491" s="678"/>
    </row>
    <row r="4492" spans="1:1" x14ac:dyDescent="0.3">
      <c r="A4492" s="678"/>
    </row>
    <row r="4493" spans="1:1" x14ac:dyDescent="0.3">
      <c r="A4493" s="678"/>
    </row>
    <row r="4494" spans="1:1" x14ac:dyDescent="0.3">
      <c r="A4494" s="678"/>
    </row>
    <row r="4495" spans="1:1" x14ac:dyDescent="0.3">
      <c r="A4495" s="678"/>
    </row>
    <row r="4496" spans="1:1" x14ac:dyDescent="0.3">
      <c r="A4496" s="678"/>
    </row>
    <row r="4497" spans="1:1" x14ac:dyDescent="0.3">
      <c r="A4497" s="678"/>
    </row>
    <row r="4498" spans="1:1" x14ac:dyDescent="0.3">
      <c r="A4498" s="678"/>
    </row>
    <row r="4499" spans="1:1" x14ac:dyDescent="0.3">
      <c r="A4499" s="678"/>
    </row>
    <row r="4500" spans="1:1" x14ac:dyDescent="0.3">
      <c r="A4500" s="678"/>
    </row>
    <row r="4501" spans="1:1" x14ac:dyDescent="0.3">
      <c r="A4501" s="678"/>
    </row>
    <row r="4502" spans="1:1" x14ac:dyDescent="0.3">
      <c r="A4502" s="678"/>
    </row>
    <row r="4503" spans="1:1" x14ac:dyDescent="0.3">
      <c r="A4503" s="678"/>
    </row>
    <row r="4504" spans="1:1" x14ac:dyDescent="0.3">
      <c r="A4504" s="678"/>
    </row>
    <row r="4505" spans="1:1" x14ac:dyDescent="0.3">
      <c r="A4505" s="678"/>
    </row>
    <row r="4506" spans="1:1" x14ac:dyDescent="0.3">
      <c r="A4506" s="678"/>
    </row>
    <row r="4507" spans="1:1" x14ac:dyDescent="0.3">
      <c r="A4507" s="678"/>
    </row>
    <row r="4508" spans="1:1" x14ac:dyDescent="0.3">
      <c r="A4508" s="678"/>
    </row>
    <row r="4509" spans="1:1" x14ac:dyDescent="0.3">
      <c r="A4509" s="678"/>
    </row>
    <row r="4510" spans="1:1" x14ac:dyDescent="0.3">
      <c r="A4510" s="678"/>
    </row>
    <row r="4511" spans="1:1" x14ac:dyDescent="0.3">
      <c r="A4511" s="678"/>
    </row>
    <row r="4512" spans="1:1" x14ac:dyDescent="0.3">
      <c r="A4512" s="678"/>
    </row>
    <row r="4513" spans="1:1" x14ac:dyDescent="0.3">
      <c r="A4513" s="678"/>
    </row>
    <row r="4514" spans="1:1" x14ac:dyDescent="0.3">
      <c r="A4514" s="678"/>
    </row>
    <row r="4515" spans="1:1" x14ac:dyDescent="0.3">
      <c r="A4515" s="678"/>
    </row>
    <row r="4516" spans="1:1" x14ac:dyDescent="0.3">
      <c r="A4516" s="678"/>
    </row>
    <row r="4517" spans="1:1" x14ac:dyDescent="0.3">
      <c r="A4517" s="678"/>
    </row>
    <row r="4518" spans="1:1" x14ac:dyDescent="0.3">
      <c r="A4518" s="678"/>
    </row>
    <row r="4519" spans="1:1" x14ac:dyDescent="0.3">
      <c r="A4519" s="678"/>
    </row>
    <row r="4520" spans="1:1" x14ac:dyDescent="0.3">
      <c r="A4520" s="678"/>
    </row>
    <row r="4521" spans="1:1" x14ac:dyDescent="0.3">
      <c r="A4521" s="678"/>
    </row>
    <row r="4522" spans="1:1" x14ac:dyDescent="0.3">
      <c r="A4522" s="678"/>
    </row>
    <row r="4523" spans="1:1" x14ac:dyDescent="0.3">
      <c r="A4523" s="678"/>
    </row>
    <row r="4524" spans="1:1" x14ac:dyDescent="0.3">
      <c r="A4524" s="678"/>
    </row>
    <row r="4525" spans="1:1" x14ac:dyDescent="0.3">
      <c r="A4525" s="678"/>
    </row>
    <row r="4526" spans="1:1" x14ac:dyDescent="0.3">
      <c r="A4526" s="678"/>
    </row>
    <row r="4527" spans="1:1" x14ac:dyDescent="0.3">
      <c r="A4527" s="678"/>
    </row>
    <row r="4528" spans="1:1" x14ac:dyDescent="0.3">
      <c r="A4528" s="678"/>
    </row>
    <row r="4529" spans="1:1" x14ac:dyDescent="0.3">
      <c r="A4529" s="678"/>
    </row>
    <row r="4530" spans="1:1" x14ac:dyDescent="0.3">
      <c r="A4530" s="678"/>
    </row>
    <row r="4531" spans="1:1" x14ac:dyDescent="0.3">
      <c r="A4531" s="678"/>
    </row>
    <row r="4532" spans="1:1" x14ac:dyDescent="0.3">
      <c r="A4532" s="678"/>
    </row>
    <row r="4533" spans="1:1" x14ac:dyDescent="0.3">
      <c r="A4533" s="678"/>
    </row>
    <row r="4534" spans="1:1" x14ac:dyDescent="0.3">
      <c r="A4534" s="678"/>
    </row>
    <row r="4535" spans="1:1" x14ac:dyDescent="0.3">
      <c r="A4535" s="678"/>
    </row>
    <row r="4536" spans="1:1" x14ac:dyDescent="0.3">
      <c r="A4536" s="678"/>
    </row>
    <row r="4537" spans="1:1" x14ac:dyDescent="0.3">
      <c r="A4537" s="678"/>
    </row>
    <row r="4538" spans="1:1" x14ac:dyDescent="0.3">
      <c r="A4538" s="678"/>
    </row>
    <row r="4539" spans="1:1" x14ac:dyDescent="0.3">
      <c r="A4539" s="678"/>
    </row>
    <row r="4540" spans="1:1" x14ac:dyDescent="0.3">
      <c r="A4540" s="678"/>
    </row>
    <row r="4541" spans="1:1" x14ac:dyDescent="0.3">
      <c r="A4541" s="678"/>
    </row>
    <row r="4542" spans="1:1" x14ac:dyDescent="0.3">
      <c r="A4542" s="678"/>
    </row>
    <row r="4543" spans="1:1" x14ac:dyDescent="0.3">
      <c r="A4543" s="678"/>
    </row>
    <row r="4544" spans="1:1" x14ac:dyDescent="0.3">
      <c r="A4544" s="678"/>
    </row>
    <row r="4545" spans="1:1" x14ac:dyDescent="0.3">
      <c r="A4545" s="678"/>
    </row>
    <row r="4546" spans="1:1" x14ac:dyDescent="0.3">
      <c r="A4546" s="678"/>
    </row>
    <row r="4547" spans="1:1" x14ac:dyDescent="0.3">
      <c r="A4547" s="678"/>
    </row>
    <row r="4548" spans="1:1" x14ac:dyDescent="0.3">
      <c r="A4548" s="678"/>
    </row>
    <row r="4549" spans="1:1" x14ac:dyDescent="0.3">
      <c r="A4549" s="678"/>
    </row>
    <row r="4550" spans="1:1" x14ac:dyDescent="0.3">
      <c r="A4550" s="678"/>
    </row>
    <row r="4551" spans="1:1" x14ac:dyDescent="0.3">
      <c r="A4551" s="678"/>
    </row>
    <row r="4552" spans="1:1" x14ac:dyDescent="0.3">
      <c r="A4552" s="678"/>
    </row>
    <row r="4553" spans="1:1" x14ac:dyDescent="0.3">
      <c r="A4553" s="678"/>
    </row>
    <row r="4554" spans="1:1" x14ac:dyDescent="0.3">
      <c r="A4554" s="678"/>
    </row>
    <row r="4555" spans="1:1" x14ac:dyDescent="0.3">
      <c r="A4555" s="678"/>
    </row>
    <row r="4556" spans="1:1" x14ac:dyDescent="0.3">
      <c r="A4556" s="678"/>
    </row>
    <row r="4557" spans="1:1" x14ac:dyDescent="0.3">
      <c r="A4557" s="678"/>
    </row>
    <row r="4558" spans="1:1" x14ac:dyDescent="0.3">
      <c r="A4558" s="678"/>
    </row>
    <row r="4559" spans="1:1" x14ac:dyDescent="0.3">
      <c r="A4559" s="678"/>
    </row>
    <row r="4560" spans="1:1" x14ac:dyDescent="0.3">
      <c r="A4560" s="678"/>
    </row>
    <row r="4561" spans="1:1" x14ac:dyDescent="0.3">
      <c r="A4561" s="678"/>
    </row>
    <row r="4562" spans="1:1" x14ac:dyDescent="0.3">
      <c r="A4562" s="678"/>
    </row>
    <row r="4563" spans="1:1" x14ac:dyDescent="0.3">
      <c r="A4563" s="678"/>
    </row>
    <row r="4564" spans="1:1" x14ac:dyDescent="0.3">
      <c r="A4564" s="678"/>
    </row>
    <row r="4565" spans="1:1" x14ac:dyDescent="0.3">
      <c r="A4565" s="678"/>
    </row>
    <row r="4566" spans="1:1" x14ac:dyDescent="0.3">
      <c r="A4566" s="678"/>
    </row>
    <row r="4567" spans="1:1" x14ac:dyDescent="0.3">
      <c r="A4567" s="678"/>
    </row>
    <row r="4568" spans="1:1" x14ac:dyDescent="0.3">
      <c r="A4568" s="678"/>
    </row>
    <row r="4569" spans="1:1" x14ac:dyDescent="0.3">
      <c r="A4569" s="678"/>
    </row>
    <row r="4570" spans="1:1" x14ac:dyDescent="0.3">
      <c r="A4570" s="678"/>
    </row>
    <row r="4571" spans="1:1" x14ac:dyDescent="0.3">
      <c r="A4571" s="678"/>
    </row>
    <row r="4572" spans="1:1" x14ac:dyDescent="0.3">
      <c r="A4572" s="678"/>
    </row>
    <row r="4573" spans="1:1" x14ac:dyDescent="0.3">
      <c r="A4573" s="678"/>
    </row>
    <row r="4574" spans="1:1" x14ac:dyDescent="0.3">
      <c r="A4574" s="678"/>
    </row>
    <row r="4575" spans="1:1" x14ac:dyDescent="0.3">
      <c r="A4575" s="678"/>
    </row>
    <row r="4576" spans="1:1" x14ac:dyDescent="0.3">
      <c r="A4576" s="678"/>
    </row>
    <row r="4577" spans="1:1" x14ac:dyDescent="0.3">
      <c r="A4577" s="678"/>
    </row>
    <row r="4578" spans="1:1" x14ac:dyDescent="0.3">
      <c r="A4578" s="678"/>
    </row>
    <row r="4579" spans="1:1" x14ac:dyDescent="0.3">
      <c r="A4579" s="678"/>
    </row>
    <row r="4580" spans="1:1" x14ac:dyDescent="0.3">
      <c r="A4580" s="678"/>
    </row>
    <row r="4581" spans="1:1" x14ac:dyDescent="0.3">
      <c r="A4581" s="678"/>
    </row>
    <row r="4582" spans="1:1" x14ac:dyDescent="0.3">
      <c r="A4582" s="678"/>
    </row>
    <row r="4583" spans="1:1" x14ac:dyDescent="0.3">
      <c r="A4583" s="678"/>
    </row>
    <row r="4584" spans="1:1" x14ac:dyDescent="0.3">
      <c r="A4584" s="678"/>
    </row>
    <row r="4585" spans="1:1" x14ac:dyDescent="0.3">
      <c r="A4585" s="678"/>
    </row>
    <row r="4586" spans="1:1" x14ac:dyDescent="0.3">
      <c r="A4586" s="678"/>
    </row>
    <row r="4587" spans="1:1" x14ac:dyDescent="0.3">
      <c r="A4587" s="678"/>
    </row>
    <row r="4588" spans="1:1" x14ac:dyDescent="0.3">
      <c r="A4588" s="678"/>
    </row>
    <row r="4589" spans="1:1" x14ac:dyDescent="0.3">
      <c r="A4589" s="678"/>
    </row>
    <row r="4590" spans="1:1" x14ac:dyDescent="0.3">
      <c r="A4590" s="678"/>
    </row>
    <row r="4591" spans="1:1" x14ac:dyDescent="0.3">
      <c r="A4591" s="678"/>
    </row>
    <row r="4592" spans="1:1" x14ac:dyDescent="0.3">
      <c r="A4592" s="678"/>
    </row>
    <row r="4593" spans="1:1" x14ac:dyDescent="0.3">
      <c r="A4593" s="678"/>
    </row>
    <row r="4594" spans="1:1" x14ac:dyDescent="0.3">
      <c r="A4594" s="678"/>
    </row>
    <row r="4595" spans="1:1" x14ac:dyDescent="0.3">
      <c r="A4595" s="678"/>
    </row>
    <row r="4596" spans="1:1" x14ac:dyDescent="0.3">
      <c r="A4596" s="678"/>
    </row>
    <row r="4597" spans="1:1" x14ac:dyDescent="0.3">
      <c r="A4597" s="678"/>
    </row>
    <row r="4598" spans="1:1" x14ac:dyDescent="0.3">
      <c r="A4598" s="678"/>
    </row>
    <row r="4599" spans="1:1" x14ac:dyDescent="0.3">
      <c r="A4599" s="678"/>
    </row>
    <row r="4600" spans="1:1" x14ac:dyDescent="0.3">
      <c r="A4600" s="678"/>
    </row>
    <row r="4601" spans="1:1" x14ac:dyDescent="0.3">
      <c r="A4601" s="678"/>
    </row>
    <row r="4602" spans="1:1" x14ac:dyDescent="0.3">
      <c r="A4602" s="678"/>
    </row>
    <row r="4603" spans="1:1" x14ac:dyDescent="0.3">
      <c r="A4603" s="678"/>
    </row>
    <row r="4604" spans="1:1" x14ac:dyDescent="0.3">
      <c r="A4604" s="678"/>
    </row>
    <row r="4605" spans="1:1" x14ac:dyDescent="0.3">
      <c r="A4605" s="678"/>
    </row>
    <row r="4606" spans="1:1" x14ac:dyDescent="0.3">
      <c r="A4606" s="678"/>
    </row>
    <row r="4607" spans="1:1" x14ac:dyDescent="0.3">
      <c r="A4607" s="678"/>
    </row>
    <row r="4608" spans="1:1" x14ac:dyDescent="0.3">
      <c r="A4608" s="678"/>
    </row>
    <row r="4609" spans="1:1" x14ac:dyDescent="0.3">
      <c r="A4609" s="678"/>
    </row>
    <row r="4610" spans="1:1" x14ac:dyDescent="0.3">
      <c r="A4610" s="678"/>
    </row>
    <row r="4611" spans="1:1" x14ac:dyDescent="0.3">
      <c r="A4611" s="678"/>
    </row>
    <row r="4612" spans="1:1" x14ac:dyDescent="0.3">
      <c r="A4612" s="678"/>
    </row>
    <row r="4613" spans="1:1" x14ac:dyDescent="0.3">
      <c r="A4613" s="678"/>
    </row>
    <row r="4614" spans="1:1" x14ac:dyDescent="0.3">
      <c r="A4614" s="678"/>
    </row>
    <row r="4615" spans="1:1" x14ac:dyDescent="0.3">
      <c r="A4615" s="678"/>
    </row>
    <row r="4616" spans="1:1" x14ac:dyDescent="0.3">
      <c r="A4616" s="678"/>
    </row>
    <row r="4617" spans="1:1" x14ac:dyDescent="0.3">
      <c r="A4617" s="678"/>
    </row>
    <row r="4618" spans="1:1" x14ac:dyDescent="0.3">
      <c r="A4618" s="678"/>
    </row>
    <row r="4619" spans="1:1" x14ac:dyDescent="0.3">
      <c r="A4619" s="678"/>
    </row>
    <row r="4620" spans="1:1" x14ac:dyDescent="0.3">
      <c r="A4620" s="678"/>
    </row>
    <row r="4621" spans="1:1" x14ac:dyDescent="0.3">
      <c r="A4621" s="678"/>
    </row>
    <row r="4622" spans="1:1" x14ac:dyDescent="0.3">
      <c r="A4622" s="678"/>
    </row>
    <row r="4623" spans="1:1" x14ac:dyDescent="0.3">
      <c r="A4623" s="678"/>
    </row>
    <row r="4624" spans="1:1" x14ac:dyDescent="0.3">
      <c r="A4624" s="678"/>
    </row>
    <row r="4625" spans="1:1" x14ac:dyDescent="0.3">
      <c r="A4625" s="678"/>
    </row>
    <row r="4626" spans="1:1" x14ac:dyDescent="0.3">
      <c r="A4626" s="678"/>
    </row>
    <row r="4627" spans="1:1" x14ac:dyDescent="0.3">
      <c r="A4627" s="678"/>
    </row>
    <row r="4628" spans="1:1" x14ac:dyDescent="0.3">
      <c r="A4628" s="678"/>
    </row>
    <row r="4629" spans="1:1" x14ac:dyDescent="0.3">
      <c r="A4629" s="678"/>
    </row>
    <row r="4630" spans="1:1" x14ac:dyDescent="0.3">
      <c r="A4630" s="678"/>
    </row>
    <row r="4631" spans="1:1" x14ac:dyDescent="0.3">
      <c r="A4631" s="678"/>
    </row>
    <row r="4632" spans="1:1" x14ac:dyDescent="0.3">
      <c r="A4632" s="678"/>
    </row>
    <row r="4633" spans="1:1" x14ac:dyDescent="0.3">
      <c r="A4633" s="678"/>
    </row>
    <row r="4634" spans="1:1" x14ac:dyDescent="0.3">
      <c r="A4634" s="678"/>
    </row>
    <row r="4635" spans="1:1" x14ac:dyDescent="0.3">
      <c r="A4635" s="678"/>
    </row>
    <row r="4636" spans="1:1" x14ac:dyDescent="0.3">
      <c r="A4636" s="678"/>
    </row>
    <row r="4637" spans="1:1" x14ac:dyDescent="0.3">
      <c r="A4637" s="678"/>
    </row>
    <row r="4638" spans="1:1" x14ac:dyDescent="0.3">
      <c r="A4638" s="678"/>
    </row>
    <row r="4639" spans="1:1" x14ac:dyDescent="0.3">
      <c r="A4639" s="678"/>
    </row>
    <row r="4640" spans="1:1" x14ac:dyDescent="0.3">
      <c r="A4640" s="678"/>
    </row>
    <row r="4641" spans="1:1" x14ac:dyDescent="0.3">
      <c r="A4641" s="678"/>
    </row>
    <row r="4642" spans="1:1" x14ac:dyDescent="0.3">
      <c r="A4642" s="678"/>
    </row>
    <row r="4643" spans="1:1" x14ac:dyDescent="0.3">
      <c r="A4643" s="678"/>
    </row>
    <row r="4644" spans="1:1" x14ac:dyDescent="0.3">
      <c r="A4644" s="678"/>
    </row>
    <row r="4645" spans="1:1" x14ac:dyDescent="0.3">
      <c r="A4645" s="678"/>
    </row>
    <row r="4646" spans="1:1" x14ac:dyDescent="0.3">
      <c r="A4646" s="678"/>
    </row>
    <row r="4647" spans="1:1" x14ac:dyDescent="0.3">
      <c r="A4647" s="678"/>
    </row>
    <row r="4648" spans="1:1" x14ac:dyDescent="0.3">
      <c r="A4648" s="678"/>
    </row>
    <row r="4649" spans="1:1" x14ac:dyDescent="0.3">
      <c r="A4649" s="678"/>
    </row>
    <row r="4650" spans="1:1" x14ac:dyDescent="0.3">
      <c r="A4650" s="678"/>
    </row>
    <row r="4651" spans="1:1" x14ac:dyDescent="0.3">
      <c r="A4651" s="678"/>
    </row>
    <row r="4652" spans="1:1" x14ac:dyDescent="0.3">
      <c r="A4652" s="678"/>
    </row>
    <row r="4653" spans="1:1" x14ac:dyDescent="0.3">
      <c r="A4653" s="678"/>
    </row>
    <row r="4654" spans="1:1" x14ac:dyDescent="0.3">
      <c r="A4654" s="678"/>
    </row>
    <row r="4655" spans="1:1" x14ac:dyDescent="0.3">
      <c r="A4655" s="678"/>
    </row>
    <row r="4656" spans="1:1" x14ac:dyDescent="0.3">
      <c r="A4656" s="678"/>
    </row>
    <row r="4657" spans="1:1" x14ac:dyDescent="0.3">
      <c r="A4657" s="678"/>
    </row>
    <row r="4658" spans="1:1" x14ac:dyDescent="0.3">
      <c r="A4658" s="678"/>
    </row>
    <row r="4659" spans="1:1" x14ac:dyDescent="0.3">
      <c r="A4659" s="678"/>
    </row>
    <row r="4660" spans="1:1" x14ac:dyDescent="0.3">
      <c r="A4660" s="678"/>
    </row>
    <row r="4661" spans="1:1" x14ac:dyDescent="0.3">
      <c r="A4661" s="678"/>
    </row>
    <row r="4662" spans="1:1" x14ac:dyDescent="0.3">
      <c r="A4662" s="678"/>
    </row>
    <row r="4663" spans="1:1" x14ac:dyDescent="0.3">
      <c r="A4663" s="678"/>
    </row>
    <row r="4664" spans="1:1" x14ac:dyDescent="0.3">
      <c r="A4664" s="678"/>
    </row>
    <row r="4665" spans="1:1" x14ac:dyDescent="0.3">
      <c r="A4665" s="678"/>
    </row>
    <row r="4666" spans="1:1" x14ac:dyDescent="0.3">
      <c r="A4666" s="678"/>
    </row>
    <row r="4667" spans="1:1" x14ac:dyDescent="0.3">
      <c r="A4667" s="678"/>
    </row>
    <row r="4668" spans="1:1" x14ac:dyDescent="0.3">
      <c r="A4668" s="678"/>
    </row>
    <row r="4669" spans="1:1" x14ac:dyDescent="0.3">
      <c r="A4669" s="678"/>
    </row>
    <row r="4670" spans="1:1" x14ac:dyDescent="0.3">
      <c r="A4670" s="678"/>
    </row>
    <row r="4671" spans="1:1" x14ac:dyDescent="0.3">
      <c r="A4671" s="678"/>
    </row>
    <row r="4672" spans="1:1" x14ac:dyDescent="0.3">
      <c r="A4672" s="678"/>
    </row>
    <row r="4673" spans="1:1" x14ac:dyDescent="0.3">
      <c r="A4673" s="678"/>
    </row>
    <row r="4674" spans="1:1" x14ac:dyDescent="0.3">
      <c r="A4674" s="678"/>
    </row>
    <row r="4675" spans="1:1" x14ac:dyDescent="0.3">
      <c r="A4675" s="678"/>
    </row>
    <row r="4676" spans="1:1" x14ac:dyDescent="0.3">
      <c r="A4676" s="678"/>
    </row>
    <row r="4677" spans="1:1" x14ac:dyDescent="0.3">
      <c r="A4677" s="678"/>
    </row>
    <row r="4678" spans="1:1" x14ac:dyDescent="0.3">
      <c r="A4678" s="678"/>
    </row>
    <row r="4679" spans="1:1" x14ac:dyDescent="0.3">
      <c r="A4679" s="678"/>
    </row>
    <row r="4680" spans="1:1" x14ac:dyDescent="0.3">
      <c r="A4680" s="678"/>
    </row>
    <row r="4681" spans="1:1" x14ac:dyDescent="0.3">
      <c r="A4681" s="678"/>
    </row>
    <row r="4682" spans="1:1" x14ac:dyDescent="0.3">
      <c r="A4682" s="678"/>
    </row>
    <row r="4683" spans="1:1" x14ac:dyDescent="0.3">
      <c r="A4683" s="678"/>
    </row>
    <row r="4684" spans="1:1" x14ac:dyDescent="0.3">
      <c r="A4684" s="678"/>
    </row>
    <row r="4685" spans="1:1" x14ac:dyDescent="0.3">
      <c r="A4685" s="678"/>
    </row>
    <row r="4686" spans="1:1" x14ac:dyDescent="0.3">
      <c r="A4686" s="678"/>
    </row>
    <row r="4687" spans="1:1" x14ac:dyDescent="0.3">
      <c r="A4687" s="678"/>
    </row>
    <row r="4688" spans="1:1" x14ac:dyDescent="0.3">
      <c r="A4688" s="678"/>
    </row>
    <row r="4689" spans="1:1" x14ac:dyDescent="0.3">
      <c r="A4689" s="678"/>
    </row>
    <row r="4690" spans="1:1" x14ac:dyDescent="0.3">
      <c r="A4690" s="678"/>
    </row>
    <row r="4691" spans="1:1" x14ac:dyDescent="0.3">
      <c r="A4691" s="678"/>
    </row>
    <row r="4692" spans="1:1" x14ac:dyDescent="0.3">
      <c r="A4692" s="678"/>
    </row>
    <row r="4693" spans="1:1" x14ac:dyDescent="0.3">
      <c r="A4693" s="678"/>
    </row>
    <row r="4694" spans="1:1" x14ac:dyDescent="0.3">
      <c r="A4694" s="678"/>
    </row>
    <row r="4695" spans="1:1" x14ac:dyDescent="0.3">
      <c r="A4695" s="678"/>
    </row>
    <row r="4696" spans="1:1" x14ac:dyDescent="0.3">
      <c r="A4696" s="678"/>
    </row>
    <row r="4697" spans="1:1" x14ac:dyDescent="0.3">
      <c r="A4697" s="678"/>
    </row>
    <row r="4698" spans="1:1" x14ac:dyDescent="0.3">
      <c r="A4698" s="678"/>
    </row>
    <row r="4699" spans="1:1" x14ac:dyDescent="0.3">
      <c r="A4699" s="678"/>
    </row>
    <row r="4700" spans="1:1" x14ac:dyDescent="0.3">
      <c r="A4700" s="678"/>
    </row>
    <row r="4701" spans="1:1" x14ac:dyDescent="0.3">
      <c r="A4701" s="678"/>
    </row>
    <row r="4702" spans="1:1" x14ac:dyDescent="0.3">
      <c r="A4702" s="678"/>
    </row>
    <row r="4703" spans="1:1" x14ac:dyDescent="0.3">
      <c r="A4703" s="678"/>
    </row>
    <row r="4704" spans="1:1" x14ac:dyDescent="0.3">
      <c r="A4704" s="678"/>
    </row>
    <row r="4705" spans="1:1" x14ac:dyDescent="0.3">
      <c r="A4705" s="678"/>
    </row>
    <row r="4706" spans="1:1" x14ac:dyDescent="0.3">
      <c r="A4706" s="678"/>
    </row>
    <row r="4707" spans="1:1" x14ac:dyDescent="0.3">
      <c r="A4707" s="678"/>
    </row>
    <row r="4708" spans="1:1" x14ac:dyDescent="0.3">
      <c r="A4708" s="678"/>
    </row>
    <row r="4709" spans="1:1" x14ac:dyDescent="0.3">
      <c r="A4709" s="678"/>
    </row>
    <row r="4710" spans="1:1" x14ac:dyDescent="0.3">
      <c r="A4710" s="678"/>
    </row>
    <row r="4711" spans="1:1" x14ac:dyDescent="0.3">
      <c r="A4711" s="678"/>
    </row>
    <row r="4712" spans="1:1" x14ac:dyDescent="0.3">
      <c r="A4712" s="678"/>
    </row>
    <row r="4713" spans="1:1" x14ac:dyDescent="0.3">
      <c r="A4713" s="678"/>
    </row>
    <row r="4714" spans="1:1" x14ac:dyDescent="0.3">
      <c r="A4714" s="678"/>
    </row>
    <row r="4715" spans="1:1" x14ac:dyDescent="0.3">
      <c r="A4715" s="678"/>
    </row>
    <row r="4716" spans="1:1" x14ac:dyDescent="0.3">
      <c r="A4716" s="678"/>
    </row>
    <row r="4717" spans="1:1" x14ac:dyDescent="0.3">
      <c r="A4717" s="678"/>
    </row>
    <row r="4718" spans="1:1" x14ac:dyDescent="0.3">
      <c r="A4718" s="678"/>
    </row>
    <row r="4719" spans="1:1" x14ac:dyDescent="0.3">
      <c r="A4719" s="678"/>
    </row>
    <row r="4720" spans="1:1" x14ac:dyDescent="0.3">
      <c r="A4720" s="678"/>
    </row>
    <row r="4721" spans="1:1" x14ac:dyDescent="0.3">
      <c r="A4721" s="678"/>
    </row>
    <row r="4722" spans="1:1" x14ac:dyDescent="0.3">
      <c r="A4722" s="678"/>
    </row>
    <row r="4723" spans="1:1" x14ac:dyDescent="0.3">
      <c r="A4723" s="678"/>
    </row>
    <row r="4724" spans="1:1" x14ac:dyDescent="0.3">
      <c r="A4724" s="678"/>
    </row>
    <row r="4725" spans="1:1" x14ac:dyDescent="0.3">
      <c r="A4725" s="678"/>
    </row>
    <row r="4726" spans="1:1" x14ac:dyDescent="0.3">
      <c r="A4726" s="678"/>
    </row>
    <row r="4727" spans="1:1" x14ac:dyDescent="0.3">
      <c r="A4727" s="678"/>
    </row>
    <row r="4728" spans="1:1" x14ac:dyDescent="0.3">
      <c r="A4728" s="678"/>
    </row>
    <row r="4729" spans="1:1" x14ac:dyDescent="0.3">
      <c r="A4729" s="678"/>
    </row>
    <row r="4730" spans="1:1" x14ac:dyDescent="0.3">
      <c r="A4730" s="678"/>
    </row>
    <row r="4731" spans="1:1" x14ac:dyDescent="0.3">
      <c r="A4731" s="678"/>
    </row>
    <row r="4732" spans="1:1" x14ac:dyDescent="0.3">
      <c r="A4732" s="678"/>
    </row>
    <row r="4733" spans="1:1" x14ac:dyDescent="0.3">
      <c r="A4733" s="678"/>
    </row>
    <row r="4734" spans="1:1" x14ac:dyDescent="0.3">
      <c r="A4734" s="678"/>
    </row>
    <row r="4735" spans="1:1" x14ac:dyDescent="0.3">
      <c r="A4735" s="678"/>
    </row>
    <row r="4736" spans="1:1" x14ac:dyDescent="0.3">
      <c r="A4736" s="678"/>
    </row>
    <row r="4737" spans="1:1" x14ac:dyDescent="0.3">
      <c r="A4737" s="678"/>
    </row>
    <row r="4738" spans="1:1" x14ac:dyDescent="0.3">
      <c r="A4738" s="678"/>
    </row>
    <row r="4739" spans="1:1" x14ac:dyDescent="0.3">
      <c r="A4739" s="678"/>
    </row>
    <row r="4740" spans="1:1" x14ac:dyDescent="0.3">
      <c r="A4740" s="678"/>
    </row>
    <row r="4741" spans="1:1" x14ac:dyDescent="0.3">
      <c r="A4741" s="678"/>
    </row>
    <row r="4742" spans="1:1" x14ac:dyDescent="0.3">
      <c r="A4742" s="678"/>
    </row>
    <row r="4743" spans="1:1" x14ac:dyDescent="0.3">
      <c r="A4743" s="678"/>
    </row>
    <row r="4744" spans="1:1" x14ac:dyDescent="0.3">
      <c r="A4744" s="678"/>
    </row>
    <row r="4745" spans="1:1" x14ac:dyDescent="0.3">
      <c r="A4745" s="678"/>
    </row>
    <row r="4746" spans="1:1" x14ac:dyDescent="0.3">
      <c r="A4746" s="678"/>
    </row>
    <row r="4747" spans="1:1" x14ac:dyDescent="0.3">
      <c r="A4747" s="678"/>
    </row>
    <row r="4748" spans="1:1" x14ac:dyDescent="0.3">
      <c r="A4748" s="678"/>
    </row>
    <row r="4749" spans="1:1" x14ac:dyDescent="0.3">
      <c r="A4749" s="678"/>
    </row>
    <row r="4750" spans="1:1" x14ac:dyDescent="0.3">
      <c r="A4750" s="678"/>
    </row>
    <row r="4751" spans="1:1" x14ac:dyDescent="0.3">
      <c r="A4751" s="678"/>
    </row>
    <row r="4752" spans="1:1" x14ac:dyDescent="0.3">
      <c r="A4752" s="678"/>
    </row>
    <row r="4753" spans="1:1" x14ac:dyDescent="0.3">
      <c r="A4753" s="678"/>
    </row>
    <row r="4754" spans="1:1" x14ac:dyDescent="0.3">
      <c r="A4754" s="678"/>
    </row>
    <row r="4755" spans="1:1" x14ac:dyDescent="0.3">
      <c r="A4755" s="678"/>
    </row>
    <row r="4756" spans="1:1" x14ac:dyDescent="0.3">
      <c r="A4756" s="678"/>
    </row>
    <row r="4757" spans="1:1" x14ac:dyDescent="0.3">
      <c r="A4757" s="678"/>
    </row>
    <row r="4758" spans="1:1" x14ac:dyDescent="0.3">
      <c r="A4758" s="678"/>
    </row>
    <row r="4759" spans="1:1" x14ac:dyDescent="0.3">
      <c r="A4759" s="678"/>
    </row>
    <row r="4760" spans="1:1" x14ac:dyDescent="0.3">
      <c r="A4760" s="678"/>
    </row>
    <row r="4761" spans="1:1" x14ac:dyDescent="0.3">
      <c r="A4761" s="678"/>
    </row>
    <row r="4762" spans="1:1" x14ac:dyDescent="0.3">
      <c r="A4762" s="678"/>
    </row>
    <row r="4763" spans="1:1" x14ac:dyDescent="0.3">
      <c r="A4763" s="678"/>
    </row>
    <row r="4764" spans="1:1" x14ac:dyDescent="0.3">
      <c r="A4764" s="678"/>
    </row>
    <row r="4765" spans="1:1" x14ac:dyDescent="0.3">
      <c r="A4765" s="678"/>
    </row>
    <row r="4766" spans="1:1" x14ac:dyDescent="0.3">
      <c r="A4766" s="678"/>
    </row>
    <row r="4767" spans="1:1" x14ac:dyDescent="0.3">
      <c r="A4767" s="678"/>
    </row>
    <row r="4768" spans="1:1" x14ac:dyDescent="0.3">
      <c r="A4768" s="678"/>
    </row>
    <row r="4769" spans="1:1" x14ac:dyDescent="0.3">
      <c r="A4769" s="678"/>
    </row>
    <row r="4770" spans="1:1" x14ac:dyDescent="0.3">
      <c r="A4770" s="678"/>
    </row>
    <row r="4771" spans="1:1" x14ac:dyDescent="0.3">
      <c r="A4771" s="678"/>
    </row>
    <row r="4772" spans="1:1" x14ac:dyDescent="0.3">
      <c r="A4772" s="678"/>
    </row>
    <row r="4773" spans="1:1" x14ac:dyDescent="0.3">
      <c r="A4773" s="678"/>
    </row>
    <row r="4774" spans="1:1" x14ac:dyDescent="0.3">
      <c r="A4774" s="678"/>
    </row>
    <row r="4775" spans="1:1" x14ac:dyDescent="0.3">
      <c r="A4775" s="678"/>
    </row>
    <row r="4776" spans="1:1" x14ac:dyDescent="0.3">
      <c r="A4776" s="678"/>
    </row>
    <row r="4777" spans="1:1" x14ac:dyDescent="0.3">
      <c r="A4777" s="678"/>
    </row>
    <row r="4778" spans="1:1" x14ac:dyDescent="0.3">
      <c r="A4778" s="678"/>
    </row>
    <row r="4779" spans="1:1" x14ac:dyDescent="0.3">
      <c r="A4779" s="678"/>
    </row>
    <row r="4780" spans="1:1" x14ac:dyDescent="0.3">
      <c r="A4780" s="678"/>
    </row>
    <row r="4781" spans="1:1" x14ac:dyDescent="0.3">
      <c r="A4781" s="678"/>
    </row>
    <row r="4782" spans="1:1" x14ac:dyDescent="0.3">
      <c r="A4782" s="678"/>
    </row>
    <row r="4783" spans="1:1" x14ac:dyDescent="0.3">
      <c r="A4783" s="678"/>
    </row>
    <row r="4784" spans="1:1" x14ac:dyDescent="0.3">
      <c r="A4784" s="678"/>
    </row>
    <row r="4785" spans="1:1" x14ac:dyDescent="0.3">
      <c r="A4785" s="678"/>
    </row>
    <row r="4786" spans="1:1" x14ac:dyDescent="0.3">
      <c r="A4786" s="678"/>
    </row>
    <row r="4787" spans="1:1" x14ac:dyDescent="0.3">
      <c r="A4787" s="678"/>
    </row>
    <row r="4788" spans="1:1" x14ac:dyDescent="0.3">
      <c r="A4788" s="678"/>
    </row>
    <row r="4789" spans="1:1" x14ac:dyDescent="0.3">
      <c r="A4789" s="678"/>
    </row>
    <row r="4790" spans="1:1" x14ac:dyDescent="0.3">
      <c r="A4790" s="678"/>
    </row>
    <row r="4791" spans="1:1" x14ac:dyDescent="0.3">
      <c r="A4791" s="678"/>
    </row>
    <row r="4792" spans="1:1" x14ac:dyDescent="0.3">
      <c r="A4792" s="678"/>
    </row>
    <row r="4793" spans="1:1" x14ac:dyDescent="0.3">
      <c r="A4793" s="678"/>
    </row>
    <row r="4794" spans="1:1" x14ac:dyDescent="0.3">
      <c r="A4794" s="678"/>
    </row>
    <row r="4795" spans="1:1" x14ac:dyDescent="0.3">
      <c r="A4795" s="678"/>
    </row>
    <row r="4796" spans="1:1" x14ac:dyDescent="0.3">
      <c r="A4796" s="678"/>
    </row>
    <row r="4797" spans="1:1" x14ac:dyDescent="0.3">
      <c r="A4797" s="678"/>
    </row>
    <row r="4798" spans="1:1" x14ac:dyDescent="0.3">
      <c r="A4798" s="678"/>
    </row>
    <row r="4799" spans="1:1" x14ac:dyDescent="0.3">
      <c r="A4799" s="678"/>
    </row>
    <row r="4800" spans="1:1" x14ac:dyDescent="0.3">
      <c r="A4800" s="678"/>
    </row>
    <row r="4801" spans="1:1" x14ac:dyDescent="0.3">
      <c r="A4801" s="678"/>
    </row>
    <row r="4802" spans="1:1" x14ac:dyDescent="0.3">
      <c r="A4802" s="678"/>
    </row>
    <row r="4803" spans="1:1" x14ac:dyDescent="0.3">
      <c r="A4803" s="678"/>
    </row>
    <row r="4804" spans="1:1" x14ac:dyDescent="0.3">
      <c r="A4804" s="678"/>
    </row>
    <row r="4805" spans="1:1" x14ac:dyDescent="0.3">
      <c r="A4805" s="678"/>
    </row>
    <row r="4806" spans="1:1" x14ac:dyDescent="0.3">
      <c r="A4806" s="678"/>
    </row>
    <row r="4807" spans="1:1" x14ac:dyDescent="0.3">
      <c r="A4807" s="678"/>
    </row>
    <row r="4808" spans="1:1" x14ac:dyDescent="0.3">
      <c r="A4808" s="678"/>
    </row>
    <row r="4809" spans="1:1" x14ac:dyDescent="0.3">
      <c r="A4809" s="678"/>
    </row>
    <row r="4810" spans="1:1" x14ac:dyDescent="0.3">
      <c r="A4810" s="678"/>
    </row>
    <row r="4811" spans="1:1" x14ac:dyDescent="0.3">
      <c r="A4811" s="678"/>
    </row>
    <row r="4812" spans="1:1" x14ac:dyDescent="0.3">
      <c r="A4812" s="678"/>
    </row>
    <row r="4813" spans="1:1" x14ac:dyDescent="0.3">
      <c r="A4813" s="678"/>
    </row>
    <row r="4814" spans="1:1" x14ac:dyDescent="0.3">
      <c r="A4814" s="678"/>
    </row>
    <row r="4815" spans="1:1" x14ac:dyDescent="0.3">
      <c r="A4815" s="678"/>
    </row>
    <row r="4816" spans="1:1" x14ac:dyDescent="0.3">
      <c r="A4816" s="678"/>
    </row>
    <row r="4817" spans="1:1" x14ac:dyDescent="0.3">
      <c r="A4817" s="678"/>
    </row>
    <row r="4818" spans="1:1" x14ac:dyDescent="0.3">
      <c r="A4818" s="678"/>
    </row>
    <row r="4819" spans="1:1" x14ac:dyDescent="0.3">
      <c r="A4819" s="678"/>
    </row>
    <row r="4820" spans="1:1" x14ac:dyDescent="0.3">
      <c r="A4820" s="678"/>
    </row>
    <row r="4821" spans="1:1" x14ac:dyDescent="0.3">
      <c r="A4821" s="678"/>
    </row>
    <row r="4822" spans="1:1" x14ac:dyDescent="0.3">
      <c r="A4822" s="678"/>
    </row>
    <row r="4823" spans="1:1" x14ac:dyDescent="0.3">
      <c r="A4823" s="678"/>
    </row>
    <row r="4824" spans="1:1" x14ac:dyDescent="0.3">
      <c r="A4824" s="678"/>
    </row>
    <row r="4825" spans="1:1" x14ac:dyDescent="0.3">
      <c r="A4825" s="678"/>
    </row>
    <row r="4826" spans="1:1" x14ac:dyDescent="0.3">
      <c r="A4826" s="678"/>
    </row>
    <row r="4827" spans="1:1" x14ac:dyDescent="0.3">
      <c r="A4827" s="678"/>
    </row>
    <row r="4828" spans="1:1" x14ac:dyDescent="0.3">
      <c r="A4828" s="678"/>
    </row>
    <row r="4829" spans="1:1" x14ac:dyDescent="0.3">
      <c r="A4829" s="678"/>
    </row>
    <row r="4830" spans="1:1" x14ac:dyDescent="0.3">
      <c r="A4830" s="678"/>
    </row>
    <row r="4831" spans="1:1" x14ac:dyDescent="0.3">
      <c r="A4831" s="678"/>
    </row>
    <row r="4832" spans="1:1" x14ac:dyDescent="0.3">
      <c r="A4832" s="678"/>
    </row>
    <row r="4833" spans="1:1" x14ac:dyDescent="0.3">
      <c r="A4833" s="678"/>
    </row>
    <row r="4834" spans="1:1" x14ac:dyDescent="0.3">
      <c r="A4834" s="678"/>
    </row>
    <row r="4835" spans="1:1" x14ac:dyDescent="0.3">
      <c r="A4835" s="678"/>
    </row>
    <row r="4836" spans="1:1" x14ac:dyDescent="0.3">
      <c r="A4836" s="678"/>
    </row>
    <row r="4837" spans="1:1" x14ac:dyDescent="0.3">
      <c r="A4837" s="678"/>
    </row>
    <row r="4838" spans="1:1" x14ac:dyDescent="0.3">
      <c r="A4838" s="678"/>
    </row>
    <row r="4839" spans="1:1" x14ac:dyDescent="0.3">
      <c r="A4839" s="678"/>
    </row>
    <row r="4840" spans="1:1" x14ac:dyDescent="0.3">
      <c r="A4840" s="678"/>
    </row>
    <row r="4841" spans="1:1" x14ac:dyDescent="0.3">
      <c r="A4841" s="678"/>
    </row>
    <row r="4842" spans="1:1" x14ac:dyDescent="0.3">
      <c r="A4842" s="678"/>
    </row>
    <row r="4843" spans="1:1" x14ac:dyDescent="0.3">
      <c r="A4843" s="678"/>
    </row>
    <row r="4844" spans="1:1" x14ac:dyDescent="0.3">
      <c r="A4844" s="678"/>
    </row>
    <row r="4845" spans="1:1" x14ac:dyDescent="0.3">
      <c r="A4845" s="678"/>
    </row>
    <row r="4846" spans="1:1" x14ac:dyDescent="0.3">
      <c r="A4846" s="678"/>
    </row>
    <row r="4847" spans="1:1" x14ac:dyDescent="0.3">
      <c r="A4847" s="678"/>
    </row>
    <row r="4848" spans="1:1" x14ac:dyDescent="0.3">
      <c r="A4848" s="678"/>
    </row>
    <row r="4849" spans="1:1" x14ac:dyDescent="0.3">
      <c r="A4849" s="678"/>
    </row>
    <row r="4850" spans="1:1" x14ac:dyDescent="0.3">
      <c r="A4850" s="678"/>
    </row>
    <row r="4851" spans="1:1" x14ac:dyDescent="0.3">
      <c r="A4851" s="678"/>
    </row>
    <row r="4852" spans="1:1" x14ac:dyDescent="0.3">
      <c r="A4852" s="678"/>
    </row>
    <row r="4853" spans="1:1" x14ac:dyDescent="0.3">
      <c r="A4853" s="678"/>
    </row>
    <row r="4854" spans="1:1" x14ac:dyDescent="0.3">
      <c r="A4854" s="678"/>
    </row>
    <row r="4855" spans="1:1" x14ac:dyDescent="0.3">
      <c r="A4855" s="678"/>
    </row>
    <row r="4856" spans="1:1" x14ac:dyDescent="0.3">
      <c r="A4856" s="678"/>
    </row>
    <row r="4857" spans="1:1" x14ac:dyDescent="0.3">
      <c r="A4857" s="678"/>
    </row>
    <row r="4858" spans="1:1" x14ac:dyDescent="0.3">
      <c r="A4858" s="678"/>
    </row>
    <row r="4859" spans="1:1" x14ac:dyDescent="0.3">
      <c r="A4859" s="678"/>
    </row>
    <row r="4860" spans="1:1" x14ac:dyDescent="0.3">
      <c r="A4860" s="678"/>
    </row>
    <row r="4861" spans="1:1" x14ac:dyDescent="0.3">
      <c r="A4861" s="678"/>
    </row>
    <row r="4862" spans="1:1" x14ac:dyDescent="0.3">
      <c r="A4862" s="678"/>
    </row>
    <row r="4863" spans="1:1" x14ac:dyDescent="0.3">
      <c r="A4863" s="678"/>
    </row>
    <row r="4864" spans="1:1" x14ac:dyDescent="0.3">
      <c r="A4864" s="678"/>
    </row>
    <row r="4865" spans="1:1" x14ac:dyDescent="0.3">
      <c r="A4865" s="678"/>
    </row>
    <row r="4866" spans="1:1" x14ac:dyDescent="0.3">
      <c r="A4866" s="678"/>
    </row>
    <row r="4867" spans="1:1" x14ac:dyDescent="0.3">
      <c r="A4867" s="678"/>
    </row>
    <row r="4868" spans="1:1" x14ac:dyDescent="0.3">
      <c r="A4868" s="678"/>
    </row>
    <row r="4869" spans="1:1" x14ac:dyDescent="0.3">
      <c r="A4869" s="678"/>
    </row>
    <row r="4870" spans="1:1" x14ac:dyDescent="0.3">
      <c r="A4870" s="678"/>
    </row>
    <row r="4871" spans="1:1" x14ac:dyDescent="0.3">
      <c r="A4871" s="678"/>
    </row>
    <row r="4872" spans="1:1" x14ac:dyDescent="0.3">
      <c r="A4872" s="678"/>
    </row>
    <row r="4873" spans="1:1" x14ac:dyDescent="0.3">
      <c r="A4873" s="678"/>
    </row>
    <row r="4874" spans="1:1" x14ac:dyDescent="0.3">
      <c r="A4874" s="678"/>
    </row>
    <row r="4875" spans="1:1" x14ac:dyDescent="0.3">
      <c r="A4875" s="678"/>
    </row>
    <row r="4876" spans="1:1" x14ac:dyDescent="0.3">
      <c r="A4876" s="678"/>
    </row>
    <row r="4877" spans="1:1" x14ac:dyDescent="0.3">
      <c r="A4877" s="678"/>
    </row>
    <row r="4878" spans="1:1" x14ac:dyDescent="0.3">
      <c r="A4878" s="678"/>
    </row>
    <row r="4879" spans="1:1" x14ac:dyDescent="0.3">
      <c r="A4879" s="678"/>
    </row>
    <row r="4880" spans="1:1" x14ac:dyDescent="0.3">
      <c r="A4880" s="678"/>
    </row>
    <row r="4881" spans="1:1" x14ac:dyDescent="0.3">
      <c r="A4881" s="678"/>
    </row>
    <row r="4882" spans="1:1" x14ac:dyDescent="0.3">
      <c r="A4882" s="678"/>
    </row>
    <row r="4883" spans="1:1" x14ac:dyDescent="0.3">
      <c r="A4883" s="678"/>
    </row>
    <row r="4884" spans="1:1" x14ac:dyDescent="0.3">
      <c r="A4884" s="678"/>
    </row>
    <row r="4885" spans="1:1" x14ac:dyDescent="0.3">
      <c r="A4885" s="678"/>
    </row>
    <row r="4886" spans="1:1" x14ac:dyDescent="0.3">
      <c r="A4886" s="678"/>
    </row>
    <row r="4887" spans="1:1" x14ac:dyDescent="0.3">
      <c r="A4887" s="678"/>
    </row>
    <row r="4888" spans="1:1" x14ac:dyDescent="0.3">
      <c r="A4888" s="678"/>
    </row>
    <row r="4889" spans="1:1" x14ac:dyDescent="0.3">
      <c r="A4889" s="678"/>
    </row>
    <row r="4890" spans="1:1" x14ac:dyDescent="0.3">
      <c r="A4890" s="678"/>
    </row>
    <row r="4891" spans="1:1" x14ac:dyDescent="0.3">
      <c r="A4891" s="678"/>
    </row>
    <row r="4892" spans="1:1" x14ac:dyDescent="0.3">
      <c r="A4892" s="678"/>
    </row>
    <row r="4893" spans="1:1" x14ac:dyDescent="0.3">
      <c r="A4893" s="678"/>
    </row>
    <row r="4894" spans="1:1" x14ac:dyDescent="0.3">
      <c r="A4894" s="678"/>
    </row>
    <row r="4895" spans="1:1" x14ac:dyDescent="0.3">
      <c r="A4895" s="678"/>
    </row>
    <row r="4896" spans="1:1" x14ac:dyDescent="0.3">
      <c r="A4896" s="678"/>
    </row>
    <row r="4897" spans="1:1" x14ac:dyDescent="0.3">
      <c r="A4897" s="678"/>
    </row>
    <row r="4898" spans="1:1" x14ac:dyDescent="0.3">
      <c r="A4898" s="678"/>
    </row>
    <row r="4899" spans="1:1" x14ac:dyDescent="0.3">
      <c r="A4899" s="678"/>
    </row>
    <row r="4900" spans="1:1" x14ac:dyDescent="0.3">
      <c r="A4900" s="678"/>
    </row>
    <row r="4901" spans="1:1" x14ac:dyDescent="0.3">
      <c r="A4901" s="678"/>
    </row>
    <row r="4902" spans="1:1" x14ac:dyDescent="0.3">
      <c r="A4902" s="678"/>
    </row>
    <row r="4903" spans="1:1" x14ac:dyDescent="0.3">
      <c r="A4903" s="678"/>
    </row>
    <row r="4904" spans="1:1" x14ac:dyDescent="0.3">
      <c r="A4904" s="678"/>
    </row>
    <row r="4905" spans="1:1" x14ac:dyDescent="0.3">
      <c r="A4905" s="678"/>
    </row>
    <row r="4906" spans="1:1" x14ac:dyDescent="0.3">
      <c r="A4906" s="678"/>
    </row>
    <row r="4907" spans="1:1" x14ac:dyDescent="0.3">
      <c r="A4907" s="678"/>
    </row>
    <row r="4908" spans="1:1" x14ac:dyDescent="0.3">
      <c r="A4908" s="678"/>
    </row>
    <row r="4909" spans="1:1" x14ac:dyDescent="0.3">
      <c r="A4909" s="678"/>
    </row>
    <row r="4910" spans="1:1" x14ac:dyDescent="0.3">
      <c r="A4910" s="678"/>
    </row>
    <row r="4911" spans="1:1" x14ac:dyDescent="0.3">
      <c r="A4911" s="678"/>
    </row>
    <row r="4912" spans="1:1" x14ac:dyDescent="0.3">
      <c r="A4912" s="678"/>
    </row>
    <row r="4913" spans="1:1" x14ac:dyDescent="0.3">
      <c r="A4913" s="678"/>
    </row>
    <row r="4914" spans="1:1" x14ac:dyDescent="0.3">
      <c r="A4914" s="678"/>
    </row>
    <row r="4915" spans="1:1" x14ac:dyDescent="0.3">
      <c r="A4915" s="678"/>
    </row>
    <row r="4916" spans="1:1" x14ac:dyDescent="0.3">
      <c r="A4916" s="678"/>
    </row>
    <row r="4917" spans="1:1" x14ac:dyDescent="0.3">
      <c r="A4917" s="678"/>
    </row>
    <row r="4918" spans="1:1" x14ac:dyDescent="0.3">
      <c r="A4918" s="678"/>
    </row>
    <row r="4919" spans="1:1" x14ac:dyDescent="0.3">
      <c r="A4919" s="678"/>
    </row>
    <row r="4920" spans="1:1" x14ac:dyDescent="0.3">
      <c r="A4920" s="678"/>
    </row>
    <row r="4921" spans="1:1" x14ac:dyDescent="0.3">
      <c r="A4921" s="678"/>
    </row>
    <row r="4922" spans="1:1" x14ac:dyDescent="0.3">
      <c r="A4922" s="678"/>
    </row>
    <row r="4923" spans="1:1" x14ac:dyDescent="0.3">
      <c r="A4923" s="678"/>
    </row>
    <row r="4924" spans="1:1" x14ac:dyDescent="0.3">
      <c r="A4924" s="678"/>
    </row>
    <row r="4925" spans="1:1" x14ac:dyDescent="0.3">
      <c r="A4925" s="678"/>
    </row>
    <row r="4926" spans="1:1" x14ac:dyDescent="0.3">
      <c r="A4926" s="678"/>
    </row>
    <row r="4927" spans="1:1" x14ac:dyDescent="0.3">
      <c r="A4927" s="678"/>
    </row>
    <row r="4928" spans="1:1" x14ac:dyDescent="0.3">
      <c r="A4928" s="678"/>
    </row>
    <row r="4929" spans="1:1" x14ac:dyDescent="0.3">
      <c r="A4929" s="678"/>
    </row>
    <row r="4930" spans="1:1" x14ac:dyDescent="0.3">
      <c r="A4930" s="678"/>
    </row>
    <row r="4931" spans="1:1" x14ac:dyDescent="0.3">
      <c r="A4931" s="678"/>
    </row>
    <row r="4932" spans="1:1" x14ac:dyDescent="0.3">
      <c r="A4932" s="678"/>
    </row>
    <row r="4933" spans="1:1" x14ac:dyDescent="0.3">
      <c r="A4933" s="678"/>
    </row>
    <row r="4934" spans="1:1" x14ac:dyDescent="0.3">
      <c r="A4934" s="678"/>
    </row>
    <row r="4935" spans="1:1" x14ac:dyDescent="0.3">
      <c r="A4935" s="678"/>
    </row>
    <row r="4936" spans="1:1" x14ac:dyDescent="0.3">
      <c r="A4936" s="678"/>
    </row>
    <row r="4937" spans="1:1" x14ac:dyDescent="0.3">
      <c r="A4937" s="678"/>
    </row>
    <row r="4938" spans="1:1" x14ac:dyDescent="0.3">
      <c r="A4938" s="678"/>
    </row>
    <row r="4939" spans="1:1" x14ac:dyDescent="0.3">
      <c r="A4939" s="678"/>
    </row>
    <row r="4940" spans="1:1" x14ac:dyDescent="0.3">
      <c r="A4940" s="678"/>
    </row>
    <row r="4941" spans="1:1" x14ac:dyDescent="0.3">
      <c r="A4941" s="678"/>
    </row>
    <row r="4942" spans="1:1" x14ac:dyDescent="0.3">
      <c r="A4942" s="678"/>
    </row>
    <row r="4943" spans="1:1" x14ac:dyDescent="0.3">
      <c r="A4943" s="678"/>
    </row>
    <row r="4944" spans="1:1" x14ac:dyDescent="0.3">
      <c r="A4944" s="678"/>
    </row>
    <row r="4945" spans="1:1" x14ac:dyDescent="0.3">
      <c r="A4945" s="678"/>
    </row>
    <row r="4946" spans="1:1" x14ac:dyDescent="0.3">
      <c r="A4946" s="678"/>
    </row>
    <row r="4947" spans="1:1" x14ac:dyDescent="0.3">
      <c r="A4947" s="678"/>
    </row>
    <row r="4948" spans="1:1" x14ac:dyDescent="0.3">
      <c r="A4948" s="678"/>
    </row>
    <row r="4949" spans="1:1" x14ac:dyDescent="0.3">
      <c r="A4949" s="678"/>
    </row>
    <row r="4950" spans="1:1" x14ac:dyDescent="0.3">
      <c r="A4950" s="678"/>
    </row>
    <row r="4951" spans="1:1" x14ac:dyDescent="0.3">
      <c r="A4951" s="678"/>
    </row>
    <row r="4952" spans="1:1" x14ac:dyDescent="0.3">
      <c r="A4952" s="678"/>
    </row>
    <row r="4953" spans="1:1" x14ac:dyDescent="0.3">
      <c r="A4953" s="678"/>
    </row>
    <row r="4954" spans="1:1" x14ac:dyDescent="0.3">
      <c r="A4954" s="678"/>
    </row>
    <row r="4955" spans="1:1" x14ac:dyDescent="0.3">
      <c r="A4955" s="678"/>
    </row>
    <row r="4956" spans="1:1" x14ac:dyDescent="0.3">
      <c r="A4956" s="678"/>
    </row>
    <row r="4957" spans="1:1" x14ac:dyDescent="0.3">
      <c r="A4957" s="678"/>
    </row>
    <row r="4958" spans="1:1" x14ac:dyDescent="0.3">
      <c r="A4958" s="678"/>
    </row>
    <row r="4959" spans="1:1" x14ac:dyDescent="0.3">
      <c r="A4959" s="678"/>
    </row>
    <row r="4960" spans="1:1" x14ac:dyDescent="0.3">
      <c r="A4960" s="678"/>
    </row>
    <row r="4961" spans="1:1" x14ac:dyDescent="0.3">
      <c r="A4961" s="678"/>
    </row>
    <row r="4962" spans="1:1" x14ac:dyDescent="0.3">
      <c r="A4962" s="678"/>
    </row>
    <row r="4963" spans="1:1" x14ac:dyDescent="0.3">
      <c r="A4963" s="678"/>
    </row>
    <row r="4964" spans="1:1" x14ac:dyDescent="0.3">
      <c r="A4964" s="678"/>
    </row>
    <row r="4965" spans="1:1" x14ac:dyDescent="0.3">
      <c r="A4965" s="678"/>
    </row>
    <row r="4966" spans="1:1" x14ac:dyDescent="0.3">
      <c r="A4966" s="678"/>
    </row>
    <row r="4967" spans="1:1" x14ac:dyDescent="0.3">
      <c r="A4967" s="678"/>
    </row>
    <row r="4968" spans="1:1" x14ac:dyDescent="0.3">
      <c r="A4968" s="678"/>
    </row>
    <row r="4969" spans="1:1" x14ac:dyDescent="0.3">
      <c r="A4969" s="678"/>
    </row>
    <row r="4970" spans="1:1" x14ac:dyDescent="0.3">
      <c r="A4970" s="678"/>
    </row>
    <row r="4971" spans="1:1" x14ac:dyDescent="0.3">
      <c r="A4971" s="678"/>
    </row>
    <row r="4972" spans="1:1" x14ac:dyDescent="0.3">
      <c r="A4972" s="678"/>
    </row>
    <row r="4973" spans="1:1" x14ac:dyDescent="0.3">
      <c r="A4973" s="678"/>
    </row>
    <row r="4974" spans="1:1" x14ac:dyDescent="0.3">
      <c r="A4974" s="678"/>
    </row>
    <row r="4975" spans="1:1" x14ac:dyDescent="0.3">
      <c r="A4975" s="678"/>
    </row>
    <row r="4976" spans="1:1" x14ac:dyDescent="0.3">
      <c r="A4976" s="678"/>
    </row>
    <row r="4977" spans="1:1" x14ac:dyDescent="0.3">
      <c r="A4977" s="678"/>
    </row>
    <row r="4978" spans="1:1" x14ac:dyDescent="0.3">
      <c r="A4978" s="678"/>
    </row>
    <row r="4979" spans="1:1" x14ac:dyDescent="0.3">
      <c r="A4979" s="678"/>
    </row>
    <row r="4980" spans="1:1" x14ac:dyDescent="0.3">
      <c r="A4980" s="678"/>
    </row>
    <row r="4981" spans="1:1" x14ac:dyDescent="0.3">
      <c r="A4981" s="678"/>
    </row>
    <row r="4982" spans="1:1" x14ac:dyDescent="0.3">
      <c r="A4982" s="678"/>
    </row>
    <row r="4983" spans="1:1" x14ac:dyDescent="0.3">
      <c r="A4983" s="678"/>
    </row>
    <row r="4984" spans="1:1" x14ac:dyDescent="0.3">
      <c r="A4984" s="678"/>
    </row>
    <row r="4985" spans="1:1" x14ac:dyDescent="0.3">
      <c r="A4985" s="678"/>
    </row>
    <row r="4986" spans="1:1" x14ac:dyDescent="0.3">
      <c r="A4986" s="678"/>
    </row>
    <row r="4987" spans="1:1" x14ac:dyDescent="0.3">
      <c r="A4987" s="678"/>
    </row>
    <row r="4988" spans="1:1" x14ac:dyDescent="0.3">
      <c r="A4988" s="678"/>
    </row>
    <row r="4989" spans="1:1" x14ac:dyDescent="0.3">
      <c r="A4989" s="678"/>
    </row>
    <row r="4990" spans="1:1" x14ac:dyDescent="0.3">
      <c r="A4990" s="678"/>
    </row>
    <row r="4991" spans="1:1" x14ac:dyDescent="0.3">
      <c r="A4991" s="678"/>
    </row>
    <row r="4992" spans="1:1" x14ac:dyDescent="0.3">
      <c r="A4992" s="678"/>
    </row>
    <row r="4993" spans="1:1" x14ac:dyDescent="0.3">
      <c r="A4993" s="678"/>
    </row>
    <row r="4994" spans="1:1" x14ac:dyDescent="0.3">
      <c r="A4994" s="678"/>
    </row>
    <row r="4995" spans="1:1" x14ac:dyDescent="0.3">
      <c r="A4995" s="678"/>
    </row>
    <row r="4996" spans="1:1" x14ac:dyDescent="0.3">
      <c r="A4996" s="678"/>
    </row>
    <row r="4997" spans="1:1" x14ac:dyDescent="0.3">
      <c r="A4997" s="678"/>
    </row>
    <row r="4998" spans="1:1" x14ac:dyDescent="0.3">
      <c r="A4998" s="678"/>
    </row>
    <row r="4999" spans="1:1" x14ac:dyDescent="0.3">
      <c r="A4999" s="678"/>
    </row>
    <row r="5000" spans="1:1" x14ac:dyDescent="0.3">
      <c r="A5000" s="678"/>
    </row>
    <row r="5001" spans="1:1" x14ac:dyDescent="0.3">
      <c r="A5001" s="678"/>
    </row>
    <row r="5002" spans="1:1" x14ac:dyDescent="0.3">
      <c r="A5002" s="678"/>
    </row>
    <row r="5003" spans="1:1" x14ac:dyDescent="0.3">
      <c r="A5003" s="678"/>
    </row>
    <row r="5004" spans="1:1" x14ac:dyDescent="0.3">
      <c r="A5004" s="678"/>
    </row>
    <row r="5005" spans="1:1" x14ac:dyDescent="0.3">
      <c r="A5005" s="678"/>
    </row>
    <row r="5006" spans="1:1" x14ac:dyDescent="0.3">
      <c r="A5006" s="678"/>
    </row>
    <row r="5007" spans="1:1" x14ac:dyDescent="0.3">
      <c r="A5007" s="678"/>
    </row>
    <row r="5008" spans="1:1" x14ac:dyDescent="0.3">
      <c r="A5008" s="678"/>
    </row>
    <row r="5009" spans="1:1" x14ac:dyDescent="0.3">
      <c r="A5009" s="678"/>
    </row>
    <row r="5010" spans="1:1" x14ac:dyDescent="0.3">
      <c r="A5010" s="678"/>
    </row>
    <row r="5011" spans="1:1" x14ac:dyDescent="0.3">
      <c r="A5011" s="678"/>
    </row>
    <row r="5012" spans="1:1" x14ac:dyDescent="0.3">
      <c r="A5012" s="678"/>
    </row>
    <row r="5013" spans="1:1" x14ac:dyDescent="0.3">
      <c r="A5013" s="678"/>
    </row>
    <row r="5014" spans="1:1" x14ac:dyDescent="0.3">
      <c r="A5014" s="678"/>
    </row>
    <row r="5015" spans="1:1" x14ac:dyDescent="0.3">
      <c r="A5015" s="678"/>
    </row>
    <row r="5016" spans="1:1" x14ac:dyDescent="0.3">
      <c r="A5016" s="678"/>
    </row>
    <row r="5017" spans="1:1" x14ac:dyDescent="0.3">
      <c r="A5017" s="678"/>
    </row>
    <row r="5018" spans="1:1" x14ac:dyDescent="0.3">
      <c r="A5018" s="678"/>
    </row>
    <row r="5019" spans="1:1" x14ac:dyDescent="0.3">
      <c r="A5019" s="678"/>
    </row>
    <row r="5020" spans="1:1" x14ac:dyDescent="0.3">
      <c r="A5020" s="678"/>
    </row>
    <row r="5021" spans="1:1" x14ac:dyDescent="0.3">
      <c r="A5021" s="678"/>
    </row>
    <row r="5022" spans="1:1" x14ac:dyDescent="0.3">
      <c r="A5022" s="678"/>
    </row>
    <row r="5023" spans="1:1" x14ac:dyDescent="0.3">
      <c r="A5023" s="678"/>
    </row>
    <row r="5024" spans="1:1" x14ac:dyDescent="0.3">
      <c r="A5024" s="678"/>
    </row>
    <row r="5025" spans="1:1" x14ac:dyDescent="0.3">
      <c r="A5025" s="678"/>
    </row>
    <row r="5026" spans="1:1" x14ac:dyDescent="0.3">
      <c r="A5026" s="678"/>
    </row>
    <row r="5027" spans="1:1" x14ac:dyDescent="0.3">
      <c r="A5027" s="678"/>
    </row>
    <row r="5028" spans="1:1" x14ac:dyDescent="0.3">
      <c r="A5028" s="678"/>
    </row>
    <row r="5029" spans="1:1" x14ac:dyDescent="0.3">
      <c r="A5029" s="678"/>
    </row>
    <row r="5030" spans="1:1" x14ac:dyDescent="0.3">
      <c r="A5030" s="678"/>
    </row>
    <row r="5031" spans="1:1" x14ac:dyDescent="0.3">
      <c r="A5031" s="678"/>
    </row>
    <row r="5032" spans="1:1" x14ac:dyDescent="0.3">
      <c r="A5032" s="678"/>
    </row>
    <row r="5033" spans="1:1" x14ac:dyDescent="0.3">
      <c r="A5033" s="678"/>
    </row>
    <row r="5034" spans="1:1" x14ac:dyDescent="0.3">
      <c r="A5034" s="678"/>
    </row>
    <row r="5035" spans="1:1" x14ac:dyDescent="0.3">
      <c r="A5035" s="678"/>
    </row>
    <row r="5036" spans="1:1" x14ac:dyDescent="0.3">
      <c r="A5036" s="678"/>
    </row>
    <row r="5037" spans="1:1" x14ac:dyDescent="0.3">
      <c r="A5037" s="678"/>
    </row>
    <row r="5038" spans="1:1" x14ac:dyDescent="0.3">
      <c r="A5038" s="678"/>
    </row>
    <row r="5039" spans="1:1" x14ac:dyDescent="0.3">
      <c r="A5039" s="678"/>
    </row>
    <row r="5040" spans="1:1" x14ac:dyDescent="0.3">
      <c r="A5040" s="678"/>
    </row>
    <row r="5041" spans="1:1" x14ac:dyDescent="0.3">
      <c r="A5041" s="678"/>
    </row>
    <row r="5042" spans="1:1" x14ac:dyDescent="0.3">
      <c r="A5042" s="678"/>
    </row>
    <row r="5043" spans="1:1" x14ac:dyDescent="0.3">
      <c r="A5043" s="678"/>
    </row>
    <row r="5044" spans="1:1" x14ac:dyDescent="0.3">
      <c r="A5044" s="678"/>
    </row>
    <row r="5045" spans="1:1" x14ac:dyDescent="0.3">
      <c r="A5045" s="678"/>
    </row>
    <row r="5046" spans="1:1" x14ac:dyDescent="0.3">
      <c r="A5046" s="678"/>
    </row>
    <row r="5047" spans="1:1" x14ac:dyDescent="0.3">
      <c r="A5047" s="678"/>
    </row>
    <row r="5048" spans="1:1" x14ac:dyDescent="0.3">
      <c r="A5048" s="678"/>
    </row>
    <row r="5049" spans="1:1" x14ac:dyDescent="0.3">
      <c r="A5049" s="678"/>
    </row>
    <row r="5050" spans="1:1" x14ac:dyDescent="0.3">
      <c r="A5050" s="678"/>
    </row>
    <row r="5051" spans="1:1" x14ac:dyDescent="0.3">
      <c r="A5051" s="678"/>
    </row>
    <row r="5052" spans="1:1" x14ac:dyDescent="0.3">
      <c r="A5052" s="678"/>
    </row>
    <row r="5053" spans="1:1" x14ac:dyDescent="0.3">
      <c r="A5053" s="678"/>
    </row>
    <row r="5054" spans="1:1" x14ac:dyDescent="0.3">
      <c r="A5054" s="678"/>
    </row>
    <row r="5055" spans="1:1" x14ac:dyDescent="0.3">
      <c r="A5055" s="678"/>
    </row>
    <row r="5056" spans="1:1" x14ac:dyDescent="0.3">
      <c r="A5056" s="678"/>
    </row>
    <row r="5057" spans="1:1" x14ac:dyDescent="0.3">
      <c r="A5057" s="678"/>
    </row>
    <row r="5058" spans="1:1" x14ac:dyDescent="0.3">
      <c r="A5058" s="678"/>
    </row>
    <row r="5059" spans="1:1" x14ac:dyDescent="0.3">
      <c r="A5059" s="678"/>
    </row>
    <row r="5060" spans="1:1" x14ac:dyDescent="0.3">
      <c r="A5060" s="678"/>
    </row>
    <row r="5061" spans="1:1" x14ac:dyDescent="0.3">
      <c r="A5061" s="678"/>
    </row>
    <row r="5062" spans="1:1" x14ac:dyDescent="0.3">
      <c r="A5062" s="678"/>
    </row>
    <row r="5063" spans="1:1" x14ac:dyDescent="0.3">
      <c r="A5063" s="678"/>
    </row>
    <row r="5064" spans="1:1" x14ac:dyDescent="0.3">
      <c r="A5064" s="678"/>
    </row>
    <row r="5065" spans="1:1" x14ac:dyDescent="0.3">
      <c r="A5065" s="678"/>
    </row>
    <row r="5066" spans="1:1" x14ac:dyDescent="0.3">
      <c r="A5066" s="678"/>
    </row>
    <row r="5067" spans="1:1" x14ac:dyDescent="0.3">
      <c r="A5067" s="678"/>
    </row>
    <row r="5068" spans="1:1" x14ac:dyDescent="0.3">
      <c r="A5068" s="678"/>
    </row>
    <row r="5069" spans="1:1" x14ac:dyDescent="0.3">
      <c r="A5069" s="678"/>
    </row>
    <row r="5070" spans="1:1" x14ac:dyDescent="0.3">
      <c r="A5070" s="678"/>
    </row>
    <row r="5071" spans="1:1" x14ac:dyDescent="0.3">
      <c r="A5071" s="678"/>
    </row>
    <row r="5072" spans="1:1" x14ac:dyDescent="0.3">
      <c r="A5072" s="678"/>
    </row>
    <row r="5073" spans="1:1" x14ac:dyDescent="0.3">
      <c r="A5073" s="678"/>
    </row>
    <row r="5074" spans="1:1" x14ac:dyDescent="0.3">
      <c r="A5074" s="678"/>
    </row>
    <row r="5075" spans="1:1" x14ac:dyDescent="0.3">
      <c r="A5075" s="678"/>
    </row>
    <row r="5076" spans="1:1" x14ac:dyDescent="0.3">
      <c r="A5076" s="678"/>
    </row>
    <row r="5077" spans="1:1" x14ac:dyDescent="0.3">
      <c r="A5077" s="678"/>
    </row>
    <row r="5078" spans="1:1" x14ac:dyDescent="0.3">
      <c r="A5078" s="678"/>
    </row>
    <row r="5079" spans="1:1" x14ac:dyDescent="0.3">
      <c r="A5079" s="678"/>
    </row>
    <row r="5080" spans="1:1" x14ac:dyDescent="0.3">
      <c r="A5080" s="678"/>
    </row>
    <row r="5081" spans="1:1" x14ac:dyDescent="0.3">
      <c r="A5081" s="678"/>
    </row>
    <row r="5082" spans="1:1" x14ac:dyDescent="0.3">
      <c r="A5082" s="678"/>
    </row>
    <row r="5083" spans="1:1" x14ac:dyDescent="0.3">
      <c r="A5083" s="678"/>
    </row>
    <row r="5084" spans="1:1" x14ac:dyDescent="0.3">
      <c r="A5084" s="678"/>
    </row>
    <row r="5085" spans="1:1" x14ac:dyDescent="0.3">
      <c r="A5085" s="678"/>
    </row>
    <row r="5086" spans="1:1" x14ac:dyDescent="0.3">
      <c r="A5086" s="678"/>
    </row>
    <row r="5087" spans="1:1" x14ac:dyDescent="0.3">
      <c r="A5087" s="678"/>
    </row>
    <row r="5088" spans="1:1" x14ac:dyDescent="0.3">
      <c r="A5088" s="678"/>
    </row>
    <row r="5089" spans="1:1" x14ac:dyDescent="0.3">
      <c r="A5089" s="678"/>
    </row>
    <row r="5090" spans="1:1" x14ac:dyDescent="0.3">
      <c r="A5090" s="678"/>
    </row>
    <row r="5091" spans="1:1" x14ac:dyDescent="0.3">
      <c r="A5091" s="678"/>
    </row>
    <row r="5092" spans="1:1" x14ac:dyDescent="0.3">
      <c r="A5092" s="678"/>
    </row>
    <row r="5093" spans="1:1" x14ac:dyDescent="0.3">
      <c r="A5093" s="678"/>
    </row>
    <row r="5094" spans="1:1" x14ac:dyDescent="0.3">
      <c r="A5094" s="678"/>
    </row>
    <row r="5095" spans="1:1" x14ac:dyDescent="0.3">
      <c r="A5095" s="678"/>
    </row>
    <row r="5096" spans="1:1" x14ac:dyDescent="0.3">
      <c r="A5096" s="678"/>
    </row>
    <row r="5097" spans="1:1" x14ac:dyDescent="0.3">
      <c r="A5097" s="678"/>
    </row>
    <row r="5098" spans="1:1" x14ac:dyDescent="0.3">
      <c r="A5098" s="678"/>
    </row>
    <row r="5099" spans="1:1" x14ac:dyDescent="0.3">
      <c r="A5099" s="678"/>
    </row>
    <row r="5100" spans="1:1" x14ac:dyDescent="0.3">
      <c r="A5100" s="678"/>
    </row>
    <row r="5101" spans="1:1" x14ac:dyDescent="0.3">
      <c r="A5101" s="678"/>
    </row>
    <row r="5102" spans="1:1" x14ac:dyDescent="0.3">
      <c r="A5102" s="678"/>
    </row>
    <row r="5103" spans="1:1" x14ac:dyDescent="0.3">
      <c r="A5103" s="678"/>
    </row>
    <row r="5104" spans="1:1" x14ac:dyDescent="0.3">
      <c r="A5104" s="678"/>
    </row>
    <row r="5105" spans="1:1" x14ac:dyDescent="0.3">
      <c r="A5105" s="678"/>
    </row>
    <row r="5106" spans="1:1" x14ac:dyDescent="0.3">
      <c r="A5106" s="678"/>
    </row>
    <row r="5107" spans="1:1" x14ac:dyDescent="0.3">
      <c r="A5107" s="678"/>
    </row>
    <row r="5108" spans="1:1" x14ac:dyDescent="0.3">
      <c r="A5108" s="678"/>
    </row>
    <row r="5109" spans="1:1" x14ac:dyDescent="0.3">
      <c r="A5109" s="678"/>
    </row>
    <row r="5110" spans="1:1" x14ac:dyDescent="0.3">
      <c r="A5110" s="678"/>
    </row>
    <row r="5111" spans="1:1" x14ac:dyDescent="0.3">
      <c r="A5111" s="678"/>
    </row>
    <row r="5112" spans="1:1" x14ac:dyDescent="0.3">
      <c r="A5112" s="678"/>
    </row>
    <row r="5113" spans="1:1" x14ac:dyDescent="0.3">
      <c r="A5113" s="678"/>
    </row>
    <row r="5114" spans="1:1" x14ac:dyDescent="0.3">
      <c r="A5114" s="678"/>
    </row>
    <row r="5115" spans="1:1" x14ac:dyDescent="0.3">
      <c r="A5115" s="678"/>
    </row>
    <row r="5116" spans="1:1" x14ac:dyDescent="0.3">
      <c r="A5116" s="678"/>
    </row>
    <row r="5117" spans="1:1" x14ac:dyDescent="0.3">
      <c r="A5117" s="678"/>
    </row>
    <row r="5118" spans="1:1" x14ac:dyDescent="0.3">
      <c r="A5118" s="678"/>
    </row>
    <row r="5119" spans="1:1" x14ac:dyDescent="0.3">
      <c r="A5119" s="678"/>
    </row>
    <row r="5120" spans="1:1" x14ac:dyDescent="0.3">
      <c r="A5120" s="678"/>
    </row>
    <row r="5121" spans="1:1" x14ac:dyDescent="0.3">
      <c r="A5121" s="678"/>
    </row>
    <row r="5122" spans="1:1" x14ac:dyDescent="0.3">
      <c r="A5122" s="678"/>
    </row>
    <row r="5123" spans="1:1" x14ac:dyDescent="0.3">
      <c r="A5123" s="678"/>
    </row>
    <row r="5124" spans="1:1" x14ac:dyDescent="0.3">
      <c r="A5124" s="678"/>
    </row>
    <row r="5125" spans="1:1" x14ac:dyDescent="0.3">
      <c r="A5125" s="678"/>
    </row>
    <row r="5126" spans="1:1" x14ac:dyDescent="0.3">
      <c r="A5126" s="678"/>
    </row>
    <row r="5127" spans="1:1" x14ac:dyDescent="0.3">
      <c r="A5127" s="678"/>
    </row>
    <row r="5128" spans="1:1" x14ac:dyDescent="0.3">
      <c r="A5128" s="678"/>
    </row>
    <row r="5129" spans="1:1" x14ac:dyDescent="0.3">
      <c r="A5129" s="678"/>
    </row>
    <row r="5130" spans="1:1" x14ac:dyDescent="0.3">
      <c r="A5130" s="678"/>
    </row>
    <row r="5131" spans="1:1" x14ac:dyDescent="0.3">
      <c r="A5131" s="678"/>
    </row>
    <row r="5132" spans="1:1" x14ac:dyDescent="0.3">
      <c r="A5132" s="678"/>
    </row>
    <row r="5133" spans="1:1" x14ac:dyDescent="0.3">
      <c r="A5133" s="678"/>
    </row>
    <row r="5134" spans="1:1" x14ac:dyDescent="0.3">
      <c r="A5134" s="678"/>
    </row>
    <row r="5135" spans="1:1" x14ac:dyDescent="0.3">
      <c r="A5135" s="678"/>
    </row>
    <row r="5136" spans="1:1" x14ac:dyDescent="0.3">
      <c r="A5136" s="678"/>
    </row>
    <row r="5137" spans="1:1" x14ac:dyDescent="0.3">
      <c r="A5137" s="678"/>
    </row>
    <row r="5138" spans="1:1" x14ac:dyDescent="0.3">
      <c r="A5138" s="678"/>
    </row>
    <row r="5139" spans="1:1" x14ac:dyDescent="0.3">
      <c r="A5139" s="678"/>
    </row>
    <row r="5140" spans="1:1" x14ac:dyDescent="0.3">
      <c r="A5140" s="678"/>
    </row>
    <row r="5141" spans="1:1" x14ac:dyDescent="0.3">
      <c r="A5141" s="678"/>
    </row>
    <row r="5142" spans="1:1" x14ac:dyDescent="0.3">
      <c r="A5142" s="678"/>
    </row>
    <row r="5143" spans="1:1" x14ac:dyDescent="0.3">
      <c r="A5143" s="678"/>
    </row>
    <row r="5144" spans="1:1" x14ac:dyDescent="0.3">
      <c r="A5144" s="678"/>
    </row>
    <row r="5145" spans="1:1" x14ac:dyDescent="0.3">
      <c r="A5145" s="678"/>
    </row>
    <row r="5146" spans="1:1" x14ac:dyDescent="0.3">
      <c r="A5146" s="678"/>
    </row>
    <row r="5147" spans="1:1" x14ac:dyDescent="0.3">
      <c r="A5147" s="678"/>
    </row>
    <row r="5148" spans="1:1" x14ac:dyDescent="0.3">
      <c r="A5148" s="678"/>
    </row>
    <row r="5149" spans="1:1" x14ac:dyDescent="0.3">
      <c r="A5149" s="678"/>
    </row>
    <row r="5150" spans="1:1" x14ac:dyDescent="0.3">
      <c r="A5150" s="678"/>
    </row>
    <row r="5151" spans="1:1" x14ac:dyDescent="0.3">
      <c r="A5151" s="678"/>
    </row>
    <row r="5152" spans="1:1" x14ac:dyDescent="0.3">
      <c r="A5152" s="678"/>
    </row>
    <row r="5153" spans="1:1" x14ac:dyDescent="0.3">
      <c r="A5153" s="678"/>
    </row>
    <row r="5154" spans="1:1" x14ac:dyDescent="0.3">
      <c r="A5154" s="678"/>
    </row>
    <row r="5155" spans="1:1" x14ac:dyDescent="0.3">
      <c r="A5155" s="678"/>
    </row>
    <row r="5156" spans="1:1" x14ac:dyDescent="0.3">
      <c r="A5156" s="678"/>
    </row>
    <row r="5157" spans="1:1" x14ac:dyDescent="0.3">
      <c r="A5157" s="678"/>
    </row>
    <row r="5158" spans="1:1" x14ac:dyDescent="0.3">
      <c r="A5158" s="678"/>
    </row>
    <row r="5159" spans="1:1" x14ac:dyDescent="0.3">
      <c r="A5159" s="678"/>
    </row>
    <row r="5160" spans="1:1" x14ac:dyDescent="0.3">
      <c r="A5160" s="678"/>
    </row>
    <row r="5161" spans="1:1" x14ac:dyDescent="0.3">
      <c r="A5161" s="678"/>
    </row>
    <row r="5162" spans="1:1" x14ac:dyDescent="0.3">
      <c r="A5162" s="678"/>
    </row>
    <row r="5163" spans="1:1" x14ac:dyDescent="0.3">
      <c r="A5163" s="678"/>
    </row>
    <row r="5164" spans="1:1" x14ac:dyDescent="0.3">
      <c r="A5164" s="678"/>
    </row>
    <row r="5165" spans="1:1" x14ac:dyDescent="0.3">
      <c r="A5165" s="678"/>
    </row>
    <row r="5166" spans="1:1" x14ac:dyDescent="0.3">
      <c r="A5166" s="678"/>
    </row>
    <row r="5167" spans="1:1" x14ac:dyDescent="0.3">
      <c r="A5167" s="678"/>
    </row>
    <row r="5168" spans="1:1" x14ac:dyDescent="0.3">
      <c r="A5168" s="678"/>
    </row>
    <row r="5169" spans="1:1" x14ac:dyDescent="0.3">
      <c r="A5169" s="678"/>
    </row>
    <row r="5170" spans="1:1" x14ac:dyDescent="0.3">
      <c r="A5170" s="678"/>
    </row>
    <row r="5171" spans="1:1" x14ac:dyDescent="0.3">
      <c r="A5171" s="678"/>
    </row>
    <row r="5172" spans="1:1" x14ac:dyDescent="0.3">
      <c r="A5172" s="678"/>
    </row>
    <row r="5173" spans="1:1" x14ac:dyDescent="0.3">
      <c r="A5173" s="678"/>
    </row>
    <row r="5174" spans="1:1" x14ac:dyDescent="0.3">
      <c r="A5174" s="678"/>
    </row>
    <row r="5175" spans="1:1" x14ac:dyDescent="0.3">
      <c r="A5175" s="678"/>
    </row>
    <row r="5176" spans="1:1" x14ac:dyDescent="0.3">
      <c r="A5176" s="678"/>
    </row>
    <row r="5177" spans="1:1" x14ac:dyDescent="0.3">
      <c r="A5177" s="678"/>
    </row>
    <row r="5178" spans="1:1" x14ac:dyDescent="0.3">
      <c r="A5178" s="678"/>
    </row>
    <row r="5179" spans="1:1" x14ac:dyDescent="0.3">
      <c r="A5179" s="678"/>
    </row>
    <row r="5180" spans="1:1" x14ac:dyDescent="0.3">
      <c r="A5180" s="678"/>
    </row>
    <row r="5181" spans="1:1" x14ac:dyDescent="0.3">
      <c r="A5181" s="678"/>
    </row>
    <row r="5182" spans="1:1" x14ac:dyDescent="0.3">
      <c r="A5182" s="678"/>
    </row>
    <row r="5183" spans="1:1" x14ac:dyDescent="0.3">
      <c r="A5183" s="678"/>
    </row>
    <row r="5184" spans="1:1" x14ac:dyDescent="0.3">
      <c r="A5184" s="678"/>
    </row>
    <row r="5185" spans="1:1" x14ac:dyDescent="0.3">
      <c r="A5185" s="678"/>
    </row>
    <row r="5186" spans="1:1" x14ac:dyDescent="0.3">
      <c r="A5186" s="678"/>
    </row>
    <row r="5187" spans="1:1" x14ac:dyDescent="0.3">
      <c r="A5187" s="678"/>
    </row>
    <row r="5188" spans="1:1" x14ac:dyDescent="0.3">
      <c r="A5188" s="678"/>
    </row>
    <row r="5189" spans="1:1" x14ac:dyDescent="0.3">
      <c r="A5189" s="678"/>
    </row>
    <row r="5190" spans="1:1" x14ac:dyDescent="0.3">
      <c r="A5190" s="678"/>
    </row>
    <row r="5191" spans="1:1" x14ac:dyDescent="0.3">
      <c r="A5191" s="678"/>
    </row>
    <row r="5192" spans="1:1" x14ac:dyDescent="0.3">
      <c r="A5192" s="678"/>
    </row>
    <row r="5193" spans="1:1" x14ac:dyDescent="0.3">
      <c r="A5193" s="678"/>
    </row>
    <row r="5194" spans="1:1" x14ac:dyDescent="0.3">
      <c r="A5194" s="678"/>
    </row>
    <row r="5195" spans="1:1" x14ac:dyDescent="0.3">
      <c r="A5195" s="678"/>
    </row>
    <row r="5196" spans="1:1" x14ac:dyDescent="0.3">
      <c r="A5196" s="678"/>
    </row>
    <row r="5197" spans="1:1" x14ac:dyDescent="0.3">
      <c r="A5197" s="678"/>
    </row>
    <row r="5198" spans="1:1" x14ac:dyDescent="0.3">
      <c r="A5198" s="678"/>
    </row>
    <row r="5199" spans="1:1" x14ac:dyDescent="0.3">
      <c r="A5199" s="678"/>
    </row>
    <row r="5200" spans="1:1" x14ac:dyDescent="0.3">
      <c r="A5200" s="678"/>
    </row>
    <row r="5201" spans="1:1" x14ac:dyDescent="0.3">
      <c r="A5201" s="678"/>
    </row>
    <row r="5202" spans="1:1" x14ac:dyDescent="0.3">
      <c r="A5202" s="678"/>
    </row>
    <row r="5203" spans="1:1" x14ac:dyDescent="0.3">
      <c r="A5203" s="678"/>
    </row>
    <row r="5204" spans="1:1" x14ac:dyDescent="0.3">
      <c r="A5204" s="678"/>
    </row>
    <row r="5205" spans="1:1" x14ac:dyDescent="0.3">
      <c r="A5205" s="678"/>
    </row>
    <row r="5206" spans="1:1" x14ac:dyDescent="0.3">
      <c r="A5206" s="678"/>
    </row>
    <row r="5207" spans="1:1" x14ac:dyDescent="0.3">
      <c r="A5207" s="678"/>
    </row>
    <row r="5208" spans="1:1" x14ac:dyDescent="0.3">
      <c r="A5208" s="678"/>
    </row>
    <row r="5209" spans="1:1" x14ac:dyDescent="0.3">
      <c r="A5209" s="678"/>
    </row>
    <row r="5210" spans="1:1" x14ac:dyDescent="0.3">
      <c r="A5210" s="678"/>
    </row>
    <row r="5211" spans="1:1" x14ac:dyDescent="0.3">
      <c r="A5211" s="678"/>
    </row>
    <row r="5212" spans="1:1" x14ac:dyDescent="0.3">
      <c r="A5212" s="678"/>
    </row>
    <row r="5213" spans="1:1" x14ac:dyDescent="0.3">
      <c r="A5213" s="678"/>
    </row>
    <row r="5214" spans="1:1" x14ac:dyDescent="0.3">
      <c r="A5214" s="678"/>
    </row>
    <row r="5215" spans="1:1" x14ac:dyDescent="0.3">
      <c r="A5215" s="678"/>
    </row>
    <row r="5216" spans="1:1" x14ac:dyDescent="0.3">
      <c r="A5216" s="678"/>
    </row>
    <row r="5217" spans="1:1" x14ac:dyDescent="0.3">
      <c r="A5217" s="678"/>
    </row>
    <row r="5218" spans="1:1" x14ac:dyDescent="0.3">
      <c r="A5218" s="678"/>
    </row>
    <row r="5219" spans="1:1" x14ac:dyDescent="0.3">
      <c r="A5219" s="678"/>
    </row>
    <row r="5220" spans="1:1" x14ac:dyDescent="0.3">
      <c r="A5220" s="678"/>
    </row>
    <row r="5221" spans="1:1" x14ac:dyDescent="0.3">
      <c r="A5221" s="678"/>
    </row>
    <row r="5222" spans="1:1" x14ac:dyDescent="0.3">
      <c r="A5222" s="678"/>
    </row>
    <row r="5223" spans="1:1" x14ac:dyDescent="0.3">
      <c r="A5223" s="678"/>
    </row>
    <row r="5224" spans="1:1" x14ac:dyDescent="0.3">
      <c r="A5224" s="678"/>
    </row>
    <row r="5225" spans="1:1" x14ac:dyDescent="0.3">
      <c r="A5225" s="678"/>
    </row>
    <row r="5226" spans="1:1" x14ac:dyDescent="0.3">
      <c r="A5226" s="678"/>
    </row>
    <row r="5227" spans="1:1" x14ac:dyDescent="0.3">
      <c r="A5227" s="678"/>
    </row>
    <row r="5228" spans="1:1" x14ac:dyDescent="0.3">
      <c r="A5228" s="678"/>
    </row>
    <row r="5229" spans="1:1" x14ac:dyDescent="0.3">
      <c r="A5229" s="678"/>
    </row>
    <row r="5230" spans="1:1" x14ac:dyDescent="0.3">
      <c r="A5230" s="678"/>
    </row>
    <row r="5231" spans="1:1" x14ac:dyDescent="0.3">
      <c r="A5231" s="678"/>
    </row>
    <row r="5232" spans="1:1" x14ac:dyDescent="0.3">
      <c r="A5232" s="678"/>
    </row>
    <row r="5233" spans="1:1" x14ac:dyDescent="0.3">
      <c r="A5233" s="678"/>
    </row>
    <row r="5234" spans="1:1" x14ac:dyDescent="0.3">
      <c r="A5234" s="678"/>
    </row>
    <row r="5235" spans="1:1" x14ac:dyDescent="0.3">
      <c r="A5235" s="678"/>
    </row>
    <row r="5236" spans="1:1" x14ac:dyDescent="0.3">
      <c r="A5236" s="678"/>
    </row>
    <row r="5237" spans="1:1" x14ac:dyDescent="0.3">
      <c r="A5237" s="678"/>
    </row>
    <row r="5238" spans="1:1" x14ac:dyDescent="0.3">
      <c r="A5238" s="678"/>
    </row>
    <row r="5239" spans="1:1" x14ac:dyDescent="0.3">
      <c r="A5239" s="678"/>
    </row>
    <row r="5240" spans="1:1" x14ac:dyDescent="0.3">
      <c r="A5240" s="678"/>
    </row>
    <row r="5241" spans="1:1" x14ac:dyDescent="0.3">
      <c r="A5241" s="678"/>
    </row>
    <row r="5242" spans="1:1" x14ac:dyDescent="0.3">
      <c r="A5242" s="678"/>
    </row>
    <row r="5243" spans="1:1" x14ac:dyDescent="0.3">
      <c r="A5243" s="678"/>
    </row>
    <row r="5244" spans="1:1" x14ac:dyDescent="0.3">
      <c r="A5244" s="678"/>
    </row>
    <row r="5245" spans="1:1" x14ac:dyDescent="0.3">
      <c r="A5245" s="678"/>
    </row>
    <row r="5246" spans="1:1" x14ac:dyDescent="0.3">
      <c r="A5246" s="678"/>
    </row>
    <row r="5247" spans="1:1" x14ac:dyDescent="0.3">
      <c r="A5247" s="678"/>
    </row>
    <row r="5248" spans="1:1" x14ac:dyDescent="0.3">
      <c r="A5248" s="678"/>
    </row>
    <row r="5249" spans="1:1" x14ac:dyDescent="0.3">
      <c r="A5249" s="678"/>
    </row>
    <row r="5250" spans="1:1" x14ac:dyDescent="0.3">
      <c r="A5250" s="678"/>
    </row>
    <row r="5251" spans="1:1" x14ac:dyDescent="0.3">
      <c r="A5251" s="678"/>
    </row>
    <row r="5252" spans="1:1" x14ac:dyDescent="0.3">
      <c r="A5252" s="678"/>
    </row>
    <row r="5253" spans="1:1" x14ac:dyDescent="0.3">
      <c r="A5253" s="678"/>
    </row>
    <row r="5254" spans="1:1" x14ac:dyDescent="0.3">
      <c r="A5254" s="678"/>
    </row>
    <row r="5255" spans="1:1" x14ac:dyDescent="0.3">
      <c r="A5255" s="678"/>
    </row>
    <row r="5256" spans="1:1" x14ac:dyDescent="0.3">
      <c r="A5256" s="678"/>
    </row>
    <row r="5257" spans="1:1" x14ac:dyDescent="0.3">
      <c r="A5257" s="678"/>
    </row>
    <row r="5258" spans="1:1" x14ac:dyDescent="0.3">
      <c r="A5258" s="678"/>
    </row>
    <row r="5259" spans="1:1" x14ac:dyDescent="0.3">
      <c r="A5259" s="678"/>
    </row>
    <row r="5260" spans="1:1" x14ac:dyDescent="0.3">
      <c r="A5260" s="678"/>
    </row>
    <row r="5261" spans="1:1" x14ac:dyDescent="0.3">
      <c r="A5261" s="678"/>
    </row>
    <row r="5262" spans="1:1" x14ac:dyDescent="0.3">
      <c r="A5262" s="678"/>
    </row>
    <row r="5263" spans="1:1" x14ac:dyDescent="0.3">
      <c r="A5263" s="678"/>
    </row>
    <row r="5264" spans="1:1" x14ac:dyDescent="0.3">
      <c r="A5264" s="678"/>
    </row>
    <row r="5265" spans="1:1" x14ac:dyDescent="0.3">
      <c r="A5265" s="678"/>
    </row>
    <row r="5266" spans="1:1" x14ac:dyDescent="0.3">
      <c r="A5266" s="678"/>
    </row>
    <row r="5267" spans="1:1" x14ac:dyDescent="0.3">
      <c r="A5267" s="678"/>
    </row>
    <row r="5268" spans="1:1" x14ac:dyDescent="0.3">
      <c r="A5268" s="678"/>
    </row>
    <row r="5269" spans="1:1" x14ac:dyDescent="0.3">
      <c r="A5269" s="678"/>
    </row>
    <row r="5270" spans="1:1" x14ac:dyDescent="0.3">
      <c r="A5270" s="678"/>
    </row>
    <row r="5271" spans="1:1" x14ac:dyDescent="0.3">
      <c r="A5271" s="678"/>
    </row>
    <row r="5272" spans="1:1" x14ac:dyDescent="0.3">
      <c r="A5272" s="678"/>
    </row>
    <row r="5273" spans="1:1" x14ac:dyDescent="0.3">
      <c r="A5273" s="678"/>
    </row>
    <row r="5274" spans="1:1" x14ac:dyDescent="0.3">
      <c r="A5274" s="678"/>
    </row>
    <row r="5275" spans="1:1" x14ac:dyDescent="0.3">
      <c r="A5275" s="678"/>
    </row>
    <row r="5276" spans="1:1" x14ac:dyDescent="0.3">
      <c r="A5276" s="678"/>
    </row>
    <row r="5277" spans="1:1" x14ac:dyDescent="0.3">
      <c r="A5277" s="678"/>
    </row>
    <row r="5278" spans="1:1" x14ac:dyDescent="0.3">
      <c r="A5278" s="678"/>
    </row>
    <row r="5279" spans="1:1" x14ac:dyDescent="0.3">
      <c r="A5279" s="678"/>
    </row>
    <row r="5280" spans="1:1" x14ac:dyDescent="0.3">
      <c r="A5280" s="678"/>
    </row>
    <row r="5281" spans="1:1" x14ac:dyDescent="0.3">
      <c r="A5281" s="678"/>
    </row>
    <row r="5282" spans="1:1" x14ac:dyDescent="0.3">
      <c r="A5282" s="678"/>
    </row>
    <row r="5283" spans="1:1" x14ac:dyDescent="0.3">
      <c r="A5283" s="678"/>
    </row>
    <row r="5284" spans="1:1" x14ac:dyDescent="0.3">
      <c r="A5284" s="678"/>
    </row>
    <row r="5285" spans="1:1" x14ac:dyDescent="0.3">
      <c r="A5285" s="678"/>
    </row>
    <row r="5286" spans="1:1" x14ac:dyDescent="0.3">
      <c r="A5286" s="678"/>
    </row>
    <row r="5287" spans="1:1" x14ac:dyDescent="0.3">
      <c r="A5287" s="678"/>
    </row>
    <row r="5288" spans="1:1" x14ac:dyDescent="0.3">
      <c r="A5288" s="678"/>
    </row>
    <row r="5289" spans="1:1" x14ac:dyDescent="0.3">
      <c r="A5289" s="678"/>
    </row>
    <row r="5290" spans="1:1" x14ac:dyDescent="0.3">
      <c r="A5290" s="678"/>
    </row>
    <row r="5291" spans="1:1" x14ac:dyDescent="0.3">
      <c r="A5291" s="678"/>
    </row>
    <row r="5292" spans="1:1" x14ac:dyDescent="0.3">
      <c r="A5292" s="678"/>
    </row>
    <row r="5293" spans="1:1" x14ac:dyDescent="0.3">
      <c r="A5293" s="678"/>
    </row>
    <row r="5294" spans="1:1" x14ac:dyDescent="0.3">
      <c r="A5294" s="678"/>
    </row>
    <row r="5295" spans="1:1" x14ac:dyDescent="0.3">
      <c r="A5295" s="678"/>
    </row>
    <row r="5296" spans="1:1" x14ac:dyDescent="0.3">
      <c r="A5296" s="678"/>
    </row>
    <row r="5297" spans="1:1" x14ac:dyDescent="0.3">
      <c r="A5297" s="678"/>
    </row>
    <row r="5298" spans="1:1" x14ac:dyDescent="0.3">
      <c r="A5298" s="678"/>
    </row>
    <row r="5299" spans="1:1" x14ac:dyDescent="0.3">
      <c r="A5299" s="678"/>
    </row>
    <row r="5300" spans="1:1" x14ac:dyDescent="0.3">
      <c r="A5300" s="678"/>
    </row>
    <row r="5301" spans="1:1" x14ac:dyDescent="0.3">
      <c r="A5301" s="678"/>
    </row>
    <row r="5302" spans="1:1" x14ac:dyDescent="0.3">
      <c r="A5302" s="678"/>
    </row>
    <row r="5303" spans="1:1" x14ac:dyDescent="0.3">
      <c r="A5303" s="678"/>
    </row>
    <row r="5304" spans="1:1" x14ac:dyDescent="0.3">
      <c r="A5304" s="678"/>
    </row>
    <row r="5305" spans="1:1" x14ac:dyDescent="0.3">
      <c r="A5305" s="678"/>
    </row>
    <row r="5306" spans="1:1" x14ac:dyDescent="0.3">
      <c r="A5306" s="678"/>
    </row>
    <row r="5307" spans="1:1" x14ac:dyDescent="0.3">
      <c r="A5307" s="678"/>
    </row>
    <row r="5308" spans="1:1" x14ac:dyDescent="0.3">
      <c r="A5308" s="678"/>
    </row>
    <row r="5309" spans="1:1" x14ac:dyDescent="0.3">
      <c r="A5309" s="678"/>
    </row>
    <row r="5310" spans="1:1" x14ac:dyDescent="0.3">
      <c r="A5310" s="678"/>
    </row>
    <row r="5311" spans="1:1" x14ac:dyDescent="0.3">
      <c r="A5311" s="678"/>
    </row>
    <row r="5312" spans="1:1" x14ac:dyDescent="0.3">
      <c r="A5312" s="678"/>
    </row>
    <row r="5313" spans="1:1" x14ac:dyDescent="0.3">
      <c r="A5313" s="678"/>
    </row>
    <row r="5314" spans="1:1" x14ac:dyDescent="0.3">
      <c r="A5314" s="678"/>
    </row>
    <row r="5315" spans="1:1" x14ac:dyDescent="0.3">
      <c r="A5315" s="678"/>
    </row>
    <row r="5316" spans="1:1" x14ac:dyDescent="0.3">
      <c r="A5316" s="678"/>
    </row>
    <row r="5317" spans="1:1" x14ac:dyDescent="0.3">
      <c r="A5317" s="678"/>
    </row>
    <row r="5318" spans="1:1" x14ac:dyDescent="0.3">
      <c r="A5318" s="678"/>
    </row>
    <row r="5319" spans="1:1" x14ac:dyDescent="0.3">
      <c r="A5319" s="678"/>
    </row>
    <row r="5320" spans="1:1" x14ac:dyDescent="0.3">
      <c r="A5320" s="678"/>
    </row>
    <row r="5321" spans="1:1" x14ac:dyDescent="0.3">
      <c r="A5321" s="678"/>
    </row>
    <row r="5322" spans="1:1" x14ac:dyDescent="0.3">
      <c r="A5322" s="678"/>
    </row>
    <row r="5323" spans="1:1" x14ac:dyDescent="0.3">
      <c r="A5323" s="678"/>
    </row>
    <row r="5324" spans="1:1" x14ac:dyDescent="0.3">
      <c r="A5324" s="678"/>
    </row>
    <row r="5325" spans="1:1" x14ac:dyDescent="0.3">
      <c r="A5325" s="678"/>
    </row>
    <row r="5326" spans="1:1" x14ac:dyDescent="0.3">
      <c r="A5326" s="678"/>
    </row>
    <row r="5327" spans="1:1" x14ac:dyDescent="0.3">
      <c r="A5327" s="678"/>
    </row>
    <row r="5328" spans="1:1" x14ac:dyDescent="0.3">
      <c r="A5328" s="678"/>
    </row>
    <row r="5329" spans="1:1" x14ac:dyDescent="0.3">
      <c r="A5329" s="678"/>
    </row>
    <row r="5330" spans="1:1" x14ac:dyDescent="0.3">
      <c r="A5330" s="678"/>
    </row>
    <row r="5331" spans="1:1" x14ac:dyDescent="0.3">
      <c r="A5331" s="678"/>
    </row>
    <row r="5332" spans="1:1" x14ac:dyDescent="0.3">
      <c r="A5332" s="678"/>
    </row>
    <row r="5333" spans="1:1" x14ac:dyDescent="0.3">
      <c r="A5333" s="678"/>
    </row>
    <row r="5334" spans="1:1" x14ac:dyDescent="0.3">
      <c r="A5334" s="678"/>
    </row>
    <row r="5335" spans="1:1" x14ac:dyDescent="0.3">
      <c r="A5335" s="678"/>
    </row>
    <row r="5336" spans="1:1" x14ac:dyDescent="0.3">
      <c r="A5336" s="678"/>
    </row>
    <row r="5337" spans="1:1" x14ac:dyDescent="0.3">
      <c r="A5337" s="678"/>
    </row>
    <row r="5338" spans="1:1" x14ac:dyDescent="0.3">
      <c r="A5338" s="678"/>
    </row>
    <row r="5339" spans="1:1" x14ac:dyDescent="0.3">
      <c r="A5339" s="678"/>
    </row>
    <row r="5340" spans="1:1" x14ac:dyDescent="0.3">
      <c r="A5340" s="678"/>
    </row>
    <row r="5341" spans="1:1" x14ac:dyDescent="0.3">
      <c r="A5341" s="678"/>
    </row>
    <row r="5342" spans="1:1" x14ac:dyDescent="0.3">
      <c r="A5342" s="678"/>
    </row>
    <row r="5343" spans="1:1" x14ac:dyDescent="0.3">
      <c r="A5343" s="678"/>
    </row>
    <row r="5344" spans="1:1" x14ac:dyDescent="0.3">
      <c r="A5344" s="678"/>
    </row>
    <row r="5345" spans="1:1" x14ac:dyDescent="0.3">
      <c r="A5345" s="678"/>
    </row>
    <row r="5346" spans="1:1" x14ac:dyDescent="0.3">
      <c r="A5346" s="678"/>
    </row>
    <row r="5347" spans="1:1" x14ac:dyDescent="0.3">
      <c r="A5347" s="678"/>
    </row>
    <row r="5348" spans="1:1" x14ac:dyDescent="0.3">
      <c r="A5348" s="678"/>
    </row>
    <row r="5349" spans="1:1" x14ac:dyDescent="0.3">
      <c r="A5349" s="678"/>
    </row>
    <row r="5350" spans="1:1" x14ac:dyDescent="0.3">
      <c r="A5350" s="678"/>
    </row>
    <row r="5351" spans="1:1" x14ac:dyDescent="0.3">
      <c r="A5351" s="678"/>
    </row>
    <row r="5352" spans="1:1" x14ac:dyDescent="0.3">
      <c r="A5352" s="678"/>
    </row>
    <row r="5353" spans="1:1" x14ac:dyDescent="0.3">
      <c r="A5353" s="678"/>
    </row>
    <row r="5354" spans="1:1" x14ac:dyDescent="0.3">
      <c r="A5354" s="678"/>
    </row>
    <row r="5355" spans="1:1" x14ac:dyDescent="0.3">
      <c r="A5355" s="678"/>
    </row>
    <row r="5356" spans="1:1" x14ac:dyDescent="0.3">
      <c r="A5356" s="678"/>
    </row>
    <row r="5357" spans="1:1" x14ac:dyDescent="0.3">
      <c r="A5357" s="678"/>
    </row>
    <row r="5358" spans="1:1" x14ac:dyDescent="0.3">
      <c r="A5358" s="678"/>
    </row>
    <row r="5359" spans="1:1" x14ac:dyDescent="0.3">
      <c r="A5359" s="678"/>
    </row>
    <row r="5360" spans="1:1" x14ac:dyDescent="0.3">
      <c r="A5360" s="678"/>
    </row>
    <row r="5361" spans="1:1" x14ac:dyDescent="0.3">
      <c r="A5361" s="678"/>
    </row>
    <row r="5362" spans="1:1" x14ac:dyDescent="0.3">
      <c r="A5362" s="678"/>
    </row>
    <row r="5363" spans="1:1" x14ac:dyDescent="0.3">
      <c r="A5363" s="678"/>
    </row>
    <row r="5364" spans="1:1" x14ac:dyDescent="0.3">
      <c r="A5364" s="678"/>
    </row>
    <row r="5365" spans="1:1" x14ac:dyDescent="0.3">
      <c r="A5365" s="678"/>
    </row>
    <row r="5366" spans="1:1" x14ac:dyDescent="0.3">
      <c r="A5366" s="678"/>
    </row>
    <row r="5367" spans="1:1" x14ac:dyDescent="0.3">
      <c r="A5367" s="678"/>
    </row>
    <row r="5368" spans="1:1" x14ac:dyDescent="0.3">
      <c r="A5368" s="678"/>
    </row>
    <row r="5369" spans="1:1" x14ac:dyDescent="0.3">
      <c r="A5369" s="678"/>
    </row>
    <row r="5370" spans="1:1" x14ac:dyDescent="0.3">
      <c r="A5370" s="678"/>
    </row>
    <row r="5371" spans="1:1" x14ac:dyDescent="0.3">
      <c r="A5371" s="678"/>
    </row>
    <row r="5372" spans="1:1" x14ac:dyDescent="0.3">
      <c r="A5372" s="678"/>
    </row>
    <row r="5373" spans="1:1" x14ac:dyDescent="0.3">
      <c r="A5373" s="678"/>
    </row>
    <row r="5374" spans="1:1" x14ac:dyDescent="0.3">
      <c r="A5374" s="678"/>
    </row>
    <row r="5375" spans="1:1" x14ac:dyDescent="0.3">
      <c r="A5375" s="678"/>
    </row>
    <row r="5376" spans="1:1" x14ac:dyDescent="0.3">
      <c r="A5376" s="678"/>
    </row>
    <row r="5377" spans="1:1" x14ac:dyDescent="0.3">
      <c r="A5377" s="678"/>
    </row>
    <row r="5378" spans="1:1" x14ac:dyDescent="0.3">
      <c r="A5378" s="678"/>
    </row>
    <row r="5379" spans="1:1" x14ac:dyDescent="0.3">
      <c r="A5379" s="678"/>
    </row>
    <row r="5380" spans="1:1" x14ac:dyDescent="0.3">
      <c r="A5380" s="678"/>
    </row>
    <row r="5381" spans="1:1" x14ac:dyDescent="0.3">
      <c r="A5381" s="678"/>
    </row>
    <row r="5382" spans="1:1" x14ac:dyDescent="0.3">
      <c r="A5382" s="678"/>
    </row>
    <row r="5383" spans="1:1" x14ac:dyDescent="0.3">
      <c r="A5383" s="678"/>
    </row>
    <row r="5384" spans="1:1" x14ac:dyDescent="0.3">
      <c r="A5384" s="678"/>
    </row>
    <row r="5385" spans="1:1" x14ac:dyDescent="0.3">
      <c r="A5385" s="678"/>
    </row>
    <row r="5386" spans="1:1" x14ac:dyDescent="0.3">
      <c r="A5386" s="678"/>
    </row>
    <row r="5387" spans="1:1" x14ac:dyDescent="0.3">
      <c r="A5387" s="678"/>
    </row>
    <row r="5388" spans="1:1" x14ac:dyDescent="0.3">
      <c r="A5388" s="678"/>
    </row>
    <row r="5389" spans="1:1" x14ac:dyDescent="0.3">
      <c r="A5389" s="678"/>
    </row>
    <row r="5390" spans="1:1" x14ac:dyDescent="0.3">
      <c r="A5390" s="678"/>
    </row>
    <row r="5391" spans="1:1" x14ac:dyDescent="0.3">
      <c r="A5391" s="678"/>
    </row>
    <row r="5392" spans="1:1" x14ac:dyDescent="0.3">
      <c r="A5392" s="678"/>
    </row>
    <row r="5393" spans="1:1" x14ac:dyDescent="0.3">
      <c r="A5393" s="678"/>
    </row>
    <row r="5394" spans="1:1" x14ac:dyDescent="0.3">
      <c r="A5394" s="678"/>
    </row>
    <row r="5395" spans="1:1" x14ac:dyDescent="0.3">
      <c r="A5395" s="678"/>
    </row>
    <row r="5396" spans="1:1" x14ac:dyDescent="0.3">
      <c r="A5396" s="678"/>
    </row>
    <row r="5397" spans="1:1" x14ac:dyDescent="0.3">
      <c r="A5397" s="678"/>
    </row>
    <row r="5398" spans="1:1" x14ac:dyDescent="0.3">
      <c r="A5398" s="678"/>
    </row>
    <row r="5399" spans="1:1" x14ac:dyDescent="0.3">
      <c r="A5399" s="678"/>
    </row>
    <row r="5400" spans="1:1" x14ac:dyDescent="0.3">
      <c r="A5400" s="678"/>
    </row>
    <row r="5401" spans="1:1" x14ac:dyDescent="0.3">
      <c r="A5401" s="678"/>
    </row>
    <row r="5402" spans="1:1" x14ac:dyDescent="0.3">
      <c r="A5402" s="678"/>
    </row>
    <row r="5403" spans="1:1" x14ac:dyDescent="0.3">
      <c r="A5403" s="678"/>
    </row>
    <row r="5404" spans="1:1" x14ac:dyDescent="0.3">
      <c r="A5404" s="678"/>
    </row>
    <row r="5405" spans="1:1" x14ac:dyDescent="0.3">
      <c r="A5405" s="678"/>
    </row>
    <row r="5406" spans="1:1" x14ac:dyDescent="0.3">
      <c r="A5406" s="678"/>
    </row>
    <row r="5407" spans="1:1" x14ac:dyDescent="0.3">
      <c r="A5407" s="678"/>
    </row>
    <row r="5408" spans="1:1" x14ac:dyDescent="0.3">
      <c r="A5408" s="678"/>
    </row>
    <row r="5409" spans="1:1" x14ac:dyDescent="0.3">
      <c r="A5409" s="678"/>
    </row>
    <row r="5410" spans="1:1" x14ac:dyDescent="0.3">
      <c r="A5410" s="678"/>
    </row>
    <row r="5411" spans="1:1" x14ac:dyDescent="0.3">
      <c r="A5411" s="678"/>
    </row>
    <row r="5412" spans="1:1" x14ac:dyDescent="0.3">
      <c r="A5412" s="678"/>
    </row>
    <row r="5413" spans="1:1" x14ac:dyDescent="0.3">
      <c r="A5413" s="678"/>
    </row>
    <row r="5414" spans="1:1" x14ac:dyDescent="0.3">
      <c r="A5414" s="678"/>
    </row>
    <row r="5415" spans="1:1" x14ac:dyDescent="0.3">
      <c r="A5415" s="678"/>
    </row>
    <row r="5416" spans="1:1" x14ac:dyDescent="0.3">
      <c r="A5416" s="678"/>
    </row>
    <row r="5417" spans="1:1" x14ac:dyDescent="0.3">
      <c r="A5417" s="678"/>
    </row>
    <row r="5418" spans="1:1" x14ac:dyDescent="0.3">
      <c r="A5418" s="678"/>
    </row>
    <row r="5419" spans="1:1" x14ac:dyDescent="0.3">
      <c r="A5419" s="678"/>
    </row>
    <row r="5420" spans="1:1" x14ac:dyDescent="0.3">
      <c r="A5420" s="678"/>
    </row>
    <row r="5421" spans="1:1" x14ac:dyDescent="0.3">
      <c r="A5421" s="678"/>
    </row>
    <row r="5422" spans="1:1" x14ac:dyDescent="0.3">
      <c r="A5422" s="678"/>
    </row>
    <row r="5423" spans="1:1" x14ac:dyDescent="0.3">
      <c r="A5423" s="678"/>
    </row>
    <row r="5424" spans="1:1" x14ac:dyDescent="0.3">
      <c r="A5424" s="678"/>
    </row>
    <row r="5425" spans="1:1" x14ac:dyDescent="0.3">
      <c r="A5425" s="678"/>
    </row>
    <row r="5426" spans="1:1" x14ac:dyDescent="0.3">
      <c r="A5426" s="678"/>
    </row>
    <row r="5427" spans="1:1" x14ac:dyDescent="0.3">
      <c r="A5427" s="678"/>
    </row>
    <row r="5428" spans="1:1" x14ac:dyDescent="0.3">
      <c r="A5428" s="678"/>
    </row>
    <row r="5429" spans="1:1" x14ac:dyDescent="0.3">
      <c r="A5429" s="678"/>
    </row>
    <row r="5430" spans="1:1" x14ac:dyDescent="0.3">
      <c r="A5430" s="678"/>
    </row>
    <row r="5431" spans="1:1" x14ac:dyDescent="0.3">
      <c r="A5431" s="678"/>
    </row>
    <row r="5432" spans="1:1" x14ac:dyDescent="0.3">
      <c r="A5432" s="678"/>
    </row>
    <row r="5433" spans="1:1" x14ac:dyDescent="0.3">
      <c r="A5433" s="678"/>
    </row>
    <row r="5434" spans="1:1" x14ac:dyDescent="0.3">
      <c r="A5434" s="678"/>
    </row>
    <row r="5435" spans="1:1" x14ac:dyDescent="0.3">
      <c r="A5435" s="678"/>
    </row>
    <row r="5436" spans="1:1" x14ac:dyDescent="0.3">
      <c r="A5436" s="678"/>
    </row>
    <row r="5437" spans="1:1" x14ac:dyDescent="0.3">
      <c r="A5437" s="678"/>
    </row>
    <row r="5438" spans="1:1" x14ac:dyDescent="0.3">
      <c r="A5438" s="678"/>
    </row>
    <row r="5439" spans="1:1" x14ac:dyDescent="0.3">
      <c r="A5439" s="678"/>
    </row>
    <row r="5440" spans="1:1" x14ac:dyDescent="0.3">
      <c r="A5440" s="678"/>
    </row>
    <row r="5441" spans="1:1" x14ac:dyDescent="0.3">
      <c r="A5441" s="678"/>
    </row>
    <row r="5442" spans="1:1" x14ac:dyDescent="0.3">
      <c r="A5442" s="678"/>
    </row>
    <row r="5443" spans="1:1" x14ac:dyDescent="0.3">
      <c r="A5443" s="678"/>
    </row>
    <row r="5444" spans="1:1" x14ac:dyDescent="0.3">
      <c r="A5444" s="678"/>
    </row>
    <row r="5445" spans="1:1" x14ac:dyDescent="0.3">
      <c r="A5445" s="678"/>
    </row>
    <row r="5446" spans="1:1" x14ac:dyDescent="0.3">
      <c r="A5446" s="678"/>
    </row>
    <row r="5447" spans="1:1" x14ac:dyDescent="0.3">
      <c r="A5447" s="678"/>
    </row>
    <row r="5448" spans="1:1" x14ac:dyDescent="0.3">
      <c r="A5448" s="678"/>
    </row>
    <row r="5449" spans="1:1" x14ac:dyDescent="0.3">
      <c r="A5449" s="678"/>
    </row>
    <row r="5450" spans="1:1" x14ac:dyDescent="0.3">
      <c r="A5450" s="678"/>
    </row>
    <row r="5451" spans="1:1" x14ac:dyDescent="0.3">
      <c r="A5451" s="678"/>
    </row>
    <row r="5452" spans="1:1" x14ac:dyDescent="0.3">
      <c r="A5452" s="678"/>
    </row>
    <row r="5453" spans="1:1" x14ac:dyDescent="0.3">
      <c r="A5453" s="678"/>
    </row>
    <row r="5454" spans="1:1" x14ac:dyDescent="0.3">
      <c r="A5454" s="678"/>
    </row>
    <row r="5455" spans="1:1" x14ac:dyDescent="0.3">
      <c r="A5455" s="678"/>
    </row>
    <row r="5456" spans="1:1" x14ac:dyDescent="0.3">
      <c r="A5456" s="678"/>
    </row>
    <row r="5457" spans="1:1" x14ac:dyDescent="0.3">
      <c r="A5457" s="678"/>
    </row>
    <row r="5458" spans="1:1" x14ac:dyDescent="0.3">
      <c r="A5458" s="678"/>
    </row>
    <row r="5459" spans="1:1" x14ac:dyDescent="0.3">
      <c r="A5459" s="678"/>
    </row>
    <row r="5460" spans="1:1" x14ac:dyDescent="0.3">
      <c r="A5460" s="678"/>
    </row>
    <row r="5461" spans="1:1" x14ac:dyDescent="0.3">
      <c r="A5461" s="678"/>
    </row>
    <row r="5462" spans="1:1" x14ac:dyDescent="0.3">
      <c r="A5462" s="678"/>
    </row>
    <row r="5463" spans="1:1" x14ac:dyDescent="0.3">
      <c r="A5463" s="678"/>
    </row>
    <row r="5464" spans="1:1" x14ac:dyDescent="0.3">
      <c r="A5464" s="678"/>
    </row>
    <row r="5465" spans="1:1" x14ac:dyDescent="0.3">
      <c r="A5465" s="678"/>
    </row>
    <row r="5466" spans="1:1" x14ac:dyDescent="0.3">
      <c r="A5466" s="678"/>
    </row>
    <row r="5467" spans="1:1" x14ac:dyDescent="0.3">
      <c r="A5467" s="678"/>
    </row>
    <row r="5468" spans="1:1" x14ac:dyDescent="0.3">
      <c r="A5468" s="678"/>
    </row>
    <row r="5469" spans="1:1" x14ac:dyDescent="0.3">
      <c r="A5469" s="678"/>
    </row>
    <row r="5470" spans="1:1" x14ac:dyDescent="0.3">
      <c r="A5470" s="678"/>
    </row>
    <row r="5471" spans="1:1" x14ac:dyDescent="0.3">
      <c r="A5471" s="678"/>
    </row>
    <row r="5472" spans="1:1" x14ac:dyDescent="0.3">
      <c r="A5472" s="678"/>
    </row>
    <row r="5473" spans="1:1" x14ac:dyDescent="0.3">
      <c r="A5473" s="678"/>
    </row>
    <row r="5474" spans="1:1" x14ac:dyDescent="0.3">
      <c r="A5474" s="678"/>
    </row>
    <row r="5475" spans="1:1" x14ac:dyDescent="0.3">
      <c r="A5475" s="678"/>
    </row>
    <row r="5476" spans="1:1" x14ac:dyDescent="0.3">
      <c r="A5476" s="678"/>
    </row>
    <row r="5477" spans="1:1" x14ac:dyDescent="0.3">
      <c r="A5477" s="678"/>
    </row>
    <row r="5478" spans="1:1" x14ac:dyDescent="0.3">
      <c r="A5478" s="678"/>
    </row>
    <row r="5479" spans="1:1" x14ac:dyDescent="0.3">
      <c r="A5479" s="678"/>
    </row>
    <row r="5480" spans="1:1" x14ac:dyDescent="0.3">
      <c r="A5480" s="678"/>
    </row>
    <row r="5481" spans="1:1" x14ac:dyDescent="0.3">
      <c r="A5481" s="678"/>
    </row>
    <row r="5482" spans="1:1" x14ac:dyDescent="0.3">
      <c r="A5482" s="678"/>
    </row>
    <row r="5483" spans="1:1" x14ac:dyDescent="0.3">
      <c r="A5483" s="678"/>
    </row>
    <row r="5484" spans="1:1" x14ac:dyDescent="0.3">
      <c r="A5484" s="678"/>
    </row>
    <row r="5485" spans="1:1" x14ac:dyDescent="0.3">
      <c r="A5485" s="678"/>
    </row>
    <row r="5486" spans="1:1" x14ac:dyDescent="0.3">
      <c r="A5486" s="678"/>
    </row>
    <row r="5487" spans="1:1" x14ac:dyDescent="0.3">
      <c r="A5487" s="678"/>
    </row>
    <row r="5488" spans="1:1" x14ac:dyDescent="0.3">
      <c r="A5488" s="678"/>
    </row>
    <row r="5489" spans="1:1" x14ac:dyDescent="0.3">
      <c r="A5489" s="678"/>
    </row>
    <row r="5490" spans="1:1" x14ac:dyDescent="0.3">
      <c r="A5490" s="678"/>
    </row>
    <row r="5491" spans="1:1" x14ac:dyDescent="0.3">
      <c r="A5491" s="678"/>
    </row>
    <row r="5492" spans="1:1" x14ac:dyDescent="0.3">
      <c r="A5492" s="678"/>
    </row>
    <row r="5493" spans="1:1" x14ac:dyDescent="0.3">
      <c r="A5493" s="678"/>
    </row>
    <row r="5494" spans="1:1" x14ac:dyDescent="0.3">
      <c r="A5494" s="678"/>
    </row>
    <row r="5495" spans="1:1" x14ac:dyDescent="0.3">
      <c r="A5495" s="678"/>
    </row>
    <row r="5496" spans="1:1" x14ac:dyDescent="0.3">
      <c r="A5496" s="678"/>
    </row>
    <row r="5497" spans="1:1" x14ac:dyDescent="0.3">
      <c r="A5497" s="678"/>
    </row>
    <row r="5498" spans="1:1" x14ac:dyDescent="0.3">
      <c r="A5498" s="678"/>
    </row>
    <row r="5499" spans="1:1" x14ac:dyDescent="0.3">
      <c r="A5499" s="678"/>
    </row>
    <row r="5500" spans="1:1" x14ac:dyDescent="0.3">
      <c r="A5500" s="678"/>
    </row>
    <row r="5501" spans="1:1" x14ac:dyDescent="0.3">
      <c r="A5501" s="678"/>
    </row>
    <row r="5502" spans="1:1" x14ac:dyDescent="0.3">
      <c r="A5502" s="678"/>
    </row>
    <row r="5503" spans="1:1" x14ac:dyDescent="0.3">
      <c r="A5503" s="678"/>
    </row>
    <row r="5504" spans="1:1" x14ac:dyDescent="0.3">
      <c r="A5504" s="678"/>
    </row>
    <row r="5505" spans="1:1" x14ac:dyDescent="0.3">
      <c r="A5505" s="678"/>
    </row>
    <row r="5506" spans="1:1" x14ac:dyDescent="0.3">
      <c r="A5506" s="678"/>
    </row>
    <row r="5507" spans="1:1" x14ac:dyDescent="0.3">
      <c r="A5507" s="678"/>
    </row>
    <row r="5508" spans="1:1" x14ac:dyDescent="0.3">
      <c r="A5508" s="678"/>
    </row>
    <row r="5509" spans="1:1" x14ac:dyDescent="0.3">
      <c r="A5509" s="678"/>
    </row>
    <row r="5510" spans="1:1" x14ac:dyDescent="0.3">
      <c r="A5510" s="678"/>
    </row>
    <row r="5511" spans="1:1" x14ac:dyDescent="0.3">
      <c r="A5511" s="678"/>
    </row>
    <row r="5512" spans="1:1" x14ac:dyDescent="0.3">
      <c r="A5512" s="678"/>
    </row>
    <row r="5513" spans="1:1" x14ac:dyDescent="0.3">
      <c r="A5513" s="678"/>
    </row>
    <row r="5514" spans="1:1" x14ac:dyDescent="0.3">
      <c r="A5514" s="678"/>
    </row>
    <row r="5515" spans="1:1" x14ac:dyDescent="0.3">
      <c r="A5515" s="678"/>
    </row>
    <row r="5516" spans="1:1" x14ac:dyDescent="0.3">
      <c r="A5516" s="678"/>
    </row>
    <row r="5517" spans="1:1" x14ac:dyDescent="0.3">
      <c r="A5517" s="678"/>
    </row>
    <row r="5518" spans="1:1" x14ac:dyDescent="0.3">
      <c r="A5518" s="678"/>
    </row>
    <row r="5519" spans="1:1" x14ac:dyDescent="0.3">
      <c r="A5519" s="678"/>
    </row>
    <row r="5520" spans="1:1" x14ac:dyDescent="0.3">
      <c r="A5520" s="678"/>
    </row>
    <row r="5521" spans="1:1" x14ac:dyDescent="0.3">
      <c r="A5521" s="678"/>
    </row>
    <row r="5522" spans="1:1" x14ac:dyDescent="0.3">
      <c r="A5522" s="678"/>
    </row>
    <row r="5523" spans="1:1" x14ac:dyDescent="0.3">
      <c r="A5523" s="678"/>
    </row>
    <row r="5524" spans="1:1" x14ac:dyDescent="0.3">
      <c r="A5524" s="678"/>
    </row>
    <row r="5525" spans="1:1" x14ac:dyDescent="0.3">
      <c r="A5525" s="678"/>
    </row>
    <row r="5526" spans="1:1" x14ac:dyDescent="0.3">
      <c r="A5526" s="678"/>
    </row>
    <row r="5527" spans="1:1" x14ac:dyDescent="0.3">
      <c r="A5527" s="678"/>
    </row>
    <row r="5528" spans="1:1" x14ac:dyDescent="0.3">
      <c r="A5528" s="678"/>
    </row>
    <row r="5529" spans="1:1" x14ac:dyDescent="0.3">
      <c r="A5529" s="678"/>
    </row>
    <row r="5530" spans="1:1" x14ac:dyDescent="0.3">
      <c r="A5530" s="678"/>
    </row>
    <row r="5531" spans="1:1" x14ac:dyDescent="0.3">
      <c r="A5531" s="678"/>
    </row>
    <row r="5532" spans="1:1" x14ac:dyDescent="0.3">
      <c r="A5532" s="678"/>
    </row>
    <row r="5533" spans="1:1" x14ac:dyDescent="0.3">
      <c r="A5533" s="678"/>
    </row>
    <row r="5534" spans="1:1" x14ac:dyDescent="0.3">
      <c r="A5534" s="678"/>
    </row>
    <row r="5535" spans="1:1" x14ac:dyDescent="0.3">
      <c r="A5535" s="678"/>
    </row>
    <row r="5536" spans="1:1" x14ac:dyDescent="0.3">
      <c r="A5536" s="678"/>
    </row>
    <row r="5537" spans="1:1" x14ac:dyDescent="0.3">
      <c r="A5537" s="678"/>
    </row>
    <row r="5538" spans="1:1" x14ac:dyDescent="0.3">
      <c r="A5538" s="678"/>
    </row>
    <row r="5539" spans="1:1" x14ac:dyDescent="0.3">
      <c r="A5539" s="678"/>
    </row>
    <row r="5540" spans="1:1" x14ac:dyDescent="0.3">
      <c r="A5540" s="678"/>
    </row>
    <row r="5541" spans="1:1" x14ac:dyDescent="0.3">
      <c r="A5541" s="678"/>
    </row>
    <row r="5542" spans="1:1" x14ac:dyDescent="0.3">
      <c r="A5542" s="678"/>
    </row>
    <row r="5543" spans="1:1" x14ac:dyDescent="0.3">
      <c r="A5543" s="678"/>
    </row>
    <row r="5544" spans="1:1" x14ac:dyDescent="0.3">
      <c r="A5544" s="678"/>
    </row>
    <row r="5545" spans="1:1" x14ac:dyDescent="0.3">
      <c r="A5545" s="678"/>
    </row>
    <row r="5546" spans="1:1" x14ac:dyDescent="0.3">
      <c r="A5546" s="678"/>
    </row>
    <row r="5547" spans="1:1" x14ac:dyDescent="0.3">
      <c r="A5547" s="678"/>
    </row>
    <row r="5548" spans="1:1" x14ac:dyDescent="0.3">
      <c r="A5548" s="678"/>
    </row>
    <row r="5549" spans="1:1" x14ac:dyDescent="0.3">
      <c r="A5549" s="678"/>
    </row>
    <row r="5550" spans="1:1" x14ac:dyDescent="0.3">
      <c r="A5550" s="678"/>
    </row>
    <row r="5551" spans="1:1" x14ac:dyDescent="0.3">
      <c r="A5551" s="678"/>
    </row>
    <row r="5552" spans="1:1" x14ac:dyDescent="0.3">
      <c r="A5552" s="678"/>
    </row>
    <row r="5553" spans="1:1" x14ac:dyDescent="0.3">
      <c r="A5553" s="678"/>
    </row>
    <row r="5554" spans="1:1" x14ac:dyDescent="0.3">
      <c r="A5554" s="678"/>
    </row>
    <row r="5555" spans="1:1" x14ac:dyDescent="0.3">
      <c r="A5555" s="678"/>
    </row>
    <row r="5556" spans="1:1" x14ac:dyDescent="0.3">
      <c r="A5556" s="678"/>
    </row>
    <row r="5557" spans="1:1" x14ac:dyDescent="0.3">
      <c r="A5557" s="678"/>
    </row>
    <row r="5558" spans="1:1" x14ac:dyDescent="0.3">
      <c r="A5558" s="678"/>
    </row>
    <row r="5559" spans="1:1" x14ac:dyDescent="0.3">
      <c r="A5559" s="678"/>
    </row>
    <row r="5560" spans="1:1" x14ac:dyDescent="0.3">
      <c r="A5560" s="678"/>
    </row>
    <row r="5561" spans="1:1" x14ac:dyDescent="0.3">
      <c r="A5561" s="678"/>
    </row>
    <row r="5562" spans="1:1" x14ac:dyDescent="0.3">
      <c r="A5562" s="678"/>
    </row>
    <row r="5563" spans="1:1" x14ac:dyDescent="0.3">
      <c r="A5563" s="678"/>
    </row>
    <row r="5564" spans="1:1" x14ac:dyDescent="0.3">
      <c r="A5564" s="678"/>
    </row>
    <row r="5565" spans="1:1" x14ac:dyDescent="0.3">
      <c r="A5565" s="678"/>
    </row>
    <row r="5566" spans="1:1" x14ac:dyDescent="0.3">
      <c r="A5566" s="678"/>
    </row>
    <row r="5567" spans="1:1" x14ac:dyDescent="0.3">
      <c r="A5567" s="678"/>
    </row>
    <row r="5568" spans="1:1" x14ac:dyDescent="0.3">
      <c r="A5568" s="678"/>
    </row>
    <row r="5569" spans="1:1" x14ac:dyDescent="0.3">
      <c r="A5569" s="678"/>
    </row>
    <row r="5570" spans="1:1" x14ac:dyDescent="0.3">
      <c r="A5570" s="678"/>
    </row>
    <row r="5571" spans="1:1" x14ac:dyDescent="0.3">
      <c r="A5571" s="678"/>
    </row>
    <row r="5572" spans="1:1" x14ac:dyDescent="0.3">
      <c r="A5572" s="678"/>
    </row>
    <row r="5573" spans="1:1" x14ac:dyDescent="0.3">
      <c r="A5573" s="678"/>
    </row>
    <row r="5574" spans="1:1" x14ac:dyDescent="0.3">
      <c r="A5574" s="678"/>
    </row>
    <row r="5575" spans="1:1" x14ac:dyDescent="0.3">
      <c r="A5575" s="678"/>
    </row>
    <row r="5576" spans="1:1" x14ac:dyDescent="0.3">
      <c r="A5576" s="678"/>
    </row>
    <row r="5577" spans="1:1" x14ac:dyDescent="0.3">
      <c r="A5577" s="678"/>
    </row>
    <row r="5578" spans="1:1" x14ac:dyDescent="0.3">
      <c r="A5578" s="678"/>
    </row>
    <row r="5579" spans="1:1" x14ac:dyDescent="0.3">
      <c r="A5579" s="678"/>
    </row>
    <row r="5580" spans="1:1" x14ac:dyDescent="0.3">
      <c r="A5580" s="678"/>
    </row>
    <row r="5581" spans="1:1" x14ac:dyDescent="0.3">
      <c r="A5581" s="678"/>
    </row>
    <row r="5582" spans="1:1" x14ac:dyDescent="0.3">
      <c r="A5582" s="678"/>
    </row>
    <row r="5583" spans="1:1" x14ac:dyDescent="0.3">
      <c r="A5583" s="678"/>
    </row>
    <row r="5584" spans="1:1" x14ac:dyDescent="0.3">
      <c r="A5584" s="678"/>
    </row>
    <row r="5585" spans="1:1" x14ac:dyDescent="0.3">
      <c r="A5585" s="678"/>
    </row>
    <row r="5586" spans="1:1" x14ac:dyDescent="0.3">
      <c r="A5586" s="678"/>
    </row>
    <row r="5587" spans="1:1" x14ac:dyDescent="0.3">
      <c r="A5587" s="678"/>
    </row>
    <row r="5588" spans="1:1" x14ac:dyDescent="0.3">
      <c r="A5588" s="678"/>
    </row>
    <row r="5589" spans="1:1" x14ac:dyDescent="0.3">
      <c r="A5589" s="678"/>
    </row>
    <row r="5590" spans="1:1" x14ac:dyDescent="0.3">
      <c r="A5590" s="678"/>
    </row>
    <row r="5591" spans="1:1" x14ac:dyDescent="0.3">
      <c r="A5591" s="678"/>
    </row>
    <row r="5592" spans="1:1" x14ac:dyDescent="0.3">
      <c r="A5592" s="678"/>
    </row>
    <row r="5593" spans="1:1" x14ac:dyDescent="0.3">
      <c r="A5593" s="678"/>
    </row>
    <row r="5594" spans="1:1" x14ac:dyDescent="0.3">
      <c r="A5594" s="678"/>
    </row>
    <row r="5595" spans="1:1" x14ac:dyDescent="0.3">
      <c r="A5595" s="678"/>
    </row>
    <row r="5596" spans="1:1" x14ac:dyDescent="0.3">
      <c r="A5596" s="678"/>
    </row>
    <row r="5597" spans="1:1" x14ac:dyDescent="0.3">
      <c r="A5597" s="678"/>
    </row>
    <row r="5598" spans="1:1" x14ac:dyDescent="0.3">
      <c r="A5598" s="678"/>
    </row>
    <row r="5599" spans="1:1" x14ac:dyDescent="0.3">
      <c r="A5599" s="678"/>
    </row>
    <row r="5600" spans="1:1" x14ac:dyDescent="0.3">
      <c r="A5600" s="678"/>
    </row>
    <row r="5601" spans="1:1" x14ac:dyDescent="0.3">
      <c r="A5601" s="678"/>
    </row>
    <row r="5602" spans="1:1" x14ac:dyDescent="0.3">
      <c r="A5602" s="678"/>
    </row>
    <row r="5603" spans="1:1" x14ac:dyDescent="0.3">
      <c r="A5603" s="678"/>
    </row>
    <row r="5604" spans="1:1" x14ac:dyDescent="0.3">
      <c r="A5604" s="678"/>
    </row>
    <row r="5605" spans="1:1" x14ac:dyDescent="0.3">
      <c r="A5605" s="678"/>
    </row>
    <row r="5606" spans="1:1" x14ac:dyDescent="0.3">
      <c r="A5606" s="678"/>
    </row>
    <row r="5607" spans="1:1" x14ac:dyDescent="0.3">
      <c r="A5607" s="678"/>
    </row>
    <row r="5608" spans="1:1" x14ac:dyDescent="0.3">
      <c r="A5608" s="678"/>
    </row>
    <row r="5609" spans="1:1" x14ac:dyDescent="0.3">
      <c r="A5609" s="678"/>
    </row>
    <row r="5610" spans="1:1" x14ac:dyDescent="0.3">
      <c r="A5610" s="678"/>
    </row>
    <row r="5611" spans="1:1" x14ac:dyDescent="0.3">
      <c r="A5611" s="678"/>
    </row>
    <row r="5612" spans="1:1" x14ac:dyDescent="0.3">
      <c r="A5612" s="678"/>
    </row>
    <row r="5613" spans="1:1" x14ac:dyDescent="0.3">
      <c r="A5613" s="678"/>
    </row>
    <row r="5614" spans="1:1" x14ac:dyDescent="0.3">
      <c r="A5614" s="678"/>
    </row>
    <row r="5615" spans="1:1" x14ac:dyDescent="0.3">
      <c r="A5615" s="678"/>
    </row>
    <row r="5616" spans="1:1" x14ac:dyDescent="0.3">
      <c r="A5616" s="678"/>
    </row>
    <row r="5617" spans="1:1" x14ac:dyDescent="0.3">
      <c r="A5617" s="678"/>
    </row>
    <row r="5618" spans="1:1" x14ac:dyDescent="0.3">
      <c r="A5618" s="678"/>
    </row>
    <row r="5619" spans="1:1" x14ac:dyDescent="0.3">
      <c r="A5619" s="678"/>
    </row>
    <row r="5620" spans="1:1" x14ac:dyDescent="0.3">
      <c r="A5620" s="678"/>
    </row>
    <row r="5621" spans="1:1" x14ac:dyDescent="0.3">
      <c r="A5621" s="678"/>
    </row>
    <row r="5622" spans="1:1" x14ac:dyDescent="0.3">
      <c r="A5622" s="678"/>
    </row>
    <row r="5623" spans="1:1" x14ac:dyDescent="0.3">
      <c r="A5623" s="678"/>
    </row>
    <row r="5624" spans="1:1" x14ac:dyDescent="0.3">
      <c r="A5624" s="678"/>
    </row>
    <row r="5625" spans="1:1" x14ac:dyDescent="0.3">
      <c r="A5625" s="678"/>
    </row>
    <row r="5626" spans="1:1" x14ac:dyDescent="0.3">
      <c r="A5626" s="678"/>
    </row>
    <row r="5627" spans="1:1" x14ac:dyDescent="0.3">
      <c r="A5627" s="678"/>
    </row>
    <row r="5628" spans="1:1" x14ac:dyDescent="0.3">
      <c r="A5628" s="678"/>
    </row>
    <row r="5629" spans="1:1" x14ac:dyDescent="0.3">
      <c r="A5629" s="678"/>
    </row>
    <row r="5630" spans="1:1" x14ac:dyDescent="0.3">
      <c r="A5630" s="678"/>
    </row>
    <row r="5631" spans="1:1" x14ac:dyDescent="0.3">
      <c r="A5631" s="678"/>
    </row>
    <row r="5632" spans="1:1" x14ac:dyDescent="0.3">
      <c r="A5632" s="678"/>
    </row>
    <row r="5633" spans="1:1" x14ac:dyDescent="0.3">
      <c r="A5633" s="678"/>
    </row>
    <row r="5634" spans="1:1" x14ac:dyDescent="0.3">
      <c r="A5634" s="678"/>
    </row>
    <row r="5635" spans="1:1" x14ac:dyDescent="0.3">
      <c r="A5635" s="678"/>
    </row>
    <row r="5636" spans="1:1" x14ac:dyDescent="0.3">
      <c r="A5636" s="678"/>
    </row>
    <row r="5637" spans="1:1" x14ac:dyDescent="0.3">
      <c r="A5637" s="678"/>
    </row>
    <row r="5638" spans="1:1" x14ac:dyDescent="0.3">
      <c r="A5638" s="678"/>
    </row>
    <row r="5639" spans="1:1" x14ac:dyDescent="0.3">
      <c r="A5639" s="678"/>
    </row>
    <row r="5640" spans="1:1" x14ac:dyDescent="0.3">
      <c r="A5640" s="678"/>
    </row>
    <row r="5641" spans="1:1" x14ac:dyDescent="0.3">
      <c r="A5641" s="678"/>
    </row>
    <row r="5642" spans="1:1" x14ac:dyDescent="0.3">
      <c r="A5642" s="678"/>
    </row>
    <row r="5643" spans="1:1" x14ac:dyDescent="0.3">
      <c r="A5643" s="678"/>
    </row>
    <row r="5644" spans="1:1" x14ac:dyDescent="0.3">
      <c r="A5644" s="678"/>
    </row>
    <row r="5645" spans="1:1" x14ac:dyDescent="0.3">
      <c r="A5645" s="678"/>
    </row>
    <row r="5646" spans="1:1" x14ac:dyDescent="0.3">
      <c r="A5646" s="678"/>
    </row>
    <row r="5647" spans="1:1" x14ac:dyDescent="0.3">
      <c r="A5647" s="678"/>
    </row>
    <row r="5648" spans="1:1" x14ac:dyDescent="0.3">
      <c r="A5648" s="678"/>
    </row>
    <row r="5649" spans="1:1" x14ac:dyDescent="0.3">
      <c r="A5649" s="678"/>
    </row>
    <row r="5650" spans="1:1" x14ac:dyDescent="0.3">
      <c r="A5650" s="678"/>
    </row>
    <row r="5651" spans="1:1" x14ac:dyDescent="0.3">
      <c r="A5651" s="678"/>
    </row>
    <row r="5652" spans="1:1" x14ac:dyDescent="0.3">
      <c r="A5652" s="678"/>
    </row>
    <row r="5653" spans="1:1" x14ac:dyDescent="0.3">
      <c r="A5653" s="678"/>
    </row>
    <row r="5654" spans="1:1" x14ac:dyDescent="0.3">
      <c r="A5654" s="678"/>
    </row>
    <row r="5655" spans="1:1" x14ac:dyDescent="0.3">
      <c r="A5655" s="678"/>
    </row>
    <row r="5656" spans="1:1" x14ac:dyDescent="0.3">
      <c r="A5656" s="678"/>
    </row>
    <row r="5657" spans="1:1" x14ac:dyDescent="0.3">
      <c r="A5657" s="678"/>
    </row>
    <row r="5658" spans="1:1" x14ac:dyDescent="0.3">
      <c r="A5658" s="678"/>
    </row>
    <row r="5659" spans="1:1" x14ac:dyDescent="0.3">
      <c r="A5659" s="678"/>
    </row>
    <row r="5660" spans="1:1" x14ac:dyDescent="0.3">
      <c r="A5660" s="678"/>
    </row>
    <row r="5661" spans="1:1" x14ac:dyDescent="0.3">
      <c r="A5661" s="678"/>
    </row>
    <row r="5662" spans="1:1" x14ac:dyDescent="0.3">
      <c r="A5662" s="678"/>
    </row>
    <row r="5663" spans="1:1" x14ac:dyDescent="0.3">
      <c r="A5663" s="678"/>
    </row>
    <row r="5664" spans="1:1" x14ac:dyDescent="0.3">
      <c r="A5664" s="678"/>
    </row>
    <row r="5665" spans="1:1" x14ac:dyDescent="0.3">
      <c r="A5665" s="678"/>
    </row>
    <row r="5666" spans="1:1" x14ac:dyDescent="0.3">
      <c r="A5666" s="678"/>
    </row>
    <row r="5667" spans="1:1" x14ac:dyDescent="0.3">
      <c r="A5667" s="678"/>
    </row>
    <row r="5668" spans="1:1" x14ac:dyDescent="0.3">
      <c r="A5668" s="678"/>
    </row>
    <row r="5669" spans="1:1" x14ac:dyDescent="0.3">
      <c r="A5669" s="678"/>
    </row>
    <row r="5670" spans="1:1" x14ac:dyDescent="0.3">
      <c r="A5670" s="678"/>
    </row>
    <row r="5671" spans="1:1" x14ac:dyDescent="0.3">
      <c r="A5671" s="678"/>
    </row>
    <row r="5672" spans="1:1" x14ac:dyDescent="0.3">
      <c r="A5672" s="678"/>
    </row>
    <row r="5673" spans="1:1" x14ac:dyDescent="0.3">
      <c r="A5673" s="678"/>
    </row>
    <row r="5674" spans="1:1" x14ac:dyDescent="0.3">
      <c r="A5674" s="678"/>
    </row>
    <row r="5675" spans="1:1" x14ac:dyDescent="0.3">
      <c r="A5675" s="678"/>
    </row>
    <row r="5676" spans="1:1" x14ac:dyDescent="0.3">
      <c r="A5676" s="678"/>
    </row>
    <row r="5677" spans="1:1" x14ac:dyDescent="0.3">
      <c r="A5677" s="678"/>
    </row>
    <row r="5678" spans="1:1" x14ac:dyDescent="0.3">
      <c r="A5678" s="678"/>
    </row>
    <row r="5679" spans="1:1" x14ac:dyDescent="0.3">
      <c r="A5679" s="678"/>
    </row>
    <row r="5680" spans="1:1" x14ac:dyDescent="0.3">
      <c r="A5680" s="678"/>
    </row>
    <row r="5681" spans="1:1" x14ac:dyDescent="0.3">
      <c r="A5681" s="678"/>
    </row>
    <row r="5682" spans="1:1" x14ac:dyDescent="0.3">
      <c r="A5682" s="678"/>
    </row>
    <row r="5683" spans="1:1" x14ac:dyDescent="0.3">
      <c r="A5683" s="678"/>
    </row>
    <row r="5684" spans="1:1" x14ac:dyDescent="0.3">
      <c r="A5684" s="678"/>
    </row>
    <row r="5685" spans="1:1" x14ac:dyDescent="0.3">
      <c r="A5685" s="678"/>
    </row>
    <row r="5686" spans="1:1" x14ac:dyDescent="0.3">
      <c r="A5686" s="678"/>
    </row>
    <row r="5687" spans="1:1" x14ac:dyDescent="0.3">
      <c r="A5687" s="678"/>
    </row>
    <row r="5688" spans="1:1" x14ac:dyDescent="0.3">
      <c r="A5688" s="678"/>
    </row>
    <row r="5689" spans="1:1" x14ac:dyDescent="0.3">
      <c r="A5689" s="678"/>
    </row>
    <row r="5690" spans="1:1" x14ac:dyDescent="0.3">
      <c r="A5690" s="678"/>
    </row>
    <row r="5691" spans="1:1" x14ac:dyDescent="0.3">
      <c r="A5691" s="678"/>
    </row>
    <row r="5692" spans="1:1" x14ac:dyDescent="0.3">
      <c r="A5692" s="678"/>
    </row>
    <row r="5693" spans="1:1" x14ac:dyDescent="0.3">
      <c r="A5693" s="678"/>
    </row>
    <row r="5694" spans="1:1" x14ac:dyDescent="0.3">
      <c r="A5694" s="678"/>
    </row>
    <row r="5695" spans="1:1" x14ac:dyDescent="0.3">
      <c r="A5695" s="678"/>
    </row>
    <row r="5696" spans="1:1" x14ac:dyDescent="0.3">
      <c r="A5696" s="678"/>
    </row>
    <row r="5697" spans="1:1" x14ac:dyDescent="0.3">
      <c r="A5697" s="678"/>
    </row>
    <row r="5698" spans="1:1" x14ac:dyDescent="0.3">
      <c r="A5698" s="678"/>
    </row>
    <row r="5699" spans="1:1" x14ac:dyDescent="0.3">
      <c r="A5699" s="678"/>
    </row>
    <row r="5700" spans="1:1" x14ac:dyDescent="0.3">
      <c r="A5700" s="678"/>
    </row>
    <row r="5701" spans="1:1" x14ac:dyDescent="0.3">
      <c r="A5701" s="678"/>
    </row>
    <row r="5702" spans="1:1" x14ac:dyDescent="0.3">
      <c r="A5702" s="678"/>
    </row>
    <row r="5703" spans="1:1" x14ac:dyDescent="0.3">
      <c r="A5703" s="678"/>
    </row>
    <row r="5704" spans="1:1" x14ac:dyDescent="0.3">
      <c r="A5704" s="678"/>
    </row>
    <row r="5705" spans="1:1" x14ac:dyDescent="0.3">
      <c r="A5705" s="678"/>
    </row>
    <row r="5706" spans="1:1" x14ac:dyDescent="0.3">
      <c r="A5706" s="678"/>
    </row>
    <row r="5707" spans="1:1" x14ac:dyDescent="0.3">
      <c r="A5707" s="678"/>
    </row>
    <row r="5708" spans="1:1" x14ac:dyDescent="0.3">
      <c r="A5708" s="678"/>
    </row>
    <row r="5709" spans="1:1" x14ac:dyDescent="0.3">
      <c r="A5709" s="678"/>
    </row>
    <row r="5710" spans="1:1" x14ac:dyDescent="0.3">
      <c r="A5710" s="678"/>
    </row>
    <row r="5711" spans="1:1" x14ac:dyDescent="0.3">
      <c r="A5711" s="678"/>
    </row>
    <row r="5712" spans="1:1" x14ac:dyDescent="0.3">
      <c r="A5712" s="678"/>
    </row>
    <row r="5713" spans="1:1" x14ac:dyDescent="0.3">
      <c r="A5713" s="678"/>
    </row>
    <row r="5714" spans="1:1" x14ac:dyDescent="0.3">
      <c r="A5714" s="678"/>
    </row>
    <row r="5715" spans="1:1" x14ac:dyDescent="0.3">
      <c r="A5715" s="678"/>
    </row>
    <row r="5716" spans="1:1" x14ac:dyDescent="0.3">
      <c r="A5716" s="678"/>
    </row>
    <row r="5717" spans="1:1" x14ac:dyDescent="0.3">
      <c r="A5717" s="678"/>
    </row>
    <row r="5718" spans="1:1" x14ac:dyDescent="0.3">
      <c r="A5718" s="678"/>
    </row>
    <row r="5719" spans="1:1" x14ac:dyDescent="0.3">
      <c r="A5719" s="678"/>
    </row>
    <row r="5720" spans="1:1" x14ac:dyDescent="0.3">
      <c r="A5720" s="678"/>
    </row>
    <row r="5721" spans="1:1" x14ac:dyDescent="0.3">
      <c r="A5721" s="678"/>
    </row>
    <row r="5722" spans="1:1" x14ac:dyDescent="0.3">
      <c r="A5722" s="678"/>
    </row>
    <row r="5723" spans="1:1" x14ac:dyDescent="0.3">
      <c r="A5723" s="678"/>
    </row>
    <row r="5724" spans="1:1" x14ac:dyDescent="0.3">
      <c r="A5724" s="678"/>
    </row>
    <row r="5725" spans="1:1" x14ac:dyDescent="0.3">
      <c r="A5725" s="678"/>
    </row>
    <row r="5726" spans="1:1" x14ac:dyDescent="0.3">
      <c r="A5726" s="678"/>
    </row>
    <row r="5727" spans="1:1" x14ac:dyDescent="0.3">
      <c r="A5727" s="678"/>
    </row>
    <row r="5728" spans="1:1" x14ac:dyDescent="0.3">
      <c r="A5728" s="678"/>
    </row>
    <row r="5729" spans="1:1" x14ac:dyDescent="0.3">
      <c r="A5729" s="678"/>
    </row>
    <row r="5730" spans="1:1" x14ac:dyDescent="0.3">
      <c r="A5730" s="678"/>
    </row>
    <row r="5731" spans="1:1" x14ac:dyDescent="0.3">
      <c r="A5731" s="678"/>
    </row>
    <row r="5732" spans="1:1" x14ac:dyDescent="0.3">
      <c r="A5732" s="678"/>
    </row>
    <row r="5733" spans="1:1" x14ac:dyDescent="0.3">
      <c r="A5733" s="678"/>
    </row>
    <row r="5734" spans="1:1" x14ac:dyDescent="0.3">
      <c r="A5734" s="678"/>
    </row>
    <row r="5735" spans="1:1" x14ac:dyDescent="0.3">
      <c r="A5735" s="678"/>
    </row>
    <row r="5736" spans="1:1" x14ac:dyDescent="0.3">
      <c r="A5736" s="678"/>
    </row>
    <row r="5737" spans="1:1" x14ac:dyDescent="0.3">
      <c r="A5737" s="678"/>
    </row>
    <row r="5738" spans="1:1" x14ac:dyDescent="0.3">
      <c r="A5738" s="678"/>
    </row>
    <row r="5739" spans="1:1" x14ac:dyDescent="0.3">
      <c r="A5739" s="678"/>
    </row>
    <row r="5740" spans="1:1" x14ac:dyDescent="0.3">
      <c r="A5740" s="678"/>
    </row>
    <row r="5741" spans="1:1" x14ac:dyDescent="0.3">
      <c r="A5741" s="678"/>
    </row>
    <row r="5742" spans="1:1" x14ac:dyDescent="0.3">
      <c r="A5742" s="678"/>
    </row>
    <row r="5743" spans="1:1" x14ac:dyDescent="0.3">
      <c r="A5743" s="678"/>
    </row>
    <row r="5744" spans="1:1" x14ac:dyDescent="0.3">
      <c r="A5744" s="678"/>
    </row>
    <row r="5745" spans="1:1" x14ac:dyDescent="0.3">
      <c r="A5745" s="678"/>
    </row>
    <row r="5746" spans="1:1" x14ac:dyDescent="0.3">
      <c r="A5746" s="678"/>
    </row>
    <row r="5747" spans="1:1" x14ac:dyDescent="0.3">
      <c r="A5747" s="678"/>
    </row>
    <row r="5748" spans="1:1" x14ac:dyDescent="0.3">
      <c r="A5748" s="678"/>
    </row>
    <row r="5749" spans="1:1" x14ac:dyDescent="0.3">
      <c r="A5749" s="678"/>
    </row>
    <row r="5750" spans="1:1" x14ac:dyDescent="0.3">
      <c r="A5750" s="678"/>
    </row>
    <row r="5751" spans="1:1" x14ac:dyDescent="0.3">
      <c r="A5751" s="678"/>
    </row>
    <row r="5752" spans="1:1" x14ac:dyDescent="0.3">
      <c r="A5752" s="678"/>
    </row>
    <row r="5753" spans="1:1" x14ac:dyDescent="0.3">
      <c r="A5753" s="678"/>
    </row>
    <row r="5754" spans="1:1" x14ac:dyDescent="0.3">
      <c r="A5754" s="678"/>
    </row>
    <row r="5755" spans="1:1" x14ac:dyDescent="0.3">
      <c r="A5755" s="678"/>
    </row>
    <row r="5756" spans="1:1" x14ac:dyDescent="0.3">
      <c r="A5756" s="678"/>
    </row>
    <row r="5757" spans="1:1" x14ac:dyDescent="0.3">
      <c r="A5757" s="678"/>
    </row>
    <row r="5758" spans="1:1" x14ac:dyDescent="0.3">
      <c r="A5758" s="678"/>
    </row>
    <row r="5759" spans="1:1" x14ac:dyDescent="0.3">
      <c r="A5759" s="678"/>
    </row>
    <row r="5760" spans="1:1" x14ac:dyDescent="0.3">
      <c r="A5760" s="678"/>
    </row>
    <row r="5761" spans="1:1" x14ac:dyDescent="0.3">
      <c r="A5761" s="678"/>
    </row>
    <row r="5762" spans="1:1" x14ac:dyDescent="0.3">
      <c r="A5762" s="678"/>
    </row>
    <row r="5763" spans="1:1" x14ac:dyDescent="0.3">
      <c r="A5763" s="678"/>
    </row>
    <row r="5764" spans="1:1" x14ac:dyDescent="0.3">
      <c r="A5764" s="678"/>
    </row>
    <row r="5765" spans="1:1" x14ac:dyDescent="0.3">
      <c r="A5765" s="678"/>
    </row>
    <row r="5766" spans="1:1" x14ac:dyDescent="0.3">
      <c r="A5766" s="678"/>
    </row>
    <row r="5767" spans="1:1" x14ac:dyDescent="0.3">
      <c r="A5767" s="678"/>
    </row>
    <row r="5768" spans="1:1" x14ac:dyDescent="0.3">
      <c r="A5768" s="678"/>
    </row>
    <row r="5769" spans="1:1" x14ac:dyDescent="0.3">
      <c r="A5769" s="678"/>
    </row>
    <row r="5770" spans="1:1" x14ac:dyDescent="0.3">
      <c r="A5770" s="678"/>
    </row>
    <row r="5771" spans="1:1" x14ac:dyDescent="0.3">
      <c r="A5771" s="678"/>
    </row>
    <row r="5772" spans="1:1" x14ac:dyDescent="0.3">
      <c r="A5772" s="678"/>
    </row>
    <row r="5773" spans="1:1" x14ac:dyDescent="0.3">
      <c r="A5773" s="678"/>
    </row>
    <row r="5774" spans="1:1" x14ac:dyDescent="0.3">
      <c r="A5774" s="678"/>
    </row>
    <row r="5775" spans="1:1" x14ac:dyDescent="0.3">
      <c r="A5775" s="678"/>
    </row>
    <row r="5776" spans="1:1" x14ac:dyDescent="0.3">
      <c r="A5776" s="678"/>
    </row>
    <row r="5777" spans="1:1" x14ac:dyDescent="0.3">
      <c r="A5777" s="678"/>
    </row>
    <row r="5778" spans="1:1" x14ac:dyDescent="0.3">
      <c r="A5778" s="678"/>
    </row>
    <row r="5779" spans="1:1" x14ac:dyDescent="0.3">
      <c r="A5779" s="678"/>
    </row>
    <row r="5780" spans="1:1" x14ac:dyDescent="0.3">
      <c r="A5780" s="678"/>
    </row>
    <row r="5781" spans="1:1" x14ac:dyDescent="0.3">
      <c r="A5781" s="678"/>
    </row>
    <row r="5782" spans="1:1" x14ac:dyDescent="0.3">
      <c r="A5782" s="678"/>
    </row>
    <row r="5783" spans="1:1" x14ac:dyDescent="0.3">
      <c r="A5783" s="678"/>
    </row>
    <row r="5784" spans="1:1" x14ac:dyDescent="0.3">
      <c r="A5784" s="678"/>
    </row>
    <row r="5785" spans="1:1" x14ac:dyDescent="0.3">
      <c r="A5785" s="678"/>
    </row>
    <row r="5786" spans="1:1" x14ac:dyDescent="0.3">
      <c r="A5786" s="678"/>
    </row>
    <row r="5787" spans="1:1" x14ac:dyDescent="0.3">
      <c r="A5787" s="678"/>
    </row>
    <row r="5788" spans="1:1" x14ac:dyDescent="0.3">
      <c r="A5788" s="678"/>
    </row>
    <row r="5789" spans="1:1" x14ac:dyDescent="0.3">
      <c r="A5789" s="678"/>
    </row>
    <row r="5790" spans="1:1" x14ac:dyDescent="0.3">
      <c r="A5790" s="678"/>
    </row>
    <row r="5791" spans="1:1" x14ac:dyDescent="0.3">
      <c r="A5791" s="678"/>
    </row>
    <row r="5792" spans="1:1" x14ac:dyDescent="0.3">
      <c r="A5792" s="678"/>
    </row>
    <row r="5793" spans="1:1" x14ac:dyDescent="0.3">
      <c r="A5793" s="678"/>
    </row>
    <row r="5794" spans="1:1" x14ac:dyDescent="0.3">
      <c r="A5794" s="678"/>
    </row>
    <row r="5795" spans="1:1" x14ac:dyDescent="0.3">
      <c r="A5795" s="678"/>
    </row>
    <row r="5796" spans="1:1" x14ac:dyDescent="0.3">
      <c r="A5796" s="678"/>
    </row>
    <row r="5797" spans="1:1" x14ac:dyDescent="0.3">
      <c r="A5797" s="678"/>
    </row>
    <row r="5798" spans="1:1" x14ac:dyDescent="0.3">
      <c r="A5798" s="678"/>
    </row>
    <row r="5799" spans="1:1" x14ac:dyDescent="0.3">
      <c r="A5799" s="678"/>
    </row>
    <row r="5800" spans="1:1" x14ac:dyDescent="0.3">
      <c r="A5800" s="678"/>
    </row>
    <row r="5801" spans="1:1" x14ac:dyDescent="0.3">
      <c r="A5801" s="678"/>
    </row>
    <row r="5802" spans="1:1" x14ac:dyDescent="0.3">
      <c r="A5802" s="678"/>
    </row>
    <row r="5803" spans="1:1" x14ac:dyDescent="0.3">
      <c r="A5803" s="678"/>
    </row>
    <row r="5804" spans="1:1" x14ac:dyDescent="0.3">
      <c r="A5804" s="678"/>
    </row>
    <row r="5805" spans="1:1" x14ac:dyDescent="0.3">
      <c r="A5805" s="678"/>
    </row>
    <row r="5806" spans="1:1" x14ac:dyDescent="0.3">
      <c r="A5806" s="678"/>
    </row>
    <row r="5807" spans="1:1" x14ac:dyDescent="0.3">
      <c r="A5807" s="678"/>
    </row>
    <row r="5808" spans="1:1" x14ac:dyDescent="0.3">
      <c r="A5808" s="678"/>
    </row>
    <row r="5809" spans="1:1" x14ac:dyDescent="0.3">
      <c r="A5809" s="678"/>
    </row>
    <row r="5810" spans="1:1" x14ac:dyDescent="0.3">
      <c r="A5810" s="678"/>
    </row>
    <row r="5811" spans="1:1" x14ac:dyDescent="0.3">
      <c r="A5811" s="678"/>
    </row>
    <row r="5812" spans="1:1" x14ac:dyDescent="0.3">
      <c r="A5812" s="678"/>
    </row>
    <row r="5813" spans="1:1" x14ac:dyDescent="0.3">
      <c r="A5813" s="678"/>
    </row>
    <row r="5814" spans="1:1" x14ac:dyDescent="0.3">
      <c r="A5814" s="678"/>
    </row>
    <row r="5815" spans="1:1" x14ac:dyDescent="0.3">
      <c r="A5815" s="678"/>
    </row>
    <row r="5816" spans="1:1" x14ac:dyDescent="0.3">
      <c r="A5816" s="678"/>
    </row>
    <row r="5817" spans="1:1" x14ac:dyDescent="0.3">
      <c r="A5817" s="678"/>
    </row>
    <row r="5818" spans="1:1" x14ac:dyDescent="0.3">
      <c r="A5818" s="678"/>
    </row>
    <row r="5819" spans="1:1" x14ac:dyDescent="0.3">
      <c r="A5819" s="678"/>
    </row>
    <row r="5820" spans="1:1" x14ac:dyDescent="0.3">
      <c r="A5820" s="678"/>
    </row>
    <row r="5821" spans="1:1" x14ac:dyDescent="0.3">
      <c r="A5821" s="678"/>
    </row>
    <row r="5822" spans="1:1" x14ac:dyDescent="0.3">
      <c r="A5822" s="678"/>
    </row>
    <row r="5823" spans="1:1" x14ac:dyDescent="0.3">
      <c r="A5823" s="678"/>
    </row>
    <row r="5824" spans="1:1" x14ac:dyDescent="0.3">
      <c r="A5824" s="678"/>
    </row>
    <row r="5825" spans="1:1" x14ac:dyDescent="0.3">
      <c r="A5825" s="678"/>
    </row>
    <row r="5826" spans="1:1" x14ac:dyDescent="0.3">
      <c r="A5826" s="678"/>
    </row>
    <row r="5827" spans="1:1" x14ac:dyDescent="0.3">
      <c r="A5827" s="678"/>
    </row>
    <row r="5828" spans="1:1" x14ac:dyDescent="0.3">
      <c r="A5828" s="678"/>
    </row>
    <row r="5829" spans="1:1" x14ac:dyDescent="0.3">
      <c r="A5829" s="678"/>
    </row>
    <row r="5830" spans="1:1" x14ac:dyDescent="0.3">
      <c r="A5830" s="678"/>
    </row>
    <row r="5831" spans="1:1" x14ac:dyDescent="0.3">
      <c r="A5831" s="678"/>
    </row>
    <row r="5832" spans="1:1" x14ac:dyDescent="0.3">
      <c r="A5832" s="678"/>
    </row>
    <row r="5833" spans="1:1" x14ac:dyDescent="0.3">
      <c r="A5833" s="678"/>
    </row>
    <row r="5834" spans="1:1" x14ac:dyDescent="0.3">
      <c r="A5834" s="678"/>
    </row>
    <row r="5835" spans="1:1" x14ac:dyDescent="0.3">
      <c r="A5835" s="678"/>
    </row>
    <row r="5836" spans="1:1" x14ac:dyDescent="0.3">
      <c r="A5836" s="678"/>
    </row>
    <row r="5837" spans="1:1" x14ac:dyDescent="0.3">
      <c r="A5837" s="678"/>
    </row>
    <row r="5838" spans="1:1" x14ac:dyDescent="0.3">
      <c r="A5838" s="678"/>
    </row>
    <row r="5839" spans="1:1" x14ac:dyDescent="0.3">
      <c r="A5839" s="678"/>
    </row>
    <row r="5840" spans="1:1" x14ac:dyDescent="0.3">
      <c r="A5840" s="678"/>
    </row>
    <row r="5841" spans="1:1" x14ac:dyDescent="0.3">
      <c r="A5841" s="678"/>
    </row>
    <row r="5842" spans="1:1" x14ac:dyDescent="0.3">
      <c r="A5842" s="678"/>
    </row>
    <row r="5843" spans="1:1" x14ac:dyDescent="0.3">
      <c r="A5843" s="678"/>
    </row>
    <row r="5844" spans="1:1" x14ac:dyDescent="0.3">
      <c r="A5844" s="678"/>
    </row>
    <row r="5845" spans="1:1" x14ac:dyDescent="0.3">
      <c r="A5845" s="678"/>
    </row>
    <row r="5846" spans="1:1" x14ac:dyDescent="0.3">
      <c r="A5846" s="678"/>
    </row>
    <row r="5847" spans="1:1" x14ac:dyDescent="0.3">
      <c r="A5847" s="678"/>
    </row>
    <row r="5848" spans="1:1" x14ac:dyDescent="0.3">
      <c r="A5848" s="678"/>
    </row>
    <row r="5849" spans="1:1" x14ac:dyDescent="0.3">
      <c r="A5849" s="678"/>
    </row>
    <row r="5850" spans="1:1" x14ac:dyDescent="0.3">
      <c r="A5850" s="678"/>
    </row>
    <row r="5851" spans="1:1" x14ac:dyDescent="0.3">
      <c r="A5851" s="678"/>
    </row>
    <row r="5852" spans="1:1" x14ac:dyDescent="0.3">
      <c r="A5852" s="678"/>
    </row>
    <row r="5853" spans="1:1" x14ac:dyDescent="0.3">
      <c r="A5853" s="678"/>
    </row>
    <row r="5854" spans="1:1" x14ac:dyDescent="0.3">
      <c r="A5854" s="678"/>
    </row>
    <row r="5855" spans="1:1" x14ac:dyDescent="0.3">
      <c r="A5855" s="678"/>
    </row>
    <row r="5856" spans="1:1" x14ac:dyDescent="0.3">
      <c r="A5856" s="678"/>
    </row>
    <row r="5857" spans="1:1" x14ac:dyDescent="0.3">
      <c r="A5857" s="678"/>
    </row>
    <row r="5858" spans="1:1" x14ac:dyDescent="0.3">
      <c r="A5858" s="678"/>
    </row>
    <row r="5859" spans="1:1" x14ac:dyDescent="0.3">
      <c r="A5859" s="678"/>
    </row>
    <row r="5860" spans="1:1" x14ac:dyDescent="0.3">
      <c r="A5860" s="678"/>
    </row>
    <row r="5861" spans="1:1" x14ac:dyDescent="0.3">
      <c r="A5861" s="678"/>
    </row>
    <row r="5862" spans="1:1" x14ac:dyDescent="0.3">
      <c r="A5862" s="678"/>
    </row>
    <row r="5863" spans="1:1" x14ac:dyDescent="0.3">
      <c r="A5863" s="678"/>
    </row>
    <row r="5864" spans="1:1" x14ac:dyDescent="0.3">
      <c r="A5864" s="678"/>
    </row>
    <row r="5865" spans="1:1" x14ac:dyDescent="0.3">
      <c r="A5865" s="678"/>
    </row>
    <row r="5866" spans="1:1" x14ac:dyDescent="0.3">
      <c r="A5866" s="678"/>
    </row>
    <row r="5867" spans="1:1" x14ac:dyDescent="0.3">
      <c r="A5867" s="678"/>
    </row>
    <row r="5868" spans="1:1" x14ac:dyDescent="0.3">
      <c r="A5868" s="678"/>
    </row>
    <row r="5869" spans="1:1" x14ac:dyDescent="0.3">
      <c r="A5869" s="678"/>
    </row>
    <row r="5870" spans="1:1" x14ac:dyDescent="0.3">
      <c r="A5870" s="678"/>
    </row>
    <row r="5871" spans="1:1" x14ac:dyDescent="0.3">
      <c r="A5871" s="678"/>
    </row>
    <row r="5872" spans="1:1" x14ac:dyDescent="0.3">
      <c r="A5872" s="678"/>
    </row>
    <row r="5873" spans="1:1" x14ac:dyDescent="0.3">
      <c r="A5873" s="678"/>
    </row>
    <row r="5874" spans="1:1" x14ac:dyDescent="0.3">
      <c r="A5874" s="678"/>
    </row>
    <row r="5875" spans="1:1" x14ac:dyDescent="0.3">
      <c r="A5875" s="678"/>
    </row>
    <row r="5876" spans="1:1" x14ac:dyDescent="0.3">
      <c r="A5876" s="678"/>
    </row>
    <row r="5877" spans="1:1" x14ac:dyDescent="0.3">
      <c r="A5877" s="678"/>
    </row>
    <row r="5878" spans="1:1" x14ac:dyDescent="0.3">
      <c r="A5878" s="678"/>
    </row>
    <row r="5879" spans="1:1" x14ac:dyDescent="0.3">
      <c r="A5879" s="678"/>
    </row>
    <row r="5880" spans="1:1" x14ac:dyDescent="0.3">
      <c r="A5880" s="678"/>
    </row>
    <row r="5881" spans="1:1" x14ac:dyDescent="0.3">
      <c r="A5881" s="678"/>
    </row>
    <row r="5882" spans="1:1" x14ac:dyDescent="0.3">
      <c r="A5882" s="678"/>
    </row>
    <row r="5883" spans="1:1" x14ac:dyDescent="0.3">
      <c r="A5883" s="678"/>
    </row>
    <row r="5884" spans="1:1" x14ac:dyDescent="0.3">
      <c r="A5884" s="678"/>
    </row>
    <row r="5885" spans="1:1" x14ac:dyDescent="0.3">
      <c r="A5885" s="678"/>
    </row>
    <row r="5886" spans="1:1" x14ac:dyDescent="0.3">
      <c r="A5886" s="678"/>
    </row>
    <row r="5887" spans="1:1" x14ac:dyDescent="0.3">
      <c r="A5887" s="678"/>
    </row>
    <row r="5888" spans="1:1" x14ac:dyDescent="0.3">
      <c r="A5888" s="678"/>
    </row>
    <row r="5889" spans="1:1" x14ac:dyDescent="0.3">
      <c r="A5889" s="678"/>
    </row>
    <row r="5890" spans="1:1" x14ac:dyDescent="0.3">
      <c r="A5890" s="678"/>
    </row>
    <row r="5891" spans="1:1" x14ac:dyDescent="0.3">
      <c r="A5891" s="678"/>
    </row>
    <row r="5892" spans="1:1" x14ac:dyDescent="0.3">
      <c r="A5892" s="678"/>
    </row>
    <row r="5893" spans="1:1" x14ac:dyDescent="0.3">
      <c r="A5893" s="678"/>
    </row>
    <row r="5894" spans="1:1" x14ac:dyDescent="0.3">
      <c r="A5894" s="678"/>
    </row>
    <row r="5895" spans="1:1" x14ac:dyDescent="0.3">
      <c r="A5895" s="678"/>
    </row>
    <row r="5896" spans="1:1" x14ac:dyDescent="0.3">
      <c r="A5896" s="678"/>
    </row>
    <row r="5897" spans="1:1" x14ac:dyDescent="0.3">
      <c r="A5897" s="678"/>
    </row>
    <row r="5898" spans="1:1" x14ac:dyDescent="0.3">
      <c r="A5898" s="678"/>
    </row>
    <row r="5899" spans="1:1" x14ac:dyDescent="0.3">
      <c r="A5899" s="678"/>
    </row>
    <row r="5900" spans="1:1" x14ac:dyDescent="0.3">
      <c r="A5900" s="678"/>
    </row>
    <row r="5901" spans="1:1" x14ac:dyDescent="0.3">
      <c r="A5901" s="678"/>
    </row>
    <row r="5902" spans="1:1" x14ac:dyDescent="0.3">
      <c r="A5902" s="678"/>
    </row>
    <row r="5903" spans="1:1" x14ac:dyDescent="0.3">
      <c r="A5903" s="678"/>
    </row>
    <row r="5904" spans="1:1" x14ac:dyDescent="0.3">
      <c r="A5904" s="678"/>
    </row>
    <row r="5905" spans="1:1" x14ac:dyDescent="0.3">
      <c r="A5905" s="678"/>
    </row>
    <row r="5906" spans="1:1" x14ac:dyDescent="0.3">
      <c r="A5906" s="678"/>
    </row>
    <row r="5907" spans="1:1" x14ac:dyDescent="0.3">
      <c r="A5907" s="678"/>
    </row>
    <row r="5908" spans="1:1" x14ac:dyDescent="0.3">
      <c r="A5908" s="678"/>
    </row>
    <row r="5909" spans="1:1" x14ac:dyDescent="0.3">
      <c r="A5909" s="678"/>
    </row>
    <row r="5910" spans="1:1" x14ac:dyDescent="0.3">
      <c r="A5910" s="678"/>
    </row>
    <row r="5911" spans="1:1" x14ac:dyDescent="0.3">
      <c r="A5911" s="678"/>
    </row>
    <row r="5912" spans="1:1" x14ac:dyDescent="0.3">
      <c r="A5912" s="678"/>
    </row>
    <row r="5913" spans="1:1" x14ac:dyDescent="0.3">
      <c r="A5913" s="678"/>
    </row>
    <row r="5914" spans="1:1" x14ac:dyDescent="0.3">
      <c r="A5914" s="678"/>
    </row>
    <row r="5915" spans="1:1" x14ac:dyDescent="0.3">
      <c r="A5915" s="678"/>
    </row>
    <row r="5916" spans="1:1" x14ac:dyDescent="0.3">
      <c r="A5916" s="678"/>
    </row>
    <row r="5917" spans="1:1" x14ac:dyDescent="0.3">
      <c r="A5917" s="678"/>
    </row>
    <row r="5918" spans="1:1" x14ac:dyDescent="0.3">
      <c r="A5918" s="678"/>
    </row>
    <row r="5919" spans="1:1" x14ac:dyDescent="0.3">
      <c r="A5919" s="678"/>
    </row>
    <row r="5920" spans="1:1" x14ac:dyDescent="0.3">
      <c r="A5920" s="678"/>
    </row>
    <row r="5921" spans="1:1" x14ac:dyDescent="0.3">
      <c r="A5921" s="678"/>
    </row>
    <row r="5922" spans="1:1" x14ac:dyDescent="0.3">
      <c r="A5922" s="678"/>
    </row>
    <row r="5923" spans="1:1" x14ac:dyDescent="0.3">
      <c r="A5923" s="678"/>
    </row>
    <row r="5924" spans="1:1" x14ac:dyDescent="0.3">
      <c r="A5924" s="678"/>
    </row>
    <row r="5925" spans="1:1" x14ac:dyDescent="0.3">
      <c r="A5925" s="678"/>
    </row>
    <row r="5926" spans="1:1" x14ac:dyDescent="0.3">
      <c r="A5926" s="678"/>
    </row>
    <row r="5927" spans="1:1" x14ac:dyDescent="0.3">
      <c r="A5927" s="678"/>
    </row>
    <row r="5928" spans="1:1" x14ac:dyDescent="0.3">
      <c r="A5928" s="678"/>
    </row>
    <row r="5929" spans="1:1" x14ac:dyDescent="0.3">
      <c r="A5929" s="678"/>
    </row>
    <row r="5930" spans="1:1" x14ac:dyDescent="0.3">
      <c r="A5930" s="678"/>
    </row>
    <row r="5931" spans="1:1" x14ac:dyDescent="0.3">
      <c r="A5931" s="678"/>
    </row>
    <row r="5932" spans="1:1" x14ac:dyDescent="0.3">
      <c r="A5932" s="678"/>
    </row>
    <row r="5933" spans="1:1" x14ac:dyDescent="0.3">
      <c r="A5933" s="678"/>
    </row>
    <row r="5934" spans="1:1" x14ac:dyDescent="0.3">
      <c r="A5934" s="678"/>
    </row>
    <row r="5935" spans="1:1" x14ac:dyDescent="0.3">
      <c r="A5935" s="678"/>
    </row>
    <row r="5936" spans="1:1" x14ac:dyDescent="0.3">
      <c r="A5936" s="678"/>
    </row>
    <row r="5937" spans="1:1" x14ac:dyDescent="0.3">
      <c r="A5937" s="678"/>
    </row>
    <row r="5938" spans="1:1" x14ac:dyDescent="0.3">
      <c r="A5938" s="678"/>
    </row>
    <row r="5939" spans="1:1" x14ac:dyDescent="0.3">
      <c r="A5939" s="678"/>
    </row>
    <row r="5940" spans="1:1" x14ac:dyDescent="0.3">
      <c r="A5940" s="678"/>
    </row>
    <row r="5941" spans="1:1" x14ac:dyDescent="0.3">
      <c r="A5941" s="678"/>
    </row>
    <row r="5942" spans="1:1" x14ac:dyDescent="0.3">
      <c r="A5942" s="678"/>
    </row>
    <row r="5943" spans="1:1" x14ac:dyDescent="0.3">
      <c r="A5943" s="678"/>
    </row>
    <row r="5944" spans="1:1" x14ac:dyDescent="0.3">
      <c r="A5944" s="678"/>
    </row>
    <row r="5945" spans="1:1" x14ac:dyDescent="0.3">
      <c r="A5945" s="678"/>
    </row>
    <row r="5946" spans="1:1" x14ac:dyDescent="0.3">
      <c r="A5946" s="678"/>
    </row>
    <row r="5947" spans="1:1" x14ac:dyDescent="0.3">
      <c r="A5947" s="678"/>
    </row>
    <row r="5948" spans="1:1" x14ac:dyDescent="0.3">
      <c r="A5948" s="678"/>
    </row>
    <row r="5949" spans="1:1" x14ac:dyDescent="0.3">
      <c r="A5949" s="678"/>
    </row>
    <row r="5950" spans="1:1" x14ac:dyDescent="0.3">
      <c r="A5950" s="678"/>
    </row>
    <row r="5951" spans="1:1" x14ac:dyDescent="0.3">
      <c r="A5951" s="678"/>
    </row>
    <row r="5952" spans="1:1" x14ac:dyDescent="0.3">
      <c r="A5952" s="678"/>
    </row>
    <row r="5953" spans="1:1" x14ac:dyDescent="0.3">
      <c r="A5953" s="678"/>
    </row>
    <row r="5954" spans="1:1" x14ac:dyDescent="0.3">
      <c r="A5954" s="678"/>
    </row>
    <row r="5955" spans="1:1" x14ac:dyDescent="0.3">
      <c r="A5955" s="678"/>
    </row>
    <row r="5956" spans="1:1" x14ac:dyDescent="0.3">
      <c r="A5956" s="678"/>
    </row>
    <row r="5957" spans="1:1" x14ac:dyDescent="0.3">
      <c r="A5957" s="678"/>
    </row>
    <row r="5958" spans="1:1" x14ac:dyDescent="0.3">
      <c r="A5958" s="678"/>
    </row>
    <row r="5959" spans="1:1" x14ac:dyDescent="0.3">
      <c r="A5959" s="678"/>
    </row>
    <row r="5960" spans="1:1" x14ac:dyDescent="0.3">
      <c r="A5960" s="678"/>
    </row>
    <row r="5961" spans="1:1" x14ac:dyDescent="0.3">
      <c r="A5961" s="678"/>
    </row>
    <row r="5962" spans="1:1" x14ac:dyDescent="0.3">
      <c r="A5962" s="678"/>
    </row>
    <row r="5963" spans="1:1" x14ac:dyDescent="0.3">
      <c r="A5963" s="678"/>
    </row>
    <row r="5964" spans="1:1" x14ac:dyDescent="0.3">
      <c r="A5964" s="678"/>
    </row>
    <row r="5965" spans="1:1" x14ac:dyDescent="0.3">
      <c r="A5965" s="678"/>
    </row>
    <row r="5966" spans="1:1" x14ac:dyDescent="0.3">
      <c r="A5966" s="678"/>
    </row>
    <row r="5967" spans="1:1" x14ac:dyDescent="0.3">
      <c r="A5967" s="678"/>
    </row>
    <row r="5968" spans="1:1" x14ac:dyDescent="0.3">
      <c r="A5968" s="678"/>
    </row>
    <row r="5969" spans="1:1" x14ac:dyDescent="0.3">
      <c r="A5969" s="678"/>
    </row>
    <row r="5970" spans="1:1" x14ac:dyDescent="0.3">
      <c r="A5970" s="678"/>
    </row>
    <row r="5971" spans="1:1" x14ac:dyDescent="0.3">
      <c r="A5971" s="678"/>
    </row>
    <row r="5972" spans="1:1" x14ac:dyDescent="0.3">
      <c r="A5972" s="678"/>
    </row>
    <row r="5973" spans="1:1" x14ac:dyDescent="0.3">
      <c r="A5973" s="678"/>
    </row>
    <row r="5974" spans="1:1" x14ac:dyDescent="0.3">
      <c r="A5974" s="678"/>
    </row>
    <row r="5975" spans="1:1" x14ac:dyDescent="0.3">
      <c r="A5975" s="678"/>
    </row>
    <row r="5976" spans="1:1" x14ac:dyDescent="0.3">
      <c r="A5976" s="678"/>
    </row>
    <row r="5977" spans="1:1" x14ac:dyDescent="0.3">
      <c r="A5977" s="678"/>
    </row>
    <row r="5978" spans="1:1" x14ac:dyDescent="0.3">
      <c r="A5978" s="678"/>
    </row>
    <row r="5979" spans="1:1" x14ac:dyDescent="0.3">
      <c r="A5979" s="678"/>
    </row>
    <row r="5980" spans="1:1" x14ac:dyDescent="0.3">
      <c r="A5980" s="678"/>
    </row>
    <row r="5981" spans="1:1" x14ac:dyDescent="0.3">
      <c r="A5981" s="678"/>
    </row>
    <row r="5982" spans="1:1" x14ac:dyDescent="0.3">
      <c r="A5982" s="678"/>
    </row>
    <row r="5983" spans="1:1" x14ac:dyDescent="0.3">
      <c r="A5983" s="678"/>
    </row>
    <row r="5984" spans="1:1" x14ac:dyDescent="0.3">
      <c r="A5984" s="678"/>
    </row>
    <row r="5985" spans="1:1" x14ac:dyDescent="0.3">
      <c r="A5985" s="678"/>
    </row>
    <row r="5986" spans="1:1" x14ac:dyDescent="0.3">
      <c r="A5986" s="678"/>
    </row>
    <row r="5987" spans="1:1" x14ac:dyDescent="0.3">
      <c r="A5987" s="678"/>
    </row>
    <row r="5988" spans="1:1" x14ac:dyDescent="0.3">
      <c r="A5988" s="678"/>
    </row>
    <row r="5989" spans="1:1" x14ac:dyDescent="0.3">
      <c r="A5989" s="678"/>
    </row>
    <row r="5990" spans="1:1" x14ac:dyDescent="0.3">
      <c r="A5990" s="678"/>
    </row>
    <row r="5991" spans="1:1" x14ac:dyDescent="0.3">
      <c r="A5991" s="678"/>
    </row>
    <row r="5992" spans="1:1" x14ac:dyDescent="0.3">
      <c r="A5992" s="678"/>
    </row>
    <row r="5993" spans="1:1" x14ac:dyDescent="0.3">
      <c r="A5993" s="678"/>
    </row>
    <row r="5994" spans="1:1" x14ac:dyDescent="0.3">
      <c r="A5994" s="678"/>
    </row>
    <row r="5995" spans="1:1" x14ac:dyDescent="0.3">
      <c r="A5995" s="678"/>
    </row>
    <row r="5996" spans="1:1" x14ac:dyDescent="0.3">
      <c r="A5996" s="678"/>
    </row>
    <row r="5997" spans="1:1" x14ac:dyDescent="0.3">
      <c r="A5997" s="678"/>
    </row>
    <row r="5998" spans="1:1" x14ac:dyDescent="0.3">
      <c r="A5998" s="678"/>
    </row>
    <row r="5999" spans="1:1" x14ac:dyDescent="0.3">
      <c r="A5999" s="678"/>
    </row>
    <row r="6000" spans="1:1" x14ac:dyDescent="0.3">
      <c r="A6000" s="678"/>
    </row>
    <row r="6001" spans="1:1" x14ac:dyDescent="0.3">
      <c r="A6001" s="678"/>
    </row>
    <row r="6002" spans="1:1" x14ac:dyDescent="0.3">
      <c r="A6002" s="678"/>
    </row>
    <row r="6003" spans="1:1" x14ac:dyDescent="0.3">
      <c r="A6003" s="678"/>
    </row>
    <row r="6004" spans="1:1" x14ac:dyDescent="0.3">
      <c r="A6004" s="678"/>
    </row>
    <row r="6005" spans="1:1" x14ac:dyDescent="0.3">
      <c r="A6005" s="678"/>
    </row>
    <row r="6006" spans="1:1" x14ac:dyDescent="0.3">
      <c r="A6006" s="678"/>
    </row>
    <row r="6007" spans="1:1" x14ac:dyDescent="0.3">
      <c r="A6007" s="678"/>
    </row>
    <row r="6008" spans="1:1" x14ac:dyDescent="0.3">
      <c r="A6008" s="678"/>
    </row>
    <row r="6009" spans="1:1" x14ac:dyDescent="0.3">
      <c r="A6009" s="678"/>
    </row>
    <row r="6010" spans="1:1" x14ac:dyDescent="0.3">
      <c r="A6010" s="678"/>
    </row>
    <row r="6011" spans="1:1" x14ac:dyDescent="0.3">
      <c r="A6011" s="678"/>
    </row>
    <row r="6012" spans="1:1" x14ac:dyDescent="0.3">
      <c r="A6012" s="678"/>
    </row>
    <row r="6013" spans="1:1" x14ac:dyDescent="0.3">
      <c r="A6013" s="678"/>
    </row>
    <row r="6014" spans="1:1" x14ac:dyDescent="0.3">
      <c r="A6014" s="678"/>
    </row>
    <row r="6015" spans="1:1" x14ac:dyDescent="0.3">
      <c r="A6015" s="678"/>
    </row>
    <row r="6016" spans="1:1" x14ac:dyDescent="0.3">
      <c r="A6016" s="678"/>
    </row>
    <row r="6017" spans="1:1" x14ac:dyDescent="0.3">
      <c r="A6017" s="678"/>
    </row>
    <row r="6018" spans="1:1" x14ac:dyDescent="0.3">
      <c r="A6018" s="678"/>
    </row>
    <row r="6019" spans="1:1" x14ac:dyDescent="0.3">
      <c r="A6019" s="678"/>
    </row>
    <row r="6020" spans="1:1" x14ac:dyDescent="0.3">
      <c r="A6020" s="678"/>
    </row>
    <row r="6021" spans="1:1" x14ac:dyDescent="0.3">
      <c r="A6021" s="678"/>
    </row>
    <row r="6022" spans="1:1" x14ac:dyDescent="0.3">
      <c r="A6022" s="678"/>
    </row>
    <row r="6023" spans="1:1" x14ac:dyDescent="0.3">
      <c r="A6023" s="678"/>
    </row>
    <row r="6024" spans="1:1" x14ac:dyDescent="0.3">
      <c r="A6024" s="678"/>
    </row>
    <row r="6025" spans="1:1" x14ac:dyDescent="0.3">
      <c r="A6025" s="678"/>
    </row>
    <row r="6026" spans="1:1" x14ac:dyDescent="0.3">
      <c r="A6026" s="678"/>
    </row>
    <row r="6027" spans="1:1" x14ac:dyDescent="0.3">
      <c r="A6027" s="678"/>
    </row>
    <row r="6028" spans="1:1" x14ac:dyDescent="0.3">
      <c r="A6028" s="678"/>
    </row>
    <row r="6029" spans="1:1" x14ac:dyDescent="0.3">
      <c r="A6029" s="678"/>
    </row>
    <row r="6030" spans="1:1" x14ac:dyDescent="0.3">
      <c r="A6030" s="678"/>
    </row>
    <row r="6031" spans="1:1" x14ac:dyDescent="0.3">
      <c r="A6031" s="678"/>
    </row>
    <row r="6032" spans="1:1" x14ac:dyDescent="0.3">
      <c r="A6032" s="678"/>
    </row>
    <row r="6033" spans="1:1" x14ac:dyDescent="0.3">
      <c r="A6033" s="678"/>
    </row>
    <row r="6034" spans="1:1" x14ac:dyDescent="0.3">
      <c r="A6034" s="678"/>
    </row>
    <row r="6035" spans="1:1" x14ac:dyDescent="0.3">
      <c r="A6035" s="678"/>
    </row>
    <row r="6036" spans="1:1" x14ac:dyDescent="0.3">
      <c r="A6036" s="678"/>
    </row>
    <row r="6037" spans="1:1" x14ac:dyDescent="0.3">
      <c r="A6037" s="678"/>
    </row>
    <row r="6038" spans="1:1" x14ac:dyDescent="0.3">
      <c r="A6038" s="678"/>
    </row>
    <row r="6039" spans="1:1" x14ac:dyDescent="0.3">
      <c r="A6039" s="678"/>
    </row>
    <row r="6040" spans="1:1" x14ac:dyDescent="0.3">
      <c r="A6040" s="678"/>
    </row>
    <row r="6041" spans="1:1" x14ac:dyDescent="0.3">
      <c r="A6041" s="678"/>
    </row>
    <row r="6042" spans="1:1" x14ac:dyDescent="0.3">
      <c r="A6042" s="678"/>
    </row>
    <row r="6043" spans="1:1" x14ac:dyDescent="0.3">
      <c r="A6043" s="678"/>
    </row>
    <row r="6044" spans="1:1" x14ac:dyDescent="0.3">
      <c r="A6044" s="678"/>
    </row>
    <row r="6045" spans="1:1" x14ac:dyDescent="0.3">
      <c r="A6045" s="678"/>
    </row>
    <row r="6046" spans="1:1" x14ac:dyDescent="0.3">
      <c r="A6046" s="678"/>
    </row>
    <row r="6047" spans="1:1" x14ac:dyDescent="0.3">
      <c r="A6047" s="678"/>
    </row>
    <row r="6048" spans="1:1" x14ac:dyDescent="0.3">
      <c r="A6048" s="678"/>
    </row>
    <row r="6049" spans="1:1" x14ac:dyDescent="0.3">
      <c r="A6049" s="678"/>
    </row>
    <row r="6050" spans="1:1" x14ac:dyDescent="0.3">
      <c r="A6050" s="678"/>
    </row>
    <row r="6051" spans="1:1" x14ac:dyDescent="0.3">
      <c r="A6051" s="678"/>
    </row>
    <row r="6052" spans="1:1" x14ac:dyDescent="0.3">
      <c r="A6052" s="678"/>
    </row>
    <row r="6053" spans="1:1" x14ac:dyDescent="0.3">
      <c r="A6053" s="678"/>
    </row>
    <row r="6054" spans="1:1" x14ac:dyDescent="0.3">
      <c r="A6054" s="678"/>
    </row>
    <row r="6055" spans="1:1" x14ac:dyDescent="0.3">
      <c r="A6055" s="678"/>
    </row>
    <row r="6056" spans="1:1" x14ac:dyDescent="0.3">
      <c r="A6056" s="678"/>
    </row>
    <row r="6057" spans="1:1" x14ac:dyDescent="0.3">
      <c r="A6057" s="678"/>
    </row>
    <row r="6058" spans="1:1" x14ac:dyDescent="0.3">
      <c r="A6058" s="678"/>
    </row>
    <row r="6059" spans="1:1" x14ac:dyDescent="0.3">
      <c r="A6059" s="678"/>
    </row>
    <row r="6060" spans="1:1" x14ac:dyDescent="0.3">
      <c r="A6060" s="678"/>
    </row>
    <row r="6061" spans="1:1" x14ac:dyDescent="0.3">
      <c r="A6061" s="678"/>
    </row>
    <row r="6062" spans="1:1" x14ac:dyDescent="0.3">
      <c r="A6062" s="678"/>
    </row>
    <row r="6063" spans="1:1" x14ac:dyDescent="0.3">
      <c r="A6063" s="678"/>
    </row>
    <row r="6064" spans="1:1" x14ac:dyDescent="0.3">
      <c r="A6064" s="678"/>
    </row>
    <row r="6065" spans="1:1" x14ac:dyDescent="0.3">
      <c r="A6065" s="678"/>
    </row>
    <row r="6066" spans="1:1" x14ac:dyDescent="0.3">
      <c r="A6066" s="678"/>
    </row>
    <row r="6067" spans="1:1" x14ac:dyDescent="0.3">
      <c r="A6067" s="678"/>
    </row>
    <row r="6068" spans="1:1" x14ac:dyDescent="0.3">
      <c r="A6068" s="678"/>
    </row>
    <row r="6069" spans="1:1" x14ac:dyDescent="0.3">
      <c r="A6069" s="678"/>
    </row>
    <row r="6070" spans="1:1" x14ac:dyDescent="0.3">
      <c r="A6070" s="678"/>
    </row>
    <row r="6071" spans="1:1" x14ac:dyDescent="0.3">
      <c r="A6071" s="678"/>
    </row>
    <row r="6072" spans="1:1" x14ac:dyDescent="0.3">
      <c r="A6072" s="678"/>
    </row>
    <row r="6073" spans="1:1" x14ac:dyDescent="0.3">
      <c r="A6073" s="678"/>
    </row>
    <row r="6074" spans="1:1" x14ac:dyDescent="0.3">
      <c r="A6074" s="678"/>
    </row>
    <row r="6075" spans="1:1" x14ac:dyDescent="0.3">
      <c r="A6075" s="678"/>
    </row>
    <row r="6076" spans="1:1" x14ac:dyDescent="0.3">
      <c r="A6076" s="678"/>
    </row>
    <row r="6077" spans="1:1" x14ac:dyDescent="0.3">
      <c r="A6077" s="678"/>
    </row>
    <row r="6078" spans="1:1" x14ac:dyDescent="0.3">
      <c r="A6078" s="678"/>
    </row>
    <row r="6079" spans="1:1" x14ac:dyDescent="0.3">
      <c r="A6079" s="678"/>
    </row>
    <row r="6080" spans="1:1" x14ac:dyDescent="0.3">
      <c r="A6080" s="678"/>
    </row>
    <row r="6081" spans="1:1" x14ac:dyDescent="0.3">
      <c r="A6081" s="678"/>
    </row>
    <row r="6082" spans="1:1" x14ac:dyDescent="0.3">
      <c r="A6082" s="678"/>
    </row>
    <row r="6083" spans="1:1" x14ac:dyDescent="0.3">
      <c r="A6083" s="678"/>
    </row>
    <row r="6084" spans="1:1" x14ac:dyDescent="0.3">
      <c r="A6084" s="678"/>
    </row>
    <row r="6085" spans="1:1" x14ac:dyDescent="0.3">
      <c r="A6085" s="678"/>
    </row>
    <row r="6086" spans="1:1" x14ac:dyDescent="0.3">
      <c r="A6086" s="678"/>
    </row>
    <row r="6087" spans="1:1" x14ac:dyDescent="0.3">
      <c r="A6087" s="678"/>
    </row>
    <row r="6088" spans="1:1" x14ac:dyDescent="0.3">
      <c r="A6088" s="678"/>
    </row>
    <row r="6089" spans="1:1" x14ac:dyDescent="0.3">
      <c r="A6089" s="678"/>
    </row>
    <row r="6090" spans="1:1" x14ac:dyDescent="0.3">
      <c r="A6090" s="678"/>
    </row>
    <row r="6091" spans="1:1" x14ac:dyDescent="0.3">
      <c r="A6091" s="678"/>
    </row>
    <row r="6092" spans="1:1" x14ac:dyDescent="0.3">
      <c r="A6092" s="678"/>
    </row>
    <row r="6093" spans="1:1" x14ac:dyDescent="0.3">
      <c r="A6093" s="678"/>
    </row>
    <row r="6094" spans="1:1" x14ac:dyDescent="0.3">
      <c r="A6094" s="678"/>
    </row>
    <row r="6095" spans="1:1" x14ac:dyDescent="0.3">
      <c r="A6095" s="678"/>
    </row>
    <row r="6096" spans="1:1" x14ac:dyDescent="0.3">
      <c r="A6096" s="678"/>
    </row>
    <row r="6097" spans="1:1" x14ac:dyDescent="0.3">
      <c r="A6097" s="678"/>
    </row>
    <row r="6098" spans="1:1" x14ac:dyDescent="0.3">
      <c r="A6098" s="678"/>
    </row>
    <row r="6099" spans="1:1" x14ac:dyDescent="0.3">
      <c r="A6099" s="678"/>
    </row>
    <row r="6100" spans="1:1" x14ac:dyDescent="0.3">
      <c r="A6100" s="678"/>
    </row>
    <row r="6101" spans="1:1" x14ac:dyDescent="0.3">
      <c r="A6101" s="678"/>
    </row>
    <row r="6102" spans="1:1" x14ac:dyDescent="0.3">
      <c r="A6102" s="678"/>
    </row>
    <row r="6103" spans="1:1" x14ac:dyDescent="0.3">
      <c r="A6103" s="678"/>
    </row>
    <row r="6104" spans="1:1" x14ac:dyDescent="0.3">
      <c r="A6104" s="678"/>
    </row>
    <row r="6105" spans="1:1" x14ac:dyDescent="0.3">
      <c r="A6105" s="678"/>
    </row>
    <row r="6106" spans="1:1" x14ac:dyDescent="0.3">
      <c r="A6106" s="678"/>
    </row>
    <row r="6107" spans="1:1" x14ac:dyDescent="0.3">
      <c r="A6107" s="678"/>
    </row>
    <row r="6108" spans="1:1" x14ac:dyDescent="0.3">
      <c r="A6108" s="678"/>
    </row>
    <row r="6109" spans="1:1" x14ac:dyDescent="0.3">
      <c r="A6109" s="678"/>
    </row>
    <row r="6110" spans="1:1" x14ac:dyDescent="0.3">
      <c r="A6110" s="678"/>
    </row>
    <row r="6111" spans="1:1" x14ac:dyDescent="0.3">
      <c r="A6111" s="678"/>
    </row>
    <row r="6112" spans="1:1" x14ac:dyDescent="0.3">
      <c r="A6112" s="678"/>
    </row>
    <row r="6113" spans="1:1" x14ac:dyDescent="0.3">
      <c r="A6113" s="678"/>
    </row>
    <row r="6114" spans="1:1" x14ac:dyDescent="0.3">
      <c r="A6114" s="678"/>
    </row>
    <row r="6115" spans="1:1" x14ac:dyDescent="0.3">
      <c r="A6115" s="678"/>
    </row>
    <row r="6116" spans="1:1" x14ac:dyDescent="0.3">
      <c r="A6116" s="678"/>
    </row>
    <row r="6117" spans="1:1" x14ac:dyDescent="0.3">
      <c r="A6117" s="678"/>
    </row>
    <row r="6118" spans="1:1" x14ac:dyDescent="0.3">
      <c r="A6118" s="678"/>
    </row>
    <row r="6119" spans="1:1" x14ac:dyDescent="0.3">
      <c r="A6119" s="678"/>
    </row>
    <row r="6120" spans="1:1" x14ac:dyDescent="0.3">
      <c r="A6120" s="678"/>
    </row>
    <row r="6121" spans="1:1" x14ac:dyDescent="0.3">
      <c r="A6121" s="678"/>
    </row>
    <row r="6122" spans="1:1" x14ac:dyDescent="0.3">
      <c r="A6122" s="678"/>
    </row>
    <row r="6123" spans="1:1" x14ac:dyDescent="0.3">
      <c r="A6123" s="678"/>
    </row>
    <row r="6124" spans="1:1" x14ac:dyDescent="0.3">
      <c r="A6124" s="678"/>
    </row>
    <row r="6125" spans="1:1" x14ac:dyDescent="0.3">
      <c r="A6125" s="678"/>
    </row>
    <row r="6126" spans="1:1" x14ac:dyDescent="0.3">
      <c r="A6126" s="678"/>
    </row>
    <row r="6127" spans="1:1" x14ac:dyDescent="0.3">
      <c r="A6127" s="678"/>
    </row>
    <row r="6128" spans="1:1" x14ac:dyDescent="0.3">
      <c r="A6128" s="678"/>
    </row>
    <row r="6129" spans="1:1" x14ac:dyDescent="0.3">
      <c r="A6129" s="678"/>
    </row>
    <row r="6130" spans="1:1" x14ac:dyDescent="0.3">
      <c r="A6130" s="678"/>
    </row>
    <row r="6131" spans="1:1" x14ac:dyDescent="0.3">
      <c r="A6131" s="678"/>
    </row>
    <row r="6132" spans="1:1" x14ac:dyDescent="0.3">
      <c r="A6132" s="678"/>
    </row>
    <row r="6133" spans="1:1" x14ac:dyDescent="0.3">
      <c r="A6133" s="678"/>
    </row>
    <row r="6134" spans="1:1" x14ac:dyDescent="0.3">
      <c r="A6134" s="678"/>
    </row>
    <row r="6135" spans="1:1" x14ac:dyDescent="0.3">
      <c r="A6135" s="678"/>
    </row>
    <row r="6136" spans="1:1" x14ac:dyDescent="0.3">
      <c r="A6136" s="678"/>
    </row>
    <row r="6137" spans="1:1" x14ac:dyDescent="0.3">
      <c r="A6137" s="678"/>
    </row>
    <row r="6138" spans="1:1" x14ac:dyDescent="0.3">
      <c r="A6138" s="678"/>
    </row>
    <row r="6139" spans="1:1" x14ac:dyDescent="0.3">
      <c r="A6139" s="678"/>
    </row>
    <row r="6140" spans="1:1" x14ac:dyDescent="0.3">
      <c r="A6140" s="678"/>
    </row>
    <row r="6141" spans="1:1" x14ac:dyDescent="0.3">
      <c r="A6141" s="678"/>
    </row>
    <row r="6142" spans="1:1" x14ac:dyDescent="0.3">
      <c r="A6142" s="678"/>
    </row>
    <row r="6143" spans="1:1" x14ac:dyDescent="0.3">
      <c r="A6143" s="678"/>
    </row>
    <row r="6144" spans="1:1" x14ac:dyDescent="0.3">
      <c r="A6144" s="678"/>
    </row>
    <row r="6145" spans="1:1" x14ac:dyDescent="0.3">
      <c r="A6145" s="678"/>
    </row>
    <row r="6146" spans="1:1" x14ac:dyDescent="0.3">
      <c r="A6146" s="678"/>
    </row>
    <row r="6147" spans="1:1" x14ac:dyDescent="0.3">
      <c r="A6147" s="678"/>
    </row>
    <row r="6148" spans="1:1" x14ac:dyDescent="0.3">
      <c r="A6148" s="678"/>
    </row>
    <row r="6149" spans="1:1" x14ac:dyDescent="0.3">
      <c r="A6149" s="678"/>
    </row>
    <row r="6150" spans="1:1" x14ac:dyDescent="0.3">
      <c r="A6150" s="678"/>
    </row>
    <row r="6151" spans="1:1" x14ac:dyDescent="0.3">
      <c r="A6151" s="678"/>
    </row>
    <row r="6152" spans="1:1" x14ac:dyDescent="0.3">
      <c r="A6152" s="678"/>
    </row>
    <row r="6153" spans="1:1" x14ac:dyDescent="0.3">
      <c r="A6153" s="678"/>
    </row>
    <row r="6154" spans="1:1" x14ac:dyDescent="0.3">
      <c r="A6154" s="678"/>
    </row>
    <row r="6155" spans="1:1" x14ac:dyDescent="0.3">
      <c r="A6155" s="678"/>
    </row>
    <row r="6156" spans="1:1" x14ac:dyDescent="0.3">
      <c r="A6156" s="678"/>
    </row>
    <row r="6157" spans="1:1" x14ac:dyDescent="0.3">
      <c r="A6157" s="678"/>
    </row>
    <row r="6158" spans="1:1" x14ac:dyDescent="0.3">
      <c r="A6158" s="678"/>
    </row>
    <row r="6159" spans="1:1" x14ac:dyDescent="0.3">
      <c r="A6159" s="678"/>
    </row>
    <row r="6160" spans="1:1" x14ac:dyDescent="0.3">
      <c r="A6160" s="678"/>
    </row>
    <row r="6161" spans="1:1" x14ac:dyDescent="0.3">
      <c r="A6161" s="678"/>
    </row>
    <row r="6162" spans="1:1" x14ac:dyDescent="0.3">
      <c r="A6162" s="678"/>
    </row>
    <row r="6163" spans="1:1" x14ac:dyDescent="0.3">
      <c r="A6163" s="678"/>
    </row>
    <row r="6164" spans="1:1" x14ac:dyDescent="0.3">
      <c r="A6164" s="678"/>
    </row>
    <row r="6165" spans="1:1" x14ac:dyDescent="0.3">
      <c r="A6165" s="678"/>
    </row>
    <row r="6166" spans="1:1" x14ac:dyDescent="0.3">
      <c r="A6166" s="678"/>
    </row>
    <row r="6167" spans="1:1" x14ac:dyDescent="0.3">
      <c r="A6167" s="678"/>
    </row>
    <row r="6168" spans="1:1" x14ac:dyDescent="0.3">
      <c r="A6168" s="678"/>
    </row>
    <row r="6169" spans="1:1" x14ac:dyDescent="0.3">
      <c r="A6169" s="678"/>
    </row>
    <row r="6170" spans="1:1" x14ac:dyDescent="0.3">
      <c r="A6170" s="678"/>
    </row>
    <row r="6171" spans="1:1" x14ac:dyDescent="0.3">
      <c r="A6171" s="678"/>
    </row>
    <row r="6172" spans="1:1" x14ac:dyDescent="0.3">
      <c r="A6172" s="678"/>
    </row>
    <row r="6173" spans="1:1" x14ac:dyDescent="0.3">
      <c r="A6173" s="678"/>
    </row>
    <row r="6174" spans="1:1" x14ac:dyDescent="0.3">
      <c r="A6174" s="678"/>
    </row>
    <row r="6175" spans="1:1" x14ac:dyDescent="0.3">
      <c r="A6175" s="678"/>
    </row>
    <row r="6176" spans="1:1" x14ac:dyDescent="0.3">
      <c r="A6176" s="678"/>
    </row>
    <row r="6177" spans="1:1" x14ac:dyDescent="0.3">
      <c r="A6177" s="678"/>
    </row>
    <row r="6178" spans="1:1" x14ac:dyDescent="0.3">
      <c r="A6178" s="678"/>
    </row>
    <row r="6179" spans="1:1" x14ac:dyDescent="0.3">
      <c r="A6179" s="678"/>
    </row>
    <row r="6180" spans="1:1" x14ac:dyDescent="0.3">
      <c r="A6180" s="678"/>
    </row>
    <row r="6181" spans="1:1" x14ac:dyDescent="0.3">
      <c r="A6181" s="678"/>
    </row>
    <row r="6182" spans="1:1" x14ac:dyDescent="0.3">
      <c r="A6182" s="678"/>
    </row>
    <row r="6183" spans="1:1" x14ac:dyDescent="0.3">
      <c r="A6183" s="678"/>
    </row>
    <row r="6184" spans="1:1" x14ac:dyDescent="0.3">
      <c r="A6184" s="678"/>
    </row>
    <row r="6185" spans="1:1" x14ac:dyDescent="0.3">
      <c r="A6185" s="678"/>
    </row>
    <row r="6186" spans="1:1" x14ac:dyDescent="0.3">
      <c r="A6186" s="678"/>
    </row>
    <row r="6187" spans="1:1" x14ac:dyDescent="0.3">
      <c r="A6187" s="678"/>
    </row>
    <row r="6188" spans="1:1" x14ac:dyDescent="0.3">
      <c r="A6188" s="678"/>
    </row>
    <row r="6189" spans="1:1" x14ac:dyDescent="0.3">
      <c r="A6189" s="678"/>
    </row>
    <row r="6190" spans="1:1" x14ac:dyDescent="0.3">
      <c r="A6190" s="678"/>
    </row>
    <row r="6191" spans="1:1" x14ac:dyDescent="0.3">
      <c r="A6191" s="678"/>
    </row>
    <row r="6192" spans="1:1" x14ac:dyDescent="0.3">
      <c r="A6192" s="678"/>
    </row>
    <row r="6193" spans="1:1" x14ac:dyDescent="0.3">
      <c r="A6193" s="678"/>
    </row>
    <row r="6194" spans="1:1" x14ac:dyDescent="0.3">
      <c r="A6194" s="678"/>
    </row>
    <row r="6195" spans="1:1" x14ac:dyDescent="0.3">
      <c r="A6195" s="678"/>
    </row>
    <row r="6196" spans="1:1" x14ac:dyDescent="0.3">
      <c r="A6196" s="678"/>
    </row>
    <row r="6197" spans="1:1" x14ac:dyDescent="0.3">
      <c r="A6197" s="678"/>
    </row>
    <row r="6198" spans="1:1" x14ac:dyDescent="0.3">
      <c r="A6198" s="678"/>
    </row>
    <row r="6199" spans="1:1" x14ac:dyDescent="0.3">
      <c r="A6199" s="678"/>
    </row>
    <row r="6200" spans="1:1" x14ac:dyDescent="0.3">
      <c r="A6200" s="678"/>
    </row>
    <row r="6201" spans="1:1" x14ac:dyDescent="0.3">
      <c r="A6201" s="678"/>
    </row>
    <row r="6202" spans="1:1" x14ac:dyDescent="0.3">
      <c r="A6202" s="678"/>
    </row>
    <row r="6203" spans="1:1" x14ac:dyDescent="0.3">
      <c r="A6203" s="678"/>
    </row>
    <row r="6204" spans="1:1" x14ac:dyDescent="0.3">
      <c r="A6204" s="678"/>
    </row>
    <row r="6205" spans="1:1" x14ac:dyDescent="0.3">
      <c r="A6205" s="678"/>
    </row>
    <row r="6206" spans="1:1" x14ac:dyDescent="0.3">
      <c r="A6206" s="678"/>
    </row>
    <row r="6207" spans="1:1" x14ac:dyDescent="0.3">
      <c r="A6207" s="678"/>
    </row>
    <row r="6208" spans="1:1" x14ac:dyDescent="0.3">
      <c r="A6208" s="678"/>
    </row>
    <row r="6209" spans="1:1" x14ac:dyDescent="0.3">
      <c r="A6209" s="678"/>
    </row>
    <row r="6210" spans="1:1" x14ac:dyDescent="0.3">
      <c r="A6210" s="678"/>
    </row>
    <row r="6211" spans="1:1" x14ac:dyDescent="0.3">
      <c r="A6211" s="678"/>
    </row>
    <row r="6212" spans="1:1" x14ac:dyDescent="0.3">
      <c r="A6212" s="678"/>
    </row>
    <row r="6213" spans="1:1" x14ac:dyDescent="0.3">
      <c r="A6213" s="678"/>
    </row>
    <row r="6214" spans="1:1" x14ac:dyDescent="0.3">
      <c r="A6214" s="678"/>
    </row>
    <row r="6215" spans="1:1" x14ac:dyDescent="0.3">
      <c r="A6215" s="678"/>
    </row>
    <row r="6216" spans="1:1" x14ac:dyDescent="0.3">
      <c r="A6216" s="678"/>
    </row>
    <row r="6217" spans="1:1" x14ac:dyDescent="0.3">
      <c r="A6217" s="678"/>
    </row>
    <row r="6218" spans="1:1" x14ac:dyDescent="0.3">
      <c r="A6218" s="678"/>
    </row>
    <row r="6219" spans="1:1" x14ac:dyDescent="0.3">
      <c r="A6219" s="678"/>
    </row>
    <row r="6220" spans="1:1" x14ac:dyDescent="0.3">
      <c r="A6220" s="678"/>
    </row>
    <row r="6221" spans="1:1" x14ac:dyDescent="0.3">
      <c r="A6221" s="678"/>
    </row>
    <row r="6222" spans="1:1" x14ac:dyDescent="0.3">
      <c r="A6222" s="678"/>
    </row>
    <row r="6223" spans="1:1" x14ac:dyDescent="0.3">
      <c r="A6223" s="678"/>
    </row>
    <row r="6224" spans="1:1" x14ac:dyDescent="0.3">
      <c r="A6224" s="678"/>
    </row>
    <row r="6225" spans="1:1" x14ac:dyDescent="0.3">
      <c r="A6225" s="678"/>
    </row>
    <row r="6226" spans="1:1" x14ac:dyDescent="0.3">
      <c r="A6226" s="678"/>
    </row>
    <row r="6227" spans="1:1" x14ac:dyDescent="0.3">
      <c r="A6227" s="678"/>
    </row>
    <row r="6228" spans="1:1" x14ac:dyDescent="0.3">
      <c r="A6228" s="678"/>
    </row>
    <row r="6229" spans="1:1" x14ac:dyDescent="0.3">
      <c r="A6229" s="678"/>
    </row>
    <row r="6230" spans="1:1" x14ac:dyDescent="0.3">
      <c r="A6230" s="678"/>
    </row>
    <row r="6231" spans="1:1" x14ac:dyDescent="0.3">
      <c r="A6231" s="678"/>
    </row>
    <row r="6232" spans="1:1" x14ac:dyDescent="0.3">
      <c r="A6232" s="678"/>
    </row>
    <row r="6233" spans="1:1" x14ac:dyDescent="0.3">
      <c r="A6233" s="678"/>
    </row>
    <row r="6234" spans="1:1" x14ac:dyDescent="0.3">
      <c r="A6234" s="678"/>
    </row>
    <row r="6235" spans="1:1" x14ac:dyDescent="0.3">
      <c r="A6235" s="678"/>
    </row>
    <row r="6236" spans="1:1" x14ac:dyDescent="0.3">
      <c r="A6236" s="678"/>
    </row>
    <row r="6237" spans="1:1" x14ac:dyDescent="0.3">
      <c r="A6237" s="678"/>
    </row>
    <row r="6238" spans="1:1" x14ac:dyDescent="0.3">
      <c r="A6238" s="678"/>
    </row>
    <row r="6239" spans="1:1" x14ac:dyDescent="0.3">
      <c r="A6239" s="678"/>
    </row>
    <row r="6240" spans="1:1" x14ac:dyDescent="0.3">
      <c r="A6240" s="678"/>
    </row>
    <row r="6241" spans="1:1" x14ac:dyDescent="0.3">
      <c r="A6241" s="678"/>
    </row>
    <row r="6242" spans="1:1" x14ac:dyDescent="0.3">
      <c r="A6242" s="678"/>
    </row>
    <row r="6243" spans="1:1" x14ac:dyDescent="0.3">
      <c r="A6243" s="678"/>
    </row>
    <row r="6244" spans="1:1" x14ac:dyDescent="0.3">
      <c r="A6244" s="678"/>
    </row>
    <row r="6245" spans="1:1" x14ac:dyDescent="0.3">
      <c r="A6245" s="678"/>
    </row>
    <row r="6246" spans="1:1" x14ac:dyDescent="0.3">
      <c r="A6246" s="678"/>
    </row>
    <row r="6247" spans="1:1" x14ac:dyDescent="0.3">
      <c r="A6247" s="678"/>
    </row>
    <row r="6248" spans="1:1" x14ac:dyDescent="0.3">
      <c r="A6248" s="678"/>
    </row>
    <row r="6249" spans="1:1" x14ac:dyDescent="0.3">
      <c r="A6249" s="678"/>
    </row>
    <row r="6250" spans="1:1" x14ac:dyDescent="0.3">
      <c r="A6250" s="678"/>
    </row>
    <row r="6251" spans="1:1" x14ac:dyDescent="0.3">
      <c r="A6251" s="678"/>
    </row>
    <row r="6252" spans="1:1" x14ac:dyDescent="0.3">
      <c r="A6252" s="678"/>
    </row>
    <row r="6253" spans="1:1" x14ac:dyDescent="0.3">
      <c r="A6253" s="678"/>
    </row>
    <row r="6254" spans="1:1" x14ac:dyDescent="0.3">
      <c r="A6254" s="678"/>
    </row>
    <row r="6255" spans="1:1" x14ac:dyDescent="0.3">
      <c r="A6255" s="678"/>
    </row>
    <row r="6256" spans="1:1" x14ac:dyDescent="0.3">
      <c r="A6256" s="678"/>
    </row>
    <row r="6257" spans="1:1" x14ac:dyDescent="0.3">
      <c r="A6257" s="678"/>
    </row>
    <row r="6258" spans="1:1" x14ac:dyDescent="0.3">
      <c r="A6258" s="678"/>
    </row>
    <row r="6259" spans="1:1" x14ac:dyDescent="0.3">
      <c r="A6259" s="678"/>
    </row>
    <row r="6260" spans="1:1" x14ac:dyDescent="0.3">
      <c r="A6260" s="678"/>
    </row>
    <row r="6261" spans="1:1" x14ac:dyDescent="0.3">
      <c r="A6261" s="678"/>
    </row>
    <row r="6262" spans="1:1" x14ac:dyDescent="0.3">
      <c r="A6262" s="678"/>
    </row>
    <row r="6263" spans="1:1" x14ac:dyDescent="0.3">
      <c r="A6263" s="678"/>
    </row>
    <row r="6264" spans="1:1" x14ac:dyDescent="0.3">
      <c r="A6264" s="678"/>
    </row>
    <row r="6265" spans="1:1" x14ac:dyDescent="0.3">
      <c r="A6265" s="678"/>
    </row>
    <row r="6266" spans="1:1" x14ac:dyDescent="0.3">
      <c r="A6266" s="678"/>
    </row>
    <row r="6267" spans="1:1" x14ac:dyDescent="0.3">
      <c r="A6267" s="678"/>
    </row>
    <row r="6268" spans="1:1" x14ac:dyDescent="0.3">
      <c r="A6268" s="678"/>
    </row>
    <row r="6269" spans="1:1" x14ac:dyDescent="0.3">
      <c r="A6269" s="678"/>
    </row>
    <row r="6270" spans="1:1" x14ac:dyDescent="0.3">
      <c r="A6270" s="678"/>
    </row>
    <row r="6271" spans="1:1" x14ac:dyDescent="0.3">
      <c r="A6271" s="678"/>
    </row>
    <row r="6272" spans="1:1" x14ac:dyDescent="0.3">
      <c r="A6272" s="678"/>
    </row>
    <row r="6273" spans="1:1" x14ac:dyDescent="0.3">
      <c r="A6273" s="678"/>
    </row>
    <row r="6274" spans="1:1" x14ac:dyDescent="0.3">
      <c r="A6274" s="678"/>
    </row>
    <row r="6275" spans="1:1" x14ac:dyDescent="0.3">
      <c r="A6275" s="678"/>
    </row>
    <row r="6276" spans="1:1" x14ac:dyDescent="0.3">
      <c r="A6276" s="678"/>
    </row>
    <row r="6277" spans="1:1" x14ac:dyDescent="0.3">
      <c r="A6277" s="678"/>
    </row>
    <row r="6278" spans="1:1" x14ac:dyDescent="0.3">
      <c r="A6278" s="678"/>
    </row>
    <row r="6279" spans="1:1" x14ac:dyDescent="0.3">
      <c r="A6279" s="678"/>
    </row>
    <row r="6280" spans="1:1" x14ac:dyDescent="0.3">
      <c r="A6280" s="678"/>
    </row>
    <row r="6281" spans="1:1" x14ac:dyDescent="0.3">
      <c r="A6281" s="678"/>
    </row>
    <row r="6282" spans="1:1" x14ac:dyDescent="0.3">
      <c r="A6282" s="678"/>
    </row>
    <row r="6283" spans="1:1" x14ac:dyDescent="0.3">
      <c r="A6283" s="678"/>
    </row>
    <row r="6284" spans="1:1" x14ac:dyDescent="0.3">
      <c r="A6284" s="678"/>
    </row>
    <row r="6285" spans="1:1" x14ac:dyDescent="0.3">
      <c r="A6285" s="678"/>
    </row>
    <row r="6286" spans="1:1" x14ac:dyDescent="0.3">
      <c r="A6286" s="678"/>
    </row>
    <row r="6287" spans="1:1" x14ac:dyDescent="0.3">
      <c r="A6287" s="678"/>
    </row>
    <row r="6288" spans="1:1" x14ac:dyDescent="0.3">
      <c r="A6288" s="678"/>
    </row>
    <row r="6289" spans="1:1" x14ac:dyDescent="0.3">
      <c r="A6289" s="678"/>
    </row>
    <row r="6290" spans="1:1" x14ac:dyDescent="0.3">
      <c r="A6290" s="678"/>
    </row>
    <row r="6291" spans="1:1" x14ac:dyDescent="0.3">
      <c r="A6291" s="678"/>
    </row>
    <row r="6292" spans="1:1" x14ac:dyDescent="0.3">
      <c r="A6292" s="678"/>
    </row>
    <row r="6293" spans="1:1" x14ac:dyDescent="0.3">
      <c r="A6293" s="678"/>
    </row>
    <row r="6294" spans="1:1" x14ac:dyDescent="0.3">
      <c r="A6294" s="678"/>
    </row>
    <row r="6295" spans="1:1" x14ac:dyDescent="0.3">
      <c r="A6295" s="678"/>
    </row>
    <row r="6296" spans="1:1" x14ac:dyDescent="0.3">
      <c r="A6296" s="678"/>
    </row>
    <row r="6297" spans="1:1" x14ac:dyDescent="0.3">
      <c r="A6297" s="678"/>
    </row>
    <row r="6298" spans="1:1" x14ac:dyDescent="0.3">
      <c r="A6298" s="678"/>
    </row>
    <row r="6299" spans="1:1" x14ac:dyDescent="0.3">
      <c r="A6299" s="678"/>
    </row>
    <row r="6300" spans="1:1" x14ac:dyDescent="0.3">
      <c r="A6300" s="678"/>
    </row>
    <row r="6301" spans="1:1" x14ac:dyDescent="0.3">
      <c r="A6301" s="678"/>
    </row>
    <row r="6302" spans="1:1" x14ac:dyDescent="0.3">
      <c r="A6302" s="678"/>
    </row>
    <row r="6303" spans="1:1" x14ac:dyDescent="0.3">
      <c r="A6303" s="678"/>
    </row>
    <row r="6304" spans="1:1" x14ac:dyDescent="0.3">
      <c r="A6304" s="678"/>
    </row>
    <row r="6305" spans="1:1" x14ac:dyDescent="0.3">
      <c r="A6305" s="678"/>
    </row>
    <row r="6306" spans="1:1" x14ac:dyDescent="0.3">
      <c r="A6306" s="678"/>
    </row>
    <row r="6307" spans="1:1" x14ac:dyDescent="0.3">
      <c r="A6307" s="678"/>
    </row>
    <row r="6308" spans="1:1" x14ac:dyDescent="0.3">
      <c r="A6308" s="678"/>
    </row>
    <row r="6309" spans="1:1" x14ac:dyDescent="0.3">
      <c r="A6309" s="678"/>
    </row>
    <row r="6310" spans="1:1" x14ac:dyDescent="0.3">
      <c r="A6310" s="678"/>
    </row>
    <row r="6311" spans="1:1" x14ac:dyDescent="0.3">
      <c r="A6311" s="678"/>
    </row>
    <row r="6312" spans="1:1" x14ac:dyDescent="0.3">
      <c r="A6312" s="678"/>
    </row>
    <row r="6313" spans="1:1" x14ac:dyDescent="0.3">
      <c r="A6313" s="678"/>
    </row>
    <row r="6314" spans="1:1" x14ac:dyDescent="0.3">
      <c r="A6314" s="678"/>
    </row>
    <row r="6315" spans="1:1" x14ac:dyDescent="0.3">
      <c r="A6315" s="678"/>
    </row>
    <row r="6316" spans="1:1" x14ac:dyDescent="0.3">
      <c r="A6316" s="678"/>
    </row>
    <row r="6317" spans="1:1" x14ac:dyDescent="0.3">
      <c r="A6317" s="678"/>
    </row>
    <row r="6318" spans="1:1" x14ac:dyDescent="0.3">
      <c r="A6318" s="678"/>
    </row>
    <row r="6319" spans="1:1" x14ac:dyDescent="0.3">
      <c r="A6319" s="678"/>
    </row>
    <row r="6320" spans="1:1" x14ac:dyDescent="0.3">
      <c r="A6320" s="678"/>
    </row>
    <row r="6321" spans="1:1" x14ac:dyDescent="0.3">
      <c r="A6321" s="678"/>
    </row>
    <row r="6322" spans="1:1" x14ac:dyDescent="0.3">
      <c r="A6322" s="678"/>
    </row>
    <row r="6323" spans="1:1" x14ac:dyDescent="0.3">
      <c r="A6323" s="678"/>
    </row>
    <row r="6324" spans="1:1" x14ac:dyDescent="0.3">
      <c r="A6324" s="678"/>
    </row>
    <row r="6325" spans="1:1" x14ac:dyDescent="0.3">
      <c r="A6325" s="678"/>
    </row>
    <row r="6326" spans="1:1" x14ac:dyDescent="0.3">
      <c r="A6326" s="678"/>
    </row>
    <row r="6327" spans="1:1" x14ac:dyDescent="0.3">
      <c r="A6327" s="678"/>
    </row>
    <row r="6328" spans="1:1" x14ac:dyDescent="0.3">
      <c r="A6328" s="678"/>
    </row>
    <row r="6329" spans="1:1" x14ac:dyDescent="0.3">
      <c r="A6329" s="678"/>
    </row>
    <row r="6330" spans="1:1" x14ac:dyDescent="0.3">
      <c r="A6330" s="678"/>
    </row>
    <row r="6331" spans="1:1" x14ac:dyDescent="0.3">
      <c r="A6331" s="678"/>
    </row>
    <row r="6332" spans="1:1" x14ac:dyDescent="0.3">
      <c r="A6332" s="678"/>
    </row>
    <row r="6333" spans="1:1" x14ac:dyDescent="0.3">
      <c r="A6333" s="678"/>
    </row>
    <row r="6334" spans="1:1" x14ac:dyDescent="0.3">
      <c r="A6334" s="678"/>
    </row>
    <row r="6335" spans="1:1" x14ac:dyDescent="0.3">
      <c r="A6335" s="678"/>
    </row>
    <row r="6336" spans="1:1" x14ac:dyDescent="0.3">
      <c r="A6336" s="678"/>
    </row>
    <row r="6337" spans="1:1" x14ac:dyDescent="0.3">
      <c r="A6337" s="678"/>
    </row>
    <row r="6338" spans="1:1" x14ac:dyDescent="0.3">
      <c r="A6338" s="678"/>
    </row>
    <row r="6339" spans="1:1" x14ac:dyDescent="0.3">
      <c r="A6339" s="678"/>
    </row>
    <row r="6340" spans="1:1" x14ac:dyDescent="0.3">
      <c r="A6340" s="678"/>
    </row>
    <row r="6341" spans="1:1" x14ac:dyDescent="0.3">
      <c r="A6341" s="678"/>
    </row>
    <row r="6342" spans="1:1" x14ac:dyDescent="0.3">
      <c r="A6342" s="678"/>
    </row>
    <row r="6343" spans="1:1" x14ac:dyDescent="0.3">
      <c r="A6343" s="678"/>
    </row>
    <row r="6344" spans="1:1" x14ac:dyDescent="0.3">
      <c r="A6344" s="678"/>
    </row>
    <row r="6345" spans="1:1" x14ac:dyDescent="0.3">
      <c r="A6345" s="678"/>
    </row>
    <row r="6346" spans="1:1" x14ac:dyDescent="0.3">
      <c r="A6346" s="678"/>
    </row>
    <row r="6347" spans="1:1" x14ac:dyDescent="0.3">
      <c r="A6347" s="678"/>
    </row>
    <row r="6348" spans="1:1" x14ac:dyDescent="0.3">
      <c r="A6348" s="678"/>
    </row>
    <row r="6349" spans="1:1" x14ac:dyDescent="0.3">
      <c r="A6349" s="678"/>
    </row>
    <row r="6350" spans="1:1" x14ac:dyDescent="0.3">
      <c r="A6350" s="678"/>
    </row>
    <row r="6351" spans="1:1" x14ac:dyDescent="0.3">
      <c r="A6351" s="678"/>
    </row>
    <row r="6352" spans="1:1" x14ac:dyDescent="0.3">
      <c r="A6352" s="678"/>
    </row>
    <row r="6353" spans="1:1" x14ac:dyDescent="0.3">
      <c r="A6353" s="678"/>
    </row>
    <row r="6354" spans="1:1" x14ac:dyDescent="0.3">
      <c r="A6354" s="678"/>
    </row>
    <row r="6355" spans="1:1" x14ac:dyDescent="0.3">
      <c r="A6355" s="678"/>
    </row>
    <row r="6356" spans="1:1" x14ac:dyDescent="0.3">
      <c r="A6356" s="678"/>
    </row>
    <row r="6357" spans="1:1" x14ac:dyDescent="0.3">
      <c r="A6357" s="678"/>
    </row>
    <row r="6358" spans="1:1" x14ac:dyDescent="0.3">
      <c r="A6358" s="678"/>
    </row>
    <row r="6359" spans="1:1" x14ac:dyDescent="0.3">
      <c r="A6359" s="678"/>
    </row>
    <row r="6360" spans="1:1" x14ac:dyDescent="0.3">
      <c r="A6360" s="678"/>
    </row>
    <row r="6361" spans="1:1" x14ac:dyDescent="0.3">
      <c r="A6361" s="678"/>
    </row>
    <row r="6362" spans="1:1" x14ac:dyDescent="0.3">
      <c r="A6362" s="678"/>
    </row>
    <row r="6363" spans="1:1" x14ac:dyDescent="0.3">
      <c r="A6363" s="678"/>
    </row>
    <row r="6364" spans="1:1" x14ac:dyDescent="0.3">
      <c r="A6364" s="678"/>
    </row>
    <row r="6365" spans="1:1" x14ac:dyDescent="0.3">
      <c r="A6365" s="678"/>
    </row>
    <row r="6366" spans="1:1" x14ac:dyDescent="0.3">
      <c r="A6366" s="678"/>
    </row>
    <row r="6367" spans="1:1" x14ac:dyDescent="0.3">
      <c r="A6367" s="678"/>
    </row>
    <row r="6368" spans="1:1" x14ac:dyDescent="0.3">
      <c r="A6368" s="678"/>
    </row>
    <row r="6369" spans="1:1" x14ac:dyDescent="0.3">
      <c r="A6369" s="678"/>
    </row>
    <row r="6370" spans="1:1" x14ac:dyDescent="0.3">
      <c r="A6370" s="678"/>
    </row>
    <row r="6371" spans="1:1" x14ac:dyDescent="0.3">
      <c r="A6371" s="678"/>
    </row>
    <row r="6372" spans="1:1" x14ac:dyDescent="0.3">
      <c r="A6372" s="678"/>
    </row>
    <row r="6373" spans="1:1" x14ac:dyDescent="0.3">
      <c r="A6373" s="678"/>
    </row>
    <row r="6374" spans="1:1" x14ac:dyDescent="0.3">
      <c r="A6374" s="678"/>
    </row>
    <row r="6375" spans="1:1" x14ac:dyDescent="0.3">
      <c r="A6375" s="678"/>
    </row>
    <row r="6376" spans="1:1" x14ac:dyDescent="0.3">
      <c r="A6376" s="678"/>
    </row>
    <row r="6377" spans="1:1" x14ac:dyDescent="0.3">
      <c r="A6377" s="678"/>
    </row>
    <row r="6378" spans="1:1" x14ac:dyDescent="0.3">
      <c r="A6378" s="678"/>
    </row>
    <row r="6379" spans="1:1" x14ac:dyDescent="0.3">
      <c r="A6379" s="678"/>
    </row>
    <row r="6380" spans="1:1" x14ac:dyDescent="0.3">
      <c r="A6380" s="678"/>
    </row>
    <row r="6381" spans="1:1" x14ac:dyDescent="0.3">
      <c r="A6381" s="678"/>
    </row>
    <row r="6382" spans="1:1" x14ac:dyDescent="0.3">
      <c r="A6382" s="678"/>
    </row>
    <row r="6383" spans="1:1" x14ac:dyDescent="0.3">
      <c r="A6383" s="678"/>
    </row>
    <row r="6384" spans="1:1" x14ac:dyDescent="0.3">
      <c r="A6384" s="678"/>
    </row>
    <row r="6385" spans="1:1" x14ac:dyDescent="0.3">
      <c r="A6385" s="678"/>
    </row>
    <row r="6386" spans="1:1" x14ac:dyDescent="0.3">
      <c r="A6386" s="678"/>
    </row>
    <row r="6387" spans="1:1" x14ac:dyDescent="0.3">
      <c r="A6387" s="678"/>
    </row>
    <row r="6388" spans="1:1" x14ac:dyDescent="0.3">
      <c r="A6388" s="678"/>
    </row>
    <row r="6389" spans="1:1" x14ac:dyDescent="0.3">
      <c r="A6389" s="678"/>
    </row>
    <row r="6390" spans="1:1" x14ac:dyDescent="0.3">
      <c r="A6390" s="678"/>
    </row>
    <row r="6391" spans="1:1" x14ac:dyDescent="0.3">
      <c r="A6391" s="678"/>
    </row>
    <row r="6392" spans="1:1" x14ac:dyDescent="0.3">
      <c r="A6392" s="678"/>
    </row>
    <row r="6393" spans="1:1" x14ac:dyDescent="0.3">
      <c r="A6393" s="678"/>
    </row>
    <row r="6394" spans="1:1" x14ac:dyDescent="0.3">
      <c r="A6394" s="678"/>
    </row>
    <row r="6395" spans="1:1" x14ac:dyDescent="0.3">
      <c r="A6395" s="678"/>
    </row>
    <row r="6396" spans="1:1" x14ac:dyDescent="0.3">
      <c r="A6396" s="678"/>
    </row>
    <row r="6397" spans="1:1" x14ac:dyDescent="0.3">
      <c r="A6397" s="678"/>
    </row>
    <row r="6398" spans="1:1" x14ac:dyDescent="0.3">
      <c r="A6398" s="678"/>
    </row>
    <row r="6399" spans="1:1" x14ac:dyDescent="0.3">
      <c r="A6399" s="678"/>
    </row>
    <row r="6400" spans="1:1" x14ac:dyDescent="0.3">
      <c r="A6400" s="678"/>
    </row>
    <row r="6401" spans="1:1" x14ac:dyDescent="0.3">
      <c r="A6401" s="678"/>
    </row>
    <row r="6402" spans="1:1" x14ac:dyDescent="0.3">
      <c r="A6402" s="678"/>
    </row>
    <row r="6403" spans="1:1" x14ac:dyDescent="0.3">
      <c r="A6403" s="678"/>
    </row>
    <row r="6404" spans="1:1" x14ac:dyDescent="0.3">
      <c r="A6404" s="678"/>
    </row>
    <row r="6405" spans="1:1" x14ac:dyDescent="0.3">
      <c r="A6405" s="678"/>
    </row>
    <row r="6406" spans="1:1" x14ac:dyDescent="0.3">
      <c r="A6406" s="678"/>
    </row>
    <row r="6407" spans="1:1" x14ac:dyDescent="0.3">
      <c r="A6407" s="678"/>
    </row>
    <row r="6408" spans="1:1" x14ac:dyDescent="0.3">
      <c r="A6408" s="678"/>
    </row>
    <row r="6409" spans="1:1" x14ac:dyDescent="0.3">
      <c r="A6409" s="678"/>
    </row>
    <row r="6410" spans="1:1" x14ac:dyDescent="0.3">
      <c r="A6410" s="678"/>
    </row>
    <row r="6411" spans="1:1" x14ac:dyDescent="0.3">
      <c r="A6411" s="678"/>
    </row>
    <row r="6412" spans="1:1" x14ac:dyDescent="0.3">
      <c r="A6412" s="678"/>
    </row>
    <row r="6413" spans="1:1" x14ac:dyDescent="0.3">
      <c r="A6413" s="678"/>
    </row>
    <row r="6414" spans="1:1" x14ac:dyDescent="0.3">
      <c r="A6414" s="678"/>
    </row>
    <row r="6415" spans="1:1" x14ac:dyDescent="0.3">
      <c r="A6415" s="678"/>
    </row>
    <row r="6416" spans="1:1" x14ac:dyDescent="0.3">
      <c r="A6416" s="678"/>
    </row>
    <row r="6417" spans="1:1" x14ac:dyDescent="0.3">
      <c r="A6417" s="678"/>
    </row>
    <row r="6418" spans="1:1" x14ac:dyDescent="0.3">
      <c r="A6418" s="678"/>
    </row>
    <row r="6419" spans="1:1" x14ac:dyDescent="0.3">
      <c r="A6419" s="678"/>
    </row>
    <row r="6420" spans="1:1" x14ac:dyDescent="0.3">
      <c r="A6420" s="678"/>
    </row>
    <row r="6421" spans="1:1" x14ac:dyDescent="0.3">
      <c r="A6421" s="678"/>
    </row>
    <row r="6422" spans="1:1" x14ac:dyDescent="0.3">
      <c r="A6422" s="678"/>
    </row>
    <row r="6423" spans="1:1" x14ac:dyDescent="0.3">
      <c r="A6423" s="678"/>
    </row>
    <row r="6424" spans="1:1" x14ac:dyDescent="0.3">
      <c r="A6424" s="678"/>
    </row>
    <row r="6425" spans="1:1" x14ac:dyDescent="0.3">
      <c r="A6425" s="678"/>
    </row>
    <row r="6426" spans="1:1" x14ac:dyDescent="0.3">
      <c r="A6426" s="678"/>
    </row>
    <row r="6427" spans="1:1" x14ac:dyDescent="0.3">
      <c r="A6427" s="678"/>
    </row>
    <row r="6428" spans="1:1" x14ac:dyDescent="0.3">
      <c r="A6428" s="678"/>
    </row>
    <row r="6429" spans="1:1" x14ac:dyDescent="0.3">
      <c r="A6429" s="678"/>
    </row>
    <row r="6430" spans="1:1" x14ac:dyDescent="0.3">
      <c r="A6430" s="678"/>
    </row>
    <row r="6431" spans="1:1" x14ac:dyDescent="0.3">
      <c r="A6431" s="678"/>
    </row>
    <row r="6432" spans="1:1" x14ac:dyDescent="0.3">
      <c r="A6432" s="678"/>
    </row>
    <row r="6433" spans="1:1" x14ac:dyDescent="0.3">
      <c r="A6433" s="678"/>
    </row>
    <row r="6434" spans="1:1" x14ac:dyDescent="0.3">
      <c r="A6434" s="678"/>
    </row>
    <row r="6435" spans="1:1" x14ac:dyDescent="0.3">
      <c r="A6435" s="678"/>
    </row>
    <row r="6436" spans="1:1" x14ac:dyDescent="0.3">
      <c r="A6436" s="678"/>
    </row>
    <row r="6437" spans="1:1" x14ac:dyDescent="0.3">
      <c r="A6437" s="678"/>
    </row>
    <row r="6438" spans="1:1" x14ac:dyDescent="0.3">
      <c r="A6438" s="678"/>
    </row>
    <row r="6439" spans="1:1" x14ac:dyDescent="0.3">
      <c r="A6439" s="678"/>
    </row>
    <row r="6440" spans="1:1" x14ac:dyDescent="0.3">
      <c r="A6440" s="678"/>
    </row>
    <row r="6441" spans="1:1" x14ac:dyDescent="0.3">
      <c r="A6441" s="678"/>
    </row>
    <row r="6442" spans="1:1" x14ac:dyDescent="0.3">
      <c r="A6442" s="678"/>
    </row>
    <row r="6443" spans="1:1" x14ac:dyDescent="0.3">
      <c r="A6443" s="678"/>
    </row>
    <row r="6444" spans="1:1" x14ac:dyDescent="0.3">
      <c r="A6444" s="678"/>
    </row>
    <row r="6445" spans="1:1" x14ac:dyDescent="0.3">
      <c r="A6445" s="678"/>
    </row>
    <row r="6446" spans="1:1" x14ac:dyDescent="0.3">
      <c r="A6446" s="678"/>
    </row>
    <row r="6447" spans="1:1" x14ac:dyDescent="0.3">
      <c r="A6447" s="678"/>
    </row>
    <row r="6448" spans="1:1" x14ac:dyDescent="0.3">
      <c r="A6448" s="678"/>
    </row>
    <row r="6449" spans="1:1" x14ac:dyDescent="0.3">
      <c r="A6449" s="678"/>
    </row>
    <row r="6450" spans="1:1" x14ac:dyDescent="0.3">
      <c r="A6450" s="678"/>
    </row>
    <row r="6451" spans="1:1" x14ac:dyDescent="0.3">
      <c r="A6451" s="678"/>
    </row>
    <row r="6452" spans="1:1" x14ac:dyDescent="0.3">
      <c r="A6452" s="678"/>
    </row>
    <row r="6453" spans="1:1" x14ac:dyDescent="0.3">
      <c r="A6453" s="678"/>
    </row>
    <row r="6454" spans="1:1" x14ac:dyDescent="0.3">
      <c r="A6454" s="678"/>
    </row>
    <row r="6455" spans="1:1" x14ac:dyDescent="0.3">
      <c r="A6455" s="678"/>
    </row>
    <row r="6456" spans="1:1" x14ac:dyDescent="0.3">
      <c r="A6456" s="678"/>
    </row>
    <row r="6457" spans="1:1" x14ac:dyDescent="0.3">
      <c r="A6457" s="678"/>
    </row>
    <row r="6458" spans="1:1" x14ac:dyDescent="0.3">
      <c r="A6458" s="678"/>
    </row>
    <row r="6459" spans="1:1" x14ac:dyDescent="0.3">
      <c r="A6459" s="678"/>
    </row>
    <row r="6460" spans="1:1" x14ac:dyDescent="0.3">
      <c r="A6460" s="678"/>
    </row>
    <row r="6461" spans="1:1" x14ac:dyDescent="0.3">
      <c r="A6461" s="678"/>
    </row>
    <row r="6462" spans="1:1" x14ac:dyDescent="0.3">
      <c r="A6462" s="678"/>
    </row>
    <row r="6463" spans="1:1" x14ac:dyDescent="0.3">
      <c r="A6463" s="678"/>
    </row>
    <row r="6464" spans="1:1" x14ac:dyDescent="0.3">
      <c r="A6464" s="678"/>
    </row>
    <row r="6465" spans="1:1" x14ac:dyDescent="0.3">
      <c r="A6465" s="678"/>
    </row>
    <row r="6466" spans="1:1" x14ac:dyDescent="0.3">
      <c r="A6466" s="678"/>
    </row>
    <row r="6467" spans="1:1" x14ac:dyDescent="0.3">
      <c r="A6467" s="678"/>
    </row>
    <row r="6468" spans="1:1" x14ac:dyDescent="0.3">
      <c r="A6468" s="678"/>
    </row>
    <row r="6469" spans="1:1" x14ac:dyDescent="0.3">
      <c r="A6469" s="678"/>
    </row>
    <row r="6470" spans="1:1" x14ac:dyDescent="0.3">
      <c r="A6470" s="678"/>
    </row>
    <row r="6471" spans="1:1" x14ac:dyDescent="0.3">
      <c r="A6471" s="678"/>
    </row>
    <row r="6472" spans="1:1" x14ac:dyDescent="0.3">
      <c r="A6472" s="678"/>
    </row>
    <row r="6473" spans="1:1" x14ac:dyDescent="0.3">
      <c r="A6473" s="678"/>
    </row>
    <row r="6474" spans="1:1" x14ac:dyDescent="0.3">
      <c r="A6474" s="678"/>
    </row>
    <row r="6475" spans="1:1" x14ac:dyDescent="0.3">
      <c r="A6475" s="678"/>
    </row>
    <row r="6476" spans="1:1" x14ac:dyDescent="0.3">
      <c r="A6476" s="678"/>
    </row>
    <row r="6477" spans="1:1" x14ac:dyDescent="0.3">
      <c r="A6477" s="678"/>
    </row>
    <row r="6478" spans="1:1" x14ac:dyDescent="0.3">
      <c r="A6478" s="678"/>
    </row>
    <row r="6479" spans="1:1" x14ac:dyDescent="0.3">
      <c r="A6479" s="678"/>
    </row>
    <row r="6480" spans="1:1" x14ac:dyDescent="0.3">
      <c r="A6480" s="678"/>
    </row>
    <row r="6481" spans="1:1" x14ac:dyDescent="0.3">
      <c r="A6481" s="678"/>
    </row>
    <row r="6482" spans="1:1" x14ac:dyDescent="0.3">
      <c r="A6482" s="678"/>
    </row>
    <row r="6483" spans="1:1" x14ac:dyDescent="0.3">
      <c r="A6483" s="678"/>
    </row>
    <row r="6484" spans="1:1" x14ac:dyDescent="0.3">
      <c r="A6484" s="678"/>
    </row>
    <row r="6485" spans="1:1" x14ac:dyDescent="0.3">
      <c r="A6485" s="678"/>
    </row>
    <row r="6486" spans="1:1" x14ac:dyDescent="0.3">
      <c r="A6486" s="678"/>
    </row>
    <row r="6487" spans="1:1" x14ac:dyDescent="0.3">
      <c r="A6487" s="678"/>
    </row>
    <row r="6488" spans="1:1" x14ac:dyDescent="0.3">
      <c r="A6488" s="678"/>
    </row>
    <row r="6489" spans="1:1" x14ac:dyDescent="0.3">
      <c r="A6489" s="678"/>
    </row>
    <row r="6490" spans="1:1" x14ac:dyDescent="0.3">
      <c r="A6490" s="678"/>
    </row>
    <row r="6491" spans="1:1" x14ac:dyDescent="0.3">
      <c r="A6491" s="678"/>
    </row>
    <row r="6492" spans="1:1" x14ac:dyDescent="0.3">
      <c r="A6492" s="678"/>
    </row>
    <row r="6493" spans="1:1" x14ac:dyDescent="0.3">
      <c r="A6493" s="678"/>
    </row>
    <row r="6494" spans="1:1" x14ac:dyDescent="0.3">
      <c r="A6494" s="678"/>
    </row>
    <row r="6495" spans="1:1" x14ac:dyDescent="0.3">
      <c r="A6495" s="678"/>
    </row>
    <row r="6496" spans="1:1" x14ac:dyDescent="0.3">
      <c r="A6496" s="678"/>
    </row>
    <row r="6497" spans="1:1" x14ac:dyDescent="0.3">
      <c r="A6497" s="678"/>
    </row>
    <row r="6498" spans="1:1" x14ac:dyDescent="0.3">
      <c r="A6498" s="678"/>
    </row>
    <row r="6499" spans="1:1" x14ac:dyDescent="0.3">
      <c r="A6499" s="678"/>
    </row>
    <row r="6500" spans="1:1" x14ac:dyDescent="0.3">
      <c r="A6500" s="678"/>
    </row>
    <row r="6501" spans="1:1" x14ac:dyDescent="0.3">
      <c r="A6501" s="678"/>
    </row>
    <row r="6502" spans="1:1" x14ac:dyDescent="0.3">
      <c r="A6502" s="678"/>
    </row>
    <row r="6503" spans="1:1" x14ac:dyDescent="0.3">
      <c r="A6503" s="678"/>
    </row>
    <row r="6504" spans="1:1" x14ac:dyDescent="0.3">
      <c r="A6504" s="678"/>
    </row>
    <row r="6505" spans="1:1" x14ac:dyDescent="0.3">
      <c r="A6505" s="678"/>
    </row>
    <row r="6506" spans="1:1" x14ac:dyDescent="0.3">
      <c r="A6506" s="678"/>
    </row>
    <row r="6507" spans="1:1" x14ac:dyDescent="0.3">
      <c r="A6507" s="678"/>
    </row>
    <row r="6508" spans="1:1" x14ac:dyDescent="0.3">
      <c r="A6508" s="678"/>
    </row>
    <row r="6509" spans="1:1" x14ac:dyDescent="0.3">
      <c r="A6509" s="678"/>
    </row>
    <row r="6510" spans="1:1" x14ac:dyDescent="0.3">
      <c r="A6510" s="678"/>
    </row>
    <row r="6511" spans="1:1" x14ac:dyDescent="0.3">
      <c r="A6511" s="678"/>
    </row>
    <row r="6512" spans="1:1" x14ac:dyDescent="0.3">
      <c r="A6512" s="678"/>
    </row>
    <row r="6513" spans="1:1" x14ac:dyDescent="0.3">
      <c r="A6513" s="678"/>
    </row>
    <row r="6514" spans="1:1" x14ac:dyDescent="0.3">
      <c r="A6514" s="678"/>
    </row>
    <row r="6515" spans="1:1" x14ac:dyDescent="0.3">
      <c r="A6515" s="678"/>
    </row>
    <row r="6516" spans="1:1" x14ac:dyDescent="0.3">
      <c r="A6516" s="678"/>
    </row>
    <row r="6517" spans="1:1" x14ac:dyDescent="0.3">
      <c r="A6517" s="678"/>
    </row>
    <row r="6518" spans="1:1" x14ac:dyDescent="0.3">
      <c r="A6518" s="678"/>
    </row>
    <row r="6519" spans="1:1" x14ac:dyDescent="0.3">
      <c r="A6519" s="678"/>
    </row>
    <row r="6520" spans="1:1" x14ac:dyDescent="0.3">
      <c r="A6520" s="678"/>
    </row>
    <row r="6521" spans="1:1" x14ac:dyDescent="0.3">
      <c r="A6521" s="678"/>
    </row>
    <row r="6522" spans="1:1" x14ac:dyDescent="0.3">
      <c r="A6522" s="678"/>
    </row>
    <row r="6523" spans="1:1" x14ac:dyDescent="0.3">
      <c r="A6523" s="678"/>
    </row>
    <row r="6524" spans="1:1" x14ac:dyDescent="0.3">
      <c r="A6524" s="678"/>
    </row>
    <row r="6525" spans="1:1" x14ac:dyDescent="0.3">
      <c r="A6525" s="678"/>
    </row>
    <row r="6526" spans="1:1" x14ac:dyDescent="0.3">
      <c r="A6526" s="678"/>
    </row>
    <row r="6527" spans="1:1" x14ac:dyDescent="0.3">
      <c r="A6527" s="678"/>
    </row>
    <row r="6528" spans="1:1" x14ac:dyDescent="0.3">
      <c r="A6528" s="678"/>
    </row>
    <row r="6529" spans="1:1" x14ac:dyDescent="0.3">
      <c r="A6529" s="678"/>
    </row>
    <row r="6530" spans="1:1" x14ac:dyDescent="0.3">
      <c r="A6530" s="678"/>
    </row>
    <row r="6531" spans="1:1" x14ac:dyDescent="0.3">
      <c r="A6531" s="678"/>
    </row>
    <row r="6532" spans="1:1" x14ac:dyDescent="0.3">
      <c r="A6532" s="678"/>
    </row>
    <row r="6533" spans="1:1" x14ac:dyDescent="0.3">
      <c r="A6533" s="678"/>
    </row>
    <row r="6534" spans="1:1" x14ac:dyDescent="0.3">
      <c r="A6534" s="678"/>
    </row>
    <row r="6535" spans="1:1" x14ac:dyDescent="0.3">
      <c r="A6535" s="678"/>
    </row>
    <row r="6536" spans="1:1" x14ac:dyDescent="0.3">
      <c r="A6536" s="678"/>
    </row>
    <row r="6537" spans="1:1" x14ac:dyDescent="0.3">
      <c r="A6537" s="678"/>
    </row>
    <row r="6538" spans="1:1" x14ac:dyDescent="0.3">
      <c r="A6538" s="678"/>
    </row>
    <row r="6539" spans="1:1" x14ac:dyDescent="0.3">
      <c r="A6539" s="678"/>
    </row>
    <row r="6540" spans="1:1" x14ac:dyDescent="0.3">
      <c r="A6540" s="678"/>
    </row>
    <row r="6541" spans="1:1" x14ac:dyDescent="0.3">
      <c r="A6541" s="678"/>
    </row>
    <row r="6542" spans="1:1" x14ac:dyDescent="0.3">
      <c r="A6542" s="678"/>
    </row>
    <row r="6543" spans="1:1" x14ac:dyDescent="0.3">
      <c r="A6543" s="678"/>
    </row>
    <row r="6544" spans="1:1" x14ac:dyDescent="0.3">
      <c r="A6544" s="678"/>
    </row>
    <row r="6545" spans="1:1" x14ac:dyDescent="0.3">
      <c r="A6545" s="678"/>
    </row>
    <row r="6546" spans="1:1" x14ac:dyDescent="0.3">
      <c r="A6546" s="678"/>
    </row>
    <row r="6547" spans="1:1" x14ac:dyDescent="0.3">
      <c r="A6547" s="678"/>
    </row>
    <row r="6548" spans="1:1" x14ac:dyDescent="0.3">
      <c r="A6548" s="678"/>
    </row>
    <row r="6549" spans="1:1" x14ac:dyDescent="0.3">
      <c r="A6549" s="678"/>
    </row>
    <row r="6550" spans="1:1" x14ac:dyDescent="0.3">
      <c r="A6550" s="678"/>
    </row>
    <row r="6551" spans="1:1" x14ac:dyDescent="0.3">
      <c r="A6551" s="678"/>
    </row>
    <row r="6552" spans="1:1" x14ac:dyDescent="0.3">
      <c r="A6552" s="678"/>
    </row>
    <row r="6553" spans="1:1" x14ac:dyDescent="0.3">
      <c r="A6553" s="678"/>
    </row>
    <row r="6554" spans="1:1" x14ac:dyDescent="0.3">
      <c r="A6554" s="678"/>
    </row>
    <row r="6555" spans="1:1" x14ac:dyDescent="0.3">
      <c r="A6555" s="678"/>
    </row>
    <row r="6556" spans="1:1" x14ac:dyDescent="0.3">
      <c r="A6556" s="678"/>
    </row>
    <row r="6557" spans="1:1" x14ac:dyDescent="0.3">
      <c r="A6557" s="678"/>
    </row>
    <row r="6558" spans="1:1" x14ac:dyDescent="0.3">
      <c r="A6558" s="678"/>
    </row>
    <row r="6559" spans="1:1" x14ac:dyDescent="0.3">
      <c r="A6559" s="678"/>
    </row>
    <row r="6560" spans="1:1" x14ac:dyDescent="0.3">
      <c r="A6560" s="678"/>
    </row>
    <row r="6561" spans="1:1" x14ac:dyDescent="0.3">
      <c r="A6561" s="678"/>
    </row>
    <row r="6562" spans="1:1" x14ac:dyDescent="0.3">
      <c r="A6562" s="678"/>
    </row>
    <row r="6563" spans="1:1" x14ac:dyDescent="0.3">
      <c r="A6563" s="678"/>
    </row>
    <row r="6564" spans="1:1" x14ac:dyDescent="0.3">
      <c r="A6564" s="678"/>
    </row>
    <row r="6565" spans="1:1" x14ac:dyDescent="0.3">
      <c r="A6565" s="678"/>
    </row>
    <row r="6566" spans="1:1" x14ac:dyDescent="0.3">
      <c r="A6566" s="678"/>
    </row>
    <row r="6567" spans="1:1" x14ac:dyDescent="0.3">
      <c r="A6567" s="678"/>
    </row>
    <row r="6568" spans="1:1" x14ac:dyDescent="0.3">
      <c r="A6568" s="678"/>
    </row>
    <row r="6569" spans="1:1" x14ac:dyDescent="0.3">
      <c r="A6569" s="678"/>
    </row>
    <row r="6570" spans="1:1" x14ac:dyDescent="0.3">
      <c r="A6570" s="678"/>
    </row>
    <row r="6571" spans="1:1" x14ac:dyDescent="0.3">
      <c r="A6571" s="678"/>
    </row>
    <row r="6572" spans="1:1" x14ac:dyDescent="0.3">
      <c r="A6572" s="678"/>
    </row>
    <row r="6573" spans="1:1" x14ac:dyDescent="0.3">
      <c r="A6573" s="678"/>
    </row>
    <row r="6574" spans="1:1" x14ac:dyDescent="0.3">
      <c r="A6574" s="678"/>
    </row>
    <row r="6575" spans="1:1" x14ac:dyDescent="0.3">
      <c r="A6575" s="678"/>
    </row>
    <row r="6576" spans="1:1" x14ac:dyDescent="0.3">
      <c r="A6576" s="678"/>
    </row>
    <row r="6577" spans="1:1" x14ac:dyDescent="0.3">
      <c r="A6577" s="678"/>
    </row>
    <row r="6578" spans="1:1" x14ac:dyDescent="0.3">
      <c r="A6578" s="678"/>
    </row>
    <row r="6579" spans="1:1" x14ac:dyDescent="0.3">
      <c r="A6579" s="678"/>
    </row>
    <row r="6580" spans="1:1" x14ac:dyDescent="0.3">
      <c r="A6580" s="678"/>
    </row>
    <row r="6581" spans="1:1" x14ac:dyDescent="0.3">
      <c r="A6581" s="678"/>
    </row>
    <row r="6582" spans="1:1" x14ac:dyDescent="0.3">
      <c r="A6582" s="678"/>
    </row>
    <row r="6583" spans="1:1" x14ac:dyDescent="0.3">
      <c r="A6583" s="678"/>
    </row>
    <row r="6584" spans="1:1" x14ac:dyDescent="0.3">
      <c r="A6584" s="678"/>
    </row>
    <row r="6585" spans="1:1" x14ac:dyDescent="0.3">
      <c r="A6585" s="678"/>
    </row>
    <row r="6586" spans="1:1" x14ac:dyDescent="0.3">
      <c r="A6586" s="678"/>
    </row>
    <row r="6587" spans="1:1" x14ac:dyDescent="0.3">
      <c r="A6587" s="678"/>
    </row>
    <row r="6588" spans="1:1" x14ac:dyDescent="0.3">
      <c r="A6588" s="678"/>
    </row>
    <row r="6589" spans="1:1" x14ac:dyDescent="0.3">
      <c r="A6589" s="678"/>
    </row>
    <row r="6590" spans="1:1" x14ac:dyDescent="0.3">
      <c r="A6590" s="678"/>
    </row>
    <row r="6591" spans="1:1" x14ac:dyDescent="0.3">
      <c r="A6591" s="678"/>
    </row>
    <row r="6592" spans="1:1" x14ac:dyDescent="0.3">
      <c r="A6592" s="678"/>
    </row>
    <row r="6593" spans="1:1" x14ac:dyDescent="0.3">
      <c r="A6593" s="678"/>
    </row>
    <row r="6594" spans="1:1" x14ac:dyDescent="0.3">
      <c r="A6594" s="678"/>
    </row>
    <row r="6595" spans="1:1" x14ac:dyDescent="0.3">
      <c r="A6595" s="678"/>
    </row>
    <row r="6596" spans="1:1" x14ac:dyDescent="0.3">
      <c r="A6596" s="678"/>
    </row>
    <row r="6597" spans="1:1" x14ac:dyDescent="0.3">
      <c r="A6597" s="678"/>
    </row>
    <row r="6598" spans="1:1" x14ac:dyDescent="0.3">
      <c r="A6598" s="678"/>
    </row>
    <row r="6599" spans="1:1" x14ac:dyDescent="0.3">
      <c r="A6599" s="678"/>
    </row>
    <row r="6600" spans="1:1" x14ac:dyDescent="0.3">
      <c r="A6600" s="678"/>
    </row>
    <row r="6601" spans="1:1" x14ac:dyDescent="0.3">
      <c r="A6601" s="678"/>
    </row>
    <row r="6602" spans="1:1" x14ac:dyDescent="0.3">
      <c r="A6602" s="678"/>
    </row>
    <row r="6603" spans="1:1" x14ac:dyDescent="0.3">
      <c r="A6603" s="678"/>
    </row>
    <row r="6604" spans="1:1" x14ac:dyDescent="0.3">
      <c r="A6604" s="678"/>
    </row>
    <row r="6605" spans="1:1" x14ac:dyDescent="0.3">
      <c r="A6605" s="678"/>
    </row>
    <row r="6606" spans="1:1" x14ac:dyDescent="0.3">
      <c r="A6606" s="678"/>
    </row>
    <row r="6607" spans="1:1" x14ac:dyDescent="0.3">
      <c r="A6607" s="678"/>
    </row>
    <row r="6608" spans="1:1" x14ac:dyDescent="0.3">
      <c r="A6608" s="678"/>
    </row>
    <row r="6609" spans="1:1" x14ac:dyDescent="0.3">
      <c r="A6609" s="678"/>
    </row>
    <row r="6610" spans="1:1" x14ac:dyDescent="0.3">
      <c r="A6610" s="678"/>
    </row>
    <row r="6611" spans="1:1" x14ac:dyDescent="0.3">
      <c r="A6611" s="678"/>
    </row>
    <row r="6612" spans="1:1" x14ac:dyDescent="0.3">
      <c r="A6612" s="678"/>
    </row>
    <row r="6613" spans="1:1" x14ac:dyDescent="0.3">
      <c r="A6613" s="678"/>
    </row>
    <row r="6614" spans="1:1" x14ac:dyDescent="0.3">
      <c r="A6614" s="678"/>
    </row>
    <row r="6615" spans="1:1" x14ac:dyDescent="0.3">
      <c r="A6615" s="678"/>
    </row>
    <row r="6616" spans="1:1" x14ac:dyDescent="0.3">
      <c r="A6616" s="678"/>
    </row>
    <row r="6617" spans="1:1" x14ac:dyDescent="0.3">
      <c r="A6617" s="678"/>
    </row>
    <row r="6618" spans="1:1" x14ac:dyDescent="0.3">
      <c r="A6618" s="678"/>
    </row>
    <row r="6619" spans="1:1" x14ac:dyDescent="0.3">
      <c r="A6619" s="678"/>
    </row>
    <row r="6620" spans="1:1" x14ac:dyDescent="0.3">
      <c r="A6620" s="678"/>
    </row>
    <row r="6621" spans="1:1" x14ac:dyDescent="0.3">
      <c r="A6621" s="678"/>
    </row>
    <row r="6622" spans="1:1" x14ac:dyDescent="0.3">
      <c r="A6622" s="678"/>
    </row>
    <row r="6623" spans="1:1" x14ac:dyDescent="0.3">
      <c r="A6623" s="678"/>
    </row>
    <row r="6624" spans="1:1" x14ac:dyDescent="0.3">
      <c r="A6624" s="678"/>
    </row>
    <row r="6625" spans="1:1" x14ac:dyDescent="0.3">
      <c r="A6625" s="678"/>
    </row>
    <row r="6626" spans="1:1" x14ac:dyDescent="0.3">
      <c r="A6626" s="678"/>
    </row>
    <row r="6627" spans="1:1" x14ac:dyDescent="0.3">
      <c r="A6627" s="678"/>
    </row>
    <row r="6628" spans="1:1" x14ac:dyDescent="0.3">
      <c r="A6628" s="678"/>
    </row>
    <row r="6629" spans="1:1" x14ac:dyDescent="0.3">
      <c r="A6629" s="678"/>
    </row>
    <row r="6630" spans="1:1" x14ac:dyDescent="0.3">
      <c r="A6630" s="678"/>
    </row>
    <row r="6631" spans="1:1" x14ac:dyDescent="0.3">
      <c r="A6631" s="678"/>
    </row>
    <row r="6632" spans="1:1" x14ac:dyDescent="0.3">
      <c r="A6632" s="678"/>
    </row>
    <row r="6633" spans="1:1" x14ac:dyDescent="0.3">
      <c r="A6633" s="678"/>
    </row>
    <row r="6634" spans="1:1" x14ac:dyDescent="0.3">
      <c r="A6634" s="678"/>
    </row>
    <row r="6635" spans="1:1" x14ac:dyDescent="0.3">
      <c r="A6635" s="678"/>
    </row>
    <row r="6636" spans="1:1" x14ac:dyDescent="0.3">
      <c r="A6636" s="678"/>
    </row>
    <row r="6637" spans="1:1" x14ac:dyDescent="0.3">
      <c r="A6637" s="678"/>
    </row>
    <row r="6638" spans="1:1" x14ac:dyDescent="0.3">
      <c r="A6638" s="678"/>
    </row>
    <row r="6639" spans="1:1" x14ac:dyDescent="0.3">
      <c r="A6639" s="678"/>
    </row>
    <row r="6640" spans="1:1" x14ac:dyDescent="0.3">
      <c r="A6640" s="678"/>
    </row>
    <row r="6641" spans="1:1" x14ac:dyDescent="0.3">
      <c r="A6641" s="678"/>
    </row>
    <row r="6642" spans="1:1" x14ac:dyDescent="0.3">
      <c r="A6642" s="678"/>
    </row>
    <row r="6643" spans="1:1" x14ac:dyDescent="0.3">
      <c r="A6643" s="678"/>
    </row>
    <row r="6644" spans="1:1" x14ac:dyDescent="0.3">
      <c r="A6644" s="678"/>
    </row>
    <row r="6645" spans="1:1" x14ac:dyDescent="0.3">
      <c r="A6645" s="678"/>
    </row>
    <row r="6646" spans="1:1" x14ac:dyDescent="0.3">
      <c r="A6646" s="678"/>
    </row>
    <row r="6647" spans="1:1" x14ac:dyDescent="0.3">
      <c r="A6647" s="678"/>
    </row>
    <row r="6648" spans="1:1" x14ac:dyDescent="0.3">
      <c r="A6648" s="678"/>
    </row>
    <row r="6649" spans="1:1" x14ac:dyDescent="0.3">
      <c r="A6649" s="678"/>
    </row>
    <row r="6650" spans="1:1" x14ac:dyDescent="0.3">
      <c r="A6650" s="678"/>
    </row>
    <row r="6651" spans="1:1" x14ac:dyDescent="0.3">
      <c r="A6651" s="678"/>
    </row>
    <row r="6652" spans="1:1" x14ac:dyDescent="0.3">
      <c r="A6652" s="678"/>
    </row>
    <row r="6653" spans="1:1" x14ac:dyDescent="0.3">
      <c r="A6653" s="678"/>
    </row>
    <row r="6654" spans="1:1" x14ac:dyDescent="0.3">
      <c r="A6654" s="678"/>
    </row>
    <row r="6655" spans="1:1" x14ac:dyDescent="0.3">
      <c r="A6655" s="678"/>
    </row>
    <row r="6656" spans="1:1" x14ac:dyDescent="0.3">
      <c r="A6656" s="678"/>
    </row>
    <row r="6657" spans="1:1" x14ac:dyDescent="0.3">
      <c r="A6657" s="678"/>
    </row>
    <row r="6658" spans="1:1" x14ac:dyDescent="0.3">
      <c r="A6658" s="678"/>
    </row>
    <row r="6659" spans="1:1" x14ac:dyDescent="0.3">
      <c r="A6659" s="678"/>
    </row>
    <row r="6660" spans="1:1" x14ac:dyDescent="0.3">
      <c r="A6660" s="678"/>
    </row>
    <row r="6661" spans="1:1" x14ac:dyDescent="0.3">
      <c r="A6661" s="678"/>
    </row>
    <row r="6662" spans="1:1" x14ac:dyDescent="0.3">
      <c r="A6662" s="678"/>
    </row>
    <row r="6663" spans="1:1" x14ac:dyDescent="0.3">
      <c r="A6663" s="678"/>
    </row>
    <row r="6664" spans="1:1" x14ac:dyDescent="0.3">
      <c r="A6664" s="678"/>
    </row>
    <row r="6665" spans="1:1" x14ac:dyDescent="0.3">
      <c r="A6665" s="678"/>
    </row>
    <row r="6666" spans="1:1" x14ac:dyDescent="0.3">
      <c r="A6666" s="678"/>
    </row>
    <row r="6667" spans="1:1" x14ac:dyDescent="0.3">
      <c r="A6667" s="678"/>
    </row>
    <row r="6668" spans="1:1" x14ac:dyDescent="0.3">
      <c r="A6668" s="678"/>
    </row>
    <row r="6669" spans="1:1" x14ac:dyDescent="0.3">
      <c r="A6669" s="678"/>
    </row>
    <row r="6670" spans="1:1" x14ac:dyDescent="0.3">
      <c r="A6670" s="678"/>
    </row>
    <row r="6671" spans="1:1" x14ac:dyDescent="0.3">
      <c r="A6671" s="678"/>
    </row>
    <row r="6672" spans="1:1" x14ac:dyDescent="0.3">
      <c r="A6672" s="678"/>
    </row>
    <row r="6673" spans="1:1" x14ac:dyDescent="0.3">
      <c r="A6673" s="678"/>
    </row>
    <row r="6674" spans="1:1" x14ac:dyDescent="0.3">
      <c r="A6674" s="678"/>
    </row>
    <row r="6675" spans="1:1" x14ac:dyDescent="0.3">
      <c r="A6675" s="678"/>
    </row>
    <row r="6676" spans="1:1" x14ac:dyDescent="0.3">
      <c r="A6676" s="678"/>
    </row>
    <row r="6677" spans="1:1" x14ac:dyDescent="0.3">
      <c r="A6677" s="678"/>
    </row>
    <row r="6678" spans="1:1" x14ac:dyDescent="0.3">
      <c r="A6678" s="678"/>
    </row>
    <row r="6679" spans="1:1" x14ac:dyDescent="0.3">
      <c r="A6679" s="678"/>
    </row>
    <row r="6680" spans="1:1" x14ac:dyDescent="0.3">
      <c r="A6680" s="678"/>
    </row>
    <row r="6681" spans="1:1" x14ac:dyDescent="0.3">
      <c r="A6681" s="678"/>
    </row>
    <row r="6682" spans="1:1" x14ac:dyDescent="0.3">
      <c r="A6682" s="678"/>
    </row>
    <row r="6683" spans="1:1" x14ac:dyDescent="0.3">
      <c r="A6683" s="678"/>
    </row>
    <row r="6684" spans="1:1" x14ac:dyDescent="0.3">
      <c r="A6684" s="678"/>
    </row>
    <row r="6685" spans="1:1" x14ac:dyDescent="0.3">
      <c r="A6685" s="678"/>
    </row>
    <row r="6686" spans="1:1" x14ac:dyDescent="0.3">
      <c r="A6686" s="678"/>
    </row>
    <row r="6687" spans="1:1" x14ac:dyDescent="0.3">
      <c r="A6687" s="678"/>
    </row>
    <row r="6688" spans="1:1" x14ac:dyDescent="0.3">
      <c r="A6688" s="678"/>
    </row>
    <row r="6689" spans="1:1" x14ac:dyDescent="0.3">
      <c r="A6689" s="678"/>
    </row>
    <row r="6690" spans="1:1" x14ac:dyDescent="0.3">
      <c r="A6690" s="678"/>
    </row>
    <row r="6691" spans="1:1" x14ac:dyDescent="0.3">
      <c r="A6691" s="678"/>
    </row>
    <row r="6692" spans="1:1" x14ac:dyDescent="0.3">
      <c r="A6692" s="678"/>
    </row>
    <row r="6693" spans="1:1" x14ac:dyDescent="0.3">
      <c r="A6693" s="678"/>
    </row>
    <row r="6694" spans="1:1" x14ac:dyDescent="0.3">
      <c r="A6694" s="678"/>
    </row>
    <row r="6695" spans="1:1" x14ac:dyDescent="0.3">
      <c r="A6695" s="678"/>
    </row>
    <row r="6696" spans="1:1" x14ac:dyDescent="0.3">
      <c r="A6696" s="678"/>
    </row>
    <row r="6697" spans="1:1" x14ac:dyDescent="0.3">
      <c r="A6697" s="678"/>
    </row>
    <row r="6698" spans="1:1" x14ac:dyDescent="0.3">
      <c r="A6698" s="678"/>
    </row>
    <row r="6699" spans="1:1" x14ac:dyDescent="0.3">
      <c r="A6699" s="678"/>
    </row>
    <row r="6700" spans="1:1" x14ac:dyDescent="0.3">
      <c r="A6700" s="678"/>
    </row>
    <row r="6701" spans="1:1" x14ac:dyDescent="0.3">
      <c r="A6701" s="678"/>
    </row>
    <row r="6702" spans="1:1" x14ac:dyDescent="0.3">
      <c r="A6702" s="678"/>
    </row>
    <row r="6703" spans="1:1" x14ac:dyDescent="0.3">
      <c r="A6703" s="678"/>
    </row>
    <row r="6704" spans="1:1" x14ac:dyDescent="0.3">
      <c r="A6704" s="678"/>
    </row>
    <row r="6705" spans="1:1" x14ac:dyDescent="0.3">
      <c r="A6705" s="678"/>
    </row>
    <row r="6706" spans="1:1" x14ac:dyDescent="0.3">
      <c r="A6706" s="678"/>
    </row>
    <row r="6707" spans="1:1" x14ac:dyDescent="0.3">
      <c r="A6707" s="678"/>
    </row>
    <row r="6708" spans="1:1" x14ac:dyDescent="0.3">
      <c r="A6708" s="678"/>
    </row>
    <row r="6709" spans="1:1" x14ac:dyDescent="0.3">
      <c r="A6709" s="678"/>
    </row>
    <row r="6710" spans="1:1" x14ac:dyDescent="0.3">
      <c r="A6710" s="678"/>
    </row>
    <row r="6711" spans="1:1" x14ac:dyDescent="0.3">
      <c r="A6711" s="678"/>
    </row>
    <row r="6712" spans="1:1" x14ac:dyDescent="0.3">
      <c r="A6712" s="678"/>
    </row>
    <row r="6713" spans="1:1" x14ac:dyDescent="0.3">
      <c r="A6713" s="678"/>
    </row>
    <row r="6714" spans="1:1" x14ac:dyDescent="0.3">
      <c r="A6714" s="678"/>
    </row>
    <row r="6715" spans="1:1" x14ac:dyDescent="0.3">
      <c r="A6715" s="678"/>
    </row>
    <row r="6716" spans="1:1" x14ac:dyDescent="0.3">
      <c r="A6716" s="678"/>
    </row>
    <row r="6717" spans="1:1" x14ac:dyDescent="0.3">
      <c r="A6717" s="678"/>
    </row>
    <row r="6718" spans="1:1" x14ac:dyDescent="0.3">
      <c r="A6718" s="678"/>
    </row>
    <row r="6719" spans="1:1" x14ac:dyDescent="0.3">
      <c r="A6719" s="678"/>
    </row>
    <row r="6720" spans="1:1" x14ac:dyDescent="0.3">
      <c r="A6720" s="678"/>
    </row>
    <row r="6721" spans="1:1" x14ac:dyDescent="0.3">
      <c r="A6721" s="678"/>
    </row>
    <row r="6722" spans="1:1" x14ac:dyDescent="0.3">
      <c r="A6722" s="678"/>
    </row>
    <row r="6723" spans="1:1" x14ac:dyDescent="0.3">
      <c r="A6723" s="678"/>
    </row>
    <row r="6724" spans="1:1" x14ac:dyDescent="0.3">
      <c r="A6724" s="678"/>
    </row>
    <row r="6725" spans="1:1" x14ac:dyDescent="0.3">
      <c r="A6725" s="678"/>
    </row>
    <row r="6726" spans="1:1" x14ac:dyDescent="0.3">
      <c r="A6726" s="678"/>
    </row>
    <row r="6727" spans="1:1" x14ac:dyDescent="0.3">
      <c r="A6727" s="678"/>
    </row>
    <row r="6728" spans="1:1" x14ac:dyDescent="0.3">
      <c r="A6728" s="678"/>
    </row>
    <row r="6729" spans="1:1" x14ac:dyDescent="0.3">
      <c r="A6729" s="678"/>
    </row>
    <row r="6730" spans="1:1" x14ac:dyDescent="0.3">
      <c r="A6730" s="678"/>
    </row>
    <row r="6731" spans="1:1" x14ac:dyDescent="0.3">
      <c r="A6731" s="678"/>
    </row>
    <row r="6732" spans="1:1" x14ac:dyDescent="0.3">
      <c r="A6732" s="678"/>
    </row>
    <row r="6733" spans="1:1" x14ac:dyDescent="0.3">
      <c r="A6733" s="678"/>
    </row>
    <row r="6734" spans="1:1" x14ac:dyDescent="0.3">
      <c r="A6734" s="678"/>
    </row>
    <row r="6735" spans="1:1" x14ac:dyDescent="0.3">
      <c r="A6735" s="678"/>
    </row>
    <row r="6736" spans="1:1" x14ac:dyDescent="0.3">
      <c r="A6736" s="678"/>
    </row>
    <row r="6737" spans="1:1" x14ac:dyDescent="0.3">
      <c r="A6737" s="678"/>
    </row>
    <row r="6738" spans="1:1" x14ac:dyDescent="0.3">
      <c r="A6738" s="678"/>
    </row>
    <row r="6739" spans="1:1" x14ac:dyDescent="0.3">
      <c r="A6739" s="678"/>
    </row>
    <row r="6740" spans="1:1" x14ac:dyDescent="0.3">
      <c r="A6740" s="678"/>
    </row>
    <row r="6741" spans="1:1" x14ac:dyDescent="0.3">
      <c r="A6741" s="678"/>
    </row>
    <row r="6742" spans="1:1" x14ac:dyDescent="0.3">
      <c r="A6742" s="678"/>
    </row>
    <row r="6743" spans="1:1" x14ac:dyDescent="0.3">
      <c r="A6743" s="678"/>
    </row>
    <row r="6744" spans="1:1" x14ac:dyDescent="0.3">
      <c r="A6744" s="678"/>
    </row>
    <row r="6745" spans="1:1" x14ac:dyDescent="0.3">
      <c r="A6745" s="678"/>
    </row>
    <row r="6746" spans="1:1" x14ac:dyDescent="0.3">
      <c r="A6746" s="678"/>
    </row>
    <row r="6747" spans="1:1" x14ac:dyDescent="0.3">
      <c r="A6747" s="678"/>
    </row>
    <row r="6748" spans="1:1" x14ac:dyDescent="0.3">
      <c r="A6748" s="678"/>
    </row>
    <row r="6749" spans="1:1" x14ac:dyDescent="0.3">
      <c r="A6749" s="678"/>
    </row>
    <row r="6750" spans="1:1" x14ac:dyDescent="0.3">
      <c r="A6750" s="678"/>
    </row>
    <row r="6751" spans="1:1" x14ac:dyDescent="0.3">
      <c r="A6751" s="678"/>
    </row>
    <row r="6752" spans="1:1" x14ac:dyDescent="0.3">
      <c r="A6752" s="678"/>
    </row>
    <row r="6753" spans="1:1" x14ac:dyDescent="0.3">
      <c r="A6753" s="678"/>
    </row>
    <row r="6754" spans="1:1" x14ac:dyDescent="0.3">
      <c r="A6754" s="678"/>
    </row>
    <row r="6755" spans="1:1" x14ac:dyDescent="0.3">
      <c r="A6755" s="678"/>
    </row>
    <row r="6756" spans="1:1" x14ac:dyDescent="0.3">
      <c r="A6756" s="678"/>
    </row>
    <row r="6757" spans="1:1" x14ac:dyDescent="0.3">
      <c r="A6757" s="678"/>
    </row>
    <row r="6758" spans="1:1" x14ac:dyDescent="0.3">
      <c r="A6758" s="678"/>
    </row>
    <row r="6759" spans="1:1" x14ac:dyDescent="0.3">
      <c r="A6759" s="678"/>
    </row>
    <row r="6760" spans="1:1" x14ac:dyDescent="0.3">
      <c r="A6760" s="678"/>
    </row>
    <row r="6761" spans="1:1" x14ac:dyDescent="0.3">
      <c r="A6761" s="678"/>
    </row>
    <row r="6762" spans="1:1" x14ac:dyDescent="0.3">
      <c r="A6762" s="678"/>
    </row>
    <row r="6763" spans="1:1" x14ac:dyDescent="0.3">
      <c r="A6763" s="678"/>
    </row>
    <row r="6764" spans="1:1" x14ac:dyDescent="0.3">
      <c r="A6764" s="678"/>
    </row>
    <row r="6765" spans="1:1" x14ac:dyDescent="0.3">
      <c r="A6765" s="678"/>
    </row>
    <row r="6766" spans="1:1" x14ac:dyDescent="0.3">
      <c r="A6766" s="678"/>
    </row>
    <row r="6767" spans="1:1" x14ac:dyDescent="0.3">
      <c r="A6767" s="678"/>
    </row>
    <row r="6768" spans="1:1" x14ac:dyDescent="0.3">
      <c r="A6768" s="678"/>
    </row>
    <row r="6769" spans="1:1" x14ac:dyDescent="0.3">
      <c r="A6769" s="678"/>
    </row>
    <row r="6770" spans="1:1" x14ac:dyDescent="0.3">
      <c r="A6770" s="678"/>
    </row>
    <row r="6771" spans="1:1" x14ac:dyDescent="0.3">
      <c r="A6771" s="678"/>
    </row>
    <row r="6772" spans="1:1" x14ac:dyDescent="0.3">
      <c r="A6772" s="678"/>
    </row>
    <row r="6773" spans="1:1" x14ac:dyDescent="0.3">
      <c r="A6773" s="678"/>
    </row>
    <row r="6774" spans="1:1" x14ac:dyDescent="0.3">
      <c r="A6774" s="678"/>
    </row>
    <row r="6775" spans="1:1" x14ac:dyDescent="0.3">
      <c r="A6775" s="678"/>
    </row>
    <row r="6776" spans="1:1" x14ac:dyDescent="0.3">
      <c r="A6776" s="678"/>
    </row>
    <row r="6777" spans="1:1" x14ac:dyDescent="0.3">
      <c r="A6777" s="678"/>
    </row>
    <row r="6778" spans="1:1" x14ac:dyDescent="0.3">
      <c r="A6778" s="678"/>
    </row>
    <row r="6779" spans="1:1" x14ac:dyDescent="0.3">
      <c r="A6779" s="678"/>
    </row>
    <row r="6780" spans="1:1" x14ac:dyDescent="0.3">
      <c r="A6780" s="678"/>
    </row>
    <row r="6781" spans="1:1" x14ac:dyDescent="0.3">
      <c r="A6781" s="678"/>
    </row>
    <row r="6782" spans="1:1" x14ac:dyDescent="0.3">
      <c r="A6782" s="678"/>
    </row>
    <row r="6783" spans="1:1" x14ac:dyDescent="0.3">
      <c r="A6783" s="678"/>
    </row>
    <row r="6784" spans="1:1" x14ac:dyDescent="0.3">
      <c r="A6784" s="678"/>
    </row>
    <row r="6785" spans="1:1" x14ac:dyDescent="0.3">
      <c r="A6785" s="678"/>
    </row>
    <row r="6786" spans="1:1" x14ac:dyDescent="0.3">
      <c r="A6786" s="678"/>
    </row>
    <row r="6787" spans="1:1" x14ac:dyDescent="0.3">
      <c r="A6787" s="678"/>
    </row>
    <row r="6788" spans="1:1" x14ac:dyDescent="0.3">
      <c r="A6788" s="678"/>
    </row>
    <row r="6789" spans="1:1" x14ac:dyDescent="0.3">
      <c r="A6789" s="678"/>
    </row>
    <row r="6790" spans="1:1" x14ac:dyDescent="0.3">
      <c r="A6790" s="678"/>
    </row>
    <row r="6791" spans="1:1" x14ac:dyDescent="0.3">
      <c r="A6791" s="678"/>
    </row>
    <row r="6792" spans="1:1" x14ac:dyDescent="0.3">
      <c r="A6792" s="678"/>
    </row>
    <row r="6793" spans="1:1" x14ac:dyDescent="0.3">
      <c r="A6793" s="678"/>
    </row>
    <row r="6794" spans="1:1" x14ac:dyDescent="0.3">
      <c r="A6794" s="678"/>
    </row>
    <row r="6795" spans="1:1" x14ac:dyDescent="0.3">
      <c r="A6795" s="678"/>
    </row>
    <row r="6796" spans="1:1" x14ac:dyDescent="0.3">
      <c r="A6796" s="678"/>
    </row>
    <row r="6797" spans="1:1" x14ac:dyDescent="0.3">
      <c r="A6797" s="678"/>
    </row>
    <row r="6798" spans="1:1" x14ac:dyDescent="0.3">
      <c r="A6798" s="678"/>
    </row>
    <row r="6799" spans="1:1" x14ac:dyDescent="0.3">
      <c r="A6799" s="678"/>
    </row>
    <row r="6800" spans="1:1" x14ac:dyDescent="0.3">
      <c r="A6800" s="678"/>
    </row>
    <row r="6801" spans="1:1" x14ac:dyDescent="0.3">
      <c r="A6801" s="678"/>
    </row>
    <row r="6802" spans="1:1" x14ac:dyDescent="0.3">
      <c r="A6802" s="678"/>
    </row>
    <row r="6803" spans="1:1" x14ac:dyDescent="0.3">
      <c r="A6803" s="678"/>
    </row>
    <row r="6804" spans="1:1" x14ac:dyDescent="0.3">
      <c r="A6804" s="678"/>
    </row>
    <row r="6805" spans="1:1" x14ac:dyDescent="0.3">
      <c r="A6805" s="678"/>
    </row>
    <row r="6806" spans="1:1" x14ac:dyDescent="0.3">
      <c r="A6806" s="678"/>
    </row>
    <row r="6807" spans="1:1" x14ac:dyDescent="0.3">
      <c r="A6807" s="678"/>
    </row>
    <row r="6808" spans="1:1" x14ac:dyDescent="0.3">
      <c r="A6808" s="678"/>
    </row>
    <row r="6809" spans="1:1" x14ac:dyDescent="0.3">
      <c r="A6809" s="678"/>
    </row>
    <row r="6810" spans="1:1" x14ac:dyDescent="0.3">
      <c r="A6810" s="678"/>
    </row>
    <row r="6811" spans="1:1" x14ac:dyDescent="0.3">
      <c r="A6811" s="678"/>
    </row>
    <row r="6812" spans="1:1" x14ac:dyDescent="0.3">
      <c r="A6812" s="678"/>
    </row>
    <row r="6813" spans="1:1" x14ac:dyDescent="0.3">
      <c r="A6813" s="678"/>
    </row>
    <row r="6814" spans="1:1" x14ac:dyDescent="0.3">
      <c r="A6814" s="678"/>
    </row>
    <row r="6815" spans="1:1" x14ac:dyDescent="0.3">
      <c r="A6815" s="678"/>
    </row>
    <row r="6816" spans="1:1" x14ac:dyDescent="0.3">
      <c r="A6816" s="678"/>
    </row>
    <row r="6817" spans="1:1" x14ac:dyDescent="0.3">
      <c r="A6817" s="678"/>
    </row>
    <row r="6818" spans="1:1" x14ac:dyDescent="0.3">
      <c r="A6818" s="678"/>
    </row>
    <row r="6819" spans="1:1" x14ac:dyDescent="0.3">
      <c r="A6819" s="678"/>
    </row>
    <row r="6820" spans="1:1" x14ac:dyDescent="0.3">
      <c r="A6820" s="678"/>
    </row>
    <row r="6821" spans="1:1" x14ac:dyDescent="0.3">
      <c r="A6821" s="678"/>
    </row>
    <row r="6822" spans="1:1" x14ac:dyDescent="0.3">
      <c r="A6822" s="678"/>
    </row>
    <row r="6823" spans="1:1" x14ac:dyDescent="0.3">
      <c r="A6823" s="678"/>
    </row>
    <row r="6824" spans="1:1" x14ac:dyDescent="0.3">
      <c r="A6824" s="678"/>
    </row>
    <row r="6825" spans="1:1" x14ac:dyDescent="0.3">
      <c r="A6825" s="678"/>
    </row>
    <row r="6826" spans="1:1" x14ac:dyDescent="0.3">
      <c r="A6826" s="678"/>
    </row>
    <row r="6827" spans="1:1" x14ac:dyDescent="0.3">
      <c r="A6827" s="678"/>
    </row>
    <row r="6828" spans="1:1" x14ac:dyDescent="0.3">
      <c r="A6828" s="678"/>
    </row>
    <row r="6829" spans="1:1" x14ac:dyDescent="0.3">
      <c r="A6829" s="678"/>
    </row>
    <row r="6830" spans="1:1" x14ac:dyDescent="0.3">
      <c r="A6830" s="678"/>
    </row>
    <row r="6831" spans="1:1" x14ac:dyDescent="0.3">
      <c r="A6831" s="678"/>
    </row>
    <row r="6832" spans="1:1" x14ac:dyDescent="0.3">
      <c r="A6832" s="678"/>
    </row>
    <row r="6833" spans="1:1" x14ac:dyDescent="0.3">
      <c r="A6833" s="678"/>
    </row>
    <row r="6834" spans="1:1" x14ac:dyDescent="0.3">
      <c r="A6834" s="678"/>
    </row>
    <row r="6835" spans="1:1" x14ac:dyDescent="0.3">
      <c r="A6835" s="678"/>
    </row>
    <row r="6836" spans="1:1" x14ac:dyDescent="0.3">
      <c r="A6836" s="678"/>
    </row>
    <row r="6837" spans="1:1" x14ac:dyDescent="0.3">
      <c r="A6837" s="678"/>
    </row>
    <row r="6838" spans="1:1" x14ac:dyDescent="0.3">
      <c r="A6838" s="678"/>
    </row>
    <row r="6839" spans="1:1" x14ac:dyDescent="0.3">
      <c r="A6839" s="678"/>
    </row>
    <row r="6840" spans="1:1" x14ac:dyDescent="0.3">
      <c r="A6840" s="678"/>
    </row>
    <row r="6841" spans="1:1" x14ac:dyDescent="0.3">
      <c r="A6841" s="678"/>
    </row>
    <row r="6842" spans="1:1" x14ac:dyDescent="0.3">
      <c r="A6842" s="678"/>
    </row>
    <row r="6843" spans="1:1" x14ac:dyDescent="0.3">
      <c r="A6843" s="678"/>
    </row>
    <row r="6844" spans="1:1" x14ac:dyDescent="0.3">
      <c r="A6844" s="678"/>
    </row>
    <row r="6845" spans="1:1" x14ac:dyDescent="0.3">
      <c r="A6845" s="678"/>
    </row>
    <row r="6846" spans="1:1" x14ac:dyDescent="0.3">
      <c r="A6846" s="678"/>
    </row>
    <row r="6847" spans="1:1" x14ac:dyDescent="0.3">
      <c r="A6847" s="678"/>
    </row>
    <row r="6848" spans="1:1" x14ac:dyDescent="0.3">
      <c r="A6848" s="678"/>
    </row>
    <row r="6849" spans="1:1" x14ac:dyDescent="0.3">
      <c r="A6849" s="678"/>
    </row>
    <row r="6850" spans="1:1" x14ac:dyDescent="0.3">
      <c r="A6850" s="678"/>
    </row>
    <row r="6851" spans="1:1" x14ac:dyDescent="0.3">
      <c r="A6851" s="678"/>
    </row>
    <row r="6852" spans="1:1" x14ac:dyDescent="0.3">
      <c r="A6852" s="678"/>
    </row>
    <row r="6853" spans="1:1" x14ac:dyDescent="0.3">
      <c r="A6853" s="678"/>
    </row>
    <row r="6854" spans="1:1" x14ac:dyDescent="0.3">
      <c r="A6854" s="678"/>
    </row>
    <row r="6855" spans="1:1" x14ac:dyDescent="0.3">
      <c r="A6855" s="678"/>
    </row>
    <row r="6856" spans="1:1" x14ac:dyDescent="0.3">
      <c r="A6856" s="678"/>
    </row>
    <row r="6857" spans="1:1" x14ac:dyDescent="0.3">
      <c r="A6857" s="678"/>
    </row>
    <row r="6858" spans="1:1" x14ac:dyDescent="0.3">
      <c r="A6858" s="678"/>
    </row>
    <row r="6859" spans="1:1" x14ac:dyDescent="0.3">
      <c r="A6859" s="678"/>
    </row>
    <row r="6860" spans="1:1" x14ac:dyDescent="0.3">
      <c r="A6860" s="678"/>
    </row>
    <row r="6861" spans="1:1" x14ac:dyDescent="0.3">
      <c r="A6861" s="678"/>
    </row>
    <row r="6862" spans="1:1" x14ac:dyDescent="0.3">
      <c r="A6862" s="678"/>
    </row>
    <row r="6863" spans="1:1" x14ac:dyDescent="0.3">
      <c r="A6863" s="678"/>
    </row>
    <row r="6864" spans="1:1" x14ac:dyDescent="0.3">
      <c r="A6864" s="678"/>
    </row>
    <row r="6865" spans="1:1" x14ac:dyDescent="0.3">
      <c r="A6865" s="678"/>
    </row>
    <row r="6866" spans="1:1" x14ac:dyDescent="0.3">
      <c r="A6866" s="678"/>
    </row>
    <row r="6867" spans="1:1" x14ac:dyDescent="0.3">
      <c r="A6867" s="678"/>
    </row>
    <row r="6868" spans="1:1" x14ac:dyDescent="0.3">
      <c r="A6868" s="678"/>
    </row>
    <row r="6869" spans="1:1" x14ac:dyDescent="0.3">
      <c r="A6869" s="678"/>
    </row>
    <row r="6870" spans="1:1" x14ac:dyDescent="0.3">
      <c r="A6870" s="678"/>
    </row>
    <row r="6871" spans="1:1" x14ac:dyDescent="0.3">
      <c r="A6871" s="678"/>
    </row>
    <row r="6872" spans="1:1" x14ac:dyDescent="0.3">
      <c r="A6872" s="678"/>
    </row>
    <row r="6873" spans="1:1" x14ac:dyDescent="0.3">
      <c r="A6873" s="678"/>
    </row>
    <row r="6874" spans="1:1" x14ac:dyDescent="0.3">
      <c r="A6874" s="678"/>
    </row>
    <row r="6875" spans="1:1" x14ac:dyDescent="0.3">
      <c r="A6875" s="678"/>
    </row>
    <row r="6876" spans="1:1" x14ac:dyDescent="0.3">
      <c r="A6876" s="678"/>
    </row>
    <row r="6877" spans="1:1" x14ac:dyDescent="0.3">
      <c r="A6877" s="678"/>
    </row>
    <row r="6878" spans="1:1" x14ac:dyDescent="0.3">
      <c r="A6878" s="678"/>
    </row>
    <row r="6879" spans="1:1" x14ac:dyDescent="0.3">
      <c r="A6879" s="678"/>
    </row>
    <row r="6880" spans="1:1" x14ac:dyDescent="0.3">
      <c r="A6880" s="678"/>
    </row>
    <row r="6881" spans="1:1" x14ac:dyDescent="0.3">
      <c r="A6881" s="678"/>
    </row>
    <row r="6882" spans="1:1" x14ac:dyDescent="0.3">
      <c r="A6882" s="678"/>
    </row>
    <row r="6883" spans="1:1" x14ac:dyDescent="0.3">
      <c r="A6883" s="678"/>
    </row>
    <row r="6884" spans="1:1" x14ac:dyDescent="0.3">
      <c r="A6884" s="678"/>
    </row>
    <row r="6885" spans="1:1" x14ac:dyDescent="0.3">
      <c r="A6885" s="678"/>
    </row>
    <row r="6886" spans="1:1" x14ac:dyDescent="0.3">
      <c r="A6886" s="678"/>
    </row>
    <row r="6887" spans="1:1" x14ac:dyDescent="0.3">
      <c r="A6887" s="678"/>
    </row>
    <row r="6888" spans="1:1" x14ac:dyDescent="0.3">
      <c r="A6888" s="678"/>
    </row>
    <row r="6889" spans="1:1" x14ac:dyDescent="0.3">
      <c r="A6889" s="678"/>
    </row>
    <row r="6890" spans="1:1" x14ac:dyDescent="0.3">
      <c r="A6890" s="678"/>
    </row>
    <row r="6891" spans="1:1" x14ac:dyDescent="0.3">
      <c r="A6891" s="678"/>
    </row>
    <row r="6892" spans="1:1" x14ac:dyDescent="0.3">
      <c r="A6892" s="678"/>
    </row>
    <row r="6893" spans="1:1" x14ac:dyDescent="0.3">
      <c r="A6893" s="678"/>
    </row>
    <row r="6894" spans="1:1" x14ac:dyDescent="0.3">
      <c r="A6894" s="678"/>
    </row>
    <row r="6895" spans="1:1" x14ac:dyDescent="0.3">
      <c r="A6895" s="678"/>
    </row>
    <row r="6896" spans="1:1" x14ac:dyDescent="0.3">
      <c r="A6896" s="678"/>
    </row>
    <row r="6897" spans="1:1" x14ac:dyDescent="0.3">
      <c r="A6897" s="678"/>
    </row>
    <row r="6898" spans="1:1" x14ac:dyDescent="0.3">
      <c r="A6898" s="678"/>
    </row>
    <row r="6899" spans="1:1" x14ac:dyDescent="0.3">
      <c r="A6899" s="678"/>
    </row>
    <row r="6900" spans="1:1" x14ac:dyDescent="0.3">
      <c r="A6900" s="678"/>
    </row>
    <row r="6901" spans="1:1" x14ac:dyDescent="0.3">
      <c r="A6901" s="678"/>
    </row>
    <row r="6902" spans="1:1" x14ac:dyDescent="0.3">
      <c r="A6902" s="678"/>
    </row>
    <row r="6903" spans="1:1" x14ac:dyDescent="0.3">
      <c r="A6903" s="678"/>
    </row>
    <row r="6904" spans="1:1" x14ac:dyDescent="0.3">
      <c r="A6904" s="678"/>
    </row>
    <row r="6905" spans="1:1" x14ac:dyDescent="0.3">
      <c r="A6905" s="678"/>
    </row>
    <row r="6906" spans="1:1" x14ac:dyDescent="0.3">
      <c r="A6906" s="678"/>
    </row>
    <row r="6907" spans="1:1" x14ac:dyDescent="0.3">
      <c r="A6907" s="678"/>
    </row>
    <row r="6908" spans="1:1" x14ac:dyDescent="0.3">
      <c r="A6908" s="678"/>
    </row>
    <row r="6909" spans="1:1" x14ac:dyDescent="0.3">
      <c r="A6909" s="678"/>
    </row>
    <row r="6910" spans="1:1" x14ac:dyDescent="0.3">
      <c r="A6910" s="678"/>
    </row>
    <row r="6911" spans="1:1" x14ac:dyDescent="0.3">
      <c r="A6911" s="678"/>
    </row>
    <row r="6912" spans="1:1" x14ac:dyDescent="0.3">
      <c r="A6912" s="678"/>
    </row>
    <row r="6913" spans="1:1" x14ac:dyDescent="0.3">
      <c r="A6913" s="678"/>
    </row>
    <row r="6914" spans="1:1" x14ac:dyDescent="0.3">
      <c r="A6914" s="678"/>
    </row>
    <row r="6915" spans="1:1" x14ac:dyDescent="0.3">
      <c r="A6915" s="678"/>
    </row>
    <row r="6916" spans="1:1" x14ac:dyDescent="0.3">
      <c r="A6916" s="678"/>
    </row>
    <row r="6917" spans="1:1" x14ac:dyDescent="0.3">
      <c r="A6917" s="678"/>
    </row>
    <row r="6918" spans="1:1" x14ac:dyDescent="0.3">
      <c r="A6918" s="678"/>
    </row>
    <row r="6919" spans="1:1" x14ac:dyDescent="0.3">
      <c r="A6919" s="678"/>
    </row>
    <row r="6920" spans="1:1" x14ac:dyDescent="0.3">
      <c r="A6920" s="678"/>
    </row>
    <row r="6921" spans="1:1" x14ac:dyDescent="0.3">
      <c r="A6921" s="678"/>
    </row>
    <row r="6922" spans="1:1" x14ac:dyDescent="0.3">
      <c r="A6922" s="678"/>
    </row>
    <row r="6923" spans="1:1" x14ac:dyDescent="0.3">
      <c r="A6923" s="678"/>
    </row>
    <row r="6924" spans="1:1" x14ac:dyDescent="0.3">
      <c r="A6924" s="678"/>
    </row>
    <row r="6925" spans="1:1" x14ac:dyDescent="0.3">
      <c r="A6925" s="678"/>
    </row>
    <row r="6926" spans="1:1" x14ac:dyDescent="0.3">
      <c r="A6926" s="678"/>
    </row>
    <row r="6927" spans="1:1" x14ac:dyDescent="0.3">
      <c r="A6927" s="678"/>
    </row>
    <row r="6928" spans="1:1" x14ac:dyDescent="0.3">
      <c r="A6928" s="678"/>
    </row>
    <row r="6929" spans="1:1" x14ac:dyDescent="0.3">
      <c r="A6929" s="678"/>
    </row>
    <row r="6930" spans="1:1" x14ac:dyDescent="0.3">
      <c r="A6930" s="678"/>
    </row>
    <row r="6931" spans="1:1" x14ac:dyDescent="0.3">
      <c r="A6931" s="678"/>
    </row>
    <row r="6932" spans="1:1" x14ac:dyDescent="0.3">
      <c r="A6932" s="678"/>
    </row>
    <row r="6933" spans="1:1" x14ac:dyDescent="0.3">
      <c r="A6933" s="678"/>
    </row>
    <row r="6934" spans="1:1" x14ac:dyDescent="0.3">
      <c r="A6934" s="678"/>
    </row>
    <row r="6935" spans="1:1" x14ac:dyDescent="0.3">
      <c r="A6935" s="678"/>
    </row>
    <row r="6936" spans="1:1" x14ac:dyDescent="0.3">
      <c r="A6936" s="678"/>
    </row>
    <row r="6937" spans="1:1" x14ac:dyDescent="0.3">
      <c r="A6937" s="678"/>
    </row>
    <row r="6938" spans="1:1" x14ac:dyDescent="0.3">
      <c r="A6938" s="678"/>
    </row>
    <row r="6939" spans="1:1" x14ac:dyDescent="0.3">
      <c r="A6939" s="678"/>
    </row>
    <row r="6940" spans="1:1" x14ac:dyDescent="0.3">
      <c r="A6940" s="678"/>
    </row>
    <row r="6941" spans="1:1" x14ac:dyDescent="0.3">
      <c r="A6941" s="678"/>
    </row>
    <row r="6942" spans="1:1" x14ac:dyDescent="0.3">
      <c r="A6942" s="678"/>
    </row>
    <row r="6943" spans="1:1" x14ac:dyDescent="0.3">
      <c r="A6943" s="678"/>
    </row>
    <row r="6944" spans="1:1" x14ac:dyDescent="0.3">
      <c r="A6944" s="678"/>
    </row>
    <row r="6945" spans="1:1" x14ac:dyDescent="0.3">
      <c r="A6945" s="678"/>
    </row>
    <row r="6946" spans="1:1" x14ac:dyDescent="0.3">
      <c r="A6946" s="678"/>
    </row>
    <row r="6947" spans="1:1" x14ac:dyDescent="0.3">
      <c r="A6947" s="678"/>
    </row>
    <row r="6948" spans="1:1" x14ac:dyDescent="0.3">
      <c r="A6948" s="678"/>
    </row>
    <row r="6949" spans="1:1" x14ac:dyDescent="0.3">
      <c r="A6949" s="678"/>
    </row>
    <row r="6950" spans="1:1" x14ac:dyDescent="0.3">
      <c r="A6950" s="678"/>
    </row>
    <row r="6951" spans="1:1" x14ac:dyDescent="0.3">
      <c r="A6951" s="678"/>
    </row>
    <row r="6952" spans="1:1" x14ac:dyDescent="0.3">
      <c r="A6952" s="678"/>
    </row>
    <row r="6953" spans="1:1" x14ac:dyDescent="0.3">
      <c r="A6953" s="678"/>
    </row>
    <row r="6954" spans="1:1" x14ac:dyDescent="0.3">
      <c r="A6954" s="678"/>
    </row>
    <row r="6955" spans="1:1" x14ac:dyDescent="0.3">
      <c r="A6955" s="678"/>
    </row>
    <row r="6956" spans="1:1" x14ac:dyDescent="0.3">
      <c r="A6956" s="678"/>
    </row>
    <row r="6957" spans="1:1" x14ac:dyDescent="0.3">
      <c r="A6957" s="678"/>
    </row>
    <row r="6958" spans="1:1" x14ac:dyDescent="0.3">
      <c r="A6958" s="678"/>
    </row>
    <row r="6959" spans="1:1" x14ac:dyDescent="0.3">
      <c r="A6959" s="678"/>
    </row>
    <row r="6960" spans="1:1" x14ac:dyDescent="0.3">
      <c r="A6960" s="678"/>
    </row>
    <row r="6961" spans="1:1" x14ac:dyDescent="0.3">
      <c r="A6961" s="678"/>
    </row>
    <row r="6962" spans="1:1" x14ac:dyDescent="0.3">
      <c r="A6962" s="678"/>
    </row>
    <row r="6963" spans="1:1" x14ac:dyDescent="0.3">
      <c r="A6963" s="678"/>
    </row>
    <row r="6964" spans="1:1" x14ac:dyDescent="0.3">
      <c r="A6964" s="678"/>
    </row>
    <row r="6965" spans="1:1" x14ac:dyDescent="0.3">
      <c r="A6965" s="678"/>
    </row>
    <row r="6966" spans="1:1" x14ac:dyDescent="0.3">
      <c r="A6966" s="678"/>
    </row>
    <row r="6967" spans="1:1" x14ac:dyDescent="0.3">
      <c r="A6967" s="678"/>
    </row>
    <row r="6968" spans="1:1" x14ac:dyDescent="0.3">
      <c r="A6968" s="678"/>
    </row>
    <row r="6969" spans="1:1" x14ac:dyDescent="0.3">
      <c r="A6969" s="678"/>
    </row>
    <row r="6970" spans="1:1" x14ac:dyDescent="0.3">
      <c r="A6970" s="678"/>
    </row>
    <row r="6971" spans="1:1" x14ac:dyDescent="0.3">
      <c r="A6971" s="678"/>
    </row>
    <row r="6972" spans="1:1" x14ac:dyDescent="0.3">
      <c r="A6972" s="678"/>
    </row>
    <row r="6973" spans="1:1" x14ac:dyDescent="0.3">
      <c r="A6973" s="678"/>
    </row>
    <row r="6974" spans="1:1" x14ac:dyDescent="0.3">
      <c r="A6974" s="678"/>
    </row>
    <row r="6975" spans="1:1" x14ac:dyDescent="0.3">
      <c r="A6975" s="678"/>
    </row>
    <row r="6976" spans="1:1" x14ac:dyDescent="0.3">
      <c r="A6976" s="678"/>
    </row>
    <row r="6977" spans="1:1" x14ac:dyDescent="0.3">
      <c r="A6977" s="678"/>
    </row>
    <row r="6978" spans="1:1" x14ac:dyDescent="0.3">
      <c r="A6978" s="678"/>
    </row>
    <row r="6979" spans="1:1" x14ac:dyDescent="0.3">
      <c r="A6979" s="678"/>
    </row>
    <row r="6980" spans="1:1" x14ac:dyDescent="0.3">
      <c r="A6980" s="678"/>
    </row>
    <row r="6981" spans="1:1" x14ac:dyDescent="0.3">
      <c r="A6981" s="678"/>
    </row>
    <row r="6982" spans="1:1" x14ac:dyDescent="0.3">
      <c r="A6982" s="678"/>
    </row>
    <row r="6983" spans="1:1" x14ac:dyDescent="0.3">
      <c r="A6983" s="678"/>
    </row>
    <row r="6984" spans="1:1" x14ac:dyDescent="0.3">
      <c r="A6984" s="678"/>
    </row>
    <row r="6985" spans="1:1" x14ac:dyDescent="0.3">
      <c r="A6985" s="678"/>
    </row>
    <row r="6986" spans="1:1" x14ac:dyDescent="0.3">
      <c r="A6986" s="678"/>
    </row>
    <row r="6987" spans="1:1" x14ac:dyDescent="0.3">
      <c r="A6987" s="678"/>
    </row>
    <row r="6988" spans="1:1" x14ac:dyDescent="0.3">
      <c r="A6988" s="678"/>
    </row>
    <row r="6989" spans="1:1" x14ac:dyDescent="0.3">
      <c r="A6989" s="678"/>
    </row>
    <row r="6990" spans="1:1" x14ac:dyDescent="0.3">
      <c r="A6990" s="678"/>
    </row>
    <row r="6991" spans="1:1" x14ac:dyDescent="0.3">
      <c r="A6991" s="678"/>
    </row>
    <row r="6992" spans="1:1" x14ac:dyDescent="0.3">
      <c r="A6992" s="678"/>
    </row>
    <row r="6993" spans="1:1" x14ac:dyDescent="0.3">
      <c r="A6993" s="678"/>
    </row>
    <row r="6994" spans="1:1" x14ac:dyDescent="0.3">
      <c r="A6994" s="678"/>
    </row>
    <row r="6995" spans="1:1" x14ac:dyDescent="0.3">
      <c r="A6995" s="678"/>
    </row>
    <row r="6996" spans="1:1" x14ac:dyDescent="0.3">
      <c r="A6996" s="678"/>
    </row>
    <row r="6997" spans="1:1" x14ac:dyDescent="0.3">
      <c r="A6997" s="678"/>
    </row>
    <row r="6998" spans="1:1" x14ac:dyDescent="0.3">
      <c r="A6998" s="678"/>
    </row>
    <row r="6999" spans="1:1" x14ac:dyDescent="0.3">
      <c r="A6999" s="678"/>
    </row>
    <row r="7000" spans="1:1" x14ac:dyDescent="0.3">
      <c r="A7000" s="678"/>
    </row>
    <row r="7001" spans="1:1" x14ac:dyDescent="0.3">
      <c r="A7001" s="678"/>
    </row>
    <row r="7002" spans="1:1" x14ac:dyDescent="0.3">
      <c r="A7002" s="678"/>
    </row>
    <row r="7003" spans="1:1" x14ac:dyDescent="0.3">
      <c r="A7003" s="678"/>
    </row>
    <row r="7004" spans="1:1" x14ac:dyDescent="0.3">
      <c r="A7004" s="678"/>
    </row>
    <row r="7005" spans="1:1" x14ac:dyDescent="0.3">
      <c r="A7005" s="678"/>
    </row>
    <row r="7006" spans="1:1" x14ac:dyDescent="0.3">
      <c r="A7006" s="678"/>
    </row>
    <row r="7007" spans="1:1" x14ac:dyDescent="0.3">
      <c r="A7007" s="678"/>
    </row>
    <row r="7008" spans="1:1" x14ac:dyDescent="0.3">
      <c r="A7008" s="678"/>
    </row>
    <row r="7009" spans="1:1" x14ac:dyDescent="0.3">
      <c r="A7009" s="678"/>
    </row>
    <row r="7010" spans="1:1" x14ac:dyDescent="0.3">
      <c r="A7010" s="678"/>
    </row>
    <row r="7011" spans="1:1" x14ac:dyDescent="0.3">
      <c r="A7011" s="678"/>
    </row>
    <row r="7012" spans="1:1" x14ac:dyDescent="0.3">
      <c r="A7012" s="678"/>
    </row>
    <row r="7013" spans="1:1" x14ac:dyDescent="0.3">
      <c r="A7013" s="678"/>
    </row>
    <row r="7014" spans="1:1" x14ac:dyDescent="0.3">
      <c r="A7014" s="678"/>
    </row>
    <row r="7015" spans="1:1" x14ac:dyDescent="0.3">
      <c r="A7015" s="678"/>
    </row>
    <row r="7016" spans="1:1" x14ac:dyDescent="0.3">
      <c r="A7016" s="678"/>
    </row>
    <row r="7017" spans="1:1" x14ac:dyDescent="0.3">
      <c r="A7017" s="678"/>
    </row>
    <row r="7018" spans="1:1" x14ac:dyDescent="0.3">
      <c r="A7018" s="678"/>
    </row>
    <row r="7019" spans="1:1" x14ac:dyDescent="0.3">
      <c r="A7019" s="678"/>
    </row>
    <row r="7020" spans="1:1" x14ac:dyDescent="0.3">
      <c r="A7020" s="678"/>
    </row>
    <row r="7021" spans="1:1" x14ac:dyDescent="0.3">
      <c r="A7021" s="678"/>
    </row>
    <row r="7022" spans="1:1" x14ac:dyDescent="0.3">
      <c r="A7022" s="678"/>
    </row>
    <row r="7023" spans="1:1" x14ac:dyDescent="0.3">
      <c r="A7023" s="678"/>
    </row>
    <row r="7024" spans="1:1" x14ac:dyDescent="0.3">
      <c r="A7024" s="678"/>
    </row>
    <row r="7025" spans="1:1" x14ac:dyDescent="0.3">
      <c r="A7025" s="678"/>
    </row>
    <row r="7026" spans="1:1" x14ac:dyDescent="0.3">
      <c r="A7026" s="678"/>
    </row>
    <row r="7027" spans="1:1" x14ac:dyDescent="0.3">
      <c r="A7027" s="678"/>
    </row>
    <row r="7028" spans="1:1" x14ac:dyDescent="0.3">
      <c r="A7028" s="678"/>
    </row>
    <row r="7029" spans="1:1" x14ac:dyDescent="0.3">
      <c r="A7029" s="678"/>
    </row>
    <row r="7030" spans="1:1" x14ac:dyDescent="0.3">
      <c r="A7030" s="678"/>
    </row>
    <row r="7031" spans="1:1" x14ac:dyDescent="0.3">
      <c r="A7031" s="678"/>
    </row>
    <row r="7032" spans="1:1" x14ac:dyDescent="0.3">
      <c r="A7032" s="678"/>
    </row>
    <row r="7033" spans="1:1" x14ac:dyDescent="0.3">
      <c r="A7033" s="678"/>
    </row>
    <row r="7034" spans="1:1" x14ac:dyDescent="0.3">
      <c r="A7034" s="678"/>
    </row>
    <row r="7035" spans="1:1" x14ac:dyDescent="0.3">
      <c r="A7035" s="678"/>
    </row>
    <row r="7036" spans="1:1" x14ac:dyDescent="0.3">
      <c r="A7036" s="678"/>
    </row>
    <row r="7037" spans="1:1" x14ac:dyDescent="0.3">
      <c r="A7037" s="678"/>
    </row>
    <row r="7038" spans="1:1" x14ac:dyDescent="0.3">
      <c r="A7038" s="678"/>
    </row>
    <row r="7039" spans="1:1" x14ac:dyDescent="0.3">
      <c r="A7039" s="678"/>
    </row>
    <row r="7040" spans="1:1" x14ac:dyDescent="0.3">
      <c r="A7040" s="678"/>
    </row>
    <row r="7041" spans="1:1" x14ac:dyDescent="0.3">
      <c r="A7041" s="678"/>
    </row>
    <row r="7042" spans="1:1" x14ac:dyDescent="0.3">
      <c r="A7042" s="678"/>
    </row>
    <row r="7043" spans="1:1" x14ac:dyDescent="0.3">
      <c r="A7043" s="678"/>
    </row>
    <row r="7044" spans="1:1" x14ac:dyDescent="0.3">
      <c r="A7044" s="678"/>
    </row>
    <row r="7045" spans="1:1" x14ac:dyDescent="0.3">
      <c r="A7045" s="678"/>
    </row>
    <row r="7046" spans="1:1" x14ac:dyDescent="0.3">
      <c r="A7046" s="678"/>
    </row>
    <row r="7047" spans="1:1" x14ac:dyDescent="0.3">
      <c r="A7047" s="678"/>
    </row>
    <row r="7048" spans="1:1" x14ac:dyDescent="0.3">
      <c r="A7048" s="678"/>
    </row>
    <row r="7049" spans="1:1" x14ac:dyDescent="0.3">
      <c r="A7049" s="678"/>
    </row>
    <row r="7050" spans="1:1" x14ac:dyDescent="0.3">
      <c r="A7050" s="678"/>
    </row>
    <row r="7051" spans="1:1" x14ac:dyDescent="0.3">
      <c r="A7051" s="678"/>
    </row>
    <row r="7052" spans="1:1" x14ac:dyDescent="0.3">
      <c r="A7052" s="678"/>
    </row>
    <row r="7053" spans="1:1" x14ac:dyDescent="0.3">
      <c r="A7053" s="678"/>
    </row>
    <row r="7054" spans="1:1" x14ac:dyDescent="0.3">
      <c r="A7054" s="678"/>
    </row>
    <row r="7055" spans="1:1" x14ac:dyDescent="0.3">
      <c r="A7055" s="678"/>
    </row>
    <row r="7056" spans="1:1" x14ac:dyDescent="0.3">
      <c r="A7056" s="678"/>
    </row>
    <row r="7057" spans="1:1" x14ac:dyDescent="0.3">
      <c r="A7057" s="678"/>
    </row>
    <row r="7058" spans="1:1" x14ac:dyDescent="0.3">
      <c r="A7058" s="678"/>
    </row>
    <row r="7059" spans="1:1" x14ac:dyDescent="0.3">
      <c r="A7059" s="678"/>
    </row>
    <row r="7060" spans="1:1" x14ac:dyDescent="0.3">
      <c r="A7060" s="678"/>
    </row>
    <row r="7061" spans="1:1" x14ac:dyDescent="0.3">
      <c r="A7061" s="678"/>
    </row>
    <row r="7062" spans="1:1" x14ac:dyDescent="0.3">
      <c r="A7062" s="678"/>
    </row>
    <row r="7063" spans="1:1" x14ac:dyDescent="0.3">
      <c r="A7063" s="678"/>
    </row>
    <row r="7064" spans="1:1" x14ac:dyDescent="0.3">
      <c r="A7064" s="678"/>
    </row>
    <row r="7065" spans="1:1" x14ac:dyDescent="0.3">
      <c r="A7065" s="678"/>
    </row>
    <row r="7066" spans="1:1" x14ac:dyDescent="0.3">
      <c r="A7066" s="678"/>
    </row>
    <row r="7067" spans="1:1" x14ac:dyDescent="0.3">
      <c r="A7067" s="678"/>
    </row>
    <row r="7068" spans="1:1" x14ac:dyDescent="0.3">
      <c r="A7068" s="678"/>
    </row>
    <row r="7069" spans="1:1" x14ac:dyDescent="0.3">
      <c r="A7069" s="678"/>
    </row>
    <row r="7070" spans="1:1" x14ac:dyDescent="0.3">
      <c r="A7070" s="678"/>
    </row>
    <row r="7071" spans="1:1" x14ac:dyDescent="0.3">
      <c r="A7071" s="678"/>
    </row>
    <row r="7072" spans="1:1" x14ac:dyDescent="0.3">
      <c r="A7072" s="678"/>
    </row>
    <row r="7073" spans="1:1" x14ac:dyDescent="0.3">
      <c r="A7073" s="678"/>
    </row>
    <row r="7074" spans="1:1" x14ac:dyDescent="0.3">
      <c r="A7074" s="678"/>
    </row>
    <row r="7075" spans="1:1" x14ac:dyDescent="0.3">
      <c r="A7075" s="678"/>
    </row>
    <row r="7076" spans="1:1" x14ac:dyDescent="0.3">
      <c r="A7076" s="678"/>
    </row>
    <row r="7077" spans="1:1" x14ac:dyDescent="0.3">
      <c r="A7077" s="678"/>
    </row>
    <row r="7078" spans="1:1" x14ac:dyDescent="0.3">
      <c r="A7078" s="678"/>
    </row>
    <row r="7079" spans="1:1" x14ac:dyDescent="0.3">
      <c r="A7079" s="678"/>
    </row>
    <row r="7080" spans="1:1" x14ac:dyDescent="0.3">
      <c r="A7080" s="678"/>
    </row>
    <row r="7081" spans="1:1" x14ac:dyDescent="0.3">
      <c r="A7081" s="678"/>
    </row>
    <row r="7082" spans="1:1" x14ac:dyDescent="0.3">
      <c r="A7082" s="678"/>
    </row>
    <row r="7083" spans="1:1" x14ac:dyDescent="0.3">
      <c r="A7083" s="678"/>
    </row>
    <row r="7084" spans="1:1" x14ac:dyDescent="0.3">
      <c r="A7084" s="678"/>
    </row>
    <row r="7085" spans="1:1" x14ac:dyDescent="0.3">
      <c r="A7085" s="678"/>
    </row>
    <row r="7086" spans="1:1" x14ac:dyDescent="0.3">
      <c r="A7086" s="678"/>
    </row>
    <row r="7087" spans="1:1" x14ac:dyDescent="0.3">
      <c r="A7087" s="678"/>
    </row>
    <row r="7088" spans="1:1" x14ac:dyDescent="0.3">
      <c r="A7088" s="678"/>
    </row>
    <row r="7089" spans="1:1" x14ac:dyDescent="0.3">
      <c r="A7089" s="678"/>
    </row>
    <row r="7090" spans="1:1" x14ac:dyDescent="0.3">
      <c r="A7090" s="678"/>
    </row>
    <row r="7091" spans="1:1" x14ac:dyDescent="0.3">
      <c r="A7091" s="678"/>
    </row>
    <row r="7092" spans="1:1" x14ac:dyDescent="0.3">
      <c r="A7092" s="678"/>
    </row>
    <row r="7093" spans="1:1" x14ac:dyDescent="0.3">
      <c r="A7093" s="678"/>
    </row>
    <row r="7094" spans="1:1" x14ac:dyDescent="0.3">
      <c r="A7094" s="678"/>
    </row>
    <row r="7095" spans="1:1" x14ac:dyDescent="0.3">
      <c r="A7095" s="678"/>
    </row>
    <row r="7096" spans="1:1" x14ac:dyDescent="0.3">
      <c r="A7096" s="678"/>
    </row>
    <row r="7097" spans="1:1" x14ac:dyDescent="0.3">
      <c r="A7097" s="678"/>
    </row>
    <row r="7098" spans="1:1" x14ac:dyDescent="0.3">
      <c r="A7098" s="678"/>
    </row>
    <row r="7099" spans="1:1" x14ac:dyDescent="0.3">
      <c r="A7099" s="678"/>
    </row>
    <row r="7100" spans="1:1" x14ac:dyDescent="0.3">
      <c r="A7100" s="678"/>
    </row>
    <row r="7101" spans="1:1" x14ac:dyDescent="0.3">
      <c r="A7101" s="678"/>
    </row>
    <row r="7102" spans="1:1" x14ac:dyDescent="0.3">
      <c r="A7102" s="678"/>
    </row>
    <row r="7103" spans="1:1" x14ac:dyDescent="0.3">
      <c r="A7103" s="678"/>
    </row>
    <row r="7104" spans="1:1" x14ac:dyDescent="0.3">
      <c r="A7104" s="678"/>
    </row>
    <row r="7105" spans="1:1" x14ac:dyDescent="0.3">
      <c r="A7105" s="678"/>
    </row>
    <row r="7106" spans="1:1" x14ac:dyDescent="0.3">
      <c r="A7106" s="678"/>
    </row>
    <row r="7107" spans="1:1" x14ac:dyDescent="0.3">
      <c r="A7107" s="678"/>
    </row>
    <row r="7108" spans="1:1" x14ac:dyDescent="0.3">
      <c r="A7108" s="678"/>
    </row>
    <row r="7109" spans="1:1" x14ac:dyDescent="0.3">
      <c r="A7109" s="678"/>
    </row>
    <row r="7110" spans="1:1" x14ac:dyDescent="0.3">
      <c r="A7110" s="678"/>
    </row>
    <row r="7111" spans="1:1" x14ac:dyDescent="0.3">
      <c r="A7111" s="678"/>
    </row>
    <row r="7112" spans="1:1" x14ac:dyDescent="0.3">
      <c r="A7112" s="678"/>
    </row>
    <row r="7113" spans="1:1" x14ac:dyDescent="0.3">
      <c r="A7113" s="678"/>
    </row>
    <row r="7114" spans="1:1" x14ac:dyDescent="0.3">
      <c r="A7114" s="678"/>
    </row>
    <row r="7115" spans="1:1" x14ac:dyDescent="0.3">
      <c r="A7115" s="678"/>
    </row>
    <row r="7116" spans="1:1" x14ac:dyDescent="0.3">
      <c r="A7116" s="678"/>
    </row>
    <row r="7117" spans="1:1" x14ac:dyDescent="0.3">
      <c r="A7117" s="678"/>
    </row>
    <row r="7118" spans="1:1" x14ac:dyDescent="0.3">
      <c r="A7118" s="678"/>
    </row>
    <row r="7119" spans="1:1" x14ac:dyDescent="0.3">
      <c r="A7119" s="678"/>
    </row>
    <row r="7120" spans="1:1" x14ac:dyDescent="0.3">
      <c r="A7120" s="678"/>
    </row>
    <row r="7121" spans="1:1" x14ac:dyDescent="0.3">
      <c r="A7121" s="678"/>
    </row>
    <row r="7122" spans="1:1" x14ac:dyDescent="0.3">
      <c r="A7122" s="678"/>
    </row>
    <row r="7123" spans="1:1" x14ac:dyDescent="0.3">
      <c r="A7123" s="678"/>
    </row>
    <row r="7124" spans="1:1" x14ac:dyDescent="0.3">
      <c r="A7124" s="678"/>
    </row>
    <row r="7125" spans="1:1" x14ac:dyDescent="0.3">
      <c r="A7125" s="678"/>
    </row>
    <row r="7126" spans="1:1" x14ac:dyDescent="0.3">
      <c r="A7126" s="678"/>
    </row>
    <row r="7127" spans="1:1" x14ac:dyDescent="0.3">
      <c r="A7127" s="678"/>
    </row>
    <row r="7128" spans="1:1" x14ac:dyDescent="0.3">
      <c r="A7128" s="678"/>
    </row>
    <row r="7129" spans="1:1" x14ac:dyDescent="0.3">
      <c r="A7129" s="678"/>
    </row>
    <row r="7130" spans="1:1" x14ac:dyDescent="0.3">
      <c r="A7130" s="678"/>
    </row>
    <row r="7131" spans="1:1" x14ac:dyDescent="0.3">
      <c r="A7131" s="678"/>
    </row>
    <row r="7132" spans="1:1" x14ac:dyDescent="0.3">
      <c r="A7132" s="678"/>
    </row>
    <row r="7133" spans="1:1" x14ac:dyDescent="0.3">
      <c r="A7133" s="678"/>
    </row>
    <row r="7134" spans="1:1" x14ac:dyDescent="0.3">
      <c r="A7134" s="678"/>
    </row>
    <row r="7135" spans="1:1" x14ac:dyDescent="0.3">
      <c r="A7135" s="678"/>
    </row>
    <row r="7136" spans="1:1" x14ac:dyDescent="0.3">
      <c r="A7136" s="678"/>
    </row>
    <row r="7137" spans="1:1" x14ac:dyDescent="0.3">
      <c r="A7137" s="678"/>
    </row>
    <row r="7138" spans="1:1" x14ac:dyDescent="0.3">
      <c r="A7138" s="678"/>
    </row>
    <row r="7139" spans="1:1" x14ac:dyDescent="0.3">
      <c r="A7139" s="678"/>
    </row>
    <row r="7140" spans="1:1" x14ac:dyDescent="0.3">
      <c r="A7140" s="678"/>
    </row>
    <row r="7141" spans="1:1" x14ac:dyDescent="0.3">
      <c r="A7141" s="678"/>
    </row>
    <row r="7142" spans="1:1" x14ac:dyDescent="0.3">
      <c r="A7142" s="678"/>
    </row>
    <row r="7143" spans="1:1" x14ac:dyDescent="0.3">
      <c r="A7143" s="678"/>
    </row>
    <row r="7144" spans="1:1" x14ac:dyDescent="0.3">
      <c r="A7144" s="678"/>
    </row>
    <row r="7145" spans="1:1" x14ac:dyDescent="0.3">
      <c r="A7145" s="678"/>
    </row>
    <row r="7146" spans="1:1" x14ac:dyDescent="0.3">
      <c r="A7146" s="678"/>
    </row>
    <row r="7147" spans="1:1" x14ac:dyDescent="0.3">
      <c r="A7147" s="678"/>
    </row>
    <row r="7148" spans="1:1" x14ac:dyDescent="0.3">
      <c r="A7148" s="678"/>
    </row>
    <row r="7149" spans="1:1" x14ac:dyDescent="0.3">
      <c r="A7149" s="678"/>
    </row>
    <row r="7150" spans="1:1" x14ac:dyDescent="0.3">
      <c r="A7150" s="678"/>
    </row>
    <row r="7151" spans="1:1" x14ac:dyDescent="0.3">
      <c r="A7151" s="678"/>
    </row>
    <row r="7152" spans="1:1" x14ac:dyDescent="0.3">
      <c r="A7152" s="678"/>
    </row>
    <row r="7153" spans="1:1" x14ac:dyDescent="0.3">
      <c r="A7153" s="678"/>
    </row>
    <row r="7154" spans="1:1" x14ac:dyDescent="0.3">
      <c r="A7154" s="678"/>
    </row>
    <row r="7155" spans="1:1" x14ac:dyDescent="0.3">
      <c r="A7155" s="678"/>
    </row>
    <row r="7156" spans="1:1" x14ac:dyDescent="0.3">
      <c r="A7156" s="678"/>
    </row>
    <row r="7157" spans="1:1" x14ac:dyDescent="0.3">
      <c r="A7157" s="678"/>
    </row>
    <row r="7158" spans="1:1" x14ac:dyDescent="0.3">
      <c r="A7158" s="678"/>
    </row>
    <row r="7159" spans="1:1" x14ac:dyDescent="0.3">
      <c r="A7159" s="678"/>
    </row>
    <row r="7160" spans="1:1" x14ac:dyDescent="0.3">
      <c r="A7160" s="678"/>
    </row>
    <row r="7161" spans="1:1" x14ac:dyDescent="0.3">
      <c r="A7161" s="678"/>
    </row>
    <row r="7162" spans="1:1" x14ac:dyDescent="0.3">
      <c r="A7162" s="678"/>
    </row>
    <row r="7163" spans="1:1" x14ac:dyDescent="0.3">
      <c r="A7163" s="678"/>
    </row>
    <row r="7164" spans="1:1" x14ac:dyDescent="0.3">
      <c r="A7164" s="678"/>
    </row>
    <row r="7165" spans="1:1" x14ac:dyDescent="0.3">
      <c r="A7165" s="678"/>
    </row>
    <row r="7166" spans="1:1" x14ac:dyDescent="0.3">
      <c r="A7166" s="678"/>
    </row>
    <row r="7167" spans="1:1" x14ac:dyDescent="0.3">
      <c r="A7167" s="678"/>
    </row>
    <row r="7168" spans="1:1" x14ac:dyDescent="0.3">
      <c r="A7168" s="678"/>
    </row>
    <row r="7169" spans="1:1" x14ac:dyDescent="0.3">
      <c r="A7169" s="678"/>
    </row>
    <row r="7170" spans="1:1" x14ac:dyDescent="0.3">
      <c r="A7170" s="678"/>
    </row>
    <row r="7171" spans="1:1" x14ac:dyDescent="0.3">
      <c r="A7171" s="678"/>
    </row>
    <row r="7172" spans="1:1" x14ac:dyDescent="0.3">
      <c r="A7172" s="678"/>
    </row>
    <row r="7173" spans="1:1" x14ac:dyDescent="0.3">
      <c r="A7173" s="678"/>
    </row>
    <row r="7174" spans="1:1" x14ac:dyDescent="0.3">
      <c r="A7174" s="678"/>
    </row>
    <row r="7175" spans="1:1" x14ac:dyDescent="0.3">
      <c r="A7175" s="678"/>
    </row>
    <row r="7176" spans="1:1" x14ac:dyDescent="0.3">
      <c r="A7176" s="678"/>
    </row>
    <row r="7177" spans="1:1" x14ac:dyDescent="0.3">
      <c r="A7177" s="678"/>
    </row>
    <row r="7178" spans="1:1" x14ac:dyDescent="0.3">
      <c r="A7178" s="678"/>
    </row>
    <row r="7179" spans="1:1" x14ac:dyDescent="0.3">
      <c r="A7179" s="678"/>
    </row>
    <row r="7180" spans="1:1" x14ac:dyDescent="0.3">
      <c r="A7180" s="678"/>
    </row>
    <row r="7181" spans="1:1" x14ac:dyDescent="0.3">
      <c r="A7181" s="678"/>
    </row>
    <row r="7182" spans="1:1" x14ac:dyDescent="0.3">
      <c r="A7182" s="678"/>
    </row>
    <row r="7183" spans="1:1" x14ac:dyDescent="0.3">
      <c r="A7183" s="678"/>
    </row>
    <row r="7184" spans="1:1" x14ac:dyDescent="0.3">
      <c r="A7184" s="678"/>
    </row>
    <row r="7185" spans="1:1" x14ac:dyDescent="0.3">
      <c r="A7185" s="678"/>
    </row>
    <row r="7186" spans="1:1" x14ac:dyDescent="0.3">
      <c r="A7186" s="678"/>
    </row>
    <row r="7187" spans="1:1" x14ac:dyDescent="0.3">
      <c r="A7187" s="678"/>
    </row>
    <row r="7188" spans="1:1" x14ac:dyDescent="0.3">
      <c r="A7188" s="678"/>
    </row>
    <row r="7189" spans="1:1" x14ac:dyDescent="0.3">
      <c r="A7189" s="678"/>
    </row>
    <row r="7190" spans="1:1" x14ac:dyDescent="0.3">
      <c r="A7190" s="678"/>
    </row>
    <row r="7191" spans="1:1" x14ac:dyDescent="0.3">
      <c r="A7191" s="678"/>
    </row>
    <row r="7192" spans="1:1" x14ac:dyDescent="0.3">
      <c r="A7192" s="678"/>
    </row>
    <row r="7193" spans="1:1" x14ac:dyDescent="0.3">
      <c r="A7193" s="678"/>
    </row>
    <row r="7194" spans="1:1" x14ac:dyDescent="0.3">
      <c r="A7194" s="678"/>
    </row>
    <row r="7195" spans="1:1" x14ac:dyDescent="0.3">
      <c r="A7195" s="678"/>
    </row>
    <row r="7196" spans="1:1" x14ac:dyDescent="0.3">
      <c r="A7196" s="678"/>
    </row>
    <row r="7197" spans="1:1" x14ac:dyDescent="0.3">
      <c r="A7197" s="678"/>
    </row>
    <row r="7198" spans="1:1" x14ac:dyDescent="0.3">
      <c r="A7198" s="678"/>
    </row>
    <row r="7199" spans="1:1" x14ac:dyDescent="0.3">
      <c r="A7199" s="678"/>
    </row>
    <row r="7200" spans="1:1" x14ac:dyDescent="0.3">
      <c r="A7200" s="678"/>
    </row>
    <row r="7201" spans="1:1" x14ac:dyDescent="0.3">
      <c r="A7201" s="678"/>
    </row>
    <row r="7202" spans="1:1" x14ac:dyDescent="0.3">
      <c r="A7202" s="678"/>
    </row>
    <row r="7203" spans="1:1" x14ac:dyDescent="0.3">
      <c r="A7203" s="678"/>
    </row>
    <row r="7204" spans="1:1" x14ac:dyDescent="0.3">
      <c r="A7204" s="678"/>
    </row>
    <row r="7205" spans="1:1" x14ac:dyDescent="0.3">
      <c r="A7205" s="678"/>
    </row>
    <row r="7206" spans="1:1" x14ac:dyDescent="0.3">
      <c r="A7206" s="678"/>
    </row>
    <row r="7207" spans="1:1" x14ac:dyDescent="0.3">
      <c r="A7207" s="678"/>
    </row>
    <row r="7208" spans="1:1" x14ac:dyDescent="0.3">
      <c r="A7208" s="678"/>
    </row>
    <row r="7209" spans="1:1" x14ac:dyDescent="0.3">
      <c r="A7209" s="678"/>
    </row>
    <row r="7210" spans="1:1" x14ac:dyDescent="0.3">
      <c r="A7210" s="678"/>
    </row>
    <row r="7211" spans="1:1" x14ac:dyDescent="0.3">
      <c r="A7211" s="678"/>
    </row>
    <row r="7212" spans="1:1" x14ac:dyDescent="0.3">
      <c r="A7212" s="678"/>
    </row>
    <row r="7213" spans="1:1" x14ac:dyDescent="0.3">
      <c r="A7213" s="678"/>
    </row>
    <row r="7214" spans="1:1" x14ac:dyDescent="0.3">
      <c r="A7214" s="678"/>
    </row>
    <row r="7215" spans="1:1" x14ac:dyDescent="0.3">
      <c r="A7215" s="678"/>
    </row>
    <row r="7216" spans="1:1" x14ac:dyDescent="0.3">
      <c r="A7216" s="678"/>
    </row>
    <row r="7217" spans="1:1" x14ac:dyDescent="0.3">
      <c r="A7217" s="678"/>
    </row>
    <row r="7218" spans="1:1" x14ac:dyDescent="0.3">
      <c r="A7218" s="678"/>
    </row>
    <row r="7219" spans="1:1" x14ac:dyDescent="0.3">
      <c r="A7219" s="678"/>
    </row>
    <row r="7220" spans="1:1" x14ac:dyDescent="0.3">
      <c r="A7220" s="678"/>
    </row>
    <row r="7221" spans="1:1" x14ac:dyDescent="0.3">
      <c r="A7221" s="678"/>
    </row>
    <row r="7222" spans="1:1" x14ac:dyDescent="0.3">
      <c r="A7222" s="678"/>
    </row>
    <row r="7223" spans="1:1" x14ac:dyDescent="0.3">
      <c r="A7223" s="678"/>
    </row>
    <row r="7224" spans="1:1" x14ac:dyDescent="0.3">
      <c r="A7224" s="678"/>
    </row>
    <row r="7225" spans="1:1" x14ac:dyDescent="0.3">
      <c r="A7225" s="678"/>
    </row>
    <row r="7226" spans="1:1" x14ac:dyDescent="0.3">
      <c r="A7226" s="678"/>
    </row>
    <row r="7227" spans="1:1" x14ac:dyDescent="0.3">
      <c r="A7227" s="678"/>
    </row>
    <row r="7228" spans="1:1" x14ac:dyDescent="0.3">
      <c r="A7228" s="678"/>
    </row>
    <row r="7229" spans="1:1" x14ac:dyDescent="0.3">
      <c r="A7229" s="678"/>
    </row>
    <row r="7230" spans="1:1" x14ac:dyDescent="0.3">
      <c r="A7230" s="678"/>
    </row>
    <row r="7231" spans="1:1" x14ac:dyDescent="0.3">
      <c r="A7231" s="678"/>
    </row>
    <row r="7232" spans="1:1" x14ac:dyDescent="0.3">
      <c r="A7232" s="678"/>
    </row>
    <row r="7233" spans="1:1" x14ac:dyDescent="0.3">
      <c r="A7233" s="678"/>
    </row>
    <row r="7234" spans="1:1" x14ac:dyDescent="0.3">
      <c r="A7234" s="678"/>
    </row>
    <row r="7235" spans="1:1" x14ac:dyDescent="0.3">
      <c r="A7235" s="678"/>
    </row>
    <row r="7236" spans="1:1" x14ac:dyDescent="0.3">
      <c r="A7236" s="678"/>
    </row>
    <row r="7237" spans="1:1" x14ac:dyDescent="0.3">
      <c r="A7237" s="678"/>
    </row>
    <row r="7238" spans="1:1" x14ac:dyDescent="0.3">
      <c r="A7238" s="678"/>
    </row>
    <row r="7239" spans="1:1" x14ac:dyDescent="0.3">
      <c r="A7239" s="678"/>
    </row>
    <row r="7240" spans="1:1" x14ac:dyDescent="0.3">
      <c r="A7240" s="678"/>
    </row>
    <row r="7241" spans="1:1" x14ac:dyDescent="0.3">
      <c r="A7241" s="678"/>
    </row>
    <row r="7242" spans="1:1" x14ac:dyDescent="0.3">
      <c r="A7242" s="678"/>
    </row>
    <row r="7243" spans="1:1" x14ac:dyDescent="0.3">
      <c r="A7243" s="678"/>
    </row>
    <row r="7244" spans="1:1" x14ac:dyDescent="0.3">
      <c r="A7244" s="678"/>
    </row>
    <row r="7245" spans="1:1" x14ac:dyDescent="0.3">
      <c r="A7245" s="678"/>
    </row>
    <row r="7246" spans="1:1" x14ac:dyDescent="0.3">
      <c r="A7246" s="678"/>
    </row>
    <row r="7247" spans="1:1" x14ac:dyDescent="0.3">
      <c r="A7247" s="678"/>
    </row>
    <row r="7248" spans="1:1" x14ac:dyDescent="0.3">
      <c r="A7248" s="678"/>
    </row>
    <row r="7249" spans="1:1" x14ac:dyDescent="0.3">
      <c r="A7249" s="678"/>
    </row>
    <row r="7250" spans="1:1" x14ac:dyDescent="0.3">
      <c r="A7250" s="678"/>
    </row>
    <row r="7251" spans="1:1" x14ac:dyDescent="0.3">
      <c r="A7251" s="678"/>
    </row>
    <row r="7252" spans="1:1" x14ac:dyDescent="0.3">
      <c r="A7252" s="678"/>
    </row>
    <row r="7253" spans="1:1" x14ac:dyDescent="0.3">
      <c r="A7253" s="678"/>
    </row>
    <row r="7254" spans="1:1" x14ac:dyDescent="0.3">
      <c r="A7254" s="678"/>
    </row>
    <row r="7255" spans="1:1" x14ac:dyDescent="0.3">
      <c r="A7255" s="678"/>
    </row>
    <row r="7256" spans="1:1" x14ac:dyDescent="0.3">
      <c r="A7256" s="678"/>
    </row>
    <row r="7257" spans="1:1" x14ac:dyDescent="0.3">
      <c r="A7257" s="678"/>
    </row>
    <row r="7258" spans="1:1" x14ac:dyDescent="0.3">
      <c r="A7258" s="678"/>
    </row>
    <row r="7259" spans="1:1" x14ac:dyDescent="0.3">
      <c r="A7259" s="678"/>
    </row>
    <row r="7260" spans="1:1" x14ac:dyDescent="0.3">
      <c r="A7260" s="678"/>
    </row>
    <row r="7261" spans="1:1" x14ac:dyDescent="0.3">
      <c r="A7261" s="678"/>
    </row>
    <row r="7262" spans="1:1" x14ac:dyDescent="0.3">
      <c r="A7262" s="678"/>
    </row>
    <row r="7263" spans="1:1" x14ac:dyDescent="0.3">
      <c r="A7263" s="678"/>
    </row>
    <row r="7264" spans="1:1" x14ac:dyDescent="0.3">
      <c r="A7264" s="678"/>
    </row>
    <row r="7265" spans="1:1" x14ac:dyDescent="0.3">
      <c r="A7265" s="678"/>
    </row>
    <row r="7266" spans="1:1" x14ac:dyDescent="0.3">
      <c r="A7266" s="678"/>
    </row>
    <row r="7267" spans="1:1" x14ac:dyDescent="0.3">
      <c r="A7267" s="678"/>
    </row>
    <row r="7268" spans="1:1" x14ac:dyDescent="0.3">
      <c r="A7268" s="678"/>
    </row>
    <row r="7269" spans="1:1" x14ac:dyDescent="0.3">
      <c r="A7269" s="678"/>
    </row>
    <row r="7270" spans="1:1" x14ac:dyDescent="0.3">
      <c r="A7270" s="678"/>
    </row>
    <row r="7271" spans="1:1" x14ac:dyDescent="0.3">
      <c r="A7271" s="678"/>
    </row>
    <row r="7272" spans="1:1" x14ac:dyDescent="0.3">
      <c r="A7272" s="678"/>
    </row>
    <row r="7273" spans="1:1" x14ac:dyDescent="0.3">
      <c r="A7273" s="678"/>
    </row>
    <row r="7274" spans="1:1" x14ac:dyDescent="0.3">
      <c r="A7274" s="678"/>
    </row>
    <row r="7275" spans="1:1" x14ac:dyDescent="0.3">
      <c r="A7275" s="678"/>
    </row>
    <row r="7276" spans="1:1" x14ac:dyDescent="0.3">
      <c r="A7276" s="678"/>
    </row>
    <row r="7277" spans="1:1" x14ac:dyDescent="0.3">
      <c r="A7277" s="678"/>
    </row>
    <row r="7278" spans="1:1" x14ac:dyDescent="0.3">
      <c r="A7278" s="678"/>
    </row>
    <row r="7279" spans="1:1" x14ac:dyDescent="0.3">
      <c r="A7279" s="678"/>
    </row>
    <row r="7280" spans="1:1" x14ac:dyDescent="0.3">
      <c r="A7280" s="678"/>
    </row>
    <row r="7281" spans="1:1" x14ac:dyDescent="0.3">
      <c r="A7281" s="678"/>
    </row>
    <row r="7282" spans="1:1" x14ac:dyDescent="0.3">
      <c r="A7282" s="678"/>
    </row>
    <row r="7283" spans="1:1" x14ac:dyDescent="0.3">
      <c r="A7283" s="678"/>
    </row>
    <row r="7284" spans="1:1" x14ac:dyDescent="0.3">
      <c r="A7284" s="678"/>
    </row>
    <row r="7285" spans="1:1" x14ac:dyDescent="0.3">
      <c r="A7285" s="678"/>
    </row>
    <row r="7286" spans="1:1" x14ac:dyDescent="0.3">
      <c r="A7286" s="678"/>
    </row>
    <row r="7287" spans="1:1" x14ac:dyDescent="0.3">
      <c r="A7287" s="678"/>
    </row>
    <row r="7288" spans="1:1" x14ac:dyDescent="0.3">
      <c r="A7288" s="678"/>
    </row>
    <row r="7289" spans="1:1" x14ac:dyDescent="0.3">
      <c r="A7289" s="678"/>
    </row>
    <row r="7290" spans="1:1" x14ac:dyDescent="0.3">
      <c r="A7290" s="678"/>
    </row>
    <row r="7291" spans="1:1" x14ac:dyDescent="0.3">
      <c r="A7291" s="678"/>
    </row>
    <row r="7292" spans="1:1" x14ac:dyDescent="0.3">
      <c r="A7292" s="678"/>
    </row>
    <row r="7293" spans="1:1" x14ac:dyDescent="0.3">
      <c r="A7293" s="678"/>
    </row>
    <row r="7294" spans="1:1" x14ac:dyDescent="0.3">
      <c r="A7294" s="678"/>
    </row>
    <row r="7295" spans="1:1" x14ac:dyDescent="0.3">
      <c r="A7295" s="678"/>
    </row>
    <row r="7296" spans="1:1" x14ac:dyDescent="0.3">
      <c r="A7296" s="678"/>
    </row>
    <row r="7297" spans="1:1" x14ac:dyDescent="0.3">
      <c r="A7297" s="678"/>
    </row>
    <row r="7298" spans="1:1" x14ac:dyDescent="0.3">
      <c r="A7298" s="678"/>
    </row>
    <row r="7299" spans="1:1" x14ac:dyDescent="0.3">
      <c r="A7299" s="678"/>
    </row>
    <row r="7300" spans="1:1" x14ac:dyDescent="0.3">
      <c r="A7300" s="678"/>
    </row>
    <row r="7301" spans="1:1" x14ac:dyDescent="0.3">
      <c r="A7301" s="678"/>
    </row>
    <row r="7302" spans="1:1" x14ac:dyDescent="0.3">
      <c r="A7302" s="678"/>
    </row>
    <row r="7303" spans="1:1" x14ac:dyDescent="0.3">
      <c r="A7303" s="678"/>
    </row>
    <row r="7304" spans="1:1" x14ac:dyDescent="0.3">
      <c r="A7304" s="678"/>
    </row>
    <row r="7305" spans="1:1" x14ac:dyDescent="0.3">
      <c r="A7305" s="678"/>
    </row>
    <row r="7306" spans="1:1" x14ac:dyDescent="0.3">
      <c r="A7306" s="678"/>
    </row>
    <row r="7307" spans="1:1" x14ac:dyDescent="0.3">
      <c r="A7307" s="678"/>
    </row>
    <row r="7308" spans="1:1" x14ac:dyDescent="0.3">
      <c r="A7308" s="678"/>
    </row>
    <row r="7309" spans="1:1" x14ac:dyDescent="0.3">
      <c r="A7309" s="678"/>
    </row>
    <row r="7310" spans="1:1" x14ac:dyDescent="0.3">
      <c r="A7310" s="678"/>
    </row>
    <row r="7311" spans="1:1" x14ac:dyDescent="0.3">
      <c r="A7311" s="678"/>
    </row>
    <row r="7312" spans="1:1" x14ac:dyDescent="0.3">
      <c r="A7312" s="678"/>
    </row>
    <row r="7313" spans="1:1" x14ac:dyDescent="0.3">
      <c r="A7313" s="678"/>
    </row>
    <row r="7314" spans="1:1" x14ac:dyDescent="0.3">
      <c r="A7314" s="678"/>
    </row>
    <row r="7315" spans="1:1" x14ac:dyDescent="0.3">
      <c r="A7315" s="678"/>
    </row>
    <row r="7316" spans="1:1" x14ac:dyDescent="0.3">
      <c r="A7316" s="678"/>
    </row>
    <row r="7317" spans="1:1" x14ac:dyDescent="0.3">
      <c r="A7317" s="678"/>
    </row>
    <row r="7318" spans="1:1" x14ac:dyDescent="0.3">
      <c r="A7318" s="678"/>
    </row>
    <row r="7319" spans="1:1" x14ac:dyDescent="0.3">
      <c r="A7319" s="678"/>
    </row>
    <row r="7320" spans="1:1" x14ac:dyDescent="0.3">
      <c r="A7320" s="678"/>
    </row>
    <row r="7321" spans="1:1" x14ac:dyDescent="0.3">
      <c r="A7321" s="678"/>
    </row>
    <row r="7322" spans="1:1" x14ac:dyDescent="0.3">
      <c r="A7322" s="678"/>
    </row>
    <row r="7323" spans="1:1" x14ac:dyDescent="0.3">
      <c r="A7323" s="678"/>
    </row>
    <row r="7324" spans="1:1" x14ac:dyDescent="0.3">
      <c r="A7324" s="678"/>
    </row>
    <row r="7325" spans="1:1" x14ac:dyDescent="0.3">
      <c r="A7325" s="678"/>
    </row>
    <row r="7326" spans="1:1" x14ac:dyDescent="0.3">
      <c r="A7326" s="678"/>
    </row>
    <row r="7327" spans="1:1" x14ac:dyDescent="0.3">
      <c r="A7327" s="678"/>
    </row>
    <row r="7328" spans="1:1" x14ac:dyDescent="0.3">
      <c r="A7328" s="678"/>
    </row>
    <row r="7329" spans="1:1" x14ac:dyDescent="0.3">
      <c r="A7329" s="678"/>
    </row>
    <row r="7330" spans="1:1" x14ac:dyDescent="0.3">
      <c r="A7330" s="678"/>
    </row>
    <row r="7331" spans="1:1" x14ac:dyDescent="0.3">
      <c r="A7331" s="678"/>
    </row>
    <row r="7332" spans="1:1" x14ac:dyDescent="0.3">
      <c r="A7332" s="678"/>
    </row>
    <row r="7333" spans="1:1" x14ac:dyDescent="0.3">
      <c r="A7333" s="678"/>
    </row>
    <row r="7334" spans="1:1" x14ac:dyDescent="0.3">
      <c r="A7334" s="678"/>
    </row>
    <row r="7335" spans="1:1" x14ac:dyDescent="0.3">
      <c r="A7335" s="678"/>
    </row>
    <row r="7336" spans="1:1" x14ac:dyDescent="0.3">
      <c r="A7336" s="678"/>
    </row>
    <row r="7337" spans="1:1" x14ac:dyDescent="0.3">
      <c r="A7337" s="678"/>
    </row>
    <row r="7338" spans="1:1" x14ac:dyDescent="0.3">
      <c r="A7338" s="678"/>
    </row>
    <row r="7339" spans="1:1" x14ac:dyDescent="0.3">
      <c r="A7339" s="678"/>
    </row>
    <row r="7340" spans="1:1" x14ac:dyDescent="0.3">
      <c r="A7340" s="678"/>
    </row>
    <row r="7341" spans="1:1" x14ac:dyDescent="0.3">
      <c r="A7341" s="678"/>
    </row>
    <row r="7342" spans="1:1" x14ac:dyDescent="0.3">
      <c r="A7342" s="678"/>
    </row>
    <row r="7343" spans="1:1" x14ac:dyDescent="0.3">
      <c r="A7343" s="678"/>
    </row>
    <row r="7344" spans="1:1" x14ac:dyDescent="0.3">
      <c r="A7344" s="678"/>
    </row>
    <row r="7345" spans="1:1" x14ac:dyDescent="0.3">
      <c r="A7345" s="678"/>
    </row>
    <row r="7346" spans="1:1" x14ac:dyDescent="0.3">
      <c r="A7346" s="678"/>
    </row>
    <row r="7347" spans="1:1" x14ac:dyDescent="0.3">
      <c r="A7347" s="678"/>
    </row>
    <row r="7348" spans="1:1" x14ac:dyDescent="0.3">
      <c r="A7348" s="678"/>
    </row>
    <row r="7349" spans="1:1" x14ac:dyDescent="0.3">
      <c r="A7349" s="678"/>
    </row>
    <row r="7350" spans="1:1" x14ac:dyDescent="0.3">
      <c r="A7350" s="678"/>
    </row>
    <row r="7351" spans="1:1" x14ac:dyDescent="0.3">
      <c r="A7351" s="678"/>
    </row>
    <row r="7352" spans="1:1" x14ac:dyDescent="0.3">
      <c r="A7352" s="678"/>
    </row>
    <row r="7353" spans="1:1" x14ac:dyDescent="0.3">
      <c r="A7353" s="678"/>
    </row>
    <row r="7354" spans="1:1" x14ac:dyDescent="0.3">
      <c r="A7354" s="678"/>
    </row>
    <row r="7355" spans="1:1" x14ac:dyDescent="0.3">
      <c r="A7355" s="678"/>
    </row>
    <row r="7356" spans="1:1" x14ac:dyDescent="0.3">
      <c r="A7356" s="678"/>
    </row>
    <row r="7357" spans="1:1" x14ac:dyDescent="0.3">
      <c r="A7357" s="678"/>
    </row>
    <row r="7358" spans="1:1" x14ac:dyDescent="0.3">
      <c r="A7358" s="678"/>
    </row>
    <row r="7359" spans="1:1" x14ac:dyDescent="0.3">
      <c r="A7359" s="678"/>
    </row>
    <row r="7360" spans="1:1" x14ac:dyDescent="0.3">
      <c r="A7360" s="678"/>
    </row>
    <row r="7361" spans="1:1" x14ac:dyDescent="0.3">
      <c r="A7361" s="678"/>
    </row>
    <row r="7362" spans="1:1" x14ac:dyDescent="0.3">
      <c r="A7362" s="678"/>
    </row>
    <row r="7363" spans="1:1" x14ac:dyDescent="0.3">
      <c r="A7363" s="678"/>
    </row>
    <row r="7364" spans="1:1" x14ac:dyDescent="0.3">
      <c r="A7364" s="678"/>
    </row>
    <row r="7365" spans="1:1" x14ac:dyDescent="0.3">
      <c r="A7365" s="678"/>
    </row>
    <row r="7366" spans="1:1" x14ac:dyDescent="0.3">
      <c r="A7366" s="678"/>
    </row>
    <row r="7367" spans="1:1" x14ac:dyDescent="0.3">
      <c r="A7367" s="678"/>
    </row>
    <row r="7368" spans="1:1" x14ac:dyDescent="0.3">
      <c r="A7368" s="678"/>
    </row>
    <row r="7369" spans="1:1" x14ac:dyDescent="0.3">
      <c r="A7369" s="678"/>
    </row>
    <row r="7370" spans="1:1" x14ac:dyDescent="0.3">
      <c r="A7370" s="678"/>
    </row>
    <row r="7371" spans="1:1" x14ac:dyDescent="0.3">
      <c r="A7371" s="678"/>
    </row>
    <row r="7372" spans="1:1" x14ac:dyDescent="0.3">
      <c r="A7372" s="678"/>
    </row>
    <row r="7373" spans="1:1" x14ac:dyDescent="0.3">
      <c r="A7373" s="678"/>
    </row>
    <row r="7374" spans="1:1" x14ac:dyDescent="0.3">
      <c r="A7374" s="678"/>
    </row>
    <row r="7375" spans="1:1" x14ac:dyDescent="0.3">
      <c r="A7375" s="678"/>
    </row>
    <row r="7376" spans="1:1" x14ac:dyDescent="0.3">
      <c r="A7376" s="678"/>
    </row>
    <row r="7377" spans="1:1" x14ac:dyDescent="0.3">
      <c r="A7377" s="678"/>
    </row>
    <row r="7378" spans="1:1" x14ac:dyDescent="0.3">
      <c r="A7378" s="678"/>
    </row>
    <row r="7379" spans="1:1" x14ac:dyDescent="0.3">
      <c r="A7379" s="678"/>
    </row>
    <row r="7380" spans="1:1" x14ac:dyDescent="0.3">
      <c r="A7380" s="678"/>
    </row>
    <row r="7381" spans="1:1" x14ac:dyDescent="0.3">
      <c r="A7381" s="678"/>
    </row>
    <row r="7382" spans="1:1" x14ac:dyDescent="0.3">
      <c r="A7382" s="678"/>
    </row>
    <row r="7383" spans="1:1" x14ac:dyDescent="0.3">
      <c r="A7383" s="678"/>
    </row>
    <row r="7384" spans="1:1" x14ac:dyDescent="0.3">
      <c r="A7384" s="678"/>
    </row>
    <row r="7385" spans="1:1" x14ac:dyDescent="0.3">
      <c r="A7385" s="678"/>
    </row>
    <row r="7386" spans="1:1" x14ac:dyDescent="0.3">
      <c r="A7386" s="678"/>
    </row>
    <row r="7387" spans="1:1" x14ac:dyDescent="0.3">
      <c r="A7387" s="678"/>
    </row>
    <row r="7388" spans="1:1" x14ac:dyDescent="0.3">
      <c r="A7388" s="678"/>
    </row>
    <row r="7389" spans="1:1" x14ac:dyDescent="0.3">
      <c r="A7389" s="678"/>
    </row>
    <row r="7390" spans="1:1" x14ac:dyDescent="0.3">
      <c r="A7390" s="678"/>
    </row>
    <row r="7391" spans="1:1" x14ac:dyDescent="0.3">
      <c r="A7391" s="678"/>
    </row>
    <row r="7392" spans="1:1" x14ac:dyDescent="0.3">
      <c r="A7392" s="678"/>
    </row>
    <row r="7393" spans="1:1" x14ac:dyDescent="0.3">
      <c r="A7393" s="678"/>
    </row>
    <row r="7394" spans="1:1" x14ac:dyDescent="0.3">
      <c r="A7394" s="678"/>
    </row>
    <row r="7395" spans="1:1" x14ac:dyDescent="0.3">
      <c r="A7395" s="678"/>
    </row>
    <row r="7396" spans="1:1" x14ac:dyDescent="0.3">
      <c r="A7396" s="678"/>
    </row>
    <row r="7397" spans="1:1" x14ac:dyDescent="0.3">
      <c r="A7397" s="678"/>
    </row>
    <row r="7398" spans="1:1" x14ac:dyDescent="0.3">
      <c r="A7398" s="678"/>
    </row>
    <row r="7399" spans="1:1" x14ac:dyDescent="0.3">
      <c r="A7399" s="678"/>
    </row>
    <row r="7400" spans="1:1" x14ac:dyDescent="0.3">
      <c r="A7400" s="678"/>
    </row>
    <row r="7401" spans="1:1" x14ac:dyDescent="0.3">
      <c r="A7401" s="678"/>
    </row>
    <row r="7402" spans="1:1" x14ac:dyDescent="0.3">
      <c r="A7402" s="678"/>
    </row>
    <row r="7403" spans="1:1" x14ac:dyDescent="0.3">
      <c r="A7403" s="678"/>
    </row>
    <row r="7404" spans="1:1" x14ac:dyDescent="0.3">
      <c r="A7404" s="678"/>
    </row>
    <row r="7405" spans="1:1" x14ac:dyDescent="0.3">
      <c r="A7405" s="678"/>
    </row>
    <row r="7406" spans="1:1" x14ac:dyDescent="0.3">
      <c r="A7406" s="678"/>
    </row>
    <row r="7407" spans="1:1" x14ac:dyDescent="0.3">
      <c r="A7407" s="678"/>
    </row>
    <row r="7408" spans="1:1" x14ac:dyDescent="0.3">
      <c r="A7408" s="678"/>
    </row>
    <row r="7409" spans="1:1" x14ac:dyDescent="0.3">
      <c r="A7409" s="678"/>
    </row>
    <row r="7410" spans="1:1" x14ac:dyDescent="0.3">
      <c r="A7410" s="678"/>
    </row>
    <row r="7411" spans="1:1" x14ac:dyDescent="0.3">
      <c r="A7411" s="678"/>
    </row>
    <row r="7412" spans="1:1" x14ac:dyDescent="0.3">
      <c r="A7412" s="678"/>
    </row>
    <row r="7413" spans="1:1" x14ac:dyDescent="0.3">
      <c r="A7413" s="678"/>
    </row>
    <row r="7414" spans="1:1" x14ac:dyDescent="0.3">
      <c r="A7414" s="678"/>
    </row>
    <row r="7415" spans="1:1" x14ac:dyDescent="0.3">
      <c r="A7415" s="678"/>
    </row>
    <row r="7416" spans="1:1" x14ac:dyDescent="0.3">
      <c r="A7416" s="678"/>
    </row>
    <row r="7417" spans="1:1" x14ac:dyDescent="0.3">
      <c r="A7417" s="678"/>
    </row>
    <row r="7418" spans="1:1" x14ac:dyDescent="0.3">
      <c r="A7418" s="678"/>
    </row>
    <row r="7419" spans="1:1" x14ac:dyDescent="0.3">
      <c r="A7419" s="678"/>
    </row>
    <row r="7420" spans="1:1" x14ac:dyDescent="0.3">
      <c r="A7420" s="678"/>
    </row>
    <row r="7421" spans="1:1" x14ac:dyDescent="0.3">
      <c r="A7421" s="678"/>
    </row>
    <row r="7422" spans="1:1" x14ac:dyDescent="0.3">
      <c r="A7422" s="678"/>
    </row>
    <row r="7423" spans="1:1" x14ac:dyDescent="0.3">
      <c r="A7423" s="678"/>
    </row>
    <row r="7424" spans="1:1" x14ac:dyDescent="0.3">
      <c r="A7424" s="678"/>
    </row>
    <row r="7425" spans="1:1" x14ac:dyDescent="0.3">
      <c r="A7425" s="678"/>
    </row>
    <row r="7426" spans="1:1" x14ac:dyDescent="0.3">
      <c r="A7426" s="678"/>
    </row>
    <row r="7427" spans="1:1" x14ac:dyDescent="0.3">
      <c r="A7427" s="678"/>
    </row>
    <row r="7428" spans="1:1" x14ac:dyDescent="0.3">
      <c r="A7428" s="678"/>
    </row>
    <row r="7429" spans="1:1" x14ac:dyDescent="0.3">
      <c r="A7429" s="678"/>
    </row>
    <row r="7430" spans="1:1" x14ac:dyDescent="0.3">
      <c r="A7430" s="678"/>
    </row>
    <row r="7431" spans="1:1" x14ac:dyDescent="0.3">
      <c r="A7431" s="678"/>
    </row>
    <row r="7432" spans="1:1" x14ac:dyDescent="0.3">
      <c r="A7432" s="678"/>
    </row>
    <row r="7433" spans="1:1" x14ac:dyDescent="0.3">
      <c r="A7433" s="678"/>
    </row>
    <row r="7434" spans="1:1" x14ac:dyDescent="0.3">
      <c r="A7434" s="678"/>
    </row>
    <row r="7435" spans="1:1" x14ac:dyDescent="0.3">
      <c r="A7435" s="678"/>
    </row>
    <row r="7436" spans="1:1" x14ac:dyDescent="0.3">
      <c r="A7436" s="678"/>
    </row>
    <row r="7437" spans="1:1" x14ac:dyDescent="0.3">
      <c r="A7437" s="678"/>
    </row>
    <row r="7438" spans="1:1" x14ac:dyDescent="0.3">
      <c r="A7438" s="678"/>
    </row>
    <row r="7439" spans="1:1" x14ac:dyDescent="0.3">
      <c r="A7439" s="678"/>
    </row>
    <row r="7440" spans="1:1" x14ac:dyDescent="0.3">
      <c r="A7440" s="678"/>
    </row>
    <row r="7441" spans="1:1" x14ac:dyDescent="0.3">
      <c r="A7441" s="678"/>
    </row>
    <row r="7442" spans="1:1" x14ac:dyDescent="0.3">
      <c r="A7442" s="678"/>
    </row>
    <row r="7443" spans="1:1" x14ac:dyDescent="0.3">
      <c r="A7443" s="678"/>
    </row>
    <row r="7444" spans="1:1" x14ac:dyDescent="0.3">
      <c r="A7444" s="678"/>
    </row>
    <row r="7445" spans="1:1" x14ac:dyDescent="0.3">
      <c r="A7445" s="678"/>
    </row>
    <row r="7446" spans="1:1" x14ac:dyDescent="0.3">
      <c r="A7446" s="678"/>
    </row>
    <row r="7447" spans="1:1" x14ac:dyDescent="0.3">
      <c r="A7447" s="678"/>
    </row>
    <row r="7448" spans="1:1" x14ac:dyDescent="0.3">
      <c r="A7448" s="678"/>
    </row>
    <row r="7449" spans="1:1" x14ac:dyDescent="0.3">
      <c r="A7449" s="678"/>
    </row>
    <row r="7450" spans="1:1" x14ac:dyDescent="0.3">
      <c r="A7450" s="678"/>
    </row>
    <row r="7451" spans="1:1" x14ac:dyDescent="0.3">
      <c r="A7451" s="678"/>
    </row>
    <row r="7452" spans="1:1" x14ac:dyDescent="0.3">
      <c r="A7452" s="678"/>
    </row>
    <row r="7453" spans="1:1" x14ac:dyDescent="0.3">
      <c r="A7453" s="678"/>
    </row>
    <row r="7454" spans="1:1" x14ac:dyDescent="0.3">
      <c r="A7454" s="678"/>
    </row>
    <row r="7455" spans="1:1" x14ac:dyDescent="0.3">
      <c r="A7455" s="678"/>
    </row>
    <row r="7456" spans="1:1" x14ac:dyDescent="0.3">
      <c r="A7456" s="678"/>
    </row>
    <row r="7457" spans="1:1" x14ac:dyDescent="0.3">
      <c r="A7457" s="678"/>
    </row>
    <row r="7458" spans="1:1" x14ac:dyDescent="0.3">
      <c r="A7458" s="678"/>
    </row>
    <row r="7459" spans="1:1" x14ac:dyDescent="0.3">
      <c r="A7459" s="678"/>
    </row>
    <row r="7460" spans="1:1" x14ac:dyDescent="0.3">
      <c r="A7460" s="678"/>
    </row>
    <row r="7461" spans="1:1" x14ac:dyDescent="0.3">
      <c r="A7461" s="678"/>
    </row>
    <row r="7462" spans="1:1" x14ac:dyDescent="0.3">
      <c r="A7462" s="678"/>
    </row>
    <row r="7463" spans="1:1" x14ac:dyDescent="0.3">
      <c r="A7463" s="678"/>
    </row>
    <row r="7464" spans="1:1" x14ac:dyDescent="0.3">
      <c r="A7464" s="678"/>
    </row>
    <row r="7465" spans="1:1" x14ac:dyDescent="0.3">
      <c r="A7465" s="678"/>
    </row>
    <row r="7466" spans="1:1" x14ac:dyDescent="0.3">
      <c r="A7466" s="678"/>
    </row>
    <row r="7467" spans="1:1" x14ac:dyDescent="0.3">
      <c r="A7467" s="678"/>
    </row>
    <row r="7468" spans="1:1" x14ac:dyDescent="0.3">
      <c r="A7468" s="678"/>
    </row>
    <row r="7469" spans="1:1" x14ac:dyDescent="0.3">
      <c r="A7469" s="678"/>
    </row>
    <row r="7470" spans="1:1" x14ac:dyDescent="0.3">
      <c r="A7470" s="678"/>
    </row>
    <row r="7471" spans="1:1" x14ac:dyDescent="0.3">
      <c r="A7471" s="678"/>
    </row>
    <row r="7472" spans="1:1" x14ac:dyDescent="0.3">
      <c r="A7472" s="678"/>
    </row>
    <row r="7473" spans="1:1" x14ac:dyDescent="0.3">
      <c r="A7473" s="678"/>
    </row>
    <row r="7474" spans="1:1" x14ac:dyDescent="0.3">
      <c r="A7474" s="678"/>
    </row>
    <row r="7475" spans="1:1" x14ac:dyDescent="0.3">
      <c r="A7475" s="678"/>
    </row>
    <row r="7476" spans="1:1" x14ac:dyDescent="0.3">
      <c r="A7476" s="678"/>
    </row>
    <row r="7477" spans="1:1" x14ac:dyDescent="0.3">
      <c r="A7477" s="678"/>
    </row>
    <row r="7478" spans="1:1" x14ac:dyDescent="0.3">
      <c r="A7478" s="678"/>
    </row>
    <row r="7479" spans="1:1" x14ac:dyDescent="0.3">
      <c r="A7479" s="678"/>
    </row>
    <row r="7480" spans="1:1" x14ac:dyDescent="0.3">
      <c r="A7480" s="678"/>
    </row>
    <row r="7481" spans="1:1" x14ac:dyDescent="0.3">
      <c r="A7481" s="678"/>
    </row>
    <row r="7482" spans="1:1" x14ac:dyDescent="0.3">
      <c r="A7482" s="678"/>
    </row>
    <row r="7483" spans="1:1" x14ac:dyDescent="0.3">
      <c r="A7483" s="678"/>
    </row>
    <row r="7484" spans="1:1" x14ac:dyDescent="0.3">
      <c r="A7484" s="678"/>
    </row>
    <row r="7485" spans="1:1" x14ac:dyDescent="0.3">
      <c r="A7485" s="678"/>
    </row>
    <row r="7486" spans="1:1" x14ac:dyDescent="0.3">
      <c r="A7486" s="678"/>
    </row>
    <row r="7487" spans="1:1" x14ac:dyDescent="0.3">
      <c r="A7487" s="678"/>
    </row>
    <row r="7488" spans="1:1" x14ac:dyDescent="0.3">
      <c r="A7488" s="678"/>
    </row>
    <row r="7489" spans="1:1" x14ac:dyDescent="0.3">
      <c r="A7489" s="678"/>
    </row>
    <row r="7490" spans="1:1" x14ac:dyDescent="0.3">
      <c r="A7490" s="678"/>
    </row>
    <row r="7491" spans="1:1" x14ac:dyDescent="0.3">
      <c r="A7491" s="678"/>
    </row>
    <row r="7492" spans="1:1" x14ac:dyDescent="0.3">
      <c r="A7492" s="678"/>
    </row>
    <row r="7493" spans="1:1" x14ac:dyDescent="0.3">
      <c r="A7493" s="678"/>
    </row>
    <row r="7494" spans="1:1" x14ac:dyDescent="0.3">
      <c r="A7494" s="678"/>
    </row>
    <row r="7495" spans="1:1" x14ac:dyDescent="0.3">
      <c r="A7495" s="678"/>
    </row>
    <row r="7496" spans="1:1" x14ac:dyDescent="0.3">
      <c r="A7496" s="678"/>
    </row>
    <row r="7497" spans="1:1" x14ac:dyDescent="0.3">
      <c r="A7497" s="678"/>
    </row>
    <row r="7498" spans="1:1" x14ac:dyDescent="0.3">
      <c r="A7498" s="678"/>
    </row>
    <row r="7499" spans="1:1" x14ac:dyDescent="0.3">
      <c r="A7499" s="678"/>
    </row>
    <row r="7500" spans="1:1" x14ac:dyDescent="0.3">
      <c r="A7500" s="678"/>
    </row>
    <row r="7501" spans="1:1" x14ac:dyDescent="0.3">
      <c r="A7501" s="678"/>
    </row>
    <row r="7502" spans="1:1" x14ac:dyDescent="0.3">
      <c r="A7502" s="678"/>
    </row>
    <row r="7503" spans="1:1" x14ac:dyDescent="0.3">
      <c r="A7503" s="678"/>
    </row>
    <row r="7504" spans="1:1" x14ac:dyDescent="0.3">
      <c r="A7504" s="678"/>
    </row>
    <row r="7505" spans="1:1" x14ac:dyDescent="0.3">
      <c r="A7505" s="678"/>
    </row>
    <row r="7506" spans="1:1" x14ac:dyDescent="0.3">
      <c r="A7506" s="678"/>
    </row>
    <row r="7507" spans="1:1" x14ac:dyDescent="0.3">
      <c r="A7507" s="678"/>
    </row>
    <row r="7508" spans="1:1" x14ac:dyDescent="0.3">
      <c r="A7508" s="678"/>
    </row>
    <row r="7509" spans="1:1" x14ac:dyDescent="0.3">
      <c r="A7509" s="678"/>
    </row>
    <row r="7510" spans="1:1" x14ac:dyDescent="0.3">
      <c r="A7510" s="678"/>
    </row>
    <row r="7511" spans="1:1" x14ac:dyDescent="0.3">
      <c r="A7511" s="678"/>
    </row>
    <row r="7512" spans="1:1" x14ac:dyDescent="0.3">
      <c r="A7512" s="678"/>
    </row>
    <row r="7513" spans="1:1" x14ac:dyDescent="0.3">
      <c r="A7513" s="678"/>
    </row>
    <row r="7514" spans="1:1" x14ac:dyDescent="0.3">
      <c r="A7514" s="678"/>
    </row>
    <row r="7515" spans="1:1" x14ac:dyDescent="0.3">
      <c r="A7515" s="678"/>
    </row>
    <row r="7516" spans="1:1" x14ac:dyDescent="0.3">
      <c r="A7516" s="678"/>
    </row>
    <row r="7517" spans="1:1" x14ac:dyDescent="0.3">
      <c r="A7517" s="678"/>
    </row>
    <row r="7518" spans="1:1" x14ac:dyDescent="0.3">
      <c r="A7518" s="678"/>
    </row>
    <row r="7519" spans="1:1" x14ac:dyDescent="0.3">
      <c r="A7519" s="678"/>
    </row>
    <row r="7520" spans="1:1" x14ac:dyDescent="0.3">
      <c r="A7520" s="678"/>
    </row>
    <row r="7521" spans="1:1" x14ac:dyDescent="0.3">
      <c r="A7521" s="678"/>
    </row>
    <row r="7522" spans="1:1" x14ac:dyDescent="0.3">
      <c r="A7522" s="678"/>
    </row>
    <row r="7523" spans="1:1" x14ac:dyDescent="0.3">
      <c r="A7523" s="678"/>
    </row>
    <row r="7524" spans="1:1" x14ac:dyDescent="0.3">
      <c r="A7524" s="678"/>
    </row>
    <row r="7525" spans="1:1" x14ac:dyDescent="0.3">
      <c r="A7525" s="678"/>
    </row>
    <row r="7526" spans="1:1" x14ac:dyDescent="0.3">
      <c r="A7526" s="678"/>
    </row>
    <row r="7527" spans="1:1" x14ac:dyDescent="0.3">
      <c r="A7527" s="678"/>
    </row>
    <row r="7528" spans="1:1" x14ac:dyDescent="0.3">
      <c r="A7528" s="678"/>
    </row>
    <row r="7529" spans="1:1" x14ac:dyDescent="0.3">
      <c r="A7529" s="678"/>
    </row>
    <row r="7530" spans="1:1" x14ac:dyDescent="0.3">
      <c r="A7530" s="678"/>
    </row>
    <row r="7531" spans="1:1" x14ac:dyDescent="0.3">
      <c r="A7531" s="678"/>
    </row>
    <row r="7532" spans="1:1" x14ac:dyDescent="0.3">
      <c r="A7532" s="678"/>
    </row>
    <row r="7533" spans="1:1" x14ac:dyDescent="0.3">
      <c r="A7533" s="678"/>
    </row>
    <row r="7534" spans="1:1" x14ac:dyDescent="0.3">
      <c r="A7534" s="678"/>
    </row>
    <row r="7535" spans="1:1" x14ac:dyDescent="0.3">
      <c r="A7535" s="678"/>
    </row>
    <row r="7536" spans="1:1" x14ac:dyDescent="0.3">
      <c r="A7536" s="678"/>
    </row>
    <row r="7537" spans="1:1" x14ac:dyDescent="0.3">
      <c r="A7537" s="678"/>
    </row>
    <row r="7538" spans="1:1" x14ac:dyDescent="0.3">
      <c r="A7538" s="678"/>
    </row>
    <row r="7539" spans="1:1" x14ac:dyDescent="0.3">
      <c r="A7539" s="678"/>
    </row>
    <row r="7540" spans="1:1" x14ac:dyDescent="0.3">
      <c r="A7540" s="678"/>
    </row>
    <row r="7541" spans="1:1" x14ac:dyDescent="0.3">
      <c r="A7541" s="678"/>
    </row>
    <row r="7542" spans="1:1" x14ac:dyDescent="0.3">
      <c r="A7542" s="678"/>
    </row>
    <row r="7543" spans="1:1" x14ac:dyDescent="0.3">
      <c r="A7543" s="678"/>
    </row>
    <row r="7544" spans="1:1" x14ac:dyDescent="0.3">
      <c r="A7544" s="678"/>
    </row>
    <row r="7545" spans="1:1" x14ac:dyDescent="0.3">
      <c r="A7545" s="678"/>
    </row>
    <row r="7546" spans="1:1" x14ac:dyDescent="0.3">
      <c r="A7546" s="678"/>
    </row>
    <row r="7547" spans="1:1" x14ac:dyDescent="0.3">
      <c r="A7547" s="678"/>
    </row>
    <row r="7548" spans="1:1" x14ac:dyDescent="0.3">
      <c r="A7548" s="678"/>
    </row>
    <row r="7549" spans="1:1" x14ac:dyDescent="0.3">
      <c r="A7549" s="678"/>
    </row>
    <row r="7550" spans="1:1" x14ac:dyDescent="0.3">
      <c r="A7550" s="678"/>
    </row>
    <row r="7551" spans="1:1" x14ac:dyDescent="0.3">
      <c r="A7551" s="678"/>
    </row>
    <row r="7552" spans="1:1" x14ac:dyDescent="0.3">
      <c r="A7552" s="678"/>
    </row>
    <row r="7553" spans="1:1" x14ac:dyDescent="0.3">
      <c r="A7553" s="678"/>
    </row>
    <row r="7554" spans="1:1" x14ac:dyDescent="0.3">
      <c r="A7554" s="678"/>
    </row>
    <row r="7555" spans="1:1" x14ac:dyDescent="0.3">
      <c r="A7555" s="678"/>
    </row>
    <row r="7556" spans="1:1" x14ac:dyDescent="0.3">
      <c r="A7556" s="678"/>
    </row>
    <row r="7557" spans="1:1" x14ac:dyDescent="0.3">
      <c r="A7557" s="678"/>
    </row>
    <row r="7558" spans="1:1" x14ac:dyDescent="0.3">
      <c r="A7558" s="678"/>
    </row>
    <row r="7559" spans="1:1" x14ac:dyDescent="0.3">
      <c r="A7559" s="678"/>
    </row>
    <row r="7560" spans="1:1" x14ac:dyDescent="0.3">
      <c r="A7560" s="678"/>
    </row>
    <row r="7561" spans="1:1" x14ac:dyDescent="0.3">
      <c r="A7561" s="678"/>
    </row>
    <row r="7562" spans="1:1" x14ac:dyDescent="0.3">
      <c r="A7562" s="678"/>
    </row>
    <row r="7563" spans="1:1" x14ac:dyDescent="0.3">
      <c r="A7563" s="678"/>
    </row>
    <row r="7564" spans="1:1" x14ac:dyDescent="0.3">
      <c r="A7564" s="678"/>
    </row>
    <row r="7565" spans="1:1" x14ac:dyDescent="0.3">
      <c r="A7565" s="678"/>
    </row>
    <row r="7566" spans="1:1" x14ac:dyDescent="0.3">
      <c r="A7566" s="678"/>
    </row>
    <row r="7567" spans="1:1" x14ac:dyDescent="0.3">
      <c r="A7567" s="678"/>
    </row>
    <row r="7568" spans="1:1" x14ac:dyDescent="0.3">
      <c r="A7568" s="678"/>
    </row>
    <row r="7569" spans="1:1" x14ac:dyDescent="0.3">
      <c r="A7569" s="678"/>
    </row>
    <row r="7570" spans="1:1" x14ac:dyDescent="0.3">
      <c r="A7570" s="678"/>
    </row>
    <row r="7571" spans="1:1" x14ac:dyDescent="0.3">
      <c r="A7571" s="678"/>
    </row>
    <row r="7572" spans="1:1" x14ac:dyDescent="0.3">
      <c r="A7572" s="678"/>
    </row>
    <row r="7573" spans="1:1" x14ac:dyDescent="0.3">
      <c r="A7573" s="678"/>
    </row>
    <row r="7574" spans="1:1" x14ac:dyDescent="0.3">
      <c r="A7574" s="678"/>
    </row>
    <row r="7575" spans="1:1" x14ac:dyDescent="0.3">
      <c r="A7575" s="678"/>
    </row>
    <row r="7576" spans="1:1" x14ac:dyDescent="0.3">
      <c r="A7576" s="678"/>
    </row>
    <row r="7577" spans="1:1" x14ac:dyDescent="0.3">
      <c r="A7577" s="678"/>
    </row>
    <row r="7578" spans="1:1" x14ac:dyDescent="0.3">
      <c r="A7578" s="678"/>
    </row>
    <row r="7579" spans="1:1" x14ac:dyDescent="0.3">
      <c r="A7579" s="678"/>
    </row>
    <row r="7580" spans="1:1" x14ac:dyDescent="0.3">
      <c r="A7580" s="678"/>
    </row>
    <row r="7581" spans="1:1" x14ac:dyDescent="0.3">
      <c r="A7581" s="678"/>
    </row>
    <row r="7582" spans="1:1" x14ac:dyDescent="0.3">
      <c r="A7582" s="678"/>
    </row>
    <row r="7583" spans="1:1" x14ac:dyDescent="0.3">
      <c r="A7583" s="678"/>
    </row>
    <row r="7584" spans="1:1" x14ac:dyDescent="0.3">
      <c r="A7584" s="678"/>
    </row>
    <row r="7585" spans="1:1" x14ac:dyDescent="0.3">
      <c r="A7585" s="678"/>
    </row>
    <row r="7586" spans="1:1" x14ac:dyDescent="0.3">
      <c r="A7586" s="678"/>
    </row>
    <row r="7587" spans="1:1" x14ac:dyDescent="0.3">
      <c r="A7587" s="678"/>
    </row>
    <row r="7588" spans="1:1" x14ac:dyDescent="0.3">
      <c r="A7588" s="678"/>
    </row>
    <row r="7589" spans="1:1" x14ac:dyDescent="0.3">
      <c r="A7589" s="678"/>
    </row>
    <row r="7590" spans="1:1" x14ac:dyDescent="0.3">
      <c r="A7590" s="678"/>
    </row>
    <row r="7591" spans="1:1" x14ac:dyDescent="0.3">
      <c r="A7591" s="678"/>
    </row>
    <row r="7592" spans="1:1" x14ac:dyDescent="0.3">
      <c r="A7592" s="678"/>
    </row>
    <row r="7593" spans="1:1" x14ac:dyDescent="0.3">
      <c r="A7593" s="678"/>
    </row>
    <row r="7594" spans="1:1" x14ac:dyDescent="0.3">
      <c r="A7594" s="678"/>
    </row>
    <row r="7595" spans="1:1" x14ac:dyDescent="0.3">
      <c r="A7595" s="678"/>
    </row>
    <row r="7596" spans="1:1" x14ac:dyDescent="0.3">
      <c r="A7596" s="678"/>
    </row>
    <row r="7597" spans="1:1" x14ac:dyDescent="0.3">
      <c r="A7597" s="678"/>
    </row>
    <row r="7598" spans="1:1" x14ac:dyDescent="0.3">
      <c r="A7598" s="678"/>
    </row>
    <row r="7599" spans="1:1" x14ac:dyDescent="0.3">
      <c r="A7599" s="678"/>
    </row>
    <row r="7600" spans="1:1" x14ac:dyDescent="0.3">
      <c r="A7600" s="678"/>
    </row>
    <row r="7601" spans="1:1" x14ac:dyDescent="0.3">
      <c r="A7601" s="678"/>
    </row>
    <row r="7602" spans="1:1" x14ac:dyDescent="0.3">
      <c r="A7602" s="678"/>
    </row>
    <row r="7603" spans="1:1" x14ac:dyDescent="0.3">
      <c r="A7603" s="678"/>
    </row>
    <row r="7604" spans="1:1" x14ac:dyDescent="0.3">
      <c r="A7604" s="678"/>
    </row>
    <row r="7605" spans="1:1" x14ac:dyDescent="0.3">
      <c r="A7605" s="678"/>
    </row>
    <row r="7606" spans="1:1" x14ac:dyDescent="0.3">
      <c r="A7606" s="678"/>
    </row>
    <row r="7607" spans="1:1" x14ac:dyDescent="0.3">
      <c r="A7607" s="678"/>
    </row>
    <row r="7608" spans="1:1" x14ac:dyDescent="0.3">
      <c r="A7608" s="678"/>
    </row>
    <row r="7609" spans="1:1" x14ac:dyDescent="0.3">
      <c r="A7609" s="678"/>
    </row>
    <row r="7610" spans="1:1" x14ac:dyDescent="0.3">
      <c r="A7610" s="678"/>
    </row>
    <row r="7611" spans="1:1" x14ac:dyDescent="0.3">
      <c r="A7611" s="678"/>
    </row>
    <row r="7612" spans="1:1" x14ac:dyDescent="0.3">
      <c r="A7612" s="678"/>
    </row>
    <row r="7613" spans="1:1" x14ac:dyDescent="0.3">
      <c r="A7613" s="678"/>
    </row>
    <row r="7614" spans="1:1" x14ac:dyDescent="0.3">
      <c r="A7614" s="678"/>
    </row>
    <row r="7615" spans="1:1" x14ac:dyDescent="0.3">
      <c r="A7615" s="678"/>
    </row>
    <row r="7616" spans="1:1" x14ac:dyDescent="0.3">
      <c r="A7616" s="678"/>
    </row>
    <row r="7617" spans="1:1" x14ac:dyDescent="0.3">
      <c r="A7617" s="678"/>
    </row>
    <row r="7618" spans="1:1" x14ac:dyDescent="0.3">
      <c r="A7618" s="678"/>
    </row>
    <row r="7619" spans="1:1" x14ac:dyDescent="0.3">
      <c r="A7619" s="678"/>
    </row>
    <row r="7620" spans="1:1" x14ac:dyDescent="0.3">
      <c r="A7620" s="678"/>
    </row>
    <row r="7621" spans="1:1" x14ac:dyDescent="0.3">
      <c r="A7621" s="678"/>
    </row>
    <row r="7622" spans="1:1" x14ac:dyDescent="0.3">
      <c r="A7622" s="678"/>
    </row>
    <row r="7623" spans="1:1" x14ac:dyDescent="0.3">
      <c r="A7623" s="678"/>
    </row>
    <row r="7624" spans="1:1" x14ac:dyDescent="0.3">
      <c r="A7624" s="678"/>
    </row>
    <row r="7625" spans="1:1" x14ac:dyDescent="0.3">
      <c r="A7625" s="678"/>
    </row>
    <row r="7626" spans="1:1" x14ac:dyDescent="0.3">
      <c r="A7626" s="678"/>
    </row>
    <row r="7627" spans="1:1" x14ac:dyDescent="0.3">
      <c r="A7627" s="678"/>
    </row>
    <row r="7628" spans="1:1" x14ac:dyDescent="0.3">
      <c r="A7628" s="678"/>
    </row>
    <row r="7629" spans="1:1" x14ac:dyDescent="0.3">
      <c r="A7629" s="678"/>
    </row>
    <row r="7630" spans="1:1" x14ac:dyDescent="0.3">
      <c r="A7630" s="678"/>
    </row>
    <row r="7631" spans="1:1" x14ac:dyDescent="0.3">
      <c r="A7631" s="678"/>
    </row>
    <row r="7632" spans="1:1" x14ac:dyDescent="0.3">
      <c r="A7632" s="678"/>
    </row>
    <row r="7633" spans="1:1" x14ac:dyDescent="0.3">
      <c r="A7633" s="678"/>
    </row>
    <row r="7634" spans="1:1" x14ac:dyDescent="0.3">
      <c r="A7634" s="678"/>
    </row>
    <row r="7635" spans="1:1" x14ac:dyDescent="0.3">
      <c r="A7635" s="678"/>
    </row>
    <row r="7636" spans="1:1" x14ac:dyDescent="0.3">
      <c r="A7636" s="678"/>
    </row>
    <row r="7637" spans="1:1" x14ac:dyDescent="0.3">
      <c r="A7637" s="678"/>
    </row>
    <row r="7638" spans="1:1" x14ac:dyDescent="0.3">
      <c r="A7638" s="678"/>
    </row>
    <row r="7639" spans="1:1" x14ac:dyDescent="0.3">
      <c r="A7639" s="678"/>
    </row>
    <row r="7640" spans="1:1" x14ac:dyDescent="0.3">
      <c r="A7640" s="678"/>
    </row>
    <row r="7641" spans="1:1" x14ac:dyDescent="0.3">
      <c r="A7641" s="678"/>
    </row>
    <row r="7642" spans="1:1" x14ac:dyDescent="0.3">
      <c r="A7642" s="678"/>
    </row>
    <row r="7643" spans="1:1" x14ac:dyDescent="0.3">
      <c r="A7643" s="678"/>
    </row>
    <row r="7644" spans="1:1" x14ac:dyDescent="0.3">
      <c r="A7644" s="678"/>
    </row>
    <row r="7645" spans="1:1" x14ac:dyDescent="0.3">
      <c r="A7645" s="678"/>
    </row>
    <row r="7646" spans="1:1" x14ac:dyDescent="0.3">
      <c r="A7646" s="678"/>
    </row>
    <row r="7647" spans="1:1" x14ac:dyDescent="0.3">
      <c r="A7647" s="678"/>
    </row>
    <row r="7648" spans="1:1" x14ac:dyDescent="0.3">
      <c r="A7648" s="678"/>
    </row>
    <row r="7649" spans="1:1" x14ac:dyDescent="0.3">
      <c r="A7649" s="678"/>
    </row>
    <row r="7650" spans="1:1" x14ac:dyDescent="0.3">
      <c r="A7650" s="678"/>
    </row>
    <row r="7651" spans="1:1" x14ac:dyDescent="0.3">
      <c r="A7651" s="678"/>
    </row>
    <row r="7652" spans="1:1" x14ac:dyDescent="0.3">
      <c r="A7652" s="678"/>
    </row>
    <row r="7653" spans="1:1" x14ac:dyDescent="0.3">
      <c r="A7653" s="678"/>
    </row>
    <row r="7654" spans="1:1" x14ac:dyDescent="0.3">
      <c r="A7654" s="678"/>
    </row>
    <row r="7655" spans="1:1" x14ac:dyDescent="0.3">
      <c r="A7655" s="678"/>
    </row>
    <row r="7656" spans="1:1" x14ac:dyDescent="0.3">
      <c r="A7656" s="678"/>
    </row>
    <row r="7657" spans="1:1" x14ac:dyDescent="0.3">
      <c r="A7657" s="678"/>
    </row>
    <row r="7658" spans="1:1" x14ac:dyDescent="0.3">
      <c r="A7658" s="678"/>
    </row>
    <row r="7659" spans="1:1" x14ac:dyDescent="0.3">
      <c r="A7659" s="678"/>
    </row>
    <row r="7660" spans="1:1" x14ac:dyDescent="0.3">
      <c r="A7660" s="678"/>
    </row>
    <row r="7661" spans="1:1" x14ac:dyDescent="0.3">
      <c r="A7661" s="678"/>
    </row>
    <row r="7662" spans="1:1" x14ac:dyDescent="0.3">
      <c r="A7662" s="678"/>
    </row>
    <row r="7663" spans="1:1" x14ac:dyDescent="0.3">
      <c r="A7663" s="678"/>
    </row>
    <row r="7664" spans="1:1" x14ac:dyDescent="0.3">
      <c r="A7664" s="678"/>
    </row>
    <row r="7665" spans="1:1" x14ac:dyDescent="0.3">
      <c r="A7665" s="678"/>
    </row>
    <row r="7666" spans="1:1" x14ac:dyDescent="0.3">
      <c r="A7666" s="678"/>
    </row>
    <row r="7667" spans="1:1" x14ac:dyDescent="0.3">
      <c r="A7667" s="678"/>
    </row>
    <row r="7668" spans="1:1" x14ac:dyDescent="0.3">
      <c r="A7668" s="678"/>
    </row>
    <row r="7669" spans="1:1" x14ac:dyDescent="0.3">
      <c r="A7669" s="678"/>
    </row>
    <row r="7670" spans="1:1" x14ac:dyDescent="0.3">
      <c r="A7670" s="678"/>
    </row>
    <row r="7671" spans="1:1" x14ac:dyDescent="0.3">
      <c r="A7671" s="678"/>
    </row>
    <row r="7672" spans="1:1" x14ac:dyDescent="0.3">
      <c r="A7672" s="678"/>
    </row>
    <row r="7673" spans="1:1" x14ac:dyDescent="0.3">
      <c r="A7673" s="678"/>
    </row>
    <row r="7674" spans="1:1" x14ac:dyDescent="0.3">
      <c r="A7674" s="678"/>
    </row>
    <row r="7675" spans="1:1" x14ac:dyDescent="0.3">
      <c r="A7675" s="678"/>
    </row>
    <row r="7676" spans="1:1" x14ac:dyDescent="0.3">
      <c r="A7676" s="678"/>
    </row>
    <row r="7677" spans="1:1" x14ac:dyDescent="0.3">
      <c r="A7677" s="678"/>
    </row>
    <row r="7678" spans="1:1" x14ac:dyDescent="0.3">
      <c r="A7678" s="678"/>
    </row>
    <row r="7679" spans="1:1" x14ac:dyDescent="0.3">
      <c r="A7679" s="678"/>
    </row>
    <row r="7680" spans="1:1" x14ac:dyDescent="0.3">
      <c r="A7680" s="678"/>
    </row>
    <row r="7681" spans="1:1" x14ac:dyDescent="0.3">
      <c r="A7681" s="678"/>
    </row>
    <row r="7682" spans="1:1" x14ac:dyDescent="0.3">
      <c r="A7682" s="678"/>
    </row>
    <row r="7683" spans="1:1" x14ac:dyDescent="0.3">
      <c r="A7683" s="678"/>
    </row>
    <row r="7684" spans="1:1" x14ac:dyDescent="0.3">
      <c r="A7684" s="678"/>
    </row>
    <row r="7685" spans="1:1" x14ac:dyDescent="0.3">
      <c r="A7685" s="678"/>
    </row>
    <row r="7686" spans="1:1" x14ac:dyDescent="0.3">
      <c r="A7686" s="678"/>
    </row>
    <row r="7687" spans="1:1" x14ac:dyDescent="0.3">
      <c r="A7687" s="678"/>
    </row>
    <row r="7688" spans="1:1" x14ac:dyDescent="0.3">
      <c r="A7688" s="678"/>
    </row>
    <row r="7689" spans="1:1" x14ac:dyDescent="0.3">
      <c r="A7689" s="678"/>
    </row>
    <row r="7690" spans="1:1" x14ac:dyDescent="0.3">
      <c r="A7690" s="678"/>
    </row>
    <row r="7691" spans="1:1" x14ac:dyDescent="0.3">
      <c r="A7691" s="678"/>
    </row>
    <row r="7692" spans="1:1" x14ac:dyDescent="0.3">
      <c r="A7692" s="678"/>
    </row>
    <row r="7693" spans="1:1" x14ac:dyDescent="0.3">
      <c r="A7693" s="678"/>
    </row>
    <row r="7694" spans="1:1" x14ac:dyDescent="0.3">
      <c r="A7694" s="678"/>
    </row>
    <row r="7695" spans="1:1" x14ac:dyDescent="0.3">
      <c r="A7695" s="678"/>
    </row>
    <row r="7696" spans="1:1" x14ac:dyDescent="0.3">
      <c r="A7696" s="678"/>
    </row>
    <row r="7697" spans="1:1" x14ac:dyDescent="0.3">
      <c r="A7697" s="678"/>
    </row>
    <row r="7698" spans="1:1" x14ac:dyDescent="0.3">
      <c r="A7698" s="678"/>
    </row>
    <row r="7699" spans="1:1" x14ac:dyDescent="0.3">
      <c r="A7699" s="678"/>
    </row>
    <row r="7700" spans="1:1" x14ac:dyDescent="0.3">
      <c r="A7700" s="678"/>
    </row>
    <row r="7701" spans="1:1" x14ac:dyDescent="0.3">
      <c r="A7701" s="678"/>
    </row>
    <row r="7702" spans="1:1" x14ac:dyDescent="0.3">
      <c r="A7702" s="678"/>
    </row>
    <row r="7703" spans="1:1" x14ac:dyDescent="0.3">
      <c r="A7703" s="678"/>
    </row>
    <row r="7704" spans="1:1" x14ac:dyDescent="0.3">
      <c r="A7704" s="678"/>
    </row>
    <row r="7705" spans="1:1" x14ac:dyDescent="0.3">
      <c r="A7705" s="678"/>
    </row>
    <row r="7706" spans="1:1" x14ac:dyDescent="0.3">
      <c r="A7706" s="678"/>
    </row>
    <row r="7707" spans="1:1" x14ac:dyDescent="0.3">
      <c r="A7707" s="678"/>
    </row>
    <row r="7708" spans="1:1" x14ac:dyDescent="0.3">
      <c r="A7708" s="678"/>
    </row>
    <row r="7709" spans="1:1" x14ac:dyDescent="0.3">
      <c r="A7709" s="678"/>
    </row>
    <row r="7710" spans="1:1" x14ac:dyDescent="0.3">
      <c r="A7710" s="678"/>
    </row>
    <row r="7711" spans="1:1" x14ac:dyDescent="0.3">
      <c r="A7711" s="678"/>
    </row>
    <row r="7712" spans="1:1" x14ac:dyDescent="0.3">
      <c r="A7712" s="678"/>
    </row>
    <row r="7713" spans="1:1" x14ac:dyDescent="0.3">
      <c r="A7713" s="678"/>
    </row>
    <row r="7714" spans="1:1" x14ac:dyDescent="0.3">
      <c r="A7714" s="678"/>
    </row>
    <row r="7715" spans="1:1" x14ac:dyDescent="0.3">
      <c r="A7715" s="678"/>
    </row>
    <row r="7716" spans="1:1" x14ac:dyDescent="0.3">
      <c r="A7716" s="678"/>
    </row>
    <row r="7717" spans="1:1" x14ac:dyDescent="0.3">
      <c r="A7717" s="678"/>
    </row>
    <row r="7718" spans="1:1" x14ac:dyDescent="0.3">
      <c r="A7718" s="678"/>
    </row>
    <row r="7719" spans="1:1" x14ac:dyDescent="0.3">
      <c r="A7719" s="678"/>
    </row>
    <row r="7720" spans="1:1" x14ac:dyDescent="0.3">
      <c r="A7720" s="678"/>
    </row>
    <row r="7721" spans="1:1" x14ac:dyDescent="0.3">
      <c r="A7721" s="678"/>
    </row>
    <row r="7722" spans="1:1" x14ac:dyDescent="0.3">
      <c r="A7722" s="678"/>
    </row>
    <row r="7723" spans="1:1" x14ac:dyDescent="0.3">
      <c r="A7723" s="678"/>
    </row>
    <row r="7724" spans="1:1" x14ac:dyDescent="0.3">
      <c r="A7724" s="678"/>
    </row>
    <row r="7725" spans="1:1" x14ac:dyDescent="0.3">
      <c r="A7725" s="678"/>
    </row>
    <row r="7726" spans="1:1" x14ac:dyDescent="0.3">
      <c r="A7726" s="678"/>
    </row>
    <row r="7727" spans="1:1" x14ac:dyDescent="0.3">
      <c r="A7727" s="678"/>
    </row>
    <row r="7728" spans="1:1" x14ac:dyDescent="0.3">
      <c r="A7728" s="678"/>
    </row>
    <row r="7729" spans="1:1" x14ac:dyDescent="0.3">
      <c r="A7729" s="678"/>
    </row>
    <row r="7730" spans="1:1" x14ac:dyDescent="0.3">
      <c r="A7730" s="678"/>
    </row>
    <row r="7731" spans="1:1" x14ac:dyDescent="0.3">
      <c r="A7731" s="678"/>
    </row>
    <row r="7732" spans="1:1" x14ac:dyDescent="0.3">
      <c r="A7732" s="678"/>
    </row>
    <row r="7733" spans="1:1" x14ac:dyDescent="0.3">
      <c r="A7733" s="678"/>
    </row>
    <row r="7734" spans="1:1" x14ac:dyDescent="0.3">
      <c r="A7734" s="678"/>
    </row>
    <row r="7735" spans="1:1" x14ac:dyDescent="0.3">
      <c r="A7735" s="678"/>
    </row>
    <row r="7736" spans="1:1" x14ac:dyDescent="0.3">
      <c r="A7736" s="678"/>
    </row>
    <row r="7737" spans="1:1" x14ac:dyDescent="0.3">
      <c r="A7737" s="678"/>
    </row>
    <row r="7738" spans="1:1" x14ac:dyDescent="0.3">
      <c r="A7738" s="678"/>
    </row>
    <row r="7739" spans="1:1" x14ac:dyDescent="0.3">
      <c r="A7739" s="678"/>
    </row>
    <row r="7740" spans="1:1" x14ac:dyDescent="0.3">
      <c r="A7740" s="678"/>
    </row>
    <row r="7741" spans="1:1" x14ac:dyDescent="0.3">
      <c r="A7741" s="678"/>
    </row>
    <row r="7742" spans="1:1" x14ac:dyDescent="0.3">
      <c r="A7742" s="678"/>
    </row>
    <row r="7743" spans="1:1" x14ac:dyDescent="0.3">
      <c r="A7743" s="678"/>
    </row>
    <row r="7744" spans="1:1" x14ac:dyDescent="0.3">
      <c r="A7744" s="678"/>
    </row>
    <row r="7745" spans="1:1" x14ac:dyDescent="0.3">
      <c r="A7745" s="678"/>
    </row>
    <row r="7746" spans="1:1" x14ac:dyDescent="0.3">
      <c r="A7746" s="678"/>
    </row>
    <row r="7747" spans="1:1" x14ac:dyDescent="0.3">
      <c r="A7747" s="678"/>
    </row>
    <row r="7748" spans="1:1" x14ac:dyDescent="0.3">
      <c r="A7748" s="678"/>
    </row>
    <row r="7749" spans="1:1" x14ac:dyDescent="0.3">
      <c r="A7749" s="678"/>
    </row>
    <row r="7750" spans="1:1" x14ac:dyDescent="0.3">
      <c r="A7750" s="678"/>
    </row>
    <row r="7751" spans="1:1" x14ac:dyDescent="0.3">
      <c r="A7751" s="678"/>
    </row>
    <row r="7752" spans="1:1" x14ac:dyDescent="0.3">
      <c r="A7752" s="678"/>
    </row>
    <row r="7753" spans="1:1" x14ac:dyDescent="0.3">
      <c r="A7753" s="678"/>
    </row>
    <row r="7754" spans="1:1" x14ac:dyDescent="0.3">
      <c r="A7754" s="678"/>
    </row>
    <row r="7755" spans="1:1" x14ac:dyDescent="0.3">
      <c r="A7755" s="678"/>
    </row>
    <row r="7756" spans="1:1" x14ac:dyDescent="0.3">
      <c r="A7756" s="678"/>
    </row>
    <row r="7757" spans="1:1" x14ac:dyDescent="0.3">
      <c r="A7757" s="678"/>
    </row>
    <row r="7758" spans="1:1" x14ac:dyDescent="0.3">
      <c r="A7758" s="678"/>
    </row>
    <row r="7759" spans="1:1" x14ac:dyDescent="0.3">
      <c r="A7759" s="678"/>
    </row>
    <row r="7760" spans="1:1" x14ac:dyDescent="0.3">
      <c r="A7760" s="678"/>
    </row>
    <row r="7761" spans="1:1" x14ac:dyDescent="0.3">
      <c r="A7761" s="678"/>
    </row>
    <row r="7762" spans="1:1" x14ac:dyDescent="0.3">
      <c r="A7762" s="678"/>
    </row>
    <row r="7763" spans="1:1" x14ac:dyDescent="0.3">
      <c r="A7763" s="678"/>
    </row>
    <row r="7764" spans="1:1" x14ac:dyDescent="0.3">
      <c r="A7764" s="678"/>
    </row>
    <row r="7765" spans="1:1" x14ac:dyDescent="0.3">
      <c r="A7765" s="678"/>
    </row>
    <row r="7766" spans="1:1" x14ac:dyDescent="0.3">
      <c r="A7766" s="678"/>
    </row>
    <row r="7767" spans="1:1" x14ac:dyDescent="0.3">
      <c r="A7767" s="678"/>
    </row>
    <row r="7768" spans="1:1" x14ac:dyDescent="0.3">
      <c r="A7768" s="678"/>
    </row>
    <row r="7769" spans="1:1" x14ac:dyDescent="0.3">
      <c r="A7769" s="678"/>
    </row>
    <row r="7770" spans="1:1" x14ac:dyDescent="0.3">
      <c r="A7770" s="678"/>
    </row>
    <row r="7771" spans="1:1" x14ac:dyDescent="0.3">
      <c r="A7771" s="678"/>
    </row>
    <row r="7772" spans="1:1" x14ac:dyDescent="0.3">
      <c r="A7772" s="678"/>
    </row>
    <row r="7773" spans="1:1" x14ac:dyDescent="0.3">
      <c r="A7773" s="678"/>
    </row>
    <row r="7774" spans="1:1" x14ac:dyDescent="0.3">
      <c r="A7774" s="678"/>
    </row>
    <row r="7775" spans="1:1" x14ac:dyDescent="0.3">
      <c r="A7775" s="678"/>
    </row>
    <row r="7776" spans="1:1" x14ac:dyDescent="0.3">
      <c r="A7776" s="678"/>
    </row>
    <row r="7777" spans="1:1" x14ac:dyDescent="0.3">
      <c r="A7777" s="678"/>
    </row>
    <row r="7778" spans="1:1" x14ac:dyDescent="0.3">
      <c r="A7778" s="678"/>
    </row>
    <row r="7779" spans="1:1" x14ac:dyDescent="0.3">
      <c r="A7779" s="678"/>
    </row>
    <row r="7780" spans="1:1" x14ac:dyDescent="0.3">
      <c r="A7780" s="678"/>
    </row>
    <row r="7781" spans="1:1" x14ac:dyDescent="0.3">
      <c r="A7781" s="678"/>
    </row>
    <row r="7782" spans="1:1" x14ac:dyDescent="0.3">
      <c r="A7782" s="678"/>
    </row>
    <row r="7783" spans="1:1" x14ac:dyDescent="0.3">
      <c r="A7783" s="678"/>
    </row>
    <row r="7784" spans="1:1" x14ac:dyDescent="0.3">
      <c r="A7784" s="678"/>
    </row>
    <row r="7785" spans="1:1" x14ac:dyDescent="0.3">
      <c r="A7785" s="678"/>
    </row>
    <row r="7786" spans="1:1" x14ac:dyDescent="0.3">
      <c r="A7786" s="678"/>
    </row>
    <row r="7787" spans="1:1" x14ac:dyDescent="0.3">
      <c r="A7787" s="678"/>
    </row>
    <row r="7788" spans="1:1" x14ac:dyDescent="0.3">
      <c r="A7788" s="678"/>
    </row>
    <row r="7789" spans="1:1" x14ac:dyDescent="0.3">
      <c r="A7789" s="678"/>
    </row>
    <row r="7790" spans="1:1" x14ac:dyDescent="0.3">
      <c r="A7790" s="678"/>
    </row>
    <row r="7791" spans="1:1" x14ac:dyDescent="0.3">
      <c r="A7791" s="678"/>
    </row>
    <row r="7792" spans="1:1" x14ac:dyDescent="0.3">
      <c r="A7792" s="678"/>
    </row>
    <row r="7793" spans="1:1" x14ac:dyDescent="0.3">
      <c r="A7793" s="678"/>
    </row>
    <row r="7794" spans="1:1" x14ac:dyDescent="0.3">
      <c r="A7794" s="678"/>
    </row>
    <row r="7795" spans="1:1" x14ac:dyDescent="0.3">
      <c r="A7795" s="678"/>
    </row>
    <row r="7796" spans="1:1" x14ac:dyDescent="0.3">
      <c r="A7796" s="678"/>
    </row>
    <row r="7797" spans="1:1" x14ac:dyDescent="0.3">
      <c r="A7797" s="678"/>
    </row>
    <row r="7798" spans="1:1" x14ac:dyDescent="0.3">
      <c r="A7798" s="678"/>
    </row>
    <row r="7799" spans="1:1" x14ac:dyDescent="0.3">
      <c r="A7799" s="678"/>
    </row>
    <row r="7800" spans="1:1" x14ac:dyDescent="0.3">
      <c r="A7800" s="678"/>
    </row>
    <row r="7801" spans="1:1" x14ac:dyDescent="0.3">
      <c r="A7801" s="678"/>
    </row>
    <row r="7802" spans="1:1" x14ac:dyDescent="0.3">
      <c r="A7802" s="678"/>
    </row>
    <row r="7803" spans="1:1" x14ac:dyDescent="0.3">
      <c r="A7803" s="678"/>
    </row>
    <row r="7804" spans="1:1" x14ac:dyDescent="0.3">
      <c r="A7804" s="678"/>
    </row>
    <row r="7805" spans="1:1" x14ac:dyDescent="0.3">
      <c r="A7805" s="678"/>
    </row>
    <row r="7806" spans="1:1" x14ac:dyDescent="0.3">
      <c r="A7806" s="678"/>
    </row>
    <row r="7807" spans="1:1" x14ac:dyDescent="0.3">
      <c r="A7807" s="678"/>
    </row>
    <row r="7808" spans="1:1" x14ac:dyDescent="0.3">
      <c r="A7808" s="678"/>
    </row>
    <row r="7809" spans="1:1" x14ac:dyDescent="0.3">
      <c r="A7809" s="678"/>
    </row>
    <row r="7810" spans="1:1" x14ac:dyDescent="0.3">
      <c r="A7810" s="678"/>
    </row>
    <row r="7811" spans="1:1" x14ac:dyDescent="0.3">
      <c r="A7811" s="678"/>
    </row>
    <row r="7812" spans="1:1" x14ac:dyDescent="0.3">
      <c r="A7812" s="678"/>
    </row>
    <row r="7813" spans="1:1" x14ac:dyDescent="0.3">
      <c r="A7813" s="678"/>
    </row>
    <row r="7814" spans="1:1" x14ac:dyDescent="0.3">
      <c r="A7814" s="678"/>
    </row>
    <row r="7815" spans="1:1" x14ac:dyDescent="0.3">
      <c r="A7815" s="678"/>
    </row>
    <row r="7816" spans="1:1" x14ac:dyDescent="0.3">
      <c r="A7816" s="678"/>
    </row>
    <row r="7817" spans="1:1" x14ac:dyDescent="0.3">
      <c r="A7817" s="678"/>
    </row>
    <row r="7818" spans="1:1" x14ac:dyDescent="0.3">
      <c r="A7818" s="678"/>
    </row>
    <row r="7819" spans="1:1" x14ac:dyDescent="0.3">
      <c r="A7819" s="678"/>
    </row>
    <row r="7820" spans="1:1" x14ac:dyDescent="0.3">
      <c r="A7820" s="678"/>
    </row>
    <row r="7821" spans="1:1" x14ac:dyDescent="0.3">
      <c r="A7821" s="678"/>
    </row>
    <row r="7822" spans="1:1" x14ac:dyDescent="0.3">
      <c r="A7822" s="678"/>
    </row>
    <row r="7823" spans="1:1" x14ac:dyDescent="0.3">
      <c r="A7823" s="678"/>
    </row>
    <row r="7824" spans="1:1" x14ac:dyDescent="0.3">
      <c r="A7824" s="678"/>
    </row>
    <row r="7825" spans="1:1" x14ac:dyDescent="0.3">
      <c r="A7825" s="678"/>
    </row>
    <row r="7826" spans="1:1" x14ac:dyDescent="0.3">
      <c r="A7826" s="678"/>
    </row>
    <row r="7827" spans="1:1" x14ac:dyDescent="0.3">
      <c r="A7827" s="678"/>
    </row>
    <row r="7828" spans="1:1" x14ac:dyDescent="0.3">
      <c r="A7828" s="678"/>
    </row>
    <row r="7829" spans="1:1" x14ac:dyDescent="0.3">
      <c r="A7829" s="678"/>
    </row>
    <row r="7830" spans="1:1" x14ac:dyDescent="0.3">
      <c r="A7830" s="678"/>
    </row>
    <row r="7831" spans="1:1" x14ac:dyDescent="0.3">
      <c r="A7831" s="678"/>
    </row>
    <row r="7832" spans="1:1" x14ac:dyDescent="0.3">
      <c r="A7832" s="678"/>
    </row>
    <row r="7833" spans="1:1" x14ac:dyDescent="0.3">
      <c r="A7833" s="678"/>
    </row>
    <row r="7834" spans="1:1" x14ac:dyDescent="0.3">
      <c r="A7834" s="678"/>
    </row>
    <row r="7835" spans="1:1" x14ac:dyDescent="0.3">
      <c r="A7835" s="678"/>
    </row>
    <row r="7836" spans="1:1" x14ac:dyDescent="0.3">
      <c r="A7836" s="678"/>
    </row>
    <row r="7837" spans="1:1" x14ac:dyDescent="0.3">
      <c r="A7837" s="678"/>
    </row>
    <row r="7838" spans="1:1" x14ac:dyDescent="0.3">
      <c r="A7838" s="678"/>
    </row>
    <row r="7839" spans="1:1" x14ac:dyDescent="0.3">
      <c r="A7839" s="678"/>
    </row>
    <row r="7840" spans="1:1" x14ac:dyDescent="0.3">
      <c r="A7840" s="678"/>
    </row>
    <row r="7841" spans="1:1" x14ac:dyDescent="0.3">
      <c r="A7841" s="678"/>
    </row>
    <row r="7842" spans="1:1" x14ac:dyDescent="0.3">
      <c r="A7842" s="678"/>
    </row>
    <row r="7843" spans="1:1" x14ac:dyDescent="0.3">
      <c r="A7843" s="678"/>
    </row>
    <row r="7844" spans="1:1" x14ac:dyDescent="0.3">
      <c r="A7844" s="678"/>
    </row>
    <row r="7845" spans="1:1" x14ac:dyDescent="0.3">
      <c r="A7845" s="678"/>
    </row>
    <row r="7846" spans="1:1" x14ac:dyDescent="0.3">
      <c r="A7846" s="678"/>
    </row>
    <row r="7847" spans="1:1" x14ac:dyDescent="0.3">
      <c r="A7847" s="678"/>
    </row>
    <row r="7848" spans="1:1" x14ac:dyDescent="0.3">
      <c r="A7848" s="678"/>
    </row>
    <row r="7849" spans="1:1" x14ac:dyDescent="0.3">
      <c r="A7849" s="678"/>
    </row>
    <row r="7850" spans="1:1" x14ac:dyDescent="0.3">
      <c r="A7850" s="678"/>
    </row>
    <row r="7851" spans="1:1" x14ac:dyDescent="0.3">
      <c r="A7851" s="678"/>
    </row>
    <row r="7852" spans="1:1" x14ac:dyDescent="0.3">
      <c r="A7852" s="678"/>
    </row>
    <row r="7853" spans="1:1" x14ac:dyDescent="0.3">
      <c r="A7853" s="678"/>
    </row>
    <row r="7854" spans="1:1" x14ac:dyDescent="0.3">
      <c r="A7854" s="678"/>
    </row>
    <row r="7855" spans="1:1" x14ac:dyDescent="0.3">
      <c r="A7855" s="678"/>
    </row>
    <row r="7856" spans="1:1" x14ac:dyDescent="0.3">
      <c r="A7856" s="678"/>
    </row>
    <row r="7857" spans="1:1" x14ac:dyDescent="0.3">
      <c r="A7857" s="678"/>
    </row>
    <row r="7858" spans="1:1" x14ac:dyDescent="0.3">
      <c r="A7858" s="678"/>
    </row>
    <row r="7859" spans="1:1" x14ac:dyDescent="0.3">
      <c r="A7859" s="678"/>
    </row>
    <row r="7860" spans="1:1" x14ac:dyDescent="0.3">
      <c r="A7860" s="678"/>
    </row>
    <row r="7861" spans="1:1" x14ac:dyDescent="0.3">
      <c r="A7861" s="678"/>
    </row>
    <row r="7862" spans="1:1" x14ac:dyDescent="0.3">
      <c r="A7862" s="678"/>
    </row>
    <row r="7863" spans="1:1" x14ac:dyDescent="0.3">
      <c r="A7863" s="678"/>
    </row>
    <row r="7864" spans="1:1" x14ac:dyDescent="0.3">
      <c r="A7864" s="678"/>
    </row>
    <row r="7865" spans="1:1" x14ac:dyDescent="0.3">
      <c r="A7865" s="678"/>
    </row>
    <row r="7866" spans="1:1" x14ac:dyDescent="0.3">
      <c r="A7866" s="678"/>
    </row>
    <row r="7867" spans="1:1" x14ac:dyDescent="0.3">
      <c r="A7867" s="678"/>
    </row>
    <row r="7868" spans="1:1" x14ac:dyDescent="0.3">
      <c r="A7868" s="678"/>
    </row>
    <row r="7869" spans="1:1" x14ac:dyDescent="0.3">
      <c r="A7869" s="678"/>
    </row>
    <row r="7870" spans="1:1" x14ac:dyDescent="0.3">
      <c r="A7870" s="678"/>
    </row>
    <row r="7871" spans="1:1" x14ac:dyDescent="0.3">
      <c r="A7871" s="678"/>
    </row>
    <row r="7872" spans="1:1" x14ac:dyDescent="0.3">
      <c r="A7872" s="678"/>
    </row>
    <row r="7873" spans="1:1" x14ac:dyDescent="0.3">
      <c r="A7873" s="678"/>
    </row>
    <row r="7874" spans="1:1" x14ac:dyDescent="0.3">
      <c r="A7874" s="678"/>
    </row>
    <row r="7875" spans="1:1" x14ac:dyDescent="0.3">
      <c r="A7875" s="678"/>
    </row>
    <row r="7876" spans="1:1" x14ac:dyDescent="0.3">
      <c r="A7876" s="678"/>
    </row>
    <row r="7877" spans="1:1" x14ac:dyDescent="0.3">
      <c r="A7877" s="678"/>
    </row>
    <row r="7878" spans="1:1" x14ac:dyDescent="0.3">
      <c r="A7878" s="678"/>
    </row>
    <row r="7879" spans="1:1" x14ac:dyDescent="0.3">
      <c r="A7879" s="678"/>
    </row>
    <row r="7880" spans="1:1" x14ac:dyDescent="0.3">
      <c r="A7880" s="678"/>
    </row>
    <row r="7881" spans="1:1" x14ac:dyDescent="0.3">
      <c r="A7881" s="678"/>
    </row>
    <row r="7882" spans="1:1" x14ac:dyDescent="0.3">
      <c r="A7882" s="678"/>
    </row>
    <row r="7883" spans="1:1" x14ac:dyDescent="0.3">
      <c r="A7883" s="678"/>
    </row>
    <row r="7884" spans="1:1" x14ac:dyDescent="0.3">
      <c r="A7884" s="678"/>
    </row>
    <row r="7885" spans="1:1" x14ac:dyDescent="0.3">
      <c r="A7885" s="678"/>
    </row>
    <row r="7886" spans="1:1" x14ac:dyDescent="0.3">
      <c r="A7886" s="678"/>
    </row>
    <row r="7887" spans="1:1" x14ac:dyDescent="0.3">
      <c r="A7887" s="678"/>
    </row>
    <row r="7888" spans="1:1" x14ac:dyDescent="0.3">
      <c r="A7888" s="678"/>
    </row>
    <row r="7889" spans="1:1" x14ac:dyDescent="0.3">
      <c r="A7889" s="678"/>
    </row>
    <row r="7890" spans="1:1" x14ac:dyDescent="0.3">
      <c r="A7890" s="678"/>
    </row>
    <row r="7891" spans="1:1" x14ac:dyDescent="0.3">
      <c r="A7891" s="678"/>
    </row>
    <row r="7892" spans="1:1" x14ac:dyDescent="0.3">
      <c r="A7892" s="678"/>
    </row>
    <row r="7893" spans="1:1" x14ac:dyDescent="0.3">
      <c r="A7893" s="678"/>
    </row>
    <row r="7894" spans="1:1" x14ac:dyDescent="0.3">
      <c r="A7894" s="678"/>
    </row>
    <row r="7895" spans="1:1" x14ac:dyDescent="0.3">
      <c r="A7895" s="678"/>
    </row>
    <row r="7896" spans="1:1" x14ac:dyDescent="0.3">
      <c r="A7896" s="678"/>
    </row>
    <row r="7897" spans="1:1" x14ac:dyDescent="0.3">
      <c r="A7897" s="678"/>
    </row>
    <row r="7898" spans="1:1" x14ac:dyDescent="0.3">
      <c r="A7898" s="678"/>
    </row>
    <row r="7899" spans="1:1" x14ac:dyDescent="0.3">
      <c r="A7899" s="678"/>
    </row>
    <row r="7900" spans="1:1" x14ac:dyDescent="0.3">
      <c r="A7900" s="678"/>
    </row>
    <row r="7901" spans="1:1" x14ac:dyDescent="0.3">
      <c r="A7901" s="678"/>
    </row>
    <row r="7902" spans="1:1" x14ac:dyDescent="0.3">
      <c r="A7902" s="678"/>
    </row>
    <row r="7903" spans="1:1" x14ac:dyDescent="0.3">
      <c r="A7903" s="678"/>
    </row>
    <row r="7904" spans="1:1" x14ac:dyDescent="0.3">
      <c r="A7904" s="678"/>
    </row>
    <row r="7905" spans="1:1" x14ac:dyDescent="0.3">
      <c r="A7905" s="678"/>
    </row>
    <row r="7906" spans="1:1" x14ac:dyDescent="0.3">
      <c r="A7906" s="678"/>
    </row>
    <row r="7907" spans="1:1" x14ac:dyDescent="0.3">
      <c r="A7907" s="678"/>
    </row>
    <row r="7908" spans="1:1" x14ac:dyDescent="0.3">
      <c r="A7908" s="678"/>
    </row>
    <row r="7909" spans="1:1" x14ac:dyDescent="0.3">
      <c r="A7909" s="678"/>
    </row>
    <row r="7910" spans="1:1" x14ac:dyDescent="0.3">
      <c r="A7910" s="678"/>
    </row>
    <row r="7911" spans="1:1" x14ac:dyDescent="0.3">
      <c r="A7911" s="678"/>
    </row>
    <row r="7912" spans="1:1" x14ac:dyDescent="0.3">
      <c r="A7912" s="678"/>
    </row>
    <row r="7913" spans="1:1" x14ac:dyDescent="0.3">
      <c r="A7913" s="678"/>
    </row>
    <row r="7914" spans="1:1" x14ac:dyDescent="0.3">
      <c r="A7914" s="678"/>
    </row>
    <row r="7915" spans="1:1" x14ac:dyDescent="0.3">
      <c r="A7915" s="678"/>
    </row>
    <row r="7916" spans="1:1" x14ac:dyDescent="0.3">
      <c r="A7916" s="678"/>
    </row>
    <row r="7917" spans="1:1" x14ac:dyDescent="0.3">
      <c r="A7917" s="678"/>
    </row>
    <row r="7918" spans="1:1" x14ac:dyDescent="0.3">
      <c r="A7918" s="678"/>
    </row>
    <row r="7919" spans="1:1" x14ac:dyDescent="0.3">
      <c r="A7919" s="678"/>
    </row>
    <row r="7920" spans="1:1" x14ac:dyDescent="0.3">
      <c r="A7920" s="678"/>
    </row>
    <row r="7921" spans="1:1" x14ac:dyDescent="0.3">
      <c r="A7921" s="678"/>
    </row>
    <row r="7922" spans="1:1" x14ac:dyDescent="0.3">
      <c r="A7922" s="678"/>
    </row>
    <row r="7923" spans="1:1" x14ac:dyDescent="0.3">
      <c r="A7923" s="678"/>
    </row>
    <row r="7924" spans="1:1" x14ac:dyDescent="0.3">
      <c r="A7924" s="678"/>
    </row>
    <row r="7925" spans="1:1" x14ac:dyDescent="0.3">
      <c r="A7925" s="678"/>
    </row>
    <row r="7926" spans="1:1" x14ac:dyDescent="0.3">
      <c r="A7926" s="678"/>
    </row>
    <row r="7927" spans="1:1" x14ac:dyDescent="0.3">
      <c r="A7927" s="678"/>
    </row>
    <row r="7928" spans="1:1" x14ac:dyDescent="0.3">
      <c r="A7928" s="678"/>
    </row>
    <row r="7929" spans="1:1" x14ac:dyDescent="0.3">
      <c r="A7929" s="678"/>
    </row>
    <row r="7930" spans="1:1" x14ac:dyDescent="0.3">
      <c r="A7930" s="678"/>
    </row>
    <row r="7931" spans="1:1" x14ac:dyDescent="0.3">
      <c r="A7931" s="678"/>
    </row>
    <row r="7932" spans="1:1" x14ac:dyDescent="0.3">
      <c r="A7932" s="678"/>
    </row>
    <row r="7933" spans="1:1" x14ac:dyDescent="0.3">
      <c r="A7933" s="678"/>
    </row>
    <row r="7934" spans="1:1" x14ac:dyDescent="0.3">
      <c r="A7934" s="678"/>
    </row>
    <row r="7935" spans="1:1" x14ac:dyDescent="0.3">
      <c r="A7935" s="678"/>
    </row>
    <row r="7936" spans="1:1" x14ac:dyDescent="0.3">
      <c r="A7936" s="678"/>
    </row>
    <row r="7937" spans="1:1" x14ac:dyDescent="0.3">
      <c r="A7937" s="678"/>
    </row>
    <row r="7938" spans="1:1" x14ac:dyDescent="0.3">
      <c r="A7938" s="678"/>
    </row>
    <row r="7939" spans="1:1" x14ac:dyDescent="0.3">
      <c r="A7939" s="678"/>
    </row>
    <row r="7940" spans="1:1" x14ac:dyDescent="0.3">
      <c r="A7940" s="678"/>
    </row>
    <row r="7941" spans="1:1" x14ac:dyDescent="0.3">
      <c r="A7941" s="678"/>
    </row>
    <row r="7942" spans="1:1" x14ac:dyDescent="0.3">
      <c r="A7942" s="678"/>
    </row>
    <row r="7943" spans="1:1" x14ac:dyDescent="0.3">
      <c r="A7943" s="678"/>
    </row>
    <row r="7944" spans="1:1" x14ac:dyDescent="0.3">
      <c r="A7944" s="678"/>
    </row>
    <row r="7945" spans="1:1" x14ac:dyDescent="0.3">
      <c r="A7945" s="678"/>
    </row>
    <row r="7946" spans="1:1" x14ac:dyDescent="0.3">
      <c r="A7946" s="678"/>
    </row>
    <row r="7947" spans="1:1" x14ac:dyDescent="0.3">
      <c r="A7947" s="678"/>
    </row>
    <row r="7948" spans="1:1" x14ac:dyDescent="0.3">
      <c r="A7948" s="678"/>
    </row>
    <row r="7949" spans="1:1" x14ac:dyDescent="0.3">
      <c r="A7949" s="678"/>
    </row>
    <row r="7950" spans="1:1" x14ac:dyDescent="0.3">
      <c r="A7950" s="678"/>
    </row>
    <row r="7951" spans="1:1" x14ac:dyDescent="0.3">
      <c r="A7951" s="678"/>
    </row>
    <row r="7952" spans="1:1" x14ac:dyDescent="0.3">
      <c r="A7952" s="678"/>
    </row>
    <row r="7953" spans="1:1" x14ac:dyDescent="0.3">
      <c r="A7953" s="678"/>
    </row>
    <row r="7954" spans="1:1" x14ac:dyDescent="0.3">
      <c r="A7954" s="678"/>
    </row>
    <row r="7955" spans="1:1" x14ac:dyDescent="0.3">
      <c r="A7955" s="678"/>
    </row>
    <row r="7956" spans="1:1" x14ac:dyDescent="0.3">
      <c r="A7956" s="678"/>
    </row>
    <row r="7957" spans="1:1" x14ac:dyDescent="0.3">
      <c r="A7957" s="678"/>
    </row>
    <row r="7958" spans="1:1" x14ac:dyDescent="0.3">
      <c r="A7958" s="678"/>
    </row>
    <row r="7959" spans="1:1" x14ac:dyDescent="0.3">
      <c r="A7959" s="678"/>
    </row>
    <row r="7960" spans="1:1" x14ac:dyDescent="0.3">
      <c r="A7960" s="678"/>
    </row>
    <row r="7961" spans="1:1" x14ac:dyDescent="0.3">
      <c r="A7961" s="678"/>
    </row>
    <row r="7962" spans="1:1" x14ac:dyDescent="0.3">
      <c r="A7962" s="678"/>
    </row>
    <row r="7963" spans="1:1" x14ac:dyDescent="0.3">
      <c r="A7963" s="678"/>
    </row>
    <row r="7964" spans="1:1" x14ac:dyDescent="0.3">
      <c r="A7964" s="678"/>
    </row>
    <row r="7965" spans="1:1" x14ac:dyDescent="0.3">
      <c r="A7965" s="678"/>
    </row>
    <row r="7966" spans="1:1" x14ac:dyDescent="0.3">
      <c r="A7966" s="678"/>
    </row>
    <row r="7967" spans="1:1" x14ac:dyDescent="0.3">
      <c r="A7967" s="678"/>
    </row>
    <row r="7968" spans="1:1" x14ac:dyDescent="0.3">
      <c r="A7968" s="678"/>
    </row>
    <row r="7969" spans="1:1" x14ac:dyDescent="0.3">
      <c r="A7969" s="678"/>
    </row>
    <row r="7970" spans="1:1" x14ac:dyDescent="0.3">
      <c r="A7970" s="678"/>
    </row>
    <row r="7971" spans="1:1" x14ac:dyDescent="0.3">
      <c r="A7971" s="678"/>
    </row>
    <row r="7972" spans="1:1" x14ac:dyDescent="0.3">
      <c r="A7972" s="678"/>
    </row>
    <row r="7973" spans="1:1" x14ac:dyDescent="0.3">
      <c r="A7973" s="678"/>
    </row>
    <row r="7974" spans="1:1" x14ac:dyDescent="0.3">
      <c r="A7974" s="678"/>
    </row>
    <row r="7975" spans="1:1" x14ac:dyDescent="0.3">
      <c r="A7975" s="678"/>
    </row>
    <row r="7976" spans="1:1" x14ac:dyDescent="0.3">
      <c r="A7976" s="678"/>
    </row>
    <row r="7977" spans="1:1" x14ac:dyDescent="0.3">
      <c r="A7977" s="678"/>
    </row>
    <row r="7978" spans="1:1" x14ac:dyDescent="0.3">
      <c r="A7978" s="678"/>
    </row>
    <row r="7979" spans="1:1" x14ac:dyDescent="0.3">
      <c r="A7979" s="678"/>
    </row>
    <row r="7980" spans="1:1" x14ac:dyDescent="0.3">
      <c r="A7980" s="678"/>
    </row>
    <row r="7981" spans="1:1" x14ac:dyDescent="0.3">
      <c r="A7981" s="678"/>
    </row>
    <row r="7982" spans="1:1" x14ac:dyDescent="0.3">
      <c r="A7982" s="678"/>
    </row>
    <row r="7983" spans="1:1" x14ac:dyDescent="0.3">
      <c r="A7983" s="678"/>
    </row>
    <row r="7984" spans="1:1" x14ac:dyDescent="0.3">
      <c r="A7984" s="678"/>
    </row>
    <row r="7985" spans="1:1" x14ac:dyDescent="0.3">
      <c r="A7985" s="678"/>
    </row>
    <row r="7986" spans="1:1" x14ac:dyDescent="0.3">
      <c r="A7986" s="678"/>
    </row>
    <row r="7987" spans="1:1" x14ac:dyDescent="0.3">
      <c r="A7987" s="678"/>
    </row>
    <row r="7988" spans="1:1" x14ac:dyDescent="0.3">
      <c r="A7988" s="678"/>
    </row>
    <row r="7989" spans="1:1" x14ac:dyDescent="0.3">
      <c r="A7989" s="678"/>
    </row>
    <row r="7990" spans="1:1" x14ac:dyDescent="0.3">
      <c r="A7990" s="678"/>
    </row>
    <row r="7991" spans="1:1" x14ac:dyDescent="0.3">
      <c r="A7991" s="678"/>
    </row>
    <row r="7992" spans="1:1" x14ac:dyDescent="0.3">
      <c r="A7992" s="678"/>
    </row>
    <row r="7993" spans="1:1" x14ac:dyDescent="0.3">
      <c r="A7993" s="678"/>
    </row>
    <row r="7994" spans="1:1" x14ac:dyDescent="0.3">
      <c r="A7994" s="678"/>
    </row>
    <row r="7995" spans="1:1" x14ac:dyDescent="0.3">
      <c r="A7995" s="678"/>
    </row>
    <row r="7996" spans="1:1" x14ac:dyDescent="0.3">
      <c r="A7996" s="678"/>
    </row>
    <row r="7997" spans="1:1" x14ac:dyDescent="0.3">
      <c r="A7997" s="678"/>
    </row>
    <row r="7998" spans="1:1" x14ac:dyDescent="0.3">
      <c r="A7998" s="678"/>
    </row>
    <row r="7999" spans="1:1" x14ac:dyDescent="0.3">
      <c r="A7999" s="678"/>
    </row>
    <row r="8000" spans="1:1" x14ac:dyDescent="0.3">
      <c r="A8000" s="678"/>
    </row>
    <row r="8001" spans="1:1" x14ac:dyDescent="0.3">
      <c r="A8001" s="678"/>
    </row>
    <row r="8002" spans="1:1" x14ac:dyDescent="0.3">
      <c r="A8002" s="678"/>
    </row>
    <row r="8003" spans="1:1" x14ac:dyDescent="0.3">
      <c r="A8003" s="678"/>
    </row>
    <row r="8004" spans="1:1" x14ac:dyDescent="0.3">
      <c r="A8004" s="678"/>
    </row>
    <row r="8005" spans="1:1" x14ac:dyDescent="0.3">
      <c r="A8005" s="678"/>
    </row>
    <row r="8006" spans="1:1" x14ac:dyDescent="0.3">
      <c r="A8006" s="678"/>
    </row>
    <row r="8007" spans="1:1" x14ac:dyDescent="0.3">
      <c r="A8007" s="678"/>
    </row>
    <row r="8008" spans="1:1" x14ac:dyDescent="0.3">
      <c r="A8008" s="678"/>
    </row>
    <row r="8009" spans="1:1" x14ac:dyDescent="0.3">
      <c r="A8009" s="678"/>
    </row>
    <row r="8010" spans="1:1" x14ac:dyDescent="0.3">
      <c r="A8010" s="678"/>
    </row>
    <row r="8011" spans="1:1" x14ac:dyDescent="0.3">
      <c r="A8011" s="678"/>
    </row>
    <row r="8012" spans="1:1" x14ac:dyDescent="0.3">
      <c r="A8012" s="678"/>
    </row>
    <row r="8013" spans="1:1" x14ac:dyDescent="0.3">
      <c r="A8013" s="678"/>
    </row>
    <row r="8014" spans="1:1" x14ac:dyDescent="0.3">
      <c r="A8014" s="678"/>
    </row>
    <row r="8015" spans="1:1" x14ac:dyDescent="0.3">
      <c r="A8015" s="678"/>
    </row>
    <row r="8016" spans="1:1" x14ac:dyDescent="0.3">
      <c r="A8016" s="678"/>
    </row>
    <row r="8017" spans="1:1" x14ac:dyDescent="0.3">
      <c r="A8017" s="678"/>
    </row>
    <row r="8018" spans="1:1" x14ac:dyDescent="0.3">
      <c r="A8018" s="678"/>
    </row>
    <row r="8019" spans="1:1" x14ac:dyDescent="0.3">
      <c r="A8019" s="678"/>
    </row>
    <row r="8020" spans="1:1" x14ac:dyDescent="0.3">
      <c r="A8020" s="678"/>
    </row>
    <row r="8021" spans="1:1" x14ac:dyDescent="0.3">
      <c r="A8021" s="678"/>
    </row>
    <row r="8022" spans="1:1" x14ac:dyDescent="0.3">
      <c r="A8022" s="678"/>
    </row>
    <row r="8023" spans="1:1" x14ac:dyDescent="0.3">
      <c r="A8023" s="678"/>
    </row>
    <row r="8024" spans="1:1" x14ac:dyDescent="0.3">
      <c r="A8024" s="678"/>
    </row>
    <row r="8025" spans="1:1" x14ac:dyDescent="0.3">
      <c r="A8025" s="678"/>
    </row>
    <row r="8026" spans="1:1" x14ac:dyDescent="0.3">
      <c r="A8026" s="678"/>
    </row>
    <row r="8027" spans="1:1" x14ac:dyDescent="0.3">
      <c r="A8027" s="678"/>
    </row>
    <row r="8028" spans="1:1" x14ac:dyDescent="0.3">
      <c r="A8028" s="678"/>
    </row>
    <row r="8029" spans="1:1" x14ac:dyDescent="0.3">
      <c r="A8029" s="678"/>
    </row>
    <row r="8030" spans="1:1" x14ac:dyDescent="0.3">
      <c r="A8030" s="678"/>
    </row>
    <row r="8031" spans="1:1" x14ac:dyDescent="0.3">
      <c r="A8031" s="678"/>
    </row>
    <row r="8032" spans="1:1" x14ac:dyDescent="0.3">
      <c r="A8032" s="678"/>
    </row>
    <row r="8033" spans="1:1" x14ac:dyDescent="0.3">
      <c r="A8033" s="678"/>
    </row>
    <row r="8034" spans="1:1" x14ac:dyDescent="0.3">
      <c r="A8034" s="678"/>
    </row>
    <row r="8035" spans="1:1" x14ac:dyDescent="0.3">
      <c r="A8035" s="678"/>
    </row>
    <row r="8036" spans="1:1" x14ac:dyDescent="0.3">
      <c r="A8036" s="678"/>
    </row>
    <row r="8037" spans="1:1" x14ac:dyDescent="0.3">
      <c r="A8037" s="678"/>
    </row>
    <row r="8038" spans="1:1" x14ac:dyDescent="0.3">
      <c r="A8038" s="678"/>
    </row>
    <row r="8039" spans="1:1" x14ac:dyDescent="0.3">
      <c r="A8039" s="678"/>
    </row>
    <row r="8040" spans="1:1" x14ac:dyDescent="0.3">
      <c r="A8040" s="678"/>
    </row>
    <row r="8041" spans="1:1" x14ac:dyDescent="0.3">
      <c r="A8041" s="678"/>
    </row>
    <row r="8042" spans="1:1" x14ac:dyDescent="0.3">
      <c r="A8042" s="678"/>
    </row>
    <row r="8043" spans="1:1" x14ac:dyDescent="0.3">
      <c r="A8043" s="678"/>
    </row>
    <row r="8044" spans="1:1" x14ac:dyDescent="0.3">
      <c r="A8044" s="678"/>
    </row>
    <row r="8045" spans="1:1" x14ac:dyDescent="0.3">
      <c r="A8045" s="678"/>
    </row>
    <row r="8046" spans="1:1" x14ac:dyDescent="0.3">
      <c r="A8046" s="678"/>
    </row>
    <row r="8047" spans="1:1" x14ac:dyDescent="0.3">
      <c r="A8047" s="678"/>
    </row>
    <row r="8048" spans="1:1" x14ac:dyDescent="0.3">
      <c r="A8048" s="678"/>
    </row>
    <row r="8049" spans="1:1" x14ac:dyDescent="0.3">
      <c r="A8049" s="678"/>
    </row>
    <row r="8050" spans="1:1" x14ac:dyDescent="0.3">
      <c r="A8050" s="678"/>
    </row>
    <row r="8051" spans="1:1" x14ac:dyDescent="0.3">
      <c r="A8051" s="678"/>
    </row>
    <row r="8052" spans="1:1" x14ac:dyDescent="0.3">
      <c r="A8052" s="678"/>
    </row>
    <row r="8053" spans="1:1" x14ac:dyDescent="0.3">
      <c r="A8053" s="678"/>
    </row>
    <row r="8054" spans="1:1" x14ac:dyDescent="0.3">
      <c r="A8054" s="678"/>
    </row>
    <row r="8055" spans="1:1" x14ac:dyDescent="0.3">
      <c r="A8055" s="678"/>
    </row>
    <row r="8056" spans="1:1" x14ac:dyDescent="0.3">
      <c r="A8056" s="678"/>
    </row>
    <row r="8057" spans="1:1" x14ac:dyDescent="0.3">
      <c r="A8057" s="678"/>
    </row>
    <row r="8058" spans="1:1" x14ac:dyDescent="0.3">
      <c r="A8058" s="678"/>
    </row>
    <row r="8059" spans="1:1" x14ac:dyDescent="0.3">
      <c r="A8059" s="678"/>
    </row>
    <row r="8060" spans="1:1" x14ac:dyDescent="0.3">
      <c r="A8060" s="678"/>
    </row>
    <row r="8061" spans="1:1" x14ac:dyDescent="0.3">
      <c r="A8061" s="678"/>
    </row>
    <row r="8062" spans="1:1" x14ac:dyDescent="0.3">
      <c r="A8062" s="678"/>
    </row>
    <row r="8063" spans="1:1" x14ac:dyDescent="0.3">
      <c r="A8063" s="678"/>
    </row>
    <row r="8064" spans="1:1" x14ac:dyDescent="0.3">
      <c r="A8064" s="678"/>
    </row>
    <row r="8065" spans="1:1" x14ac:dyDescent="0.3">
      <c r="A8065" s="678"/>
    </row>
    <row r="8066" spans="1:1" x14ac:dyDescent="0.3">
      <c r="A8066" s="678"/>
    </row>
    <row r="8067" spans="1:1" x14ac:dyDescent="0.3">
      <c r="A8067" s="678"/>
    </row>
    <row r="8068" spans="1:1" x14ac:dyDescent="0.3">
      <c r="A8068" s="678"/>
    </row>
    <row r="8069" spans="1:1" x14ac:dyDescent="0.3">
      <c r="A8069" s="678"/>
    </row>
    <row r="8070" spans="1:1" x14ac:dyDescent="0.3">
      <c r="A8070" s="678"/>
    </row>
    <row r="8071" spans="1:1" x14ac:dyDescent="0.3">
      <c r="A8071" s="678"/>
    </row>
    <row r="8072" spans="1:1" x14ac:dyDescent="0.3">
      <c r="A8072" s="678"/>
    </row>
    <row r="8073" spans="1:1" x14ac:dyDescent="0.3">
      <c r="A8073" s="678"/>
    </row>
    <row r="8074" spans="1:1" x14ac:dyDescent="0.3">
      <c r="A8074" s="678"/>
    </row>
    <row r="8075" spans="1:1" x14ac:dyDescent="0.3">
      <c r="A8075" s="678"/>
    </row>
    <row r="8076" spans="1:1" x14ac:dyDescent="0.3">
      <c r="A8076" s="678"/>
    </row>
    <row r="8077" spans="1:1" x14ac:dyDescent="0.3">
      <c r="A8077" s="678"/>
    </row>
    <row r="8078" spans="1:1" x14ac:dyDescent="0.3">
      <c r="A8078" s="678"/>
    </row>
    <row r="8079" spans="1:1" x14ac:dyDescent="0.3">
      <c r="A8079" s="678"/>
    </row>
    <row r="8080" spans="1:1" x14ac:dyDescent="0.3">
      <c r="A8080" s="678"/>
    </row>
    <row r="8081" spans="1:1" x14ac:dyDescent="0.3">
      <c r="A8081" s="678"/>
    </row>
    <row r="8082" spans="1:1" x14ac:dyDescent="0.3">
      <c r="A8082" s="678"/>
    </row>
    <row r="8083" spans="1:1" x14ac:dyDescent="0.3">
      <c r="A8083" s="678"/>
    </row>
    <row r="8084" spans="1:1" x14ac:dyDescent="0.3">
      <c r="A8084" s="678"/>
    </row>
    <row r="8085" spans="1:1" x14ac:dyDescent="0.3">
      <c r="A8085" s="678"/>
    </row>
    <row r="8086" spans="1:1" x14ac:dyDescent="0.3">
      <c r="A8086" s="678"/>
    </row>
    <row r="8087" spans="1:1" x14ac:dyDescent="0.3">
      <c r="A8087" s="678"/>
    </row>
    <row r="8088" spans="1:1" x14ac:dyDescent="0.3">
      <c r="A8088" s="678"/>
    </row>
    <row r="8089" spans="1:1" x14ac:dyDescent="0.3">
      <c r="A8089" s="678"/>
    </row>
    <row r="8090" spans="1:1" x14ac:dyDescent="0.3">
      <c r="A8090" s="678"/>
    </row>
    <row r="8091" spans="1:1" x14ac:dyDescent="0.3">
      <c r="A8091" s="678"/>
    </row>
    <row r="8092" spans="1:1" x14ac:dyDescent="0.3">
      <c r="A8092" s="678"/>
    </row>
    <row r="8093" spans="1:1" x14ac:dyDescent="0.3">
      <c r="A8093" s="678"/>
    </row>
    <row r="8094" spans="1:1" x14ac:dyDescent="0.3">
      <c r="A8094" s="678"/>
    </row>
    <row r="8095" spans="1:1" x14ac:dyDescent="0.3">
      <c r="A8095" s="678"/>
    </row>
    <row r="8096" spans="1:1" x14ac:dyDescent="0.3">
      <c r="A8096" s="678"/>
    </row>
    <row r="8097" spans="1:1" x14ac:dyDescent="0.3">
      <c r="A8097" s="678"/>
    </row>
    <row r="8098" spans="1:1" x14ac:dyDescent="0.3">
      <c r="A8098" s="678"/>
    </row>
    <row r="8099" spans="1:1" x14ac:dyDescent="0.3">
      <c r="A8099" s="678"/>
    </row>
    <row r="8100" spans="1:1" x14ac:dyDescent="0.3">
      <c r="A8100" s="678"/>
    </row>
    <row r="8101" spans="1:1" x14ac:dyDescent="0.3">
      <c r="A8101" s="678"/>
    </row>
    <row r="8102" spans="1:1" x14ac:dyDescent="0.3">
      <c r="A8102" s="678"/>
    </row>
    <row r="8103" spans="1:1" x14ac:dyDescent="0.3">
      <c r="A8103" s="678"/>
    </row>
    <row r="8104" spans="1:1" x14ac:dyDescent="0.3">
      <c r="A8104" s="678"/>
    </row>
    <row r="8105" spans="1:1" x14ac:dyDescent="0.3">
      <c r="A8105" s="678"/>
    </row>
    <row r="8106" spans="1:1" x14ac:dyDescent="0.3">
      <c r="A8106" s="678"/>
    </row>
    <row r="8107" spans="1:1" x14ac:dyDescent="0.3">
      <c r="A8107" s="678"/>
    </row>
    <row r="8108" spans="1:1" x14ac:dyDescent="0.3">
      <c r="A8108" s="678"/>
    </row>
    <row r="8109" spans="1:1" x14ac:dyDescent="0.3">
      <c r="A8109" s="678"/>
    </row>
    <row r="8110" spans="1:1" x14ac:dyDescent="0.3">
      <c r="A8110" s="678"/>
    </row>
    <row r="8111" spans="1:1" x14ac:dyDescent="0.3">
      <c r="A8111" s="678"/>
    </row>
    <row r="8112" spans="1:1" x14ac:dyDescent="0.3">
      <c r="A8112" s="678"/>
    </row>
    <row r="8113" spans="1:1" x14ac:dyDescent="0.3">
      <c r="A8113" s="678"/>
    </row>
    <row r="8114" spans="1:1" x14ac:dyDescent="0.3">
      <c r="A8114" s="678"/>
    </row>
    <row r="8115" spans="1:1" x14ac:dyDescent="0.3">
      <c r="A8115" s="678"/>
    </row>
    <row r="8116" spans="1:1" x14ac:dyDescent="0.3">
      <c r="A8116" s="678"/>
    </row>
    <row r="8117" spans="1:1" x14ac:dyDescent="0.3">
      <c r="A8117" s="678"/>
    </row>
    <row r="8118" spans="1:1" x14ac:dyDescent="0.3">
      <c r="A8118" s="678"/>
    </row>
    <row r="8119" spans="1:1" x14ac:dyDescent="0.3">
      <c r="A8119" s="678"/>
    </row>
    <row r="8120" spans="1:1" x14ac:dyDescent="0.3">
      <c r="A8120" s="678"/>
    </row>
    <row r="8121" spans="1:1" x14ac:dyDescent="0.3">
      <c r="A8121" s="678"/>
    </row>
    <row r="8122" spans="1:1" x14ac:dyDescent="0.3">
      <c r="A8122" s="678"/>
    </row>
    <row r="8123" spans="1:1" x14ac:dyDescent="0.3">
      <c r="A8123" s="678"/>
    </row>
    <row r="8124" spans="1:1" x14ac:dyDescent="0.3">
      <c r="A8124" s="678"/>
    </row>
    <row r="8125" spans="1:1" x14ac:dyDescent="0.3">
      <c r="A8125" s="678"/>
    </row>
    <row r="8126" spans="1:1" x14ac:dyDescent="0.3">
      <c r="A8126" s="678"/>
    </row>
    <row r="8127" spans="1:1" x14ac:dyDescent="0.3">
      <c r="A8127" s="678"/>
    </row>
    <row r="8128" spans="1:1" x14ac:dyDescent="0.3">
      <c r="A8128" s="678"/>
    </row>
    <row r="8129" spans="1:1" x14ac:dyDescent="0.3">
      <c r="A8129" s="678"/>
    </row>
    <row r="8130" spans="1:1" x14ac:dyDescent="0.3">
      <c r="A8130" s="678"/>
    </row>
    <row r="8131" spans="1:1" x14ac:dyDescent="0.3">
      <c r="A8131" s="678"/>
    </row>
    <row r="8132" spans="1:1" x14ac:dyDescent="0.3">
      <c r="A8132" s="678"/>
    </row>
    <row r="8133" spans="1:1" x14ac:dyDescent="0.3">
      <c r="A8133" s="678"/>
    </row>
    <row r="8134" spans="1:1" x14ac:dyDescent="0.3">
      <c r="A8134" s="678"/>
    </row>
    <row r="8135" spans="1:1" x14ac:dyDescent="0.3">
      <c r="A8135" s="678"/>
    </row>
    <row r="8136" spans="1:1" x14ac:dyDescent="0.3">
      <c r="A8136" s="678"/>
    </row>
    <row r="8137" spans="1:1" x14ac:dyDescent="0.3">
      <c r="A8137" s="678"/>
    </row>
    <row r="8138" spans="1:1" x14ac:dyDescent="0.3">
      <c r="A8138" s="678"/>
    </row>
    <row r="8139" spans="1:1" x14ac:dyDescent="0.3">
      <c r="A8139" s="678"/>
    </row>
    <row r="8140" spans="1:1" x14ac:dyDescent="0.3">
      <c r="A8140" s="678"/>
    </row>
    <row r="8141" spans="1:1" x14ac:dyDescent="0.3">
      <c r="A8141" s="678"/>
    </row>
    <row r="8142" spans="1:1" x14ac:dyDescent="0.3">
      <c r="A8142" s="678"/>
    </row>
    <row r="8143" spans="1:1" x14ac:dyDescent="0.3">
      <c r="A8143" s="678"/>
    </row>
    <row r="8144" spans="1:1" x14ac:dyDescent="0.3">
      <c r="A8144" s="678"/>
    </row>
    <row r="8145" spans="1:1" x14ac:dyDescent="0.3">
      <c r="A8145" s="678"/>
    </row>
    <row r="8146" spans="1:1" x14ac:dyDescent="0.3">
      <c r="A8146" s="678"/>
    </row>
    <row r="8147" spans="1:1" x14ac:dyDescent="0.3">
      <c r="A8147" s="678"/>
    </row>
    <row r="8148" spans="1:1" x14ac:dyDescent="0.3">
      <c r="A8148" s="678"/>
    </row>
    <row r="8149" spans="1:1" x14ac:dyDescent="0.3">
      <c r="A8149" s="678"/>
    </row>
    <row r="8150" spans="1:1" x14ac:dyDescent="0.3">
      <c r="A8150" s="678"/>
    </row>
    <row r="8151" spans="1:1" x14ac:dyDescent="0.3">
      <c r="A8151" s="678"/>
    </row>
    <row r="8152" spans="1:1" x14ac:dyDescent="0.3">
      <c r="A8152" s="678"/>
    </row>
    <row r="8153" spans="1:1" x14ac:dyDescent="0.3">
      <c r="A8153" s="678"/>
    </row>
    <row r="8154" spans="1:1" x14ac:dyDescent="0.3">
      <c r="A8154" s="678"/>
    </row>
    <row r="8155" spans="1:1" x14ac:dyDescent="0.3">
      <c r="A8155" s="678"/>
    </row>
    <row r="8156" spans="1:1" x14ac:dyDescent="0.3">
      <c r="A8156" s="678"/>
    </row>
    <row r="8157" spans="1:1" x14ac:dyDescent="0.3">
      <c r="A8157" s="678"/>
    </row>
    <row r="8158" spans="1:1" x14ac:dyDescent="0.3">
      <c r="A8158" s="678"/>
    </row>
    <row r="8159" spans="1:1" x14ac:dyDescent="0.3">
      <c r="A8159" s="678"/>
    </row>
    <row r="8160" spans="1:1" x14ac:dyDescent="0.3">
      <c r="A8160" s="678"/>
    </row>
    <row r="8161" spans="1:1" x14ac:dyDescent="0.3">
      <c r="A8161" s="678"/>
    </row>
    <row r="8162" spans="1:1" x14ac:dyDescent="0.3">
      <c r="A8162" s="678"/>
    </row>
    <row r="8163" spans="1:1" x14ac:dyDescent="0.3">
      <c r="A8163" s="678"/>
    </row>
    <row r="8164" spans="1:1" x14ac:dyDescent="0.3">
      <c r="A8164" s="678"/>
    </row>
    <row r="8165" spans="1:1" x14ac:dyDescent="0.3">
      <c r="A8165" s="678"/>
    </row>
    <row r="8166" spans="1:1" x14ac:dyDescent="0.3">
      <c r="A8166" s="678"/>
    </row>
    <row r="8167" spans="1:1" x14ac:dyDescent="0.3">
      <c r="A8167" s="678"/>
    </row>
    <row r="8168" spans="1:1" x14ac:dyDescent="0.3">
      <c r="A8168" s="678"/>
    </row>
    <row r="8169" spans="1:1" x14ac:dyDescent="0.3">
      <c r="A8169" s="678"/>
    </row>
    <row r="8170" spans="1:1" x14ac:dyDescent="0.3">
      <c r="A8170" s="678"/>
    </row>
    <row r="8171" spans="1:1" x14ac:dyDescent="0.3">
      <c r="A8171" s="678"/>
    </row>
    <row r="8172" spans="1:1" x14ac:dyDescent="0.3">
      <c r="A8172" s="678"/>
    </row>
    <row r="8173" spans="1:1" x14ac:dyDescent="0.3">
      <c r="A8173" s="678"/>
    </row>
    <row r="8174" spans="1:1" x14ac:dyDescent="0.3">
      <c r="A8174" s="678"/>
    </row>
    <row r="8175" spans="1:1" x14ac:dyDescent="0.3">
      <c r="A8175" s="678"/>
    </row>
    <row r="8176" spans="1:1" x14ac:dyDescent="0.3">
      <c r="A8176" s="678"/>
    </row>
    <row r="8177" spans="1:1" x14ac:dyDescent="0.3">
      <c r="A8177" s="678"/>
    </row>
    <row r="8178" spans="1:1" x14ac:dyDescent="0.3">
      <c r="A8178" s="678"/>
    </row>
    <row r="8179" spans="1:1" x14ac:dyDescent="0.3">
      <c r="A8179" s="678"/>
    </row>
    <row r="8180" spans="1:1" x14ac:dyDescent="0.3">
      <c r="A8180" s="678"/>
    </row>
    <row r="8181" spans="1:1" x14ac:dyDescent="0.3">
      <c r="A8181" s="678"/>
    </row>
    <row r="8182" spans="1:1" x14ac:dyDescent="0.3">
      <c r="A8182" s="678"/>
    </row>
    <row r="8183" spans="1:1" x14ac:dyDescent="0.3">
      <c r="A8183" s="678"/>
    </row>
    <row r="8184" spans="1:1" x14ac:dyDescent="0.3">
      <c r="A8184" s="678"/>
    </row>
    <row r="8185" spans="1:1" x14ac:dyDescent="0.3">
      <c r="A8185" s="678"/>
    </row>
    <row r="8186" spans="1:1" x14ac:dyDescent="0.3">
      <c r="A8186" s="678"/>
    </row>
    <row r="8187" spans="1:1" x14ac:dyDescent="0.3">
      <c r="A8187" s="678"/>
    </row>
    <row r="8188" spans="1:1" x14ac:dyDescent="0.3">
      <c r="A8188" s="678"/>
    </row>
    <row r="8189" spans="1:1" x14ac:dyDescent="0.3">
      <c r="A8189" s="678"/>
    </row>
    <row r="8190" spans="1:1" x14ac:dyDescent="0.3">
      <c r="A8190" s="678"/>
    </row>
    <row r="8191" spans="1:1" x14ac:dyDescent="0.3">
      <c r="A8191" s="678"/>
    </row>
    <row r="8192" spans="1:1" x14ac:dyDescent="0.3">
      <c r="A8192" s="678"/>
    </row>
    <row r="8193" spans="1:1" x14ac:dyDescent="0.3">
      <c r="A8193" s="678"/>
    </row>
    <row r="8194" spans="1:1" x14ac:dyDescent="0.3">
      <c r="A8194" s="678"/>
    </row>
    <row r="8195" spans="1:1" x14ac:dyDescent="0.3">
      <c r="A8195" s="678"/>
    </row>
    <row r="8196" spans="1:1" x14ac:dyDescent="0.3">
      <c r="A8196" s="678"/>
    </row>
    <row r="8197" spans="1:1" x14ac:dyDescent="0.3">
      <c r="A8197" s="678"/>
    </row>
    <row r="8198" spans="1:1" x14ac:dyDescent="0.3">
      <c r="A8198" s="678"/>
    </row>
    <row r="8199" spans="1:1" x14ac:dyDescent="0.3">
      <c r="A8199" s="678"/>
    </row>
    <row r="8200" spans="1:1" x14ac:dyDescent="0.3">
      <c r="A8200" s="678"/>
    </row>
    <row r="8201" spans="1:1" x14ac:dyDescent="0.3">
      <c r="A8201" s="678"/>
    </row>
    <row r="8202" spans="1:1" x14ac:dyDescent="0.3">
      <c r="A8202" s="678"/>
    </row>
    <row r="8203" spans="1:1" x14ac:dyDescent="0.3">
      <c r="A8203" s="678"/>
    </row>
    <row r="8204" spans="1:1" x14ac:dyDescent="0.3">
      <c r="A8204" s="678"/>
    </row>
    <row r="8205" spans="1:1" x14ac:dyDescent="0.3">
      <c r="A8205" s="678"/>
    </row>
    <row r="8206" spans="1:1" x14ac:dyDescent="0.3">
      <c r="A8206" s="678"/>
    </row>
    <row r="8207" spans="1:1" x14ac:dyDescent="0.3">
      <c r="A8207" s="678"/>
    </row>
    <row r="8208" spans="1:1" x14ac:dyDescent="0.3">
      <c r="A8208" s="678"/>
    </row>
    <row r="8209" spans="1:1" x14ac:dyDescent="0.3">
      <c r="A8209" s="678"/>
    </row>
    <row r="8210" spans="1:1" x14ac:dyDescent="0.3">
      <c r="A8210" s="678"/>
    </row>
    <row r="8211" spans="1:1" x14ac:dyDescent="0.3">
      <c r="A8211" s="678"/>
    </row>
    <row r="8212" spans="1:1" x14ac:dyDescent="0.3">
      <c r="A8212" s="678"/>
    </row>
    <row r="8213" spans="1:1" x14ac:dyDescent="0.3">
      <c r="A8213" s="678"/>
    </row>
    <row r="8214" spans="1:1" x14ac:dyDescent="0.3">
      <c r="A8214" s="678"/>
    </row>
    <row r="8215" spans="1:1" x14ac:dyDescent="0.3">
      <c r="A8215" s="678"/>
    </row>
    <row r="8216" spans="1:1" x14ac:dyDescent="0.3">
      <c r="A8216" s="678"/>
    </row>
    <row r="8217" spans="1:1" x14ac:dyDescent="0.3">
      <c r="A8217" s="678"/>
    </row>
    <row r="8218" spans="1:1" x14ac:dyDescent="0.3">
      <c r="A8218" s="678"/>
    </row>
    <row r="8219" spans="1:1" x14ac:dyDescent="0.3">
      <c r="A8219" s="678"/>
    </row>
    <row r="8220" spans="1:1" x14ac:dyDescent="0.3">
      <c r="A8220" s="678"/>
    </row>
    <row r="8221" spans="1:1" x14ac:dyDescent="0.3">
      <c r="A8221" s="678"/>
    </row>
    <row r="8222" spans="1:1" x14ac:dyDescent="0.3">
      <c r="A8222" s="678"/>
    </row>
    <row r="8223" spans="1:1" x14ac:dyDescent="0.3">
      <c r="A8223" s="678"/>
    </row>
    <row r="8224" spans="1:1" x14ac:dyDescent="0.3">
      <c r="A8224" s="678"/>
    </row>
    <row r="8225" spans="1:1" x14ac:dyDescent="0.3">
      <c r="A8225" s="678"/>
    </row>
    <row r="8226" spans="1:1" x14ac:dyDescent="0.3">
      <c r="A8226" s="678"/>
    </row>
    <row r="8227" spans="1:1" x14ac:dyDescent="0.3">
      <c r="A8227" s="678"/>
    </row>
    <row r="8228" spans="1:1" x14ac:dyDescent="0.3">
      <c r="A8228" s="678"/>
    </row>
    <row r="8229" spans="1:1" x14ac:dyDescent="0.3">
      <c r="A8229" s="678"/>
    </row>
    <row r="8230" spans="1:1" x14ac:dyDescent="0.3">
      <c r="A8230" s="678"/>
    </row>
    <row r="8231" spans="1:1" x14ac:dyDescent="0.3">
      <c r="A8231" s="678"/>
    </row>
    <row r="8232" spans="1:1" x14ac:dyDescent="0.3">
      <c r="A8232" s="678"/>
    </row>
    <row r="8233" spans="1:1" x14ac:dyDescent="0.3">
      <c r="A8233" s="678"/>
    </row>
    <row r="8234" spans="1:1" x14ac:dyDescent="0.3">
      <c r="A8234" s="678"/>
    </row>
    <row r="8235" spans="1:1" x14ac:dyDescent="0.3">
      <c r="A8235" s="678"/>
    </row>
    <row r="8236" spans="1:1" x14ac:dyDescent="0.3">
      <c r="A8236" s="678"/>
    </row>
    <row r="8237" spans="1:1" x14ac:dyDescent="0.3">
      <c r="A8237" s="678"/>
    </row>
    <row r="8238" spans="1:1" x14ac:dyDescent="0.3">
      <c r="A8238" s="678"/>
    </row>
    <row r="8239" spans="1:1" x14ac:dyDescent="0.3">
      <c r="A8239" s="678"/>
    </row>
    <row r="8240" spans="1:1" x14ac:dyDescent="0.3">
      <c r="A8240" s="678"/>
    </row>
    <row r="8241" spans="1:1" x14ac:dyDescent="0.3">
      <c r="A8241" s="678"/>
    </row>
    <row r="8242" spans="1:1" x14ac:dyDescent="0.3">
      <c r="A8242" s="678"/>
    </row>
    <row r="8243" spans="1:1" x14ac:dyDescent="0.3">
      <c r="A8243" s="678"/>
    </row>
    <row r="8244" spans="1:1" x14ac:dyDescent="0.3">
      <c r="A8244" s="678"/>
    </row>
    <row r="8245" spans="1:1" x14ac:dyDescent="0.3">
      <c r="A8245" s="678"/>
    </row>
    <row r="8246" spans="1:1" x14ac:dyDescent="0.3">
      <c r="A8246" s="678"/>
    </row>
    <row r="8247" spans="1:1" x14ac:dyDescent="0.3">
      <c r="A8247" s="678"/>
    </row>
    <row r="8248" spans="1:1" x14ac:dyDescent="0.3">
      <c r="A8248" s="678"/>
    </row>
    <row r="8249" spans="1:1" x14ac:dyDescent="0.3">
      <c r="A8249" s="678"/>
    </row>
    <row r="8250" spans="1:1" x14ac:dyDescent="0.3">
      <c r="A8250" s="678"/>
    </row>
    <row r="8251" spans="1:1" x14ac:dyDescent="0.3">
      <c r="A8251" s="678"/>
    </row>
    <row r="8252" spans="1:1" x14ac:dyDescent="0.3">
      <c r="A8252" s="678"/>
    </row>
    <row r="8253" spans="1:1" x14ac:dyDescent="0.3">
      <c r="A8253" s="678"/>
    </row>
    <row r="8254" spans="1:1" x14ac:dyDescent="0.3">
      <c r="A8254" s="678"/>
    </row>
    <row r="8255" spans="1:1" x14ac:dyDescent="0.3">
      <c r="A8255" s="678"/>
    </row>
    <row r="8256" spans="1:1" x14ac:dyDescent="0.3">
      <c r="A8256" s="678"/>
    </row>
    <row r="8257" spans="1:1" x14ac:dyDescent="0.3">
      <c r="A8257" s="678"/>
    </row>
    <row r="8258" spans="1:1" x14ac:dyDescent="0.3">
      <c r="A8258" s="678"/>
    </row>
    <row r="8259" spans="1:1" x14ac:dyDescent="0.3">
      <c r="A8259" s="678"/>
    </row>
    <row r="8260" spans="1:1" x14ac:dyDescent="0.3">
      <c r="A8260" s="678"/>
    </row>
    <row r="8261" spans="1:1" x14ac:dyDescent="0.3">
      <c r="A8261" s="678"/>
    </row>
    <row r="8262" spans="1:1" x14ac:dyDescent="0.3">
      <c r="A8262" s="678"/>
    </row>
    <row r="8263" spans="1:1" x14ac:dyDescent="0.3">
      <c r="A8263" s="678"/>
    </row>
    <row r="8264" spans="1:1" x14ac:dyDescent="0.3">
      <c r="A8264" s="678"/>
    </row>
    <row r="8265" spans="1:1" x14ac:dyDescent="0.3">
      <c r="A8265" s="678"/>
    </row>
    <row r="8266" spans="1:1" x14ac:dyDescent="0.3">
      <c r="A8266" s="678"/>
    </row>
    <row r="8267" spans="1:1" x14ac:dyDescent="0.3">
      <c r="A8267" s="678"/>
    </row>
    <row r="8268" spans="1:1" x14ac:dyDescent="0.3">
      <c r="A8268" s="678"/>
    </row>
    <row r="8269" spans="1:1" x14ac:dyDescent="0.3">
      <c r="A8269" s="678"/>
    </row>
    <row r="8270" spans="1:1" x14ac:dyDescent="0.3">
      <c r="A8270" s="678"/>
    </row>
    <row r="8271" spans="1:1" x14ac:dyDescent="0.3">
      <c r="A8271" s="678"/>
    </row>
    <row r="8272" spans="1:1" x14ac:dyDescent="0.3">
      <c r="A8272" s="678"/>
    </row>
    <row r="8273" spans="1:1" x14ac:dyDescent="0.3">
      <c r="A8273" s="678"/>
    </row>
    <row r="8274" spans="1:1" x14ac:dyDescent="0.3">
      <c r="A8274" s="678"/>
    </row>
    <row r="8275" spans="1:1" x14ac:dyDescent="0.3">
      <c r="A8275" s="678"/>
    </row>
    <row r="8276" spans="1:1" x14ac:dyDescent="0.3">
      <c r="A8276" s="678"/>
    </row>
    <row r="8277" spans="1:1" x14ac:dyDescent="0.3">
      <c r="A8277" s="678"/>
    </row>
    <row r="8278" spans="1:1" x14ac:dyDescent="0.3">
      <c r="A8278" s="678"/>
    </row>
    <row r="8279" spans="1:1" x14ac:dyDescent="0.3">
      <c r="A8279" s="678"/>
    </row>
    <row r="8280" spans="1:1" x14ac:dyDescent="0.3">
      <c r="A8280" s="678"/>
    </row>
    <row r="8281" spans="1:1" x14ac:dyDescent="0.3">
      <c r="A8281" s="678"/>
    </row>
    <row r="8282" spans="1:1" x14ac:dyDescent="0.3">
      <c r="A8282" s="678"/>
    </row>
    <row r="8283" spans="1:1" x14ac:dyDescent="0.3">
      <c r="A8283" s="678"/>
    </row>
    <row r="8284" spans="1:1" x14ac:dyDescent="0.3">
      <c r="A8284" s="678"/>
    </row>
    <row r="8285" spans="1:1" x14ac:dyDescent="0.3">
      <c r="A8285" s="678"/>
    </row>
    <row r="8286" spans="1:1" x14ac:dyDescent="0.3">
      <c r="A8286" s="678"/>
    </row>
    <row r="8287" spans="1:1" x14ac:dyDescent="0.3">
      <c r="A8287" s="678"/>
    </row>
    <row r="8288" spans="1:1" x14ac:dyDescent="0.3">
      <c r="A8288" s="678"/>
    </row>
    <row r="8289" spans="1:1" x14ac:dyDescent="0.3">
      <c r="A8289" s="678"/>
    </row>
    <row r="8290" spans="1:1" x14ac:dyDescent="0.3">
      <c r="A8290" s="678"/>
    </row>
    <row r="8291" spans="1:1" x14ac:dyDescent="0.3">
      <c r="A8291" s="678"/>
    </row>
    <row r="8292" spans="1:1" x14ac:dyDescent="0.3">
      <c r="A8292" s="678"/>
    </row>
    <row r="8293" spans="1:1" x14ac:dyDescent="0.3">
      <c r="A8293" s="678"/>
    </row>
    <row r="8294" spans="1:1" x14ac:dyDescent="0.3">
      <c r="A8294" s="678"/>
    </row>
    <row r="8295" spans="1:1" x14ac:dyDescent="0.3">
      <c r="A8295" s="678"/>
    </row>
    <row r="8296" spans="1:1" x14ac:dyDescent="0.3">
      <c r="A8296" s="678"/>
    </row>
    <row r="8297" spans="1:1" x14ac:dyDescent="0.3">
      <c r="A8297" s="678"/>
    </row>
    <row r="8298" spans="1:1" x14ac:dyDescent="0.3">
      <c r="A8298" s="678"/>
    </row>
    <row r="8299" spans="1:1" x14ac:dyDescent="0.3">
      <c r="A8299" s="678"/>
    </row>
    <row r="8300" spans="1:1" x14ac:dyDescent="0.3">
      <c r="A8300" s="678"/>
    </row>
    <row r="8301" spans="1:1" x14ac:dyDescent="0.3">
      <c r="A8301" s="678"/>
    </row>
    <row r="8302" spans="1:1" x14ac:dyDescent="0.3">
      <c r="A8302" s="678"/>
    </row>
    <row r="8303" spans="1:1" x14ac:dyDescent="0.3">
      <c r="A8303" s="678"/>
    </row>
    <row r="8304" spans="1:1" x14ac:dyDescent="0.3">
      <c r="A8304" s="678"/>
    </row>
    <row r="8305" spans="1:1" x14ac:dyDescent="0.3">
      <c r="A8305" s="678"/>
    </row>
    <row r="8306" spans="1:1" x14ac:dyDescent="0.3">
      <c r="A8306" s="678"/>
    </row>
    <row r="8307" spans="1:1" x14ac:dyDescent="0.3">
      <c r="A8307" s="678"/>
    </row>
    <row r="8308" spans="1:1" x14ac:dyDescent="0.3">
      <c r="A8308" s="678"/>
    </row>
    <row r="8309" spans="1:1" x14ac:dyDescent="0.3">
      <c r="A8309" s="678"/>
    </row>
    <row r="8310" spans="1:1" x14ac:dyDescent="0.3">
      <c r="A8310" s="678"/>
    </row>
    <row r="8311" spans="1:1" x14ac:dyDescent="0.3">
      <c r="A8311" s="678"/>
    </row>
    <row r="8312" spans="1:1" x14ac:dyDescent="0.3">
      <c r="A8312" s="678"/>
    </row>
    <row r="8313" spans="1:1" x14ac:dyDescent="0.3">
      <c r="A8313" s="678"/>
    </row>
    <row r="8314" spans="1:1" x14ac:dyDescent="0.3">
      <c r="A8314" s="678"/>
    </row>
    <row r="8315" spans="1:1" x14ac:dyDescent="0.3">
      <c r="A8315" s="678"/>
    </row>
    <row r="8316" spans="1:1" x14ac:dyDescent="0.3">
      <c r="A8316" s="678"/>
    </row>
    <row r="8317" spans="1:1" x14ac:dyDescent="0.3">
      <c r="A8317" s="678"/>
    </row>
    <row r="8318" spans="1:1" x14ac:dyDescent="0.3">
      <c r="A8318" s="678"/>
    </row>
    <row r="8319" spans="1:1" x14ac:dyDescent="0.3">
      <c r="A8319" s="678"/>
    </row>
    <row r="8320" spans="1:1" x14ac:dyDescent="0.3">
      <c r="A8320" s="678"/>
    </row>
    <row r="8321" spans="1:1" x14ac:dyDescent="0.3">
      <c r="A8321" s="678"/>
    </row>
    <row r="8322" spans="1:1" x14ac:dyDescent="0.3">
      <c r="A8322" s="678"/>
    </row>
    <row r="8323" spans="1:1" x14ac:dyDescent="0.3">
      <c r="A8323" s="678"/>
    </row>
    <row r="8324" spans="1:1" x14ac:dyDescent="0.3">
      <c r="A8324" s="678"/>
    </row>
    <row r="8325" spans="1:1" x14ac:dyDescent="0.3">
      <c r="A8325" s="678"/>
    </row>
    <row r="8326" spans="1:1" x14ac:dyDescent="0.3">
      <c r="A8326" s="678"/>
    </row>
    <row r="8327" spans="1:1" x14ac:dyDescent="0.3">
      <c r="A8327" s="678"/>
    </row>
    <row r="8328" spans="1:1" x14ac:dyDescent="0.3">
      <c r="A8328" s="678"/>
    </row>
    <row r="8329" spans="1:1" x14ac:dyDescent="0.3">
      <c r="A8329" s="678"/>
    </row>
    <row r="8330" spans="1:1" x14ac:dyDescent="0.3">
      <c r="A8330" s="678"/>
    </row>
    <row r="8331" spans="1:1" x14ac:dyDescent="0.3">
      <c r="A8331" s="678"/>
    </row>
    <row r="8332" spans="1:1" x14ac:dyDescent="0.3">
      <c r="A8332" s="678"/>
    </row>
    <row r="8333" spans="1:1" x14ac:dyDescent="0.3">
      <c r="A8333" s="678"/>
    </row>
    <row r="8334" spans="1:1" x14ac:dyDescent="0.3">
      <c r="A8334" s="678"/>
    </row>
    <row r="8335" spans="1:1" x14ac:dyDescent="0.3">
      <c r="A8335" s="678"/>
    </row>
    <row r="8336" spans="1:1" x14ac:dyDescent="0.3">
      <c r="A8336" s="678"/>
    </row>
    <row r="8337" spans="1:1" x14ac:dyDescent="0.3">
      <c r="A8337" s="678"/>
    </row>
    <row r="8338" spans="1:1" x14ac:dyDescent="0.3">
      <c r="A8338" s="678"/>
    </row>
    <row r="8339" spans="1:1" x14ac:dyDescent="0.3">
      <c r="A8339" s="678"/>
    </row>
    <row r="8340" spans="1:1" x14ac:dyDescent="0.3">
      <c r="A8340" s="678"/>
    </row>
    <row r="8341" spans="1:1" x14ac:dyDescent="0.3">
      <c r="A8341" s="678"/>
    </row>
    <row r="8342" spans="1:1" x14ac:dyDescent="0.3">
      <c r="A8342" s="678"/>
    </row>
    <row r="8343" spans="1:1" x14ac:dyDescent="0.3">
      <c r="A8343" s="678"/>
    </row>
    <row r="8344" spans="1:1" x14ac:dyDescent="0.3">
      <c r="A8344" s="678"/>
    </row>
    <row r="8345" spans="1:1" x14ac:dyDescent="0.3">
      <c r="A8345" s="678"/>
    </row>
    <row r="8346" spans="1:1" x14ac:dyDescent="0.3">
      <c r="A8346" s="678"/>
    </row>
    <row r="8347" spans="1:1" x14ac:dyDescent="0.3">
      <c r="A8347" s="678"/>
    </row>
    <row r="8348" spans="1:1" x14ac:dyDescent="0.3">
      <c r="A8348" s="678"/>
    </row>
    <row r="8349" spans="1:1" x14ac:dyDescent="0.3">
      <c r="A8349" s="678"/>
    </row>
    <row r="8350" spans="1:1" x14ac:dyDescent="0.3">
      <c r="A8350" s="678"/>
    </row>
    <row r="8351" spans="1:1" x14ac:dyDescent="0.3">
      <c r="A8351" s="678"/>
    </row>
    <row r="8352" spans="1:1" x14ac:dyDescent="0.3">
      <c r="A8352" s="678"/>
    </row>
    <row r="8353" spans="1:1" x14ac:dyDescent="0.3">
      <c r="A8353" s="678"/>
    </row>
    <row r="8354" spans="1:1" x14ac:dyDescent="0.3">
      <c r="A8354" s="678"/>
    </row>
    <row r="8355" spans="1:1" x14ac:dyDescent="0.3">
      <c r="A8355" s="678"/>
    </row>
    <row r="8356" spans="1:1" x14ac:dyDescent="0.3">
      <c r="A8356" s="678"/>
    </row>
    <row r="8357" spans="1:1" x14ac:dyDescent="0.3">
      <c r="A8357" s="678"/>
    </row>
    <row r="8358" spans="1:1" x14ac:dyDescent="0.3">
      <c r="A8358" s="678"/>
    </row>
    <row r="8359" spans="1:1" x14ac:dyDescent="0.3">
      <c r="A8359" s="678"/>
    </row>
    <row r="8360" spans="1:1" x14ac:dyDescent="0.3">
      <c r="A8360" s="678"/>
    </row>
    <row r="8361" spans="1:1" x14ac:dyDescent="0.3">
      <c r="A8361" s="678"/>
    </row>
    <row r="8362" spans="1:1" x14ac:dyDescent="0.3">
      <c r="A8362" s="678"/>
    </row>
    <row r="8363" spans="1:1" x14ac:dyDescent="0.3">
      <c r="A8363" s="678"/>
    </row>
    <row r="8364" spans="1:1" x14ac:dyDescent="0.3">
      <c r="A8364" s="678"/>
    </row>
    <row r="8365" spans="1:1" x14ac:dyDescent="0.3">
      <c r="A8365" s="678"/>
    </row>
    <row r="8366" spans="1:1" x14ac:dyDescent="0.3">
      <c r="A8366" s="678"/>
    </row>
    <row r="8367" spans="1:1" x14ac:dyDescent="0.3">
      <c r="A8367" s="678"/>
    </row>
    <row r="8368" spans="1:1" x14ac:dyDescent="0.3">
      <c r="A8368" s="678"/>
    </row>
    <row r="8369" spans="1:1" x14ac:dyDescent="0.3">
      <c r="A8369" s="678"/>
    </row>
    <row r="8370" spans="1:1" x14ac:dyDescent="0.3">
      <c r="A8370" s="678"/>
    </row>
    <row r="8371" spans="1:1" x14ac:dyDescent="0.3">
      <c r="A8371" s="678"/>
    </row>
    <row r="8372" spans="1:1" x14ac:dyDescent="0.3">
      <c r="A8372" s="678"/>
    </row>
    <row r="8373" spans="1:1" x14ac:dyDescent="0.3">
      <c r="A8373" s="678"/>
    </row>
    <row r="8374" spans="1:1" x14ac:dyDescent="0.3">
      <c r="A8374" s="678"/>
    </row>
    <row r="8375" spans="1:1" x14ac:dyDescent="0.3">
      <c r="A8375" s="678"/>
    </row>
    <row r="8376" spans="1:1" x14ac:dyDescent="0.3">
      <c r="A8376" s="678"/>
    </row>
    <row r="8377" spans="1:1" x14ac:dyDescent="0.3">
      <c r="A8377" s="678"/>
    </row>
    <row r="8378" spans="1:1" x14ac:dyDescent="0.3">
      <c r="A8378" s="678"/>
    </row>
    <row r="8379" spans="1:1" x14ac:dyDescent="0.3">
      <c r="A8379" s="678"/>
    </row>
    <row r="8380" spans="1:1" x14ac:dyDescent="0.3">
      <c r="A8380" s="678"/>
    </row>
    <row r="8381" spans="1:1" x14ac:dyDescent="0.3">
      <c r="A8381" s="678"/>
    </row>
    <row r="8382" spans="1:1" x14ac:dyDescent="0.3">
      <c r="A8382" s="678"/>
    </row>
    <row r="8383" spans="1:1" x14ac:dyDescent="0.3">
      <c r="A8383" s="678"/>
    </row>
    <row r="8384" spans="1:1" x14ac:dyDescent="0.3">
      <c r="A8384" s="678"/>
    </row>
    <row r="8385" spans="1:1" x14ac:dyDescent="0.3">
      <c r="A8385" s="678"/>
    </row>
    <row r="8386" spans="1:1" x14ac:dyDescent="0.3">
      <c r="A8386" s="678"/>
    </row>
    <row r="8387" spans="1:1" x14ac:dyDescent="0.3">
      <c r="A8387" s="678"/>
    </row>
    <row r="8388" spans="1:1" x14ac:dyDescent="0.3">
      <c r="A8388" s="678"/>
    </row>
    <row r="8389" spans="1:1" x14ac:dyDescent="0.3">
      <c r="A8389" s="678"/>
    </row>
    <row r="8390" spans="1:1" x14ac:dyDescent="0.3">
      <c r="A8390" s="678"/>
    </row>
    <row r="8391" spans="1:1" x14ac:dyDescent="0.3">
      <c r="A8391" s="678"/>
    </row>
    <row r="8392" spans="1:1" x14ac:dyDescent="0.3">
      <c r="A8392" s="678"/>
    </row>
    <row r="8393" spans="1:1" x14ac:dyDescent="0.3">
      <c r="A8393" s="678"/>
    </row>
    <row r="8394" spans="1:1" x14ac:dyDescent="0.3">
      <c r="A8394" s="678"/>
    </row>
    <row r="8395" spans="1:1" x14ac:dyDescent="0.3">
      <c r="A8395" s="678"/>
    </row>
    <row r="8396" spans="1:1" x14ac:dyDescent="0.3">
      <c r="A8396" s="678"/>
    </row>
    <row r="8397" spans="1:1" x14ac:dyDescent="0.3">
      <c r="A8397" s="678"/>
    </row>
    <row r="8398" spans="1:1" x14ac:dyDescent="0.3">
      <c r="A8398" s="678"/>
    </row>
    <row r="8399" spans="1:1" x14ac:dyDescent="0.3">
      <c r="A8399" s="678"/>
    </row>
    <row r="8400" spans="1:1" x14ac:dyDescent="0.3">
      <c r="A8400" s="678"/>
    </row>
    <row r="8401" spans="1:1" x14ac:dyDescent="0.3">
      <c r="A8401" s="678"/>
    </row>
    <row r="8402" spans="1:1" x14ac:dyDescent="0.3">
      <c r="A8402" s="678"/>
    </row>
    <row r="8403" spans="1:1" x14ac:dyDescent="0.3">
      <c r="A8403" s="678"/>
    </row>
    <row r="8404" spans="1:1" x14ac:dyDescent="0.3">
      <c r="A8404" s="678"/>
    </row>
    <row r="8405" spans="1:1" x14ac:dyDescent="0.3">
      <c r="A8405" s="678"/>
    </row>
    <row r="8406" spans="1:1" x14ac:dyDescent="0.3">
      <c r="A8406" s="678"/>
    </row>
    <row r="8407" spans="1:1" x14ac:dyDescent="0.3">
      <c r="A8407" s="678"/>
    </row>
    <row r="8408" spans="1:1" x14ac:dyDescent="0.3">
      <c r="A8408" s="678"/>
    </row>
    <row r="8409" spans="1:1" x14ac:dyDescent="0.3">
      <c r="A8409" s="678"/>
    </row>
    <row r="8410" spans="1:1" x14ac:dyDescent="0.3">
      <c r="A8410" s="678"/>
    </row>
    <row r="8411" spans="1:1" x14ac:dyDescent="0.3">
      <c r="A8411" s="678"/>
    </row>
    <row r="8412" spans="1:1" x14ac:dyDescent="0.3">
      <c r="A8412" s="678"/>
    </row>
    <row r="8413" spans="1:1" x14ac:dyDescent="0.3">
      <c r="A8413" s="678"/>
    </row>
    <row r="8414" spans="1:1" x14ac:dyDescent="0.3">
      <c r="A8414" s="678"/>
    </row>
    <row r="8415" spans="1:1" x14ac:dyDescent="0.3">
      <c r="A8415" s="678"/>
    </row>
    <row r="8416" spans="1:1" x14ac:dyDescent="0.3">
      <c r="A8416" s="678"/>
    </row>
    <row r="8417" spans="1:1" x14ac:dyDescent="0.3">
      <c r="A8417" s="678"/>
    </row>
    <row r="8418" spans="1:1" x14ac:dyDescent="0.3">
      <c r="A8418" s="678"/>
    </row>
    <row r="8419" spans="1:1" x14ac:dyDescent="0.3">
      <c r="A8419" s="678"/>
    </row>
    <row r="8420" spans="1:1" x14ac:dyDescent="0.3">
      <c r="A8420" s="678"/>
    </row>
    <row r="8421" spans="1:1" x14ac:dyDescent="0.3">
      <c r="A8421" s="678"/>
    </row>
    <row r="8422" spans="1:1" x14ac:dyDescent="0.3">
      <c r="A8422" s="678"/>
    </row>
    <row r="8423" spans="1:1" x14ac:dyDescent="0.3">
      <c r="A8423" s="678"/>
    </row>
    <row r="8424" spans="1:1" x14ac:dyDescent="0.3">
      <c r="A8424" s="678"/>
    </row>
    <row r="8425" spans="1:1" x14ac:dyDescent="0.3">
      <c r="A8425" s="678"/>
    </row>
    <row r="8426" spans="1:1" x14ac:dyDescent="0.3">
      <c r="A8426" s="678"/>
    </row>
    <row r="8427" spans="1:1" x14ac:dyDescent="0.3">
      <c r="A8427" s="678"/>
    </row>
    <row r="8428" spans="1:1" x14ac:dyDescent="0.3">
      <c r="A8428" s="678"/>
    </row>
    <row r="8429" spans="1:1" x14ac:dyDescent="0.3">
      <c r="A8429" s="678"/>
    </row>
    <row r="8430" spans="1:1" x14ac:dyDescent="0.3">
      <c r="A8430" s="678"/>
    </row>
    <row r="8431" spans="1:1" x14ac:dyDescent="0.3">
      <c r="A8431" s="678"/>
    </row>
    <row r="8432" spans="1:1" x14ac:dyDescent="0.3">
      <c r="A8432" s="678"/>
    </row>
    <row r="8433" spans="1:1" x14ac:dyDescent="0.3">
      <c r="A8433" s="678"/>
    </row>
    <row r="8434" spans="1:1" x14ac:dyDescent="0.3">
      <c r="A8434" s="678"/>
    </row>
    <row r="8435" spans="1:1" x14ac:dyDescent="0.3">
      <c r="A8435" s="678"/>
    </row>
    <row r="8436" spans="1:1" x14ac:dyDescent="0.3">
      <c r="A8436" s="678"/>
    </row>
    <row r="8437" spans="1:1" x14ac:dyDescent="0.3">
      <c r="A8437" s="678"/>
    </row>
    <row r="8438" spans="1:1" x14ac:dyDescent="0.3">
      <c r="A8438" s="678"/>
    </row>
    <row r="8439" spans="1:1" x14ac:dyDescent="0.3">
      <c r="A8439" s="678"/>
    </row>
    <row r="8440" spans="1:1" x14ac:dyDescent="0.3">
      <c r="A8440" s="678"/>
    </row>
    <row r="8441" spans="1:1" x14ac:dyDescent="0.3">
      <c r="A8441" s="678"/>
    </row>
    <row r="8442" spans="1:1" x14ac:dyDescent="0.3">
      <c r="A8442" s="678"/>
    </row>
    <row r="8443" spans="1:1" x14ac:dyDescent="0.3">
      <c r="A8443" s="678"/>
    </row>
    <row r="8444" spans="1:1" x14ac:dyDescent="0.3">
      <c r="A8444" s="678"/>
    </row>
    <row r="8445" spans="1:1" x14ac:dyDescent="0.3">
      <c r="A8445" s="678"/>
    </row>
    <row r="8446" spans="1:1" x14ac:dyDescent="0.3">
      <c r="A8446" s="678"/>
    </row>
    <row r="8447" spans="1:1" x14ac:dyDescent="0.3">
      <c r="A8447" s="678"/>
    </row>
    <row r="8448" spans="1:1" x14ac:dyDescent="0.3">
      <c r="A8448" s="678"/>
    </row>
    <row r="8449" spans="1:1" x14ac:dyDescent="0.3">
      <c r="A8449" s="678"/>
    </row>
    <row r="8450" spans="1:1" x14ac:dyDescent="0.3">
      <c r="A8450" s="678"/>
    </row>
    <row r="8451" spans="1:1" x14ac:dyDescent="0.3">
      <c r="A8451" s="678"/>
    </row>
    <row r="8452" spans="1:1" x14ac:dyDescent="0.3">
      <c r="A8452" s="678"/>
    </row>
    <row r="8453" spans="1:1" x14ac:dyDescent="0.3">
      <c r="A8453" s="678"/>
    </row>
    <row r="8454" spans="1:1" x14ac:dyDescent="0.3">
      <c r="A8454" s="678"/>
    </row>
    <row r="8455" spans="1:1" x14ac:dyDescent="0.3">
      <c r="A8455" s="678"/>
    </row>
    <row r="8456" spans="1:1" x14ac:dyDescent="0.3">
      <c r="A8456" s="678"/>
    </row>
    <row r="8457" spans="1:1" x14ac:dyDescent="0.3">
      <c r="A8457" s="678"/>
    </row>
    <row r="8458" spans="1:1" x14ac:dyDescent="0.3">
      <c r="A8458" s="678"/>
    </row>
    <row r="8459" spans="1:1" x14ac:dyDescent="0.3">
      <c r="A8459" s="678"/>
    </row>
    <row r="8460" spans="1:1" x14ac:dyDescent="0.3">
      <c r="A8460" s="678"/>
    </row>
    <row r="8461" spans="1:1" x14ac:dyDescent="0.3">
      <c r="A8461" s="678"/>
    </row>
    <row r="8462" spans="1:1" x14ac:dyDescent="0.3">
      <c r="A8462" s="678"/>
    </row>
    <row r="8463" spans="1:1" x14ac:dyDescent="0.3">
      <c r="A8463" s="678"/>
    </row>
    <row r="8464" spans="1:1" x14ac:dyDescent="0.3">
      <c r="A8464" s="678"/>
    </row>
    <row r="8465" spans="1:1" x14ac:dyDescent="0.3">
      <c r="A8465" s="678"/>
    </row>
    <row r="8466" spans="1:1" x14ac:dyDescent="0.3">
      <c r="A8466" s="678"/>
    </row>
    <row r="8467" spans="1:1" x14ac:dyDescent="0.3">
      <c r="A8467" s="678"/>
    </row>
    <row r="8468" spans="1:1" x14ac:dyDescent="0.3">
      <c r="A8468" s="678"/>
    </row>
    <row r="8469" spans="1:1" x14ac:dyDescent="0.3">
      <c r="A8469" s="678"/>
    </row>
    <row r="8470" spans="1:1" x14ac:dyDescent="0.3">
      <c r="A8470" s="678"/>
    </row>
    <row r="8471" spans="1:1" x14ac:dyDescent="0.3">
      <c r="A8471" s="678"/>
    </row>
    <row r="8472" spans="1:1" x14ac:dyDescent="0.3">
      <c r="A8472" s="678"/>
    </row>
    <row r="8473" spans="1:1" x14ac:dyDescent="0.3">
      <c r="A8473" s="678"/>
    </row>
    <row r="8474" spans="1:1" x14ac:dyDescent="0.3">
      <c r="A8474" s="678"/>
    </row>
    <row r="8475" spans="1:1" x14ac:dyDescent="0.3">
      <c r="A8475" s="678"/>
    </row>
    <row r="8476" spans="1:1" x14ac:dyDescent="0.3">
      <c r="A8476" s="678"/>
    </row>
    <row r="8477" spans="1:1" x14ac:dyDescent="0.3">
      <c r="A8477" s="678"/>
    </row>
    <row r="8478" spans="1:1" x14ac:dyDescent="0.3">
      <c r="A8478" s="678"/>
    </row>
    <row r="8479" spans="1:1" x14ac:dyDescent="0.3">
      <c r="A8479" s="678"/>
    </row>
    <row r="8480" spans="1:1" x14ac:dyDescent="0.3">
      <c r="A8480" s="678"/>
    </row>
    <row r="8481" spans="1:1" x14ac:dyDescent="0.3">
      <c r="A8481" s="678"/>
    </row>
    <row r="8482" spans="1:1" x14ac:dyDescent="0.3">
      <c r="A8482" s="678"/>
    </row>
    <row r="8483" spans="1:1" x14ac:dyDescent="0.3">
      <c r="A8483" s="678"/>
    </row>
    <row r="8484" spans="1:1" x14ac:dyDescent="0.3">
      <c r="A8484" s="678"/>
    </row>
    <row r="8485" spans="1:1" x14ac:dyDescent="0.3">
      <c r="A8485" s="678"/>
    </row>
    <row r="8486" spans="1:1" x14ac:dyDescent="0.3">
      <c r="A8486" s="678"/>
    </row>
    <row r="8487" spans="1:1" x14ac:dyDescent="0.3">
      <c r="A8487" s="678"/>
    </row>
    <row r="8488" spans="1:1" x14ac:dyDescent="0.3">
      <c r="A8488" s="678"/>
    </row>
    <row r="8489" spans="1:1" x14ac:dyDescent="0.3">
      <c r="A8489" s="678"/>
    </row>
    <row r="8490" spans="1:1" x14ac:dyDescent="0.3">
      <c r="A8490" s="678"/>
    </row>
    <row r="8491" spans="1:1" x14ac:dyDescent="0.3">
      <c r="A8491" s="678"/>
    </row>
    <row r="8492" spans="1:1" x14ac:dyDescent="0.3">
      <c r="A8492" s="678"/>
    </row>
    <row r="8493" spans="1:1" x14ac:dyDescent="0.3">
      <c r="A8493" s="678"/>
    </row>
    <row r="8494" spans="1:1" x14ac:dyDescent="0.3">
      <c r="A8494" s="678"/>
    </row>
    <row r="8495" spans="1:1" x14ac:dyDescent="0.3">
      <c r="A8495" s="678"/>
    </row>
    <row r="8496" spans="1:1" x14ac:dyDescent="0.3">
      <c r="A8496" s="678"/>
    </row>
    <row r="8497" spans="1:1" x14ac:dyDescent="0.3">
      <c r="A8497" s="678"/>
    </row>
    <row r="8498" spans="1:1" x14ac:dyDescent="0.3">
      <c r="A8498" s="678"/>
    </row>
    <row r="8499" spans="1:1" x14ac:dyDescent="0.3">
      <c r="A8499" s="678"/>
    </row>
    <row r="8500" spans="1:1" x14ac:dyDescent="0.3">
      <c r="A8500" s="678"/>
    </row>
    <row r="8501" spans="1:1" x14ac:dyDescent="0.3">
      <c r="A8501" s="678"/>
    </row>
    <row r="8502" spans="1:1" x14ac:dyDescent="0.3">
      <c r="A8502" s="678"/>
    </row>
    <row r="8503" spans="1:1" x14ac:dyDescent="0.3">
      <c r="A8503" s="678"/>
    </row>
    <row r="8504" spans="1:1" x14ac:dyDescent="0.3">
      <c r="A8504" s="678"/>
    </row>
    <row r="8505" spans="1:1" x14ac:dyDescent="0.3">
      <c r="A8505" s="678"/>
    </row>
    <row r="8506" spans="1:1" x14ac:dyDescent="0.3">
      <c r="A8506" s="678"/>
    </row>
    <row r="8507" spans="1:1" x14ac:dyDescent="0.3">
      <c r="A8507" s="678"/>
    </row>
    <row r="8508" spans="1:1" x14ac:dyDescent="0.3">
      <c r="A8508" s="678"/>
    </row>
    <row r="8509" spans="1:1" x14ac:dyDescent="0.3">
      <c r="A8509" s="678"/>
    </row>
    <row r="8510" spans="1:1" x14ac:dyDescent="0.3">
      <c r="A8510" s="678"/>
    </row>
    <row r="8511" spans="1:1" x14ac:dyDescent="0.3">
      <c r="A8511" s="678"/>
    </row>
    <row r="8512" spans="1:1" x14ac:dyDescent="0.3">
      <c r="A8512" s="678"/>
    </row>
    <row r="8513" spans="1:1" x14ac:dyDescent="0.3">
      <c r="A8513" s="678"/>
    </row>
    <row r="8514" spans="1:1" x14ac:dyDescent="0.3">
      <c r="A8514" s="678"/>
    </row>
    <row r="8515" spans="1:1" x14ac:dyDescent="0.3">
      <c r="A8515" s="678"/>
    </row>
    <row r="8516" spans="1:1" x14ac:dyDescent="0.3">
      <c r="A8516" s="678"/>
    </row>
    <row r="8517" spans="1:1" x14ac:dyDescent="0.3">
      <c r="A8517" s="678"/>
    </row>
    <row r="8518" spans="1:1" x14ac:dyDescent="0.3">
      <c r="A8518" s="678"/>
    </row>
    <row r="8519" spans="1:1" x14ac:dyDescent="0.3">
      <c r="A8519" s="678"/>
    </row>
    <row r="8520" spans="1:1" x14ac:dyDescent="0.3">
      <c r="A8520" s="678"/>
    </row>
    <row r="8521" spans="1:1" x14ac:dyDescent="0.3">
      <c r="A8521" s="678"/>
    </row>
    <row r="8522" spans="1:1" x14ac:dyDescent="0.3">
      <c r="A8522" s="678"/>
    </row>
    <row r="8523" spans="1:1" x14ac:dyDescent="0.3">
      <c r="A8523" s="678"/>
    </row>
    <row r="8524" spans="1:1" x14ac:dyDescent="0.3">
      <c r="A8524" s="678"/>
    </row>
    <row r="8525" spans="1:1" x14ac:dyDescent="0.3">
      <c r="A8525" s="678"/>
    </row>
    <row r="8526" spans="1:1" x14ac:dyDescent="0.3">
      <c r="A8526" s="678"/>
    </row>
    <row r="8527" spans="1:1" x14ac:dyDescent="0.3">
      <c r="A8527" s="678"/>
    </row>
    <row r="8528" spans="1:1" x14ac:dyDescent="0.3">
      <c r="A8528" s="678"/>
    </row>
    <row r="8529" spans="1:1" x14ac:dyDescent="0.3">
      <c r="A8529" s="678"/>
    </row>
    <row r="8530" spans="1:1" x14ac:dyDescent="0.3">
      <c r="A8530" s="678"/>
    </row>
    <row r="8531" spans="1:1" x14ac:dyDescent="0.3">
      <c r="A8531" s="678"/>
    </row>
    <row r="8532" spans="1:1" x14ac:dyDescent="0.3">
      <c r="A8532" s="678"/>
    </row>
    <row r="8533" spans="1:1" x14ac:dyDescent="0.3">
      <c r="A8533" s="678"/>
    </row>
    <row r="8534" spans="1:1" x14ac:dyDescent="0.3">
      <c r="A8534" s="678"/>
    </row>
    <row r="8535" spans="1:1" x14ac:dyDescent="0.3">
      <c r="A8535" s="678"/>
    </row>
    <row r="8536" spans="1:1" x14ac:dyDescent="0.3">
      <c r="A8536" s="678"/>
    </row>
    <row r="8537" spans="1:1" x14ac:dyDescent="0.3">
      <c r="A8537" s="678"/>
    </row>
    <row r="8538" spans="1:1" x14ac:dyDescent="0.3">
      <c r="A8538" s="678"/>
    </row>
    <row r="8539" spans="1:1" x14ac:dyDescent="0.3">
      <c r="A8539" s="678"/>
    </row>
    <row r="8540" spans="1:1" x14ac:dyDescent="0.3">
      <c r="A8540" s="678"/>
    </row>
    <row r="8541" spans="1:1" x14ac:dyDescent="0.3">
      <c r="A8541" s="678"/>
    </row>
    <row r="8542" spans="1:1" x14ac:dyDescent="0.3">
      <c r="A8542" s="678"/>
    </row>
    <row r="8543" spans="1:1" x14ac:dyDescent="0.3">
      <c r="A8543" s="678"/>
    </row>
    <row r="8544" spans="1:1" x14ac:dyDescent="0.3">
      <c r="A8544" s="678"/>
    </row>
    <row r="8545" spans="1:1" x14ac:dyDescent="0.3">
      <c r="A8545" s="678"/>
    </row>
    <row r="8546" spans="1:1" x14ac:dyDescent="0.3">
      <c r="A8546" s="678"/>
    </row>
    <row r="8547" spans="1:1" x14ac:dyDescent="0.3">
      <c r="A8547" s="678"/>
    </row>
    <row r="8548" spans="1:1" x14ac:dyDescent="0.3">
      <c r="A8548" s="678"/>
    </row>
    <row r="8549" spans="1:1" x14ac:dyDescent="0.3">
      <c r="A8549" s="678"/>
    </row>
    <row r="8550" spans="1:1" x14ac:dyDescent="0.3">
      <c r="A8550" s="678"/>
    </row>
    <row r="8551" spans="1:1" x14ac:dyDescent="0.3">
      <c r="A8551" s="678"/>
    </row>
    <row r="8552" spans="1:1" x14ac:dyDescent="0.3">
      <c r="A8552" s="678"/>
    </row>
    <row r="8553" spans="1:1" x14ac:dyDescent="0.3">
      <c r="A8553" s="678"/>
    </row>
    <row r="8554" spans="1:1" x14ac:dyDescent="0.3">
      <c r="A8554" s="678"/>
    </row>
    <row r="8555" spans="1:1" x14ac:dyDescent="0.3">
      <c r="A8555" s="678"/>
    </row>
    <row r="8556" spans="1:1" x14ac:dyDescent="0.3">
      <c r="A8556" s="678"/>
    </row>
    <row r="8557" spans="1:1" x14ac:dyDescent="0.3">
      <c r="A8557" s="678"/>
    </row>
    <row r="8558" spans="1:1" x14ac:dyDescent="0.3">
      <c r="A8558" s="678"/>
    </row>
    <row r="8559" spans="1:1" x14ac:dyDescent="0.3">
      <c r="A8559" s="678"/>
    </row>
    <row r="8560" spans="1:1" x14ac:dyDescent="0.3">
      <c r="A8560" s="678"/>
    </row>
    <row r="8561" spans="1:1" x14ac:dyDescent="0.3">
      <c r="A8561" s="678"/>
    </row>
    <row r="8562" spans="1:1" x14ac:dyDescent="0.3">
      <c r="A8562" s="678"/>
    </row>
    <row r="8563" spans="1:1" x14ac:dyDescent="0.3">
      <c r="A8563" s="678"/>
    </row>
    <row r="8564" spans="1:1" x14ac:dyDescent="0.3">
      <c r="A8564" s="678"/>
    </row>
    <row r="8565" spans="1:1" x14ac:dyDescent="0.3">
      <c r="A8565" s="678"/>
    </row>
    <row r="8566" spans="1:1" x14ac:dyDescent="0.3">
      <c r="A8566" s="678"/>
    </row>
    <row r="8567" spans="1:1" x14ac:dyDescent="0.3">
      <c r="A8567" s="678"/>
    </row>
    <row r="8568" spans="1:1" x14ac:dyDescent="0.3">
      <c r="A8568" s="678"/>
    </row>
    <row r="8569" spans="1:1" x14ac:dyDescent="0.3">
      <c r="A8569" s="678"/>
    </row>
    <row r="8570" spans="1:1" x14ac:dyDescent="0.3">
      <c r="A8570" s="678"/>
    </row>
    <row r="8571" spans="1:1" x14ac:dyDescent="0.3">
      <c r="A8571" s="678"/>
    </row>
    <row r="8572" spans="1:1" x14ac:dyDescent="0.3">
      <c r="A8572" s="678"/>
    </row>
    <row r="8573" spans="1:1" x14ac:dyDescent="0.3">
      <c r="A8573" s="678"/>
    </row>
    <row r="8574" spans="1:1" x14ac:dyDescent="0.3">
      <c r="A8574" s="678"/>
    </row>
    <row r="8575" spans="1:1" x14ac:dyDescent="0.3">
      <c r="A8575" s="678"/>
    </row>
    <row r="8576" spans="1:1" x14ac:dyDescent="0.3">
      <c r="A8576" s="678"/>
    </row>
    <row r="8577" spans="1:1" x14ac:dyDescent="0.3">
      <c r="A8577" s="678"/>
    </row>
    <row r="8578" spans="1:1" x14ac:dyDescent="0.3">
      <c r="A8578" s="678"/>
    </row>
    <row r="8579" spans="1:1" x14ac:dyDescent="0.3">
      <c r="A8579" s="678"/>
    </row>
    <row r="8580" spans="1:1" x14ac:dyDescent="0.3">
      <c r="A8580" s="678"/>
    </row>
    <row r="8581" spans="1:1" x14ac:dyDescent="0.3">
      <c r="A8581" s="678"/>
    </row>
    <row r="8582" spans="1:1" x14ac:dyDescent="0.3">
      <c r="A8582" s="678"/>
    </row>
    <row r="8583" spans="1:1" x14ac:dyDescent="0.3">
      <c r="A8583" s="678"/>
    </row>
    <row r="8584" spans="1:1" x14ac:dyDescent="0.3">
      <c r="A8584" s="678"/>
    </row>
    <row r="8585" spans="1:1" x14ac:dyDescent="0.3">
      <c r="A8585" s="678"/>
    </row>
    <row r="8586" spans="1:1" x14ac:dyDescent="0.3">
      <c r="A8586" s="678"/>
    </row>
    <row r="8587" spans="1:1" x14ac:dyDescent="0.3">
      <c r="A8587" s="678"/>
    </row>
    <row r="8588" spans="1:1" x14ac:dyDescent="0.3">
      <c r="A8588" s="678"/>
    </row>
    <row r="8589" spans="1:1" x14ac:dyDescent="0.3">
      <c r="A8589" s="678"/>
    </row>
    <row r="8590" spans="1:1" x14ac:dyDescent="0.3">
      <c r="A8590" s="678"/>
    </row>
    <row r="8591" spans="1:1" x14ac:dyDescent="0.3">
      <c r="A8591" s="678"/>
    </row>
    <row r="8592" spans="1:1" x14ac:dyDescent="0.3">
      <c r="A8592" s="678"/>
    </row>
    <row r="8593" spans="1:1" x14ac:dyDescent="0.3">
      <c r="A8593" s="678"/>
    </row>
    <row r="8594" spans="1:1" x14ac:dyDescent="0.3">
      <c r="A8594" s="678"/>
    </row>
    <row r="8595" spans="1:1" x14ac:dyDescent="0.3">
      <c r="A8595" s="678"/>
    </row>
    <row r="8596" spans="1:1" x14ac:dyDescent="0.3">
      <c r="A8596" s="678"/>
    </row>
    <row r="8597" spans="1:1" x14ac:dyDescent="0.3">
      <c r="A8597" s="678"/>
    </row>
    <row r="8598" spans="1:1" x14ac:dyDescent="0.3">
      <c r="A8598" s="678"/>
    </row>
    <row r="8599" spans="1:1" x14ac:dyDescent="0.3">
      <c r="A8599" s="678"/>
    </row>
    <row r="8600" spans="1:1" x14ac:dyDescent="0.3">
      <c r="A8600" s="678"/>
    </row>
    <row r="8601" spans="1:1" x14ac:dyDescent="0.3">
      <c r="A8601" s="678"/>
    </row>
    <row r="8602" spans="1:1" x14ac:dyDescent="0.3">
      <c r="A8602" s="678"/>
    </row>
    <row r="8603" spans="1:1" x14ac:dyDescent="0.3">
      <c r="A8603" s="678"/>
    </row>
    <row r="8604" spans="1:1" x14ac:dyDescent="0.3">
      <c r="A8604" s="678"/>
    </row>
    <row r="8605" spans="1:1" x14ac:dyDescent="0.3">
      <c r="A8605" s="678"/>
    </row>
    <row r="8606" spans="1:1" x14ac:dyDescent="0.3">
      <c r="A8606" s="678"/>
    </row>
    <row r="8607" spans="1:1" x14ac:dyDescent="0.3">
      <c r="A8607" s="678"/>
    </row>
    <row r="8608" spans="1:1" x14ac:dyDescent="0.3">
      <c r="A8608" s="678"/>
    </row>
    <row r="8609" spans="1:1" x14ac:dyDescent="0.3">
      <c r="A8609" s="678"/>
    </row>
    <row r="8610" spans="1:1" x14ac:dyDescent="0.3">
      <c r="A8610" s="678"/>
    </row>
    <row r="8611" spans="1:1" x14ac:dyDescent="0.3">
      <c r="A8611" s="678"/>
    </row>
    <row r="8612" spans="1:1" x14ac:dyDescent="0.3">
      <c r="A8612" s="678"/>
    </row>
    <row r="8613" spans="1:1" x14ac:dyDescent="0.3">
      <c r="A8613" s="678"/>
    </row>
    <row r="8614" spans="1:1" x14ac:dyDescent="0.3">
      <c r="A8614" s="678"/>
    </row>
    <row r="8615" spans="1:1" x14ac:dyDescent="0.3">
      <c r="A8615" s="678"/>
    </row>
    <row r="8616" spans="1:1" x14ac:dyDescent="0.3">
      <c r="A8616" s="678"/>
    </row>
    <row r="8617" spans="1:1" x14ac:dyDescent="0.3">
      <c r="A8617" s="678"/>
    </row>
    <row r="8618" spans="1:1" x14ac:dyDescent="0.3">
      <c r="A8618" s="678"/>
    </row>
    <row r="8619" spans="1:1" x14ac:dyDescent="0.3">
      <c r="A8619" s="678"/>
    </row>
    <row r="8620" spans="1:1" x14ac:dyDescent="0.3">
      <c r="A8620" s="678"/>
    </row>
    <row r="8621" spans="1:1" x14ac:dyDescent="0.3">
      <c r="A8621" s="678"/>
    </row>
    <row r="8622" spans="1:1" x14ac:dyDescent="0.3">
      <c r="A8622" s="678"/>
    </row>
    <row r="8623" spans="1:1" x14ac:dyDescent="0.3">
      <c r="A8623" s="678"/>
    </row>
    <row r="8624" spans="1:1" x14ac:dyDescent="0.3">
      <c r="A8624" s="678"/>
    </row>
    <row r="8625" spans="1:1" x14ac:dyDescent="0.3">
      <c r="A8625" s="678"/>
    </row>
    <row r="8626" spans="1:1" x14ac:dyDescent="0.3">
      <c r="A8626" s="678"/>
    </row>
    <row r="8627" spans="1:1" x14ac:dyDescent="0.3">
      <c r="A8627" s="678"/>
    </row>
    <row r="8628" spans="1:1" x14ac:dyDescent="0.3">
      <c r="A8628" s="678"/>
    </row>
    <row r="8629" spans="1:1" x14ac:dyDescent="0.3">
      <c r="A8629" s="678"/>
    </row>
    <row r="8630" spans="1:1" x14ac:dyDescent="0.3">
      <c r="A8630" s="678"/>
    </row>
    <row r="8631" spans="1:1" x14ac:dyDescent="0.3">
      <c r="A8631" s="678"/>
    </row>
    <row r="8632" spans="1:1" x14ac:dyDescent="0.3">
      <c r="A8632" s="678"/>
    </row>
    <row r="8633" spans="1:1" x14ac:dyDescent="0.3">
      <c r="A8633" s="678"/>
    </row>
    <row r="8634" spans="1:1" x14ac:dyDescent="0.3">
      <c r="A8634" s="678"/>
    </row>
    <row r="8635" spans="1:1" x14ac:dyDescent="0.3">
      <c r="A8635" s="678"/>
    </row>
    <row r="8636" spans="1:1" x14ac:dyDescent="0.3">
      <c r="A8636" s="678"/>
    </row>
    <row r="8637" spans="1:1" x14ac:dyDescent="0.3">
      <c r="A8637" s="678"/>
    </row>
    <row r="8638" spans="1:1" x14ac:dyDescent="0.3">
      <c r="A8638" s="678"/>
    </row>
    <row r="8639" spans="1:1" x14ac:dyDescent="0.3">
      <c r="A8639" s="678"/>
    </row>
    <row r="8640" spans="1:1" x14ac:dyDescent="0.3">
      <c r="A8640" s="678"/>
    </row>
    <row r="8641" spans="1:1" x14ac:dyDescent="0.3">
      <c r="A8641" s="678"/>
    </row>
    <row r="8642" spans="1:1" x14ac:dyDescent="0.3">
      <c r="A8642" s="678"/>
    </row>
    <row r="8643" spans="1:1" x14ac:dyDescent="0.3">
      <c r="A8643" s="678"/>
    </row>
    <row r="8644" spans="1:1" x14ac:dyDescent="0.3">
      <c r="A8644" s="678"/>
    </row>
    <row r="8645" spans="1:1" x14ac:dyDescent="0.3">
      <c r="A8645" s="678"/>
    </row>
    <row r="8646" spans="1:1" x14ac:dyDescent="0.3">
      <c r="A8646" s="678"/>
    </row>
    <row r="8647" spans="1:1" x14ac:dyDescent="0.3">
      <c r="A8647" s="678"/>
    </row>
    <row r="8648" spans="1:1" x14ac:dyDescent="0.3">
      <c r="A8648" s="678"/>
    </row>
    <row r="8649" spans="1:1" x14ac:dyDescent="0.3">
      <c r="A8649" s="678"/>
    </row>
    <row r="8650" spans="1:1" x14ac:dyDescent="0.3">
      <c r="A8650" s="678"/>
    </row>
    <row r="8651" spans="1:1" x14ac:dyDescent="0.3">
      <c r="A8651" s="678"/>
    </row>
    <row r="8652" spans="1:1" x14ac:dyDescent="0.3">
      <c r="A8652" s="678"/>
    </row>
    <row r="8653" spans="1:1" x14ac:dyDescent="0.3">
      <c r="A8653" s="678"/>
    </row>
    <row r="8654" spans="1:1" x14ac:dyDescent="0.3">
      <c r="A8654" s="678"/>
    </row>
    <row r="8655" spans="1:1" x14ac:dyDescent="0.3">
      <c r="A8655" s="678"/>
    </row>
    <row r="8656" spans="1:1" x14ac:dyDescent="0.3">
      <c r="A8656" s="678"/>
    </row>
    <row r="8657" spans="1:1" x14ac:dyDescent="0.3">
      <c r="A8657" s="678"/>
    </row>
    <row r="8658" spans="1:1" x14ac:dyDescent="0.3">
      <c r="A8658" s="678"/>
    </row>
    <row r="8659" spans="1:1" x14ac:dyDescent="0.3">
      <c r="A8659" s="678"/>
    </row>
    <row r="8660" spans="1:1" x14ac:dyDescent="0.3">
      <c r="A8660" s="678"/>
    </row>
    <row r="8661" spans="1:1" x14ac:dyDescent="0.3">
      <c r="A8661" s="678"/>
    </row>
    <row r="8662" spans="1:1" x14ac:dyDescent="0.3">
      <c r="A8662" s="678"/>
    </row>
    <row r="8663" spans="1:1" x14ac:dyDescent="0.3">
      <c r="A8663" s="678"/>
    </row>
    <row r="8664" spans="1:1" x14ac:dyDescent="0.3">
      <c r="A8664" s="678"/>
    </row>
    <row r="8665" spans="1:1" x14ac:dyDescent="0.3">
      <c r="A8665" s="678"/>
    </row>
    <row r="8666" spans="1:1" x14ac:dyDescent="0.3">
      <c r="A8666" s="678"/>
    </row>
    <row r="8667" spans="1:1" x14ac:dyDescent="0.3">
      <c r="A8667" s="678"/>
    </row>
    <row r="8668" spans="1:1" x14ac:dyDescent="0.3">
      <c r="A8668" s="678"/>
    </row>
    <row r="8669" spans="1:1" x14ac:dyDescent="0.3">
      <c r="A8669" s="678"/>
    </row>
    <row r="8670" spans="1:1" x14ac:dyDescent="0.3">
      <c r="A8670" s="678"/>
    </row>
    <row r="8671" spans="1:1" x14ac:dyDescent="0.3">
      <c r="A8671" s="678"/>
    </row>
    <row r="8672" spans="1:1" x14ac:dyDescent="0.3">
      <c r="A8672" s="678"/>
    </row>
    <row r="8673" spans="1:1" x14ac:dyDescent="0.3">
      <c r="A8673" s="678"/>
    </row>
    <row r="8674" spans="1:1" x14ac:dyDescent="0.3">
      <c r="A8674" s="678"/>
    </row>
    <row r="8675" spans="1:1" x14ac:dyDescent="0.3">
      <c r="A8675" s="678"/>
    </row>
    <row r="8676" spans="1:1" x14ac:dyDescent="0.3">
      <c r="A8676" s="678"/>
    </row>
    <row r="8677" spans="1:1" x14ac:dyDescent="0.3">
      <c r="A8677" s="678"/>
    </row>
    <row r="8678" spans="1:1" x14ac:dyDescent="0.3">
      <c r="A8678" s="678"/>
    </row>
    <row r="8679" spans="1:1" x14ac:dyDescent="0.3">
      <c r="A8679" s="678"/>
    </row>
    <row r="8680" spans="1:1" x14ac:dyDescent="0.3">
      <c r="A8680" s="678"/>
    </row>
    <row r="8681" spans="1:1" x14ac:dyDescent="0.3">
      <c r="A8681" s="678"/>
    </row>
    <row r="8682" spans="1:1" x14ac:dyDescent="0.3">
      <c r="A8682" s="678"/>
    </row>
    <row r="8683" spans="1:1" x14ac:dyDescent="0.3">
      <c r="A8683" s="678"/>
    </row>
    <row r="8684" spans="1:1" x14ac:dyDescent="0.3">
      <c r="A8684" s="678"/>
    </row>
    <row r="8685" spans="1:1" x14ac:dyDescent="0.3">
      <c r="A8685" s="678"/>
    </row>
    <row r="8686" spans="1:1" x14ac:dyDescent="0.3">
      <c r="A8686" s="678"/>
    </row>
    <row r="8687" spans="1:1" x14ac:dyDescent="0.3">
      <c r="A8687" s="678"/>
    </row>
    <row r="8688" spans="1:1" x14ac:dyDescent="0.3">
      <c r="A8688" s="678"/>
    </row>
    <row r="8689" spans="1:1" x14ac:dyDescent="0.3">
      <c r="A8689" s="678"/>
    </row>
    <row r="8690" spans="1:1" x14ac:dyDescent="0.3">
      <c r="A8690" s="678"/>
    </row>
    <row r="8691" spans="1:1" x14ac:dyDescent="0.3">
      <c r="A8691" s="678"/>
    </row>
    <row r="8692" spans="1:1" x14ac:dyDescent="0.3">
      <c r="A8692" s="678"/>
    </row>
    <row r="8693" spans="1:1" x14ac:dyDescent="0.3">
      <c r="A8693" s="678"/>
    </row>
    <row r="8694" spans="1:1" x14ac:dyDescent="0.3">
      <c r="A8694" s="678"/>
    </row>
    <row r="8695" spans="1:1" x14ac:dyDescent="0.3">
      <c r="A8695" s="678"/>
    </row>
    <row r="8696" spans="1:1" x14ac:dyDescent="0.3">
      <c r="A8696" s="678"/>
    </row>
    <row r="8697" spans="1:1" x14ac:dyDescent="0.3">
      <c r="A8697" s="678"/>
    </row>
    <row r="8698" spans="1:1" x14ac:dyDescent="0.3">
      <c r="A8698" s="678"/>
    </row>
    <row r="8699" spans="1:1" x14ac:dyDescent="0.3">
      <c r="A8699" s="678"/>
    </row>
    <row r="8700" spans="1:1" x14ac:dyDescent="0.3">
      <c r="A8700" s="678"/>
    </row>
    <row r="8701" spans="1:1" x14ac:dyDescent="0.3">
      <c r="A8701" s="678"/>
    </row>
    <row r="8702" spans="1:1" x14ac:dyDescent="0.3">
      <c r="A8702" s="678"/>
    </row>
    <row r="8703" spans="1:1" x14ac:dyDescent="0.3">
      <c r="A8703" s="678"/>
    </row>
    <row r="8704" spans="1:1" x14ac:dyDescent="0.3">
      <c r="A8704" s="678"/>
    </row>
    <row r="8705" spans="1:1" x14ac:dyDescent="0.3">
      <c r="A8705" s="678"/>
    </row>
    <row r="8706" spans="1:1" x14ac:dyDescent="0.3">
      <c r="A8706" s="678"/>
    </row>
    <row r="8707" spans="1:1" x14ac:dyDescent="0.3">
      <c r="A8707" s="678"/>
    </row>
    <row r="8708" spans="1:1" x14ac:dyDescent="0.3">
      <c r="A8708" s="678"/>
    </row>
    <row r="8709" spans="1:1" x14ac:dyDescent="0.3">
      <c r="A8709" s="678"/>
    </row>
    <row r="8710" spans="1:1" x14ac:dyDescent="0.3">
      <c r="A8710" s="678"/>
    </row>
    <row r="8711" spans="1:1" x14ac:dyDescent="0.3">
      <c r="A8711" s="678"/>
    </row>
    <row r="8712" spans="1:1" x14ac:dyDescent="0.3">
      <c r="A8712" s="678"/>
    </row>
    <row r="8713" spans="1:1" x14ac:dyDescent="0.3">
      <c r="A8713" s="678"/>
    </row>
    <row r="8714" spans="1:1" x14ac:dyDescent="0.3">
      <c r="A8714" s="678"/>
    </row>
    <row r="8715" spans="1:1" x14ac:dyDescent="0.3">
      <c r="A8715" s="678"/>
    </row>
    <row r="8716" spans="1:1" x14ac:dyDescent="0.3">
      <c r="A8716" s="678"/>
    </row>
    <row r="8717" spans="1:1" x14ac:dyDescent="0.3">
      <c r="A8717" s="678"/>
    </row>
    <row r="8718" spans="1:1" x14ac:dyDescent="0.3">
      <c r="A8718" s="678"/>
    </row>
    <row r="8719" spans="1:1" x14ac:dyDescent="0.3">
      <c r="A8719" s="678"/>
    </row>
    <row r="8720" spans="1:1" x14ac:dyDescent="0.3">
      <c r="A8720" s="678"/>
    </row>
    <row r="8721" spans="1:1" x14ac:dyDescent="0.3">
      <c r="A8721" s="678"/>
    </row>
    <row r="8722" spans="1:1" x14ac:dyDescent="0.3">
      <c r="A8722" s="678"/>
    </row>
    <row r="8723" spans="1:1" x14ac:dyDescent="0.3">
      <c r="A8723" s="678"/>
    </row>
    <row r="8724" spans="1:1" x14ac:dyDescent="0.3">
      <c r="A8724" s="678"/>
    </row>
    <row r="8725" spans="1:1" x14ac:dyDescent="0.3">
      <c r="A8725" s="678"/>
    </row>
    <row r="8726" spans="1:1" x14ac:dyDescent="0.3">
      <c r="A8726" s="678"/>
    </row>
    <row r="8727" spans="1:1" x14ac:dyDescent="0.3">
      <c r="A8727" s="678"/>
    </row>
    <row r="8728" spans="1:1" x14ac:dyDescent="0.3">
      <c r="A8728" s="678"/>
    </row>
    <row r="8729" spans="1:1" x14ac:dyDescent="0.3">
      <c r="A8729" s="678"/>
    </row>
    <row r="8730" spans="1:1" x14ac:dyDescent="0.3">
      <c r="A8730" s="678"/>
    </row>
    <row r="8731" spans="1:1" x14ac:dyDescent="0.3">
      <c r="A8731" s="678"/>
    </row>
    <row r="8732" spans="1:1" x14ac:dyDescent="0.3">
      <c r="A8732" s="678"/>
    </row>
    <row r="8733" spans="1:1" x14ac:dyDescent="0.3">
      <c r="A8733" s="678"/>
    </row>
    <row r="8734" spans="1:1" x14ac:dyDescent="0.3">
      <c r="A8734" s="678"/>
    </row>
    <row r="8735" spans="1:1" x14ac:dyDescent="0.3">
      <c r="A8735" s="678"/>
    </row>
    <row r="8736" spans="1:1" x14ac:dyDescent="0.3">
      <c r="A8736" s="678"/>
    </row>
    <row r="8737" spans="1:1" x14ac:dyDescent="0.3">
      <c r="A8737" s="678"/>
    </row>
    <row r="8738" spans="1:1" x14ac:dyDescent="0.3">
      <c r="A8738" s="678"/>
    </row>
    <row r="8739" spans="1:1" x14ac:dyDescent="0.3">
      <c r="A8739" s="678"/>
    </row>
    <row r="8740" spans="1:1" x14ac:dyDescent="0.3">
      <c r="A8740" s="678"/>
    </row>
    <row r="8741" spans="1:1" x14ac:dyDescent="0.3">
      <c r="A8741" s="678"/>
    </row>
    <row r="8742" spans="1:1" x14ac:dyDescent="0.3">
      <c r="A8742" s="678"/>
    </row>
    <row r="8743" spans="1:1" x14ac:dyDescent="0.3">
      <c r="A8743" s="678"/>
    </row>
    <row r="8744" spans="1:1" x14ac:dyDescent="0.3">
      <c r="A8744" s="678"/>
    </row>
    <row r="8745" spans="1:1" x14ac:dyDescent="0.3">
      <c r="A8745" s="678"/>
    </row>
    <row r="8746" spans="1:1" x14ac:dyDescent="0.3">
      <c r="A8746" s="678"/>
    </row>
    <row r="8747" spans="1:1" x14ac:dyDescent="0.3">
      <c r="A8747" s="678"/>
    </row>
    <row r="8748" spans="1:1" x14ac:dyDescent="0.3">
      <c r="A8748" s="678"/>
    </row>
    <row r="8749" spans="1:1" x14ac:dyDescent="0.3">
      <c r="A8749" s="678"/>
    </row>
    <row r="8750" spans="1:1" x14ac:dyDescent="0.3">
      <c r="A8750" s="678"/>
    </row>
    <row r="8751" spans="1:1" x14ac:dyDescent="0.3">
      <c r="A8751" s="678"/>
    </row>
    <row r="8752" spans="1:1" x14ac:dyDescent="0.3">
      <c r="A8752" s="678"/>
    </row>
    <row r="8753" spans="1:1" x14ac:dyDescent="0.3">
      <c r="A8753" s="678"/>
    </row>
    <row r="8754" spans="1:1" x14ac:dyDescent="0.3">
      <c r="A8754" s="678"/>
    </row>
    <row r="8755" spans="1:1" x14ac:dyDescent="0.3">
      <c r="A8755" s="678"/>
    </row>
    <row r="8756" spans="1:1" x14ac:dyDescent="0.3">
      <c r="A8756" s="678"/>
    </row>
    <row r="8757" spans="1:1" x14ac:dyDescent="0.3">
      <c r="A8757" s="678"/>
    </row>
    <row r="8758" spans="1:1" x14ac:dyDescent="0.3">
      <c r="A8758" s="678"/>
    </row>
    <row r="8759" spans="1:1" x14ac:dyDescent="0.3">
      <c r="A8759" s="678"/>
    </row>
    <row r="8760" spans="1:1" x14ac:dyDescent="0.3">
      <c r="A8760" s="678"/>
    </row>
    <row r="8761" spans="1:1" x14ac:dyDescent="0.3">
      <c r="A8761" s="678"/>
    </row>
    <row r="8762" spans="1:1" x14ac:dyDescent="0.3">
      <c r="A8762" s="678"/>
    </row>
    <row r="8763" spans="1:1" x14ac:dyDescent="0.3">
      <c r="A8763" s="678"/>
    </row>
    <row r="8764" spans="1:1" x14ac:dyDescent="0.3">
      <c r="A8764" s="678"/>
    </row>
    <row r="8765" spans="1:1" x14ac:dyDescent="0.3">
      <c r="A8765" s="678"/>
    </row>
    <row r="8766" spans="1:1" x14ac:dyDescent="0.3">
      <c r="A8766" s="678"/>
    </row>
    <row r="8767" spans="1:1" x14ac:dyDescent="0.3">
      <c r="A8767" s="678"/>
    </row>
    <row r="8768" spans="1:1" x14ac:dyDescent="0.3">
      <c r="A8768" s="678"/>
    </row>
    <row r="8769" spans="1:1" x14ac:dyDescent="0.3">
      <c r="A8769" s="678"/>
    </row>
    <row r="8770" spans="1:1" x14ac:dyDescent="0.3">
      <c r="A8770" s="678"/>
    </row>
    <row r="8771" spans="1:1" x14ac:dyDescent="0.3">
      <c r="A8771" s="678"/>
    </row>
    <row r="8772" spans="1:1" x14ac:dyDescent="0.3">
      <c r="A8772" s="678"/>
    </row>
    <row r="8773" spans="1:1" x14ac:dyDescent="0.3">
      <c r="A8773" s="678"/>
    </row>
    <row r="8774" spans="1:1" x14ac:dyDescent="0.3">
      <c r="A8774" s="678"/>
    </row>
    <row r="8775" spans="1:1" x14ac:dyDescent="0.3">
      <c r="A8775" s="678"/>
    </row>
    <row r="8776" spans="1:1" x14ac:dyDescent="0.3">
      <c r="A8776" s="678"/>
    </row>
    <row r="8777" spans="1:1" x14ac:dyDescent="0.3">
      <c r="A8777" s="678"/>
    </row>
    <row r="8778" spans="1:1" x14ac:dyDescent="0.3">
      <c r="A8778" s="678"/>
    </row>
    <row r="8779" spans="1:1" x14ac:dyDescent="0.3">
      <c r="A8779" s="678"/>
    </row>
    <row r="8780" spans="1:1" x14ac:dyDescent="0.3">
      <c r="A8780" s="678"/>
    </row>
    <row r="8781" spans="1:1" x14ac:dyDescent="0.3">
      <c r="A8781" s="678"/>
    </row>
    <row r="8782" spans="1:1" x14ac:dyDescent="0.3">
      <c r="A8782" s="678"/>
    </row>
    <row r="8783" spans="1:1" x14ac:dyDescent="0.3">
      <c r="A8783" s="678"/>
    </row>
    <row r="8784" spans="1:1" x14ac:dyDescent="0.3">
      <c r="A8784" s="678"/>
    </row>
    <row r="8785" spans="1:1" x14ac:dyDescent="0.3">
      <c r="A8785" s="678"/>
    </row>
    <row r="8786" spans="1:1" x14ac:dyDescent="0.3">
      <c r="A8786" s="678"/>
    </row>
    <row r="8787" spans="1:1" x14ac:dyDescent="0.3">
      <c r="A8787" s="678"/>
    </row>
    <row r="8788" spans="1:1" x14ac:dyDescent="0.3">
      <c r="A8788" s="678"/>
    </row>
    <row r="8789" spans="1:1" x14ac:dyDescent="0.3">
      <c r="A8789" s="678"/>
    </row>
    <row r="8790" spans="1:1" x14ac:dyDescent="0.3">
      <c r="A8790" s="678"/>
    </row>
    <row r="8791" spans="1:1" x14ac:dyDescent="0.3">
      <c r="A8791" s="678"/>
    </row>
    <row r="8792" spans="1:1" x14ac:dyDescent="0.3">
      <c r="A8792" s="678"/>
    </row>
    <row r="8793" spans="1:1" x14ac:dyDescent="0.3">
      <c r="A8793" s="678"/>
    </row>
    <row r="8794" spans="1:1" x14ac:dyDescent="0.3">
      <c r="A8794" s="678"/>
    </row>
    <row r="8795" spans="1:1" x14ac:dyDescent="0.3">
      <c r="A8795" s="678"/>
    </row>
    <row r="8796" spans="1:1" x14ac:dyDescent="0.3">
      <c r="A8796" s="678"/>
    </row>
    <row r="8797" spans="1:1" x14ac:dyDescent="0.3">
      <c r="A8797" s="678"/>
    </row>
    <row r="8798" spans="1:1" x14ac:dyDescent="0.3">
      <c r="A8798" s="678"/>
    </row>
    <row r="8799" spans="1:1" x14ac:dyDescent="0.3">
      <c r="A8799" s="678"/>
    </row>
    <row r="8800" spans="1:1" x14ac:dyDescent="0.3">
      <c r="A8800" s="678"/>
    </row>
    <row r="8801" spans="1:1" x14ac:dyDescent="0.3">
      <c r="A8801" s="678"/>
    </row>
    <row r="8802" spans="1:1" x14ac:dyDescent="0.3">
      <c r="A8802" s="678"/>
    </row>
    <row r="8803" spans="1:1" x14ac:dyDescent="0.3">
      <c r="A8803" s="678"/>
    </row>
    <row r="8804" spans="1:1" x14ac:dyDescent="0.3">
      <c r="A8804" s="678"/>
    </row>
    <row r="8805" spans="1:1" x14ac:dyDescent="0.3">
      <c r="A8805" s="678"/>
    </row>
    <row r="8806" spans="1:1" x14ac:dyDescent="0.3">
      <c r="A8806" s="678"/>
    </row>
    <row r="8807" spans="1:1" x14ac:dyDescent="0.3">
      <c r="A8807" s="678"/>
    </row>
    <row r="8808" spans="1:1" x14ac:dyDescent="0.3">
      <c r="A8808" s="678"/>
    </row>
    <row r="8809" spans="1:1" x14ac:dyDescent="0.3">
      <c r="A8809" s="678"/>
    </row>
    <row r="8810" spans="1:1" x14ac:dyDescent="0.3">
      <c r="A8810" s="678"/>
    </row>
    <row r="8811" spans="1:1" x14ac:dyDescent="0.3">
      <c r="A8811" s="678"/>
    </row>
    <row r="8812" spans="1:1" x14ac:dyDescent="0.3">
      <c r="A8812" s="678"/>
    </row>
    <row r="8813" spans="1:1" x14ac:dyDescent="0.3">
      <c r="A8813" s="678"/>
    </row>
    <row r="8814" spans="1:1" x14ac:dyDescent="0.3">
      <c r="A8814" s="678"/>
    </row>
    <row r="8815" spans="1:1" x14ac:dyDescent="0.3">
      <c r="A8815" s="678"/>
    </row>
    <row r="8816" spans="1:1" x14ac:dyDescent="0.3">
      <c r="A8816" s="678"/>
    </row>
    <row r="8817" spans="1:1" x14ac:dyDescent="0.3">
      <c r="A8817" s="678"/>
    </row>
    <row r="8818" spans="1:1" x14ac:dyDescent="0.3">
      <c r="A8818" s="678"/>
    </row>
    <row r="8819" spans="1:1" x14ac:dyDescent="0.3">
      <c r="A8819" s="678"/>
    </row>
    <row r="8820" spans="1:1" x14ac:dyDescent="0.3">
      <c r="A8820" s="678"/>
    </row>
    <row r="8821" spans="1:1" x14ac:dyDescent="0.3">
      <c r="A8821" s="678"/>
    </row>
    <row r="8822" spans="1:1" x14ac:dyDescent="0.3">
      <c r="A8822" s="678"/>
    </row>
    <row r="8823" spans="1:1" x14ac:dyDescent="0.3">
      <c r="A8823" s="678"/>
    </row>
    <row r="8824" spans="1:1" x14ac:dyDescent="0.3">
      <c r="A8824" s="678"/>
    </row>
    <row r="8825" spans="1:1" x14ac:dyDescent="0.3">
      <c r="A8825" s="678"/>
    </row>
    <row r="8826" spans="1:1" x14ac:dyDescent="0.3">
      <c r="A8826" s="678"/>
    </row>
    <row r="8827" spans="1:1" x14ac:dyDescent="0.3">
      <c r="A8827" s="678"/>
    </row>
    <row r="8828" spans="1:1" x14ac:dyDescent="0.3">
      <c r="A8828" s="678"/>
    </row>
    <row r="8829" spans="1:1" x14ac:dyDescent="0.3">
      <c r="A8829" s="678"/>
    </row>
    <row r="8830" spans="1:1" x14ac:dyDescent="0.3">
      <c r="A8830" s="678"/>
    </row>
    <row r="8831" spans="1:1" x14ac:dyDescent="0.3">
      <c r="A8831" s="678"/>
    </row>
    <row r="8832" spans="1:1" x14ac:dyDescent="0.3">
      <c r="A8832" s="678"/>
    </row>
    <row r="8833" spans="1:1" x14ac:dyDescent="0.3">
      <c r="A8833" s="678"/>
    </row>
    <row r="8834" spans="1:1" x14ac:dyDescent="0.3">
      <c r="A8834" s="678"/>
    </row>
    <row r="8835" spans="1:1" x14ac:dyDescent="0.3">
      <c r="A8835" s="678"/>
    </row>
    <row r="8836" spans="1:1" x14ac:dyDescent="0.3">
      <c r="A8836" s="678"/>
    </row>
    <row r="8837" spans="1:1" x14ac:dyDescent="0.3">
      <c r="A8837" s="678"/>
    </row>
    <row r="8838" spans="1:1" x14ac:dyDescent="0.3">
      <c r="A8838" s="678"/>
    </row>
    <row r="8839" spans="1:1" x14ac:dyDescent="0.3">
      <c r="A8839" s="678"/>
    </row>
    <row r="8840" spans="1:1" x14ac:dyDescent="0.3">
      <c r="A8840" s="678"/>
    </row>
    <row r="8841" spans="1:1" x14ac:dyDescent="0.3">
      <c r="A8841" s="678"/>
    </row>
    <row r="8842" spans="1:1" x14ac:dyDescent="0.3">
      <c r="A8842" s="678"/>
    </row>
    <row r="8843" spans="1:1" x14ac:dyDescent="0.3">
      <c r="A8843" s="678"/>
    </row>
    <row r="8844" spans="1:1" x14ac:dyDescent="0.3">
      <c r="A8844" s="678"/>
    </row>
    <row r="8845" spans="1:1" x14ac:dyDescent="0.3">
      <c r="A8845" s="678"/>
    </row>
    <row r="8846" spans="1:1" x14ac:dyDescent="0.3">
      <c r="A8846" s="678"/>
    </row>
    <row r="8847" spans="1:1" x14ac:dyDescent="0.3">
      <c r="A8847" s="678"/>
    </row>
    <row r="8848" spans="1:1" x14ac:dyDescent="0.3">
      <c r="A8848" s="678"/>
    </row>
    <row r="8849" spans="1:1" x14ac:dyDescent="0.3">
      <c r="A8849" s="678"/>
    </row>
    <row r="8850" spans="1:1" x14ac:dyDescent="0.3">
      <c r="A8850" s="678"/>
    </row>
    <row r="8851" spans="1:1" x14ac:dyDescent="0.3">
      <c r="A8851" s="678"/>
    </row>
    <row r="8852" spans="1:1" x14ac:dyDescent="0.3">
      <c r="A8852" s="678"/>
    </row>
    <row r="8853" spans="1:1" x14ac:dyDescent="0.3">
      <c r="A8853" s="678"/>
    </row>
    <row r="8854" spans="1:1" x14ac:dyDescent="0.3">
      <c r="A8854" s="678"/>
    </row>
    <row r="8855" spans="1:1" x14ac:dyDescent="0.3">
      <c r="A8855" s="678"/>
    </row>
    <row r="8856" spans="1:1" x14ac:dyDescent="0.3">
      <c r="A8856" s="678"/>
    </row>
    <row r="8857" spans="1:1" x14ac:dyDescent="0.3">
      <c r="A8857" s="678"/>
    </row>
    <row r="8858" spans="1:1" x14ac:dyDescent="0.3">
      <c r="A8858" s="678"/>
    </row>
    <row r="8859" spans="1:1" x14ac:dyDescent="0.3">
      <c r="A8859" s="678"/>
    </row>
    <row r="8860" spans="1:1" x14ac:dyDescent="0.3">
      <c r="A8860" s="678"/>
    </row>
    <row r="8861" spans="1:1" x14ac:dyDescent="0.3">
      <c r="A8861" s="678"/>
    </row>
    <row r="8862" spans="1:1" x14ac:dyDescent="0.3">
      <c r="A8862" s="678"/>
    </row>
    <row r="8863" spans="1:1" x14ac:dyDescent="0.3">
      <c r="A8863" s="678"/>
    </row>
    <row r="8864" spans="1:1" x14ac:dyDescent="0.3">
      <c r="A8864" s="678"/>
    </row>
    <row r="8865" spans="1:1" x14ac:dyDescent="0.3">
      <c r="A8865" s="678"/>
    </row>
    <row r="8866" spans="1:1" x14ac:dyDescent="0.3">
      <c r="A8866" s="678"/>
    </row>
    <row r="8867" spans="1:1" x14ac:dyDescent="0.3">
      <c r="A8867" s="678"/>
    </row>
    <row r="8868" spans="1:1" x14ac:dyDescent="0.3">
      <c r="A8868" s="678"/>
    </row>
    <row r="8869" spans="1:1" x14ac:dyDescent="0.3">
      <c r="A8869" s="678"/>
    </row>
    <row r="8870" spans="1:1" x14ac:dyDescent="0.3">
      <c r="A8870" s="678"/>
    </row>
    <row r="8871" spans="1:1" x14ac:dyDescent="0.3">
      <c r="A8871" s="678"/>
    </row>
    <row r="8872" spans="1:1" x14ac:dyDescent="0.3">
      <c r="A8872" s="678"/>
    </row>
    <row r="8873" spans="1:1" x14ac:dyDescent="0.3">
      <c r="A8873" s="678"/>
    </row>
    <row r="8874" spans="1:1" x14ac:dyDescent="0.3">
      <c r="A8874" s="678"/>
    </row>
    <row r="8875" spans="1:1" x14ac:dyDescent="0.3">
      <c r="A8875" s="678"/>
    </row>
    <row r="8876" spans="1:1" x14ac:dyDescent="0.3">
      <c r="A8876" s="678"/>
    </row>
    <row r="8877" spans="1:1" x14ac:dyDescent="0.3">
      <c r="A8877" s="678"/>
    </row>
    <row r="8878" spans="1:1" x14ac:dyDescent="0.3">
      <c r="A8878" s="678"/>
    </row>
    <row r="8879" spans="1:1" x14ac:dyDescent="0.3">
      <c r="A8879" s="678"/>
    </row>
    <row r="8880" spans="1:1" x14ac:dyDescent="0.3">
      <c r="A8880" s="678"/>
    </row>
    <row r="8881" spans="1:1" x14ac:dyDescent="0.3">
      <c r="A8881" s="678"/>
    </row>
    <row r="8882" spans="1:1" x14ac:dyDescent="0.3">
      <c r="A8882" s="678"/>
    </row>
    <row r="8883" spans="1:1" x14ac:dyDescent="0.3">
      <c r="A8883" s="678"/>
    </row>
    <row r="8884" spans="1:1" x14ac:dyDescent="0.3">
      <c r="A8884" s="678"/>
    </row>
    <row r="8885" spans="1:1" x14ac:dyDescent="0.3">
      <c r="A8885" s="678"/>
    </row>
    <row r="8886" spans="1:1" x14ac:dyDescent="0.3">
      <c r="A8886" s="678"/>
    </row>
    <row r="8887" spans="1:1" x14ac:dyDescent="0.3">
      <c r="A8887" s="678"/>
    </row>
    <row r="8888" spans="1:1" x14ac:dyDescent="0.3">
      <c r="A8888" s="678"/>
    </row>
    <row r="8889" spans="1:1" x14ac:dyDescent="0.3">
      <c r="A8889" s="678"/>
    </row>
    <row r="8890" spans="1:1" x14ac:dyDescent="0.3">
      <c r="A8890" s="678"/>
    </row>
    <row r="8891" spans="1:1" x14ac:dyDescent="0.3">
      <c r="A8891" s="678"/>
    </row>
    <row r="8892" spans="1:1" x14ac:dyDescent="0.3">
      <c r="A8892" s="678"/>
    </row>
    <row r="8893" spans="1:1" x14ac:dyDescent="0.3">
      <c r="A8893" s="678"/>
    </row>
    <row r="8894" spans="1:1" x14ac:dyDescent="0.3">
      <c r="A8894" s="678"/>
    </row>
    <row r="8895" spans="1:1" x14ac:dyDescent="0.3">
      <c r="A8895" s="678"/>
    </row>
    <row r="8896" spans="1:1" x14ac:dyDescent="0.3">
      <c r="A8896" s="678"/>
    </row>
    <row r="8897" spans="1:1" x14ac:dyDescent="0.3">
      <c r="A8897" s="678"/>
    </row>
    <row r="8898" spans="1:1" x14ac:dyDescent="0.3">
      <c r="A8898" s="678"/>
    </row>
    <row r="8899" spans="1:1" x14ac:dyDescent="0.3">
      <c r="A8899" s="678"/>
    </row>
    <row r="8900" spans="1:1" x14ac:dyDescent="0.3">
      <c r="A8900" s="678"/>
    </row>
    <row r="8901" spans="1:1" x14ac:dyDescent="0.3">
      <c r="A8901" s="678"/>
    </row>
    <row r="8902" spans="1:1" x14ac:dyDescent="0.3">
      <c r="A8902" s="678"/>
    </row>
    <row r="8903" spans="1:1" x14ac:dyDescent="0.3">
      <c r="A8903" s="678"/>
    </row>
    <row r="8904" spans="1:1" x14ac:dyDescent="0.3">
      <c r="A8904" s="678"/>
    </row>
    <row r="8905" spans="1:1" x14ac:dyDescent="0.3">
      <c r="A8905" s="678"/>
    </row>
    <row r="8906" spans="1:1" x14ac:dyDescent="0.3">
      <c r="A8906" s="678"/>
    </row>
    <row r="8907" spans="1:1" x14ac:dyDescent="0.3">
      <c r="A8907" s="678"/>
    </row>
    <row r="8908" spans="1:1" x14ac:dyDescent="0.3">
      <c r="A8908" s="678"/>
    </row>
    <row r="8909" spans="1:1" x14ac:dyDescent="0.3">
      <c r="A8909" s="678"/>
    </row>
    <row r="8910" spans="1:1" x14ac:dyDescent="0.3">
      <c r="A8910" s="678"/>
    </row>
    <row r="8911" spans="1:1" x14ac:dyDescent="0.3">
      <c r="A8911" s="678"/>
    </row>
    <row r="8912" spans="1:1" x14ac:dyDescent="0.3">
      <c r="A8912" s="678"/>
    </row>
    <row r="8913" spans="1:1" x14ac:dyDescent="0.3">
      <c r="A8913" s="678"/>
    </row>
    <row r="8914" spans="1:1" x14ac:dyDescent="0.3">
      <c r="A8914" s="678"/>
    </row>
    <row r="8915" spans="1:1" x14ac:dyDescent="0.3">
      <c r="A8915" s="678"/>
    </row>
    <row r="8916" spans="1:1" x14ac:dyDescent="0.3">
      <c r="A8916" s="678"/>
    </row>
    <row r="8917" spans="1:1" x14ac:dyDescent="0.3">
      <c r="A8917" s="678"/>
    </row>
    <row r="8918" spans="1:1" x14ac:dyDescent="0.3">
      <c r="A8918" s="678"/>
    </row>
    <row r="8919" spans="1:1" x14ac:dyDescent="0.3">
      <c r="A8919" s="678"/>
    </row>
    <row r="8920" spans="1:1" x14ac:dyDescent="0.3">
      <c r="A8920" s="678"/>
    </row>
    <row r="8921" spans="1:1" x14ac:dyDescent="0.3">
      <c r="A8921" s="678"/>
    </row>
    <row r="8922" spans="1:1" x14ac:dyDescent="0.3">
      <c r="A8922" s="678"/>
    </row>
    <row r="8923" spans="1:1" x14ac:dyDescent="0.3">
      <c r="A8923" s="678"/>
    </row>
    <row r="8924" spans="1:1" x14ac:dyDescent="0.3">
      <c r="A8924" s="678"/>
    </row>
    <row r="8925" spans="1:1" x14ac:dyDescent="0.3">
      <c r="A8925" s="678"/>
    </row>
    <row r="8926" spans="1:1" x14ac:dyDescent="0.3">
      <c r="A8926" s="678"/>
    </row>
    <row r="8927" spans="1:1" x14ac:dyDescent="0.3">
      <c r="A8927" s="678"/>
    </row>
    <row r="8928" spans="1:1" x14ac:dyDescent="0.3">
      <c r="A8928" s="678"/>
    </row>
    <row r="8929" spans="1:1" x14ac:dyDescent="0.3">
      <c r="A8929" s="678"/>
    </row>
    <row r="8930" spans="1:1" x14ac:dyDescent="0.3">
      <c r="A8930" s="678"/>
    </row>
    <row r="8931" spans="1:1" x14ac:dyDescent="0.3">
      <c r="A8931" s="678"/>
    </row>
    <row r="8932" spans="1:1" x14ac:dyDescent="0.3">
      <c r="A8932" s="678"/>
    </row>
    <row r="8933" spans="1:1" x14ac:dyDescent="0.3">
      <c r="A8933" s="678"/>
    </row>
    <row r="8934" spans="1:1" x14ac:dyDescent="0.3">
      <c r="A8934" s="678"/>
    </row>
    <row r="8935" spans="1:1" x14ac:dyDescent="0.3">
      <c r="A8935" s="678"/>
    </row>
    <row r="8936" spans="1:1" x14ac:dyDescent="0.3">
      <c r="A8936" s="678"/>
    </row>
    <row r="8937" spans="1:1" x14ac:dyDescent="0.3">
      <c r="A8937" s="678"/>
    </row>
    <row r="8938" spans="1:1" x14ac:dyDescent="0.3">
      <c r="A8938" s="678"/>
    </row>
    <row r="8939" spans="1:1" x14ac:dyDescent="0.3">
      <c r="A8939" s="678"/>
    </row>
    <row r="8940" spans="1:1" x14ac:dyDescent="0.3">
      <c r="A8940" s="678"/>
    </row>
    <row r="8941" spans="1:1" x14ac:dyDescent="0.3">
      <c r="A8941" s="678"/>
    </row>
    <row r="8942" spans="1:1" x14ac:dyDescent="0.3">
      <c r="A8942" s="678"/>
    </row>
    <row r="8943" spans="1:1" x14ac:dyDescent="0.3">
      <c r="A8943" s="678"/>
    </row>
    <row r="8944" spans="1:1" x14ac:dyDescent="0.3">
      <c r="A8944" s="678"/>
    </row>
    <row r="8945" spans="1:1" x14ac:dyDescent="0.3">
      <c r="A8945" s="678"/>
    </row>
    <row r="8946" spans="1:1" x14ac:dyDescent="0.3">
      <c r="A8946" s="678"/>
    </row>
    <row r="8947" spans="1:1" x14ac:dyDescent="0.3">
      <c r="A8947" s="678"/>
    </row>
    <row r="8948" spans="1:1" x14ac:dyDescent="0.3">
      <c r="A8948" s="678"/>
    </row>
    <row r="8949" spans="1:1" x14ac:dyDescent="0.3">
      <c r="A8949" s="678"/>
    </row>
    <row r="8950" spans="1:1" x14ac:dyDescent="0.3">
      <c r="A8950" s="678"/>
    </row>
    <row r="8951" spans="1:1" x14ac:dyDescent="0.3">
      <c r="A8951" s="678"/>
    </row>
    <row r="8952" spans="1:1" x14ac:dyDescent="0.3">
      <c r="A8952" s="678"/>
    </row>
    <row r="8953" spans="1:1" x14ac:dyDescent="0.3">
      <c r="A8953" s="678"/>
    </row>
    <row r="8954" spans="1:1" x14ac:dyDescent="0.3">
      <c r="A8954" s="678"/>
    </row>
    <row r="8955" spans="1:1" x14ac:dyDescent="0.3">
      <c r="A8955" s="678"/>
    </row>
    <row r="8956" spans="1:1" x14ac:dyDescent="0.3">
      <c r="A8956" s="678"/>
    </row>
    <row r="8957" spans="1:1" x14ac:dyDescent="0.3">
      <c r="A8957" s="678"/>
    </row>
    <row r="8958" spans="1:1" x14ac:dyDescent="0.3">
      <c r="A8958" s="678"/>
    </row>
    <row r="8959" spans="1:1" x14ac:dyDescent="0.3">
      <c r="A8959" s="678"/>
    </row>
    <row r="8960" spans="1:1" x14ac:dyDescent="0.3">
      <c r="A8960" s="678"/>
    </row>
    <row r="8961" spans="1:1" x14ac:dyDescent="0.3">
      <c r="A8961" s="678"/>
    </row>
    <row r="8962" spans="1:1" x14ac:dyDescent="0.3">
      <c r="A8962" s="678"/>
    </row>
    <row r="8963" spans="1:1" x14ac:dyDescent="0.3">
      <c r="A8963" s="678"/>
    </row>
    <row r="8964" spans="1:1" x14ac:dyDescent="0.3">
      <c r="A8964" s="678"/>
    </row>
    <row r="8965" spans="1:1" x14ac:dyDescent="0.3">
      <c r="A8965" s="678"/>
    </row>
    <row r="8966" spans="1:1" x14ac:dyDescent="0.3">
      <c r="A8966" s="678"/>
    </row>
    <row r="8967" spans="1:1" x14ac:dyDescent="0.3">
      <c r="A8967" s="678"/>
    </row>
    <row r="8968" spans="1:1" x14ac:dyDescent="0.3">
      <c r="A8968" s="678"/>
    </row>
    <row r="8969" spans="1:1" x14ac:dyDescent="0.3">
      <c r="A8969" s="678"/>
    </row>
    <row r="8970" spans="1:1" x14ac:dyDescent="0.3">
      <c r="A8970" s="678"/>
    </row>
    <row r="8971" spans="1:1" x14ac:dyDescent="0.3">
      <c r="A8971" s="678"/>
    </row>
    <row r="8972" spans="1:1" x14ac:dyDescent="0.3">
      <c r="A8972" s="678"/>
    </row>
    <row r="8973" spans="1:1" x14ac:dyDescent="0.3">
      <c r="A8973" s="678"/>
    </row>
    <row r="8974" spans="1:1" x14ac:dyDescent="0.3">
      <c r="A8974" s="678"/>
    </row>
    <row r="8975" spans="1:1" x14ac:dyDescent="0.3">
      <c r="A8975" s="678"/>
    </row>
    <row r="8976" spans="1:1" x14ac:dyDescent="0.3">
      <c r="A8976" s="678"/>
    </row>
    <row r="8977" spans="1:1" x14ac:dyDescent="0.3">
      <c r="A8977" s="678"/>
    </row>
    <row r="8978" spans="1:1" x14ac:dyDescent="0.3">
      <c r="A8978" s="678"/>
    </row>
    <row r="8979" spans="1:1" x14ac:dyDescent="0.3">
      <c r="A8979" s="678"/>
    </row>
    <row r="8980" spans="1:1" x14ac:dyDescent="0.3">
      <c r="A8980" s="678"/>
    </row>
    <row r="8981" spans="1:1" x14ac:dyDescent="0.3">
      <c r="A8981" s="678"/>
    </row>
    <row r="8982" spans="1:1" x14ac:dyDescent="0.3">
      <c r="A8982" s="678"/>
    </row>
    <row r="8983" spans="1:1" x14ac:dyDescent="0.3">
      <c r="A8983" s="678"/>
    </row>
    <row r="8984" spans="1:1" x14ac:dyDescent="0.3">
      <c r="A8984" s="678"/>
    </row>
    <row r="8985" spans="1:1" x14ac:dyDescent="0.3">
      <c r="A8985" s="678"/>
    </row>
    <row r="8986" spans="1:1" x14ac:dyDescent="0.3">
      <c r="A8986" s="678"/>
    </row>
    <row r="8987" spans="1:1" x14ac:dyDescent="0.3">
      <c r="A8987" s="678"/>
    </row>
    <row r="8988" spans="1:1" x14ac:dyDescent="0.3">
      <c r="A8988" s="678"/>
    </row>
    <row r="8989" spans="1:1" x14ac:dyDescent="0.3">
      <c r="A8989" s="678"/>
    </row>
    <row r="8990" spans="1:1" x14ac:dyDescent="0.3">
      <c r="A8990" s="678"/>
    </row>
    <row r="8991" spans="1:1" x14ac:dyDescent="0.3">
      <c r="A8991" s="678"/>
    </row>
    <row r="8992" spans="1:1" x14ac:dyDescent="0.3">
      <c r="A8992" s="678"/>
    </row>
    <row r="8993" spans="1:1" x14ac:dyDescent="0.3">
      <c r="A8993" s="678"/>
    </row>
    <row r="8994" spans="1:1" x14ac:dyDescent="0.3">
      <c r="A8994" s="678"/>
    </row>
    <row r="8995" spans="1:1" x14ac:dyDescent="0.3">
      <c r="A8995" s="678"/>
    </row>
    <row r="8996" spans="1:1" x14ac:dyDescent="0.3">
      <c r="A8996" s="678"/>
    </row>
    <row r="8997" spans="1:1" x14ac:dyDescent="0.3">
      <c r="A8997" s="678"/>
    </row>
    <row r="8998" spans="1:1" x14ac:dyDescent="0.3">
      <c r="A8998" s="678"/>
    </row>
    <row r="8999" spans="1:1" x14ac:dyDescent="0.3">
      <c r="A8999" s="678"/>
    </row>
    <row r="9000" spans="1:1" x14ac:dyDescent="0.3">
      <c r="A9000" s="678"/>
    </row>
    <row r="9001" spans="1:1" x14ac:dyDescent="0.3">
      <c r="A9001" s="678"/>
    </row>
    <row r="9002" spans="1:1" x14ac:dyDescent="0.3">
      <c r="A9002" s="678"/>
    </row>
    <row r="9003" spans="1:1" x14ac:dyDescent="0.3">
      <c r="A9003" s="678"/>
    </row>
    <row r="9004" spans="1:1" x14ac:dyDescent="0.3">
      <c r="A9004" s="678"/>
    </row>
    <row r="9005" spans="1:1" x14ac:dyDescent="0.3">
      <c r="A9005" s="678"/>
    </row>
    <row r="9006" spans="1:1" x14ac:dyDescent="0.3">
      <c r="A9006" s="678"/>
    </row>
    <row r="9007" spans="1:1" x14ac:dyDescent="0.3">
      <c r="A9007" s="678"/>
    </row>
    <row r="9008" spans="1:1" x14ac:dyDescent="0.3">
      <c r="A9008" s="678"/>
    </row>
    <row r="9009" spans="1:1" x14ac:dyDescent="0.3">
      <c r="A9009" s="678"/>
    </row>
    <row r="9010" spans="1:1" x14ac:dyDescent="0.3">
      <c r="A9010" s="678"/>
    </row>
    <row r="9011" spans="1:1" x14ac:dyDescent="0.3">
      <c r="A9011" s="678"/>
    </row>
    <row r="9012" spans="1:1" x14ac:dyDescent="0.3">
      <c r="A9012" s="678"/>
    </row>
    <row r="9013" spans="1:1" x14ac:dyDescent="0.3">
      <c r="A9013" s="678"/>
    </row>
    <row r="9014" spans="1:1" x14ac:dyDescent="0.3">
      <c r="A9014" s="678"/>
    </row>
    <row r="9015" spans="1:1" x14ac:dyDescent="0.3">
      <c r="A9015" s="678"/>
    </row>
    <row r="9016" spans="1:1" x14ac:dyDescent="0.3">
      <c r="A9016" s="678"/>
    </row>
    <row r="9017" spans="1:1" x14ac:dyDescent="0.3">
      <c r="A9017" s="678"/>
    </row>
    <row r="9018" spans="1:1" x14ac:dyDescent="0.3">
      <c r="A9018" s="678"/>
    </row>
    <row r="9019" spans="1:1" x14ac:dyDescent="0.3">
      <c r="A9019" s="678"/>
    </row>
    <row r="9020" spans="1:1" x14ac:dyDescent="0.3">
      <c r="A9020" s="678"/>
    </row>
    <row r="9021" spans="1:1" x14ac:dyDescent="0.3">
      <c r="A9021" s="678"/>
    </row>
    <row r="9022" spans="1:1" x14ac:dyDescent="0.3">
      <c r="A9022" s="678"/>
    </row>
    <row r="9023" spans="1:1" x14ac:dyDescent="0.3">
      <c r="A9023" s="678"/>
    </row>
    <row r="9024" spans="1:1" x14ac:dyDescent="0.3">
      <c r="A9024" s="678"/>
    </row>
    <row r="9025" spans="1:1" x14ac:dyDescent="0.3">
      <c r="A9025" s="678"/>
    </row>
    <row r="9026" spans="1:1" x14ac:dyDescent="0.3">
      <c r="A9026" s="678"/>
    </row>
    <row r="9027" spans="1:1" x14ac:dyDescent="0.3">
      <c r="A9027" s="678"/>
    </row>
    <row r="9028" spans="1:1" x14ac:dyDescent="0.3">
      <c r="A9028" s="678"/>
    </row>
    <row r="9029" spans="1:1" x14ac:dyDescent="0.3">
      <c r="A9029" s="678"/>
    </row>
    <row r="9030" spans="1:1" x14ac:dyDescent="0.3">
      <c r="A9030" s="678"/>
    </row>
    <row r="9031" spans="1:1" x14ac:dyDescent="0.3">
      <c r="A9031" s="678"/>
    </row>
    <row r="9032" spans="1:1" x14ac:dyDescent="0.3">
      <c r="A9032" s="678"/>
    </row>
    <row r="9033" spans="1:1" x14ac:dyDescent="0.3">
      <c r="A9033" s="678"/>
    </row>
    <row r="9034" spans="1:1" x14ac:dyDescent="0.3">
      <c r="A9034" s="678"/>
    </row>
    <row r="9035" spans="1:1" x14ac:dyDescent="0.3">
      <c r="A9035" s="678"/>
    </row>
    <row r="9036" spans="1:1" x14ac:dyDescent="0.3">
      <c r="A9036" s="678"/>
    </row>
    <row r="9037" spans="1:1" x14ac:dyDescent="0.3">
      <c r="A9037" s="678"/>
    </row>
    <row r="9038" spans="1:1" x14ac:dyDescent="0.3">
      <c r="A9038" s="678"/>
    </row>
    <row r="9039" spans="1:1" x14ac:dyDescent="0.3">
      <c r="A9039" s="678"/>
    </row>
    <row r="9040" spans="1:1" x14ac:dyDescent="0.3">
      <c r="A9040" s="678"/>
    </row>
    <row r="9041" spans="1:1" x14ac:dyDescent="0.3">
      <c r="A9041" s="678"/>
    </row>
    <row r="9042" spans="1:1" x14ac:dyDescent="0.3">
      <c r="A9042" s="678"/>
    </row>
    <row r="9043" spans="1:1" x14ac:dyDescent="0.3">
      <c r="A9043" s="678"/>
    </row>
    <row r="9044" spans="1:1" x14ac:dyDescent="0.3">
      <c r="A9044" s="678"/>
    </row>
    <row r="9045" spans="1:1" x14ac:dyDescent="0.3">
      <c r="A9045" s="678"/>
    </row>
    <row r="9046" spans="1:1" x14ac:dyDescent="0.3">
      <c r="A9046" s="678"/>
    </row>
    <row r="9047" spans="1:1" x14ac:dyDescent="0.3">
      <c r="A9047" s="678"/>
    </row>
    <row r="9048" spans="1:1" x14ac:dyDescent="0.3">
      <c r="A9048" s="678"/>
    </row>
    <row r="9049" spans="1:1" x14ac:dyDescent="0.3">
      <c r="A9049" s="678"/>
    </row>
    <row r="9050" spans="1:1" x14ac:dyDescent="0.3">
      <c r="A9050" s="678"/>
    </row>
    <row r="9051" spans="1:1" x14ac:dyDescent="0.3">
      <c r="A9051" s="678"/>
    </row>
    <row r="9052" spans="1:1" x14ac:dyDescent="0.3">
      <c r="A9052" s="678"/>
    </row>
    <row r="9053" spans="1:1" x14ac:dyDescent="0.3">
      <c r="A9053" s="678"/>
    </row>
    <row r="9054" spans="1:1" x14ac:dyDescent="0.3">
      <c r="A9054" s="678"/>
    </row>
    <row r="9055" spans="1:1" x14ac:dyDescent="0.3">
      <c r="A9055" s="678"/>
    </row>
    <row r="9056" spans="1:1" x14ac:dyDescent="0.3">
      <c r="A9056" s="678"/>
    </row>
    <row r="9057" spans="1:1" x14ac:dyDescent="0.3">
      <c r="A9057" s="678"/>
    </row>
    <row r="9058" spans="1:1" x14ac:dyDescent="0.3">
      <c r="A9058" s="678"/>
    </row>
    <row r="9059" spans="1:1" x14ac:dyDescent="0.3">
      <c r="A9059" s="678"/>
    </row>
    <row r="9060" spans="1:1" x14ac:dyDescent="0.3">
      <c r="A9060" s="678"/>
    </row>
    <row r="9061" spans="1:1" x14ac:dyDescent="0.3">
      <c r="A9061" s="678"/>
    </row>
    <row r="9062" spans="1:1" x14ac:dyDescent="0.3">
      <c r="A9062" s="678"/>
    </row>
    <row r="9063" spans="1:1" x14ac:dyDescent="0.3">
      <c r="A9063" s="678"/>
    </row>
    <row r="9064" spans="1:1" x14ac:dyDescent="0.3">
      <c r="A9064" s="678"/>
    </row>
    <row r="9065" spans="1:1" x14ac:dyDescent="0.3">
      <c r="A9065" s="678"/>
    </row>
    <row r="9066" spans="1:1" x14ac:dyDescent="0.3">
      <c r="A9066" s="678"/>
    </row>
    <row r="9067" spans="1:1" x14ac:dyDescent="0.3">
      <c r="A9067" s="678"/>
    </row>
    <row r="9068" spans="1:1" x14ac:dyDescent="0.3">
      <c r="A9068" s="678"/>
    </row>
    <row r="9069" spans="1:1" x14ac:dyDescent="0.3">
      <c r="A9069" s="678"/>
    </row>
    <row r="9070" spans="1:1" x14ac:dyDescent="0.3">
      <c r="A9070" s="678"/>
    </row>
    <row r="9071" spans="1:1" x14ac:dyDescent="0.3">
      <c r="A9071" s="678"/>
    </row>
    <row r="9072" spans="1:1" x14ac:dyDescent="0.3">
      <c r="A9072" s="678"/>
    </row>
    <row r="9073" spans="1:1" x14ac:dyDescent="0.3">
      <c r="A9073" s="678"/>
    </row>
    <row r="9074" spans="1:1" x14ac:dyDescent="0.3">
      <c r="A9074" s="678"/>
    </row>
    <row r="9075" spans="1:1" x14ac:dyDescent="0.3">
      <c r="A9075" s="678"/>
    </row>
    <row r="9076" spans="1:1" x14ac:dyDescent="0.3">
      <c r="A9076" s="678"/>
    </row>
    <row r="9077" spans="1:1" x14ac:dyDescent="0.3">
      <c r="A9077" s="678"/>
    </row>
    <row r="9078" spans="1:1" x14ac:dyDescent="0.3">
      <c r="A9078" s="678"/>
    </row>
    <row r="9079" spans="1:1" x14ac:dyDescent="0.3">
      <c r="A9079" s="678"/>
    </row>
    <row r="9080" spans="1:1" x14ac:dyDescent="0.3">
      <c r="A9080" s="678"/>
    </row>
    <row r="9081" spans="1:1" x14ac:dyDescent="0.3">
      <c r="A9081" s="678"/>
    </row>
    <row r="9082" spans="1:1" x14ac:dyDescent="0.3">
      <c r="A9082" s="678"/>
    </row>
    <row r="9083" spans="1:1" x14ac:dyDescent="0.3">
      <c r="A9083" s="678"/>
    </row>
    <row r="9084" spans="1:1" x14ac:dyDescent="0.3">
      <c r="A9084" s="678"/>
    </row>
    <row r="9085" spans="1:1" x14ac:dyDescent="0.3">
      <c r="A9085" s="678"/>
    </row>
    <row r="9086" spans="1:1" x14ac:dyDescent="0.3">
      <c r="A9086" s="678"/>
    </row>
    <row r="9087" spans="1:1" x14ac:dyDescent="0.3">
      <c r="A9087" s="678"/>
    </row>
    <row r="9088" spans="1:1" x14ac:dyDescent="0.3">
      <c r="A9088" s="678"/>
    </row>
    <row r="9089" spans="1:1" x14ac:dyDescent="0.3">
      <c r="A9089" s="678"/>
    </row>
    <row r="9090" spans="1:1" x14ac:dyDescent="0.3">
      <c r="A9090" s="678"/>
    </row>
    <row r="9091" spans="1:1" x14ac:dyDescent="0.3">
      <c r="A9091" s="678"/>
    </row>
    <row r="9092" spans="1:1" x14ac:dyDescent="0.3">
      <c r="A9092" s="678"/>
    </row>
    <row r="9093" spans="1:1" x14ac:dyDescent="0.3">
      <c r="A9093" s="678"/>
    </row>
    <row r="9094" spans="1:1" x14ac:dyDescent="0.3">
      <c r="A9094" s="678"/>
    </row>
    <row r="9095" spans="1:1" x14ac:dyDescent="0.3">
      <c r="A9095" s="678"/>
    </row>
    <row r="9096" spans="1:1" x14ac:dyDescent="0.3">
      <c r="A9096" s="678"/>
    </row>
    <row r="9097" spans="1:1" x14ac:dyDescent="0.3">
      <c r="A9097" s="678"/>
    </row>
    <row r="9098" spans="1:1" x14ac:dyDescent="0.3">
      <c r="A9098" s="678"/>
    </row>
    <row r="9099" spans="1:1" x14ac:dyDescent="0.3">
      <c r="A9099" s="678"/>
    </row>
    <row r="9100" spans="1:1" x14ac:dyDescent="0.3">
      <c r="A9100" s="678"/>
    </row>
    <row r="9101" spans="1:1" x14ac:dyDescent="0.3">
      <c r="A9101" s="678"/>
    </row>
    <row r="9102" spans="1:1" x14ac:dyDescent="0.3">
      <c r="A9102" s="678"/>
    </row>
    <row r="9103" spans="1:1" x14ac:dyDescent="0.3">
      <c r="A9103" s="678"/>
    </row>
    <row r="9104" spans="1:1" x14ac:dyDescent="0.3">
      <c r="A9104" s="678"/>
    </row>
    <row r="9105" spans="1:1" x14ac:dyDescent="0.3">
      <c r="A9105" s="678"/>
    </row>
    <row r="9106" spans="1:1" x14ac:dyDescent="0.3">
      <c r="A9106" s="678"/>
    </row>
    <row r="9107" spans="1:1" x14ac:dyDescent="0.3">
      <c r="A9107" s="678"/>
    </row>
    <row r="9108" spans="1:1" x14ac:dyDescent="0.3">
      <c r="A9108" s="678"/>
    </row>
    <row r="9109" spans="1:1" x14ac:dyDescent="0.3">
      <c r="A9109" s="678"/>
    </row>
    <row r="9110" spans="1:1" x14ac:dyDescent="0.3">
      <c r="A9110" s="678"/>
    </row>
    <row r="9111" spans="1:1" x14ac:dyDescent="0.3">
      <c r="A9111" s="678"/>
    </row>
    <row r="9112" spans="1:1" x14ac:dyDescent="0.3">
      <c r="A9112" s="678"/>
    </row>
    <row r="9113" spans="1:1" x14ac:dyDescent="0.3">
      <c r="A9113" s="678"/>
    </row>
    <row r="9114" spans="1:1" x14ac:dyDescent="0.3">
      <c r="A9114" s="678"/>
    </row>
    <row r="9115" spans="1:1" x14ac:dyDescent="0.3">
      <c r="A9115" s="678"/>
    </row>
    <row r="9116" spans="1:1" x14ac:dyDescent="0.3">
      <c r="A9116" s="678"/>
    </row>
    <row r="9117" spans="1:1" x14ac:dyDescent="0.3">
      <c r="A9117" s="678"/>
    </row>
    <row r="9118" spans="1:1" x14ac:dyDescent="0.3">
      <c r="A9118" s="678"/>
    </row>
    <row r="9119" spans="1:1" x14ac:dyDescent="0.3">
      <c r="A9119" s="678"/>
    </row>
    <row r="9120" spans="1:1" x14ac:dyDescent="0.3">
      <c r="A9120" s="678"/>
    </row>
    <row r="9121" spans="1:1" x14ac:dyDescent="0.3">
      <c r="A9121" s="678"/>
    </row>
    <row r="9122" spans="1:1" x14ac:dyDescent="0.3">
      <c r="A9122" s="678"/>
    </row>
    <row r="9123" spans="1:1" x14ac:dyDescent="0.3">
      <c r="A9123" s="678"/>
    </row>
    <row r="9124" spans="1:1" x14ac:dyDescent="0.3">
      <c r="A9124" s="678"/>
    </row>
    <row r="9125" spans="1:1" x14ac:dyDescent="0.3">
      <c r="A9125" s="678"/>
    </row>
    <row r="9126" spans="1:1" x14ac:dyDescent="0.3">
      <c r="A9126" s="678"/>
    </row>
    <row r="9127" spans="1:1" x14ac:dyDescent="0.3">
      <c r="A9127" s="678"/>
    </row>
    <row r="9128" spans="1:1" x14ac:dyDescent="0.3">
      <c r="A9128" s="678"/>
    </row>
    <row r="9129" spans="1:1" x14ac:dyDescent="0.3">
      <c r="A9129" s="678"/>
    </row>
    <row r="9130" spans="1:1" x14ac:dyDescent="0.3">
      <c r="A9130" s="678"/>
    </row>
    <row r="9131" spans="1:1" x14ac:dyDescent="0.3">
      <c r="A9131" s="678"/>
    </row>
    <row r="9132" spans="1:1" x14ac:dyDescent="0.3">
      <c r="A9132" s="678"/>
    </row>
    <row r="9133" spans="1:1" x14ac:dyDescent="0.3">
      <c r="A9133" s="678"/>
    </row>
    <row r="9134" spans="1:1" x14ac:dyDescent="0.3">
      <c r="A9134" s="678"/>
    </row>
    <row r="9135" spans="1:1" x14ac:dyDescent="0.3">
      <c r="A9135" s="678"/>
    </row>
    <row r="9136" spans="1:1" x14ac:dyDescent="0.3">
      <c r="A9136" s="678"/>
    </row>
    <row r="9137" spans="1:1" x14ac:dyDescent="0.3">
      <c r="A9137" s="678"/>
    </row>
    <row r="9138" spans="1:1" x14ac:dyDescent="0.3">
      <c r="A9138" s="678"/>
    </row>
    <row r="9139" spans="1:1" x14ac:dyDescent="0.3">
      <c r="A9139" s="678"/>
    </row>
    <row r="9140" spans="1:1" x14ac:dyDescent="0.3">
      <c r="A9140" s="678"/>
    </row>
    <row r="9141" spans="1:1" x14ac:dyDescent="0.3">
      <c r="A9141" s="678"/>
    </row>
    <row r="9142" spans="1:1" x14ac:dyDescent="0.3">
      <c r="A9142" s="678"/>
    </row>
    <row r="9143" spans="1:1" x14ac:dyDescent="0.3">
      <c r="A9143" s="678"/>
    </row>
    <row r="9144" spans="1:1" x14ac:dyDescent="0.3">
      <c r="A9144" s="678"/>
    </row>
    <row r="9145" spans="1:1" x14ac:dyDescent="0.3">
      <c r="A9145" s="678"/>
    </row>
    <row r="9146" spans="1:1" x14ac:dyDescent="0.3">
      <c r="A9146" s="678"/>
    </row>
    <row r="9147" spans="1:1" x14ac:dyDescent="0.3">
      <c r="A9147" s="678"/>
    </row>
    <row r="9148" spans="1:1" x14ac:dyDescent="0.3">
      <c r="A9148" s="678"/>
    </row>
    <row r="9149" spans="1:1" x14ac:dyDescent="0.3">
      <c r="A9149" s="678"/>
    </row>
    <row r="9150" spans="1:1" x14ac:dyDescent="0.3">
      <c r="A9150" s="678"/>
    </row>
    <row r="9151" spans="1:1" x14ac:dyDescent="0.3">
      <c r="A9151" s="678"/>
    </row>
    <row r="9152" spans="1:1" x14ac:dyDescent="0.3">
      <c r="A9152" s="678"/>
    </row>
    <row r="9153" spans="1:1" x14ac:dyDescent="0.3">
      <c r="A9153" s="678"/>
    </row>
    <row r="9154" spans="1:1" x14ac:dyDescent="0.3">
      <c r="A9154" s="678"/>
    </row>
    <row r="9155" spans="1:1" x14ac:dyDescent="0.3">
      <c r="A9155" s="678"/>
    </row>
    <row r="9156" spans="1:1" x14ac:dyDescent="0.3">
      <c r="A9156" s="678"/>
    </row>
    <row r="9157" spans="1:1" x14ac:dyDescent="0.3">
      <c r="A9157" s="678"/>
    </row>
    <row r="9158" spans="1:1" x14ac:dyDescent="0.3">
      <c r="A9158" s="678"/>
    </row>
    <row r="9159" spans="1:1" x14ac:dyDescent="0.3">
      <c r="A9159" s="678"/>
    </row>
    <row r="9160" spans="1:1" x14ac:dyDescent="0.3">
      <c r="A9160" s="678"/>
    </row>
    <row r="9161" spans="1:1" x14ac:dyDescent="0.3">
      <c r="A9161" s="678"/>
    </row>
    <row r="9162" spans="1:1" x14ac:dyDescent="0.3">
      <c r="A9162" s="678"/>
    </row>
    <row r="9163" spans="1:1" x14ac:dyDescent="0.3">
      <c r="A9163" s="678"/>
    </row>
    <row r="9164" spans="1:1" x14ac:dyDescent="0.3">
      <c r="A9164" s="678"/>
    </row>
    <row r="9165" spans="1:1" x14ac:dyDescent="0.3">
      <c r="A9165" s="678"/>
    </row>
    <row r="9166" spans="1:1" x14ac:dyDescent="0.3">
      <c r="A9166" s="678"/>
    </row>
    <row r="9167" spans="1:1" x14ac:dyDescent="0.3">
      <c r="A9167" s="678"/>
    </row>
    <row r="9168" spans="1:1" x14ac:dyDescent="0.3">
      <c r="A9168" s="678"/>
    </row>
    <row r="9169" spans="1:1" x14ac:dyDescent="0.3">
      <c r="A9169" s="678"/>
    </row>
    <row r="9170" spans="1:1" x14ac:dyDescent="0.3">
      <c r="A9170" s="678"/>
    </row>
    <row r="9171" spans="1:1" x14ac:dyDescent="0.3">
      <c r="A9171" s="678"/>
    </row>
    <row r="9172" spans="1:1" x14ac:dyDescent="0.3">
      <c r="A9172" s="678"/>
    </row>
    <row r="9173" spans="1:1" x14ac:dyDescent="0.3">
      <c r="A9173" s="678"/>
    </row>
    <row r="9174" spans="1:1" x14ac:dyDescent="0.3">
      <c r="A9174" s="678"/>
    </row>
    <row r="9175" spans="1:1" x14ac:dyDescent="0.3">
      <c r="A9175" s="678"/>
    </row>
    <row r="9176" spans="1:1" x14ac:dyDescent="0.3">
      <c r="A9176" s="678"/>
    </row>
    <row r="9177" spans="1:1" x14ac:dyDescent="0.3">
      <c r="A9177" s="678"/>
    </row>
    <row r="9178" spans="1:1" x14ac:dyDescent="0.3">
      <c r="A9178" s="678"/>
    </row>
    <row r="9179" spans="1:1" x14ac:dyDescent="0.3">
      <c r="A9179" s="678"/>
    </row>
    <row r="9180" spans="1:1" x14ac:dyDescent="0.3">
      <c r="A9180" s="678"/>
    </row>
    <row r="9181" spans="1:1" x14ac:dyDescent="0.3">
      <c r="A9181" s="678"/>
    </row>
    <row r="9182" spans="1:1" x14ac:dyDescent="0.3">
      <c r="A9182" s="678"/>
    </row>
    <row r="9183" spans="1:1" x14ac:dyDescent="0.3">
      <c r="A9183" s="678"/>
    </row>
    <row r="9184" spans="1:1" x14ac:dyDescent="0.3">
      <c r="A9184" s="678"/>
    </row>
    <row r="9185" spans="1:1" x14ac:dyDescent="0.3">
      <c r="A9185" s="678"/>
    </row>
    <row r="9186" spans="1:1" x14ac:dyDescent="0.3">
      <c r="A9186" s="678"/>
    </row>
    <row r="9187" spans="1:1" x14ac:dyDescent="0.3">
      <c r="A9187" s="678"/>
    </row>
    <row r="9188" spans="1:1" x14ac:dyDescent="0.3">
      <c r="A9188" s="678"/>
    </row>
    <row r="9189" spans="1:1" x14ac:dyDescent="0.3">
      <c r="A9189" s="678"/>
    </row>
    <row r="9190" spans="1:1" x14ac:dyDescent="0.3">
      <c r="A9190" s="678"/>
    </row>
    <row r="9191" spans="1:1" x14ac:dyDescent="0.3">
      <c r="A9191" s="678"/>
    </row>
    <row r="9192" spans="1:1" x14ac:dyDescent="0.3">
      <c r="A9192" s="678"/>
    </row>
    <row r="9193" spans="1:1" x14ac:dyDescent="0.3">
      <c r="A9193" s="678"/>
    </row>
    <row r="9194" spans="1:1" x14ac:dyDescent="0.3">
      <c r="A9194" s="678"/>
    </row>
    <row r="9195" spans="1:1" x14ac:dyDescent="0.3">
      <c r="A9195" s="678"/>
    </row>
    <row r="9196" spans="1:1" x14ac:dyDescent="0.3">
      <c r="A9196" s="678"/>
    </row>
    <row r="9197" spans="1:1" x14ac:dyDescent="0.3">
      <c r="A9197" s="678"/>
    </row>
    <row r="9198" spans="1:1" x14ac:dyDescent="0.3">
      <c r="A9198" s="678"/>
    </row>
    <row r="9199" spans="1:1" x14ac:dyDescent="0.3">
      <c r="A9199" s="678"/>
    </row>
    <row r="9200" spans="1:1" x14ac:dyDescent="0.3">
      <c r="A9200" s="678"/>
    </row>
    <row r="9201" spans="1:1" x14ac:dyDescent="0.3">
      <c r="A9201" s="678"/>
    </row>
    <row r="9202" spans="1:1" x14ac:dyDescent="0.3">
      <c r="A9202" s="678"/>
    </row>
    <row r="9203" spans="1:1" x14ac:dyDescent="0.3">
      <c r="A9203" s="678"/>
    </row>
    <row r="9204" spans="1:1" x14ac:dyDescent="0.3">
      <c r="A9204" s="678"/>
    </row>
    <row r="9205" spans="1:1" x14ac:dyDescent="0.3">
      <c r="A9205" s="678"/>
    </row>
    <row r="9206" spans="1:1" x14ac:dyDescent="0.3">
      <c r="A9206" s="678"/>
    </row>
    <row r="9207" spans="1:1" x14ac:dyDescent="0.3">
      <c r="A9207" s="678"/>
    </row>
    <row r="9208" spans="1:1" x14ac:dyDescent="0.3">
      <c r="A9208" s="678"/>
    </row>
    <row r="9209" spans="1:1" x14ac:dyDescent="0.3">
      <c r="A9209" s="678"/>
    </row>
    <row r="9210" spans="1:1" x14ac:dyDescent="0.3">
      <c r="A9210" s="678"/>
    </row>
    <row r="9211" spans="1:1" x14ac:dyDescent="0.3">
      <c r="A9211" s="678"/>
    </row>
    <row r="9212" spans="1:1" x14ac:dyDescent="0.3">
      <c r="A9212" s="678"/>
    </row>
    <row r="9213" spans="1:1" x14ac:dyDescent="0.3">
      <c r="A9213" s="678"/>
    </row>
    <row r="9214" spans="1:1" x14ac:dyDescent="0.3">
      <c r="A9214" s="678"/>
    </row>
    <row r="9215" spans="1:1" x14ac:dyDescent="0.3">
      <c r="A9215" s="678"/>
    </row>
    <row r="9216" spans="1:1" x14ac:dyDescent="0.3">
      <c r="A9216" s="678"/>
    </row>
    <row r="9217" spans="1:1" x14ac:dyDescent="0.3">
      <c r="A9217" s="678"/>
    </row>
    <row r="9218" spans="1:1" x14ac:dyDescent="0.3">
      <c r="A9218" s="678"/>
    </row>
    <row r="9219" spans="1:1" x14ac:dyDescent="0.3">
      <c r="A9219" s="678"/>
    </row>
    <row r="9220" spans="1:1" x14ac:dyDescent="0.3">
      <c r="A9220" s="678"/>
    </row>
    <row r="9221" spans="1:1" x14ac:dyDescent="0.3">
      <c r="A9221" s="678"/>
    </row>
    <row r="9222" spans="1:1" x14ac:dyDescent="0.3">
      <c r="A9222" s="678"/>
    </row>
    <row r="9223" spans="1:1" x14ac:dyDescent="0.3">
      <c r="A9223" s="678"/>
    </row>
    <row r="9224" spans="1:1" x14ac:dyDescent="0.3">
      <c r="A9224" s="678"/>
    </row>
    <row r="9225" spans="1:1" x14ac:dyDescent="0.3">
      <c r="A9225" s="678"/>
    </row>
    <row r="9226" spans="1:1" x14ac:dyDescent="0.3">
      <c r="A9226" s="678"/>
    </row>
    <row r="9227" spans="1:1" x14ac:dyDescent="0.3">
      <c r="A9227" s="678"/>
    </row>
    <row r="9228" spans="1:1" x14ac:dyDescent="0.3">
      <c r="A9228" s="678"/>
    </row>
    <row r="9229" spans="1:1" x14ac:dyDescent="0.3">
      <c r="A9229" s="678"/>
    </row>
    <row r="9230" spans="1:1" x14ac:dyDescent="0.3">
      <c r="A9230" s="678"/>
    </row>
    <row r="9231" spans="1:1" x14ac:dyDescent="0.3">
      <c r="A9231" s="678"/>
    </row>
    <row r="9232" spans="1:1" x14ac:dyDescent="0.3">
      <c r="A9232" s="678"/>
    </row>
    <row r="9233" spans="1:1" x14ac:dyDescent="0.3">
      <c r="A9233" s="678"/>
    </row>
    <row r="9234" spans="1:1" x14ac:dyDescent="0.3">
      <c r="A9234" s="678"/>
    </row>
    <row r="9235" spans="1:1" x14ac:dyDescent="0.3">
      <c r="A9235" s="678"/>
    </row>
    <row r="9236" spans="1:1" x14ac:dyDescent="0.3">
      <c r="A9236" s="678"/>
    </row>
    <row r="9237" spans="1:1" x14ac:dyDescent="0.3">
      <c r="A9237" s="678"/>
    </row>
    <row r="9238" spans="1:1" x14ac:dyDescent="0.3">
      <c r="A9238" s="678"/>
    </row>
    <row r="9239" spans="1:1" x14ac:dyDescent="0.3">
      <c r="A9239" s="678"/>
    </row>
    <row r="9240" spans="1:1" x14ac:dyDescent="0.3">
      <c r="A9240" s="678"/>
    </row>
    <row r="9241" spans="1:1" x14ac:dyDescent="0.3">
      <c r="A9241" s="678"/>
    </row>
    <row r="9242" spans="1:1" x14ac:dyDescent="0.3">
      <c r="A9242" s="678"/>
    </row>
    <row r="9243" spans="1:1" x14ac:dyDescent="0.3">
      <c r="A9243" s="678"/>
    </row>
    <row r="9244" spans="1:1" x14ac:dyDescent="0.3">
      <c r="A9244" s="678"/>
    </row>
    <row r="9245" spans="1:1" x14ac:dyDescent="0.3">
      <c r="A9245" s="678"/>
    </row>
    <row r="9246" spans="1:1" x14ac:dyDescent="0.3">
      <c r="A9246" s="678"/>
    </row>
    <row r="9247" spans="1:1" x14ac:dyDescent="0.3">
      <c r="A9247" s="678"/>
    </row>
    <row r="9248" spans="1:1" x14ac:dyDescent="0.3">
      <c r="A9248" s="678"/>
    </row>
    <row r="9249" spans="1:1" x14ac:dyDescent="0.3">
      <c r="A9249" s="678"/>
    </row>
    <row r="9250" spans="1:1" x14ac:dyDescent="0.3">
      <c r="A9250" s="678"/>
    </row>
    <row r="9251" spans="1:1" x14ac:dyDescent="0.3">
      <c r="A9251" s="678"/>
    </row>
    <row r="9252" spans="1:1" x14ac:dyDescent="0.3">
      <c r="A9252" s="678"/>
    </row>
    <row r="9253" spans="1:1" x14ac:dyDescent="0.3">
      <c r="A9253" s="678"/>
    </row>
    <row r="9254" spans="1:1" x14ac:dyDescent="0.3">
      <c r="A9254" s="678"/>
    </row>
    <row r="9255" spans="1:1" x14ac:dyDescent="0.3">
      <c r="A9255" s="678"/>
    </row>
    <row r="9256" spans="1:1" x14ac:dyDescent="0.3">
      <c r="A9256" s="678"/>
    </row>
    <row r="9257" spans="1:1" x14ac:dyDescent="0.3">
      <c r="A9257" s="678"/>
    </row>
    <row r="9258" spans="1:1" x14ac:dyDescent="0.3">
      <c r="A9258" s="678"/>
    </row>
    <row r="9259" spans="1:1" x14ac:dyDescent="0.3">
      <c r="A9259" s="678"/>
    </row>
    <row r="9260" spans="1:1" x14ac:dyDescent="0.3">
      <c r="A9260" s="678"/>
    </row>
    <row r="9261" spans="1:1" x14ac:dyDescent="0.3">
      <c r="A9261" s="678"/>
    </row>
    <row r="9262" spans="1:1" x14ac:dyDescent="0.3">
      <c r="A9262" s="678"/>
    </row>
    <row r="9263" spans="1:1" x14ac:dyDescent="0.3">
      <c r="A9263" s="678"/>
    </row>
    <row r="9264" spans="1:1" x14ac:dyDescent="0.3">
      <c r="A9264" s="678"/>
    </row>
    <row r="9265" spans="1:1" x14ac:dyDescent="0.3">
      <c r="A9265" s="678"/>
    </row>
    <row r="9266" spans="1:1" x14ac:dyDescent="0.3">
      <c r="A9266" s="678"/>
    </row>
    <row r="9267" spans="1:1" x14ac:dyDescent="0.3">
      <c r="A9267" s="678"/>
    </row>
    <row r="9268" spans="1:1" x14ac:dyDescent="0.3">
      <c r="A9268" s="678"/>
    </row>
    <row r="9269" spans="1:1" x14ac:dyDescent="0.3">
      <c r="A9269" s="678"/>
    </row>
    <row r="9270" spans="1:1" x14ac:dyDescent="0.3">
      <c r="A9270" s="678"/>
    </row>
    <row r="9271" spans="1:1" x14ac:dyDescent="0.3">
      <c r="A9271" s="678"/>
    </row>
    <row r="9272" spans="1:1" x14ac:dyDescent="0.3">
      <c r="A9272" s="678"/>
    </row>
    <row r="9273" spans="1:1" x14ac:dyDescent="0.3">
      <c r="A9273" s="678"/>
    </row>
    <row r="9274" spans="1:1" x14ac:dyDescent="0.3">
      <c r="A9274" s="678"/>
    </row>
    <row r="9275" spans="1:1" x14ac:dyDescent="0.3">
      <c r="A9275" s="678"/>
    </row>
    <row r="9276" spans="1:1" x14ac:dyDescent="0.3">
      <c r="A9276" s="678"/>
    </row>
    <row r="9277" spans="1:1" x14ac:dyDescent="0.3">
      <c r="A9277" s="678"/>
    </row>
    <row r="9278" spans="1:1" x14ac:dyDescent="0.3">
      <c r="A9278" s="678"/>
    </row>
    <row r="9279" spans="1:1" x14ac:dyDescent="0.3">
      <c r="A9279" s="678"/>
    </row>
    <row r="9280" spans="1:1" x14ac:dyDescent="0.3">
      <c r="A9280" s="678"/>
    </row>
    <row r="9281" spans="1:1" x14ac:dyDescent="0.3">
      <c r="A9281" s="678"/>
    </row>
    <row r="9282" spans="1:1" x14ac:dyDescent="0.3">
      <c r="A9282" s="678"/>
    </row>
    <row r="9283" spans="1:1" x14ac:dyDescent="0.3">
      <c r="A9283" s="678"/>
    </row>
    <row r="9284" spans="1:1" x14ac:dyDescent="0.3">
      <c r="A9284" s="678"/>
    </row>
    <row r="9285" spans="1:1" x14ac:dyDescent="0.3">
      <c r="A9285" s="678"/>
    </row>
    <row r="9286" spans="1:1" x14ac:dyDescent="0.3">
      <c r="A9286" s="678"/>
    </row>
    <row r="9287" spans="1:1" x14ac:dyDescent="0.3">
      <c r="A9287" s="678"/>
    </row>
    <row r="9288" spans="1:1" x14ac:dyDescent="0.3">
      <c r="A9288" s="678"/>
    </row>
    <row r="9289" spans="1:1" x14ac:dyDescent="0.3">
      <c r="A9289" s="678"/>
    </row>
    <row r="9290" spans="1:1" x14ac:dyDescent="0.3">
      <c r="A9290" s="678"/>
    </row>
    <row r="9291" spans="1:1" x14ac:dyDescent="0.3">
      <c r="A9291" s="678"/>
    </row>
    <row r="9292" spans="1:1" x14ac:dyDescent="0.3">
      <c r="A9292" s="678"/>
    </row>
    <row r="9293" spans="1:1" x14ac:dyDescent="0.3">
      <c r="A9293" s="678"/>
    </row>
    <row r="9294" spans="1:1" x14ac:dyDescent="0.3">
      <c r="A9294" s="678"/>
    </row>
    <row r="9295" spans="1:1" x14ac:dyDescent="0.3">
      <c r="A9295" s="678"/>
    </row>
    <row r="9296" spans="1:1" x14ac:dyDescent="0.3">
      <c r="A9296" s="678"/>
    </row>
    <row r="9297" spans="1:1" x14ac:dyDescent="0.3">
      <c r="A9297" s="678"/>
    </row>
    <row r="9298" spans="1:1" x14ac:dyDescent="0.3">
      <c r="A9298" s="678"/>
    </row>
    <row r="9299" spans="1:1" x14ac:dyDescent="0.3">
      <c r="A9299" s="678"/>
    </row>
    <row r="9300" spans="1:1" x14ac:dyDescent="0.3">
      <c r="A9300" s="678"/>
    </row>
    <row r="9301" spans="1:1" x14ac:dyDescent="0.3">
      <c r="A9301" s="678"/>
    </row>
    <row r="9302" spans="1:1" x14ac:dyDescent="0.3">
      <c r="A9302" s="678"/>
    </row>
    <row r="9303" spans="1:1" x14ac:dyDescent="0.3">
      <c r="A9303" s="678"/>
    </row>
    <row r="9304" spans="1:1" x14ac:dyDescent="0.3">
      <c r="A9304" s="678"/>
    </row>
    <row r="9305" spans="1:1" x14ac:dyDescent="0.3">
      <c r="A9305" s="678"/>
    </row>
    <row r="9306" spans="1:1" x14ac:dyDescent="0.3">
      <c r="A9306" s="678"/>
    </row>
    <row r="9307" spans="1:1" x14ac:dyDescent="0.3">
      <c r="A9307" s="678"/>
    </row>
    <row r="9308" spans="1:1" x14ac:dyDescent="0.3">
      <c r="A9308" s="678"/>
    </row>
    <row r="9309" spans="1:1" x14ac:dyDescent="0.3">
      <c r="A9309" s="678"/>
    </row>
    <row r="9310" spans="1:1" x14ac:dyDescent="0.3">
      <c r="A9310" s="678"/>
    </row>
    <row r="9311" spans="1:1" x14ac:dyDescent="0.3">
      <c r="A9311" s="678"/>
    </row>
    <row r="9312" spans="1:1" x14ac:dyDescent="0.3">
      <c r="A9312" s="678"/>
    </row>
    <row r="9313" spans="1:1" x14ac:dyDescent="0.3">
      <c r="A9313" s="678"/>
    </row>
    <row r="9314" spans="1:1" x14ac:dyDescent="0.3">
      <c r="A9314" s="678"/>
    </row>
    <row r="9315" spans="1:1" x14ac:dyDescent="0.3">
      <c r="A9315" s="678"/>
    </row>
    <row r="9316" spans="1:1" x14ac:dyDescent="0.3">
      <c r="A9316" s="678"/>
    </row>
    <row r="9317" spans="1:1" x14ac:dyDescent="0.3">
      <c r="A9317" s="678"/>
    </row>
    <row r="9318" spans="1:1" x14ac:dyDescent="0.3">
      <c r="A9318" s="678"/>
    </row>
    <row r="9319" spans="1:1" x14ac:dyDescent="0.3">
      <c r="A9319" s="678"/>
    </row>
    <row r="9320" spans="1:1" x14ac:dyDescent="0.3">
      <c r="A9320" s="678"/>
    </row>
    <row r="9321" spans="1:1" x14ac:dyDescent="0.3">
      <c r="A9321" s="678"/>
    </row>
    <row r="9322" spans="1:1" x14ac:dyDescent="0.3">
      <c r="A9322" s="678"/>
    </row>
    <row r="9323" spans="1:1" x14ac:dyDescent="0.3">
      <c r="A9323" s="678"/>
    </row>
    <row r="9324" spans="1:1" x14ac:dyDescent="0.3">
      <c r="A9324" s="678"/>
    </row>
    <row r="9325" spans="1:1" x14ac:dyDescent="0.3">
      <c r="A9325" s="678"/>
    </row>
    <row r="9326" spans="1:1" x14ac:dyDescent="0.3">
      <c r="A9326" s="678"/>
    </row>
    <row r="9327" spans="1:1" x14ac:dyDescent="0.3">
      <c r="A9327" s="678"/>
    </row>
    <row r="9328" spans="1:1" x14ac:dyDescent="0.3">
      <c r="A9328" s="678"/>
    </row>
    <row r="9329" spans="1:1" x14ac:dyDescent="0.3">
      <c r="A9329" s="678"/>
    </row>
    <row r="9330" spans="1:1" x14ac:dyDescent="0.3">
      <c r="A9330" s="678"/>
    </row>
    <row r="9331" spans="1:1" x14ac:dyDescent="0.3">
      <c r="A9331" s="678"/>
    </row>
    <row r="9332" spans="1:1" x14ac:dyDescent="0.3">
      <c r="A9332" s="678"/>
    </row>
    <row r="9333" spans="1:1" x14ac:dyDescent="0.3">
      <c r="A9333" s="678"/>
    </row>
    <row r="9334" spans="1:1" x14ac:dyDescent="0.3">
      <c r="A9334" s="678"/>
    </row>
    <row r="9335" spans="1:1" x14ac:dyDescent="0.3">
      <c r="A9335" s="678"/>
    </row>
    <row r="9336" spans="1:1" x14ac:dyDescent="0.3">
      <c r="A9336" s="678"/>
    </row>
    <row r="9337" spans="1:1" x14ac:dyDescent="0.3">
      <c r="A9337" s="678"/>
    </row>
    <row r="9338" spans="1:1" x14ac:dyDescent="0.3">
      <c r="A9338" s="678"/>
    </row>
    <row r="9339" spans="1:1" x14ac:dyDescent="0.3">
      <c r="A9339" s="678"/>
    </row>
    <row r="9340" spans="1:1" x14ac:dyDescent="0.3">
      <c r="A9340" s="678"/>
    </row>
    <row r="9341" spans="1:1" x14ac:dyDescent="0.3">
      <c r="A9341" s="678"/>
    </row>
    <row r="9342" spans="1:1" x14ac:dyDescent="0.3">
      <c r="A9342" s="678"/>
    </row>
    <row r="9343" spans="1:1" x14ac:dyDescent="0.3">
      <c r="A9343" s="678"/>
    </row>
    <row r="9344" spans="1:1" x14ac:dyDescent="0.3">
      <c r="A9344" s="678"/>
    </row>
    <row r="9345" spans="1:1" x14ac:dyDescent="0.3">
      <c r="A9345" s="678"/>
    </row>
    <row r="9346" spans="1:1" x14ac:dyDescent="0.3">
      <c r="A9346" s="678"/>
    </row>
    <row r="9347" spans="1:1" x14ac:dyDescent="0.3">
      <c r="A9347" s="678"/>
    </row>
    <row r="9348" spans="1:1" x14ac:dyDescent="0.3">
      <c r="A9348" s="678"/>
    </row>
    <row r="9349" spans="1:1" x14ac:dyDescent="0.3">
      <c r="A9349" s="678"/>
    </row>
    <row r="9350" spans="1:1" x14ac:dyDescent="0.3">
      <c r="A9350" s="678"/>
    </row>
    <row r="9351" spans="1:1" x14ac:dyDescent="0.3">
      <c r="A9351" s="678"/>
    </row>
    <row r="9352" spans="1:1" x14ac:dyDescent="0.3">
      <c r="A9352" s="678"/>
    </row>
    <row r="9353" spans="1:1" x14ac:dyDescent="0.3">
      <c r="A9353" s="678"/>
    </row>
    <row r="9354" spans="1:1" x14ac:dyDescent="0.3">
      <c r="A9354" s="678"/>
    </row>
    <row r="9355" spans="1:1" x14ac:dyDescent="0.3">
      <c r="A9355" s="678"/>
    </row>
    <row r="9356" spans="1:1" x14ac:dyDescent="0.3">
      <c r="A9356" s="678"/>
    </row>
    <row r="9357" spans="1:1" x14ac:dyDescent="0.3">
      <c r="A9357" s="678"/>
    </row>
    <row r="9358" spans="1:1" x14ac:dyDescent="0.3">
      <c r="A9358" s="678"/>
    </row>
    <row r="9359" spans="1:1" x14ac:dyDescent="0.3">
      <c r="A9359" s="678"/>
    </row>
    <row r="9360" spans="1:1" x14ac:dyDescent="0.3">
      <c r="A9360" s="678"/>
    </row>
    <row r="9361" spans="1:1" x14ac:dyDescent="0.3">
      <c r="A9361" s="678"/>
    </row>
    <row r="9362" spans="1:1" x14ac:dyDescent="0.3">
      <c r="A9362" s="678"/>
    </row>
    <row r="9363" spans="1:1" x14ac:dyDescent="0.3">
      <c r="A9363" s="678"/>
    </row>
    <row r="9364" spans="1:1" x14ac:dyDescent="0.3">
      <c r="A9364" s="678"/>
    </row>
    <row r="9365" spans="1:1" x14ac:dyDescent="0.3">
      <c r="A9365" s="678"/>
    </row>
    <row r="9366" spans="1:1" x14ac:dyDescent="0.3">
      <c r="A9366" s="678"/>
    </row>
    <row r="9367" spans="1:1" x14ac:dyDescent="0.3">
      <c r="A9367" s="678"/>
    </row>
    <row r="9368" spans="1:1" x14ac:dyDescent="0.3">
      <c r="A9368" s="678"/>
    </row>
    <row r="9369" spans="1:1" x14ac:dyDescent="0.3">
      <c r="A9369" s="678"/>
    </row>
    <row r="9370" spans="1:1" x14ac:dyDescent="0.3">
      <c r="A9370" s="678"/>
    </row>
    <row r="9371" spans="1:1" x14ac:dyDescent="0.3">
      <c r="A9371" s="678"/>
    </row>
    <row r="9372" spans="1:1" x14ac:dyDescent="0.3">
      <c r="A9372" s="678"/>
    </row>
    <row r="9373" spans="1:1" x14ac:dyDescent="0.3">
      <c r="A9373" s="678"/>
    </row>
    <row r="9374" spans="1:1" x14ac:dyDescent="0.3">
      <c r="A9374" s="678"/>
    </row>
    <row r="9375" spans="1:1" x14ac:dyDescent="0.3">
      <c r="A9375" s="678"/>
    </row>
    <row r="9376" spans="1:1" x14ac:dyDescent="0.3">
      <c r="A9376" s="678"/>
    </row>
    <row r="9377" spans="1:1" x14ac:dyDescent="0.3">
      <c r="A9377" s="678"/>
    </row>
    <row r="9378" spans="1:1" x14ac:dyDescent="0.3">
      <c r="A9378" s="678"/>
    </row>
    <row r="9379" spans="1:1" x14ac:dyDescent="0.3">
      <c r="A9379" s="678"/>
    </row>
    <row r="9380" spans="1:1" x14ac:dyDescent="0.3">
      <c r="A9380" s="678"/>
    </row>
    <row r="9381" spans="1:1" x14ac:dyDescent="0.3">
      <c r="A9381" s="678"/>
    </row>
    <row r="9382" spans="1:1" x14ac:dyDescent="0.3">
      <c r="A9382" s="678"/>
    </row>
    <row r="9383" spans="1:1" x14ac:dyDescent="0.3">
      <c r="A9383" s="678"/>
    </row>
    <row r="9384" spans="1:1" x14ac:dyDescent="0.3">
      <c r="A9384" s="678"/>
    </row>
    <row r="9385" spans="1:1" x14ac:dyDescent="0.3">
      <c r="A9385" s="678"/>
    </row>
    <row r="9386" spans="1:1" x14ac:dyDescent="0.3">
      <c r="A9386" s="678"/>
    </row>
    <row r="9387" spans="1:1" x14ac:dyDescent="0.3">
      <c r="A9387" s="678"/>
    </row>
    <row r="9388" spans="1:1" x14ac:dyDescent="0.3">
      <c r="A9388" s="678"/>
    </row>
    <row r="9389" spans="1:1" x14ac:dyDescent="0.3">
      <c r="A9389" s="678"/>
    </row>
    <row r="9390" spans="1:1" x14ac:dyDescent="0.3">
      <c r="A9390" s="678"/>
    </row>
    <row r="9391" spans="1:1" x14ac:dyDescent="0.3">
      <c r="A9391" s="678"/>
    </row>
    <row r="9392" spans="1:1" x14ac:dyDescent="0.3">
      <c r="A9392" s="678"/>
    </row>
    <row r="9393" spans="1:1" x14ac:dyDescent="0.3">
      <c r="A9393" s="678"/>
    </row>
    <row r="9394" spans="1:1" x14ac:dyDescent="0.3">
      <c r="A9394" s="678"/>
    </row>
    <row r="9395" spans="1:1" x14ac:dyDescent="0.3">
      <c r="A9395" s="678"/>
    </row>
    <row r="9396" spans="1:1" x14ac:dyDescent="0.3">
      <c r="A9396" s="678"/>
    </row>
    <row r="9397" spans="1:1" x14ac:dyDescent="0.3">
      <c r="A9397" s="678"/>
    </row>
    <row r="9398" spans="1:1" x14ac:dyDescent="0.3">
      <c r="A9398" s="678"/>
    </row>
    <row r="9399" spans="1:1" x14ac:dyDescent="0.3">
      <c r="A9399" s="678"/>
    </row>
    <row r="9400" spans="1:1" x14ac:dyDescent="0.3">
      <c r="A9400" s="678"/>
    </row>
    <row r="9401" spans="1:1" x14ac:dyDescent="0.3">
      <c r="A9401" s="678"/>
    </row>
    <row r="9402" spans="1:1" x14ac:dyDescent="0.3">
      <c r="A9402" s="678"/>
    </row>
    <row r="9403" spans="1:1" x14ac:dyDescent="0.3">
      <c r="A9403" s="678"/>
    </row>
    <row r="9404" spans="1:1" x14ac:dyDescent="0.3">
      <c r="A9404" s="678"/>
    </row>
    <row r="9405" spans="1:1" x14ac:dyDescent="0.3">
      <c r="A9405" s="678"/>
    </row>
    <row r="9406" spans="1:1" x14ac:dyDescent="0.3">
      <c r="A9406" s="678"/>
    </row>
    <row r="9407" spans="1:1" x14ac:dyDescent="0.3">
      <c r="A9407" s="678"/>
    </row>
    <row r="9408" spans="1:1" x14ac:dyDescent="0.3">
      <c r="A9408" s="678"/>
    </row>
    <row r="9409" spans="1:1" x14ac:dyDescent="0.3">
      <c r="A9409" s="678"/>
    </row>
    <row r="9410" spans="1:1" x14ac:dyDescent="0.3">
      <c r="A9410" s="678"/>
    </row>
    <row r="9411" spans="1:1" x14ac:dyDescent="0.3">
      <c r="A9411" s="678"/>
    </row>
    <row r="9412" spans="1:1" x14ac:dyDescent="0.3">
      <c r="A9412" s="678"/>
    </row>
    <row r="9413" spans="1:1" x14ac:dyDescent="0.3">
      <c r="A9413" s="678"/>
    </row>
    <row r="9414" spans="1:1" x14ac:dyDescent="0.3">
      <c r="A9414" s="678"/>
    </row>
    <row r="9415" spans="1:1" x14ac:dyDescent="0.3">
      <c r="A9415" s="678"/>
    </row>
    <row r="9416" spans="1:1" x14ac:dyDescent="0.3">
      <c r="A9416" s="678"/>
    </row>
    <row r="9417" spans="1:1" x14ac:dyDescent="0.3">
      <c r="A9417" s="678"/>
    </row>
    <row r="9418" spans="1:1" x14ac:dyDescent="0.3">
      <c r="A9418" s="678"/>
    </row>
    <row r="9419" spans="1:1" x14ac:dyDescent="0.3">
      <c r="A9419" s="678"/>
    </row>
    <row r="9420" spans="1:1" x14ac:dyDescent="0.3">
      <c r="A9420" s="678"/>
    </row>
    <row r="9421" spans="1:1" x14ac:dyDescent="0.3">
      <c r="A9421" s="678"/>
    </row>
    <row r="9422" spans="1:1" x14ac:dyDescent="0.3">
      <c r="A9422" s="678"/>
    </row>
    <row r="9423" spans="1:1" x14ac:dyDescent="0.3">
      <c r="A9423" s="678"/>
    </row>
    <row r="9424" spans="1:1" x14ac:dyDescent="0.3">
      <c r="A9424" s="678"/>
    </row>
    <row r="9425" spans="1:1" x14ac:dyDescent="0.3">
      <c r="A9425" s="678"/>
    </row>
    <row r="9426" spans="1:1" x14ac:dyDescent="0.3">
      <c r="A9426" s="678"/>
    </row>
    <row r="9427" spans="1:1" x14ac:dyDescent="0.3">
      <c r="A9427" s="678"/>
    </row>
    <row r="9428" spans="1:1" x14ac:dyDescent="0.3">
      <c r="A9428" s="678"/>
    </row>
    <row r="9429" spans="1:1" x14ac:dyDescent="0.3">
      <c r="A9429" s="678"/>
    </row>
    <row r="9430" spans="1:1" x14ac:dyDescent="0.3">
      <c r="A9430" s="678"/>
    </row>
    <row r="9431" spans="1:1" x14ac:dyDescent="0.3">
      <c r="A9431" s="678"/>
    </row>
    <row r="9432" spans="1:1" x14ac:dyDescent="0.3">
      <c r="A9432" s="678"/>
    </row>
    <row r="9433" spans="1:1" x14ac:dyDescent="0.3">
      <c r="A9433" s="678"/>
    </row>
    <row r="9434" spans="1:1" x14ac:dyDescent="0.3">
      <c r="A9434" s="678"/>
    </row>
    <row r="9435" spans="1:1" x14ac:dyDescent="0.3">
      <c r="A9435" s="678"/>
    </row>
    <row r="9436" spans="1:1" x14ac:dyDescent="0.3">
      <c r="A9436" s="678"/>
    </row>
    <row r="9437" spans="1:1" x14ac:dyDescent="0.3">
      <c r="A9437" s="678"/>
    </row>
    <row r="9438" spans="1:1" x14ac:dyDescent="0.3">
      <c r="A9438" s="678"/>
    </row>
    <row r="9439" spans="1:1" x14ac:dyDescent="0.3">
      <c r="A9439" s="678"/>
    </row>
    <row r="9440" spans="1:1" x14ac:dyDescent="0.3">
      <c r="A9440" s="678"/>
    </row>
    <row r="9441" spans="1:1" x14ac:dyDescent="0.3">
      <c r="A9441" s="678"/>
    </row>
    <row r="9442" spans="1:1" x14ac:dyDescent="0.3">
      <c r="A9442" s="678"/>
    </row>
    <row r="9443" spans="1:1" x14ac:dyDescent="0.3">
      <c r="A9443" s="678"/>
    </row>
    <row r="9444" spans="1:1" x14ac:dyDescent="0.3">
      <c r="A9444" s="678"/>
    </row>
    <row r="9445" spans="1:1" x14ac:dyDescent="0.3">
      <c r="A9445" s="678"/>
    </row>
    <row r="9446" spans="1:1" x14ac:dyDescent="0.3">
      <c r="A9446" s="678"/>
    </row>
    <row r="9447" spans="1:1" x14ac:dyDescent="0.3">
      <c r="A9447" s="678"/>
    </row>
    <row r="9448" spans="1:1" x14ac:dyDescent="0.3">
      <c r="A9448" s="678"/>
    </row>
    <row r="9449" spans="1:1" x14ac:dyDescent="0.3">
      <c r="A9449" s="678"/>
    </row>
    <row r="9450" spans="1:1" x14ac:dyDescent="0.3">
      <c r="A9450" s="678"/>
    </row>
    <row r="9451" spans="1:1" x14ac:dyDescent="0.3">
      <c r="A9451" s="678"/>
    </row>
    <row r="9452" spans="1:1" x14ac:dyDescent="0.3">
      <c r="A9452" s="678"/>
    </row>
    <row r="9453" spans="1:1" x14ac:dyDescent="0.3">
      <c r="A9453" s="678"/>
    </row>
    <row r="9454" spans="1:1" x14ac:dyDescent="0.3">
      <c r="A9454" s="678"/>
    </row>
    <row r="9455" spans="1:1" x14ac:dyDescent="0.3">
      <c r="A9455" s="678"/>
    </row>
    <row r="9456" spans="1:1" x14ac:dyDescent="0.3">
      <c r="A9456" s="678"/>
    </row>
    <row r="9457" spans="1:1" x14ac:dyDescent="0.3">
      <c r="A9457" s="678"/>
    </row>
    <row r="9458" spans="1:1" x14ac:dyDescent="0.3">
      <c r="A9458" s="678"/>
    </row>
    <row r="9459" spans="1:1" x14ac:dyDescent="0.3">
      <c r="A9459" s="678"/>
    </row>
    <row r="9460" spans="1:1" x14ac:dyDescent="0.3">
      <c r="A9460" s="678"/>
    </row>
    <row r="9461" spans="1:1" x14ac:dyDescent="0.3">
      <c r="A9461" s="678"/>
    </row>
    <row r="9462" spans="1:1" x14ac:dyDescent="0.3">
      <c r="A9462" s="678"/>
    </row>
    <row r="9463" spans="1:1" x14ac:dyDescent="0.3">
      <c r="A9463" s="678"/>
    </row>
    <row r="9464" spans="1:1" x14ac:dyDescent="0.3">
      <c r="A9464" s="678"/>
    </row>
    <row r="9465" spans="1:1" x14ac:dyDescent="0.3">
      <c r="A9465" s="678"/>
    </row>
    <row r="9466" spans="1:1" x14ac:dyDescent="0.3">
      <c r="A9466" s="678"/>
    </row>
    <row r="9467" spans="1:1" x14ac:dyDescent="0.3">
      <c r="A9467" s="678"/>
    </row>
    <row r="9468" spans="1:1" x14ac:dyDescent="0.3">
      <c r="A9468" s="678"/>
    </row>
    <row r="9469" spans="1:1" x14ac:dyDescent="0.3">
      <c r="A9469" s="678"/>
    </row>
    <row r="9470" spans="1:1" x14ac:dyDescent="0.3">
      <c r="A9470" s="678"/>
    </row>
    <row r="9471" spans="1:1" x14ac:dyDescent="0.3">
      <c r="A9471" s="678"/>
    </row>
    <row r="9472" spans="1:1" x14ac:dyDescent="0.3">
      <c r="A9472" s="678"/>
    </row>
    <row r="9473" spans="1:1" x14ac:dyDescent="0.3">
      <c r="A9473" s="678"/>
    </row>
    <row r="9474" spans="1:1" x14ac:dyDescent="0.3">
      <c r="A9474" s="678"/>
    </row>
    <row r="9475" spans="1:1" x14ac:dyDescent="0.3">
      <c r="A9475" s="678"/>
    </row>
    <row r="9476" spans="1:1" x14ac:dyDescent="0.3">
      <c r="A9476" s="678"/>
    </row>
    <row r="9477" spans="1:1" x14ac:dyDescent="0.3">
      <c r="A9477" s="678"/>
    </row>
    <row r="9478" spans="1:1" x14ac:dyDescent="0.3">
      <c r="A9478" s="678"/>
    </row>
    <row r="9479" spans="1:1" x14ac:dyDescent="0.3">
      <c r="A9479" s="678"/>
    </row>
    <row r="9480" spans="1:1" x14ac:dyDescent="0.3">
      <c r="A9480" s="678"/>
    </row>
    <row r="9481" spans="1:1" x14ac:dyDescent="0.3">
      <c r="A9481" s="678"/>
    </row>
    <row r="9482" spans="1:1" x14ac:dyDescent="0.3">
      <c r="A9482" s="678"/>
    </row>
    <row r="9483" spans="1:1" x14ac:dyDescent="0.3">
      <c r="A9483" s="678"/>
    </row>
    <row r="9484" spans="1:1" x14ac:dyDescent="0.3">
      <c r="A9484" s="678"/>
    </row>
    <row r="9485" spans="1:1" x14ac:dyDescent="0.3">
      <c r="A9485" s="678"/>
    </row>
    <row r="9486" spans="1:1" x14ac:dyDescent="0.3">
      <c r="A9486" s="678"/>
    </row>
    <row r="9487" spans="1:1" x14ac:dyDescent="0.3">
      <c r="A9487" s="678"/>
    </row>
    <row r="9488" spans="1:1" x14ac:dyDescent="0.3">
      <c r="A9488" s="678"/>
    </row>
    <row r="9489" spans="1:1" x14ac:dyDescent="0.3">
      <c r="A9489" s="678"/>
    </row>
    <row r="9490" spans="1:1" x14ac:dyDescent="0.3">
      <c r="A9490" s="678"/>
    </row>
    <row r="9491" spans="1:1" x14ac:dyDescent="0.3">
      <c r="A9491" s="678"/>
    </row>
    <row r="9492" spans="1:1" x14ac:dyDescent="0.3">
      <c r="A9492" s="678"/>
    </row>
    <row r="9493" spans="1:1" x14ac:dyDescent="0.3">
      <c r="A9493" s="678"/>
    </row>
    <row r="9494" spans="1:1" x14ac:dyDescent="0.3">
      <c r="A9494" s="678"/>
    </row>
    <row r="9495" spans="1:1" x14ac:dyDescent="0.3">
      <c r="A9495" s="678"/>
    </row>
    <row r="9496" spans="1:1" x14ac:dyDescent="0.3">
      <c r="A9496" s="678"/>
    </row>
    <row r="9497" spans="1:1" x14ac:dyDescent="0.3">
      <c r="A9497" s="678"/>
    </row>
    <row r="9498" spans="1:1" x14ac:dyDescent="0.3">
      <c r="A9498" s="678"/>
    </row>
    <row r="9499" spans="1:1" x14ac:dyDescent="0.3">
      <c r="A9499" s="678"/>
    </row>
    <row r="9500" spans="1:1" x14ac:dyDescent="0.3">
      <c r="A9500" s="678"/>
    </row>
    <row r="9501" spans="1:1" x14ac:dyDescent="0.3">
      <c r="A9501" s="678"/>
    </row>
    <row r="9502" spans="1:1" x14ac:dyDescent="0.3">
      <c r="A9502" s="678"/>
    </row>
    <row r="9503" spans="1:1" x14ac:dyDescent="0.3">
      <c r="A9503" s="678"/>
    </row>
    <row r="9504" spans="1:1" x14ac:dyDescent="0.3">
      <c r="A9504" s="678"/>
    </row>
    <row r="9505" spans="1:1" x14ac:dyDescent="0.3">
      <c r="A9505" s="678"/>
    </row>
    <row r="9506" spans="1:1" x14ac:dyDescent="0.3">
      <c r="A9506" s="678"/>
    </row>
    <row r="9507" spans="1:1" x14ac:dyDescent="0.3">
      <c r="A9507" s="678"/>
    </row>
    <row r="9508" spans="1:1" x14ac:dyDescent="0.3">
      <c r="A9508" s="678"/>
    </row>
    <row r="9509" spans="1:1" x14ac:dyDescent="0.3">
      <c r="A9509" s="678"/>
    </row>
    <row r="9510" spans="1:1" x14ac:dyDescent="0.3">
      <c r="A9510" s="678"/>
    </row>
    <row r="9511" spans="1:1" x14ac:dyDescent="0.3">
      <c r="A9511" s="678"/>
    </row>
    <row r="9512" spans="1:1" x14ac:dyDescent="0.3">
      <c r="A9512" s="678"/>
    </row>
    <row r="9513" spans="1:1" x14ac:dyDescent="0.3">
      <c r="A9513" s="678"/>
    </row>
    <row r="9514" spans="1:1" x14ac:dyDescent="0.3">
      <c r="A9514" s="678"/>
    </row>
    <row r="9515" spans="1:1" x14ac:dyDescent="0.3">
      <c r="A9515" s="678"/>
    </row>
    <row r="9516" spans="1:1" x14ac:dyDescent="0.3">
      <c r="A9516" s="678"/>
    </row>
    <row r="9517" spans="1:1" x14ac:dyDescent="0.3">
      <c r="A9517" s="678"/>
    </row>
    <row r="9518" spans="1:1" x14ac:dyDescent="0.3">
      <c r="A9518" s="678"/>
    </row>
    <row r="9519" spans="1:1" x14ac:dyDescent="0.3">
      <c r="A9519" s="678"/>
    </row>
    <row r="9520" spans="1:1" x14ac:dyDescent="0.3">
      <c r="A9520" s="678"/>
    </row>
    <row r="9521" spans="1:1" x14ac:dyDescent="0.3">
      <c r="A9521" s="678"/>
    </row>
    <row r="9522" spans="1:1" x14ac:dyDescent="0.3">
      <c r="A9522" s="678"/>
    </row>
    <row r="9523" spans="1:1" x14ac:dyDescent="0.3">
      <c r="A9523" s="678"/>
    </row>
    <row r="9524" spans="1:1" x14ac:dyDescent="0.3">
      <c r="A9524" s="678"/>
    </row>
    <row r="9525" spans="1:1" x14ac:dyDescent="0.3">
      <c r="A9525" s="678"/>
    </row>
    <row r="9526" spans="1:1" x14ac:dyDescent="0.3">
      <c r="A9526" s="678"/>
    </row>
    <row r="9527" spans="1:1" x14ac:dyDescent="0.3">
      <c r="A9527" s="678"/>
    </row>
    <row r="9528" spans="1:1" x14ac:dyDescent="0.3">
      <c r="A9528" s="678"/>
    </row>
    <row r="9529" spans="1:1" x14ac:dyDescent="0.3">
      <c r="A9529" s="678"/>
    </row>
    <row r="9530" spans="1:1" x14ac:dyDescent="0.3">
      <c r="A9530" s="678"/>
    </row>
    <row r="9531" spans="1:1" x14ac:dyDescent="0.3">
      <c r="A9531" s="678"/>
    </row>
    <row r="9532" spans="1:1" x14ac:dyDescent="0.3">
      <c r="A9532" s="678"/>
    </row>
    <row r="9533" spans="1:1" x14ac:dyDescent="0.3">
      <c r="A9533" s="678"/>
    </row>
    <row r="9534" spans="1:1" x14ac:dyDescent="0.3">
      <c r="A9534" s="678"/>
    </row>
    <row r="9535" spans="1:1" x14ac:dyDescent="0.3">
      <c r="A9535" s="678"/>
    </row>
    <row r="9536" spans="1:1" x14ac:dyDescent="0.3">
      <c r="A9536" s="678"/>
    </row>
    <row r="9537" spans="1:1" x14ac:dyDescent="0.3">
      <c r="A9537" s="678"/>
    </row>
    <row r="9538" spans="1:1" x14ac:dyDescent="0.3">
      <c r="A9538" s="678"/>
    </row>
    <row r="9539" spans="1:1" x14ac:dyDescent="0.3">
      <c r="A9539" s="678"/>
    </row>
    <row r="9540" spans="1:1" x14ac:dyDescent="0.3">
      <c r="A9540" s="678"/>
    </row>
    <row r="9541" spans="1:1" x14ac:dyDescent="0.3">
      <c r="A9541" s="678"/>
    </row>
    <row r="9542" spans="1:1" x14ac:dyDescent="0.3">
      <c r="A9542" s="678"/>
    </row>
    <row r="9543" spans="1:1" x14ac:dyDescent="0.3">
      <c r="A9543" s="678"/>
    </row>
    <row r="9544" spans="1:1" x14ac:dyDescent="0.3">
      <c r="A9544" s="678"/>
    </row>
    <row r="9545" spans="1:1" x14ac:dyDescent="0.3">
      <c r="A9545" s="678"/>
    </row>
    <row r="9546" spans="1:1" x14ac:dyDescent="0.3">
      <c r="A9546" s="678"/>
    </row>
    <row r="9547" spans="1:1" x14ac:dyDescent="0.3">
      <c r="A9547" s="678"/>
    </row>
    <row r="9548" spans="1:1" x14ac:dyDescent="0.3">
      <c r="A9548" s="678"/>
    </row>
    <row r="9549" spans="1:1" x14ac:dyDescent="0.3">
      <c r="A9549" s="678"/>
    </row>
    <row r="9550" spans="1:1" x14ac:dyDescent="0.3">
      <c r="A9550" s="678"/>
    </row>
    <row r="9551" spans="1:1" x14ac:dyDescent="0.3">
      <c r="A9551" s="678"/>
    </row>
    <row r="9552" spans="1:1" x14ac:dyDescent="0.3">
      <c r="A9552" s="678"/>
    </row>
    <row r="9553" spans="1:1" x14ac:dyDescent="0.3">
      <c r="A9553" s="678"/>
    </row>
    <row r="9554" spans="1:1" x14ac:dyDescent="0.3">
      <c r="A9554" s="678"/>
    </row>
    <row r="9555" spans="1:1" x14ac:dyDescent="0.3">
      <c r="A9555" s="678"/>
    </row>
    <row r="9556" spans="1:1" x14ac:dyDescent="0.3">
      <c r="A9556" s="678"/>
    </row>
    <row r="9557" spans="1:1" x14ac:dyDescent="0.3">
      <c r="A9557" s="678"/>
    </row>
    <row r="9558" spans="1:1" x14ac:dyDescent="0.3">
      <c r="A9558" s="678"/>
    </row>
    <row r="9559" spans="1:1" x14ac:dyDescent="0.3">
      <c r="A9559" s="678"/>
    </row>
    <row r="9560" spans="1:1" x14ac:dyDescent="0.3">
      <c r="A9560" s="678"/>
    </row>
    <row r="9561" spans="1:1" x14ac:dyDescent="0.3">
      <c r="A9561" s="678"/>
    </row>
    <row r="9562" spans="1:1" x14ac:dyDescent="0.3">
      <c r="A9562" s="678"/>
    </row>
    <row r="9563" spans="1:1" x14ac:dyDescent="0.3">
      <c r="A9563" s="678"/>
    </row>
    <row r="9564" spans="1:1" x14ac:dyDescent="0.3">
      <c r="A9564" s="678"/>
    </row>
    <row r="9565" spans="1:1" x14ac:dyDescent="0.3">
      <c r="A9565" s="678"/>
    </row>
    <row r="9566" spans="1:1" x14ac:dyDescent="0.3">
      <c r="A9566" s="678"/>
    </row>
    <row r="9567" spans="1:1" x14ac:dyDescent="0.3">
      <c r="A9567" s="678"/>
    </row>
    <row r="9568" spans="1:1" x14ac:dyDescent="0.3">
      <c r="A9568" s="678"/>
    </row>
    <row r="9569" spans="1:1" x14ac:dyDescent="0.3">
      <c r="A9569" s="678"/>
    </row>
    <row r="9570" spans="1:1" x14ac:dyDescent="0.3">
      <c r="A9570" s="678"/>
    </row>
    <row r="9571" spans="1:1" x14ac:dyDescent="0.3">
      <c r="A9571" s="678"/>
    </row>
    <row r="9572" spans="1:1" x14ac:dyDescent="0.3">
      <c r="A9572" s="678"/>
    </row>
    <row r="9573" spans="1:1" x14ac:dyDescent="0.3">
      <c r="A9573" s="678"/>
    </row>
    <row r="9574" spans="1:1" x14ac:dyDescent="0.3">
      <c r="A9574" s="678"/>
    </row>
    <row r="9575" spans="1:1" x14ac:dyDescent="0.3">
      <c r="A9575" s="678"/>
    </row>
    <row r="9576" spans="1:1" x14ac:dyDescent="0.3">
      <c r="A9576" s="678"/>
    </row>
    <row r="9577" spans="1:1" x14ac:dyDescent="0.3">
      <c r="A9577" s="678"/>
    </row>
    <row r="9578" spans="1:1" x14ac:dyDescent="0.3">
      <c r="A9578" s="678"/>
    </row>
    <row r="9579" spans="1:1" x14ac:dyDescent="0.3">
      <c r="A9579" s="678"/>
    </row>
    <row r="9580" spans="1:1" x14ac:dyDescent="0.3">
      <c r="A9580" s="678"/>
    </row>
    <row r="9581" spans="1:1" x14ac:dyDescent="0.3">
      <c r="A9581" s="678"/>
    </row>
    <row r="9582" spans="1:1" x14ac:dyDescent="0.3">
      <c r="A9582" s="678"/>
    </row>
    <row r="9583" spans="1:1" x14ac:dyDescent="0.3">
      <c r="A9583" s="678"/>
    </row>
    <row r="9584" spans="1:1" x14ac:dyDescent="0.3">
      <c r="A9584" s="678"/>
    </row>
    <row r="9585" spans="1:1" x14ac:dyDescent="0.3">
      <c r="A9585" s="678"/>
    </row>
    <row r="9586" spans="1:1" x14ac:dyDescent="0.3">
      <c r="A9586" s="678"/>
    </row>
    <row r="9587" spans="1:1" x14ac:dyDescent="0.3">
      <c r="A9587" s="678"/>
    </row>
    <row r="9588" spans="1:1" x14ac:dyDescent="0.3">
      <c r="A9588" s="678"/>
    </row>
    <row r="9589" spans="1:1" x14ac:dyDescent="0.3">
      <c r="A9589" s="678"/>
    </row>
    <row r="9590" spans="1:1" x14ac:dyDescent="0.3">
      <c r="A9590" s="678"/>
    </row>
    <row r="9591" spans="1:1" x14ac:dyDescent="0.3">
      <c r="A9591" s="678"/>
    </row>
    <row r="9592" spans="1:1" x14ac:dyDescent="0.3">
      <c r="A9592" s="678"/>
    </row>
    <row r="9593" spans="1:1" x14ac:dyDescent="0.3">
      <c r="A9593" s="678"/>
    </row>
    <row r="9594" spans="1:1" x14ac:dyDescent="0.3">
      <c r="A9594" s="678"/>
    </row>
    <row r="9595" spans="1:1" x14ac:dyDescent="0.3">
      <c r="A9595" s="678"/>
    </row>
    <row r="9596" spans="1:1" x14ac:dyDescent="0.3">
      <c r="A9596" s="678"/>
    </row>
    <row r="9597" spans="1:1" x14ac:dyDescent="0.3">
      <c r="A9597" s="678"/>
    </row>
    <row r="9598" spans="1:1" x14ac:dyDescent="0.3">
      <c r="A9598" s="678"/>
    </row>
    <row r="9599" spans="1:1" x14ac:dyDescent="0.3">
      <c r="A9599" s="678"/>
    </row>
    <row r="9600" spans="1:1" x14ac:dyDescent="0.3">
      <c r="A9600" s="678"/>
    </row>
    <row r="9601" spans="1:1" x14ac:dyDescent="0.3">
      <c r="A9601" s="678"/>
    </row>
    <row r="9602" spans="1:1" x14ac:dyDescent="0.3">
      <c r="A9602" s="678"/>
    </row>
    <row r="9603" spans="1:1" x14ac:dyDescent="0.3">
      <c r="A9603" s="678"/>
    </row>
    <row r="9604" spans="1:1" x14ac:dyDescent="0.3">
      <c r="A9604" s="678"/>
    </row>
    <row r="9605" spans="1:1" x14ac:dyDescent="0.3">
      <c r="A9605" s="678"/>
    </row>
    <row r="9606" spans="1:1" x14ac:dyDescent="0.3">
      <c r="A9606" s="678"/>
    </row>
    <row r="9607" spans="1:1" x14ac:dyDescent="0.3">
      <c r="A9607" s="678"/>
    </row>
    <row r="9608" spans="1:1" x14ac:dyDescent="0.3">
      <c r="A9608" s="678"/>
    </row>
    <row r="9609" spans="1:1" x14ac:dyDescent="0.3">
      <c r="A9609" s="678"/>
    </row>
    <row r="9610" spans="1:1" x14ac:dyDescent="0.3">
      <c r="A9610" s="678"/>
    </row>
    <row r="9611" spans="1:1" x14ac:dyDescent="0.3">
      <c r="A9611" s="678"/>
    </row>
    <row r="9612" spans="1:1" x14ac:dyDescent="0.3">
      <c r="A9612" s="678"/>
    </row>
    <row r="9613" spans="1:1" x14ac:dyDescent="0.3">
      <c r="A9613" s="678"/>
    </row>
    <row r="9614" spans="1:1" x14ac:dyDescent="0.3">
      <c r="A9614" s="678"/>
    </row>
    <row r="9615" spans="1:1" x14ac:dyDescent="0.3">
      <c r="A9615" s="678"/>
    </row>
    <row r="9616" spans="1:1" x14ac:dyDescent="0.3">
      <c r="A9616" s="678"/>
    </row>
    <row r="9617" spans="1:1" x14ac:dyDescent="0.3">
      <c r="A9617" s="678"/>
    </row>
    <row r="9618" spans="1:1" x14ac:dyDescent="0.3">
      <c r="A9618" s="678"/>
    </row>
    <row r="9619" spans="1:1" x14ac:dyDescent="0.3">
      <c r="A9619" s="678"/>
    </row>
    <row r="9620" spans="1:1" x14ac:dyDescent="0.3">
      <c r="A9620" s="678"/>
    </row>
    <row r="9621" spans="1:1" x14ac:dyDescent="0.3">
      <c r="A9621" s="678"/>
    </row>
    <row r="9622" spans="1:1" x14ac:dyDescent="0.3">
      <c r="A9622" s="678"/>
    </row>
    <row r="9623" spans="1:1" x14ac:dyDescent="0.3">
      <c r="A9623" s="678"/>
    </row>
    <row r="9624" spans="1:1" x14ac:dyDescent="0.3">
      <c r="A9624" s="678"/>
    </row>
    <row r="9625" spans="1:1" x14ac:dyDescent="0.3">
      <c r="A9625" s="678"/>
    </row>
    <row r="9626" spans="1:1" x14ac:dyDescent="0.3">
      <c r="A9626" s="678"/>
    </row>
    <row r="9627" spans="1:1" x14ac:dyDescent="0.3">
      <c r="A9627" s="678"/>
    </row>
    <row r="9628" spans="1:1" x14ac:dyDescent="0.3">
      <c r="A9628" s="678"/>
    </row>
    <row r="9629" spans="1:1" x14ac:dyDescent="0.3">
      <c r="A9629" s="678"/>
    </row>
    <row r="9630" spans="1:1" x14ac:dyDescent="0.3">
      <c r="A9630" s="678"/>
    </row>
    <row r="9631" spans="1:1" x14ac:dyDescent="0.3">
      <c r="A9631" s="678"/>
    </row>
    <row r="9632" spans="1:1" x14ac:dyDescent="0.3">
      <c r="A9632" s="678"/>
    </row>
    <row r="9633" spans="1:1" x14ac:dyDescent="0.3">
      <c r="A9633" s="678"/>
    </row>
    <row r="9634" spans="1:1" x14ac:dyDescent="0.3">
      <c r="A9634" s="678"/>
    </row>
    <row r="9635" spans="1:1" x14ac:dyDescent="0.3">
      <c r="A9635" s="678"/>
    </row>
    <row r="9636" spans="1:1" x14ac:dyDescent="0.3">
      <c r="A9636" s="678"/>
    </row>
    <row r="9637" spans="1:1" x14ac:dyDescent="0.3">
      <c r="A9637" s="678"/>
    </row>
    <row r="9638" spans="1:1" x14ac:dyDescent="0.3">
      <c r="A9638" s="678"/>
    </row>
    <row r="9639" spans="1:1" x14ac:dyDescent="0.3">
      <c r="A9639" s="678"/>
    </row>
    <row r="9640" spans="1:1" x14ac:dyDescent="0.3">
      <c r="A9640" s="678"/>
    </row>
    <row r="9641" spans="1:1" x14ac:dyDescent="0.3">
      <c r="A9641" s="678"/>
    </row>
    <row r="9642" spans="1:1" x14ac:dyDescent="0.3">
      <c r="A9642" s="678"/>
    </row>
    <row r="9643" spans="1:1" x14ac:dyDescent="0.3">
      <c r="A9643" s="678"/>
    </row>
    <row r="9644" spans="1:1" x14ac:dyDescent="0.3">
      <c r="A9644" s="678"/>
    </row>
    <row r="9645" spans="1:1" x14ac:dyDescent="0.3">
      <c r="A9645" s="678"/>
    </row>
    <row r="9646" spans="1:1" x14ac:dyDescent="0.3">
      <c r="A9646" s="678"/>
    </row>
    <row r="9647" spans="1:1" x14ac:dyDescent="0.3">
      <c r="A9647" s="678"/>
    </row>
    <row r="9648" spans="1:1" x14ac:dyDescent="0.3">
      <c r="A9648" s="678"/>
    </row>
    <row r="9649" spans="1:1" x14ac:dyDescent="0.3">
      <c r="A9649" s="678"/>
    </row>
    <row r="9650" spans="1:1" x14ac:dyDescent="0.3">
      <c r="A9650" s="678"/>
    </row>
    <row r="9651" spans="1:1" x14ac:dyDescent="0.3">
      <c r="A9651" s="678"/>
    </row>
    <row r="9652" spans="1:1" x14ac:dyDescent="0.3">
      <c r="A9652" s="678"/>
    </row>
    <row r="9653" spans="1:1" x14ac:dyDescent="0.3">
      <c r="A9653" s="678"/>
    </row>
    <row r="9654" spans="1:1" x14ac:dyDescent="0.3">
      <c r="A9654" s="678"/>
    </row>
    <row r="9655" spans="1:1" x14ac:dyDescent="0.3">
      <c r="A9655" s="678"/>
    </row>
    <row r="9656" spans="1:1" x14ac:dyDescent="0.3">
      <c r="A9656" s="678"/>
    </row>
    <row r="9657" spans="1:1" x14ac:dyDescent="0.3">
      <c r="A9657" s="678"/>
    </row>
    <row r="9658" spans="1:1" x14ac:dyDescent="0.3">
      <c r="A9658" s="678"/>
    </row>
    <row r="9659" spans="1:1" x14ac:dyDescent="0.3">
      <c r="A9659" s="678"/>
    </row>
    <row r="9660" spans="1:1" x14ac:dyDescent="0.3">
      <c r="A9660" s="678"/>
    </row>
    <row r="9661" spans="1:1" x14ac:dyDescent="0.3">
      <c r="A9661" s="678"/>
    </row>
    <row r="9662" spans="1:1" x14ac:dyDescent="0.3">
      <c r="A9662" s="678"/>
    </row>
    <row r="9663" spans="1:1" x14ac:dyDescent="0.3">
      <c r="A9663" s="678"/>
    </row>
    <row r="9664" spans="1:1" x14ac:dyDescent="0.3">
      <c r="A9664" s="678"/>
    </row>
    <row r="9665" spans="1:1" x14ac:dyDescent="0.3">
      <c r="A9665" s="678"/>
    </row>
    <row r="9666" spans="1:1" x14ac:dyDescent="0.3">
      <c r="A9666" s="678"/>
    </row>
    <row r="9667" spans="1:1" x14ac:dyDescent="0.3">
      <c r="A9667" s="678"/>
    </row>
    <row r="9668" spans="1:1" x14ac:dyDescent="0.3">
      <c r="A9668" s="678"/>
    </row>
    <row r="9669" spans="1:1" x14ac:dyDescent="0.3">
      <c r="A9669" s="678"/>
    </row>
    <row r="9670" spans="1:1" x14ac:dyDescent="0.3">
      <c r="A9670" s="678"/>
    </row>
    <row r="9671" spans="1:1" x14ac:dyDescent="0.3">
      <c r="A9671" s="678"/>
    </row>
    <row r="9672" spans="1:1" x14ac:dyDescent="0.3">
      <c r="A9672" s="678"/>
    </row>
    <row r="9673" spans="1:1" x14ac:dyDescent="0.3">
      <c r="A9673" s="678"/>
    </row>
    <row r="9674" spans="1:1" x14ac:dyDescent="0.3">
      <c r="A9674" s="678"/>
    </row>
    <row r="9675" spans="1:1" x14ac:dyDescent="0.3">
      <c r="A9675" s="678"/>
    </row>
    <row r="9676" spans="1:1" x14ac:dyDescent="0.3">
      <c r="A9676" s="678"/>
    </row>
    <row r="9677" spans="1:1" x14ac:dyDescent="0.3">
      <c r="A9677" s="678"/>
    </row>
    <row r="9678" spans="1:1" x14ac:dyDescent="0.3">
      <c r="A9678" s="678"/>
    </row>
    <row r="9679" spans="1:1" x14ac:dyDescent="0.3">
      <c r="A9679" s="678"/>
    </row>
    <row r="9680" spans="1:1" x14ac:dyDescent="0.3">
      <c r="A9680" s="678"/>
    </row>
    <row r="9681" spans="1:1" x14ac:dyDescent="0.3">
      <c r="A9681" s="678"/>
    </row>
    <row r="9682" spans="1:1" x14ac:dyDescent="0.3">
      <c r="A9682" s="678"/>
    </row>
    <row r="9683" spans="1:1" x14ac:dyDescent="0.3">
      <c r="A9683" s="678"/>
    </row>
    <row r="9684" spans="1:1" x14ac:dyDescent="0.3">
      <c r="A9684" s="678"/>
    </row>
    <row r="9685" spans="1:1" x14ac:dyDescent="0.3">
      <c r="A9685" s="678"/>
    </row>
    <row r="9686" spans="1:1" x14ac:dyDescent="0.3">
      <c r="A9686" s="678"/>
    </row>
    <row r="9687" spans="1:1" x14ac:dyDescent="0.3">
      <c r="A9687" s="678"/>
    </row>
    <row r="9688" spans="1:1" x14ac:dyDescent="0.3">
      <c r="A9688" s="678"/>
    </row>
    <row r="9689" spans="1:1" x14ac:dyDescent="0.3">
      <c r="A9689" s="678"/>
    </row>
    <row r="9690" spans="1:1" x14ac:dyDescent="0.3">
      <c r="A9690" s="678"/>
    </row>
    <row r="9691" spans="1:1" x14ac:dyDescent="0.3">
      <c r="A9691" s="678"/>
    </row>
    <row r="9692" spans="1:1" x14ac:dyDescent="0.3">
      <c r="A9692" s="678"/>
    </row>
    <row r="9693" spans="1:1" x14ac:dyDescent="0.3">
      <c r="A9693" s="678"/>
    </row>
    <row r="9694" spans="1:1" x14ac:dyDescent="0.3">
      <c r="A9694" s="678"/>
    </row>
    <row r="9695" spans="1:1" x14ac:dyDescent="0.3">
      <c r="A9695" s="678"/>
    </row>
    <row r="9696" spans="1:1" x14ac:dyDescent="0.3">
      <c r="A9696" s="678"/>
    </row>
    <row r="9697" spans="1:1" x14ac:dyDescent="0.3">
      <c r="A9697" s="678"/>
    </row>
    <row r="9698" spans="1:1" x14ac:dyDescent="0.3">
      <c r="A9698" s="678"/>
    </row>
    <row r="9699" spans="1:1" x14ac:dyDescent="0.3">
      <c r="A9699" s="678"/>
    </row>
    <row r="9700" spans="1:1" x14ac:dyDescent="0.3">
      <c r="A9700" s="678"/>
    </row>
    <row r="9701" spans="1:1" x14ac:dyDescent="0.3">
      <c r="A9701" s="678"/>
    </row>
    <row r="9702" spans="1:1" x14ac:dyDescent="0.3">
      <c r="A9702" s="678"/>
    </row>
    <row r="9703" spans="1:1" x14ac:dyDescent="0.3">
      <c r="A9703" s="678"/>
    </row>
    <row r="9704" spans="1:1" x14ac:dyDescent="0.3">
      <c r="A9704" s="678"/>
    </row>
    <row r="9705" spans="1:1" x14ac:dyDescent="0.3">
      <c r="A9705" s="678"/>
    </row>
    <row r="9706" spans="1:1" x14ac:dyDescent="0.3">
      <c r="A9706" s="678"/>
    </row>
    <row r="9707" spans="1:1" x14ac:dyDescent="0.3">
      <c r="A9707" s="678"/>
    </row>
    <row r="9708" spans="1:1" x14ac:dyDescent="0.3">
      <c r="A9708" s="678"/>
    </row>
    <row r="9709" spans="1:1" x14ac:dyDescent="0.3">
      <c r="A9709" s="678"/>
    </row>
    <row r="9710" spans="1:1" x14ac:dyDescent="0.3">
      <c r="A9710" s="678"/>
    </row>
    <row r="9711" spans="1:1" x14ac:dyDescent="0.3">
      <c r="A9711" s="678"/>
    </row>
    <row r="9712" spans="1:1" x14ac:dyDescent="0.3">
      <c r="A9712" s="678"/>
    </row>
    <row r="9713" spans="1:1" x14ac:dyDescent="0.3">
      <c r="A9713" s="678"/>
    </row>
    <row r="9714" spans="1:1" x14ac:dyDescent="0.3">
      <c r="A9714" s="678"/>
    </row>
    <row r="9715" spans="1:1" x14ac:dyDescent="0.3">
      <c r="A9715" s="678"/>
    </row>
    <row r="9716" spans="1:1" x14ac:dyDescent="0.3">
      <c r="A9716" s="678"/>
    </row>
    <row r="9717" spans="1:1" x14ac:dyDescent="0.3">
      <c r="A9717" s="678"/>
    </row>
    <row r="9718" spans="1:1" x14ac:dyDescent="0.3">
      <c r="A9718" s="678"/>
    </row>
    <row r="9719" spans="1:1" x14ac:dyDescent="0.3">
      <c r="A9719" s="678"/>
    </row>
    <row r="9720" spans="1:1" x14ac:dyDescent="0.3">
      <c r="A9720" s="678"/>
    </row>
    <row r="9721" spans="1:1" x14ac:dyDescent="0.3">
      <c r="A9721" s="678"/>
    </row>
    <row r="9722" spans="1:1" x14ac:dyDescent="0.3">
      <c r="A9722" s="678"/>
    </row>
    <row r="9723" spans="1:1" x14ac:dyDescent="0.3">
      <c r="A9723" s="678"/>
    </row>
    <row r="9724" spans="1:1" x14ac:dyDescent="0.3">
      <c r="A9724" s="678"/>
    </row>
    <row r="9725" spans="1:1" x14ac:dyDescent="0.3">
      <c r="A9725" s="678"/>
    </row>
    <row r="9726" spans="1:1" x14ac:dyDescent="0.3">
      <c r="A9726" s="678"/>
    </row>
    <row r="9727" spans="1:1" x14ac:dyDescent="0.3">
      <c r="A9727" s="678"/>
    </row>
    <row r="9728" spans="1:1" x14ac:dyDescent="0.3">
      <c r="A9728" s="678"/>
    </row>
    <row r="9729" spans="1:1" x14ac:dyDescent="0.3">
      <c r="A9729" s="678"/>
    </row>
    <row r="9730" spans="1:1" x14ac:dyDescent="0.3">
      <c r="A9730" s="678"/>
    </row>
    <row r="9731" spans="1:1" x14ac:dyDescent="0.3">
      <c r="A9731" s="678"/>
    </row>
    <row r="9732" spans="1:1" x14ac:dyDescent="0.3">
      <c r="A9732" s="678"/>
    </row>
    <row r="9733" spans="1:1" x14ac:dyDescent="0.3">
      <c r="A9733" s="678"/>
    </row>
    <row r="9734" spans="1:1" x14ac:dyDescent="0.3">
      <c r="A9734" s="678"/>
    </row>
    <row r="9735" spans="1:1" x14ac:dyDescent="0.3">
      <c r="A9735" s="678"/>
    </row>
    <row r="9736" spans="1:1" x14ac:dyDescent="0.3">
      <c r="A9736" s="678"/>
    </row>
    <row r="9737" spans="1:1" x14ac:dyDescent="0.3">
      <c r="A9737" s="678"/>
    </row>
    <row r="9738" spans="1:1" x14ac:dyDescent="0.3">
      <c r="A9738" s="678"/>
    </row>
    <row r="9739" spans="1:1" x14ac:dyDescent="0.3">
      <c r="A9739" s="678"/>
    </row>
    <row r="9740" spans="1:1" x14ac:dyDescent="0.3">
      <c r="A9740" s="678"/>
    </row>
    <row r="9741" spans="1:1" x14ac:dyDescent="0.3">
      <c r="A9741" s="678"/>
    </row>
    <row r="9742" spans="1:1" x14ac:dyDescent="0.3">
      <c r="A9742" s="678"/>
    </row>
    <row r="9743" spans="1:1" x14ac:dyDescent="0.3">
      <c r="A9743" s="678"/>
    </row>
    <row r="9744" spans="1:1" x14ac:dyDescent="0.3">
      <c r="A9744" s="678"/>
    </row>
    <row r="9745" spans="1:1" x14ac:dyDescent="0.3">
      <c r="A9745" s="678"/>
    </row>
    <row r="9746" spans="1:1" x14ac:dyDescent="0.3">
      <c r="A9746" s="678"/>
    </row>
    <row r="9747" spans="1:1" x14ac:dyDescent="0.3">
      <c r="A9747" s="678"/>
    </row>
    <row r="9748" spans="1:1" x14ac:dyDescent="0.3">
      <c r="A9748" s="678"/>
    </row>
    <row r="9749" spans="1:1" x14ac:dyDescent="0.3">
      <c r="A9749" s="678"/>
    </row>
    <row r="9750" spans="1:1" x14ac:dyDescent="0.3">
      <c r="A9750" s="678"/>
    </row>
    <row r="9751" spans="1:1" x14ac:dyDescent="0.3">
      <c r="A9751" s="678"/>
    </row>
    <row r="9752" spans="1:1" x14ac:dyDescent="0.3">
      <c r="A9752" s="678"/>
    </row>
    <row r="9753" spans="1:1" x14ac:dyDescent="0.3">
      <c r="A9753" s="678"/>
    </row>
    <row r="9754" spans="1:1" x14ac:dyDescent="0.3">
      <c r="A9754" s="678"/>
    </row>
    <row r="9755" spans="1:1" x14ac:dyDescent="0.3">
      <c r="A9755" s="678"/>
    </row>
    <row r="9756" spans="1:1" x14ac:dyDescent="0.3">
      <c r="A9756" s="678"/>
    </row>
    <row r="9757" spans="1:1" x14ac:dyDescent="0.3">
      <c r="A9757" s="678"/>
    </row>
    <row r="9758" spans="1:1" x14ac:dyDescent="0.3">
      <c r="A9758" s="678"/>
    </row>
    <row r="9759" spans="1:1" x14ac:dyDescent="0.3">
      <c r="A9759" s="678"/>
    </row>
    <row r="9760" spans="1:1" x14ac:dyDescent="0.3">
      <c r="A9760" s="678"/>
    </row>
    <row r="9761" spans="1:1" x14ac:dyDescent="0.3">
      <c r="A9761" s="678"/>
    </row>
    <row r="9762" spans="1:1" x14ac:dyDescent="0.3">
      <c r="A9762" s="678"/>
    </row>
    <row r="9763" spans="1:1" x14ac:dyDescent="0.3">
      <c r="A9763" s="678"/>
    </row>
    <row r="9764" spans="1:1" x14ac:dyDescent="0.3">
      <c r="A9764" s="678"/>
    </row>
    <row r="9765" spans="1:1" x14ac:dyDescent="0.3">
      <c r="A9765" s="678"/>
    </row>
    <row r="9766" spans="1:1" x14ac:dyDescent="0.3">
      <c r="A9766" s="678"/>
    </row>
    <row r="9767" spans="1:1" x14ac:dyDescent="0.3">
      <c r="A9767" s="678"/>
    </row>
    <row r="9768" spans="1:1" x14ac:dyDescent="0.3">
      <c r="A9768" s="678"/>
    </row>
    <row r="9769" spans="1:1" x14ac:dyDescent="0.3">
      <c r="A9769" s="678"/>
    </row>
    <row r="9770" spans="1:1" x14ac:dyDescent="0.3">
      <c r="A9770" s="678"/>
    </row>
    <row r="9771" spans="1:1" x14ac:dyDescent="0.3">
      <c r="A9771" s="678"/>
    </row>
    <row r="9772" spans="1:1" x14ac:dyDescent="0.3">
      <c r="A9772" s="678"/>
    </row>
    <row r="9773" spans="1:1" x14ac:dyDescent="0.3">
      <c r="A9773" s="678"/>
    </row>
    <row r="9774" spans="1:1" x14ac:dyDescent="0.3">
      <c r="A9774" s="678"/>
    </row>
    <row r="9775" spans="1:1" x14ac:dyDescent="0.3">
      <c r="A9775" s="678"/>
    </row>
    <row r="9776" spans="1:1" x14ac:dyDescent="0.3">
      <c r="A9776" s="678"/>
    </row>
    <row r="9777" spans="1:1" x14ac:dyDescent="0.3">
      <c r="A9777" s="678"/>
    </row>
    <row r="9778" spans="1:1" x14ac:dyDescent="0.3">
      <c r="A9778" s="678"/>
    </row>
    <row r="9779" spans="1:1" x14ac:dyDescent="0.3">
      <c r="A9779" s="678"/>
    </row>
    <row r="9780" spans="1:1" x14ac:dyDescent="0.3">
      <c r="A9780" s="678"/>
    </row>
    <row r="9781" spans="1:1" x14ac:dyDescent="0.3">
      <c r="A9781" s="678"/>
    </row>
    <row r="9782" spans="1:1" x14ac:dyDescent="0.3">
      <c r="A9782" s="678"/>
    </row>
    <row r="9783" spans="1:1" x14ac:dyDescent="0.3">
      <c r="A9783" s="678"/>
    </row>
    <row r="9784" spans="1:1" x14ac:dyDescent="0.3">
      <c r="A9784" s="678"/>
    </row>
    <row r="9785" spans="1:1" x14ac:dyDescent="0.3">
      <c r="A9785" s="678"/>
    </row>
    <row r="9786" spans="1:1" x14ac:dyDescent="0.3">
      <c r="A9786" s="678"/>
    </row>
    <row r="9787" spans="1:1" x14ac:dyDescent="0.3">
      <c r="A9787" s="678"/>
    </row>
    <row r="9788" spans="1:1" x14ac:dyDescent="0.3">
      <c r="A9788" s="678"/>
    </row>
    <row r="9789" spans="1:1" x14ac:dyDescent="0.3">
      <c r="A9789" s="678"/>
    </row>
    <row r="9790" spans="1:1" x14ac:dyDescent="0.3">
      <c r="A9790" s="678"/>
    </row>
    <row r="9791" spans="1:1" x14ac:dyDescent="0.3">
      <c r="A9791" s="678"/>
    </row>
    <row r="9792" spans="1:1" x14ac:dyDescent="0.3">
      <c r="A9792" s="678"/>
    </row>
    <row r="9793" spans="1:1" x14ac:dyDescent="0.3">
      <c r="A9793" s="678"/>
    </row>
    <row r="9794" spans="1:1" x14ac:dyDescent="0.3">
      <c r="A9794" s="678"/>
    </row>
    <row r="9795" spans="1:1" x14ac:dyDescent="0.3">
      <c r="A9795" s="678"/>
    </row>
    <row r="9796" spans="1:1" x14ac:dyDescent="0.3">
      <c r="A9796" s="678"/>
    </row>
    <row r="9797" spans="1:1" x14ac:dyDescent="0.3">
      <c r="A9797" s="678"/>
    </row>
    <row r="9798" spans="1:1" x14ac:dyDescent="0.3">
      <c r="A9798" s="678"/>
    </row>
    <row r="9799" spans="1:1" x14ac:dyDescent="0.3">
      <c r="A9799" s="678"/>
    </row>
    <row r="9800" spans="1:1" x14ac:dyDescent="0.3">
      <c r="A9800" s="678"/>
    </row>
    <row r="9801" spans="1:1" x14ac:dyDescent="0.3">
      <c r="A9801" s="678"/>
    </row>
    <row r="9802" spans="1:1" x14ac:dyDescent="0.3">
      <c r="A9802" s="678"/>
    </row>
    <row r="9803" spans="1:1" x14ac:dyDescent="0.3">
      <c r="A9803" s="678"/>
    </row>
    <row r="9804" spans="1:1" x14ac:dyDescent="0.3">
      <c r="A9804" s="678"/>
    </row>
    <row r="9805" spans="1:1" x14ac:dyDescent="0.3">
      <c r="A9805" s="678"/>
    </row>
    <row r="9806" spans="1:1" x14ac:dyDescent="0.3">
      <c r="A9806" s="678"/>
    </row>
    <row r="9807" spans="1:1" x14ac:dyDescent="0.3">
      <c r="A9807" s="678"/>
    </row>
    <row r="9808" spans="1:1" x14ac:dyDescent="0.3">
      <c r="A9808" s="678"/>
    </row>
    <row r="9809" spans="1:1" x14ac:dyDescent="0.3">
      <c r="A9809" s="678"/>
    </row>
    <row r="9810" spans="1:1" x14ac:dyDescent="0.3">
      <c r="A9810" s="678"/>
    </row>
    <row r="9811" spans="1:1" x14ac:dyDescent="0.3">
      <c r="A9811" s="678"/>
    </row>
    <row r="9812" spans="1:1" x14ac:dyDescent="0.3">
      <c r="A9812" s="678"/>
    </row>
    <row r="9813" spans="1:1" x14ac:dyDescent="0.3">
      <c r="A9813" s="678"/>
    </row>
    <row r="9814" spans="1:1" x14ac:dyDescent="0.3">
      <c r="A9814" s="678"/>
    </row>
    <row r="9815" spans="1:1" x14ac:dyDescent="0.3">
      <c r="A9815" s="678"/>
    </row>
    <row r="9816" spans="1:1" x14ac:dyDescent="0.3">
      <c r="A9816" s="678"/>
    </row>
    <row r="9817" spans="1:1" x14ac:dyDescent="0.3">
      <c r="A9817" s="678"/>
    </row>
    <row r="9818" spans="1:1" x14ac:dyDescent="0.3">
      <c r="A9818" s="678"/>
    </row>
    <row r="9819" spans="1:1" x14ac:dyDescent="0.3">
      <c r="A9819" s="678"/>
    </row>
    <row r="9820" spans="1:1" x14ac:dyDescent="0.3">
      <c r="A9820" s="678"/>
    </row>
    <row r="9821" spans="1:1" x14ac:dyDescent="0.3">
      <c r="A9821" s="678"/>
    </row>
    <row r="9822" spans="1:1" x14ac:dyDescent="0.3">
      <c r="A9822" s="678"/>
    </row>
    <row r="9823" spans="1:1" x14ac:dyDescent="0.3">
      <c r="A9823" s="678"/>
    </row>
    <row r="9824" spans="1:1" x14ac:dyDescent="0.3">
      <c r="A9824" s="678"/>
    </row>
    <row r="9825" spans="1:1" x14ac:dyDescent="0.3">
      <c r="A9825" s="678"/>
    </row>
    <row r="9826" spans="1:1" x14ac:dyDescent="0.3">
      <c r="A9826" s="678"/>
    </row>
    <row r="9827" spans="1:1" x14ac:dyDescent="0.3">
      <c r="A9827" s="678"/>
    </row>
    <row r="9828" spans="1:1" x14ac:dyDescent="0.3">
      <c r="A9828" s="678"/>
    </row>
    <row r="9829" spans="1:1" x14ac:dyDescent="0.3">
      <c r="A9829" s="678"/>
    </row>
    <row r="9830" spans="1:1" x14ac:dyDescent="0.3">
      <c r="A9830" s="678"/>
    </row>
    <row r="9831" spans="1:1" x14ac:dyDescent="0.3">
      <c r="A9831" s="678"/>
    </row>
    <row r="9832" spans="1:1" x14ac:dyDescent="0.3">
      <c r="A9832" s="678"/>
    </row>
    <row r="9833" spans="1:1" x14ac:dyDescent="0.3">
      <c r="A9833" s="678"/>
    </row>
    <row r="9834" spans="1:1" x14ac:dyDescent="0.3">
      <c r="A9834" s="678"/>
    </row>
    <row r="9835" spans="1:1" x14ac:dyDescent="0.3">
      <c r="A9835" s="678"/>
    </row>
    <row r="9836" spans="1:1" x14ac:dyDescent="0.3">
      <c r="A9836" s="678"/>
    </row>
    <row r="9837" spans="1:1" x14ac:dyDescent="0.3">
      <c r="A9837" s="678"/>
    </row>
    <row r="9838" spans="1:1" x14ac:dyDescent="0.3">
      <c r="A9838" s="678"/>
    </row>
    <row r="9839" spans="1:1" x14ac:dyDescent="0.3">
      <c r="A9839" s="678"/>
    </row>
    <row r="9840" spans="1:1" x14ac:dyDescent="0.3">
      <c r="A9840" s="678"/>
    </row>
    <row r="9841" spans="1:1" x14ac:dyDescent="0.3">
      <c r="A9841" s="678"/>
    </row>
    <row r="9842" spans="1:1" x14ac:dyDescent="0.3">
      <c r="A9842" s="678"/>
    </row>
    <row r="9843" spans="1:1" x14ac:dyDescent="0.3">
      <c r="A9843" s="678"/>
    </row>
    <row r="9844" spans="1:1" x14ac:dyDescent="0.3">
      <c r="A9844" s="678"/>
    </row>
    <row r="9845" spans="1:1" x14ac:dyDescent="0.3">
      <c r="A9845" s="678"/>
    </row>
    <row r="9846" spans="1:1" x14ac:dyDescent="0.3">
      <c r="A9846" s="678"/>
    </row>
    <row r="9847" spans="1:1" x14ac:dyDescent="0.3">
      <c r="A9847" s="678"/>
    </row>
    <row r="9848" spans="1:1" x14ac:dyDescent="0.3">
      <c r="A9848" s="678"/>
    </row>
    <row r="9849" spans="1:1" x14ac:dyDescent="0.3">
      <c r="A9849" s="678"/>
    </row>
    <row r="9850" spans="1:1" x14ac:dyDescent="0.3">
      <c r="A9850" s="678"/>
    </row>
    <row r="9851" spans="1:1" x14ac:dyDescent="0.3">
      <c r="A9851" s="678"/>
    </row>
    <row r="9852" spans="1:1" x14ac:dyDescent="0.3">
      <c r="A9852" s="678"/>
    </row>
    <row r="9853" spans="1:1" x14ac:dyDescent="0.3">
      <c r="A9853" s="678"/>
    </row>
    <row r="9854" spans="1:1" x14ac:dyDescent="0.3">
      <c r="A9854" s="678"/>
    </row>
    <row r="9855" spans="1:1" x14ac:dyDescent="0.3">
      <c r="A9855" s="678"/>
    </row>
    <row r="9856" spans="1:1" x14ac:dyDescent="0.3">
      <c r="A9856" s="678"/>
    </row>
    <row r="9857" spans="1:1" x14ac:dyDescent="0.3">
      <c r="A9857" s="678"/>
    </row>
    <row r="9858" spans="1:1" x14ac:dyDescent="0.3">
      <c r="A9858" s="678"/>
    </row>
    <row r="9859" spans="1:1" x14ac:dyDescent="0.3">
      <c r="A9859" s="678"/>
    </row>
    <row r="9860" spans="1:1" x14ac:dyDescent="0.3">
      <c r="A9860" s="678"/>
    </row>
    <row r="9861" spans="1:1" x14ac:dyDescent="0.3">
      <c r="A9861" s="678"/>
    </row>
    <row r="9862" spans="1:1" x14ac:dyDescent="0.3">
      <c r="A9862" s="678"/>
    </row>
    <row r="9863" spans="1:1" x14ac:dyDescent="0.3">
      <c r="A9863" s="678"/>
    </row>
    <row r="9864" spans="1:1" x14ac:dyDescent="0.3">
      <c r="A9864" s="678"/>
    </row>
    <row r="9865" spans="1:1" x14ac:dyDescent="0.3">
      <c r="A9865" s="678"/>
    </row>
    <row r="9866" spans="1:1" x14ac:dyDescent="0.3">
      <c r="A9866" s="678"/>
    </row>
    <row r="9867" spans="1:1" x14ac:dyDescent="0.3">
      <c r="A9867" s="678"/>
    </row>
    <row r="9868" spans="1:1" x14ac:dyDescent="0.3">
      <c r="A9868" s="678"/>
    </row>
    <row r="9869" spans="1:1" x14ac:dyDescent="0.3">
      <c r="A9869" s="678"/>
    </row>
    <row r="9870" spans="1:1" x14ac:dyDescent="0.3">
      <c r="A9870" s="678"/>
    </row>
    <row r="9871" spans="1:1" x14ac:dyDescent="0.3">
      <c r="A9871" s="678"/>
    </row>
    <row r="9872" spans="1:1" x14ac:dyDescent="0.3">
      <c r="A9872" s="678"/>
    </row>
    <row r="9873" spans="1:1" x14ac:dyDescent="0.3">
      <c r="A9873" s="678"/>
    </row>
    <row r="9874" spans="1:1" x14ac:dyDescent="0.3">
      <c r="A9874" s="678"/>
    </row>
    <row r="9875" spans="1:1" x14ac:dyDescent="0.3">
      <c r="A9875" s="678"/>
    </row>
    <row r="9876" spans="1:1" x14ac:dyDescent="0.3">
      <c r="A9876" s="678"/>
    </row>
    <row r="9877" spans="1:1" x14ac:dyDescent="0.3">
      <c r="A9877" s="678"/>
    </row>
    <row r="9878" spans="1:1" x14ac:dyDescent="0.3">
      <c r="A9878" s="678"/>
    </row>
    <row r="9879" spans="1:1" x14ac:dyDescent="0.3">
      <c r="A9879" s="678"/>
    </row>
    <row r="9880" spans="1:1" x14ac:dyDescent="0.3">
      <c r="A9880" s="678"/>
    </row>
    <row r="9881" spans="1:1" x14ac:dyDescent="0.3">
      <c r="A9881" s="678"/>
    </row>
    <row r="9882" spans="1:1" x14ac:dyDescent="0.3">
      <c r="A9882" s="678"/>
    </row>
    <row r="9883" spans="1:1" x14ac:dyDescent="0.3">
      <c r="A9883" s="678"/>
    </row>
    <row r="9884" spans="1:1" x14ac:dyDescent="0.3">
      <c r="A9884" s="678"/>
    </row>
    <row r="9885" spans="1:1" x14ac:dyDescent="0.3">
      <c r="A9885" s="678"/>
    </row>
    <row r="9886" spans="1:1" x14ac:dyDescent="0.3">
      <c r="A9886" s="678"/>
    </row>
    <row r="9887" spans="1:1" x14ac:dyDescent="0.3">
      <c r="A9887" s="678"/>
    </row>
    <row r="9888" spans="1:1" x14ac:dyDescent="0.3">
      <c r="A9888" s="678"/>
    </row>
    <row r="9889" spans="1:1" x14ac:dyDescent="0.3">
      <c r="A9889" s="678"/>
    </row>
    <row r="9890" spans="1:1" x14ac:dyDescent="0.3">
      <c r="A9890" s="678"/>
    </row>
    <row r="9891" spans="1:1" x14ac:dyDescent="0.3">
      <c r="A9891" s="678"/>
    </row>
    <row r="9892" spans="1:1" x14ac:dyDescent="0.3">
      <c r="A9892" s="678"/>
    </row>
    <row r="9893" spans="1:1" x14ac:dyDescent="0.3">
      <c r="A9893" s="678"/>
    </row>
    <row r="9894" spans="1:1" x14ac:dyDescent="0.3">
      <c r="A9894" s="678"/>
    </row>
    <row r="9895" spans="1:1" x14ac:dyDescent="0.3">
      <c r="A9895" s="678"/>
    </row>
    <row r="9896" spans="1:1" x14ac:dyDescent="0.3">
      <c r="A9896" s="678"/>
    </row>
    <row r="9897" spans="1:1" x14ac:dyDescent="0.3">
      <c r="A9897" s="678"/>
    </row>
    <row r="9898" spans="1:1" x14ac:dyDescent="0.3">
      <c r="A9898" s="678"/>
    </row>
    <row r="9899" spans="1:1" x14ac:dyDescent="0.3">
      <c r="A9899" s="678"/>
    </row>
    <row r="9900" spans="1:1" x14ac:dyDescent="0.3">
      <c r="A9900" s="678"/>
    </row>
    <row r="9901" spans="1:1" x14ac:dyDescent="0.3">
      <c r="A9901" s="678"/>
    </row>
    <row r="9902" spans="1:1" x14ac:dyDescent="0.3">
      <c r="A9902" s="678"/>
    </row>
    <row r="9903" spans="1:1" x14ac:dyDescent="0.3">
      <c r="A9903" s="678"/>
    </row>
    <row r="9904" spans="1:1" x14ac:dyDescent="0.3">
      <c r="A9904" s="678"/>
    </row>
    <row r="9905" spans="1:1" x14ac:dyDescent="0.3">
      <c r="A9905" s="678"/>
    </row>
    <row r="9906" spans="1:1" x14ac:dyDescent="0.3">
      <c r="A9906" s="678"/>
    </row>
    <row r="9907" spans="1:1" x14ac:dyDescent="0.3">
      <c r="A9907" s="678"/>
    </row>
    <row r="9908" spans="1:1" x14ac:dyDescent="0.3">
      <c r="A9908" s="678"/>
    </row>
    <row r="9909" spans="1:1" x14ac:dyDescent="0.3">
      <c r="A9909" s="678"/>
    </row>
    <row r="9910" spans="1:1" x14ac:dyDescent="0.3">
      <c r="A9910" s="678"/>
    </row>
    <row r="9911" spans="1:1" x14ac:dyDescent="0.3">
      <c r="A9911" s="678"/>
    </row>
    <row r="9912" spans="1:1" x14ac:dyDescent="0.3">
      <c r="A9912" s="678"/>
    </row>
    <row r="9913" spans="1:1" x14ac:dyDescent="0.3">
      <c r="A9913" s="678"/>
    </row>
    <row r="9914" spans="1:1" x14ac:dyDescent="0.3">
      <c r="A9914" s="678"/>
    </row>
    <row r="9915" spans="1:1" x14ac:dyDescent="0.3">
      <c r="A9915" s="678"/>
    </row>
    <row r="9916" spans="1:1" x14ac:dyDescent="0.3">
      <c r="A9916" s="678"/>
    </row>
    <row r="9917" spans="1:1" x14ac:dyDescent="0.3">
      <c r="A9917" s="678"/>
    </row>
    <row r="9918" spans="1:1" x14ac:dyDescent="0.3">
      <c r="A9918" s="678"/>
    </row>
    <row r="9919" spans="1:1" x14ac:dyDescent="0.3">
      <c r="A9919" s="678"/>
    </row>
    <row r="9920" spans="1:1" x14ac:dyDescent="0.3">
      <c r="A9920" s="678"/>
    </row>
    <row r="9921" spans="1:1" x14ac:dyDescent="0.3">
      <c r="A9921" s="678"/>
    </row>
    <row r="9922" spans="1:1" x14ac:dyDescent="0.3">
      <c r="A9922" s="678"/>
    </row>
    <row r="9923" spans="1:1" x14ac:dyDescent="0.3">
      <c r="A9923" s="678"/>
    </row>
    <row r="9924" spans="1:1" x14ac:dyDescent="0.3">
      <c r="A9924" s="678"/>
    </row>
    <row r="9925" spans="1:1" x14ac:dyDescent="0.3">
      <c r="A9925" s="678"/>
    </row>
    <row r="9926" spans="1:1" x14ac:dyDescent="0.3">
      <c r="A9926" s="678"/>
    </row>
    <row r="9927" spans="1:1" x14ac:dyDescent="0.3">
      <c r="A9927" s="678"/>
    </row>
    <row r="9928" spans="1:1" x14ac:dyDescent="0.3">
      <c r="A9928" s="678"/>
    </row>
    <row r="9929" spans="1:1" x14ac:dyDescent="0.3">
      <c r="A9929" s="678"/>
    </row>
    <row r="9930" spans="1:1" x14ac:dyDescent="0.3">
      <c r="A9930" s="678"/>
    </row>
    <row r="9931" spans="1:1" x14ac:dyDescent="0.3">
      <c r="A9931" s="678"/>
    </row>
    <row r="9932" spans="1:1" x14ac:dyDescent="0.3">
      <c r="A9932" s="678"/>
    </row>
    <row r="9933" spans="1:1" x14ac:dyDescent="0.3">
      <c r="A9933" s="678"/>
    </row>
    <row r="9934" spans="1:1" x14ac:dyDescent="0.3">
      <c r="A9934" s="678"/>
    </row>
    <row r="9935" spans="1:1" x14ac:dyDescent="0.3">
      <c r="A9935" s="678"/>
    </row>
    <row r="9936" spans="1:1" x14ac:dyDescent="0.3">
      <c r="A9936" s="678"/>
    </row>
    <row r="9937" spans="1:1" x14ac:dyDescent="0.3">
      <c r="A9937" s="678"/>
    </row>
    <row r="9938" spans="1:1" x14ac:dyDescent="0.3">
      <c r="A9938" s="678"/>
    </row>
    <row r="9939" spans="1:1" x14ac:dyDescent="0.3">
      <c r="A9939" s="678"/>
    </row>
    <row r="9940" spans="1:1" x14ac:dyDescent="0.3">
      <c r="A9940" s="678"/>
    </row>
    <row r="9941" spans="1:1" x14ac:dyDescent="0.3">
      <c r="A9941" s="678"/>
    </row>
    <row r="9942" spans="1:1" x14ac:dyDescent="0.3">
      <c r="A9942" s="678"/>
    </row>
    <row r="9943" spans="1:1" x14ac:dyDescent="0.3">
      <c r="A9943" s="678"/>
    </row>
    <row r="9944" spans="1:1" x14ac:dyDescent="0.3">
      <c r="A9944" s="678"/>
    </row>
    <row r="9945" spans="1:1" x14ac:dyDescent="0.3">
      <c r="A9945" s="678"/>
    </row>
    <row r="9946" spans="1:1" x14ac:dyDescent="0.3">
      <c r="A9946" s="678"/>
    </row>
    <row r="9947" spans="1:1" x14ac:dyDescent="0.3">
      <c r="A9947" s="678"/>
    </row>
    <row r="9948" spans="1:1" x14ac:dyDescent="0.3">
      <c r="A9948" s="678"/>
    </row>
    <row r="9949" spans="1:1" x14ac:dyDescent="0.3">
      <c r="A9949" s="678"/>
    </row>
    <row r="9950" spans="1:1" x14ac:dyDescent="0.3">
      <c r="A9950" s="678"/>
    </row>
    <row r="9951" spans="1:1" x14ac:dyDescent="0.3">
      <c r="A9951" s="678"/>
    </row>
    <row r="9952" spans="1:1" x14ac:dyDescent="0.3">
      <c r="A9952" s="678"/>
    </row>
    <row r="9953" spans="1:1" x14ac:dyDescent="0.3">
      <c r="A9953" s="678"/>
    </row>
    <row r="9954" spans="1:1" x14ac:dyDescent="0.3">
      <c r="A9954" s="678"/>
    </row>
    <row r="9955" spans="1:1" x14ac:dyDescent="0.3">
      <c r="A9955" s="678"/>
    </row>
    <row r="9956" spans="1:1" x14ac:dyDescent="0.3">
      <c r="A9956" s="678"/>
    </row>
    <row r="9957" spans="1:1" x14ac:dyDescent="0.3">
      <c r="A9957" s="678"/>
    </row>
    <row r="9958" spans="1:1" x14ac:dyDescent="0.3">
      <c r="A9958" s="678"/>
    </row>
    <row r="9959" spans="1:1" x14ac:dyDescent="0.3">
      <c r="A9959" s="678"/>
    </row>
    <row r="9960" spans="1:1" x14ac:dyDescent="0.3">
      <c r="A9960" s="678"/>
    </row>
    <row r="9961" spans="1:1" x14ac:dyDescent="0.3">
      <c r="A9961" s="678"/>
    </row>
    <row r="9962" spans="1:1" x14ac:dyDescent="0.3">
      <c r="A9962" s="678"/>
    </row>
    <row r="9963" spans="1:1" x14ac:dyDescent="0.3">
      <c r="A9963" s="678"/>
    </row>
    <row r="9964" spans="1:1" x14ac:dyDescent="0.3">
      <c r="A9964" s="678"/>
    </row>
    <row r="9965" spans="1:1" x14ac:dyDescent="0.3">
      <c r="A9965" s="678"/>
    </row>
    <row r="9966" spans="1:1" x14ac:dyDescent="0.3">
      <c r="A9966" s="678"/>
    </row>
    <row r="9967" spans="1:1" x14ac:dyDescent="0.3">
      <c r="A9967" s="678"/>
    </row>
    <row r="9968" spans="1:1" x14ac:dyDescent="0.3">
      <c r="A9968" s="678"/>
    </row>
    <row r="9969" spans="1:1" x14ac:dyDescent="0.3">
      <c r="A9969" s="678"/>
    </row>
    <row r="9970" spans="1:1" x14ac:dyDescent="0.3">
      <c r="A9970" s="678"/>
    </row>
    <row r="9971" spans="1:1" x14ac:dyDescent="0.3">
      <c r="A9971" s="678"/>
    </row>
    <row r="9972" spans="1:1" x14ac:dyDescent="0.3">
      <c r="A9972" s="678"/>
    </row>
    <row r="9973" spans="1:1" x14ac:dyDescent="0.3">
      <c r="A9973" s="678"/>
    </row>
    <row r="9974" spans="1:1" x14ac:dyDescent="0.3">
      <c r="A9974" s="678"/>
    </row>
    <row r="9975" spans="1:1" x14ac:dyDescent="0.3">
      <c r="A9975" s="678"/>
    </row>
    <row r="9976" spans="1:1" x14ac:dyDescent="0.3">
      <c r="A9976" s="678"/>
    </row>
    <row r="9977" spans="1:1" x14ac:dyDescent="0.3">
      <c r="A9977" s="678"/>
    </row>
    <row r="9978" spans="1:1" x14ac:dyDescent="0.3">
      <c r="A9978" s="678"/>
    </row>
    <row r="9979" spans="1:1" x14ac:dyDescent="0.3">
      <c r="A9979" s="678"/>
    </row>
    <row r="9980" spans="1:1" x14ac:dyDescent="0.3">
      <c r="A9980" s="678"/>
    </row>
    <row r="9981" spans="1:1" x14ac:dyDescent="0.3">
      <c r="A9981" s="678"/>
    </row>
    <row r="9982" spans="1:1" x14ac:dyDescent="0.3">
      <c r="A9982" s="678"/>
    </row>
    <row r="9983" spans="1:1" x14ac:dyDescent="0.3">
      <c r="A9983" s="678"/>
    </row>
    <row r="9984" spans="1:1" x14ac:dyDescent="0.3">
      <c r="A9984" s="678"/>
    </row>
    <row r="9985" spans="1:1" x14ac:dyDescent="0.3">
      <c r="A9985" s="678"/>
    </row>
    <row r="9986" spans="1:1" x14ac:dyDescent="0.3">
      <c r="A9986" s="678"/>
    </row>
    <row r="9987" spans="1:1" x14ac:dyDescent="0.3">
      <c r="A9987" s="678"/>
    </row>
    <row r="9988" spans="1:1" x14ac:dyDescent="0.3">
      <c r="A9988" s="678"/>
    </row>
    <row r="9989" spans="1:1" x14ac:dyDescent="0.3">
      <c r="A9989" s="678"/>
    </row>
    <row r="9990" spans="1:1" x14ac:dyDescent="0.3">
      <c r="A9990" s="678"/>
    </row>
    <row r="9991" spans="1:1" x14ac:dyDescent="0.3">
      <c r="A9991" s="678"/>
    </row>
    <row r="9992" spans="1:1" x14ac:dyDescent="0.3">
      <c r="A9992" s="678"/>
    </row>
    <row r="9993" spans="1:1" x14ac:dyDescent="0.3">
      <c r="A9993" s="678"/>
    </row>
    <row r="9994" spans="1:1" x14ac:dyDescent="0.3">
      <c r="A9994" s="678"/>
    </row>
    <row r="9995" spans="1:1" x14ac:dyDescent="0.3">
      <c r="A9995" s="678"/>
    </row>
    <row r="9996" spans="1:1" x14ac:dyDescent="0.3">
      <c r="A9996" s="678"/>
    </row>
    <row r="9997" spans="1:1" x14ac:dyDescent="0.3">
      <c r="A9997" s="678"/>
    </row>
    <row r="9998" spans="1:1" x14ac:dyDescent="0.3">
      <c r="A9998" s="678"/>
    </row>
    <row r="9999" spans="1:1" x14ac:dyDescent="0.3">
      <c r="A9999" s="678"/>
    </row>
    <row r="10000" spans="1:1" x14ac:dyDescent="0.3">
      <c r="A10000" s="678"/>
    </row>
    <row r="10001" spans="1:1" x14ac:dyDescent="0.3">
      <c r="A10001" s="678"/>
    </row>
    <row r="10002" spans="1:1" x14ac:dyDescent="0.3">
      <c r="A10002" s="678"/>
    </row>
    <row r="10003" spans="1:1" x14ac:dyDescent="0.3">
      <c r="A10003" s="678"/>
    </row>
    <row r="10004" spans="1:1" x14ac:dyDescent="0.3">
      <c r="A10004" s="678"/>
    </row>
    <row r="10005" spans="1:1" x14ac:dyDescent="0.3">
      <c r="A10005" s="678"/>
    </row>
    <row r="10006" spans="1:1" x14ac:dyDescent="0.3">
      <c r="A10006" s="678"/>
    </row>
    <row r="10007" spans="1:1" x14ac:dyDescent="0.3">
      <c r="A10007" s="678"/>
    </row>
    <row r="10008" spans="1:1" x14ac:dyDescent="0.3">
      <c r="A10008" s="678"/>
    </row>
    <row r="10009" spans="1:1" x14ac:dyDescent="0.3">
      <c r="A10009" s="678"/>
    </row>
    <row r="10010" spans="1:1" x14ac:dyDescent="0.3">
      <c r="A10010" s="678"/>
    </row>
    <row r="10011" spans="1:1" x14ac:dyDescent="0.3">
      <c r="A10011" s="678"/>
    </row>
    <row r="10012" spans="1:1" x14ac:dyDescent="0.3">
      <c r="A10012" s="678"/>
    </row>
    <row r="10013" spans="1:1" x14ac:dyDescent="0.3">
      <c r="A10013" s="678"/>
    </row>
    <row r="10014" spans="1:1" x14ac:dyDescent="0.3">
      <c r="A10014" s="678"/>
    </row>
    <row r="10015" spans="1:1" x14ac:dyDescent="0.3">
      <c r="A10015" s="678"/>
    </row>
    <row r="10016" spans="1:1" x14ac:dyDescent="0.3">
      <c r="A10016" s="678"/>
    </row>
    <row r="10017" spans="1:1" x14ac:dyDescent="0.3">
      <c r="A10017" s="678"/>
    </row>
    <row r="10018" spans="1:1" x14ac:dyDescent="0.3">
      <c r="A10018" s="678"/>
    </row>
    <row r="10019" spans="1:1" x14ac:dyDescent="0.3">
      <c r="A10019" s="678"/>
    </row>
    <row r="10020" spans="1:1" x14ac:dyDescent="0.3">
      <c r="A10020" s="678"/>
    </row>
    <row r="10021" spans="1:1" x14ac:dyDescent="0.3">
      <c r="A10021" s="678"/>
    </row>
    <row r="10022" spans="1:1" x14ac:dyDescent="0.3">
      <c r="A10022" s="678"/>
    </row>
    <row r="10023" spans="1:1" x14ac:dyDescent="0.3">
      <c r="A10023" s="678"/>
    </row>
    <row r="10024" spans="1:1" x14ac:dyDescent="0.3">
      <c r="A10024" s="678"/>
    </row>
    <row r="10025" spans="1:1" x14ac:dyDescent="0.3">
      <c r="A10025" s="678"/>
    </row>
    <row r="10026" spans="1:1" x14ac:dyDescent="0.3">
      <c r="A10026" s="678"/>
    </row>
    <row r="10027" spans="1:1" x14ac:dyDescent="0.3">
      <c r="A10027" s="678"/>
    </row>
    <row r="10028" spans="1:1" x14ac:dyDescent="0.3">
      <c r="A10028" s="678"/>
    </row>
    <row r="10029" spans="1:1" x14ac:dyDescent="0.3">
      <c r="A10029" s="678"/>
    </row>
    <row r="10030" spans="1:1" x14ac:dyDescent="0.3">
      <c r="A10030" s="678"/>
    </row>
    <row r="10031" spans="1:1" x14ac:dyDescent="0.3">
      <c r="A10031" s="678"/>
    </row>
    <row r="10032" spans="1:1" x14ac:dyDescent="0.3">
      <c r="A10032" s="678"/>
    </row>
    <row r="10033" spans="1:1" x14ac:dyDescent="0.3">
      <c r="A10033" s="678"/>
    </row>
    <row r="10034" spans="1:1" x14ac:dyDescent="0.3">
      <c r="A10034" s="678"/>
    </row>
    <row r="10035" spans="1:1" x14ac:dyDescent="0.3">
      <c r="A10035" s="678"/>
    </row>
    <row r="10036" spans="1:1" x14ac:dyDescent="0.3">
      <c r="A10036" s="678"/>
    </row>
    <row r="10037" spans="1:1" x14ac:dyDescent="0.3">
      <c r="A10037" s="678"/>
    </row>
    <row r="10038" spans="1:1" x14ac:dyDescent="0.3">
      <c r="A10038" s="678"/>
    </row>
    <row r="10039" spans="1:1" x14ac:dyDescent="0.3">
      <c r="A10039" s="678"/>
    </row>
    <row r="10040" spans="1:1" x14ac:dyDescent="0.3">
      <c r="A10040" s="678"/>
    </row>
    <row r="10041" spans="1:1" x14ac:dyDescent="0.3">
      <c r="A10041" s="678"/>
    </row>
    <row r="10042" spans="1:1" x14ac:dyDescent="0.3">
      <c r="A10042" s="678"/>
    </row>
    <row r="10043" spans="1:1" x14ac:dyDescent="0.3">
      <c r="A10043" s="678"/>
    </row>
    <row r="10044" spans="1:1" x14ac:dyDescent="0.3">
      <c r="A10044" s="678"/>
    </row>
    <row r="10045" spans="1:1" x14ac:dyDescent="0.3">
      <c r="A10045" s="678"/>
    </row>
    <row r="10046" spans="1:1" x14ac:dyDescent="0.3">
      <c r="A10046" s="678"/>
    </row>
    <row r="10047" spans="1:1" x14ac:dyDescent="0.3">
      <c r="A10047" s="678"/>
    </row>
    <row r="10048" spans="1:1" x14ac:dyDescent="0.3">
      <c r="A10048" s="678"/>
    </row>
    <row r="10049" spans="1:1" x14ac:dyDescent="0.3">
      <c r="A10049" s="678"/>
    </row>
    <row r="10050" spans="1:1" x14ac:dyDescent="0.3">
      <c r="A10050" s="678"/>
    </row>
    <row r="10051" spans="1:1" x14ac:dyDescent="0.3">
      <c r="A10051" s="678"/>
    </row>
    <row r="10052" spans="1:1" x14ac:dyDescent="0.3">
      <c r="A10052" s="678"/>
    </row>
    <row r="10053" spans="1:1" x14ac:dyDescent="0.3">
      <c r="A10053" s="678"/>
    </row>
    <row r="10054" spans="1:1" x14ac:dyDescent="0.3">
      <c r="A10054" s="678"/>
    </row>
    <row r="10055" spans="1:1" x14ac:dyDescent="0.3">
      <c r="A10055" s="678"/>
    </row>
    <row r="10056" spans="1:1" x14ac:dyDescent="0.3">
      <c r="A10056" s="678"/>
    </row>
    <row r="10057" spans="1:1" x14ac:dyDescent="0.3">
      <c r="A10057" s="678"/>
    </row>
    <row r="10058" spans="1:1" x14ac:dyDescent="0.3">
      <c r="A10058" s="678"/>
    </row>
    <row r="10059" spans="1:1" x14ac:dyDescent="0.3">
      <c r="A10059" s="678"/>
    </row>
    <row r="10060" spans="1:1" x14ac:dyDescent="0.3">
      <c r="A10060" s="678"/>
    </row>
    <row r="10061" spans="1:1" x14ac:dyDescent="0.3">
      <c r="A10061" s="678"/>
    </row>
    <row r="10062" spans="1:1" x14ac:dyDescent="0.3">
      <c r="A10062" s="678"/>
    </row>
    <row r="10063" spans="1:1" x14ac:dyDescent="0.3">
      <c r="A10063" s="678"/>
    </row>
    <row r="10064" spans="1:1" x14ac:dyDescent="0.3">
      <c r="A10064" s="678"/>
    </row>
    <row r="10065" spans="1:1" x14ac:dyDescent="0.3">
      <c r="A10065" s="678"/>
    </row>
    <row r="10066" spans="1:1" x14ac:dyDescent="0.3">
      <c r="A10066" s="678"/>
    </row>
    <row r="10067" spans="1:1" x14ac:dyDescent="0.3">
      <c r="A10067" s="678"/>
    </row>
    <row r="10068" spans="1:1" x14ac:dyDescent="0.3">
      <c r="A10068" s="678"/>
    </row>
    <row r="10069" spans="1:1" x14ac:dyDescent="0.3">
      <c r="A10069" s="678"/>
    </row>
    <row r="10070" spans="1:1" x14ac:dyDescent="0.3">
      <c r="A10070" s="678"/>
    </row>
    <row r="10071" spans="1:1" x14ac:dyDescent="0.3">
      <c r="A10071" s="678"/>
    </row>
    <row r="10072" spans="1:1" x14ac:dyDescent="0.3">
      <c r="A10072" s="678"/>
    </row>
    <row r="10073" spans="1:1" x14ac:dyDescent="0.3">
      <c r="A10073" s="678"/>
    </row>
    <row r="10074" spans="1:1" x14ac:dyDescent="0.3">
      <c r="A10074" s="678"/>
    </row>
    <row r="10075" spans="1:1" x14ac:dyDescent="0.3">
      <c r="A10075" s="678"/>
    </row>
    <row r="10076" spans="1:1" x14ac:dyDescent="0.3">
      <c r="A10076" s="678"/>
    </row>
    <row r="10077" spans="1:1" x14ac:dyDescent="0.3">
      <c r="A10077" s="678"/>
    </row>
    <row r="10078" spans="1:1" x14ac:dyDescent="0.3">
      <c r="A10078" s="678"/>
    </row>
    <row r="10079" spans="1:1" x14ac:dyDescent="0.3">
      <c r="A10079" s="678"/>
    </row>
    <row r="10080" spans="1:1" x14ac:dyDescent="0.3">
      <c r="A10080" s="678"/>
    </row>
    <row r="10081" spans="1:1" x14ac:dyDescent="0.3">
      <c r="A10081" s="678"/>
    </row>
    <row r="10082" spans="1:1" x14ac:dyDescent="0.3">
      <c r="A10082" s="678"/>
    </row>
    <row r="10083" spans="1:1" x14ac:dyDescent="0.3">
      <c r="A10083" s="678"/>
    </row>
    <row r="10084" spans="1:1" x14ac:dyDescent="0.3">
      <c r="A10084" s="678"/>
    </row>
    <row r="10085" spans="1:1" x14ac:dyDescent="0.3">
      <c r="A10085" s="678"/>
    </row>
    <row r="10086" spans="1:1" x14ac:dyDescent="0.3">
      <c r="A10086" s="678"/>
    </row>
    <row r="10087" spans="1:1" x14ac:dyDescent="0.3">
      <c r="A10087" s="678"/>
    </row>
    <row r="10088" spans="1:1" x14ac:dyDescent="0.3">
      <c r="A10088" s="678"/>
    </row>
    <row r="10089" spans="1:1" x14ac:dyDescent="0.3">
      <c r="A10089" s="678"/>
    </row>
    <row r="10090" spans="1:1" x14ac:dyDescent="0.3">
      <c r="A10090" s="678"/>
    </row>
    <row r="10091" spans="1:1" x14ac:dyDescent="0.3">
      <c r="A10091" s="678"/>
    </row>
    <row r="10092" spans="1:1" x14ac:dyDescent="0.3">
      <c r="A10092" s="678"/>
    </row>
    <row r="10093" spans="1:1" x14ac:dyDescent="0.3">
      <c r="A10093" s="678"/>
    </row>
    <row r="10094" spans="1:1" x14ac:dyDescent="0.3">
      <c r="A10094" s="678"/>
    </row>
    <row r="10095" spans="1:1" x14ac:dyDescent="0.3">
      <c r="A10095" s="678"/>
    </row>
    <row r="10096" spans="1:1" x14ac:dyDescent="0.3">
      <c r="A10096" s="678"/>
    </row>
    <row r="10097" spans="1:1" x14ac:dyDescent="0.3">
      <c r="A10097" s="678"/>
    </row>
    <row r="10098" spans="1:1" x14ac:dyDescent="0.3">
      <c r="A10098" s="678"/>
    </row>
    <row r="10099" spans="1:1" x14ac:dyDescent="0.3">
      <c r="A10099" s="678"/>
    </row>
    <row r="10100" spans="1:1" x14ac:dyDescent="0.3">
      <c r="A10100" s="678"/>
    </row>
    <row r="10101" spans="1:1" x14ac:dyDescent="0.3">
      <c r="A10101" s="678"/>
    </row>
    <row r="10102" spans="1:1" x14ac:dyDescent="0.3">
      <c r="A10102" s="678"/>
    </row>
    <row r="10103" spans="1:1" x14ac:dyDescent="0.3">
      <c r="A10103" s="678"/>
    </row>
    <row r="10104" spans="1:1" x14ac:dyDescent="0.3">
      <c r="A10104" s="678"/>
    </row>
    <row r="10105" spans="1:1" x14ac:dyDescent="0.3">
      <c r="A10105" s="678"/>
    </row>
    <row r="10106" spans="1:1" x14ac:dyDescent="0.3">
      <c r="A10106" s="678"/>
    </row>
    <row r="10107" spans="1:1" x14ac:dyDescent="0.3">
      <c r="A10107" s="678"/>
    </row>
    <row r="10108" spans="1:1" x14ac:dyDescent="0.3">
      <c r="A10108" s="678"/>
    </row>
    <row r="10109" spans="1:1" x14ac:dyDescent="0.3">
      <c r="A10109" s="678"/>
    </row>
    <row r="10110" spans="1:1" x14ac:dyDescent="0.3">
      <c r="A10110" s="678"/>
    </row>
    <row r="10111" spans="1:1" x14ac:dyDescent="0.3">
      <c r="A10111" s="678"/>
    </row>
    <row r="10112" spans="1:1" x14ac:dyDescent="0.3">
      <c r="A10112" s="678"/>
    </row>
    <row r="10113" spans="1:1" x14ac:dyDescent="0.3">
      <c r="A10113" s="678"/>
    </row>
    <row r="10114" spans="1:1" x14ac:dyDescent="0.3">
      <c r="A10114" s="678"/>
    </row>
    <row r="10115" spans="1:1" x14ac:dyDescent="0.3">
      <c r="A10115" s="678"/>
    </row>
    <row r="10116" spans="1:1" x14ac:dyDescent="0.3">
      <c r="A10116" s="678"/>
    </row>
    <row r="10117" spans="1:1" x14ac:dyDescent="0.3">
      <c r="A10117" s="678"/>
    </row>
    <row r="10118" spans="1:1" x14ac:dyDescent="0.3">
      <c r="A10118" s="678"/>
    </row>
    <row r="10119" spans="1:1" x14ac:dyDescent="0.3">
      <c r="A10119" s="678"/>
    </row>
    <row r="10120" spans="1:1" x14ac:dyDescent="0.3">
      <c r="A10120" s="678"/>
    </row>
    <row r="10121" spans="1:1" x14ac:dyDescent="0.3">
      <c r="A10121" s="678"/>
    </row>
    <row r="10122" spans="1:1" x14ac:dyDescent="0.3">
      <c r="A10122" s="678"/>
    </row>
    <row r="10123" spans="1:1" x14ac:dyDescent="0.3">
      <c r="A10123" s="678"/>
    </row>
    <row r="10124" spans="1:1" x14ac:dyDescent="0.3">
      <c r="A10124" s="678"/>
    </row>
    <row r="10125" spans="1:1" x14ac:dyDescent="0.3">
      <c r="A10125" s="678"/>
    </row>
    <row r="10126" spans="1:1" x14ac:dyDescent="0.3">
      <c r="A10126" s="678"/>
    </row>
    <row r="10127" spans="1:1" x14ac:dyDescent="0.3">
      <c r="A10127" s="678"/>
    </row>
    <row r="10128" spans="1:1" x14ac:dyDescent="0.3">
      <c r="A10128" s="678"/>
    </row>
    <row r="10129" spans="1:1" x14ac:dyDescent="0.3">
      <c r="A10129" s="678"/>
    </row>
    <row r="10130" spans="1:1" x14ac:dyDescent="0.3">
      <c r="A10130" s="678"/>
    </row>
    <row r="10131" spans="1:1" x14ac:dyDescent="0.3">
      <c r="A10131" s="678"/>
    </row>
    <row r="10132" spans="1:1" x14ac:dyDescent="0.3">
      <c r="A10132" s="678"/>
    </row>
    <row r="10133" spans="1:1" x14ac:dyDescent="0.3">
      <c r="A10133" s="678"/>
    </row>
    <row r="10134" spans="1:1" x14ac:dyDescent="0.3">
      <c r="A10134" s="678"/>
    </row>
    <row r="10135" spans="1:1" x14ac:dyDescent="0.3">
      <c r="A10135" s="678"/>
    </row>
    <row r="10136" spans="1:1" x14ac:dyDescent="0.3">
      <c r="A10136" s="678"/>
    </row>
    <row r="10137" spans="1:1" x14ac:dyDescent="0.3">
      <c r="A10137" s="678"/>
    </row>
    <row r="10138" spans="1:1" x14ac:dyDescent="0.3">
      <c r="A10138" s="678"/>
    </row>
    <row r="10139" spans="1:1" x14ac:dyDescent="0.3">
      <c r="A10139" s="678"/>
    </row>
    <row r="10140" spans="1:1" x14ac:dyDescent="0.3">
      <c r="A10140" s="678"/>
    </row>
    <row r="10141" spans="1:1" x14ac:dyDescent="0.3">
      <c r="A10141" s="678"/>
    </row>
    <row r="10142" spans="1:1" x14ac:dyDescent="0.3">
      <c r="A10142" s="678"/>
    </row>
    <row r="10143" spans="1:1" x14ac:dyDescent="0.3">
      <c r="A10143" s="678"/>
    </row>
    <row r="10144" spans="1:1" x14ac:dyDescent="0.3">
      <c r="A10144" s="678"/>
    </row>
    <row r="10145" spans="1:1" x14ac:dyDescent="0.3">
      <c r="A10145" s="678"/>
    </row>
    <row r="10146" spans="1:1" x14ac:dyDescent="0.3">
      <c r="A10146" s="678"/>
    </row>
    <row r="10147" spans="1:1" x14ac:dyDescent="0.3">
      <c r="A10147" s="678"/>
    </row>
    <row r="10148" spans="1:1" x14ac:dyDescent="0.3">
      <c r="A10148" s="678"/>
    </row>
    <row r="10149" spans="1:1" x14ac:dyDescent="0.3">
      <c r="A10149" s="678"/>
    </row>
    <row r="10150" spans="1:1" x14ac:dyDescent="0.3">
      <c r="A10150" s="678"/>
    </row>
    <row r="10151" spans="1:1" x14ac:dyDescent="0.3">
      <c r="A10151" s="678"/>
    </row>
    <row r="10152" spans="1:1" x14ac:dyDescent="0.3">
      <c r="A10152" s="678"/>
    </row>
    <row r="10153" spans="1:1" x14ac:dyDescent="0.3">
      <c r="A10153" s="678"/>
    </row>
    <row r="10154" spans="1:1" x14ac:dyDescent="0.3">
      <c r="A10154" s="678"/>
    </row>
    <row r="10155" spans="1:1" x14ac:dyDescent="0.3">
      <c r="A10155" s="678"/>
    </row>
    <row r="10156" spans="1:1" x14ac:dyDescent="0.3">
      <c r="A10156" s="678"/>
    </row>
    <row r="10157" spans="1:1" x14ac:dyDescent="0.3">
      <c r="A10157" s="678"/>
    </row>
    <row r="10158" spans="1:1" x14ac:dyDescent="0.3">
      <c r="A10158" s="678"/>
    </row>
    <row r="10159" spans="1:1" x14ac:dyDescent="0.3">
      <c r="A10159" s="678"/>
    </row>
    <row r="10160" spans="1:1" x14ac:dyDescent="0.3">
      <c r="A10160" s="678"/>
    </row>
    <row r="10161" spans="1:1" x14ac:dyDescent="0.3">
      <c r="A10161" s="678"/>
    </row>
    <row r="10162" spans="1:1" x14ac:dyDescent="0.3">
      <c r="A10162" s="678"/>
    </row>
    <row r="10163" spans="1:1" x14ac:dyDescent="0.3">
      <c r="A10163" s="678"/>
    </row>
    <row r="10164" spans="1:1" x14ac:dyDescent="0.3">
      <c r="A10164" s="678"/>
    </row>
    <row r="10165" spans="1:1" x14ac:dyDescent="0.3">
      <c r="A10165" s="678"/>
    </row>
    <row r="10166" spans="1:1" x14ac:dyDescent="0.3">
      <c r="A10166" s="678"/>
    </row>
    <row r="10167" spans="1:1" x14ac:dyDescent="0.3">
      <c r="A10167" s="678"/>
    </row>
    <row r="10168" spans="1:1" x14ac:dyDescent="0.3">
      <c r="A10168" s="678"/>
    </row>
    <row r="10169" spans="1:1" x14ac:dyDescent="0.3">
      <c r="A10169" s="678"/>
    </row>
    <row r="10170" spans="1:1" x14ac:dyDescent="0.3">
      <c r="A10170" s="678"/>
    </row>
    <row r="10171" spans="1:1" x14ac:dyDescent="0.3">
      <c r="A10171" s="678"/>
    </row>
    <row r="10172" spans="1:1" x14ac:dyDescent="0.3">
      <c r="A10172" s="678"/>
    </row>
    <row r="10173" spans="1:1" x14ac:dyDescent="0.3">
      <c r="A10173" s="678"/>
    </row>
    <row r="10174" spans="1:1" x14ac:dyDescent="0.3">
      <c r="A10174" s="678"/>
    </row>
    <row r="10175" spans="1:1" x14ac:dyDescent="0.3">
      <c r="A10175" s="678"/>
    </row>
    <row r="10176" spans="1:1" x14ac:dyDescent="0.3">
      <c r="A10176" s="678"/>
    </row>
    <row r="10177" spans="1:1" x14ac:dyDescent="0.3">
      <c r="A10177" s="678"/>
    </row>
    <row r="10178" spans="1:1" x14ac:dyDescent="0.3">
      <c r="A10178" s="678"/>
    </row>
    <row r="10179" spans="1:1" x14ac:dyDescent="0.3">
      <c r="A10179" s="678"/>
    </row>
    <row r="10180" spans="1:1" x14ac:dyDescent="0.3">
      <c r="A10180" s="678"/>
    </row>
    <row r="10181" spans="1:1" x14ac:dyDescent="0.3">
      <c r="A10181" s="678"/>
    </row>
    <row r="10182" spans="1:1" x14ac:dyDescent="0.3">
      <c r="A10182" s="678"/>
    </row>
    <row r="10183" spans="1:1" x14ac:dyDescent="0.3">
      <c r="A10183" s="678"/>
    </row>
    <row r="10184" spans="1:1" x14ac:dyDescent="0.3">
      <c r="A10184" s="678"/>
    </row>
    <row r="10185" spans="1:1" x14ac:dyDescent="0.3">
      <c r="A10185" s="678"/>
    </row>
    <row r="10186" spans="1:1" x14ac:dyDescent="0.3">
      <c r="A10186" s="678"/>
    </row>
    <row r="10187" spans="1:1" x14ac:dyDescent="0.3">
      <c r="A10187" s="678"/>
    </row>
    <row r="10188" spans="1:1" x14ac:dyDescent="0.3">
      <c r="A10188" s="678"/>
    </row>
    <row r="10189" spans="1:1" x14ac:dyDescent="0.3">
      <c r="A10189" s="678"/>
    </row>
    <row r="10190" spans="1:1" x14ac:dyDescent="0.3">
      <c r="A10190" s="678"/>
    </row>
    <row r="10191" spans="1:1" x14ac:dyDescent="0.3">
      <c r="A10191" s="678"/>
    </row>
    <row r="10192" spans="1:1" x14ac:dyDescent="0.3">
      <c r="A10192" s="678"/>
    </row>
    <row r="10193" spans="1:1" x14ac:dyDescent="0.3">
      <c r="A10193" s="678"/>
    </row>
    <row r="10194" spans="1:1" x14ac:dyDescent="0.3">
      <c r="A10194" s="678"/>
    </row>
    <row r="10195" spans="1:1" x14ac:dyDescent="0.3">
      <c r="A10195" s="678"/>
    </row>
    <row r="10196" spans="1:1" x14ac:dyDescent="0.3">
      <c r="A10196" s="678"/>
    </row>
    <row r="10197" spans="1:1" x14ac:dyDescent="0.3">
      <c r="A10197" s="678"/>
    </row>
    <row r="10198" spans="1:1" x14ac:dyDescent="0.3">
      <c r="A10198" s="678"/>
    </row>
    <row r="10199" spans="1:1" x14ac:dyDescent="0.3">
      <c r="A10199" s="678"/>
    </row>
    <row r="10200" spans="1:1" x14ac:dyDescent="0.3">
      <c r="A10200" s="678"/>
    </row>
    <row r="10201" spans="1:1" x14ac:dyDescent="0.3">
      <c r="A10201" s="678"/>
    </row>
    <row r="10202" spans="1:1" x14ac:dyDescent="0.3">
      <c r="A10202" s="678"/>
    </row>
    <row r="10203" spans="1:1" x14ac:dyDescent="0.3">
      <c r="A10203" s="678"/>
    </row>
    <row r="10204" spans="1:1" x14ac:dyDescent="0.3">
      <c r="A10204" s="678"/>
    </row>
    <row r="10205" spans="1:1" x14ac:dyDescent="0.3">
      <c r="A10205" s="678"/>
    </row>
    <row r="10206" spans="1:1" x14ac:dyDescent="0.3">
      <c r="A10206" s="678"/>
    </row>
    <row r="10207" spans="1:1" x14ac:dyDescent="0.3">
      <c r="A10207" s="678"/>
    </row>
    <row r="10208" spans="1:1" x14ac:dyDescent="0.3">
      <c r="A10208" s="678"/>
    </row>
    <row r="10209" spans="1:1" x14ac:dyDescent="0.3">
      <c r="A10209" s="678"/>
    </row>
    <row r="10210" spans="1:1" x14ac:dyDescent="0.3">
      <c r="A10210" s="678"/>
    </row>
    <row r="10211" spans="1:1" x14ac:dyDescent="0.3">
      <c r="A10211" s="678"/>
    </row>
    <row r="10212" spans="1:1" x14ac:dyDescent="0.3">
      <c r="A10212" s="678"/>
    </row>
    <row r="10213" spans="1:1" x14ac:dyDescent="0.3">
      <c r="A10213" s="678"/>
    </row>
    <row r="10214" spans="1:1" x14ac:dyDescent="0.3">
      <c r="A10214" s="678"/>
    </row>
    <row r="10215" spans="1:1" x14ac:dyDescent="0.3">
      <c r="A10215" s="678"/>
    </row>
    <row r="10216" spans="1:1" x14ac:dyDescent="0.3">
      <c r="A10216" s="678"/>
    </row>
    <row r="10217" spans="1:1" x14ac:dyDescent="0.3">
      <c r="A10217" s="678"/>
    </row>
    <row r="10218" spans="1:1" x14ac:dyDescent="0.3">
      <c r="A10218" s="678"/>
    </row>
    <row r="10219" spans="1:1" x14ac:dyDescent="0.3">
      <c r="A10219" s="678"/>
    </row>
    <row r="10220" spans="1:1" x14ac:dyDescent="0.3">
      <c r="A10220" s="678"/>
    </row>
    <row r="10221" spans="1:1" x14ac:dyDescent="0.3">
      <c r="A10221" s="678"/>
    </row>
    <row r="10222" spans="1:1" x14ac:dyDescent="0.3">
      <c r="A10222" s="678"/>
    </row>
    <row r="10223" spans="1:1" x14ac:dyDescent="0.3">
      <c r="A10223" s="678"/>
    </row>
    <row r="10224" spans="1:1" x14ac:dyDescent="0.3">
      <c r="A10224" s="678"/>
    </row>
    <row r="10225" spans="1:1" x14ac:dyDescent="0.3">
      <c r="A10225" s="678"/>
    </row>
    <row r="10226" spans="1:1" x14ac:dyDescent="0.3">
      <c r="A10226" s="678"/>
    </row>
    <row r="10227" spans="1:1" x14ac:dyDescent="0.3">
      <c r="A10227" s="678"/>
    </row>
    <row r="10228" spans="1:1" x14ac:dyDescent="0.3">
      <c r="A10228" s="678"/>
    </row>
    <row r="10229" spans="1:1" x14ac:dyDescent="0.3">
      <c r="A10229" s="678"/>
    </row>
    <row r="10230" spans="1:1" x14ac:dyDescent="0.3">
      <c r="A10230" s="678"/>
    </row>
    <row r="10231" spans="1:1" x14ac:dyDescent="0.3">
      <c r="A10231" s="678"/>
    </row>
    <row r="10232" spans="1:1" x14ac:dyDescent="0.3">
      <c r="A10232" s="678"/>
    </row>
    <row r="10233" spans="1:1" x14ac:dyDescent="0.3">
      <c r="A10233" s="678"/>
    </row>
    <row r="10234" spans="1:1" x14ac:dyDescent="0.3">
      <c r="A10234" s="678"/>
    </row>
    <row r="10235" spans="1:1" x14ac:dyDescent="0.3">
      <c r="A10235" s="678"/>
    </row>
    <row r="10236" spans="1:1" x14ac:dyDescent="0.3">
      <c r="A10236" s="678"/>
    </row>
    <row r="10237" spans="1:1" x14ac:dyDescent="0.3">
      <c r="A10237" s="678"/>
    </row>
    <row r="10238" spans="1:1" x14ac:dyDescent="0.3">
      <c r="A10238" s="678"/>
    </row>
    <row r="10239" spans="1:1" x14ac:dyDescent="0.3">
      <c r="A10239" s="678"/>
    </row>
    <row r="10240" spans="1:1" x14ac:dyDescent="0.3">
      <c r="A10240" s="678"/>
    </row>
    <row r="10241" spans="1:1" x14ac:dyDescent="0.3">
      <c r="A10241" s="678"/>
    </row>
    <row r="10242" spans="1:1" x14ac:dyDescent="0.3">
      <c r="A10242" s="678"/>
    </row>
    <row r="10243" spans="1:1" x14ac:dyDescent="0.3">
      <c r="A10243" s="678"/>
    </row>
    <row r="10244" spans="1:1" x14ac:dyDescent="0.3">
      <c r="A10244" s="678"/>
    </row>
    <row r="10245" spans="1:1" x14ac:dyDescent="0.3">
      <c r="A10245" s="678"/>
    </row>
    <row r="10246" spans="1:1" x14ac:dyDescent="0.3">
      <c r="A10246" s="678"/>
    </row>
    <row r="10247" spans="1:1" x14ac:dyDescent="0.3">
      <c r="A10247" s="678"/>
    </row>
    <row r="10248" spans="1:1" x14ac:dyDescent="0.3">
      <c r="A10248" s="678"/>
    </row>
    <row r="10249" spans="1:1" x14ac:dyDescent="0.3">
      <c r="A10249" s="678"/>
    </row>
    <row r="10250" spans="1:1" x14ac:dyDescent="0.3">
      <c r="A10250" s="678"/>
    </row>
    <row r="10251" spans="1:1" x14ac:dyDescent="0.3">
      <c r="A10251" s="678"/>
    </row>
    <row r="10252" spans="1:1" x14ac:dyDescent="0.3">
      <c r="A10252" s="678"/>
    </row>
    <row r="10253" spans="1:1" x14ac:dyDescent="0.3">
      <c r="A10253" s="678"/>
    </row>
    <row r="10254" spans="1:1" x14ac:dyDescent="0.3">
      <c r="A10254" s="678"/>
    </row>
    <row r="10255" spans="1:1" x14ac:dyDescent="0.3">
      <c r="A10255" s="678"/>
    </row>
    <row r="10256" spans="1:1" x14ac:dyDescent="0.3">
      <c r="A10256" s="678"/>
    </row>
    <row r="10257" spans="1:1" x14ac:dyDescent="0.3">
      <c r="A10257" s="678"/>
    </row>
    <row r="10258" spans="1:1" x14ac:dyDescent="0.3">
      <c r="A10258" s="678"/>
    </row>
    <row r="10259" spans="1:1" x14ac:dyDescent="0.3">
      <c r="A10259" s="678"/>
    </row>
    <row r="10260" spans="1:1" x14ac:dyDescent="0.3">
      <c r="A10260" s="678"/>
    </row>
    <row r="10261" spans="1:1" x14ac:dyDescent="0.3">
      <c r="A10261" s="678"/>
    </row>
    <row r="10262" spans="1:1" x14ac:dyDescent="0.3">
      <c r="A10262" s="678"/>
    </row>
    <row r="10263" spans="1:1" x14ac:dyDescent="0.3">
      <c r="A10263" s="678"/>
    </row>
    <row r="10264" spans="1:1" x14ac:dyDescent="0.3">
      <c r="A10264" s="678"/>
    </row>
    <row r="10265" spans="1:1" x14ac:dyDescent="0.3">
      <c r="A10265" s="678"/>
    </row>
    <row r="10266" spans="1:1" x14ac:dyDescent="0.3">
      <c r="A10266" s="678"/>
    </row>
    <row r="10267" spans="1:1" x14ac:dyDescent="0.3">
      <c r="A10267" s="678"/>
    </row>
    <row r="10268" spans="1:1" x14ac:dyDescent="0.3">
      <c r="A10268" s="678"/>
    </row>
    <row r="10269" spans="1:1" x14ac:dyDescent="0.3">
      <c r="A10269" s="678"/>
    </row>
    <row r="10270" spans="1:1" x14ac:dyDescent="0.3">
      <c r="A10270" s="678"/>
    </row>
    <row r="10271" spans="1:1" x14ac:dyDescent="0.3">
      <c r="A10271" s="678"/>
    </row>
    <row r="10272" spans="1:1" x14ac:dyDescent="0.3">
      <c r="A10272" s="678"/>
    </row>
    <row r="10273" spans="1:1" x14ac:dyDescent="0.3">
      <c r="A10273" s="678"/>
    </row>
    <row r="10274" spans="1:1" x14ac:dyDescent="0.3">
      <c r="A10274" s="678"/>
    </row>
    <row r="10275" spans="1:1" x14ac:dyDescent="0.3">
      <c r="A10275" s="678"/>
    </row>
    <row r="10276" spans="1:1" x14ac:dyDescent="0.3">
      <c r="A10276" s="678"/>
    </row>
    <row r="10277" spans="1:1" x14ac:dyDescent="0.3">
      <c r="A10277" s="678"/>
    </row>
    <row r="10278" spans="1:1" x14ac:dyDescent="0.3">
      <c r="A10278" s="678"/>
    </row>
    <row r="10279" spans="1:1" x14ac:dyDescent="0.3">
      <c r="A10279" s="678"/>
    </row>
    <row r="10280" spans="1:1" x14ac:dyDescent="0.3">
      <c r="A10280" s="678"/>
    </row>
    <row r="10281" spans="1:1" x14ac:dyDescent="0.3">
      <c r="A10281" s="678"/>
    </row>
    <row r="10282" spans="1:1" x14ac:dyDescent="0.3">
      <c r="A10282" s="678"/>
    </row>
    <row r="10283" spans="1:1" x14ac:dyDescent="0.3">
      <c r="A10283" s="678"/>
    </row>
    <row r="10284" spans="1:1" x14ac:dyDescent="0.3">
      <c r="A10284" s="678"/>
    </row>
    <row r="10285" spans="1:1" x14ac:dyDescent="0.3">
      <c r="A10285" s="678"/>
    </row>
    <row r="10286" spans="1:1" x14ac:dyDescent="0.3">
      <c r="A10286" s="678"/>
    </row>
    <row r="10287" spans="1:1" x14ac:dyDescent="0.3">
      <c r="A10287" s="678"/>
    </row>
    <row r="10288" spans="1:1" x14ac:dyDescent="0.3">
      <c r="A10288" s="678"/>
    </row>
    <row r="10289" spans="1:1" x14ac:dyDescent="0.3">
      <c r="A10289" s="678"/>
    </row>
    <row r="10290" spans="1:1" x14ac:dyDescent="0.3">
      <c r="A10290" s="678"/>
    </row>
    <row r="10291" spans="1:1" x14ac:dyDescent="0.3">
      <c r="A10291" s="678"/>
    </row>
    <row r="10292" spans="1:1" x14ac:dyDescent="0.3">
      <c r="A10292" s="678"/>
    </row>
    <row r="10293" spans="1:1" x14ac:dyDescent="0.3">
      <c r="A10293" s="678"/>
    </row>
    <row r="10294" spans="1:1" x14ac:dyDescent="0.3">
      <c r="A10294" s="678"/>
    </row>
    <row r="10295" spans="1:1" x14ac:dyDescent="0.3">
      <c r="A10295" s="678"/>
    </row>
    <row r="10296" spans="1:1" x14ac:dyDescent="0.3">
      <c r="A10296" s="678"/>
    </row>
    <row r="10297" spans="1:1" x14ac:dyDescent="0.3">
      <c r="A10297" s="678"/>
    </row>
    <row r="10298" spans="1:1" x14ac:dyDescent="0.3">
      <c r="A10298" s="678"/>
    </row>
    <row r="10299" spans="1:1" x14ac:dyDescent="0.3">
      <c r="A10299" s="678"/>
    </row>
    <row r="10300" spans="1:1" x14ac:dyDescent="0.3">
      <c r="A10300" s="678"/>
    </row>
    <row r="10301" spans="1:1" x14ac:dyDescent="0.3">
      <c r="A10301" s="678"/>
    </row>
    <row r="10302" spans="1:1" x14ac:dyDescent="0.3">
      <c r="A10302" s="678"/>
    </row>
    <row r="10303" spans="1:1" x14ac:dyDescent="0.3">
      <c r="A10303" s="678"/>
    </row>
    <row r="10304" spans="1:1" x14ac:dyDescent="0.3">
      <c r="A10304" s="678"/>
    </row>
    <row r="10305" spans="1:1" x14ac:dyDescent="0.3">
      <c r="A10305" s="678"/>
    </row>
    <row r="10306" spans="1:1" x14ac:dyDescent="0.3">
      <c r="A10306" s="678"/>
    </row>
    <row r="10307" spans="1:1" x14ac:dyDescent="0.3">
      <c r="A10307" s="678"/>
    </row>
    <row r="10308" spans="1:1" x14ac:dyDescent="0.3">
      <c r="A10308" s="678"/>
    </row>
    <row r="10309" spans="1:1" x14ac:dyDescent="0.3">
      <c r="A10309" s="678"/>
    </row>
    <row r="10310" spans="1:1" x14ac:dyDescent="0.3">
      <c r="A10310" s="678"/>
    </row>
    <row r="10311" spans="1:1" x14ac:dyDescent="0.3">
      <c r="A10311" s="678"/>
    </row>
    <row r="10312" spans="1:1" x14ac:dyDescent="0.3">
      <c r="A10312" s="678"/>
    </row>
    <row r="10313" spans="1:1" x14ac:dyDescent="0.3">
      <c r="A10313" s="678"/>
    </row>
    <row r="10314" spans="1:1" x14ac:dyDescent="0.3">
      <c r="A10314" s="678"/>
    </row>
    <row r="10315" spans="1:1" x14ac:dyDescent="0.3">
      <c r="A10315" s="678"/>
    </row>
    <row r="10316" spans="1:1" x14ac:dyDescent="0.3">
      <c r="A10316" s="678"/>
    </row>
    <row r="10317" spans="1:1" x14ac:dyDescent="0.3">
      <c r="A10317" s="678"/>
    </row>
    <row r="10318" spans="1:1" x14ac:dyDescent="0.3">
      <c r="A10318" s="678"/>
    </row>
    <row r="10319" spans="1:1" x14ac:dyDescent="0.3">
      <c r="A10319" s="678"/>
    </row>
    <row r="10320" spans="1:1" x14ac:dyDescent="0.3">
      <c r="A10320" s="678"/>
    </row>
    <row r="10321" spans="1:1" x14ac:dyDescent="0.3">
      <c r="A10321" s="678"/>
    </row>
    <row r="10322" spans="1:1" x14ac:dyDescent="0.3">
      <c r="A10322" s="678"/>
    </row>
    <row r="10323" spans="1:1" x14ac:dyDescent="0.3">
      <c r="A10323" s="678"/>
    </row>
    <row r="10324" spans="1:1" x14ac:dyDescent="0.3">
      <c r="A10324" s="678"/>
    </row>
    <row r="10325" spans="1:1" x14ac:dyDescent="0.3">
      <c r="A10325" s="678"/>
    </row>
    <row r="10326" spans="1:1" x14ac:dyDescent="0.3">
      <c r="A10326" s="678"/>
    </row>
    <row r="10327" spans="1:1" x14ac:dyDescent="0.3">
      <c r="A10327" s="678"/>
    </row>
    <row r="10328" spans="1:1" x14ac:dyDescent="0.3">
      <c r="A10328" s="678"/>
    </row>
    <row r="10329" spans="1:1" x14ac:dyDescent="0.3">
      <c r="A10329" s="678"/>
    </row>
    <row r="10330" spans="1:1" x14ac:dyDescent="0.3">
      <c r="A10330" s="678"/>
    </row>
    <row r="10331" spans="1:1" x14ac:dyDescent="0.3">
      <c r="A10331" s="678"/>
    </row>
    <row r="10332" spans="1:1" x14ac:dyDescent="0.3">
      <c r="A10332" s="678"/>
    </row>
    <row r="10333" spans="1:1" x14ac:dyDescent="0.3">
      <c r="A10333" s="678"/>
    </row>
    <row r="10334" spans="1:1" x14ac:dyDescent="0.3">
      <c r="A10334" s="678"/>
    </row>
    <row r="10335" spans="1:1" x14ac:dyDescent="0.3">
      <c r="A10335" s="678"/>
    </row>
    <row r="10336" spans="1:1" x14ac:dyDescent="0.3">
      <c r="A10336" s="678"/>
    </row>
    <row r="10337" spans="1:1" x14ac:dyDescent="0.3">
      <c r="A10337" s="678"/>
    </row>
    <row r="10338" spans="1:1" x14ac:dyDescent="0.3">
      <c r="A10338" s="678"/>
    </row>
    <row r="10339" spans="1:1" x14ac:dyDescent="0.3">
      <c r="A10339" s="678"/>
    </row>
    <row r="10340" spans="1:1" x14ac:dyDescent="0.3">
      <c r="A10340" s="678"/>
    </row>
    <row r="10341" spans="1:1" x14ac:dyDescent="0.3">
      <c r="A10341" s="678"/>
    </row>
    <row r="10342" spans="1:1" x14ac:dyDescent="0.3">
      <c r="A10342" s="678"/>
    </row>
    <row r="10343" spans="1:1" x14ac:dyDescent="0.3">
      <c r="A10343" s="678"/>
    </row>
    <row r="10344" spans="1:1" x14ac:dyDescent="0.3">
      <c r="A10344" s="678"/>
    </row>
    <row r="10345" spans="1:1" x14ac:dyDescent="0.3">
      <c r="A10345" s="678"/>
    </row>
    <row r="10346" spans="1:1" x14ac:dyDescent="0.3">
      <c r="A10346" s="678"/>
    </row>
    <row r="10347" spans="1:1" x14ac:dyDescent="0.3">
      <c r="A10347" s="678"/>
    </row>
    <row r="10348" spans="1:1" x14ac:dyDescent="0.3">
      <c r="A10348" s="678"/>
    </row>
    <row r="10349" spans="1:1" x14ac:dyDescent="0.3">
      <c r="A10349" s="678"/>
    </row>
    <row r="10350" spans="1:1" x14ac:dyDescent="0.3">
      <c r="A10350" s="678"/>
    </row>
    <row r="10351" spans="1:1" x14ac:dyDescent="0.3">
      <c r="A10351" s="678"/>
    </row>
    <row r="10352" spans="1:1" x14ac:dyDescent="0.3">
      <c r="A10352" s="678"/>
    </row>
    <row r="10353" spans="1:1" x14ac:dyDescent="0.3">
      <c r="A10353" s="678"/>
    </row>
    <row r="10354" spans="1:1" x14ac:dyDescent="0.3">
      <c r="A10354" s="678"/>
    </row>
    <row r="10355" spans="1:1" x14ac:dyDescent="0.3">
      <c r="A10355" s="678"/>
    </row>
    <row r="10356" spans="1:1" x14ac:dyDescent="0.3">
      <c r="A10356" s="678"/>
    </row>
    <row r="10357" spans="1:1" x14ac:dyDescent="0.3">
      <c r="A10357" s="678"/>
    </row>
    <row r="10358" spans="1:1" x14ac:dyDescent="0.3">
      <c r="A10358" s="678"/>
    </row>
    <row r="10359" spans="1:1" x14ac:dyDescent="0.3">
      <c r="A10359" s="678"/>
    </row>
    <row r="10360" spans="1:1" x14ac:dyDescent="0.3">
      <c r="A10360" s="678"/>
    </row>
    <row r="10361" spans="1:1" x14ac:dyDescent="0.3">
      <c r="A10361" s="678"/>
    </row>
    <row r="10362" spans="1:1" x14ac:dyDescent="0.3">
      <c r="A10362" s="678"/>
    </row>
    <row r="10363" spans="1:1" x14ac:dyDescent="0.3">
      <c r="A10363" s="678"/>
    </row>
    <row r="10364" spans="1:1" x14ac:dyDescent="0.3">
      <c r="A10364" s="678"/>
    </row>
    <row r="10365" spans="1:1" x14ac:dyDescent="0.3">
      <c r="A10365" s="678"/>
    </row>
    <row r="10366" spans="1:1" x14ac:dyDescent="0.3">
      <c r="A10366" s="678"/>
    </row>
    <row r="10367" spans="1:1" x14ac:dyDescent="0.3">
      <c r="A10367" s="678"/>
    </row>
    <row r="10368" spans="1:1" x14ac:dyDescent="0.3">
      <c r="A10368" s="678"/>
    </row>
    <row r="10369" spans="1:1" x14ac:dyDescent="0.3">
      <c r="A10369" s="678"/>
    </row>
    <row r="10370" spans="1:1" x14ac:dyDescent="0.3">
      <c r="A10370" s="678"/>
    </row>
    <row r="10371" spans="1:1" x14ac:dyDescent="0.3">
      <c r="A10371" s="678"/>
    </row>
    <row r="10372" spans="1:1" x14ac:dyDescent="0.3">
      <c r="A10372" s="678"/>
    </row>
    <row r="10373" spans="1:1" x14ac:dyDescent="0.3">
      <c r="A10373" s="678"/>
    </row>
    <row r="10374" spans="1:1" x14ac:dyDescent="0.3">
      <c r="A10374" s="678"/>
    </row>
    <row r="10375" spans="1:1" x14ac:dyDescent="0.3">
      <c r="A10375" s="678"/>
    </row>
    <row r="10376" spans="1:1" x14ac:dyDescent="0.3">
      <c r="A10376" s="678"/>
    </row>
    <row r="10377" spans="1:1" x14ac:dyDescent="0.3">
      <c r="A10377" s="678"/>
    </row>
    <row r="10378" spans="1:1" x14ac:dyDescent="0.3">
      <c r="A10378" s="678"/>
    </row>
    <row r="10379" spans="1:1" x14ac:dyDescent="0.3">
      <c r="A10379" s="678"/>
    </row>
    <row r="10380" spans="1:1" x14ac:dyDescent="0.3">
      <c r="A10380" s="678"/>
    </row>
    <row r="10381" spans="1:1" x14ac:dyDescent="0.3">
      <c r="A10381" s="678"/>
    </row>
    <row r="10382" spans="1:1" x14ac:dyDescent="0.3">
      <c r="A10382" s="678"/>
    </row>
    <row r="10383" spans="1:1" x14ac:dyDescent="0.3">
      <c r="A10383" s="678"/>
    </row>
    <row r="10384" spans="1:1" x14ac:dyDescent="0.3">
      <c r="A10384" s="678"/>
    </row>
    <row r="10385" spans="1:1" x14ac:dyDescent="0.3">
      <c r="A10385" s="678"/>
    </row>
    <row r="10386" spans="1:1" x14ac:dyDescent="0.3">
      <c r="A10386" s="678"/>
    </row>
    <row r="10387" spans="1:1" x14ac:dyDescent="0.3">
      <c r="A10387" s="678"/>
    </row>
    <row r="10388" spans="1:1" x14ac:dyDescent="0.3">
      <c r="A10388" s="678"/>
    </row>
    <row r="10389" spans="1:1" x14ac:dyDescent="0.3">
      <c r="A10389" s="678"/>
    </row>
    <row r="10390" spans="1:1" x14ac:dyDescent="0.3">
      <c r="A10390" s="678"/>
    </row>
    <row r="10391" spans="1:1" x14ac:dyDescent="0.3">
      <c r="A10391" s="678"/>
    </row>
    <row r="10392" spans="1:1" x14ac:dyDescent="0.3">
      <c r="A10392" s="678"/>
    </row>
    <row r="10393" spans="1:1" x14ac:dyDescent="0.3">
      <c r="A10393" s="678"/>
    </row>
    <row r="10394" spans="1:1" x14ac:dyDescent="0.3">
      <c r="A10394" s="678"/>
    </row>
    <row r="10395" spans="1:1" x14ac:dyDescent="0.3">
      <c r="A10395" s="678"/>
    </row>
    <row r="10396" spans="1:1" x14ac:dyDescent="0.3">
      <c r="A10396" s="678"/>
    </row>
    <row r="10397" spans="1:1" x14ac:dyDescent="0.3">
      <c r="A10397" s="678"/>
    </row>
    <row r="10398" spans="1:1" x14ac:dyDescent="0.3">
      <c r="A10398" s="678"/>
    </row>
    <row r="10399" spans="1:1" x14ac:dyDescent="0.3">
      <c r="A10399" s="678"/>
    </row>
    <row r="10400" spans="1:1" x14ac:dyDescent="0.3">
      <c r="A10400" s="678"/>
    </row>
    <row r="10401" spans="1:1" x14ac:dyDescent="0.3">
      <c r="A10401" s="678"/>
    </row>
    <row r="10402" spans="1:1" x14ac:dyDescent="0.3">
      <c r="A10402" s="678"/>
    </row>
    <row r="10403" spans="1:1" x14ac:dyDescent="0.3">
      <c r="A10403" s="678"/>
    </row>
    <row r="10404" spans="1:1" x14ac:dyDescent="0.3">
      <c r="A10404" s="678"/>
    </row>
    <row r="10405" spans="1:1" x14ac:dyDescent="0.3">
      <c r="A10405" s="678"/>
    </row>
    <row r="10406" spans="1:1" x14ac:dyDescent="0.3">
      <c r="A10406" s="678"/>
    </row>
    <row r="10407" spans="1:1" x14ac:dyDescent="0.3">
      <c r="A10407" s="678"/>
    </row>
    <row r="10408" spans="1:1" x14ac:dyDescent="0.3">
      <c r="A10408" s="678"/>
    </row>
    <row r="10409" spans="1:1" x14ac:dyDescent="0.3">
      <c r="A10409" s="678"/>
    </row>
    <row r="10410" spans="1:1" x14ac:dyDescent="0.3">
      <c r="A10410" s="678"/>
    </row>
    <row r="10411" spans="1:1" x14ac:dyDescent="0.3">
      <c r="A10411" s="678"/>
    </row>
    <row r="10412" spans="1:1" x14ac:dyDescent="0.3">
      <c r="A10412" s="678"/>
    </row>
    <row r="10413" spans="1:1" x14ac:dyDescent="0.3">
      <c r="A10413" s="678"/>
    </row>
    <row r="10414" spans="1:1" x14ac:dyDescent="0.3">
      <c r="A10414" s="678"/>
    </row>
    <row r="10415" spans="1:1" x14ac:dyDescent="0.3">
      <c r="A10415" s="678"/>
    </row>
    <row r="10416" spans="1:1" x14ac:dyDescent="0.3">
      <c r="A10416" s="678"/>
    </row>
    <row r="10417" spans="1:1" x14ac:dyDescent="0.3">
      <c r="A10417" s="678"/>
    </row>
    <row r="10418" spans="1:1" x14ac:dyDescent="0.3">
      <c r="A10418" s="678"/>
    </row>
    <row r="10419" spans="1:1" x14ac:dyDescent="0.3">
      <c r="A10419" s="678"/>
    </row>
    <row r="10420" spans="1:1" x14ac:dyDescent="0.3">
      <c r="A10420" s="678"/>
    </row>
    <row r="10421" spans="1:1" x14ac:dyDescent="0.3">
      <c r="A10421" s="678"/>
    </row>
    <row r="10422" spans="1:1" x14ac:dyDescent="0.3">
      <c r="A10422" s="678"/>
    </row>
    <row r="10423" spans="1:1" x14ac:dyDescent="0.3">
      <c r="A10423" s="678"/>
    </row>
    <row r="10424" spans="1:1" x14ac:dyDescent="0.3">
      <c r="A10424" s="678"/>
    </row>
    <row r="10425" spans="1:1" x14ac:dyDescent="0.3">
      <c r="A10425" s="678"/>
    </row>
    <row r="10426" spans="1:1" x14ac:dyDescent="0.3">
      <c r="A10426" s="678"/>
    </row>
    <row r="10427" spans="1:1" x14ac:dyDescent="0.3">
      <c r="A10427" s="678"/>
    </row>
    <row r="10428" spans="1:1" x14ac:dyDescent="0.3">
      <c r="A10428" s="678"/>
    </row>
    <row r="10429" spans="1:1" x14ac:dyDescent="0.3">
      <c r="A10429" s="678"/>
    </row>
    <row r="10430" spans="1:1" x14ac:dyDescent="0.3">
      <c r="A10430" s="678"/>
    </row>
    <row r="10431" spans="1:1" x14ac:dyDescent="0.3">
      <c r="A10431" s="678"/>
    </row>
    <row r="10432" spans="1:1" x14ac:dyDescent="0.3">
      <c r="A10432" s="678"/>
    </row>
    <row r="10433" spans="1:1" x14ac:dyDescent="0.3">
      <c r="A10433" s="678"/>
    </row>
    <row r="10434" spans="1:1" x14ac:dyDescent="0.3">
      <c r="A10434" s="678"/>
    </row>
    <row r="10435" spans="1:1" x14ac:dyDescent="0.3">
      <c r="A10435" s="678"/>
    </row>
    <row r="10436" spans="1:1" x14ac:dyDescent="0.3">
      <c r="A10436" s="678"/>
    </row>
    <row r="10437" spans="1:1" x14ac:dyDescent="0.3">
      <c r="A10437" s="678"/>
    </row>
    <row r="10438" spans="1:1" x14ac:dyDescent="0.3">
      <c r="A10438" s="678"/>
    </row>
    <row r="10439" spans="1:1" x14ac:dyDescent="0.3">
      <c r="A10439" s="678"/>
    </row>
    <row r="10440" spans="1:1" x14ac:dyDescent="0.3">
      <c r="A10440" s="678"/>
    </row>
    <row r="10441" spans="1:1" x14ac:dyDescent="0.3">
      <c r="A10441" s="678"/>
    </row>
    <row r="10442" spans="1:1" x14ac:dyDescent="0.3">
      <c r="A10442" s="678"/>
    </row>
    <row r="10443" spans="1:1" x14ac:dyDescent="0.3">
      <c r="A10443" s="678"/>
    </row>
    <row r="10444" spans="1:1" x14ac:dyDescent="0.3">
      <c r="A10444" s="678"/>
    </row>
    <row r="10445" spans="1:1" x14ac:dyDescent="0.3">
      <c r="A10445" s="678"/>
    </row>
    <row r="10446" spans="1:1" x14ac:dyDescent="0.3">
      <c r="A10446" s="678"/>
    </row>
    <row r="10447" spans="1:1" x14ac:dyDescent="0.3">
      <c r="A10447" s="678"/>
    </row>
    <row r="10448" spans="1:1" x14ac:dyDescent="0.3">
      <c r="A10448" s="678"/>
    </row>
    <row r="10449" spans="1:1" x14ac:dyDescent="0.3">
      <c r="A10449" s="678"/>
    </row>
    <row r="10450" spans="1:1" x14ac:dyDescent="0.3">
      <c r="A10450" s="678"/>
    </row>
    <row r="10451" spans="1:1" x14ac:dyDescent="0.3">
      <c r="A10451" s="678"/>
    </row>
    <row r="10452" spans="1:1" x14ac:dyDescent="0.3">
      <c r="A10452" s="678"/>
    </row>
    <row r="10453" spans="1:1" x14ac:dyDescent="0.3">
      <c r="A10453" s="678"/>
    </row>
    <row r="10454" spans="1:1" x14ac:dyDescent="0.3">
      <c r="A10454" s="678"/>
    </row>
    <row r="10455" spans="1:1" x14ac:dyDescent="0.3">
      <c r="A10455" s="678"/>
    </row>
    <row r="10456" spans="1:1" x14ac:dyDescent="0.3">
      <c r="A10456" s="678"/>
    </row>
    <row r="10457" spans="1:1" x14ac:dyDescent="0.3">
      <c r="A10457" s="678"/>
    </row>
    <row r="10458" spans="1:1" x14ac:dyDescent="0.3">
      <c r="A10458" s="678"/>
    </row>
    <row r="10459" spans="1:1" x14ac:dyDescent="0.3">
      <c r="A10459" s="678"/>
    </row>
    <row r="10460" spans="1:1" x14ac:dyDescent="0.3">
      <c r="A10460" s="678"/>
    </row>
    <row r="10461" spans="1:1" x14ac:dyDescent="0.3">
      <c r="A10461" s="678"/>
    </row>
    <row r="10462" spans="1:1" x14ac:dyDescent="0.3">
      <c r="A10462" s="678"/>
    </row>
    <row r="10463" spans="1:1" x14ac:dyDescent="0.3">
      <c r="A10463" s="678"/>
    </row>
    <row r="10464" spans="1:1" x14ac:dyDescent="0.3">
      <c r="A10464" s="678"/>
    </row>
    <row r="10465" spans="1:1" x14ac:dyDescent="0.3">
      <c r="A10465" s="678"/>
    </row>
    <row r="10466" spans="1:1" x14ac:dyDescent="0.3">
      <c r="A10466" s="678"/>
    </row>
    <row r="10467" spans="1:1" x14ac:dyDescent="0.3">
      <c r="A10467" s="678"/>
    </row>
    <row r="10468" spans="1:1" x14ac:dyDescent="0.3">
      <c r="A10468" s="678"/>
    </row>
    <row r="10469" spans="1:1" x14ac:dyDescent="0.3">
      <c r="A10469" s="678"/>
    </row>
    <row r="10470" spans="1:1" x14ac:dyDescent="0.3">
      <c r="A10470" s="678"/>
    </row>
    <row r="10471" spans="1:1" x14ac:dyDescent="0.3">
      <c r="A10471" s="678"/>
    </row>
    <row r="10472" spans="1:1" x14ac:dyDescent="0.3">
      <c r="A10472" s="678"/>
    </row>
    <row r="10473" spans="1:1" x14ac:dyDescent="0.3">
      <c r="A10473" s="678"/>
    </row>
    <row r="10474" spans="1:1" x14ac:dyDescent="0.3">
      <c r="A10474" s="678"/>
    </row>
    <row r="10475" spans="1:1" x14ac:dyDescent="0.3">
      <c r="A10475" s="678"/>
    </row>
    <row r="10476" spans="1:1" x14ac:dyDescent="0.3">
      <c r="A10476" s="678"/>
    </row>
    <row r="10477" spans="1:1" x14ac:dyDescent="0.3">
      <c r="A10477" s="678"/>
    </row>
    <row r="10478" spans="1:1" x14ac:dyDescent="0.3">
      <c r="A10478" s="678"/>
    </row>
    <row r="10479" spans="1:1" x14ac:dyDescent="0.3">
      <c r="A10479" s="678"/>
    </row>
    <row r="10480" spans="1:1" x14ac:dyDescent="0.3">
      <c r="A10480" s="678"/>
    </row>
    <row r="10481" spans="1:1" x14ac:dyDescent="0.3">
      <c r="A10481" s="678"/>
    </row>
    <row r="10482" spans="1:1" x14ac:dyDescent="0.3">
      <c r="A10482" s="678"/>
    </row>
    <row r="10483" spans="1:1" x14ac:dyDescent="0.3">
      <c r="A10483" s="678"/>
    </row>
    <row r="10484" spans="1:1" x14ac:dyDescent="0.3">
      <c r="A10484" s="678"/>
    </row>
    <row r="10485" spans="1:1" x14ac:dyDescent="0.3">
      <c r="A10485" s="678"/>
    </row>
    <row r="10486" spans="1:1" x14ac:dyDescent="0.3">
      <c r="A10486" s="678"/>
    </row>
    <row r="10487" spans="1:1" x14ac:dyDescent="0.3">
      <c r="A10487" s="678"/>
    </row>
    <row r="10488" spans="1:1" x14ac:dyDescent="0.3">
      <c r="A10488" s="678"/>
    </row>
    <row r="10489" spans="1:1" x14ac:dyDescent="0.3">
      <c r="A10489" s="678"/>
    </row>
    <row r="10490" spans="1:1" x14ac:dyDescent="0.3">
      <c r="A10490" s="678"/>
    </row>
    <row r="10491" spans="1:1" x14ac:dyDescent="0.3">
      <c r="A10491" s="678"/>
    </row>
    <row r="10492" spans="1:1" x14ac:dyDescent="0.3">
      <c r="A10492" s="678"/>
    </row>
    <row r="10493" spans="1:1" x14ac:dyDescent="0.3">
      <c r="A10493" s="678"/>
    </row>
    <row r="10494" spans="1:1" x14ac:dyDescent="0.3">
      <c r="A10494" s="678"/>
    </row>
    <row r="10495" spans="1:1" x14ac:dyDescent="0.3">
      <c r="A10495" s="678"/>
    </row>
    <row r="10496" spans="1:1" x14ac:dyDescent="0.3">
      <c r="A10496" s="678"/>
    </row>
    <row r="10497" spans="1:1" x14ac:dyDescent="0.3">
      <c r="A10497" s="678"/>
    </row>
    <row r="10498" spans="1:1" x14ac:dyDescent="0.3">
      <c r="A10498" s="678"/>
    </row>
    <row r="10499" spans="1:1" x14ac:dyDescent="0.3">
      <c r="A10499" s="678"/>
    </row>
    <row r="10500" spans="1:1" x14ac:dyDescent="0.3">
      <c r="A10500" s="678"/>
    </row>
    <row r="10501" spans="1:1" x14ac:dyDescent="0.3">
      <c r="A10501" s="678"/>
    </row>
    <row r="10502" spans="1:1" x14ac:dyDescent="0.3">
      <c r="A10502" s="678"/>
    </row>
    <row r="10503" spans="1:1" x14ac:dyDescent="0.3">
      <c r="A10503" s="678"/>
    </row>
    <row r="10504" spans="1:1" x14ac:dyDescent="0.3">
      <c r="A10504" s="678"/>
    </row>
    <row r="10505" spans="1:1" x14ac:dyDescent="0.3">
      <c r="A10505" s="678"/>
    </row>
    <row r="10506" spans="1:1" x14ac:dyDescent="0.3">
      <c r="A10506" s="678"/>
    </row>
    <row r="10507" spans="1:1" x14ac:dyDescent="0.3">
      <c r="A10507" s="678"/>
    </row>
    <row r="10508" spans="1:1" x14ac:dyDescent="0.3">
      <c r="A10508" s="678"/>
    </row>
    <row r="10509" spans="1:1" x14ac:dyDescent="0.3">
      <c r="A10509" s="678"/>
    </row>
    <row r="10510" spans="1:1" x14ac:dyDescent="0.3">
      <c r="A10510" s="678"/>
    </row>
    <row r="10511" spans="1:1" x14ac:dyDescent="0.3">
      <c r="A10511" s="678"/>
    </row>
    <row r="10512" spans="1:1" x14ac:dyDescent="0.3">
      <c r="A10512" s="678"/>
    </row>
    <row r="10513" spans="1:1" x14ac:dyDescent="0.3">
      <c r="A10513" s="678"/>
    </row>
    <row r="10514" spans="1:1" x14ac:dyDescent="0.3">
      <c r="A10514" s="678"/>
    </row>
    <row r="10515" spans="1:1" x14ac:dyDescent="0.3">
      <c r="A10515" s="678"/>
    </row>
    <row r="10516" spans="1:1" x14ac:dyDescent="0.3">
      <c r="A10516" s="678"/>
    </row>
    <row r="10517" spans="1:1" x14ac:dyDescent="0.3">
      <c r="A10517" s="678"/>
    </row>
    <row r="10518" spans="1:1" x14ac:dyDescent="0.3">
      <c r="A10518" s="678"/>
    </row>
    <row r="10519" spans="1:1" x14ac:dyDescent="0.3">
      <c r="A10519" s="678"/>
    </row>
    <row r="10520" spans="1:1" x14ac:dyDescent="0.3">
      <c r="A10520" s="678"/>
    </row>
    <row r="10521" spans="1:1" x14ac:dyDescent="0.3">
      <c r="A10521" s="678"/>
    </row>
    <row r="10522" spans="1:1" x14ac:dyDescent="0.3">
      <c r="A10522" s="678"/>
    </row>
    <row r="10523" spans="1:1" x14ac:dyDescent="0.3">
      <c r="A10523" s="678"/>
    </row>
    <row r="10524" spans="1:1" x14ac:dyDescent="0.3">
      <c r="A10524" s="678"/>
    </row>
    <row r="10525" spans="1:1" x14ac:dyDescent="0.3">
      <c r="A10525" s="678"/>
    </row>
    <row r="10526" spans="1:1" x14ac:dyDescent="0.3">
      <c r="A10526" s="678"/>
    </row>
    <row r="10527" spans="1:1" x14ac:dyDescent="0.3">
      <c r="A10527" s="678"/>
    </row>
    <row r="10528" spans="1:1" x14ac:dyDescent="0.3">
      <c r="A10528" s="678"/>
    </row>
    <row r="10529" spans="1:1" x14ac:dyDescent="0.3">
      <c r="A10529" s="678"/>
    </row>
    <row r="10530" spans="1:1" x14ac:dyDescent="0.3">
      <c r="A10530" s="678"/>
    </row>
    <row r="10531" spans="1:1" x14ac:dyDescent="0.3">
      <c r="A10531" s="678"/>
    </row>
    <row r="10532" spans="1:1" x14ac:dyDescent="0.3">
      <c r="A10532" s="678"/>
    </row>
    <row r="10533" spans="1:1" x14ac:dyDescent="0.3">
      <c r="A10533" s="678"/>
    </row>
    <row r="10534" spans="1:1" x14ac:dyDescent="0.3">
      <c r="A10534" s="678"/>
    </row>
    <row r="10535" spans="1:1" x14ac:dyDescent="0.3">
      <c r="A10535" s="678"/>
    </row>
    <row r="10536" spans="1:1" x14ac:dyDescent="0.3">
      <c r="A10536" s="678"/>
    </row>
    <row r="10537" spans="1:1" x14ac:dyDescent="0.3">
      <c r="A10537" s="678"/>
    </row>
    <row r="10538" spans="1:1" x14ac:dyDescent="0.3">
      <c r="A10538" s="678"/>
    </row>
    <row r="10539" spans="1:1" x14ac:dyDescent="0.3">
      <c r="A10539" s="678"/>
    </row>
    <row r="10540" spans="1:1" x14ac:dyDescent="0.3">
      <c r="A10540" s="678"/>
    </row>
    <row r="10541" spans="1:1" x14ac:dyDescent="0.3">
      <c r="A10541" s="678"/>
    </row>
    <row r="10542" spans="1:1" x14ac:dyDescent="0.3">
      <c r="A10542" s="678"/>
    </row>
    <row r="10543" spans="1:1" x14ac:dyDescent="0.3">
      <c r="A10543" s="678"/>
    </row>
    <row r="10544" spans="1:1" x14ac:dyDescent="0.3">
      <c r="A10544" s="678"/>
    </row>
    <row r="10545" spans="1:1" x14ac:dyDescent="0.3">
      <c r="A10545" s="678"/>
    </row>
    <row r="10546" spans="1:1" x14ac:dyDescent="0.3">
      <c r="A10546" s="678"/>
    </row>
    <row r="10547" spans="1:1" x14ac:dyDescent="0.3">
      <c r="A10547" s="678"/>
    </row>
    <row r="10548" spans="1:1" x14ac:dyDescent="0.3">
      <c r="A10548" s="678"/>
    </row>
    <row r="10549" spans="1:1" x14ac:dyDescent="0.3">
      <c r="A10549" s="678"/>
    </row>
    <row r="10550" spans="1:1" x14ac:dyDescent="0.3">
      <c r="A10550" s="678"/>
    </row>
    <row r="10551" spans="1:1" x14ac:dyDescent="0.3">
      <c r="A10551" s="678"/>
    </row>
    <row r="10552" spans="1:1" x14ac:dyDescent="0.3">
      <c r="A10552" s="678"/>
    </row>
    <row r="10553" spans="1:1" x14ac:dyDescent="0.3">
      <c r="A10553" s="678"/>
    </row>
    <row r="10554" spans="1:1" x14ac:dyDescent="0.3">
      <c r="A10554" s="678"/>
    </row>
    <row r="10555" spans="1:1" x14ac:dyDescent="0.3">
      <c r="A10555" s="678"/>
    </row>
    <row r="10556" spans="1:1" x14ac:dyDescent="0.3">
      <c r="A10556" s="678"/>
    </row>
    <row r="10557" spans="1:1" x14ac:dyDescent="0.3">
      <c r="A10557" s="678"/>
    </row>
    <row r="10558" spans="1:1" x14ac:dyDescent="0.3">
      <c r="A10558" s="678"/>
    </row>
    <row r="10559" spans="1:1" x14ac:dyDescent="0.3">
      <c r="A10559" s="678"/>
    </row>
    <row r="10560" spans="1:1" x14ac:dyDescent="0.3">
      <c r="A10560" s="678"/>
    </row>
    <row r="10561" spans="1:1" x14ac:dyDescent="0.3">
      <c r="A10561" s="678"/>
    </row>
    <row r="10562" spans="1:1" x14ac:dyDescent="0.3">
      <c r="A10562" s="678"/>
    </row>
    <row r="10563" spans="1:1" x14ac:dyDescent="0.3">
      <c r="A10563" s="678"/>
    </row>
    <row r="10564" spans="1:1" x14ac:dyDescent="0.3">
      <c r="A10564" s="678"/>
    </row>
    <row r="10565" spans="1:1" x14ac:dyDescent="0.3">
      <c r="A10565" s="678"/>
    </row>
    <row r="10566" spans="1:1" x14ac:dyDescent="0.3">
      <c r="A10566" s="678"/>
    </row>
    <row r="10567" spans="1:1" x14ac:dyDescent="0.3">
      <c r="A10567" s="678"/>
    </row>
    <row r="10568" spans="1:1" x14ac:dyDescent="0.3">
      <c r="A10568" s="678"/>
    </row>
    <row r="10569" spans="1:1" x14ac:dyDescent="0.3">
      <c r="A10569" s="678"/>
    </row>
    <row r="10570" spans="1:1" x14ac:dyDescent="0.3">
      <c r="A10570" s="678"/>
    </row>
    <row r="10571" spans="1:1" x14ac:dyDescent="0.3">
      <c r="A10571" s="678"/>
    </row>
    <row r="10572" spans="1:1" x14ac:dyDescent="0.3">
      <c r="A10572" s="678"/>
    </row>
    <row r="10573" spans="1:1" x14ac:dyDescent="0.3">
      <c r="A10573" s="678"/>
    </row>
    <row r="10574" spans="1:1" x14ac:dyDescent="0.3">
      <c r="A10574" s="678"/>
    </row>
    <row r="10575" spans="1:1" x14ac:dyDescent="0.3">
      <c r="A10575" s="678"/>
    </row>
    <row r="10576" spans="1:1" x14ac:dyDescent="0.3">
      <c r="A10576" s="678"/>
    </row>
    <row r="10577" spans="1:1" x14ac:dyDescent="0.3">
      <c r="A10577" s="678"/>
    </row>
    <row r="10578" spans="1:1" x14ac:dyDescent="0.3">
      <c r="A10578" s="678"/>
    </row>
    <row r="10579" spans="1:1" x14ac:dyDescent="0.3">
      <c r="A10579" s="678"/>
    </row>
    <row r="10580" spans="1:1" x14ac:dyDescent="0.3">
      <c r="A10580" s="678"/>
    </row>
    <row r="10581" spans="1:1" x14ac:dyDescent="0.3">
      <c r="A10581" s="678"/>
    </row>
    <row r="10582" spans="1:1" x14ac:dyDescent="0.3">
      <c r="A10582" s="678"/>
    </row>
    <row r="10583" spans="1:1" x14ac:dyDescent="0.3">
      <c r="A10583" s="678"/>
    </row>
    <row r="10584" spans="1:1" x14ac:dyDescent="0.3">
      <c r="A10584" s="678"/>
    </row>
    <row r="10585" spans="1:1" x14ac:dyDescent="0.3">
      <c r="A10585" s="678"/>
    </row>
    <row r="10586" spans="1:1" x14ac:dyDescent="0.3">
      <c r="A10586" s="678"/>
    </row>
    <row r="10587" spans="1:1" x14ac:dyDescent="0.3">
      <c r="A10587" s="678"/>
    </row>
    <row r="10588" spans="1:1" x14ac:dyDescent="0.3">
      <c r="A10588" s="678"/>
    </row>
    <row r="10589" spans="1:1" x14ac:dyDescent="0.3">
      <c r="A10589" s="678"/>
    </row>
    <row r="10590" spans="1:1" x14ac:dyDescent="0.3">
      <c r="A10590" s="678"/>
    </row>
    <row r="10591" spans="1:1" x14ac:dyDescent="0.3">
      <c r="A10591" s="678"/>
    </row>
    <row r="10592" spans="1:1" x14ac:dyDescent="0.3">
      <c r="A10592" s="678"/>
    </row>
    <row r="10593" spans="1:1" x14ac:dyDescent="0.3">
      <c r="A10593" s="678"/>
    </row>
    <row r="10594" spans="1:1" x14ac:dyDescent="0.3">
      <c r="A10594" s="678"/>
    </row>
    <row r="10595" spans="1:1" x14ac:dyDescent="0.3">
      <c r="A10595" s="678"/>
    </row>
    <row r="10596" spans="1:1" x14ac:dyDescent="0.3">
      <c r="A10596" s="678"/>
    </row>
    <row r="10597" spans="1:1" x14ac:dyDescent="0.3">
      <c r="A10597" s="678"/>
    </row>
    <row r="10598" spans="1:1" x14ac:dyDescent="0.3">
      <c r="A10598" s="678"/>
    </row>
    <row r="10599" spans="1:1" x14ac:dyDescent="0.3">
      <c r="A10599" s="678"/>
    </row>
    <row r="10600" spans="1:1" x14ac:dyDescent="0.3">
      <c r="A10600" s="678"/>
    </row>
    <row r="10601" spans="1:1" x14ac:dyDescent="0.3">
      <c r="A10601" s="678"/>
    </row>
    <row r="10602" spans="1:1" x14ac:dyDescent="0.3">
      <c r="A10602" s="678"/>
    </row>
    <row r="10603" spans="1:1" x14ac:dyDescent="0.3">
      <c r="A10603" s="678"/>
    </row>
    <row r="10604" spans="1:1" x14ac:dyDescent="0.3">
      <c r="A10604" s="678"/>
    </row>
    <row r="10605" spans="1:1" x14ac:dyDescent="0.3">
      <c r="A10605" s="678"/>
    </row>
    <row r="10606" spans="1:1" x14ac:dyDescent="0.3">
      <c r="A10606" s="678"/>
    </row>
    <row r="10607" spans="1:1" x14ac:dyDescent="0.3">
      <c r="A10607" s="678"/>
    </row>
    <row r="10608" spans="1:1" x14ac:dyDescent="0.3">
      <c r="A10608" s="678"/>
    </row>
    <row r="10609" spans="1:1" x14ac:dyDescent="0.3">
      <c r="A10609" s="678"/>
    </row>
    <row r="10610" spans="1:1" x14ac:dyDescent="0.3">
      <c r="A10610" s="678"/>
    </row>
    <row r="10611" spans="1:1" x14ac:dyDescent="0.3">
      <c r="A10611" s="678"/>
    </row>
    <row r="10612" spans="1:1" x14ac:dyDescent="0.3">
      <c r="A10612" s="678"/>
    </row>
    <row r="10613" spans="1:1" x14ac:dyDescent="0.3">
      <c r="A10613" s="678"/>
    </row>
    <row r="10614" spans="1:1" x14ac:dyDescent="0.3">
      <c r="A10614" s="678"/>
    </row>
    <row r="10615" spans="1:1" x14ac:dyDescent="0.3">
      <c r="A10615" s="678"/>
    </row>
    <row r="10616" spans="1:1" x14ac:dyDescent="0.3">
      <c r="A10616" s="678"/>
    </row>
    <row r="10617" spans="1:1" x14ac:dyDescent="0.3">
      <c r="A10617" s="678"/>
    </row>
    <row r="10618" spans="1:1" x14ac:dyDescent="0.3">
      <c r="A10618" s="678"/>
    </row>
    <row r="10619" spans="1:1" x14ac:dyDescent="0.3">
      <c r="A10619" s="678"/>
    </row>
    <row r="10620" spans="1:1" x14ac:dyDescent="0.3">
      <c r="A10620" s="678"/>
    </row>
    <row r="10621" spans="1:1" x14ac:dyDescent="0.3">
      <c r="A10621" s="678"/>
    </row>
    <row r="10622" spans="1:1" x14ac:dyDescent="0.3">
      <c r="A10622" s="678"/>
    </row>
    <row r="10623" spans="1:1" x14ac:dyDescent="0.3">
      <c r="A10623" s="678"/>
    </row>
    <row r="10624" spans="1:1" x14ac:dyDescent="0.3">
      <c r="A10624" s="678"/>
    </row>
    <row r="10625" spans="1:1" x14ac:dyDescent="0.3">
      <c r="A10625" s="678"/>
    </row>
    <row r="10626" spans="1:1" x14ac:dyDescent="0.3">
      <c r="A10626" s="678"/>
    </row>
    <row r="10627" spans="1:1" x14ac:dyDescent="0.3">
      <c r="A10627" s="678"/>
    </row>
    <row r="10628" spans="1:1" x14ac:dyDescent="0.3">
      <c r="A10628" s="678"/>
    </row>
    <row r="10629" spans="1:1" x14ac:dyDescent="0.3">
      <c r="A10629" s="678"/>
    </row>
    <row r="10630" spans="1:1" x14ac:dyDescent="0.3">
      <c r="A10630" s="678"/>
    </row>
    <row r="10631" spans="1:1" x14ac:dyDescent="0.3">
      <c r="A10631" s="678"/>
    </row>
    <row r="10632" spans="1:1" x14ac:dyDescent="0.3">
      <c r="A10632" s="678"/>
    </row>
    <row r="10633" spans="1:1" x14ac:dyDescent="0.3">
      <c r="A10633" s="678"/>
    </row>
    <row r="10634" spans="1:1" x14ac:dyDescent="0.3">
      <c r="A10634" s="678"/>
    </row>
    <row r="10635" spans="1:1" x14ac:dyDescent="0.3">
      <c r="A10635" s="678"/>
    </row>
    <row r="10636" spans="1:1" x14ac:dyDescent="0.3">
      <c r="A10636" s="678"/>
    </row>
    <row r="10637" spans="1:1" x14ac:dyDescent="0.3">
      <c r="A10637" s="678"/>
    </row>
    <row r="10638" spans="1:1" x14ac:dyDescent="0.3">
      <c r="A10638" s="678"/>
    </row>
    <row r="10639" spans="1:1" x14ac:dyDescent="0.3">
      <c r="A10639" s="678"/>
    </row>
    <row r="10640" spans="1:1" x14ac:dyDescent="0.3">
      <c r="A10640" s="678"/>
    </row>
    <row r="10641" spans="1:1" x14ac:dyDescent="0.3">
      <c r="A10641" s="678"/>
    </row>
    <row r="10642" spans="1:1" x14ac:dyDescent="0.3">
      <c r="A10642" s="678"/>
    </row>
    <row r="10643" spans="1:1" x14ac:dyDescent="0.3">
      <c r="A10643" s="678"/>
    </row>
    <row r="10644" spans="1:1" x14ac:dyDescent="0.3">
      <c r="A10644" s="678"/>
    </row>
    <row r="10645" spans="1:1" x14ac:dyDescent="0.3">
      <c r="A10645" s="678"/>
    </row>
    <row r="10646" spans="1:1" x14ac:dyDescent="0.3">
      <c r="A10646" s="678"/>
    </row>
    <row r="10647" spans="1:1" x14ac:dyDescent="0.3">
      <c r="A10647" s="678"/>
    </row>
    <row r="10648" spans="1:1" x14ac:dyDescent="0.3">
      <c r="A10648" s="678"/>
    </row>
    <row r="10649" spans="1:1" x14ac:dyDescent="0.3">
      <c r="A10649" s="678"/>
    </row>
    <row r="10650" spans="1:1" x14ac:dyDescent="0.3">
      <c r="A10650" s="678"/>
    </row>
    <row r="10651" spans="1:1" x14ac:dyDescent="0.3">
      <c r="A10651" s="678"/>
    </row>
    <row r="10652" spans="1:1" x14ac:dyDescent="0.3">
      <c r="A10652" s="678"/>
    </row>
    <row r="10653" spans="1:1" x14ac:dyDescent="0.3">
      <c r="A10653" s="678"/>
    </row>
    <row r="10654" spans="1:1" x14ac:dyDescent="0.3">
      <c r="A10654" s="678"/>
    </row>
    <row r="10655" spans="1:1" x14ac:dyDescent="0.3">
      <c r="A10655" s="678"/>
    </row>
    <row r="10656" spans="1:1" x14ac:dyDescent="0.3">
      <c r="A10656" s="678"/>
    </row>
    <row r="10657" spans="1:1" x14ac:dyDescent="0.3">
      <c r="A10657" s="678"/>
    </row>
    <row r="10658" spans="1:1" x14ac:dyDescent="0.3">
      <c r="A10658" s="678"/>
    </row>
    <row r="10659" spans="1:1" x14ac:dyDescent="0.3">
      <c r="A10659" s="678"/>
    </row>
    <row r="10660" spans="1:1" x14ac:dyDescent="0.3">
      <c r="A10660" s="678"/>
    </row>
    <row r="10661" spans="1:1" x14ac:dyDescent="0.3">
      <c r="A10661" s="678"/>
    </row>
    <row r="10662" spans="1:1" x14ac:dyDescent="0.3">
      <c r="A10662" s="678"/>
    </row>
    <row r="10663" spans="1:1" x14ac:dyDescent="0.3">
      <c r="A10663" s="678"/>
    </row>
    <row r="10664" spans="1:1" x14ac:dyDescent="0.3">
      <c r="A10664" s="678"/>
    </row>
    <row r="10665" spans="1:1" x14ac:dyDescent="0.3">
      <c r="A10665" s="678"/>
    </row>
    <row r="10666" spans="1:1" x14ac:dyDescent="0.3">
      <c r="A10666" s="678"/>
    </row>
    <row r="10667" spans="1:1" x14ac:dyDescent="0.3">
      <c r="A10667" s="678"/>
    </row>
    <row r="10668" spans="1:1" x14ac:dyDescent="0.3">
      <c r="A10668" s="678"/>
    </row>
    <row r="10669" spans="1:1" x14ac:dyDescent="0.3">
      <c r="A10669" s="678"/>
    </row>
    <row r="10670" spans="1:1" x14ac:dyDescent="0.3">
      <c r="A10670" s="678"/>
    </row>
    <row r="10671" spans="1:1" x14ac:dyDescent="0.3">
      <c r="A10671" s="678"/>
    </row>
    <row r="10672" spans="1:1" x14ac:dyDescent="0.3">
      <c r="A10672" s="678"/>
    </row>
    <row r="10673" spans="1:1" x14ac:dyDescent="0.3">
      <c r="A10673" s="678"/>
    </row>
    <row r="10674" spans="1:1" x14ac:dyDescent="0.3">
      <c r="A10674" s="678"/>
    </row>
    <row r="10675" spans="1:1" x14ac:dyDescent="0.3">
      <c r="A10675" s="678"/>
    </row>
    <row r="10676" spans="1:1" x14ac:dyDescent="0.3">
      <c r="A10676" s="678"/>
    </row>
    <row r="10677" spans="1:1" x14ac:dyDescent="0.3">
      <c r="A10677" s="678"/>
    </row>
    <row r="10678" spans="1:1" x14ac:dyDescent="0.3">
      <c r="A10678" s="678"/>
    </row>
    <row r="10679" spans="1:1" x14ac:dyDescent="0.3">
      <c r="A10679" s="678"/>
    </row>
    <row r="10680" spans="1:1" x14ac:dyDescent="0.3">
      <c r="A10680" s="678"/>
    </row>
    <row r="10681" spans="1:1" x14ac:dyDescent="0.3">
      <c r="A10681" s="678"/>
    </row>
    <row r="10682" spans="1:1" x14ac:dyDescent="0.3">
      <c r="A10682" s="678"/>
    </row>
    <row r="10683" spans="1:1" x14ac:dyDescent="0.3">
      <c r="A10683" s="678"/>
    </row>
    <row r="10684" spans="1:1" x14ac:dyDescent="0.3">
      <c r="A10684" s="678"/>
    </row>
    <row r="10685" spans="1:1" x14ac:dyDescent="0.3">
      <c r="A10685" s="678"/>
    </row>
    <row r="10686" spans="1:1" x14ac:dyDescent="0.3">
      <c r="A10686" s="678"/>
    </row>
    <row r="10687" spans="1:1" x14ac:dyDescent="0.3">
      <c r="A10687" s="678"/>
    </row>
    <row r="10688" spans="1:1" x14ac:dyDescent="0.3">
      <c r="A10688" s="678"/>
    </row>
    <row r="10689" spans="1:1" x14ac:dyDescent="0.3">
      <c r="A10689" s="678"/>
    </row>
    <row r="10690" spans="1:1" x14ac:dyDescent="0.3">
      <c r="A10690" s="678"/>
    </row>
    <row r="10691" spans="1:1" x14ac:dyDescent="0.3">
      <c r="A10691" s="678"/>
    </row>
    <row r="10692" spans="1:1" x14ac:dyDescent="0.3">
      <c r="A10692" s="678"/>
    </row>
    <row r="10693" spans="1:1" x14ac:dyDescent="0.3">
      <c r="A10693" s="678"/>
    </row>
    <row r="10694" spans="1:1" x14ac:dyDescent="0.3">
      <c r="A10694" s="678"/>
    </row>
    <row r="10695" spans="1:1" x14ac:dyDescent="0.3">
      <c r="A10695" s="678"/>
    </row>
    <row r="10696" spans="1:1" x14ac:dyDescent="0.3">
      <c r="A10696" s="678"/>
    </row>
    <row r="10697" spans="1:1" x14ac:dyDescent="0.3">
      <c r="A10697" s="678"/>
    </row>
    <row r="10698" spans="1:1" x14ac:dyDescent="0.3">
      <c r="A10698" s="678"/>
    </row>
    <row r="10699" spans="1:1" x14ac:dyDescent="0.3">
      <c r="A10699" s="678"/>
    </row>
    <row r="10700" spans="1:1" x14ac:dyDescent="0.3">
      <c r="A10700" s="678"/>
    </row>
    <row r="10701" spans="1:1" x14ac:dyDescent="0.3">
      <c r="A10701" s="678"/>
    </row>
    <row r="10702" spans="1:1" x14ac:dyDescent="0.3">
      <c r="A10702" s="678"/>
    </row>
    <row r="10703" spans="1:1" x14ac:dyDescent="0.3">
      <c r="A10703" s="678"/>
    </row>
    <row r="10704" spans="1:1" x14ac:dyDescent="0.3">
      <c r="A10704" s="678"/>
    </row>
    <row r="10705" spans="1:1" x14ac:dyDescent="0.3">
      <c r="A10705" s="678"/>
    </row>
    <row r="10706" spans="1:1" x14ac:dyDescent="0.3">
      <c r="A10706" s="678"/>
    </row>
    <row r="10707" spans="1:1" x14ac:dyDescent="0.3">
      <c r="A10707" s="678"/>
    </row>
    <row r="10708" spans="1:1" x14ac:dyDescent="0.3">
      <c r="A10708" s="678"/>
    </row>
    <row r="10709" spans="1:1" x14ac:dyDescent="0.3">
      <c r="A10709" s="678"/>
    </row>
    <row r="10710" spans="1:1" x14ac:dyDescent="0.3">
      <c r="A10710" s="678"/>
    </row>
    <row r="10711" spans="1:1" x14ac:dyDescent="0.3">
      <c r="A10711" s="678"/>
    </row>
    <row r="10712" spans="1:1" x14ac:dyDescent="0.3">
      <c r="A10712" s="678"/>
    </row>
    <row r="10713" spans="1:1" x14ac:dyDescent="0.3">
      <c r="A10713" s="678"/>
    </row>
    <row r="10714" spans="1:1" x14ac:dyDescent="0.3">
      <c r="A10714" s="678"/>
    </row>
    <row r="10715" spans="1:1" x14ac:dyDescent="0.3">
      <c r="A10715" s="678"/>
    </row>
    <row r="10716" spans="1:1" x14ac:dyDescent="0.3">
      <c r="A10716" s="678"/>
    </row>
    <row r="10717" spans="1:1" x14ac:dyDescent="0.3">
      <c r="A10717" s="678"/>
    </row>
    <row r="10718" spans="1:1" x14ac:dyDescent="0.3">
      <c r="A10718" s="678"/>
    </row>
    <row r="10719" spans="1:1" x14ac:dyDescent="0.3">
      <c r="A10719" s="678"/>
    </row>
    <row r="10720" spans="1:1" x14ac:dyDescent="0.3">
      <c r="A10720" s="678"/>
    </row>
    <row r="10721" spans="1:1" x14ac:dyDescent="0.3">
      <c r="A10721" s="678"/>
    </row>
    <row r="10722" spans="1:1" x14ac:dyDescent="0.3">
      <c r="A10722" s="678"/>
    </row>
    <row r="10723" spans="1:1" x14ac:dyDescent="0.3">
      <c r="A10723" s="678"/>
    </row>
    <row r="10724" spans="1:1" x14ac:dyDescent="0.3">
      <c r="A10724" s="678"/>
    </row>
    <row r="10725" spans="1:1" x14ac:dyDescent="0.3">
      <c r="A10725" s="678"/>
    </row>
    <row r="10726" spans="1:1" x14ac:dyDescent="0.3">
      <c r="A10726" s="678"/>
    </row>
    <row r="10727" spans="1:1" x14ac:dyDescent="0.3">
      <c r="A10727" s="678"/>
    </row>
    <row r="10728" spans="1:1" x14ac:dyDescent="0.3">
      <c r="A10728" s="678"/>
    </row>
    <row r="10729" spans="1:1" x14ac:dyDescent="0.3">
      <c r="A10729" s="678"/>
    </row>
    <row r="10730" spans="1:1" x14ac:dyDescent="0.3">
      <c r="A10730" s="678"/>
    </row>
    <row r="10731" spans="1:1" x14ac:dyDescent="0.3">
      <c r="A10731" s="678"/>
    </row>
    <row r="10732" spans="1:1" x14ac:dyDescent="0.3">
      <c r="A10732" s="678"/>
    </row>
    <row r="10733" spans="1:1" x14ac:dyDescent="0.3">
      <c r="A10733" s="678"/>
    </row>
    <row r="10734" spans="1:1" x14ac:dyDescent="0.3">
      <c r="A10734" s="678"/>
    </row>
    <row r="10735" spans="1:1" x14ac:dyDescent="0.3">
      <c r="A10735" s="678"/>
    </row>
    <row r="10736" spans="1:1" x14ac:dyDescent="0.3">
      <c r="A10736" s="678"/>
    </row>
    <row r="10737" spans="1:1" x14ac:dyDescent="0.3">
      <c r="A10737" s="678"/>
    </row>
    <row r="10738" spans="1:1" x14ac:dyDescent="0.3">
      <c r="A10738" s="678"/>
    </row>
    <row r="10739" spans="1:1" x14ac:dyDescent="0.3">
      <c r="A10739" s="678"/>
    </row>
    <row r="10740" spans="1:1" x14ac:dyDescent="0.3">
      <c r="A10740" s="678"/>
    </row>
    <row r="10741" spans="1:1" x14ac:dyDescent="0.3">
      <c r="A10741" s="678"/>
    </row>
    <row r="10742" spans="1:1" x14ac:dyDescent="0.3">
      <c r="A10742" s="678"/>
    </row>
    <row r="10743" spans="1:1" x14ac:dyDescent="0.3">
      <c r="A10743" s="678"/>
    </row>
    <row r="10744" spans="1:1" x14ac:dyDescent="0.3">
      <c r="A10744" s="678"/>
    </row>
    <row r="10745" spans="1:1" x14ac:dyDescent="0.3">
      <c r="A10745" s="678"/>
    </row>
    <row r="10746" spans="1:1" x14ac:dyDescent="0.3">
      <c r="A10746" s="678"/>
    </row>
    <row r="10747" spans="1:1" x14ac:dyDescent="0.3">
      <c r="A10747" s="678"/>
    </row>
    <row r="10748" spans="1:1" x14ac:dyDescent="0.3">
      <c r="A10748" s="678"/>
    </row>
    <row r="10749" spans="1:1" x14ac:dyDescent="0.3">
      <c r="A10749" s="678"/>
    </row>
    <row r="10750" spans="1:1" x14ac:dyDescent="0.3">
      <c r="A10750" s="678"/>
    </row>
    <row r="10751" spans="1:1" x14ac:dyDescent="0.3">
      <c r="A10751" s="678"/>
    </row>
    <row r="10752" spans="1:1" x14ac:dyDescent="0.3">
      <c r="A10752" s="678"/>
    </row>
    <row r="10753" spans="1:1" x14ac:dyDescent="0.3">
      <c r="A10753" s="678"/>
    </row>
    <row r="10754" spans="1:1" x14ac:dyDescent="0.3">
      <c r="A10754" s="678"/>
    </row>
    <row r="10755" spans="1:1" x14ac:dyDescent="0.3">
      <c r="A10755" s="678"/>
    </row>
    <row r="10756" spans="1:1" x14ac:dyDescent="0.3">
      <c r="A10756" s="678"/>
    </row>
    <row r="10757" spans="1:1" x14ac:dyDescent="0.3">
      <c r="A10757" s="678"/>
    </row>
    <row r="10758" spans="1:1" x14ac:dyDescent="0.3">
      <c r="A10758" s="678"/>
    </row>
    <row r="10759" spans="1:1" x14ac:dyDescent="0.3">
      <c r="A10759" s="678"/>
    </row>
    <row r="10760" spans="1:1" x14ac:dyDescent="0.3">
      <c r="A10760" s="678"/>
    </row>
    <row r="10761" spans="1:1" x14ac:dyDescent="0.3">
      <c r="A10761" s="678"/>
    </row>
    <row r="10762" spans="1:1" x14ac:dyDescent="0.3">
      <c r="A10762" s="678"/>
    </row>
    <row r="10763" spans="1:1" x14ac:dyDescent="0.3">
      <c r="A10763" s="678"/>
    </row>
    <row r="10764" spans="1:1" x14ac:dyDescent="0.3">
      <c r="A10764" s="678"/>
    </row>
    <row r="10765" spans="1:1" x14ac:dyDescent="0.3">
      <c r="A10765" s="678"/>
    </row>
    <row r="10766" spans="1:1" x14ac:dyDescent="0.3">
      <c r="A10766" s="678"/>
    </row>
    <row r="10767" spans="1:1" x14ac:dyDescent="0.3">
      <c r="A10767" s="678"/>
    </row>
    <row r="10768" spans="1:1" x14ac:dyDescent="0.3">
      <c r="A10768" s="678"/>
    </row>
    <row r="10769" spans="1:1" x14ac:dyDescent="0.3">
      <c r="A10769" s="678"/>
    </row>
    <row r="10770" spans="1:1" x14ac:dyDescent="0.3">
      <c r="A10770" s="678"/>
    </row>
    <row r="10771" spans="1:1" x14ac:dyDescent="0.3">
      <c r="A10771" s="678"/>
    </row>
    <row r="10772" spans="1:1" x14ac:dyDescent="0.3">
      <c r="A10772" s="678"/>
    </row>
    <row r="10773" spans="1:1" x14ac:dyDescent="0.3">
      <c r="A10773" s="678"/>
    </row>
    <row r="10774" spans="1:1" x14ac:dyDescent="0.3">
      <c r="A10774" s="678"/>
    </row>
    <row r="10775" spans="1:1" x14ac:dyDescent="0.3">
      <c r="A10775" s="678"/>
    </row>
    <row r="10776" spans="1:1" x14ac:dyDescent="0.3">
      <c r="A10776" s="678"/>
    </row>
    <row r="10777" spans="1:1" x14ac:dyDescent="0.3">
      <c r="A10777" s="678"/>
    </row>
    <row r="10778" spans="1:1" x14ac:dyDescent="0.3">
      <c r="A10778" s="678"/>
    </row>
    <row r="10779" spans="1:1" x14ac:dyDescent="0.3">
      <c r="A10779" s="678"/>
    </row>
    <row r="10780" spans="1:1" x14ac:dyDescent="0.3">
      <c r="A10780" s="678"/>
    </row>
    <row r="10781" spans="1:1" x14ac:dyDescent="0.3">
      <c r="A10781" s="678"/>
    </row>
    <row r="10782" spans="1:1" x14ac:dyDescent="0.3">
      <c r="A10782" s="678"/>
    </row>
    <row r="10783" spans="1:1" x14ac:dyDescent="0.3">
      <c r="A10783" s="678"/>
    </row>
    <row r="10784" spans="1:1" x14ac:dyDescent="0.3">
      <c r="A10784" s="678"/>
    </row>
    <row r="10785" spans="1:1" x14ac:dyDescent="0.3">
      <c r="A10785" s="678"/>
    </row>
    <row r="10786" spans="1:1" x14ac:dyDescent="0.3">
      <c r="A10786" s="678"/>
    </row>
    <row r="10787" spans="1:1" x14ac:dyDescent="0.3">
      <c r="A10787" s="678"/>
    </row>
    <row r="10788" spans="1:1" x14ac:dyDescent="0.3">
      <c r="A10788" s="678"/>
    </row>
    <row r="10789" spans="1:1" x14ac:dyDescent="0.3">
      <c r="A10789" s="678"/>
    </row>
    <row r="10790" spans="1:1" x14ac:dyDescent="0.3">
      <c r="A10790" s="678"/>
    </row>
    <row r="10791" spans="1:1" x14ac:dyDescent="0.3">
      <c r="A10791" s="678"/>
    </row>
    <row r="10792" spans="1:1" x14ac:dyDescent="0.3">
      <c r="A10792" s="678"/>
    </row>
    <row r="10793" spans="1:1" x14ac:dyDescent="0.3">
      <c r="A10793" s="678"/>
    </row>
    <row r="10794" spans="1:1" x14ac:dyDescent="0.3">
      <c r="A10794" s="678"/>
    </row>
    <row r="10795" spans="1:1" x14ac:dyDescent="0.3">
      <c r="A10795" s="678"/>
    </row>
    <row r="10796" spans="1:1" x14ac:dyDescent="0.3">
      <c r="A10796" s="678"/>
    </row>
    <row r="10797" spans="1:1" x14ac:dyDescent="0.3">
      <c r="A10797" s="678"/>
    </row>
    <row r="10798" spans="1:1" x14ac:dyDescent="0.3">
      <c r="A10798" s="678"/>
    </row>
    <row r="10799" spans="1:1" x14ac:dyDescent="0.3">
      <c r="A10799" s="678"/>
    </row>
    <row r="10800" spans="1:1" x14ac:dyDescent="0.3">
      <c r="A10800" s="678"/>
    </row>
    <row r="10801" spans="1:1" x14ac:dyDescent="0.3">
      <c r="A10801" s="678"/>
    </row>
    <row r="10802" spans="1:1" x14ac:dyDescent="0.3">
      <c r="A10802" s="678"/>
    </row>
    <row r="10803" spans="1:1" x14ac:dyDescent="0.3">
      <c r="A10803" s="678"/>
    </row>
    <row r="10804" spans="1:1" x14ac:dyDescent="0.3">
      <c r="A10804" s="678"/>
    </row>
    <row r="10805" spans="1:1" x14ac:dyDescent="0.3">
      <c r="A10805" s="678"/>
    </row>
    <row r="10806" spans="1:1" x14ac:dyDescent="0.3">
      <c r="A10806" s="678"/>
    </row>
    <row r="10807" spans="1:1" x14ac:dyDescent="0.3">
      <c r="A10807" s="678"/>
    </row>
    <row r="10808" spans="1:1" x14ac:dyDescent="0.3">
      <c r="A10808" s="678"/>
    </row>
    <row r="10809" spans="1:1" x14ac:dyDescent="0.3">
      <c r="A10809" s="678"/>
    </row>
    <row r="10810" spans="1:1" x14ac:dyDescent="0.3">
      <c r="A10810" s="678"/>
    </row>
    <row r="10811" spans="1:1" x14ac:dyDescent="0.3">
      <c r="A10811" s="678"/>
    </row>
    <row r="10812" spans="1:1" x14ac:dyDescent="0.3">
      <c r="A10812" s="678"/>
    </row>
    <row r="10813" spans="1:1" x14ac:dyDescent="0.3">
      <c r="A10813" s="678"/>
    </row>
    <row r="10814" spans="1:1" x14ac:dyDescent="0.3">
      <c r="A10814" s="678"/>
    </row>
    <row r="10815" spans="1:1" x14ac:dyDescent="0.3">
      <c r="A10815" s="678"/>
    </row>
    <row r="10816" spans="1:1" x14ac:dyDescent="0.3">
      <c r="A10816" s="678"/>
    </row>
    <row r="10817" spans="1:1" x14ac:dyDescent="0.3">
      <c r="A10817" s="678"/>
    </row>
    <row r="10818" spans="1:1" x14ac:dyDescent="0.3">
      <c r="A10818" s="678"/>
    </row>
    <row r="10819" spans="1:1" x14ac:dyDescent="0.3">
      <c r="A10819" s="678"/>
    </row>
    <row r="10820" spans="1:1" x14ac:dyDescent="0.3">
      <c r="A10820" s="678"/>
    </row>
    <row r="10821" spans="1:1" x14ac:dyDescent="0.3">
      <c r="A10821" s="678"/>
    </row>
    <row r="10822" spans="1:1" x14ac:dyDescent="0.3">
      <c r="A10822" s="678"/>
    </row>
    <row r="10823" spans="1:1" x14ac:dyDescent="0.3">
      <c r="A10823" s="678"/>
    </row>
    <row r="10824" spans="1:1" x14ac:dyDescent="0.3">
      <c r="A10824" s="678"/>
    </row>
    <row r="10825" spans="1:1" x14ac:dyDescent="0.3">
      <c r="A10825" s="678"/>
    </row>
    <row r="10826" spans="1:1" x14ac:dyDescent="0.3">
      <c r="A10826" s="678"/>
    </row>
    <row r="10827" spans="1:1" x14ac:dyDescent="0.3">
      <c r="A10827" s="678"/>
    </row>
    <row r="10828" spans="1:1" x14ac:dyDescent="0.3">
      <c r="A10828" s="678"/>
    </row>
    <row r="10829" spans="1:1" x14ac:dyDescent="0.3">
      <c r="A10829" s="678"/>
    </row>
    <row r="10830" spans="1:1" x14ac:dyDescent="0.3">
      <c r="A10830" s="678"/>
    </row>
    <row r="10831" spans="1:1" x14ac:dyDescent="0.3">
      <c r="A10831" s="678"/>
    </row>
    <row r="10832" spans="1:1" x14ac:dyDescent="0.3">
      <c r="A10832" s="678"/>
    </row>
    <row r="10833" spans="1:1" x14ac:dyDescent="0.3">
      <c r="A10833" s="678"/>
    </row>
    <row r="10834" spans="1:1" x14ac:dyDescent="0.3">
      <c r="A10834" s="678"/>
    </row>
    <row r="10835" spans="1:1" x14ac:dyDescent="0.3">
      <c r="A10835" s="678"/>
    </row>
    <row r="10836" spans="1:1" x14ac:dyDescent="0.3">
      <c r="A10836" s="678"/>
    </row>
    <row r="10837" spans="1:1" x14ac:dyDescent="0.3">
      <c r="A10837" s="678"/>
    </row>
    <row r="10838" spans="1:1" x14ac:dyDescent="0.3">
      <c r="A10838" s="678"/>
    </row>
    <row r="10839" spans="1:1" x14ac:dyDescent="0.3">
      <c r="A10839" s="678"/>
    </row>
    <row r="10840" spans="1:1" x14ac:dyDescent="0.3">
      <c r="A10840" s="678"/>
    </row>
    <row r="10841" spans="1:1" x14ac:dyDescent="0.3">
      <c r="A10841" s="678"/>
    </row>
    <row r="10842" spans="1:1" x14ac:dyDescent="0.3">
      <c r="A10842" s="678"/>
    </row>
    <row r="10843" spans="1:1" x14ac:dyDescent="0.3">
      <c r="A10843" s="678"/>
    </row>
    <row r="10844" spans="1:1" x14ac:dyDescent="0.3">
      <c r="A10844" s="678"/>
    </row>
    <row r="10845" spans="1:1" x14ac:dyDescent="0.3">
      <c r="A10845" s="678"/>
    </row>
    <row r="10846" spans="1:1" x14ac:dyDescent="0.3">
      <c r="A10846" s="678"/>
    </row>
    <row r="10847" spans="1:1" x14ac:dyDescent="0.3">
      <c r="A10847" s="678"/>
    </row>
    <row r="10848" spans="1:1" x14ac:dyDescent="0.3">
      <c r="A10848" s="678"/>
    </row>
    <row r="10849" spans="1:1" x14ac:dyDescent="0.3">
      <c r="A10849" s="678"/>
    </row>
    <row r="10850" spans="1:1" x14ac:dyDescent="0.3">
      <c r="A10850" s="678"/>
    </row>
    <row r="10851" spans="1:1" x14ac:dyDescent="0.3">
      <c r="A10851" s="678"/>
    </row>
    <row r="10852" spans="1:1" x14ac:dyDescent="0.3">
      <c r="A10852" s="678"/>
    </row>
    <row r="10853" spans="1:1" x14ac:dyDescent="0.3">
      <c r="A10853" s="678"/>
    </row>
    <row r="10854" spans="1:1" x14ac:dyDescent="0.3">
      <c r="A10854" s="678"/>
    </row>
    <row r="10855" spans="1:1" x14ac:dyDescent="0.3">
      <c r="A10855" s="678"/>
    </row>
    <row r="10856" spans="1:1" x14ac:dyDescent="0.3">
      <c r="A10856" s="678"/>
    </row>
    <row r="10857" spans="1:1" x14ac:dyDescent="0.3">
      <c r="A10857" s="678"/>
    </row>
    <row r="10858" spans="1:1" x14ac:dyDescent="0.3">
      <c r="A10858" s="678"/>
    </row>
    <row r="10859" spans="1:1" x14ac:dyDescent="0.3">
      <c r="A10859" s="678"/>
    </row>
    <row r="10860" spans="1:1" x14ac:dyDescent="0.3">
      <c r="A10860" s="678"/>
    </row>
    <row r="10861" spans="1:1" x14ac:dyDescent="0.3">
      <c r="A10861" s="678"/>
    </row>
    <row r="10862" spans="1:1" x14ac:dyDescent="0.3">
      <c r="A10862" s="678"/>
    </row>
    <row r="10863" spans="1:1" x14ac:dyDescent="0.3">
      <c r="A10863" s="678"/>
    </row>
    <row r="10864" spans="1:1" x14ac:dyDescent="0.3">
      <c r="A10864" s="678"/>
    </row>
    <row r="10865" spans="1:1" x14ac:dyDescent="0.3">
      <c r="A10865" s="678"/>
    </row>
    <row r="10866" spans="1:1" x14ac:dyDescent="0.3">
      <c r="A10866" s="678"/>
    </row>
    <row r="10867" spans="1:1" x14ac:dyDescent="0.3">
      <c r="A10867" s="678"/>
    </row>
    <row r="10868" spans="1:1" x14ac:dyDescent="0.3">
      <c r="A10868" s="678"/>
    </row>
    <row r="10869" spans="1:1" x14ac:dyDescent="0.3">
      <c r="A10869" s="678"/>
    </row>
    <row r="10870" spans="1:1" x14ac:dyDescent="0.3">
      <c r="A10870" s="678"/>
    </row>
    <row r="10871" spans="1:1" x14ac:dyDescent="0.3">
      <c r="A10871" s="678"/>
    </row>
    <row r="10872" spans="1:1" x14ac:dyDescent="0.3">
      <c r="A10872" s="678"/>
    </row>
    <row r="10873" spans="1:1" x14ac:dyDescent="0.3">
      <c r="A10873" s="678"/>
    </row>
    <row r="10874" spans="1:1" x14ac:dyDescent="0.3">
      <c r="A10874" s="678"/>
    </row>
    <row r="10875" spans="1:1" x14ac:dyDescent="0.3">
      <c r="A10875" s="678"/>
    </row>
    <row r="10876" spans="1:1" x14ac:dyDescent="0.3">
      <c r="A10876" s="678"/>
    </row>
    <row r="10877" spans="1:1" x14ac:dyDescent="0.3">
      <c r="A10877" s="678"/>
    </row>
    <row r="10878" spans="1:1" x14ac:dyDescent="0.3">
      <c r="A10878" s="678"/>
    </row>
    <row r="10879" spans="1:1" x14ac:dyDescent="0.3">
      <c r="A10879" s="678"/>
    </row>
    <row r="10880" spans="1:1" x14ac:dyDescent="0.3">
      <c r="A10880" s="678"/>
    </row>
    <row r="10881" spans="1:1" x14ac:dyDescent="0.3">
      <c r="A10881" s="678"/>
    </row>
    <row r="10882" spans="1:1" x14ac:dyDescent="0.3">
      <c r="A10882" s="678"/>
    </row>
    <row r="10883" spans="1:1" x14ac:dyDescent="0.3">
      <c r="A10883" s="678"/>
    </row>
    <row r="10884" spans="1:1" x14ac:dyDescent="0.3">
      <c r="A10884" s="678"/>
    </row>
    <row r="10885" spans="1:1" x14ac:dyDescent="0.3">
      <c r="A10885" s="678"/>
    </row>
    <row r="10886" spans="1:1" x14ac:dyDescent="0.3">
      <c r="A10886" s="678"/>
    </row>
    <row r="10887" spans="1:1" x14ac:dyDescent="0.3">
      <c r="A10887" s="678"/>
    </row>
    <row r="10888" spans="1:1" x14ac:dyDescent="0.3">
      <c r="A10888" s="678"/>
    </row>
    <row r="10889" spans="1:1" x14ac:dyDescent="0.3">
      <c r="A10889" s="678"/>
    </row>
    <row r="10890" spans="1:1" x14ac:dyDescent="0.3">
      <c r="A10890" s="678"/>
    </row>
    <row r="10891" spans="1:1" x14ac:dyDescent="0.3">
      <c r="A10891" s="678"/>
    </row>
    <row r="10892" spans="1:1" x14ac:dyDescent="0.3">
      <c r="A10892" s="678"/>
    </row>
    <row r="10893" spans="1:1" x14ac:dyDescent="0.3">
      <c r="A10893" s="678"/>
    </row>
    <row r="10894" spans="1:1" x14ac:dyDescent="0.3">
      <c r="A10894" s="678"/>
    </row>
    <row r="10895" spans="1:1" x14ac:dyDescent="0.3">
      <c r="A10895" s="678"/>
    </row>
    <row r="10896" spans="1:1" x14ac:dyDescent="0.3">
      <c r="A10896" s="678"/>
    </row>
    <row r="10897" spans="1:1" x14ac:dyDescent="0.3">
      <c r="A10897" s="678"/>
    </row>
    <row r="10898" spans="1:1" x14ac:dyDescent="0.3">
      <c r="A10898" s="678"/>
    </row>
    <row r="10899" spans="1:1" x14ac:dyDescent="0.3">
      <c r="A10899" s="678"/>
    </row>
    <row r="10900" spans="1:1" x14ac:dyDescent="0.3">
      <c r="A10900" s="678"/>
    </row>
    <row r="10901" spans="1:1" x14ac:dyDescent="0.3">
      <c r="A10901" s="678"/>
    </row>
    <row r="10902" spans="1:1" x14ac:dyDescent="0.3">
      <c r="A10902" s="678"/>
    </row>
    <row r="10903" spans="1:1" x14ac:dyDescent="0.3">
      <c r="A10903" s="678"/>
    </row>
    <row r="10904" spans="1:1" x14ac:dyDescent="0.3">
      <c r="A10904" s="678"/>
    </row>
    <row r="10905" spans="1:1" x14ac:dyDescent="0.3">
      <c r="A10905" s="678"/>
    </row>
    <row r="10906" spans="1:1" x14ac:dyDescent="0.3">
      <c r="A10906" s="678"/>
    </row>
    <row r="10907" spans="1:1" x14ac:dyDescent="0.3">
      <c r="A10907" s="678"/>
    </row>
    <row r="10908" spans="1:1" x14ac:dyDescent="0.3">
      <c r="A10908" s="678"/>
    </row>
    <row r="10909" spans="1:1" x14ac:dyDescent="0.3">
      <c r="A10909" s="678"/>
    </row>
    <row r="10910" spans="1:1" x14ac:dyDescent="0.3">
      <c r="A10910" s="678"/>
    </row>
    <row r="10911" spans="1:1" x14ac:dyDescent="0.3">
      <c r="A10911" s="678"/>
    </row>
    <row r="10912" spans="1:1" x14ac:dyDescent="0.3">
      <c r="A10912" s="678"/>
    </row>
    <row r="10913" spans="1:1" x14ac:dyDescent="0.3">
      <c r="A10913" s="678"/>
    </row>
    <row r="10914" spans="1:1" x14ac:dyDescent="0.3">
      <c r="A10914" s="678"/>
    </row>
    <row r="10915" spans="1:1" x14ac:dyDescent="0.3">
      <c r="A10915" s="678"/>
    </row>
    <row r="10916" spans="1:1" x14ac:dyDescent="0.3">
      <c r="A10916" s="678"/>
    </row>
    <row r="10917" spans="1:1" x14ac:dyDescent="0.3">
      <c r="A10917" s="678"/>
    </row>
    <row r="10918" spans="1:1" x14ac:dyDescent="0.3">
      <c r="A10918" s="678"/>
    </row>
    <row r="10919" spans="1:1" x14ac:dyDescent="0.3">
      <c r="A10919" s="678"/>
    </row>
    <row r="10920" spans="1:1" x14ac:dyDescent="0.3">
      <c r="A10920" s="678"/>
    </row>
    <row r="10921" spans="1:1" x14ac:dyDescent="0.3">
      <c r="A10921" s="678"/>
    </row>
    <row r="10922" spans="1:1" x14ac:dyDescent="0.3">
      <c r="A10922" s="678"/>
    </row>
    <row r="10923" spans="1:1" x14ac:dyDescent="0.3">
      <c r="A10923" s="678"/>
    </row>
    <row r="10924" spans="1:1" x14ac:dyDescent="0.3">
      <c r="A10924" s="678"/>
    </row>
    <row r="10925" spans="1:1" x14ac:dyDescent="0.3">
      <c r="A10925" s="678"/>
    </row>
    <row r="10926" spans="1:1" x14ac:dyDescent="0.3">
      <c r="A10926" s="678"/>
    </row>
    <row r="10927" spans="1:1" x14ac:dyDescent="0.3">
      <c r="A10927" s="678"/>
    </row>
    <row r="10928" spans="1:1" x14ac:dyDescent="0.3">
      <c r="A10928" s="678"/>
    </row>
    <row r="10929" spans="1:1" x14ac:dyDescent="0.3">
      <c r="A10929" s="678"/>
    </row>
    <row r="10930" spans="1:1" x14ac:dyDescent="0.3">
      <c r="A10930" s="678"/>
    </row>
    <row r="10931" spans="1:1" x14ac:dyDescent="0.3">
      <c r="A10931" s="678"/>
    </row>
    <row r="10932" spans="1:1" x14ac:dyDescent="0.3">
      <c r="A10932" s="678"/>
    </row>
    <row r="10933" spans="1:1" x14ac:dyDescent="0.3">
      <c r="A10933" s="678"/>
    </row>
    <row r="10934" spans="1:1" x14ac:dyDescent="0.3">
      <c r="A10934" s="678"/>
    </row>
    <row r="10935" spans="1:1" x14ac:dyDescent="0.3">
      <c r="A10935" s="678"/>
    </row>
    <row r="10936" spans="1:1" x14ac:dyDescent="0.3">
      <c r="A10936" s="678"/>
    </row>
    <row r="10937" spans="1:1" x14ac:dyDescent="0.3">
      <c r="A10937" s="678"/>
    </row>
    <row r="10938" spans="1:1" x14ac:dyDescent="0.3">
      <c r="A10938" s="678"/>
    </row>
    <row r="10939" spans="1:1" x14ac:dyDescent="0.3">
      <c r="A10939" s="678"/>
    </row>
    <row r="10940" spans="1:1" x14ac:dyDescent="0.3">
      <c r="A10940" s="678"/>
    </row>
    <row r="10941" spans="1:1" x14ac:dyDescent="0.3">
      <c r="A10941" s="678"/>
    </row>
    <row r="10942" spans="1:1" x14ac:dyDescent="0.3">
      <c r="A10942" s="678"/>
    </row>
    <row r="10943" spans="1:1" x14ac:dyDescent="0.3">
      <c r="A10943" s="678"/>
    </row>
    <row r="10944" spans="1:1" x14ac:dyDescent="0.3">
      <c r="A10944" s="678"/>
    </row>
    <row r="10945" spans="1:1" x14ac:dyDescent="0.3">
      <c r="A10945" s="678"/>
    </row>
    <row r="10946" spans="1:1" x14ac:dyDescent="0.3">
      <c r="A10946" s="678"/>
    </row>
    <row r="10947" spans="1:1" x14ac:dyDescent="0.3">
      <c r="A10947" s="678"/>
    </row>
    <row r="10948" spans="1:1" x14ac:dyDescent="0.3">
      <c r="A10948" s="678"/>
    </row>
    <row r="10949" spans="1:1" x14ac:dyDescent="0.3">
      <c r="A10949" s="678"/>
    </row>
    <row r="10950" spans="1:1" x14ac:dyDescent="0.3">
      <c r="A10950" s="678"/>
    </row>
    <row r="10951" spans="1:1" x14ac:dyDescent="0.3">
      <c r="A10951" s="678"/>
    </row>
    <row r="10952" spans="1:1" x14ac:dyDescent="0.3">
      <c r="A10952" s="678"/>
    </row>
    <row r="10953" spans="1:1" x14ac:dyDescent="0.3">
      <c r="A10953" s="678"/>
    </row>
    <row r="10954" spans="1:1" x14ac:dyDescent="0.3">
      <c r="A10954" s="678"/>
    </row>
    <row r="10955" spans="1:1" x14ac:dyDescent="0.3">
      <c r="A10955" s="678"/>
    </row>
    <row r="10956" spans="1:1" x14ac:dyDescent="0.3">
      <c r="A10956" s="678"/>
    </row>
    <row r="10957" spans="1:1" x14ac:dyDescent="0.3">
      <c r="A10957" s="678"/>
    </row>
    <row r="10958" spans="1:1" x14ac:dyDescent="0.3">
      <c r="A10958" s="678"/>
    </row>
    <row r="10959" spans="1:1" x14ac:dyDescent="0.3">
      <c r="A10959" s="678"/>
    </row>
    <row r="10960" spans="1:1" x14ac:dyDescent="0.3">
      <c r="A10960" s="678"/>
    </row>
    <row r="10961" spans="1:1" x14ac:dyDescent="0.3">
      <c r="A10961" s="678"/>
    </row>
    <row r="10962" spans="1:1" x14ac:dyDescent="0.3">
      <c r="A10962" s="678"/>
    </row>
    <row r="10963" spans="1:1" x14ac:dyDescent="0.3">
      <c r="A10963" s="678"/>
    </row>
    <row r="10964" spans="1:1" x14ac:dyDescent="0.3">
      <c r="A10964" s="678"/>
    </row>
    <row r="10965" spans="1:1" x14ac:dyDescent="0.3">
      <c r="A10965" s="678"/>
    </row>
    <row r="10966" spans="1:1" x14ac:dyDescent="0.3">
      <c r="A10966" s="678"/>
    </row>
    <row r="10967" spans="1:1" x14ac:dyDescent="0.3">
      <c r="A10967" s="678"/>
    </row>
    <row r="10968" spans="1:1" x14ac:dyDescent="0.3">
      <c r="A10968" s="678"/>
    </row>
    <row r="10969" spans="1:1" x14ac:dyDescent="0.3">
      <c r="A10969" s="678"/>
    </row>
    <row r="10970" spans="1:1" x14ac:dyDescent="0.3">
      <c r="A10970" s="678"/>
    </row>
    <row r="10971" spans="1:1" x14ac:dyDescent="0.3">
      <c r="A10971" s="678"/>
    </row>
    <row r="10972" spans="1:1" x14ac:dyDescent="0.3">
      <c r="A10972" s="678"/>
    </row>
    <row r="10973" spans="1:1" x14ac:dyDescent="0.3">
      <c r="A10973" s="678"/>
    </row>
    <row r="10974" spans="1:1" x14ac:dyDescent="0.3">
      <c r="A10974" s="678"/>
    </row>
    <row r="10975" spans="1:1" x14ac:dyDescent="0.3">
      <c r="A10975" s="678"/>
    </row>
    <row r="10976" spans="1:1" x14ac:dyDescent="0.3">
      <c r="A10976" s="678"/>
    </row>
    <row r="10977" spans="1:1" x14ac:dyDescent="0.3">
      <c r="A10977" s="678"/>
    </row>
    <row r="10978" spans="1:1" x14ac:dyDescent="0.3">
      <c r="A10978" s="678"/>
    </row>
    <row r="10979" spans="1:1" x14ac:dyDescent="0.3">
      <c r="A10979" s="678"/>
    </row>
    <row r="10980" spans="1:1" x14ac:dyDescent="0.3">
      <c r="A10980" s="678"/>
    </row>
    <row r="10981" spans="1:1" x14ac:dyDescent="0.3">
      <c r="A10981" s="678"/>
    </row>
    <row r="10982" spans="1:1" x14ac:dyDescent="0.3">
      <c r="A10982" s="678"/>
    </row>
    <row r="10983" spans="1:1" x14ac:dyDescent="0.3">
      <c r="A10983" s="678"/>
    </row>
    <row r="10984" spans="1:1" x14ac:dyDescent="0.3">
      <c r="A10984" s="678"/>
    </row>
    <row r="10985" spans="1:1" x14ac:dyDescent="0.3">
      <c r="A10985" s="678"/>
    </row>
    <row r="10986" spans="1:1" x14ac:dyDescent="0.3">
      <c r="A10986" s="678"/>
    </row>
    <row r="10987" spans="1:1" x14ac:dyDescent="0.3">
      <c r="A10987" s="678"/>
    </row>
    <row r="10988" spans="1:1" x14ac:dyDescent="0.3">
      <c r="A10988" s="678"/>
    </row>
    <row r="10989" spans="1:1" x14ac:dyDescent="0.3">
      <c r="A10989" s="678"/>
    </row>
    <row r="10990" spans="1:1" x14ac:dyDescent="0.3">
      <c r="A10990" s="678"/>
    </row>
    <row r="10991" spans="1:1" x14ac:dyDescent="0.3">
      <c r="A10991" s="678"/>
    </row>
    <row r="10992" spans="1:1" x14ac:dyDescent="0.3">
      <c r="A10992" s="678"/>
    </row>
    <row r="10993" spans="1:1" x14ac:dyDescent="0.3">
      <c r="A10993" s="678"/>
    </row>
    <row r="10994" spans="1:1" x14ac:dyDescent="0.3">
      <c r="A10994" s="678"/>
    </row>
    <row r="10995" spans="1:1" x14ac:dyDescent="0.3">
      <c r="A10995" s="678"/>
    </row>
    <row r="10996" spans="1:1" x14ac:dyDescent="0.3">
      <c r="A10996" s="678"/>
    </row>
    <row r="10997" spans="1:1" x14ac:dyDescent="0.3">
      <c r="A10997" s="678"/>
    </row>
    <row r="10998" spans="1:1" x14ac:dyDescent="0.3">
      <c r="A10998" s="678"/>
    </row>
    <row r="10999" spans="1:1" x14ac:dyDescent="0.3">
      <c r="A10999" s="678"/>
    </row>
    <row r="11000" spans="1:1" x14ac:dyDescent="0.3">
      <c r="A11000" s="678"/>
    </row>
    <row r="11001" spans="1:1" x14ac:dyDescent="0.3">
      <c r="A11001" s="678"/>
    </row>
    <row r="11002" spans="1:1" x14ac:dyDescent="0.3">
      <c r="A11002" s="678"/>
    </row>
    <row r="11003" spans="1:1" x14ac:dyDescent="0.3">
      <c r="A11003" s="678"/>
    </row>
    <row r="11004" spans="1:1" x14ac:dyDescent="0.3">
      <c r="A11004" s="678"/>
    </row>
    <row r="11005" spans="1:1" x14ac:dyDescent="0.3">
      <c r="A11005" s="678"/>
    </row>
    <row r="11006" spans="1:1" x14ac:dyDescent="0.3">
      <c r="A11006" s="678"/>
    </row>
    <row r="11007" spans="1:1" x14ac:dyDescent="0.3">
      <c r="A11007" s="678"/>
    </row>
    <row r="11008" spans="1:1" x14ac:dyDescent="0.3">
      <c r="A11008" s="678"/>
    </row>
    <row r="11009" spans="1:1" x14ac:dyDescent="0.3">
      <c r="A11009" s="678"/>
    </row>
    <row r="11010" spans="1:1" x14ac:dyDescent="0.3">
      <c r="A11010" s="678"/>
    </row>
    <row r="11011" spans="1:1" x14ac:dyDescent="0.3">
      <c r="A11011" s="678"/>
    </row>
    <row r="11012" spans="1:1" x14ac:dyDescent="0.3">
      <c r="A11012" s="678"/>
    </row>
    <row r="11013" spans="1:1" x14ac:dyDescent="0.3">
      <c r="A11013" s="678"/>
    </row>
    <row r="11014" spans="1:1" x14ac:dyDescent="0.3">
      <c r="A11014" s="678"/>
    </row>
    <row r="11015" spans="1:1" x14ac:dyDescent="0.3">
      <c r="A11015" s="678"/>
    </row>
    <row r="11016" spans="1:1" x14ac:dyDescent="0.3">
      <c r="A11016" s="678"/>
    </row>
    <row r="11017" spans="1:1" x14ac:dyDescent="0.3">
      <c r="A11017" s="678"/>
    </row>
    <row r="11018" spans="1:1" x14ac:dyDescent="0.3">
      <c r="A11018" s="678"/>
    </row>
    <row r="11019" spans="1:1" x14ac:dyDescent="0.3">
      <c r="A11019" s="678"/>
    </row>
    <row r="11020" spans="1:1" x14ac:dyDescent="0.3">
      <c r="A11020" s="678"/>
    </row>
    <row r="11021" spans="1:1" x14ac:dyDescent="0.3">
      <c r="A11021" s="678"/>
    </row>
    <row r="11022" spans="1:1" x14ac:dyDescent="0.3">
      <c r="A11022" s="678"/>
    </row>
    <row r="11023" spans="1:1" x14ac:dyDescent="0.3">
      <c r="A11023" s="678"/>
    </row>
    <row r="11024" spans="1:1" x14ac:dyDescent="0.3">
      <c r="A11024" s="678"/>
    </row>
    <row r="11025" spans="1:1" x14ac:dyDescent="0.3">
      <c r="A11025" s="678"/>
    </row>
    <row r="11026" spans="1:1" x14ac:dyDescent="0.3">
      <c r="A11026" s="678"/>
    </row>
    <row r="11027" spans="1:1" x14ac:dyDescent="0.3">
      <c r="A11027" s="678"/>
    </row>
    <row r="11028" spans="1:1" x14ac:dyDescent="0.3">
      <c r="A11028" s="678"/>
    </row>
    <row r="11029" spans="1:1" x14ac:dyDescent="0.3">
      <c r="A11029" s="678"/>
    </row>
    <row r="11030" spans="1:1" x14ac:dyDescent="0.3">
      <c r="A11030" s="678"/>
    </row>
    <row r="11031" spans="1:1" x14ac:dyDescent="0.3">
      <c r="A11031" s="678"/>
    </row>
    <row r="11032" spans="1:1" x14ac:dyDescent="0.3">
      <c r="A11032" s="678"/>
    </row>
    <row r="11033" spans="1:1" x14ac:dyDescent="0.3">
      <c r="A11033" s="678"/>
    </row>
    <row r="11034" spans="1:1" x14ac:dyDescent="0.3">
      <c r="A11034" s="678"/>
    </row>
    <row r="11035" spans="1:1" x14ac:dyDescent="0.3">
      <c r="A11035" s="678"/>
    </row>
    <row r="11036" spans="1:1" x14ac:dyDescent="0.3">
      <c r="A11036" s="678"/>
    </row>
    <row r="11037" spans="1:1" x14ac:dyDescent="0.3">
      <c r="A11037" s="678"/>
    </row>
    <row r="11038" spans="1:1" x14ac:dyDescent="0.3">
      <c r="A11038" s="678"/>
    </row>
    <row r="11039" spans="1:1" x14ac:dyDescent="0.3">
      <c r="A11039" s="678"/>
    </row>
    <row r="11040" spans="1:1" x14ac:dyDescent="0.3">
      <c r="A11040" s="678"/>
    </row>
    <row r="11041" spans="1:1" x14ac:dyDescent="0.3">
      <c r="A11041" s="678"/>
    </row>
    <row r="11042" spans="1:1" x14ac:dyDescent="0.3">
      <c r="A11042" s="678"/>
    </row>
    <row r="11043" spans="1:1" x14ac:dyDescent="0.3">
      <c r="A11043" s="678"/>
    </row>
    <row r="11044" spans="1:1" x14ac:dyDescent="0.3">
      <c r="A11044" s="678"/>
    </row>
    <row r="11045" spans="1:1" x14ac:dyDescent="0.3">
      <c r="A11045" s="678"/>
    </row>
    <row r="11046" spans="1:1" x14ac:dyDescent="0.3">
      <c r="A11046" s="678"/>
    </row>
    <row r="11047" spans="1:1" x14ac:dyDescent="0.3">
      <c r="A11047" s="678"/>
    </row>
    <row r="11048" spans="1:1" x14ac:dyDescent="0.3">
      <c r="A11048" s="678"/>
    </row>
    <row r="11049" spans="1:1" x14ac:dyDescent="0.3">
      <c r="A11049" s="678"/>
    </row>
    <row r="11050" spans="1:1" x14ac:dyDescent="0.3">
      <c r="A11050" s="678"/>
    </row>
    <row r="11051" spans="1:1" x14ac:dyDescent="0.3">
      <c r="A11051" s="678"/>
    </row>
    <row r="11052" spans="1:1" x14ac:dyDescent="0.3">
      <c r="A11052" s="678"/>
    </row>
    <row r="11053" spans="1:1" x14ac:dyDescent="0.3">
      <c r="A11053" s="678"/>
    </row>
    <row r="11054" spans="1:1" x14ac:dyDescent="0.3">
      <c r="A11054" s="678"/>
    </row>
    <row r="11055" spans="1:1" x14ac:dyDescent="0.3">
      <c r="A11055" s="678"/>
    </row>
    <row r="11056" spans="1:1" x14ac:dyDescent="0.3">
      <c r="A11056" s="678"/>
    </row>
    <row r="11057" spans="1:1" x14ac:dyDescent="0.3">
      <c r="A11057" s="678"/>
    </row>
    <row r="11058" spans="1:1" x14ac:dyDescent="0.3">
      <c r="A11058" s="678"/>
    </row>
    <row r="11059" spans="1:1" x14ac:dyDescent="0.3">
      <c r="A11059" s="678"/>
    </row>
    <row r="11060" spans="1:1" x14ac:dyDescent="0.3">
      <c r="A11060" s="678"/>
    </row>
    <row r="11061" spans="1:1" x14ac:dyDescent="0.3">
      <c r="A11061" s="678"/>
    </row>
    <row r="11062" spans="1:1" x14ac:dyDescent="0.3">
      <c r="A11062" s="678"/>
    </row>
    <row r="11063" spans="1:1" x14ac:dyDescent="0.3">
      <c r="A11063" s="678"/>
    </row>
    <row r="11064" spans="1:1" x14ac:dyDescent="0.3">
      <c r="A11064" s="678"/>
    </row>
    <row r="11065" spans="1:1" x14ac:dyDescent="0.3">
      <c r="A11065" s="678"/>
    </row>
    <row r="11066" spans="1:1" x14ac:dyDescent="0.3">
      <c r="A11066" s="678"/>
    </row>
    <row r="11067" spans="1:1" x14ac:dyDescent="0.3">
      <c r="A11067" s="678"/>
    </row>
    <row r="11068" spans="1:1" x14ac:dyDescent="0.3">
      <c r="A11068" s="678"/>
    </row>
    <row r="11069" spans="1:1" x14ac:dyDescent="0.3">
      <c r="A11069" s="678"/>
    </row>
    <row r="11070" spans="1:1" x14ac:dyDescent="0.3">
      <c r="A11070" s="678"/>
    </row>
    <row r="11071" spans="1:1" x14ac:dyDescent="0.3">
      <c r="A11071" s="678"/>
    </row>
    <row r="11072" spans="1:1" x14ac:dyDescent="0.3">
      <c r="A11072" s="678"/>
    </row>
    <row r="11073" spans="1:1" x14ac:dyDescent="0.3">
      <c r="A11073" s="678"/>
    </row>
    <row r="11074" spans="1:1" x14ac:dyDescent="0.3">
      <c r="A11074" s="678"/>
    </row>
    <row r="11075" spans="1:1" x14ac:dyDescent="0.3">
      <c r="A11075" s="678"/>
    </row>
    <row r="11076" spans="1:1" x14ac:dyDescent="0.3">
      <c r="A11076" s="678"/>
    </row>
    <row r="11077" spans="1:1" x14ac:dyDescent="0.3">
      <c r="A11077" s="678"/>
    </row>
    <row r="11078" spans="1:1" x14ac:dyDescent="0.3">
      <c r="A11078" s="678"/>
    </row>
    <row r="11079" spans="1:1" x14ac:dyDescent="0.3">
      <c r="A11079" s="678"/>
    </row>
    <row r="11080" spans="1:1" x14ac:dyDescent="0.3">
      <c r="A11080" s="678"/>
    </row>
    <row r="11081" spans="1:1" x14ac:dyDescent="0.3">
      <c r="A11081" s="678"/>
    </row>
    <row r="11082" spans="1:1" x14ac:dyDescent="0.3">
      <c r="A11082" s="678"/>
    </row>
    <row r="11083" spans="1:1" x14ac:dyDescent="0.3">
      <c r="A11083" s="678"/>
    </row>
    <row r="11084" spans="1:1" x14ac:dyDescent="0.3">
      <c r="A11084" s="678"/>
    </row>
    <row r="11085" spans="1:1" x14ac:dyDescent="0.3">
      <c r="A11085" s="678"/>
    </row>
    <row r="11086" spans="1:1" x14ac:dyDescent="0.3">
      <c r="A11086" s="678"/>
    </row>
    <row r="11087" spans="1:1" x14ac:dyDescent="0.3">
      <c r="A11087" s="678"/>
    </row>
    <row r="11088" spans="1:1" x14ac:dyDescent="0.3">
      <c r="A11088" s="678"/>
    </row>
    <row r="11089" spans="1:1" x14ac:dyDescent="0.3">
      <c r="A11089" s="678"/>
    </row>
    <row r="11090" spans="1:1" x14ac:dyDescent="0.3">
      <c r="A11090" s="678"/>
    </row>
    <row r="11091" spans="1:1" x14ac:dyDescent="0.3">
      <c r="A11091" s="678"/>
    </row>
    <row r="11092" spans="1:1" x14ac:dyDescent="0.3">
      <c r="A11092" s="678"/>
    </row>
    <row r="11093" spans="1:1" x14ac:dyDescent="0.3">
      <c r="A11093" s="678"/>
    </row>
    <row r="11094" spans="1:1" x14ac:dyDescent="0.3">
      <c r="A11094" s="678"/>
    </row>
    <row r="11095" spans="1:1" x14ac:dyDescent="0.3">
      <c r="A11095" s="678"/>
    </row>
    <row r="11096" spans="1:1" x14ac:dyDescent="0.3">
      <c r="A11096" s="678"/>
    </row>
    <row r="11097" spans="1:1" x14ac:dyDescent="0.3">
      <c r="A11097" s="678"/>
    </row>
    <row r="11098" spans="1:1" x14ac:dyDescent="0.3">
      <c r="A11098" s="678"/>
    </row>
    <row r="11099" spans="1:1" x14ac:dyDescent="0.3">
      <c r="A11099" s="678"/>
    </row>
    <row r="11100" spans="1:1" x14ac:dyDescent="0.3">
      <c r="A11100" s="678"/>
    </row>
    <row r="11101" spans="1:1" x14ac:dyDescent="0.3">
      <c r="A11101" s="678"/>
    </row>
    <row r="11102" spans="1:1" x14ac:dyDescent="0.3">
      <c r="A11102" s="678"/>
    </row>
    <row r="11103" spans="1:1" x14ac:dyDescent="0.3">
      <c r="A11103" s="678"/>
    </row>
    <row r="11104" spans="1:1" x14ac:dyDescent="0.3">
      <c r="A11104" s="678"/>
    </row>
    <row r="11105" spans="1:1" x14ac:dyDescent="0.3">
      <c r="A11105" s="678"/>
    </row>
    <row r="11106" spans="1:1" x14ac:dyDescent="0.3">
      <c r="A11106" s="678"/>
    </row>
    <row r="11107" spans="1:1" x14ac:dyDescent="0.3">
      <c r="A11107" s="678"/>
    </row>
    <row r="11108" spans="1:1" x14ac:dyDescent="0.3">
      <c r="A11108" s="678"/>
    </row>
    <row r="11109" spans="1:1" x14ac:dyDescent="0.3">
      <c r="A11109" s="678"/>
    </row>
    <row r="11110" spans="1:1" x14ac:dyDescent="0.3">
      <c r="A11110" s="678"/>
    </row>
    <row r="11111" spans="1:1" x14ac:dyDescent="0.3">
      <c r="A11111" s="678"/>
    </row>
    <row r="11112" spans="1:1" x14ac:dyDescent="0.3">
      <c r="A11112" s="678"/>
    </row>
    <row r="11113" spans="1:1" x14ac:dyDescent="0.3">
      <c r="A11113" s="678"/>
    </row>
    <row r="11114" spans="1:1" x14ac:dyDescent="0.3">
      <c r="A11114" s="678"/>
    </row>
    <row r="11115" spans="1:1" x14ac:dyDescent="0.3">
      <c r="A11115" s="678"/>
    </row>
    <row r="11116" spans="1:1" x14ac:dyDescent="0.3">
      <c r="A11116" s="678"/>
    </row>
    <row r="11117" spans="1:1" x14ac:dyDescent="0.3">
      <c r="A11117" s="678"/>
    </row>
    <row r="11118" spans="1:1" x14ac:dyDescent="0.3">
      <c r="A11118" s="678"/>
    </row>
    <row r="11119" spans="1:1" x14ac:dyDescent="0.3">
      <c r="A11119" s="678"/>
    </row>
    <row r="11120" spans="1:1" x14ac:dyDescent="0.3">
      <c r="A11120" s="678"/>
    </row>
    <row r="11121" spans="1:1" x14ac:dyDescent="0.3">
      <c r="A11121" s="678"/>
    </row>
    <row r="11122" spans="1:1" x14ac:dyDescent="0.3">
      <c r="A11122" s="678"/>
    </row>
    <row r="11123" spans="1:1" x14ac:dyDescent="0.3">
      <c r="A11123" s="678"/>
    </row>
    <row r="11124" spans="1:1" x14ac:dyDescent="0.3">
      <c r="A11124" s="678"/>
    </row>
    <row r="11125" spans="1:1" x14ac:dyDescent="0.3">
      <c r="A11125" s="678"/>
    </row>
    <row r="11126" spans="1:1" x14ac:dyDescent="0.3">
      <c r="A11126" s="678"/>
    </row>
    <row r="11127" spans="1:1" x14ac:dyDescent="0.3">
      <c r="A11127" s="678"/>
    </row>
    <row r="11128" spans="1:1" x14ac:dyDescent="0.3">
      <c r="A11128" s="678"/>
    </row>
    <row r="11129" spans="1:1" x14ac:dyDescent="0.3">
      <c r="A11129" s="678"/>
    </row>
    <row r="11130" spans="1:1" x14ac:dyDescent="0.3">
      <c r="A11130" s="678"/>
    </row>
    <row r="11131" spans="1:1" x14ac:dyDescent="0.3">
      <c r="A11131" s="678"/>
    </row>
    <row r="11132" spans="1:1" x14ac:dyDescent="0.3">
      <c r="A11132" s="678"/>
    </row>
    <row r="11133" spans="1:1" x14ac:dyDescent="0.3">
      <c r="A11133" s="678"/>
    </row>
    <row r="11134" spans="1:1" x14ac:dyDescent="0.3">
      <c r="A11134" s="678"/>
    </row>
    <row r="11135" spans="1:1" x14ac:dyDescent="0.3">
      <c r="A11135" s="678"/>
    </row>
    <row r="11136" spans="1:1" x14ac:dyDescent="0.3">
      <c r="A11136" s="678"/>
    </row>
    <row r="11137" spans="1:1" x14ac:dyDescent="0.3">
      <c r="A11137" s="678"/>
    </row>
    <row r="11138" spans="1:1" x14ac:dyDescent="0.3">
      <c r="A11138" s="678"/>
    </row>
    <row r="11139" spans="1:1" x14ac:dyDescent="0.3">
      <c r="A11139" s="678"/>
    </row>
    <row r="11140" spans="1:1" x14ac:dyDescent="0.3">
      <c r="A11140" s="678"/>
    </row>
    <row r="11141" spans="1:1" x14ac:dyDescent="0.3">
      <c r="A11141" s="678"/>
    </row>
    <row r="11142" spans="1:1" x14ac:dyDescent="0.3">
      <c r="A11142" s="678"/>
    </row>
    <row r="11143" spans="1:1" x14ac:dyDescent="0.3">
      <c r="A11143" s="678"/>
    </row>
    <row r="11144" spans="1:1" x14ac:dyDescent="0.3">
      <c r="A11144" s="678"/>
    </row>
    <row r="11145" spans="1:1" x14ac:dyDescent="0.3">
      <c r="A11145" s="678"/>
    </row>
    <row r="11146" spans="1:1" x14ac:dyDescent="0.3">
      <c r="A11146" s="678"/>
    </row>
    <row r="11147" spans="1:1" x14ac:dyDescent="0.3">
      <c r="A11147" s="678"/>
    </row>
    <row r="11148" spans="1:1" x14ac:dyDescent="0.3">
      <c r="A11148" s="678"/>
    </row>
    <row r="11149" spans="1:1" x14ac:dyDescent="0.3">
      <c r="A11149" s="678"/>
    </row>
    <row r="11150" spans="1:1" x14ac:dyDescent="0.3">
      <c r="A11150" s="678"/>
    </row>
    <row r="11151" spans="1:1" x14ac:dyDescent="0.3">
      <c r="A11151" s="678"/>
    </row>
    <row r="11152" spans="1:1" x14ac:dyDescent="0.3">
      <c r="A11152" s="678"/>
    </row>
    <row r="11153" spans="1:1" x14ac:dyDescent="0.3">
      <c r="A11153" s="678"/>
    </row>
    <row r="11154" spans="1:1" x14ac:dyDescent="0.3">
      <c r="A11154" s="678"/>
    </row>
    <row r="11155" spans="1:1" x14ac:dyDescent="0.3">
      <c r="A11155" s="678"/>
    </row>
    <row r="11156" spans="1:1" x14ac:dyDescent="0.3">
      <c r="A11156" s="678"/>
    </row>
    <row r="11157" spans="1:1" x14ac:dyDescent="0.3">
      <c r="A11157" s="678"/>
    </row>
    <row r="11158" spans="1:1" x14ac:dyDescent="0.3">
      <c r="A11158" s="678"/>
    </row>
    <row r="11159" spans="1:1" x14ac:dyDescent="0.3">
      <c r="A11159" s="678"/>
    </row>
    <row r="11160" spans="1:1" x14ac:dyDescent="0.3">
      <c r="A11160" s="678"/>
    </row>
    <row r="11161" spans="1:1" x14ac:dyDescent="0.3">
      <c r="A11161" s="678"/>
    </row>
    <row r="11162" spans="1:1" x14ac:dyDescent="0.3">
      <c r="A11162" s="678"/>
    </row>
    <row r="11163" spans="1:1" x14ac:dyDescent="0.3">
      <c r="A11163" s="678"/>
    </row>
    <row r="11164" spans="1:1" x14ac:dyDescent="0.3">
      <c r="A11164" s="678"/>
    </row>
    <row r="11165" spans="1:1" x14ac:dyDescent="0.3">
      <c r="A11165" s="678"/>
    </row>
    <row r="11166" spans="1:1" x14ac:dyDescent="0.3">
      <c r="A11166" s="678"/>
    </row>
    <row r="11167" spans="1:1" x14ac:dyDescent="0.3">
      <c r="A11167" s="678"/>
    </row>
    <row r="11168" spans="1:1" x14ac:dyDescent="0.3">
      <c r="A11168" s="678"/>
    </row>
    <row r="11169" spans="1:1" x14ac:dyDescent="0.3">
      <c r="A11169" s="678"/>
    </row>
    <row r="11170" spans="1:1" x14ac:dyDescent="0.3">
      <c r="A11170" s="678"/>
    </row>
    <row r="11171" spans="1:1" x14ac:dyDescent="0.3">
      <c r="A11171" s="678"/>
    </row>
    <row r="11172" spans="1:1" x14ac:dyDescent="0.3">
      <c r="A11172" s="678"/>
    </row>
    <row r="11173" spans="1:1" x14ac:dyDescent="0.3">
      <c r="A11173" s="678"/>
    </row>
    <row r="11174" spans="1:1" x14ac:dyDescent="0.3">
      <c r="A11174" s="678"/>
    </row>
    <row r="11175" spans="1:1" x14ac:dyDescent="0.3">
      <c r="A11175" s="678"/>
    </row>
    <row r="11176" spans="1:1" x14ac:dyDescent="0.3">
      <c r="A11176" s="678"/>
    </row>
    <row r="11177" spans="1:1" x14ac:dyDescent="0.3">
      <c r="A11177" s="678"/>
    </row>
    <row r="11178" spans="1:1" x14ac:dyDescent="0.3">
      <c r="A11178" s="678"/>
    </row>
    <row r="11179" spans="1:1" x14ac:dyDescent="0.3">
      <c r="A11179" s="678"/>
    </row>
    <row r="11180" spans="1:1" x14ac:dyDescent="0.3">
      <c r="A11180" s="678"/>
    </row>
    <row r="11181" spans="1:1" x14ac:dyDescent="0.3">
      <c r="A11181" s="678"/>
    </row>
    <row r="11182" spans="1:1" x14ac:dyDescent="0.3">
      <c r="A11182" s="678"/>
    </row>
    <row r="11183" spans="1:1" x14ac:dyDescent="0.3">
      <c r="A11183" s="678"/>
    </row>
    <row r="11184" spans="1:1" x14ac:dyDescent="0.3">
      <c r="A11184" s="678"/>
    </row>
    <row r="11185" spans="1:1" x14ac:dyDescent="0.3">
      <c r="A11185" s="678"/>
    </row>
    <row r="11186" spans="1:1" x14ac:dyDescent="0.3">
      <c r="A11186" s="678"/>
    </row>
    <row r="11187" spans="1:1" x14ac:dyDescent="0.3">
      <c r="A11187" s="678"/>
    </row>
    <row r="11188" spans="1:1" x14ac:dyDescent="0.3">
      <c r="A11188" s="678"/>
    </row>
    <row r="11189" spans="1:1" x14ac:dyDescent="0.3">
      <c r="A11189" s="678"/>
    </row>
    <row r="11190" spans="1:1" x14ac:dyDescent="0.3">
      <c r="A11190" s="678"/>
    </row>
    <row r="11191" spans="1:1" x14ac:dyDescent="0.3">
      <c r="A11191" s="678"/>
    </row>
    <row r="11192" spans="1:1" x14ac:dyDescent="0.3">
      <c r="A11192" s="678"/>
    </row>
    <row r="11193" spans="1:1" x14ac:dyDescent="0.3">
      <c r="A11193" s="678"/>
    </row>
    <row r="11194" spans="1:1" x14ac:dyDescent="0.3">
      <c r="A11194" s="678"/>
    </row>
    <row r="11195" spans="1:1" x14ac:dyDescent="0.3">
      <c r="A11195" s="678"/>
    </row>
    <row r="11196" spans="1:1" x14ac:dyDescent="0.3">
      <c r="A11196" s="678"/>
    </row>
    <row r="11197" spans="1:1" x14ac:dyDescent="0.3">
      <c r="A11197" s="678"/>
    </row>
    <row r="11198" spans="1:1" x14ac:dyDescent="0.3">
      <c r="A11198" s="678"/>
    </row>
    <row r="11199" spans="1:1" x14ac:dyDescent="0.3">
      <c r="A11199" s="678"/>
    </row>
    <row r="11200" spans="1:1" x14ac:dyDescent="0.3">
      <c r="A11200" s="678"/>
    </row>
    <row r="11201" spans="1:1" x14ac:dyDescent="0.3">
      <c r="A11201" s="678"/>
    </row>
    <row r="11202" spans="1:1" x14ac:dyDescent="0.3">
      <c r="A11202" s="678"/>
    </row>
    <row r="11203" spans="1:1" x14ac:dyDescent="0.3">
      <c r="A11203" s="678"/>
    </row>
    <row r="11204" spans="1:1" x14ac:dyDescent="0.3">
      <c r="A11204" s="678"/>
    </row>
    <row r="11205" spans="1:1" x14ac:dyDescent="0.3">
      <c r="A11205" s="678"/>
    </row>
    <row r="11206" spans="1:1" x14ac:dyDescent="0.3">
      <c r="A11206" s="678"/>
    </row>
    <row r="11207" spans="1:1" x14ac:dyDescent="0.3">
      <c r="A11207" s="678"/>
    </row>
    <row r="11208" spans="1:1" x14ac:dyDescent="0.3">
      <c r="A11208" s="678"/>
    </row>
    <row r="11209" spans="1:1" x14ac:dyDescent="0.3">
      <c r="A11209" s="678"/>
    </row>
    <row r="11210" spans="1:1" x14ac:dyDescent="0.3">
      <c r="A11210" s="678"/>
    </row>
    <row r="11211" spans="1:1" x14ac:dyDescent="0.3">
      <c r="A11211" s="678"/>
    </row>
    <row r="11212" spans="1:1" x14ac:dyDescent="0.3">
      <c r="A11212" s="678"/>
    </row>
    <row r="11213" spans="1:1" x14ac:dyDescent="0.3">
      <c r="A11213" s="678"/>
    </row>
    <row r="11214" spans="1:1" x14ac:dyDescent="0.3">
      <c r="A11214" s="678"/>
    </row>
    <row r="11215" spans="1:1" x14ac:dyDescent="0.3">
      <c r="A11215" s="678"/>
    </row>
    <row r="11216" spans="1:1" x14ac:dyDescent="0.3">
      <c r="A11216" s="678"/>
    </row>
    <row r="11217" spans="1:1" x14ac:dyDescent="0.3">
      <c r="A11217" s="678"/>
    </row>
    <row r="11218" spans="1:1" x14ac:dyDescent="0.3">
      <c r="A11218" s="678"/>
    </row>
    <row r="11219" spans="1:1" x14ac:dyDescent="0.3">
      <c r="A11219" s="678"/>
    </row>
    <row r="11220" spans="1:1" x14ac:dyDescent="0.3">
      <c r="A11220" s="678"/>
    </row>
    <row r="11221" spans="1:1" x14ac:dyDescent="0.3">
      <c r="A11221" s="678"/>
    </row>
    <row r="11222" spans="1:1" x14ac:dyDescent="0.3">
      <c r="A11222" s="678"/>
    </row>
    <row r="11223" spans="1:1" x14ac:dyDescent="0.3">
      <c r="A11223" s="678"/>
    </row>
    <row r="11224" spans="1:1" x14ac:dyDescent="0.3">
      <c r="A11224" s="678"/>
    </row>
    <row r="11225" spans="1:1" x14ac:dyDescent="0.3">
      <c r="A11225" s="678"/>
    </row>
    <row r="11226" spans="1:1" x14ac:dyDescent="0.3">
      <c r="A11226" s="678"/>
    </row>
    <row r="11227" spans="1:1" x14ac:dyDescent="0.3">
      <c r="A11227" s="678"/>
    </row>
    <row r="11228" spans="1:1" x14ac:dyDescent="0.3">
      <c r="A11228" s="678"/>
    </row>
    <row r="11229" spans="1:1" x14ac:dyDescent="0.3">
      <c r="A11229" s="678"/>
    </row>
    <row r="11230" spans="1:1" x14ac:dyDescent="0.3">
      <c r="A11230" s="678"/>
    </row>
    <row r="11231" spans="1:1" x14ac:dyDescent="0.3">
      <c r="A11231" s="678"/>
    </row>
    <row r="11232" spans="1:1" x14ac:dyDescent="0.3">
      <c r="A11232" s="678"/>
    </row>
    <row r="11233" spans="1:1" x14ac:dyDescent="0.3">
      <c r="A11233" s="678"/>
    </row>
    <row r="11234" spans="1:1" x14ac:dyDescent="0.3">
      <c r="A11234" s="678"/>
    </row>
    <row r="11235" spans="1:1" x14ac:dyDescent="0.3">
      <c r="A11235" s="678"/>
    </row>
    <row r="11236" spans="1:1" x14ac:dyDescent="0.3">
      <c r="A11236" s="678"/>
    </row>
    <row r="11237" spans="1:1" x14ac:dyDescent="0.3">
      <c r="A11237" s="678"/>
    </row>
    <row r="11238" spans="1:1" x14ac:dyDescent="0.3">
      <c r="A11238" s="678"/>
    </row>
    <row r="11239" spans="1:1" x14ac:dyDescent="0.3">
      <c r="A11239" s="678"/>
    </row>
    <row r="11240" spans="1:1" x14ac:dyDescent="0.3">
      <c r="A11240" s="678"/>
    </row>
    <row r="11241" spans="1:1" x14ac:dyDescent="0.3">
      <c r="A11241" s="678"/>
    </row>
    <row r="11242" spans="1:1" x14ac:dyDescent="0.3">
      <c r="A11242" s="678"/>
    </row>
    <row r="11243" spans="1:1" x14ac:dyDescent="0.3">
      <c r="A11243" s="678"/>
    </row>
    <row r="11244" spans="1:1" x14ac:dyDescent="0.3">
      <c r="A11244" s="678"/>
    </row>
    <row r="11245" spans="1:1" x14ac:dyDescent="0.3">
      <c r="A11245" s="678"/>
    </row>
    <row r="11246" spans="1:1" x14ac:dyDescent="0.3">
      <c r="A11246" s="678"/>
    </row>
    <row r="11247" spans="1:1" x14ac:dyDescent="0.3">
      <c r="A11247" s="678"/>
    </row>
    <row r="11248" spans="1:1" x14ac:dyDescent="0.3">
      <c r="A11248" s="678"/>
    </row>
    <row r="11249" spans="1:1" x14ac:dyDescent="0.3">
      <c r="A11249" s="678"/>
    </row>
    <row r="11250" spans="1:1" x14ac:dyDescent="0.3">
      <c r="A11250" s="678"/>
    </row>
    <row r="11251" spans="1:1" x14ac:dyDescent="0.3">
      <c r="A11251" s="678"/>
    </row>
    <row r="11252" spans="1:1" x14ac:dyDescent="0.3">
      <c r="A11252" s="678"/>
    </row>
    <row r="11253" spans="1:1" x14ac:dyDescent="0.3">
      <c r="A11253" s="678"/>
    </row>
    <row r="11254" spans="1:1" x14ac:dyDescent="0.3">
      <c r="A11254" s="678"/>
    </row>
    <row r="11255" spans="1:1" x14ac:dyDescent="0.3">
      <c r="A11255" s="678"/>
    </row>
    <row r="11256" spans="1:1" x14ac:dyDescent="0.3">
      <c r="A11256" s="678"/>
    </row>
    <row r="11257" spans="1:1" x14ac:dyDescent="0.3">
      <c r="A11257" s="678"/>
    </row>
    <row r="11258" spans="1:1" x14ac:dyDescent="0.3">
      <c r="A11258" s="678"/>
    </row>
    <row r="11259" spans="1:1" x14ac:dyDescent="0.3">
      <c r="A11259" s="678"/>
    </row>
    <row r="11260" spans="1:1" x14ac:dyDescent="0.3">
      <c r="A11260" s="678"/>
    </row>
    <row r="11261" spans="1:1" x14ac:dyDescent="0.3">
      <c r="A11261" s="678"/>
    </row>
    <row r="11262" spans="1:1" x14ac:dyDescent="0.3">
      <c r="A11262" s="678"/>
    </row>
    <row r="11263" spans="1:1" x14ac:dyDescent="0.3">
      <c r="A11263" s="678"/>
    </row>
    <row r="11264" spans="1:1" x14ac:dyDescent="0.3">
      <c r="A11264" s="678"/>
    </row>
    <row r="11265" spans="1:1" x14ac:dyDescent="0.3">
      <c r="A11265" s="678"/>
    </row>
    <row r="11266" spans="1:1" x14ac:dyDescent="0.3">
      <c r="A11266" s="678"/>
    </row>
    <row r="11267" spans="1:1" x14ac:dyDescent="0.3">
      <c r="A11267" s="678"/>
    </row>
    <row r="11268" spans="1:1" x14ac:dyDescent="0.3">
      <c r="A11268" s="678"/>
    </row>
    <row r="11269" spans="1:1" x14ac:dyDescent="0.3">
      <c r="A11269" s="678"/>
    </row>
    <row r="11270" spans="1:1" x14ac:dyDescent="0.3">
      <c r="A11270" s="678"/>
    </row>
    <row r="11271" spans="1:1" x14ac:dyDescent="0.3">
      <c r="A11271" s="678"/>
    </row>
    <row r="11272" spans="1:1" x14ac:dyDescent="0.3">
      <c r="A11272" s="678"/>
    </row>
    <row r="11273" spans="1:1" x14ac:dyDescent="0.3">
      <c r="A11273" s="678"/>
    </row>
    <row r="11274" spans="1:1" x14ac:dyDescent="0.3">
      <c r="A11274" s="678"/>
    </row>
    <row r="11275" spans="1:1" x14ac:dyDescent="0.3">
      <c r="A11275" s="678"/>
    </row>
    <row r="11276" spans="1:1" x14ac:dyDescent="0.3">
      <c r="A11276" s="678"/>
    </row>
    <row r="11277" spans="1:1" x14ac:dyDescent="0.3">
      <c r="A11277" s="678"/>
    </row>
    <row r="11278" spans="1:1" x14ac:dyDescent="0.3">
      <c r="A11278" s="678"/>
    </row>
    <row r="11279" spans="1:1" x14ac:dyDescent="0.3">
      <c r="A11279" s="678"/>
    </row>
    <row r="11280" spans="1:1" x14ac:dyDescent="0.3">
      <c r="A11280" s="678"/>
    </row>
    <row r="11281" spans="1:1" x14ac:dyDescent="0.3">
      <c r="A11281" s="678"/>
    </row>
    <row r="11282" spans="1:1" x14ac:dyDescent="0.3">
      <c r="A11282" s="678"/>
    </row>
    <row r="11283" spans="1:1" x14ac:dyDescent="0.3">
      <c r="A11283" s="678"/>
    </row>
    <row r="11284" spans="1:1" x14ac:dyDescent="0.3">
      <c r="A11284" s="678"/>
    </row>
    <row r="11285" spans="1:1" x14ac:dyDescent="0.3">
      <c r="A11285" s="678"/>
    </row>
    <row r="11286" spans="1:1" x14ac:dyDescent="0.3">
      <c r="A11286" s="678"/>
    </row>
    <row r="11287" spans="1:1" x14ac:dyDescent="0.3">
      <c r="A11287" s="678"/>
    </row>
    <row r="11288" spans="1:1" x14ac:dyDescent="0.3">
      <c r="A11288" s="678"/>
    </row>
    <row r="11289" spans="1:1" x14ac:dyDescent="0.3">
      <c r="A11289" s="678"/>
    </row>
    <row r="11290" spans="1:1" x14ac:dyDescent="0.3">
      <c r="A11290" s="678"/>
    </row>
    <row r="11291" spans="1:1" x14ac:dyDescent="0.3">
      <c r="A11291" s="678"/>
    </row>
    <row r="11292" spans="1:1" x14ac:dyDescent="0.3">
      <c r="A11292" s="678"/>
    </row>
    <row r="11293" spans="1:1" x14ac:dyDescent="0.3">
      <c r="A11293" s="678"/>
    </row>
    <row r="11294" spans="1:1" x14ac:dyDescent="0.3">
      <c r="A11294" s="678"/>
    </row>
    <row r="11295" spans="1:1" x14ac:dyDescent="0.3">
      <c r="A11295" s="678"/>
    </row>
    <row r="11296" spans="1:1" x14ac:dyDescent="0.3">
      <c r="A11296" s="678"/>
    </row>
    <row r="11297" spans="1:1" x14ac:dyDescent="0.3">
      <c r="A11297" s="678"/>
    </row>
    <row r="11298" spans="1:1" x14ac:dyDescent="0.3">
      <c r="A11298" s="678"/>
    </row>
    <row r="11299" spans="1:1" x14ac:dyDescent="0.3">
      <c r="A11299" s="678"/>
    </row>
    <row r="11300" spans="1:1" x14ac:dyDescent="0.3">
      <c r="A11300" s="678"/>
    </row>
    <row r="11301" spans="1:1" x14ac:dyDescent="0.3">
      <c r="A11301" s="678"/>
    </row>
    <row r="11302" spans="1:1" x14ac:dyDescent="0.3">
      <c r="A11302" s="678"/>
    </row>
    <row r="11303" spans="1:1" x14ac:dyDescent="0.3">
      <c r="A11303" s="678"/>
    </row>
    <row r="11304" spans="1:1" x14ac:dyDescent="0.3">
      <c r="A11304" s="678"/>
    </row>
    <row r="11305" spans="1:1" x14ac:dyDescent="0.3">
      <c r="A11305" s="678"/>
    </row>
    <row r="11306" spans="1:1" x14ac:dyDescent="0.3">
      <c r="A11306" s="678"/>
    </row>
    <row r="11307" spans="1:1" x14ac:dyDescent="0.3">
      <c r="A11307" s="678"/>
    </row>
    <row r="11308" spans="1:1" x14ac:dyDescent="0.3">
      <c r="A11308" s="678"/>
    </row>
    <row r="11309" spans="1:1" x14ac:dyDescent="0.3">
      <c r="A11309" s="678"/>
    </row>
    <row r="11310" spans="1:1" x14ac:dyDescent="0.3">
      <c r="A11310" s="678"/>
    </row>
    <row r="11311" spans="1:1" x14ac:dyDescent="0.3">
      <c r="A11311" s="678"/>
    </row>
    <row r="11312" spans="1:1" x14ac:dyDescent="0.3">
      <c r="A11312" s="678"/>
    </row>
    <row r="11313" spans="1:1" x14ac:dyDescent="0.3">
      <c r="A11313" s="678"/>
    </row>
    <row r="11314" spans="1:1" x14ac:dyDescent="0.3">
      <c r="A11314" s="678"/>
    </row>
    <row r="11315" spans="1:1" x14ac:dyDescent="0.3">
      <c r="A11315" s="678"/>
    </row>
    <row r="11316" spans="1:1" x14ac:dyDescent="0.3">
      <c r="A11316" s="678"/>
    </row>
    <row r="11317" spans="1:1" x14ac:dyDescent="0.3">
      <c r="A11317" s="678"/>
    </row>
    <row r="11318" spans="1:1" x14ac:dyDescent="0.3">
      <c r="A11318" s="678"/>
    </row>
    <row r="11319" spans="1:1" x14ac:dyDescent="0.3">
      <c r="A11319" s="678"/>
    </row>
    <row r="11320" spans="1:1" x14ac:dyDescent="0.3">
      <c r="A11320" s="678"/>
    </row>
    <row r="11321" spans="1:1" x14ac:dyDescent="0.3">
      <c r="A11321" s="678"/>
    </row>
    <row r="11322" spans="1:1" x14ac:dyDescent="0.3">
      <c r="A11322" s="678"/>
    </row>
    <row r="11323" spans="1:1" x14ac:dyDescent="0.3">
      <c r="A11323" s="678"/>
    </row>
    <row r="11324" spans="1:1" x14ac:dyDescent="0.3">
      <c r="A11324" s="678"/>
    </row>
    <row r="11325" spans="1:1" x14ac:dyDescent="0.3">
      <c r="A11325" s="678"/>
    </row>
    <row r="11326" spans="1:1" x14ac:dyDescent="0.3">
      <c r="A11326" s="678"/>
    </row>
    <row r="11327" spans="1:1" x14ac:dyDescent="0.3">
      <c r="A11327" s="678"/>
    </row>
    <row r="11328" spans="1:1" x14ac:dyDescent="0.3">
      <c r="A11328" s="678"/>
    </row>
    <row r="11329" spans="1:1" x14ac:dyDescent="0.3">
      <c r="A11329" s="678"/>
    </row>
    <row r="11330" spans="1:1" x14ac:dyDescent="0.3">
      <c r="A11330" s="678"/>
    </row>
    <row r="11331" spans="1:1" x14ac:dyDescent="0.3">
      <c r="A11331" s="678"/>
    </row>
    <row r="11332" spans="1:1" x14ac:dyDescent="0.3">
      <c r="A11332" s="678"/>
    </row>
    <row r="11333" spans="1:1" x14ac:dyDescent="0.3">
      <c r="A11333" s="678"/>
    </row>
    <row r="11334" spans="1:1" x14ac:dyDescent="0.3">
      <c r="A11334" s="678"/>
    </row>
    <row r="11335" spans="1:1" x14ac:dyDescent="0.3">
      <c r="A11335" s="678"/>
    </row>
    <row r="11336" spans="1:1" x14ac:dyDescent="0.3">
      <c r="A11336" s="678"/>
    </row>
    <row r="11337" spans="1:1" x14ac:dyDescent="0.3">
      <c r="A11337" s="678"/>
    </row>
    <row r="11338" spans="1:1" x14ac:dyDescent="0.3">
      <c r="A11338" s="678"/>
    </row>
    <row r="11339" spans="1:1" x14ac:dyDescent="0.3">
      <c r="A11339" s="678"/>
    </row>
    <row r="11340" spans="1:1" x14ac:dyDescent="0.3">
      <c r="A11340" s="678"/>
    </row>
    <row r="11341" spans="1:1" x14ac:dyDescent="0.3">
      <c r="A11341" s="678"/>
    </row>
    <row r="11342" spans="1:1" x14ac:dyDescent="0.3">
      <c r="A11342" s="678"/>
    </row>
    <row r="11343" spans="1:1" x14ac:dyDescent="0.3">
      <c r="A11343" s="678"/>
    </row>
    <row r="11344" spans="1:1" x14ac:dyDescent="0.3">
      <c r="A11344" s="678"/>
    </row>
    <row r="11345" spans="1:1" x14ac:dyDescent="0.3">
      <c r="A11345" s="678"/>
    </row>
    <row r="11346" spans="1:1" x14ac:dyDescent="0.3">
      <c r="A11346" s="678"/>
    </row>
    <row r="11347" spans="1:1" x14ac:dyDescent="0.3">
      <c r="A11347" s="678"/>
    </row>
    <row r="11348" spans="1:1" x14ac:dyDescent="0.3">
      <c r="A11348" s="678"/>
    </row>
    <row r="11349" spans="1:1" x14ac:dyDescent="0.3">
      <c r="A11349" s="678"/>
    </row>
    <row r="11350" spans="1:1" x14ac:dyDescent="0.3">
      <c r="A11350" s="678"/>
    </row>
    <row r="11351" spans="1:1" x14ac:dyDescent="0.3">
      <c r="A11351" s="678"/>
    </row>
    <row r="11352" spans="1:1" x14ac:dyDescent="0.3">
      <c r="A11352" s="678"/>
    </row>
    <row r="11353" spans="1:1" x14ac:dyDescent="0.3">
      <c r="A11353" s="678"/>
    </row>
    <row r="11354" spans="1:1" x14ac:dyDescent="0.3">
      <c r="A11354" s="678"/>
    </row>
    <row r="11355" spans="1:1" x14ac:dyDescent="0.3">
      <c r="A11355" s="678"/>
    </row>
    <row r="11356" spans="1:1" x14ac:dyDescent="0.3">
      <c r="A11356" s="678"/>
    </row>
    <row r="11357" spans="1:1" x14ac:dyDescent="0.3">
      <c r="A11357" s="678"/>
    </row>
    <row r="11358" spans="1:1" x14ac:dyDescent="0.3">
      <c r="A11358" s="678"/>
    </row>
    <row r="11359" spans="1:1" x14ac:dyDescent="0.3">
      <c r="A11359" s="678"/>
    </row>
    <row r="11360" spans="1:1" x14ac:dyDescent="0.3">
      <c r="A11360" s="678"/>
    </row>
    <row r="11361" spans="1:1" x14ac:dyDescent="0.3">
      <c r="A11361" s="678"/>
    </row>
    <row r="11362" spans="1:1" x14ac:dyDescent="0.3">
      <c r="A11362" s="678"/>
    </row>
    <row r="11363" spans="1:1" x14ac:dyDescent="0.3">
      <c r="A11363" s="678"/>
    </row>
    <row r="11364" spans="1:1" x14ac:dyDescent="0.3">
      <c r="A11364" s="678"/>
    </row>
    <row r="11365" spans="1:1" x14ac:dyDescent="0.3">
      <c r="A11365" s="678"/>
    </row>
    <row r="11366" spans="1:1" x14ac:dyDescent="0.3">
      <c r="A11366" s="678"/>
    </row>
    <row r="11367" spans="1:1" x14ac:dyDescent="0.3">
      <c r="A11367" s="678"/>
    </row>
    <row r="11368" spans="1:1" x14ac:dyDescent="0.3">
      <c r="A11368" s="678"/>
    </row>
    <row r="11369" spans="1:1" x14ac:dyDescent="0.3">
      <c r="A11369" s="678"/>
    </row>
    <row r="11370" spans="1:1" x14ac:dyDescent="0.3">
      <c r="A11370" s="678"/>
    </row>
    <row r="11371" spans="1:1" x14ac:dyDescent="0.3">
      <c r="A11371" s="678"/>
    </row>
    <row r="11372" spans="1:1" x14ac:dyDescent="0.3">
      <c r="A11372" s="678"/>
    </row>
    <row r="11373" spans="1:1" x14ac:dyDescent="0.3">
      <c r="A11373" s="678"/>
    </row>
    <row r="11374" spans="1:1" x14ac:dyDescent="0.3">
      <c r="A11374" s="678"/>
    </row>
    <row r="11375" spans="1:1" x14ac:dyDescent="0.3">
      <c r="A11375" s="678"/>
    </row>
    <row r="11376" spans="1:1" x14ac:dyDescent="0.3">
      <c r="A11376" s="678"/>
    </row>
    <row r="11377" spans="1:1" x14ac:dyDescent="0.3">
      <c r="A11377" s="678"/>
    </row>
    <row r="11378" spans="1:1" x14ac:dyDescent="0.3">
      <c r="A11378" s="678"/>
    </row>
    <row r="11379" spans="1:1" x14ac:dyDescent="0.3">
      <c r="A11379" s="678"/>
    </row>
    <row r="11380" spans="1:1" x14ac:dyDescent="0.3">
      <c r="A11380" s="678"/>
    </row>
    <row r="11381" spans="1:1" x14ac:dyDescent="0.3">
      <c r="A11381" s="678"/>
    </row>
    <row r="11382" spans="1:1" x14ac:dyDescent="0.3">
      <c r="A11382" s="678"/>
    </row>
    <row r="11383" spans="1:1" x14ac:dyDescent="0.3">
      <c r="A11383" s="678"/>
    </row>
    <row r="11384" spans="1:1" x14ac:dyDescent="0.3">
      <c r="A11384" s="678"/>
    </row>
    <row r="11385" spans="1:1" x14ac:dyDescent="0.3">
      <c r="A11385" s="678"/>
    </row>
    <row r="11386" spans="1:1" x14ac:dyDescent="0.3">
      <c r="A11386" s="678"/>
    </row>
    <row r="11387" spans="1:1" x14ac:dyDescent="0.3">
      <c r="A11387" s="678"/>
    </row>
    <row r="11388" spans="1:1" x14ac:dyDescent="0.3">
      <c r="A11388" s="678"/>
    </row>
    <row r="11389" spans="1:1" x14ac:dyDescent="0.3">
      <c r="A11389" s="678"/>
    </row>
    <row r="11390" spans="1:1" x14ac:dyDescent="0.3">
      <c r="A11390" s="678"/>
    </row>
    <row r="11391" spans="1:1" x14ac:dyDescent="0.3">
      <c r="A11391" s="678"/>
    </row>
    <row r="11392" spans="1:1" x14ac:dyDescent="0.3">
      <c r="A11392" s="678"/>
    </row>
    <row r="11393" spans="1:1" x14ac:dyDescent="0.3">
      <c r="A11393" s="678"/>
    </row>
    <row r="11394" spans="1:1" x14ac:dyDescent="0.3">
      <c r="A11394" s="678"/>
    </row>
    <row r="11395" spans="1:1" x14ac:dyDescent="0.3">
      <c r="A11395" s="678"/>
    </row>
    <row r="11396" spans="1:1" x14ac:dyDescent="0.3">
      <c r="A11396" s="678"/>
    </row>
    <row r="11397" spans="1:1" x14ac:dyDescent="0.3">
      <c r="A11397" s="678"/>
    </row>
    <row r="11398" spans="1:1" x14ac:dyDescent="0.3">
      <c r="A11398" s="678"/>
    </row>
    <row r="11399" spans="1:1" x14ac:dyDescent="0.3">
      <c r="A11399" s="678"/>
    </row>
    <row r="11400" spans="1:1" x14ac:dyDescent="0.3">
      <c r="A11400" s="678"/>
    </row>
    <row r="11401" spans="1:1" x14ac:dyDescent="0.3">
      <c r="A11401" s="678"/>
    </row>
    <row r="11402" spans="1:1" x14ac:dyDescent="0.3">
      <c r="A11402" s="678"/>
    </row>
    <row r="11403" spans="1:1" x14ac:dyDescent="0.3">
      <c r="A11403" s="678"/>
    </row>
    <row r="11404" spans="1:1" x14ac:dyDescent="0.3">
      <c r="A11404" s="678"/>
    </row>
    <row r="11405" spans="1:1" x14ac:dyDescent="0.3">
      <c r="A11405" s="678"/>
    </row>
    <row r="11406" spans="1:1" x14ac:dyDescent="0.3">
      <c r="A11406" s="678"/>
    </row>
    <row r="11407" spans="1:1" x14ac:dyDescent="0.3">
      <c r="A11407" s="678"/>
    </row>
    <row r="11408" spans="1:1" x14ac:dyDescent="0.3">
      <c r="A11408" s="678"/>
    </row>
    <row r="11409" spans="1:1" x14ac:dyDescent="0.3">
      <c r="A11409" s="678"/>
    </row>
    <row r="11410" spans="1:1" x14ac:dyDescent="0.3">
      <c r="A11410" s="678"/>
    </row>
    <row r="11411" spans="1:1" x14ac:dyDescent="0.3">
      <c r="A11411" s="678"/>
    </row>
    <row r="11412" spans="1:1" x14ac:dyDescent="0.3">
      <c r="A11412" s="678"/>
    </row>
    <row r="11413" spans="1:1" x14ac:dyDescent="0.3">
      <c r="A11413" s="678"/>
    </row>
    <row r="11414" spans="1:1" x14ac:dyDescent="0.3">
      <c r="A11414" s="678"/>
    </row>
    <row r="11415" spans="1:1" x14ac:dyDescent="0.3">
      <c r="A11415" s="678"/>
    </row>
    <row r="11416" spans="1:1" x14ac:dyDescent="0.3">
      <c r="A11416" s="678"/>
    </row>
    <row r="11417" spans="1:1" x14ac:dyDescent="0.3">
      <c r="A11417" s="678"/>
    </row>
    <row r="11418" spans="1:1" x14ac:dyDescent="0.3">
      <c r="A11418" s="678"/>
    </row>
    <row r="11419" spans="1:1" x14ac:dyDescent="0.3">
      <c r="A11419" s="678"/>
    </row>
    <row r="11420" spans="1:1" x14ac:dyDescent="0.3">
      <c r="A11420" s="678"/>
    </row>
    <row r="11421" spans="1:1" x14ac:dyDescent="0.3">
      <c r="A11421" s="678"/>
    </row>
    <row r="11422" spans="1:1" x14ac:dyDescent="0.3">
      <c r="A11422" s="678"/>
    </row>
    <row r="11423" spans="1:1" x14ac:dyDescent="0.3">
      <c r="A11423" s="678"/>
    </row>
    <row r="11424" spans="1:1" x14ac:dyDescent="0.3">
      <c r="A11424" s="678"/>
    </row>
    <row r="11425" spans="1:1" x14ac:dyDescent="0.3">
      <c r="A11425" s="678"/>
    </row>
    <row r="11426" spans="1:1" x14ac:dyDescent="0.3">
      <c r="A11426" s="678"/>
    </row>
    <row r="11427" spans="1:1" x14ac:dyDescent="0.3">
      <c r="A11427" s="678"/>
    </row>
    <row r="11428" spans="1:1" x14ac:dyDescent="0.3">
      <c r="A11428" s="678"/>
    </row>
    <row r="11429" spans="1:1" x14ac:dyDescent="0.3">
      <c r="A11429" s="678"/>
    </row>
    <row r="11430" spans="1:1" x14ac:dyDescent="0.3">
      <c r="A11430" s="678"/>
    </row>
    <row r="11431" spans="1:1" x14ac:dyDescent="0.3">
      <c r="A11431" s="678"/>
    </row>
    <row r="11432" spans="1:1" x14ac:dyDescent="0.3">
      <c r="A11432" s="678"/>
    </row>
    <row r="11433" spans="1:1" x14ac:dyDescent="0.3">
      <c r="A11433" s="678"/>
    </row>
    <row r="11434" spans="1:1" x14ac:dyDescent="0.3">
      <c r="A11434" s="678"/>
    </row>
    <row r="11435" spans="1:1" x14ac:dyDescent="0.3">
      <c r="A11435" s="678"/>
    </row>
    <row r="11436" spans="1:1" x14ac:dyDescent="0.3">
      <c r="A11436" s="678"/>
    </row>
    <row r="11437" spans="1:1" x14ac:dyDescent="0.3">
      <c r="A11437" s="678"/>
    </row>
    <row r="11438" spans="1:1" x14ac:dyDescent="0.3">
      <c r="A11438" s="678"/>
    </row>
    <row r="11439" spans="1:1" x14ac:dyDescent="0.3">
      <c r="A11439" s="678"/>
    </row>
    <row r="11440" spans="1:1" x14ac:dyDescent="0.3">
      <c r="A11440" s="678"/>
    </row>
    <row r="11441" spans="1:1" x14ac:dyDescent="0.3">
      <c r="A11441" s="678"/>
    </row>
    <row r="11442" spans="1:1" x14ac:dyDescent="0.3">
      <c r="A11442" s="678"/>
    </row>
    <row r="11443" spans="1:1" x14ac:dyDescent="0.3">
      <c r="A11443" s="678"/>
    </row>
    <row r="11444" spans="1:1" x14ac:dyDescent="0.3">
      <c r="A11444" s="678"/>
    </row>
    <row r="11445" spans="1:1" x14ac:dyDescent="0.3">
      <c r="A11445" s="678"/>
    </row>
    <row r="11446" spans="1:1" x14ac:dyDescent="0.3">
      <c r="A11446" s="678"/>
    </row>
    <row r="11447" spans="1:1" x14ac:dyDescent="0.3">
      <c r="A11447" s="678"/>
    </row>
    <row r="11448" spans="1:1" x14ac:dyDescent="0.3">
      <c r="A11448" s="678"/>
    </row>
    <row r="11449" spans="1:1" x14ac:dyDescent="0.3">
      <c r="A11449" s="678"/>
    </row>
    <row r="11450" spans="1:1" x14ac:dyDescent="0.3">
      <c r="A11450" s="678"/>
    </row>
    <row r="11451" spans="1:1" x14ac:dyDescent="0.3">
      <c r="A11451" s="678"/>
    </row>
    <row r="11452" spans="1:1" x14ac:dyDescent="0.3">
      <c r="A11452" s="678"/>
    </row>
    <row r="11453" spans="1:1" x14ac:dyDescent="0.3">
      <c r="A11453" s="678"/>
    </row>
    <row r="11454" spans="1:1" x14ac:dyDescent="0.3">
      <c r="A11454" s="678"/>
    </row>
    <row r="11455" spans="1:1" x14ac:dyDescent="0.3">
      <c r="A11455" s="678"/>
    </row>
    <row r="11456" spans="1:1" x14ac:dyDescent="0.3">
      <c r="A11456" s="678"/>
    </row>
    <row r="11457" spans="1:1" x14ac:dyDescent="0.3">
      <c r="A11457" s="678"/>
    </row>
    <row r="11458" spans="1:1" x14ac:dyDescent="0.3">
      <c r="A11458" s="678"/>
    </row>
    <row r="11459" spans="1:1" x14ac:dyDescent="0.3">
      <c r="A11459" s="678"/>
    </row>
    <row r="11460" spans="1:1" x14ac:dyDescent="0.3">
      <c r="A11460" s="678"/>
    </row>
    <row r="11461" spans="1:1" x14ac:dyDescent="0.3">
      <c r="A11461" s="678"/>
    </row>
    <row r="11462" spans="1:1" x14ac:dyDescent="0.3">
      <c r="A11462" s="678"/>
    </row>
    <row r="11463" spans="1:1" x14ac:dyDescent="0.3">
      <c r="A11463" s="678"/>
    </row>
    <row r="11464" spans="1:1" x14ac:dyDescent="0.3">
      <c r="A11464" s="678"/>
    </row>
    <row r="11465" spans="1:1" x14ac:dyDescent="0.3">
      <c r="A11465" s="678"/>
    </row>
    <row r="11466" spans="1:1" x14ac:dyDescent="0.3">
      <c r="A11466" s="678"/>
    </row>
    <row r="11467" spans="1:1" x14ac:dyDescent="0.3">
      <c r="A11467" s="678"/>
    </row>
    <row r="11468" spans="1:1" x14ac:dyDescent="0.3">
      <c r="A11468" s="678"/>
    </row>
    <row r="11469" spans="1:1" x14ac:dyDescent="0.3">
      <c r="A11469" s="678"/>
    </row>
    <row r="11470" spans="1:1" x14ac:dyDescent="0.3">
      <c r="A11470" s="678"/>
    </row>
    <row r="11471" spans="1:1" x14ac:dyDescent="0.3">
      <c r="A11471" s="678"/>
    </row>
    <row r="11472" spans="1:1" x14ac:dyDescent="0.3">
      <c r="A11472" s="678"/>
    </row>
    <row r="11473" spans="1:1" x14ac:dyDescent="0.3">
      <c r="A11473" s="678"/>
    </row>
    <row r="11474" spans="1:1" x14ac:dyDescent="0.3">
      <c r="A11474" s="678"/>
    </row>
    <row r="11475" spans="1:1" x14ac:dyDescent="0.3">
      <c r="A11475" s="678"/>
    </row>
    <row r="11476" spans="1:1" x14ac:dyDescent="0.3">
      <c r="A11476" s="678"/>
    </row>
    <row r="11477" spans="1:1" x14ac:dyDescent="0.3">
      <c r="A11477" s="678"/>
    </row>
    <row r="11478" spans="1:1" x14ac:dyDescent="0.3">
      <c r="A11478" s="678"/>
    </row>
    <row r="11479" spans="1:1" x14ac:dyDescent="0.3">
      <c r="A11479" s="678"/>
    </row>
    <row r="11480" spans="1:1" x14ac:dyDescent="0.3">
      <c r="A11480" s="678"/>
    </row>
    <row r="11481" spans="1:1" x14ac:dyDescent="0.3">
      <c r="A11481" s="678"/>
    </row>
    <row r="11482" spans="1:1" x14ac:dyDescent="0.3">
      <c r="A11482" s="678"/>
    </row>
    <row r="11483" spans="1:1" x14ac:dyDescent="0.3">
      <c r="A11483" s="678"/>
    </row>
    <row r="11484" spans="1:1" x14ac:dyDescent="0.3">
      <c r="A11484" s="678"/>
    </row>
    <row r="11485" spans="1:1" x14ac:dyDescent="0.3">
      <c r="A11485" s="678"/>
    </row>
    <row r="11486" spans="1:1" x14ac:dyDescent="0.3">
      <c r="A11486" s="678"/>
    </row>
    <row r="11487" spans="1:1" x14ac:dyDescent="0.3">
      <c r="A11487" s="678"/>
    </row>
    <row r="11488" spans="1:1" x14ac:dyDescent="0.3">
      <c r="A11488" s="678"/>
    </row>
    <row r="11489" spans="1:1" x14ac:dyDescent="0.3">
      <c r="A11489" s="678"/>
    </row>
    <row r="11490" spans="1:1" x14ac:dyDescent="0.3">
      <c r="A11490" s="678"/>
    </row>
    <row r="11491" spans="1:1" x14ac:dyDescent="0.3">
      <c r="A11491" s="678"/>
    </row>
    <row r="11492" spans="1:1" x14ac:dyDescent="0.3">
      <c r="A11492" s="678"/>
    </row>
    <row r="11493" spans="1:1" x14ac:dyDescent="0.3">
      <c r="A11493" s="678"/>
    </row>
    <row r="11494" spans="1:1" x14ac:dyDescent="0.3">
      <c r="A11494" s="678"/>
    </row>
    <row r="11495" spans="1:1" x14ac:dyDescent="0.3">
      <c r="A11495" s="678"/>
    </row>
    <row r="11496" spans="1:1" x14ac:dyDescent="0.3">
      <c r="A11496" s="678"/>
    </row>
    <row r="11497" spans="1:1" x14ac:dyDescent="0.3">
      <c r="A11497" s="678"/>
    </row>
    <row r="11498" spans="1:1" x14ac:dyDescent="0.3">
      <c r="A11498" s="678"/>
    </row>
    <row r="11499" spans="1:1" x14ac:dyDescent="0.3">
      <c r="A11499" s="678"/>
    </row>
    <row r="11500" spans="1:1" x14ac:dyDescent="0.3">
      <c r="A11500" s="678"/>
    </row>
    <row r="11501" spans="1:1" x14ac:dyDescent="0.3">
      <c r="A11501" s="678"/>
    </row>
    <row r="11502" spans="1:1" x14ac:dyDescent="0.3">
      <c r="A11502" s="678"/>
    </row>
    <row r="11503" spans="1:1" x14ac:dyDescent="0.3">
      <c r="A11503" s="678"/>
    </row>
    <row r="11504" spans="1:1" x14ac:dyDescent="0.3">
      <c r="A11504" s="678"/>
    </row>
    <row r="11505" spans="1:1" x14ac:dyDescent="0.3">
      <c r="A11505" s="678"/>
    </row>
    <row r="11506" spans="1:1" x14ac:dyDescent="0.3">
      <c r="A11506" s="678"/>
    </row>
    <row r="11507" spans="1:1" x14ac:dyDescent="0.3">
      <c r="A11507" s="678"/>
    </row>
    <row r="11508" spans="1:1" x14ac:dyDescent="0.3">
      <c r="A11508" s="678"/>
    </row>
    <row r="11509" spans="1:1" x14ac:dyDescent="0.3">
      <c r="A11509" s="678"/>
    </row>
    <row r="11510" spans="1:1" x14ac:dyDescent="0.3">
      <c r="A11510" s="678"/>
    </row>
    <row r="11511" spans="1:1" x14ac:dyDescent="0.3">
      <c r="A11511" s="678"/>
    </row>
    <row r="11512" spans="1:1" x14ac:dyDescent="0.3">
      <c r="A11512" s="678"/>
    </row>
    <row r="11513" spans="1:1" x14ac:dyDescent="0.3">
      <c r="A11513" s="678"/>
    </row>
    <row r="11514" spans="1:1" x14ac:dyDescent="0.3">
      <c r="A11514" s="678"/>
    </row>
    <row r="11515" spans="1:1" x14ac:dyDescent="0.3">
      <c r="A11515" s="678"/>
    </row>
    <row r="11516" spans="1:1" x14ac:dyDescent="0.3">
      <c r="A11516" s="678"/>
    </row>
    <row r="11517" spans="1:1" x14ac:dyDescent="0.3">
      <c r="A11517" s="678"/>
    </row>
    <row r="11518" spans="1:1" x14ac:dyDescent="0.3">
      <c r="A11518" s="678"/>
    </row>
    <row r="11519" spans="1:1" x14ac:dyDescent="0.3">
      <c r="A11519" s="678"/>
    </row>
    <row r="11520" spans="1:1" x14ac:dyDescent="0.3">
      <c r="A11520" s="678"/>
    </row>
    <row r="11521" spans="1:1" x14ac:dyDescent="0.3">
      <c r="A11521" s="678"/>
    </row>
    <row r="11522" spans="1:1" x14ac:dyDescent="0.3">
      <c r="A11522" s="678"/>
    </row>
    <row r="11523" spans="1:1" x14ac:dyDescent="0.3">
      <c r="A11523" s="678"/>
    </row>
    <row r="11524" spans="1:1" x14ac:dyDescent="0.3">
      <c r="A11524" s="678"/>
    </row>
    <row r="11525" spans="1:1" x14ac:dyDescent="0.3">
      <c r="A11525" s="678"/>
    </row>
    <row r="11526" spans="1:1" x14ac:dyDescent="0.3">
      <c r="A11526" s="678"/>
    </row>
    <row r="11527" spans="1:1" x14ac:dyDescent="0.3">
      <c r="A11527" s="678"/>
    </row>
    <row r="11528" spans="1:1" x14ac:dyDescent="0.3">
      <c r="A11528" s="678"/>
    </row>
    <row r="11529" spans="1:1" x14ac:dyDescent="0.3">
      <c r="A11529" s="678"/>
    </row>
    <row r="11530" spans="1:1" x14ac:dyDescent="0.3">
      <c r="A11530" s="678"/>
    </row>
    <row r="11531" spans="1:1" x14ac:dyDescent="0.3">
      <c r="A11531" s="678"/>
    </row>
    <row r="11532" spans="1:1" x14ac:dyDescent="0.3">
      <c r="A11532" s="678"/>
    </row>
    <row r="11533" spans="1:1" x14ac:dyDescent="0.3">
      <c r="A11533" s="678"/>
    </row>
    <row r="11534" spans="1:1" x14ac:dyDescent="0.3">
      <c r="A11534" s="678"/>
    </row>
    <row r="11535" spans="1:1" x14ac:dyDescent="0.3">
      <c r="A11535" s="678"/>
    </row>
    <row r="11536" spans="1:1" x14ac:dyDescent="0.3">
      <c r="A11536" s="678"/>
    </row>
    <row r="11537" spans="1:1" x14ac:dyDescent="0.3">
      <c r="A11537" s="678"/>
    </row>
    <row r="11538" spans="1:1" x14ac:dyDescent="0.3">
      <c r="A11538" s="678"/>
    </row>
    <row r="11539" spans="1:1" x14ac:dyDescent="0.3">
      <c r="A11539" s="678"/>
    </row>
    <row r="11540" spans="1:1" x14ac:dyDescent="0.3">
      <c r="A11540" s="678"/>
    </row>
    <row r="11541" spans="1:1" x14ac:dyDescent="0.3">
      <c r="A11541" s="678"/>
    </row>
    <row r="11542" spans="1:1" x14ac:dyDescent="0.3">
      <c r="A11542" s="678"/>
    </row>
    <row r="11543" spans="1:1" x14ac:dyDescent="0.3">
      <c r="A11543" s="678"/>
    </row>
    <row r="11544" spans="1:1" x14ac:dyDescent="0.3">
      <c r="A11544" s="678"/>
    </row>
    <row r="11545" spans="1:1" x14ac:dyDescent="0.3">
      <c r="A11545" s="678"/>
    </row>
    <row r="11546" spans="1:1" x14ac:dyDescent="0.3">
      <c r="A11546" s="678"/>
    </row>
    <row r="11547" spans="1:1" x14ac:dyDescent="0.3">
      <c r="A11547" s="678"/>
    </row>
    <row r="11548" spans="1:1" x14ac:dyDescent="0.3">
      <c r="A11548" s="678"/>
    </row>
    <row r="11549" spans="1:1" x14ac:dyDescent="0.3">
      <c r="A11549" s="678"/>
    </row>
    <row r="11550" spans="1:1" x14ac:dyDescent="0.3">
      <c r="A11550" s="678"/>
    </row>
    <row r="11551" spans="1:1" x14ac:dyDescent="0.3">
      <c r="A11551" s="678"/>
    </row>
    <row r="11552" spans="1:1" x14ac:dyDescent="0.3">
      <c r="A11552" s="678"/>
    </row>
    <row r="11553" spans="1:1" x14ac:dyDescent="0.3">
      <c r="A11553" s="678"/>
    </row>
    <row r="11554" spans="1:1" x14ac:dyDescent="0.3">
      <c r="A11554" s="678"/>
    </row>
    <row r="11555" spans="1:1" x14ac:dyDescent="0.3">
      <c r="A11555" s="678"/>
    </row>
    <row r="11556" spans="1:1" x14ac:dyDescent="0.3">
      <c r="A11556" s="678"/>
    </row>
    <row r="11557" spans="1:1" x14ac:dyDescent="0.3">
      <c r="A11557" s="678"/>
    </row>
    <row r="11558" spans="1:1" x14ac:dyDescent="0.3">
      <c r="A11558" s="678"/>
    </row>
    <row r="11559" spans="1:1" x14ac:dyDescent="0.3">
      <c r="A11559" s="678"/>
    </row>
    <row r="11560" spans="1:1" x14ac:dyDescent="0.3">
      <c r="A11560" s="678"/>
    </row>
    <row r="11561" spans="1:1" x14ac:dyDescent="0.3">
      <c r="A11561" s="678"/>
    </row>
    <row r="11562" spans="1:1" x14ac:dyDescent="0.3">
      <c r="A11562" s="678"/>
    </row>
    <row r="11563" spans="1:1" x14ac:dyDescent="0.3">
      <c r="A11563" s="678"/>
    </row>
    <row r="11564" spans="1:1" x14ac:dyDescent="0.3">
      <c r="A11564" s="678"/>
    </row>
    <row r="11565" spans="1:1" x14ac:dyDescent="0.3">
      <c r="A11565" s="678"/>
    </row>
    <row r="11566" spans="1:1" x14ac:dyDescent="0.3">
      <c r="A11566" s="678"/>
    </row>
    <row r="11567" spans="1:1" x14ac:dyDescent="0.3">
      <c r="A11567" s="678"/>
    </row>
    <row r="11568" spans="1:1" x14ac:dyDescent="0.3">
      <c r="A11568" s="678"/>
    </row>
    <row r="11569" spans="1:1" x14ac:dyDescent="0.3">
      <c r="A11569" s="678"/>
    </row>
    <row r="11570" spans="1:1" x14ac:dyDescent="0.3">
      <c r="A11570" s="678"/>
    </row>
    <row r="11571" spans="1:1" x14ac:dyDescent="0.3">
      <c r="A11571" s="678"/>
    </row>
    <row r="11572" spans="1:1" x14ac:dyDescent="0.3">
      <c r="A11572" s="678"/>
    </row>
    <row r="11573" spans="1:1" x14ac:dyDescent="0.3">
      <c r="A11573" s="678"/>
    </row>
    <row r="11574" spans="1:1" x14ac:dyDescent="0.3">
      <c r="A11574" s="678"/>
    </row>
    <row r="11575" spans="1:1" x14ac:dyDescent="0.3">
      <c r="A11575" s="678"/>
    </row>
    <row r="11576" spans="1:1" x14ac:dyDescent="0.3">
      <c r="A11576" s="678"/>
    </row>
    <row r="11577" spans="1:1" x14ac:dyDescent="0.3">
      <c r="A11577" s="678"/>
    </row>
    <row r="11578" spans="1:1" x14ac:dyDescent="0.3">
      <c r="A11578" s="678"/>
    </row>
    <row r="11579" spans="1:1" x14ac:dyDescent="0.3">
      <c r="A11579" s="678"/>
    </row>
    <row r="11580" spans="1:1" x14ac:dyDescent="0.3">
      <c r="A11580" s="678"/>
    </row>
    <row r="11581" spans="1:1" x14ac:dyDescent="0.3">
      <c r="A11581" s="678"/>
    </row>
    <row r="11582" spans="1:1" x14ac:dyDescent="0.3">
      <c r="A11582" s="678"/>
    </row>
    <row r="11583" spans="1:1" x14ac:dyDescent="0.3">
      <c r="A11583" s="678"/>
    </row>
    <row r="11584" spans="1:1" x14ac:dyDescent="0.3">
      <c r="A11584" s="678"/>
    </row>
    <row r="11585" spans="1:1" x14ac:dyDescent="0.3">
      <c r="A11585" s="678"/>
    </row>
    <row r="11586" spans="1:1" x14ac:dyDescent="0.3">
      <c r="A11586" s="678"/>
    </row>
    <row r="11587" spans="1:1" x14ac:dyDescent="0.3">
      <c r="A11587" s="678"/>
    </row>
    <row r="11588" spans="1:1" x14ac:dyDescent="0.3">
      <c r="A11588" s="678"/>
    </row>
    <row r="11589" spans="1:1" x14ac:dyDescent="0.3">
      <c r="A11589" s="678"/>
    </row>
    <row r="11590" spans="1:1" x14ac:dyDescent="0.3">
      <c r="A11590" s="678"/>
    </row>
    <row r="11591" spans="1:1" x14ac:dyDescent="0.3">
      <c r="A11591" s="678"/>
    </row>
    <row r="11592" spans="1:1" x14ac:dyDescent="0.3">
      <c r="A11592" s="678"/>
    </row>
    <row r="11593" spans="1:1" x14ac:dyDescent="0.3">
      <c r="A11593" s="678"/>
    </row>
    <row r="11594" spans="1:1" x14ac:dyDescent="0.3">
      <c r="A11594" s="678"/>
    </row>
    <row r="11595" spans="1:1" x14ac:dyDescent="0.3">
      <c r="A11595" s="678"/>
    </row>
    <row r="11596" spans="1:1" x14ac:dyDescent="0.3">
      <c r="A11596" s="678"/>
    </row>
    <row r="11597" spans="1:1" x14ac:dyDescent="0.3">
      <c r="A11597" s="678"/>
    </row>
    <row r="11598" spans="1:1" x14ac:dyDescent="0.3">
      <c r="A11598" s="678"/>
    </row>
    <row r="11599" spans="1:1" x14ac:dyDescent="0.3">
      <c r="A11599" s="678"/>
    </row>
    <row r="11600" spans="1:1" x14ac:dyDescent="0.3">
      <c r="A11600" s="678"/>
    </row>
    <row r="11601" spans="1:1" x14ac:dyDescent="0.3">
      <c r="A11601" s="678"/>
    </row>
    <row r="11602" spans="1:1" x14ac:dyDescent="0.3">
      <c r="A11602" s="678"/>
    </row>
    <row r="11603" spans="1:1" x14ac:dyDescent="0.3">
      <c r="A11603" s="678"/>
    </row>
    <row r="11604" spans="1:1" x14ac:dyDescent="0.3">
      <c r="A11604" s="678"/>
    </row>
    <row r="11605" spans="1:1" x14ac:dyDescent="0.3">
      <c r="A11605" s="678"/>
    </row>
    <row r="11606" spans="1:1" x14ac:dyDescent="0.3">
      <c r="A11606" s="678"/>
    </row>
    <row r="11607" spans="1:1" x14ac:dyDescent="0.3">
      <c r="A11607" s="678"/>
    </row>
    <row r="11608" spans="1:1" x14ac:dyDescent="0.3">
      <c r="A11608" s="678"/>
    </row>
    <row r="11609" spans="1:1" x14ac:dyDescent="0.3">
      <c r="A11609" s="678"/>
    </row>
    <row r="11610" spans="1:1" x14ac:dyDescent="0.3">
      <c r="A11610" s="678"/>
    </row>
    <row r="11611" spans="1:1" x14ac:dyDescent="0.3">
      <c r="A11611" s="678"/>
    </row>
    <row r="11612" spans="1:1" x14ac:dyDescent="0.3">
      <c r="A11612" s="678"/>
    </row>
    <row r="11613" spans="1:1" x14ac:dyDescent="0.3">
      <c r="A11613" s="678"/>
    </row>
    <row r="11614" spans="1:1" x14ac:dyDescent="0.3">
      <c r="A11614" s="678"/>
    </row>
    <row r="11615" spans="1:1" x14ac:dyDescent="0.3">
      <c r="A11615" s="678"/>
    </row>
    <row r="11616" spans="1:1" x14ac:dyDescent="0.3">
      <c r="A11616" s="678"/>
    </row>
    <row r="11617" spans="1:1" x14ac:dyDescent="0.3">
      <c r="A11617" s="678"/>
    </row>
    <row r="11618" spans="1:1" x14ac:dyDescent="0.3">
      <c r="A11618" s="678"/>
    </row>
    <row r="11619" spans="1:1" x14ac:dyDescent="0.3">
      <c r="A11619" s="678"/>
    </row>
    <row r="11620" spans="1:1" x14ac:dyDescent="0.3">
      <c r="A11620" s="678"/>
    </row>
    <row r="11621" spans="1:1" x14ac:dyDescent="0.3">
      <c r="A11621" s="678"/>
    </row>
    <row r="11622" spans="1:1" x14ac:dyDescent="0.3">
      <c r="A11622" s="678"/>
    </row>
    <row r="11623" spans="1:1" x14ac:dyDescent="0.3">
      <c r="A11623" s="678"/>
    </row>
    <row r="11624" spans="1:1" x14ac:dyDescent="0.3">
      <c r="A11624" s="678"/>
    </row>
    <row r="11625" spans="1:1" x14ac:dyDescent="0.3">
      <c r="A11625" s="678"/>
    </row>
    <row r="11626" spans="1:1" x14ac:dyDescent="0.3">
      <c r="A11626" s="678"/>
    </row>
    <row r="11627" spans="1:1" x14ac:dyDescent="0.3">
      <c r="A11627" s="678"/>
    </row>
    <row r="11628" spans="1:1" x14ac:dyDescent="0.3">
      <c r="A11628" s="678"/>
    </row>
    <row r="11629" spans="1:1" x14ac:dyDescent="0.3">
      <c r="A11629" s="678"/>
    </row>
    <row r="11630" spans="1:1" x14ac:dyDescent="0.3">
      <c r="A11630" s="678"/>
    </row>
    <row r="11631" spans="1:1" x14ac:dyDescent="0.3">
      <c r="A11631" s="678"/>
    </row>
    <row r="11632" spans="1:1" x14ac:dyDescent="0.3">
      <c r="A11632" s="678"/>
    </row>
    <row r="11633" spans="1:1" x14ac:dyDescent="0.3">
      <c r="A11633" s="678"/>
    </row>
    <row r="11634" spans="1:1" x14ac:dyDescent="0.3">
      <c r="A11634" s="678"/>
    </row>
    <row r="11635" spans="1:1" x14ac:dyDescent="0.3">
      <c r="A11635" s="678"/>
    </row>
    <row r="11636" spans="1:1" x14ac:dyDescent="0.3">
      <c r="A11636" s="678"/>
    </row>
    <row r="11637" spans="1:1" x14ac:dyDescent="0.3">
      <c r="A11637" s="678"/>
    </row>
    <row r="11638" spans="1:1" x14ac:dyDescent="0.3">
      <c r="A11638" s="678"/>
    </row>
    <row r="11639" spans="1:1" x14ac:dyDescent="0.3">
      <c r="A11639" s="678"/>
    </row>
    <row r="11640" spans="1:1" x14ac:dyDescent="0.3">
      <c r="A11640" s="678"/>
    </row>
    <row r="11641" spans="1:1" x14ac:dyDescent="0.3">
      <c r="A11641" s="678"/>
    </row>
    <row r="11642" spans="1:1" x14ac:dyDescent="0.3">
      <c r="A11642" s="678"/>
    </row>
    <row r="11643" spans="1:1" x14ac:dyDescent="0.3">
      <c r="A11643" s="678"/>
    </row>
    <row r="11644" spans="1:1" x14ac:dyDescent="0.3">
      <c r="A11644" s="678"/>
    </row>
    <row r="11645" spans="1:1" x14ac:dyDescent="0.3">
      <c r="A11645" s="678"/>
    </row>
    <row r="11646" spans="1:1" x14ac:dyDescent="0.3">
      <c r="A11646" s="678"/>
    </row>
    <row r="11647" spans="1:1" x14ac:dyDescent="0.3">
      <c r="A11647" s="678"/>
    </row>
    <row r="11648" spans="1:1" x14ac:dyDescent="0.3">
      <c r="A11648" s="678"/>
    </row>
    <row r="11649" spans="1:1" x14ac:dyDescent="0.3">
      <c r="A11649" s="678"/>
    </row>
    <row r="11650" spans="1:1" x14ac:dyDescent="0.3">
      <c r="A11650" s="678"/>
    </row>
    <row r="11651" spans="1:1" x14ac:dyDescent="0.3">
      <c r="A11651" s="678"/>
    </row>
    <row r="11652" spans="1:1" x14ac:dyDescent="0.3">
      <c r="A11652" s="678"/>
    </row>
    <row r="11653" spans="1:1" x14ac:dyDescent="0.3">
      <c r="A11653" s="678"/>
    </row>
    <row r="11654" spans="1:1" x14ac:dyDescent="0.3">
      <c r="A11654" s="678"/>
    </row>
    <row r="11655" spans="1:1" x14ac:dyDescent="0.3">
      <c r="A11655" s="678"/>
    </row>
    <row r="11656" spans="1:1" x14ac:dyDescent="0.3">
      <c r="A11656" s="678"/>
    </row>
    <row r="11657" spans="1:1" x14ac:dyDescent="0.3">
      <c r="A11657" s="678"/>
    </row>
    <row r="11658" spans="1:1" x14ac:dyDescent="0.3">
      <c r="A11658" s="678"/>
    </row>
    <row r="11659" spans="1:1" x14ac:dyDescent="0.3">
      <c r="A11659" s="678"/>
    </row>
    <row r="11660" spans="1:1" x14ac:dyDescent="0.3">
      <c r="A11660" s="678"/>
    </row>
    <row r="11661" spans="1:1" x14ac:dyDescent="0.3">
      <c r="A11661" s="678"/>
    </row>
    <row r="11662" spans="1:1" x14ac:dyDescent="0.3">
      <c r="A11662" s="678"/>
    </row>
    <row r="11663" spans="1:1" x14ac:dyDescent="0.3">
      <c r="A11663" s="678"/>
    </row>
    <row r="11664" spans="1:1" x14ac:dyDescent="0.3">
      <c r="A11664" s="678"/>
    </row>
    <row r="11665" spans="1:1" x14ac:dyDescent="0.3">
      <c r="A11665" s="678"/>
    </row>
    <row r="11666" spans="1:1" x14ac:dyDescent="0.3">
      <c r="A11666" s="678"/>
    </row>
    <row r="11667" spans="1:1" x14ac:dyDescent="0.3">
      <c r="A11667" s="678"/>
    </row>
    <row r="11668" spans="1:1" x14ac:dyDescent="0.3">
      <c r="A11668" s="678"/>
    </row>
    <row r="11669" spans="1:1" x14ac:dyDescent="0.3">
      <c r="A11669" s="678"/>
    </row>
    <row r="11670" spans="1:1" x14ac:dyDescent="0.3">
      <c r="A11670" s="678"/>
    </row>
    <row r="11671" spans="1:1" x14ac:dyDescent="0.3">
      <c r="A11671" s="678"/>
    </row>
    <row r="11672" spans="1:1" x14ac:dyDescent="0.3">
      <c r="A11672" s="678"/>
    </row>
    <row r="11673" spans="1:1" x14ac:dyDescent="0.3">
      <c r="A11673" s="678"/>
    </row>
    <row r="11674" spans="1:1" x14ac:dyDescent="0.3">
      <c r="A11674" s="678"/>
    </row>
    <row r="11675" spans="1:1" x14ac:dyDescent="0.3">
      <c r="A11675" s="678"/>
    </row>
    <row r="11676" spans="1:1" x14ac:dyDescent="0.3">
      <c r="A11676" s="678"/>
    </row>
    <row r="11677" spans="1:1" x14ac:dyDescent="0.3">
      <c r="A11677" s="678"/>
    </row>
    <row r="11678" spans="1:1" x14ac:dyDescent="0.3">
      <c r="A11678" s="678"/>
    </row>
    <row r="11679" spans="1:1" x14ac:dyDescent="0.3">
      <c r="A11679" s="678"/>
    </row>
    <row r="11680" spans="1:1" x14ac:dyDescent="0.3">
      <c r="A11680" s="678"/>
    </row>
    <row r="11681" spans="1:1" x14ac:dyDescent="0.3">
      <c r="A11681" s="678"/>
    </row>
    <row r="11682" spans="1:1" x14ac:dyDescent="0.3">
      <c r="A11682" s="678"/>
    </row>
    <row r="11683" spans="1:1" x14ac:dyDescent="0.3">
      <c r="A11683" s="678"/>
    </row>
    <row r="11684" spans="1:1" x14ac:dyDescent="0.3">
      <c r="A11684" s="678"/>
    </row>
    <row r="11685" spans="1:1" x14ac:dyDescent="0.3">
      <c r="A11685" s="678"/>
    </row>
    <row r="11686" spans="1:1" x14ac:dyDescent="0.3">
      <c r="A11686" s="678"/>
    </row>
    <row r="11687" spans="1:1" x14ac:dyDescent="0.3">
      <c r="A11687" s="678"/>
    </row>
    <row r="11688" spans="1:1" x14ac:dyDescent="0.3">
      <c r="A11688" s="678"/>
    </row>
    <row r="11689" spans="1:1" x14ac:dyDescent="0.3">
      <c r="A11689" s="678"/>
    </row>
    <row r="11690" spans="1:1" x14ac:dyDescent="0.3">
      <c r="A11690" s="678"/>
    </row>
    <row r="11691" spans="1:1" x14ac:dyDescent="0.3">
      <c r="A11691" s="678"/>
    </row>
    <row r="11692" spans="1:1" x14ac:dyDescent="0.3">
      <c r="A11692" s="678"/>
    </row>
    <row r="11693" spans="1:1" x14ac:dyDescent="0.3">
      <c r="A11693" s="678"/>
    </row>
    <row r="11694" spans="1:1" x14ac:dyDescent="0.3">
      <c r="A11694" s="678"/>
    </row>
    <row r="11695" spans="1:1" x14ac:dyDescent="0.3">
      <c r="A11695" s="678"/>
    </row>
    <row r="11696" spans="1:1" x14ac:dyDescent="0.3">
      <c r="A11696" s="678"/>
    </row>
    <row r="11697" spans="1:1" x14ac:dyDescent="0.3">
      <c r="A11697" s="678"/>
    </row>
    <row r="11698" spans="1:1" x14ac:dyDescent="0.3">
      <c r="A11698" s="678"/>
    </row>
    <row r="11699" spans="1:1" x14ac:dyDescent="0.3">
      <c r="A11699" s="678"/>
    </row>
    <row r="11700" spans="1:1" x14ac:dyDescent="0.3">
      <c r="A11700" s="678"/>
    </row>
    <row r="11701" spans="1:1" x14ac:dyDescent="0.3">
      <c r="A11701" s="678"/>
    </row>
    <row r="11702" spans="1:1" x14ac:dyDescent="0.3">
      <c r="A11702" s="678"/>
    </row>
    <row r="11703" spans="1:1" x14ac:dyDescent="0.3">
      <c r="A11703" s="678"/>
    </row>
    <row r="11704" spans="1:1" x14ac:dyDescent="0.3">
      <c r="A11704" s="678"/>
    </row>
    <row r="11705" spans="1:1" x14ac:dyDescent="0.3">
      <c r="A11705" s="678"/>
    </row>
    <row r="11706" spans="1:1" x14ac:dyDescent="0.3">
      <c r="A11706" s="678"/>
    </row>
    <row r="11707" spans="1:1" x14ac:dyDescent="0.3">
      <c r="A11707" s="678"/>
    </row>
    <row r="11708" spans="1:1" x14ac:dyDescent="0.3">
      <c r="A11708" s="678"/>
    </row>
    <row r="11709" spans="1:1" x14ac:dyDescent="0.3">
      <c r="A11709" s="678"/>
    </row>
    <row r="11710" spans="1:1" x14ac:dyDescent="0.3">
      <c r="A11710" s="678"/>
    </row>
    <row r="11711" spans="1:1" x14ac:dyDescent="0.3">
      <c r="A11711" s="678"/>
    </row>
    <row r="11712" spans="1:1" x14ac:dyDescent="0.3">
      <c r="A11712" s="678"/>
    </row>
    <row r="11713" spans="1:1" x14ac:dyDescent="0.3">
      <c r="A11713" s="678"/>
    </row>
    <row r="11714" spans="1:1" x14ac:dyDescent="0.3">
      <c r="A11714" s="678"/>
    </row>
    <row r="11715" spans="1:1" x14ac:dyDescent="0.3">
      <c r="A11715" s="678"/>
    </row>
    <row r="11716" spans="1:1" x14ac:dyDescent="0.3">
      <c r="A11716" s="678"/>
    </row>
    <row r="11717" spans="1:1" x14ac:dyDescent="0.3">
      <c r="A11717" s="678"/>
    </row>
    <row r="11718" spans="1:1" x14ac:dyDescent="0.3">
      <c r="A11718" s="678"/>
    </row>
    <row r="11719" spans="1:1" x14ac:dyDescent="0.3">
      <c r="A11719" s="678"/>
    </row>
    <row r="11720" spans="1:1" x14ac:dyDescent="0.3">
      <c r="A11720" s="678"/>
    </row>
    <row r="11721" spans="1:1" x14ac:dyDescent="0.3">
      <c r="A11721" s="678"/>
    </row>
    <row r="11722" spans="1:1" x14ac:dyDescent="0.3">
      <c r="A11722" s="678"/>
    </row>
    <row r="11723" spans="1:1" x14ac:dyDescent="0.3">
      <c r="A11723" s="678"/>
    </row>
    <row r="11724" spans="1:1" x14ac:dyDescent="0.3">
      <c r="A11724" s="678"/>
    </row>
    <row r="11725" spans="1:1" x14ac:dyDescent="0.3">
      <c r="A11725" s="678"/>
    </row>
    <row r="11726" spans="1:1" x14ac:dyDescent="0.3">
      <c r="A11726" s="678"/>
    </row>
    <row r="11727" spans="1:1" x14ac:dyDescent="0.3">
      <c r="A11727" s="678"/>
    </row>
    <row r="11728" spans="1:1" x14ac:dyDescent="0.3">
      <c r="A11728" s="678"/>
    </row>
    <row r="11729" spans="1:1" x14ac:dyDescent="0.3">
      <c r="A11729" s="678"/>
    </row>
    <row r="11730" spans="1:1" x14ac:dyDescent="0.3">
      <c r="A11730" s="678"/>
    </row>
    <row r="11731" spans="1:1" x14ac:dyDescent="0.3">
      <c r="A11731" s="678"/>
    </row>
    <row r="11732" spans="1:1" x14ac:dyDescent="0.3">
      <c r="A11732" s="678"/>
    </row>
    <row r="11733" spans="1:1" x14ac:dyDescent="0.3">
      <c r="A11733" s="678"/>
    </row>
    <row r="11734" spans="1:1" x14ac:dyDescent="0.3">
      <c r="A11734" s="678"/>
    </row>
    <row r="11735" spans="1:1" x14ac:dyDescent="0.3">
      <c r="A11735" s="678"/>
    </row>
    <row r="11736" spans="1:1" x14ac:dyDescent="0.3">
      <c r="A11736" s="678"/>
    </row>
    <row r="11737" spans="1:1" x14ac:dyDescent="0.3">
      <c r="A11737" s="678"/>
    </row>
    <row r="11738" spans="1:1" x14ac:dyDescent="0.3">
      <c r="A11738" s="678"/>
    </row>
    <row r="11739" spans="1:1" x14ac:dyDescent="0.3">
      <c r="A11739" s="678"/>
    </row>
    <row r="11740" spans="1:1" x14ac:dyDescent="0.3">
      <c r="A11740" s="678"/>
    </row>
    <row r="11741" spans="1:1" x14ac:dyDescent="0.3">
      <c r="A11741" s="678"/>
    </row>
    <row r="11742" spans="1:1" x14ac:dyDescent="0.3">
      <c r="A11742" s="678"/>
    </row>
    <row r="11743" spans="1:1" x14ac:dyDescent="0.3">
      <c r="A11743" s="678"/>
    </row>
    <row r="11744" spans="1:1" x14ac:dyDescent="0.3">
      <c r="A11744" s="678"/>
    </row>
    <row r="11745" spans="1:1" x14ac:dyDescent="0.3">
      <c r="A11745" s="678"/>
    </row>
    <row r="11746" spans="1:1" x14ac:dyDescent="0.3">
      <c r="A11746" s="678"/>
    </row>
    <row r="11747" spans="1:1" x14ac:dyDescent="0.3">
      <c r="A11747" s="678"/>
    </row>
    <row r="11748" spans="1:1" x14ac:dyDescent="0.3">
      <c r="A11748" s="678"/>
    </row>
    <row r="11749" spans="1:1" x14ac:dyDescent="0.3">
      <c r="A11749" s="678"/>
    </row>
    <row r="11750" spans="1:1" x14ac:dyDescent="0.3">
      <c r="A11750" s="678"/>
    </row>
    <row r="11751" spans="1:1" x14ac:dyDescent="0.3">
      <c r="A11751" s="678"/>
    </row>
    <row r="11752" spans="1:1" x14ac:dyDescent="0.3">
      <c r="A11752" s="678"/>
    </row>
    <row r="11753" spans="1:1" x14ac:dyDescent="0.3">
      <c r="A11753" s="678"/>
    </row>
    <row r="11754" spans="1:1" x14ac:dyDescent="0.3">
      <c r="A11754" s="678"/>
    </row>
    <row r="11755" spans="1:1" x14ac:dyDescent="0.3">
      <c r="A11755" s="678"/>
    </row>
    <row r="11756" spans="1:1" x14ac:dyDescent="0.3">
      <c r="A11756" s="678"/>
    </row>
    <row r="11757" spans="1:1" x14ac:dyDescent="0.3">
      <c r="A11757" s="678"/>
    </row>
    <row r="11758" spans="1:1" x14ac:dyDescent="0.3">
      <c r="A11758" s="678"/>
    </row>
    <row r="11759" spans="1:1" x14ac:dyDescent="0.3">
      <c r="A11759" s="678"/>
    </row>
    <row r="11760" spans="1:1" x14ac:dyDescent="0.3">
      <c r="A11760" s="678"/>
    </row>
    <row r="11761" spans="1:1" x14ac:dyDescent="0.3">
      <c r="A11761" s="678"/>
    </row>
    <row r="11762" spans="1:1" x14ac:dyDescent="0.3">
      <c r="A11762" s="678"/>
    </row>
    <row r="11763" spans="1:1" x14ac:dyDescent="0.3">
      <c r="A11763" s="678"/>
    </row>
    <row r="11764" spans="1:1" x14ac:dyDescent="0.3">
      <c r="A11764" s="678"/>
    </row>
    <row r="11765" spans="1:1" x14ac:dyDescent="0.3">
      <c r="A11765" s="678"/>
    </row>
    <row r="11766" spans="1:1" x14ac:dyDescent="0.3">
      <c r="A11766" s="678"/>
    </row>
    <row r="11767" spans="1:1" x14ac:dyDescent="0.3">
      <c r="A11767" s="678"/>
    </row>
    <row r="11768" spans="1:1" x14ac:dyDescent="0.3">
      <c r="A11768" s="678"/>
    </row>
    <row r="11769" spans="1:1" x14ac:dyDescent="0.3">
      <c r="A11769" s="678"/>
    </row>
    <row r="11770" spans="1:1" x14ac:dyDescent="0.3">
      <c r="A11770" s="678"/>
    </row>
    <row r="11771" spans="1:1" x14ac:dyDescent="0.3">
      <c r="A11771" s="678"/>
    </row>
    <row r="11772" spans="1:1" x14ac:dyDescent="0.3">
      <c r="A11772" s="678"/>
    </row>
    <row r="11773" spans="1:1" x14ac:dyDescent="0.3">
      <c r="A11773" s="678"/>
    </row>
    <row r="11774" spans="1:1" x14ac:dyDescent="0.3">
      <c r="A11774" s="678"/>
    </row>
    <row r="11775" spans="1:1" x14ac:dyDescent="0.3">
      <c r="A11775" s="678"/>
    </row>
    <row r="11776" spans="1:1" x14ac:dyDescent="0.3">
      <c r="A11776" s="678"/>
    </row>
    <row r="11777" spans="1:1" x14ac:dyDescent="0.3">
      <c r="A11777" s="678"/>
    </row>
    <row r="11778" spans="1:1" x14ac:dyDescent="0.3">
      <c r="A11778" s="678"/>
    </row>
    <row r="11779" spans="1:1" x14ac:dyDescent="0.3">
      <c r="A11779" s="678"/>
    </row>
    <row r="11780" spans="1:1" x14ac:dyDescent="0.3">
      <c r="A11780" s="678"/>
    </row>
    <row r="11781" spans="1:1" x14ac:dyDescent="0.3">
      <c r="A11781" s="678"/>
    </row>
    <row r="11782" spans="1:1" x14ac:dyDescent="0.3">
      <c r="A11782" s="678"/>
    </row>
    <row r="11783" spans="1:1" x14ac:dyDescent="0.3">
      <c r="A11783" s="678"/>
    </row>
    <row r="11784" spans="1:1" x14ac:dyDescent="0.3">
      <c r="A11784" s="678"/>
    </row>
    <row r="11785" spans="1:1" x14ac:dyDescent="0.3">
      <c r="A11785" s="678"/>
    </row>
    <row r="11786" spans="1:1" x14ac:dyDescent="0.3">
      <c r="A11786" s="678"/>
    </row>
    <row r="11787" spans="1:1" x14ac:dyDescent="0.3">
      <c r="A11787" s="678"/>
    </row>
    <row r="11788" spans="1:1" x14ac:dyDescent="0.3">
      <c r="A11788" s="678"/>
    </row>
    <row r="11789" spans="1:1" x14ac:dyDescent="0.3">
      <c r="A11789" s="678"/>
    </row>
    <row r="11790" spans="1:1" x14ac:dyDescent="0.3">
      <c r="A11790" s="678"/>
    </row>
    <row r="11791" spans="1:1" x14ac:dyDescent="0.3">
      <c r="A11791" s="678"/>
    </row>
    <row r="11792" spans="1:1" x14ac:dyDescent="0.3">
      <c r="A11792" s="678"/>
    </row>
    <row r="11793" spans="1:1" x14ac:dyDescent="0.3">
      <c r="A11793" s="678"/>
    </row>
    <row r="11794" spans="1:1" x14ac:dyDescent="0.3">
      <c r="A11794" s="678"/>
    </row>
    <row r="11795" spans="1:1" x14ac:dyDescent="0.3">
      <c r="A11795" s="678"/>
    </row>
    <row r="11796" spans="1:1" x14ac:dyDescent="0.3">
      <c r="A11796" s="678"/>
    </row>
    <row r="11797" spans="1:1" x14ac:dyDescent="0.3">
      <c r="A11797" s="678"/>
    </row>
    <row r="11798" spans="1:1" x14ac:dyDescent="0.3">
      <c r="A11798" s="678"/>
    </row>
    <row r="11799" spans="1:1" x14ac:dyDescent="0.3">
      <c r="A11799" s="678"/>
    </row>
    <row r="11800" spans="1:1" x14ac:dyDescent="0.3">
      <c r="A11800" s="678"/>
    </row>
    <row r="11801" spans="1:1" x14ac:dyDescent="0.3">
      <c r="A11801" s="678"/>
    </row>
    <row r="11802" spans="1:1" x14ac:dyDescent="0.3">
      <c r="A11802" s="678"/>
    </row>
    <row r="11803" spans="1:1" x14ac:dyDescent="0.3">
      <c r="A11803" s="678"/>
    </row>
    <row r="11804" spans="1:1" x14ac:dyDescent="0.3">
      <c r="A11804" s="678"/>
    </row>
    <row r="11805" spans="1:1" x14ac:dyDescent="0.3">
      <c r="A11805" s="678"/>
    </row>
    <row r="11806" spans="1:1" x14ac:dyDescent="0.3">
      <c r="A11806" s="678"/>
    </row>
    <row r="11807" spans="1:1" x14ac:dyDescent="0.3">
      <c r="A11807" s="678"/>
    </row>
    <row r="11808" spans="1:1" x14ac:dyDescent="0.3">
      <c r="A11808" s="678"/>
    </row>
    <row r="11809" spans="1:1" x14ac:dyDescent="0.3">
      <c r="A11809" s="678"/>
    </row>
    <row r="11810" spans="1:1" x14ac:dyDescent="0.3">
      <c r="A11810" s="678"/>
    </row>
    <row r="11811" spans="1:1" x14ac:dyDescent="0.3">
      <c r="A11811" s="678"/>
    </row>
    <row r="11812" spans="1:1" x14ac:dyDescent="0.3">
      <c r="A11812" s="678"/>
    </row>
    <row r="11813" spans="1:1" x14ac:dyDescent="0.3">
      <c r="A11813" s="678"/>
    </row>
    <row r="11814" spans="1:1" x14ac:dyDescent="0.3">
      <c r="A11814" s="678"/>
    </row>
    <row r="11815" spans="1:1" x14ac:dyDescent="0.3">
      <c r="A11815" s="678"/>
    </row>
    <row r="11816" spans="1:1" x14ac:dyDescent="0.3">
      <c r="A11816" s="678"/>
    </row>
    <row r="11817" spans="1:1" x14ac:dyDescent="0.3">
      <c r="A11817" s="678"/>
    </row>
    <row r="11818" spans="1:1" x14ac:dyDescent="0.3">
      <c r="A11818" s="678"/>
    </row>
    <row r="11819" spans="1:1" x14ac:dyDescent="0.3">
      <c r="A11819" s="678"/>
    </row>
    <row r="11820" spans="1:1" x14ac:dyDescent="0.3">
      <c r="A11820" s="678"/>
    </row>
    <row r="11821" spans="1:1" x14ac:dyDescent="0.3">
      <c r="A11821" s="678"/>
    </row>
    <row r="11822" spans="1:1" x14ac:dyDescent="0.3">
      <c r="A11822" s="678"/>
    </row>
    <row r="11823" spans="1:1" x14ac:dyDescent="0.3">
      <c r="A11823" s="678"/>
    </row>
    <row r="11824" spans="1:1" x14ac:dyDescent="0.3">
      <c r="A11824" s="678"/>
    </row>
    <row r="11825" spans="1:1" x14ac:dyDescent="0.3">
      <c r="A11825" s="678"/>
    </row>
    <row r="11826" spans="1:1" x14ac:dyDescent="0.3">
      <c r="A11826" s="678"/>
    </row>
    <row r="11827" spans="1:1" x14ac:dyDescent="0.3">
      <c r="A11827" s="678"/>
    </row>
    <row r="11828" spans="1:1" x14ac:dyDescent="0.3">
      <c r="A11828" s="678"/>
    </row>
    <row r="11829" spans="1:1" x14ac:dyDescent="0.3">
      <c r="A11829" s="678"/>
    </row>
    <row r="11830" spans="1:1" x14ac:dyDescent="0.3">
      <c r="A11830" s="678"/>
    </row>
    <row r="11831" spans="1:1" x14ac:dyDescent="0.3">
      <c r="A11831" s="678"/>
    </row>
    <row r="11832" spans="1:1" x14ac:dyDescent="0.3">
      <c r="A11832" s="678"/>
    </row>
    <row r="11833" spans="1:1" x14ac:dyDescent="0.3">
      <c r="A11833" s="678"/>
    </row>
    <row r="11834" spans="1:1" x14ac:dyDescent="0.3">
      <c r="A11834" s="678"/>
    </row>
    <row r="11835" spans="1:1" x14ac:dyDescent="0.3">
      <c r="A11835" s="678"/>
    </row>
    <row r="11836" spans="1:1" x14ac:dyDescent="0.3">
      <c r="A11836" s="678"/>
    </row>
    <row r="11837" spans="1:1" x14ac:dyDescent="0.3">
      <c r="A11837" s="678"/>
    </row>
    <row r="11838" spans="1:1" x14ac:dyDescent="0.3">
      <c r="A11838" s="678"/>
    </row>
    <row r="11839" spans="1:1" x14ac:dyDescent="0.3">
      <c r="A11839" s="678"/>
    </row>
    <row r="11840" spans="1:1" x14ac:dyDescent="0.3">
      <c r="A11840" s="678"/>
    </row>
    <row r="11841" spans="1:1" x14ac:dyDescent="0.3">
      <c r="A11841" s="678"/>
    </row>
    <row r="11842" spans="1:1" x14ac:dyDescent="0.3">
      <c r="A11842" s="678"/>
    </row>
    <row r="11843" spans="1:1" x14ac:dyDescent="0.3">
      <c r="A11843" s="678"/>
    </row>
    <row r="11844" spans="1:1" x14ac:dyDescent="0.3">
      <c r="A11844" s="678"/>
    </row>
    <row r="11845" spans="1:1" x14ac:dyDescent="0.3">
      <c r="A11845" s="678"/>
    </row>
    <row r="11846" spans="1:1" x14ac:dyDescent="0.3">
      <c r="A11846" s="678"/>
    </row>
    <row r="11847" spans="1:1" x14ac:dyDescent="0.3">
      <c r="A11847" s="678"/>
    </row>
    <row r="11848" spans="1:1" x14ac:dyDescent="0.3">
      <c r="A11848" s="678"/>
    </row>
    <row r="11849" spans="1:1" x14ac:dyDescent="0.3">
      <c r="A11849" s="678"/>
    </row>
    <row r="11850" spans="1:1" x14ac:dyDescent="0.3">
      <c r="A11850" s="678"/>
    </row>
    <row r="11851" spans="1:1" x14ac:dyDescent="0.3">
      <c r="A11851" s="678"/>
    </row>
    <row r="11852" spans="1:1" x14ac:dyDescent="0.3">
      <c r="A11852" s="678"/>
    </row>
    <row r="11853" spans="1:1" x14ac:dyDescent="0.3">
      <c r="A11853" s="678"/>
    </row>
    <row r="11854" spans="1:1" x14ac:dyDescent="0.3">
      <c r="A11854" s="678"/>
    </row>
    <row r="11855" spans="1:1" x14ac:dyDescent="0.3">
      <c r="A11855" s="678"/>
    </row>
    <row r="11856" spans="1:1" x14ac:dyDescent="0.3">
      <c r="A11856" s="678"/>
    </row>
    <row r="11857" spans="1:1" x14ac:dyDescent="0.3">
      <c r="A11857" s="678"/>
    </row>
    <row r="11858" spans="1:1" x14ac:dyDescent="0.3">
      <c r="A11858" s="678"/>
    </row>
    <row r="11859" spans="1:1" x14ac:dyDescent="0.3">
      <c r="A11859" s="678"/>
    </row>
    <row r="11860" spans="1:1" x14ac:dyDescent="0.3">
      <c r="A11860" s="678"/>
    </row>
    <row r="11861" spans="1:1" x14ac:dyDescent="0.3">
      <c r="A11861" s="678"/>
    </row>
    <row r="11862" spans="1:1" x14ac:dyDescent="0.3">
      <c r="A11862" s="678"/>
    </row>
    <row r="11863" spans="1:1" x14ac:dyDescent="0.3">
      <c r="A11863" s="678"/>
    </row>
    <row r="11864" spans="1:1" x14ac:dyDescent="0.3">
      <c r="A11864" s="678"/>
    </row>
    <row r="11865" spans="1:1" x14ac:dyDescent="0.3">
      <c r="A11865" s="678"/>
    </row>
    <row r="11866" spans="1:1" x14ac:dyDescent="0.3">
      <c r="A11866" s="678"/>
    </row>
    <row r="11867" spans="1:1" x14ac:dyDescent="0.3">
      <c r="A11867" s="678"/>
    </row>
    <row r="11868" spans="1:1" x14ac:dyDescent="0.3">
      <c r="A11868" s="678"/>
    </row>
    <row r="11869" spans="1:1" x14ac:dyDescent="0.3">
      <c r="A11869" s="678"/>
    </row>
    <row r="11870" spans="1:1" x14ac:dyDescent="0.3">
      <c r="A11870" s="678"/>
    </row>
    <row r="11871" spans="1:1" x14ac:dyDescent="0.3">
      <c r="A11871" s="678"/>
    </row>
    <row r="11872" spans="1:1" x14ac:dyDescent="0.3">
      <c r="A11872" s="678"/>
    </row>
    <row r="11873" spans="1:1" x14ac:dyDescent="0.3">
      <c r="A11873" s="678"/>
    </row>
    <row r="11874" spans="1:1" x14ac:dyDescent="0.3">
      <c r="A11874" s="678"/>
    </row>
    <row r="11875" spans="1:1" x14ac:dyDescent="0.3">
      <c r="A11875" s="678"/>
    </row>
    <row r="11876" spans="1:1" x14ac:dyDescent="0.3">
      <c r="A11876" s="678"/>
    </row>
    <row r="11877" spans="1:1" x14ac:dyDescent="0.3">
      <c r="A11877" s="678"/>
    </row>
    <row r="11878" spans="1:1" x14ac:dyDescent="0.3">
      <c r="A11878" s="678"/>
    </row>
    <row r="11879" spans="1:1" x14ac:dyDescent="0.3">
      <c r="A11879" s="678"/>
    </row>
    <row r="11880" spans="1:1" x14ac:dyDescent="0.3">
      <c r="A11880" s="678"/>
    </row>
    <row r="11881" spans="1:1" x14ac:dyDescent="0.3">
      <c r="A11881" s="678"/>
    </row>
    <row r="11882" spans="1:1" x14ac:dyDescent="0.3">
      <c r="A11882" s="678"/>
    </row>
    <row r="11883" spans="1:1" x14ac:dyDescent="0.3">
      <c r="A11883" s="678"/>
    </row>
    <row r="11884" spans="1:1" x14ac:dyDescent="0.3">
      <c r="A11884" s="678"/>
    </row>
    <row r="11885" spans="1:1" x14ac:dyDescent="0.3">
      <c r="A11885" s="678"/>
    </row>
    <row r="11886" spans="1:1" x14ac:dyDescent="0.3">
      <c r="A11886" s="678"/>
    </row>
    <row r="11887" spans="1:1" x14ac:dyDescent="0.3">
      <c r="A11887" s="678"/>
    </row>
    <row r="11888" spans="1:1" x14ac:dyDescent="0.3">
      <c r="A11888" s="678"/>
    </row>
    <row r="11889" spans="1:1" x14ac:dyDescent="0.3">
      <c r="A11889" s="678"/>
    </row>
    <row r="11890" spans="1:1" x14ac:dyDescent="0.3">
      <c r="A11890" s="678"/>
    </row>
    <row r="11891" spans="1:1" x14ac:dyDescent="0.3">
      <c r="A11891" s="678"/>
    </row>
    <row r="11892" spans="1:1" x14ac:dyDescent="0.3">
      <c r="A11892" s="678"/>
    </row>
    <row r="11893" spans="1:1" x14ac:dyDescent="0.3">
      <c r="A11893" s="678"/>
    </row>
    <row r="11894" spans="1:1" x14ac:dyDescent="0.3">
      <c r="A11894" s="678"/>
    </row>
    <row r="11895" spans="1:1" x14ac:dyDescent="0.3">
      <c r="A11895" s="678"/>
    </row>
    <row r="11896" spans="1:1" x14ac:dyDescent="0.3">
      <c r="A11896" s="678"/>
    </row>
    <row r="11897" spans="1:1" x14ac:dyDescent="0.3">
      <c r="A11897" s="678"/>
    </row>
    <row r="11898" spans="1:1" x14ac:dyDescent="0.3">
      <c r="A11898" s="678"/>
    </row>
    <row r="11899" spans="1:1" x14ac:dyDescent="0.3">
      <c r="A11899" s="678"/>
    </row>
    <row r="11900" spans="1:1" x14ac:dyDescent="0.3">
      <c r="A11900" s="678"/>
    </row>
    <row r="11901" spans="1:1" x14ac:dyDescent="0.3">
      <c r="A11901" s="678"/>
    </row>
    <row r="11902" spans="1:1" x14ac:dyDescent="0.3">
      <c r="A11902" s="678"/>
    </row>
    <row r="11903" spans="1:1" x14ac:dyDescent="0.3">
      <c r="A11903" s="678"/>
    </row>
    <row r="11904" spans="1:1" x14ac:dyDescent="0.3">
      <c r="A11904" s="678"/>
    </row>
    <row r="11905" spans="1:1" x14ac:dyDescent="0.3">
      <c r="A11905" s="678"/>
    </row>
    <row r="11906" spans="1:1" x14ac:dyDescent="0.3">
      <c r="A11906" s="678"/>
    </row>
    <row r="11907" spans="1:1" x14ac:dyDescent="0.3">
      <c r="A11907" s="678"/>
    </row>
    <row r="11908" spans="1:1" x14ac:dyDescent="0.3">
      <c r="A11908" s="678"/>
    </row>
    <row r="11909" spans="1:1" x14ac:dyDescent="0.3">
      <c r="A11909" s="678"/>
    </row>
    <row r="11910" spans="1:1" x14ac:dyDescent="0.3">
      <c r="A11910" s="678"/>
    </row>
    <row r="11911" spans="1:1" x14ac:dyDescent="0.3">
      <c r="A11911" s="678"/>
    </row>
    <row r="11912" spans="1:1" x14ac:dyDescent="0.3">
      <c r="A11912" s="678"/>
    </row>
    <row r="11913" spans="1:1" x14ac:dyDescent="0.3">
      <c r="A11913" s="678"/>
    </row>
    <row r="11914" spans="1:1" x14ac:dyDescent="0.3">
      <c r="A11914" s="678"/>
    </row>
    <row r="11915" spans="1:1" x14ac:dyDescent="0.3">
      <c r="A11915" s="678"/>
    </row>
    <row r="11916" spans="1:1" x14ac:dyDescent="0.3">
      <c r="A11916" s="678"/>
    </row>
    <row r="11917" spans="1:1" x14ac:dyDescent="0.3">
      <c r="A11917" s="678"/>
    </row>
    <row r="11918" spans="1:1" x14ac:dyDescent="0.3">
      <c r="A11918" s="678"/>
    </row>
    <row r="11919" spans="1:1" x14ac:dyDescent="0.3">
      <c r="A11919" s="678"/>
    </row>
    <row r="11920" spans="1:1" x14ac:dyDescent="0.3">
      <c r="A11920" s="678"/>
    </row>
    <row r="11921" spans="1:1" x14ac:dyDescent="0.3">
      <c r="A11921" s="678"/>
    </row>
    <row r="11922" spans="1:1" x14ac:dyDescent="0.3">
      <c r="A11922" s="678"/>
    </row>
    <row r="11923" spans="1:1" x14ac:dyDescent="0.3">
      <c r="A11923" s="678"/>
    </row>
    <row r="11924" spans="1:1" x14ac:dyDescent="0.3">
      <c r="A11924" s="678"/>
    </row>
    <row r="11925" spans="1:1" x14ac:dyDescent="0.3">
      <c r="A11925" s="678"/>
    </row>
    <row r="11926" spans="1:1" x14ac:dyDescent="0.3">
      <c r="A11926" s="678"/>
    </row>
    <row r="11927" spans="1:1" x14ac:dyDescent="0.3">
      <c r="A11927" s="678"/>
    </row>
    <row r="11928" spans="1:1" x14ac:dyDescent="0.3">
      <c r="A11928" s="678"/>
    </row>
    <row r="11929" spans="1:1" x14ac:dyDescent="0.3">
      <c r="A11929" s="678"/>
    </row>
    <row r="11930" spans="1:1" x14ac:dyDescent="0.3">
      <c r="A11930" s="678"/>
    </row>
    <row r="11931" spans="1:1" x14ac:dyDescent="0.3">
      <c r="A11931" s="678"/>
    </row>
    <row r="11932" spans="1:1" x14ac:dyDescent="0.3">
      <c r="A11932" s="678"/>
    </row>
    <row r="11933" spans="1:1" x14ac:dyDescent="0.3">
      <c r="A11933" s="678"/>
    </row>
    <row r="11934" spans="1:1" x14ac:dyDescent="0.3">
      <c r="A11934" s="678"/>
    </row>
    <row r="11935" spans="1:1" x14ac:dyDescent="0.3">
      <c r="A11935" s="678"/>
    </row>
    <row r="11936" spans="1:1" x14ac:dyDescent="0.3">
      <c r="A11936" s="678"/>
    </row>
    <row r="11937" spans="1:1" x14ac:dyDescent="0.3">
      <c r="A11937" s="678"/>
    </row>
    <row r="11938" spans="1:1" x14ac:dyDescent="0.3">
      <c r="A11938" s="678"/>
    </row>
    <row r="11939" spans="1:1" x14ac:dyDescent="0.3">
      <c r="A11939" s="678"/>
    </row>
    <row r="11940" spans="1:1" x14ac:dyDescent="0.3">
      <c r="A11940" s="678"/>
    </row>
    <row r="11941" spans="1:1" x14ac:dyDescent="0.3">
      <c r="A11941" s="678"/>
    </row>
    <row r="11942" spans="1:1" x14ac:dyDescent="0.3">
      <c r="A11942" s="678"/>
    </row>
    <row r="11943" spans="1:1" x14ac:dyDescent="0.3">
      <c r="A11943" s="678"/>
    </row>
    <row r="11944" spans="1:1" x14ac:dyDescent="0.3">
      <c r="A11944" s="678"/>
    </row>
    <row r="11945" spans="1:1" x14ac:dyDescent="0.3">
      <c r="A11945" s="678"/>
    </row>
    <row r="11946" spans="1:1" x14ac:dyDescent="0.3">
      <c r="A11946" s="678"/>
    </row>
    <row r="11947" spans="1:1" x14ac:dyDescent="0.3">
      <c r="A11947" s="678"/>
    </row>
    <row r="11948" spans="1:1" x14ac:dyDescent="0.3">
      <c r="A11948" s="678"/>
    </row>
    <row r="11949" spans="1:1" x14ac:dyDescent="0.3">
      <c r="A11949" s="678"/>
    </row>
    <row r="11950" spans="1:1" x14ac:dyDescent="0.3">
      <c r="A11950" s="678"/>
    </row>
    <row r="11951" spans="1:1" x14ac:dyDescent="0.3">
      <c r="A11951" s="678"/>
    </row>
    <row r="11952" spans="1:1" x14ac:dyDescent="0.3">
      <c r="A11952" s="678"/>
    </row>
    <row r="11953" spans="1:1" x14ac:dyDescent="0.3">
      <c r="A11953" s="678"/>
    </row>
    <row r="11954" spans="1:1" x14ac:dyDescent="0.3">
      <c r="A11954" s="678"/>
    </row>
    <row r="11955" spans="1:1" x14ac:dyDescent="0.3">
      <c r="A11955" s="678"/>
    </row>
    <row r="11956" spans="1:1" x14ac:dyDescent="0.3">
      <c r="A11956" s="678"/>
    </row>
    <row r="11957" spans="1:1" x14ac:dyDescent="0.3">
      <c r="A11957" s="678"/>
    </row>
    <row r="11958" spans="1:1" x14ac:dyDescent="0.3">
      <c r="A11958" s="678"/>
    </row>
    <row r="11959" spans="1:1" x14ac:dyDescent="0.3">
      <c r="A11959" s="678"/>
    </row>
    <row r="11960" spans="1:1" x14ac:dyDescent="0.3">
      <c r="A11960" s="678"/>
    </row>
    <row r="11961" spans="1:1" x14ac:dyDescent="0.3">
      <c r="A11961" s="678"/>
    </row>
    <row r="11962" spans="1:1" x14ac:dyDescent="0.3">
      <c r="A11962" s="678"/>
    </row>
    <row r="11963" spans="1:1" x14ac:dyDescent="0.3">
      <c r="A11963" s="678"/>
    </row>
    <row r="11964" spans="1:1" x14ac:dyDescent="0.3">
      <c r="A11964" s="678"/>
    </row>
    <row r="11965" spans="1:1" x14ac:dyDescent="0.3">
      <c r="A11965" s="678"/>
    </row>
    <row r="11966" spans="1:1" x14ac:dyDescent="0.3">
      <c r="A11966" s="678"/>
    </row>
    <row r="11967" spans="1:1" x14ac:dyDescent="0.3">
      <c r="A11967" s="678"/>
    </row>
    <row r="11968" spans="1:1" x14ac:dyDescent="0.3">
      <c r="A11968" s="678"/>
    </row>
    <row r="11969" spans="1:1" x14ac:dyDescent="0.3">
      <c r="A11969" s="678"/>
    </row>
    <row r="11970" spans="1:1" x14ac:dyDescent="0.3">
      <c r="A11970" s="678"/>
    </row>
    <row r="11971" spans="1:1" x14ac:dyDescent="0.3">
      <c r="A11971" s="678"/>
    </row>
    <row r="11972" spans="1:1" x14ac:dyDescent="0.3">
      <c r="A11972" s="678"/>
    </row>
    <row r="11973" spans="1:1" x14ac:dyDescent="0.3">
      <c r="A11973" s="678"/>
    </row>
    <row r="11974" spans="1:1" x14ac:dyDescent="0.3">
      <c r="A11974" s="678"/>
    </row>
    <row r="11975" spans="1:1" x14ac:dyDescent="0.3">
      <c r="A11975" s="678"/>
    </row>
    <row r="11976" spans="1:1" x14ac:dyDescent="0.3">
      <c r="A11976" s="678"/>
    </row>
    <row r="11977" spans="1:1" x14ac:dyDescent="0.3">
      <c r="A11977" s="678"/>
    </row>
    <row r="11978" spans="1:1" x14ac:dyDescent="0.3">
      <c r="A11978" s="678"/>
    </row>
    <row r="11979" spans="1:1" x14ac:dyDescent="0.3">
      <c r="A11979" s="678"/>
    </row>
    <row r="11980" spans="1:1" x14ac:dyDescent="0.3">
      <c r="A11980" s="678"/>
    </row>
    <row r="11981" spans="1:1" x14ac:dyDescent="0.3">
      <c r="A11981" s="678"/>
    </row>
    <row r="11982" spans="1:1" x14ac:dyDescent="0.3">
      <c r="A11982" s="678"/>
    </row>
    <row r="11983" spans="1:1" x14ac:dyDescent="0.3">
      <c r="A11983" s="678"/>
    </row>
    <row r="11984" spans="1:1" x14ac:dyDescent="0.3">
      <c r="A11984" s="678"/>
    </row>
    <row r="11985" spans="1:1" x14ac:dyDescent="0.3">
      <c r="A11985" s="678"/>
    </row>
    <row r="11986" spans="1:1" x14ac:dyDescent="0.3">
      <c r="A11986" s="678"/>
    </row>
    <row r="11987" spans="1:1" x14ac:dyDescent="0.3">
      <c r="A11987" s="678"/>
    </row>
    <row r="11988" spans="1:1" x14ac:dyDescent="0.3">
      <c r="A11988" s="678"/>
    </row>
    <row r="11989" spans="1:1" x14ac:dyDescent="0.3">
      <c r="A11989" s="678"/>
    </row>
    <row r="11990" spans="1:1" x14ac:dyDescent="0.3">
      <c r="A11990" s="678"/>
    </row>
    <row r="11991" spans="1:1" x14ac:dyDescent="0.3">
      <c r="A11991" s="678"/>
    </row>
    <row r="11992" spans="1:1" x14ac:dyDescent="0.3">
      <c r="A11992" s="678"/>
    </row>
    <row r="11993" spans="1:1" x14ac:dyDescent="0.3">
      <c r="A11993" s="678"/>
    </row>
    <row r="11994" spans="1:1" x14ac:dyDescent="0.3">
      <c r="A11994" s="678"/>
    </row>
    <row r="11995" spans="1:1" x14ac:dyDescent="0.3">
      <c r="A11995" s="678"/>
    </row>
    <row r="11996" spans="1:1" x14ac:dyDescent="0.3">
      <c r="A11996" s="678"/>
    </row>
    <row r="11997" spans="1:1" x14ac:dyDescent="0.3">
      <c r="A11997" s="678"/>
    </row>
    <row r="11998" spans="1:1" x14ac:dyDescent="0.3">
      <c r="A11998" s="678"/>
    </row>
    <row r="11999" spans="1:1" x14ac:dyDescent="0.3">
      <c r="A11999" s="678"/>
    </row>
    <row r="12000" spans="1:1" x14ac:dyDescent="0.3">
      <c r="A12000" s="678"/>
    </row>
    <row r="12001" spans="1:1" x14ac:dyDescent="0.3">
      <c r="A12001" s="678"/>
    </row>
    <row r="12002" spans="1:1" x14ac:dyDescent="0.3">
      <c r="A12002" s="678"/>
    </row>
    <row r="12003" spans="1:1" x14ac:dyDescent="0.3">
      <c r="A12003" s="678"/>
    </row>
    <row r="12004" spans="1:1" x14ac:dyDescent="0.3">
      <c r="A12004" s="678"/>
    </row>
    <row r="12005" spans="1:1" x14ac:dyDescent="0.3">
      <c r="A12005" s="678"/>
    </row>
    <row r="12006" spans="1:1" x14ac:dyDescent="0.3">
      <c r="A12006" s="678"/>
    </row>
    <row r="12007" spans="1:1" x14ac:dyDescent="0.3">
      <c r="A12007" s="678"/>
    </row>
    <row r="12008" spans="1:1" x14ac:dyDescent="0.3">
      <c r="A12008" s="678"/>
    </row>
    <row r="12009" spans="1:1" x14ac:dyDescent="0.3">
      <c r="A12009" s="678"/>
    </row>
    <row r="12010" spans="1:1" x14ac:dyDescent="0.3">
      <c r="A12010" s="678"/>
    </row>
    <row r="12011" spans="1:1" x14ac:dyDescent="0.3">
      <c r="A12011" s="678"/>
    </row>
    <row r="12012" spans="1:1" x14ac:dyDescent="0.3">
      <c r="A12012" s="678"/>
    </row>
    <row r="12013" spans="1:1" x14ac:dyDescent="0.3">
      <c r="A12013" s="678"/>
    </row>
    <row r="12014" spans="1:1" x14ac:dyDescent="0.3">
      <c r="A12014" s="678"/>
    </row>
    <row r="12015" spans="1:1" x14ac:dyDescent="0.3">
      <c r="A12015" s="678"/>
    </row>
    <row r="12016" spans="1:1" x14ac:dyDescent="0.3">
      <c r="A12016" s="678"/>
    </row>
    <row r="12017" spans="1:1" x14ac:dyDescent="0.3">
      <c r="A12017" s="678"/>
    </row>
    <row r="12018" spans="1:1" x14ac:dyDescent="0.3">
      <c r="A12018" s="678"/>
    </row>
    <row r="12019" spans="1:1" x14ac:dyDescent="0.3">
      <c r="A12019" s="678"/>
    </row>
    <row r="12020" spans="1:1" x14ac:dyDescent="0.3">
      <c r="A12020" s="678"/>
    </row>
    <row r="12021" spans="1:1" x14ac:dyDescent="0.3">
      <c r="A12021" s="678"/>
    </row>
    <row r="12022" spans="1:1" x14ac:dyDescent="0.3">
      <c r="A12022" s="678"/>
    </row>
    <row r="12023" spans="1:1" x14ac:dyDescent="0.3">
      <c r="A12023" s="678"/>
    </row>
    <row r="12024" spans="1:1" x14ac:dyDescent="0.3">
      <c r="A12024" s="678"/>
    </row>
    <row r="12025" spans="1:1" x14ac:dyDescent="0.3">
      <c r="A12025" s="678"/>
    </row>
    <row r="12026" spans="1:1" x14ac:dyDescent="0.3">
      <c r="A12026" s="678"/>
    </row>
    <row r="12027" spans="1:1" x14ac:dyDescent="0.3">
      <c r="A12027" s="678"/>
    </row>
    <row r="12028" spans="1:1" x14ac:dyDescent="0.3">
      <c r="A12028" s="678"/>
    </row>
    <row r="12029" spans="1:1" x14ac:dyDescent="0.3">
      <c r="A12029" s="678"/>
    </row>
    <row r="12030" spans="1:1" x14ac:dyDescent="0.3">
      <c r="A12030" s="678"/>
    </row>
    <row r="12031" spans="1:1" x14ac:dyDescent="0.3">
      <c r="A12031" s="678"/>
    </row>
    <row r="12032" spans="1:1" x14ac:dyDescent="0.3">
      <c r="A12032" s="678"/>
    </row>
    <row r="12033" spans="1:1" x14ac:dyDescent="0.3">
      <c r="A12033" s="678"/>
    </row>
    <row r="12034" spans="1:1" x14ac:dyDescent="0.3">
      <c r="A12034" s="678"/>
    </row>
    <row r="12035" spans="1:1" x14ac:dyDescent="0.3">
      <c r="A12035" s="678"/>
    </row>
    <row r="12036" spans="1:1" x14ac:dyDescent="0.3">
      <c r="A12036" s="678"/>
    </row>
    <row r="12037" spans="1:1" x14ac:dyDescent="0.3">
      <c r="A12037" s="678"/>
    </row>
    <row r="12038" spans="1:1" x14ac:dyDescent="0.3">
      <c r="A12038" s="678"/>
    </row>
    <row r="12039" spans="1:1" x14ac:dyDescent="0.3">
      <c r="A12039" s="678"/>
    </row>
    <row r="12040" spans="1:1" x14ac:dyDescent="0.3">
      <c r="A12040" s="678"/>
    </row>
    <row r="12041" spans="1:1" x14ac:dyDescent="0.3">
      <c r="A12041" s="678"/>
    </row>
    <row r="12042" spans="1:1" x14ac:dyDescent="0.3">
      <c r="A12042" s="678"/>
    </row>
    <row r="12043" spans="1:1" x14ac:dyDescent="0.3">
      <c r="A12043" s="678"/>
    </row>
    <row r="12044" spans="1:1" x14ac:dyDescent="0.3">
      <c r="A12044" s="678"/>
    </row>
    <row r="12045" spans="1:1" x14ac:dyDescent="0.3">
      <c r="A12045" s="678"/>
    </row>
    <row r="12046" spans="1:1" x14ac:dyDescent="0.3">
      <c r="A12046" s="678"/>
    </row>
    <row r="12047" spans="1:1" x14ac:dyDescent="0.3">
      <c r="A12047" s="678"/>
    </row>
    <row r="12048" spans="1:1" x14ac:dyDescent="0.3">
      <c r="A12048" s="678"/>
    </row>
    <row r="12049" spans="1:1" x14ac:dyDescent="0.3">
      <c r="A12049" s="678"/>
    </row>
    <row r="12050" spans="1:1" x14ac:dyDescent="0.3">
      <c r="A12050" s="678"/>
    </row>
    <row r="12051" spans="1:1" x14ac:dyDescent="0.3">
      <c r="A12051" s="678"/>
    </row>
    <row r="12052" spans="1:1" x14ac:dyDescent="0.3">
      <c r="A12052" s="678"/>
    </row>
    <row r="12053" spans="1:1" x14ac:dyDescent="0.3">
      <c r="A12053" s="678"/>
    </row>
    <row r="12054" spans="1:1" x14ac:dyDescent="0.3">
      <c r="A12054" s="678"/>
    </row>
    <row r="12055" spans="1:1" x14ac:dyDescent="0.3">
      <c r="A12055" s="678"/>
    </row>
    <row r="12056" spans="1:1" x14ac:dyDescent="0.3">
      <c r="A12056" s="678"/>
    </row>
    <row r="12057" spans="1:1" x14ac:dyDescent="0.3">
      <c r="A12057" s="678"/>
    </row>
    <row r="12058" spans="1:1" x14ac:dyDescent="0.3">
      <c r="A12058" s="678"/>
    </row>
    <row r="12059" spans="1:1" x14ac:dyDescent="0.3">
      <c r="A12059" s="678"/>
    </row>
    <row r="12060" spans="1:1" x14ac:dyDescent="0.3">
      <c r="A12060" s="678"/>
    </row>
    <row r="12061" spans="1:1" x14ac:dyDescent="0.3">
      <c r="A12061" s="678"/>
    </row>
    <row r="12062" spans="1:1" x14ac:dyDescent="0.3">
      <c r="A12062" s="678"/>
    </row>
    <row r="12063" spans="1:1" x14ac:dyDescent="0.3">
      <c r="A12063" s="678"/>
    </row>
    <row r="12064" spans="1:1" x14ac:dyDescent="0.3">
      <c r="A12064" s="678"/>
    </row>
    <row r="12065" spans="1:1" x14ac:dyDescent="0.3">
      <c r="A12065" s="678"/>
    </row>
    <row r="12066" spans="1:1" x14ac:dyDescent="0.3">
      <c r="A12066" s="678"/>
    </row>
    <row r="12067" spans="1:1" x14ac:dyDescent="0.3">
      <c r="A12067" s="678"/>
    </row>
    <row r="12068" spans="1:1" x14ac:dyDescent="0.3">
      <c r="A12068" s="678"/>
    </row>
    <row r="12069" spans="1:1" x14ac:dyDescent="0.3">
      <c r="A12069" s="678"/>
    </row>
    <row r="12070" spans="1:1" x14ac:dyDescent="0.3">
      <c r="A12070" s="678"/>
    </row>
    <row r="12071" spans="1:1" x14ac:dyDescent="0.3">
      <c r="A12071" s="678"/>
    </row>
    <row r="12072" spans="1:1" x14ac:dyDescent="0.3">
      <c r="A12072" s="678"/>
    </row>
    <row r="12073" spans="1:1" x14ac:dyDescent="0.3">
      <c r="A12073" s="678"/>
    </row>
    <row r="12074" spans="1:1" x14ac:dyDescent="0.3">
      <c r="A12074" s="678"/>
    </row>
    <row r="12075" spans="1:1" x14ac:dyDescent="0.3">
      <c r="A12075" s="678"/>
    </row>
    <row r="12076" spans="1:1" x14ac:dyDescent="0.3">
      <c r="A12076" s="678"/>
    </row>
    <row r="12077" spans="1:1" x14ac:dyDescent="0.3">
      <c r="A12077" s="678"/>
    </row>
    <row r="12078" spans="1:1" x14ac:dyDescent="0.3">
      <c r="A12078" s="678"/>
    </row>
    <row r="12079" spans="1:1" x14ac:dyDescent="0.3">
      <c r="A12079" s="678"/>
    </row>
    <row r="12080" spans="1:1" x14ac:dyDescent="0.3">
      <c r="A12080" s="678"/>
    </row>
    <row r="12081" spans="1:1" x14ac:dyDescent="0.3">
      <c r="A12081" s="678"/>
    </row>
    <row r="12082" spans="1:1" x14ac:dyDescent="0.3">
      <c r="A12082" s="678"/>
    </row>
    <row r="12083" spans="1:1" x14ac:dyDescent="0.3">
      <c r="A12083" s="678"/>
    </row>
    <row r="12084" spans="1:1" x14ac:dyDescent="0.3">
      <c r="A12084" s="678"/>
    </row>
    <row r="12085" spans="1:1" x14ac:dyDescent="0.3">
      <c r="A12085" s="678"/>
    </row>
    <row r="12086" spans="1:1" x14ac:dyDescent="0.3">
      <c r="A12086" s="678"/>
    </row>
    <row r="12087" spans="1:1" x14ac:dyDescent="0.3">
      <c r="A12087" s="678"/>
    </row>
    <row r="12088" spans="1:1" x14ac:dyDescent="0.3">
      <c r="A12088" s="678"/>
    </row>
    <row r="12089" spans="1:1" x14ac:dyDescent="0.3">
      <c r="A12089" s="678"/>
    </row>
    <row r="12090" spans="1:1" x14ac:dyDescent="0.3">
      <c r="A12090" s="678"/>
    </row>
    <row r="12091" spans="1:1" x14ac:dyDescent="0.3">
      <c r="A12091" s="678"/>
    </row>
    <row r="12092" spans="1:1" x14ac:dyDescent="0.3">
      <c r="A12092" s="678"/>
    </row>
    <row r="12093" spans="1:1" x14ac:dyDescent="0.3">
      <c r="A12093" s="678"/>
    </row>
    <row r="12094" spans="1:1" x14ac:dyDescent="0.3">
      <c r="A12094" s="678"/>
    </row>
    <row r="12095" spans="1:1" x14ac:dyDescent="0.3">
      <c r="A12095" s="678"/>
    </row>
    <row r="12096" spans="1:1" x14ac:dyDescent="0.3">
      <c r="A12096" s="678"/>
    </row>
    <row r="12097" spans="1:1" x14ac:dyDescent="0.3">
      <c r="A12097" s="678"/>
    </row>
    <row r="12098" spans="1:1" x14ac:dyDescent="0.3">
      <c r="A12098" s="678"/>
    </row>
    <row r="12099" spans="1:1" x14ac:dyDescent="0.3">
      <c r="A12099" s="678"/>
    </row>
    <row r="12100" spans="1:1" x14ac:dyDescent="0.3">
      <c r="A12100" s="678"/>
    </row>
    <row r="12101" spans="1:1" x14ac:dyDescent="0.3">
      <c r="A12101" s="678"/>
    </row>
    <row r="12102" spans="1:1" x14ac:dyDescent="0.3">
      <c r="A12102" s="678"/>
    </row>
    <row r="12103" spans="1:1" x14ac:dyDescent="0.3">
      <c r="A12103" s="678"/>
    </row>
    <row r="12104" spans="1:1" x14ac:dyDescent="0.3">
      <c r="A12104" s="678"/>
    </row>
    <row r="12105" spans="1:1" x14ac:dyDescent="0.3">
      <c r="A12105" s="678"/>
    </row>
    <row r="12106" spans="1:1" x14ac:dyDescent="0.3">
      <c r="A12106" s="678"/>
    </row>
    <row r="12107" spans="1:1" x14ac:dyDescent="0.3">
      <c r="A12107" s="678"/>
    </row>
    <row r="12108" spans="1:1" x14ac:dyDescent="0.3">
      <c r="A12108" s="678"/>
    </row>
    <row r="12109" spans="1:1" x14ac:dyDescent="0.3">
      <c r="A12109" s="678"/>
    </row>
    <row r="12110" spans="1:1" x14ac:dyDescent="0.3">
      <c r="A12110" s="678"/>
    </row>
    <row r="12111" spans="1:1" x14ac:dyDescent="0.3">
      <c r="A12111" s="678"/>
    </row>
    <row r="12112" spans="1:1" x14ac:dyDescent="0.3">
      <c r="A12112" s="678"/>
    </row>
    <row r="12113" spans="1:1" x14ac:dyDescent="0.3">
      <c r="A12113" s="678"/>
    </row>
    <row r="12114" spans="1:1" x14ac:dyDescent="0.3">
      <c r="A12114" s="678"/>
    </row>
    <row r="12115" spans="1:1" x14ac:dyDescent="0.3">
      <c r="A12115" s="678"/>
    </row>
    <row r="12116" spans="1:1" x14ac:dyDescent="0.3">
      <c r="A12116" s="678"/>
    </row>
    <row r="12117" spans="1:1" x14ac:dyDescent="0.3">
      <c r="A12117" s="678"/>
    </row>
    <row r="12118" spans="1:1" x14ac:dyDescent="0.3">
      <c r="A12118" s="678"/>
    </row>
    <row r="12119" spans="1:1" x14ac:dyDescent="0.3">
      <c r="A12119" s="678"/>
    </row>
    <row r="12120" spans="1:1" x14ac:dyDescent="0.3">
      <c r="A12120" s="678"/>
    </row>
    <row r="12121" spans="1:1" x14ac:dyDescent="0.3">
      <c r="A12121" s="678"/>
    </row>
    <row r="12122" spans="1:1" x14ac:dyDescent="0.3">
      <c r="A12122" s="678"/>
    </row>
    <row r="12123" spans="1:1" x14ac:dyDescent="0.3">
      <c r="A12123" s="678"/>
    </row>
    <row r="12124" spans="1:1" x14ac:dyDescent="0.3">
      <c r="A12124" s="678"/>
    </row>
    <row r="12125" spans="1:1" x14ac:dyDescent="0.3">
      <c r="A12125" s="678"/>
    </row>
    <row r="12126" spans="1:1" x14ac:dyDescent="0.3">
      <c r="A12126" s="678"/>
    </row>
    <row r="12127" spans="1:1" x14ac:dyDescent="0.3">
      <c r="A12127" s="678"/>
    </row>
    <row r="12128" spans="1:1" x14ac:dyDescent="0.3">
      <c r="A12128" s="678"/>
    </row>
    <row r="12129" spans="1:1" x14ac:dyDescent="0.3">
      <c r="A12129" s="678"/>
    </row>
    <row r="12130" spans="1:1" x14ac:dyDescent="0.3">
      <c r="A12130" s="678"/>
    </row>
    <row r="12131" spans="1:1" x14ac:dyDescent="0.3">
      <c r="A12131" s="678"/>
    </row>
    <row r="12132" spans="1:1" x14ac:dyDescent="0.3">
      <c r="A12132" s="678"/>
    </row>
    <row r="12133" spans="1:1" x14ac:dyDescent="0.3">
      <c r="A12133" s="678"/>
    </row>
    <row r="12134" spans="1:1" x14ac:dyDescent="0.3">
      <c r="A12134" s="678"/>
    </row>
    <row r="12135" spans="1:1" x14ac:dyDescent="0.3">
      <c r="A12135" s="678"/>
    </row>
    <row r="12136" spans="1:1" x14ac:dyDescent="0.3">
      <c r="A12136" s="678"/>
    </row>
    <row r="12137" spans="1:1" x14ac:dyDescent="0.3">
      <c r="A12137" s="678"/>
    </row>
    <row r="12138" spans="1:1" x14ac:dyDescent="0.3">
      <c r="A12138" s="678"/>
    </row>
    <row r="12139" spans="1:1" x14ac:dyDescent="0.3">
      <c r="A12139" s="678"/>
    </row>
    <row r="12140" spans="1:1" x14ac:dyDescent="0.3">
      <c r="A12140" s="678"/>
    </row>
    <row r="12141" spans="1:1" x14ac:dyDescent="0.3">
      <c r="A12141" s="678"/>
    </row>
    <row r="12142" spans="1:1" x14ac:dyDescent="0.3">
      <c r="A12142" s="678"/>
    </row>
    <row r="12143" spans="1:1" x14ac:dyDescent="0.3">
      <c r="A12143" s="678"/>
    </row>
    <row r="12144" spans="1:1" x14ac:dyDescent="0.3">
      <c r="A12144" s="678"/>
    </row>
    <row r="12145" spans="1:1" x14ac:dyDescent="0.3">
      <c r="A12145" s="678"/>
    </row>
    <row r="12146" spans="1:1" x14ac:dyDescent="0.3">
      <c r="A12146" s="678"/>
    </row>
    <row r="12147" spans="1:1" x14ac:dyDescent="0.3">
      <c r="A12147" s="678"/>
    </row>
    <row r="12148" spans="1:1" x14ac:dyDescent="0.3">
      <c r="A12148" s="678"/>
    </row>
    <row r="12149" spans="1:1" x14ac:dyDescent="0.3">
      <c r="A12149" s="678"/>
    </row>
    <row r="12150" spans="1:1" x14ac:dyDescent="0.3">
      <c r="A12150" s="678"/>
    </row>
    <row r="12151" spans="1:1" x14ac:dyDescent="0.3">
      <c r="A12151" s="678"/>
    </row>
    <row r="12152" spans="1:1" x14ac:dyDescent="0.3">
      <c r="A12152" s="678"/>
    </row>
    <row r="12153" spans="1:1" x14ac:dyDescent="0.3">
      <c r="A12153" s="678"/>
    </row>
    <row r="12154" spans="1:1" x14ac:dyDescent="0.3">
      <c r="A12154" s="678"/>
    </row>
    <row r="12155" spans="1:1" x14ac:dyDescent="0.3">
      <c r="A12155" s="678"/>
    </row>
    <row r="12156" spans="1:1" x14ac:dyDescent="0.3">
      <c r="A12156" s="678"/>
    </row>
    <row r="12157" spans="1:1" x14ac:dyDescent="0.3">
      <c r="A12157" s="678"/>
    </row>
    <row r="12158" spans="1:1" x14ac:dyDescent="0.3">
      <c r="A12158" s="678"/>
    </row>
    <row r="12159" spans="1:1" x14ac:dyDescent="0.3">
      <c r="A12159" s="678"/>
    </row>
    <row r="12160" spans="1:1" x14ac:dyDescent="0.3">
      <c r="A12160" s="678"/>
    </row>
    <row r="12161" spans="1:1" x14ac:dyDescent="0.3">
      <c r="A12161" s="678"/>
    </row>
    <row r="12162" spans="1:1" x14ac:dyDescent="0.3">
      <c r="A12162" s="678"/>
    </row>
    <row r="12163" spans="1:1" x14ac:dyDescent="0.3">
      <c r="A12163" s="678"/>
    </row>
    <row r="12164" spans="1:1" x14ac:dyDescent="0.3">
      <c r="A12164" s="678"/>
    </row>
    <row r="12165" spans="1:1" x14ac:dyDescent="0.3">
      <c r="A12165" s="678"/>
    </row>
    <row r="12166" spans="1:1" x14ac:dyDescent="0.3">
      <c r="A12166" s="678"/>
    </row>
    <row r="12167" spans="1:1" x14ac:dyDescent="0.3">
      <c r="A12167" s="678"/>
    </row>
    <row r="12168" spans="1:1" x14ac:dyDescent="0.3">
      <c r="A12168" s="678"/>
    </row>
    <row r="12169" spans="1:1" x14ac:dyDescent="0.3">
      <c r="A12169" s="678"/>
    </row>
    <row r="12170" spans="1:1" x14ac:dyDescent="0.3">
      <c r="A12170" s="678"/>
    </row>
    <row r="12171" spans="1:1" x14ac:dyDescent="0.3">
      <c r="A12171" s="678"/>
    </row>
    <row r="12172" spans="1:1" x14ac:dyDescent="0.3">
      <c r="A12172" s="678"/>
    </row>
    <row r="12173" spans="1:1" x14ac:dyDescent="0.3">
      <c r="A12173" s="678"/>
    </row>
    <row r="12174" spans="1:1" x14ac:dyDescent="0.3">
      <c r="A12174" s="678"/>
    </row>
    <row r="12175" spans="1:1" x14ac:dyDescent="0.3">
      <c r="A12175" s="678"/>
    </row>
    <row r="12176" spans="1:1" x14ac:dyDescent="0.3">
      <c r="A12176" s="678"/>
    </row>
    <row r="12177" spans="1:1" x14ac:dyDescent="0.3">
      <c r="A12177" s="678"/>
    </row>
    <row r="12178" spans="1:1" x14ac:dyDescent="0.3">
      <c r="A12178" s="678"/>
    </row>
    <row r="12179" spans="1:1" x14ac:dyDescent="0.3">
      <c r="A12179" s="678"/>
    </row>
    <row r="12180" spans="1:1" x14ac:dyDescent="0.3">
      <c r="A12180" s="678"/>
    </row>
    <row r="12181" spans="1:1" x14ac:dyDescent="0.3">
      <c r="A12181" s="678"/>
    </row>
    <row r="12182" spans="1:1" x14ac:dyDescent="0.3">
      <c r="A12182" s="678"/>
    </row>
    <row r="12183" spans="1:1" x14ac:dyDescent="0.3">
      <c r="A12183" s="678"/>
    </row>
    <row r="12184" spans="1:1" x14ac:dyDescent="0.3">
      <c r="A12184" s="678"/>
    </row>
    <row r="12185" spans="1:1" x14ac:dyDescent="0.3">
      <c r="A12185" s="678"/>
    </row>
    <row r="12186" spans="1:1" x14ac:dyDescent="0.3">
      <c r="A12186" s="678"/>
    </row>
    <row r="12187" spans="1:1" x14ac:dyDescent="0.3">
      <c r="A12187" s="678"/>
    </row>
    <row r="12188" spans="1:1" x14ac:dyDescent="0.3">
      <c r="A12188" s="678"/>
    </row>
    <row r="12189" spans="1:1" x14ac:dyDescent="0.3">
      <c r="A12189" s="678"/>
    </row>
    <row r="12190" spans="1:1" x14ac:dyDescent="0.3">
      <c r="A12190" s="678"/>
    </row>
    <row r="12191" spans="1:1" x14ac:dyDescent="0.3">
      <c r="A12191" s="678"/>
    </row>
    <row r="12192" spans="1:1" x14ac:dyDescent="0.3">
      <c r="A12192" s="678"/>
    </row>
    <row r="12193" spans="1:1" x14ac:dyDescent="0.3">
      <c r="A12193" s="678"/>
    </row>
    <row r="12194" spans="1:1" x14ac:dyDescent="0.3">
      <c r="A12194" s="678"/>
    </row>
    <row r="12195" spans="1:1" x14ac:dyDescent="0.3">
      <c r="A12195" s="678"/>
    </row>
    <row r="12196" spans="1:1" x14ac:dyDescent="0.3">
      <c r="A12196" s="678"/>
    </row>
    <row r="12197" spans="1:1" x14ac:dyDescent="0.3">
      <c r="A12197" s="678"/>
    </row>
    <row r="12198" spans="1:1" x14ac:dyDescent="0.3">
      <c r="A12198" s="678"/>
    </row>
    <row r="12199" spans="1:1" x14ac:dyDescent="0.3">
      <c r="A12199" s="678"/>
    </row>
    <row r="12200" spans="1:1" x14ac:dyDescent="0.3">
      <c r="A12200" s="678"/>
    </row>
    <row r="12201" spans="1:1" x14ac:dyDescent="0.3">
      <c r="A12201" s="678"/>
    </row>
    <row r="12202" spans="1:1" x14ac:dyDescent="0.3">
      <c r="A12202" s="678"/>
    </row>
    <row r="12203" spans="1:1" x14ac:dyDescent="0.3">
      <c r="A12203" s="678"/>
    </row>
    <row r="12204" spans="1:1" x14ac:dyDescent="0.3">
      <c r="A12204" s="678"/>
    </row>
    <row r="12205" spans="1:1" x14ac:dyDescent="0.3">
      <c r="A12205" s="678"/>
    </row>
    <row r="12206" spans="1:1" x14ac:dyDescent="0.3">
      <c r="A12206" s="678"/>
    </row>
    <row r="12207" spans="1:1" x14ac:dyDescent="0.3">
      <c r="A12207" s="678"/>
    </row>
    <row r="12208" spans="1:1" x14ac:dyDescent="0.3">
      <c r="A12208" s="678"/>
    </row>
    <row r="12209" spans="1:1" x14ac:dyDescent="0.3">
      <c r="A12209" s="678"/>
    </row>
    <row r="12210" spans="1:1" x14ac:dyDescent="0.3">
      <c r="A12210" s="678"/>
    </row>
    <row r="12211" spans="1:1" x14ac:dyDescent="0.3">
      <c r="A12211" s="678"/>
    </row>
    <row r="12212" spans="1:1" x14ac:dyDescent="0.3">
      <c r="A12212" s="678"/>
    </row>
    <row r="12213" spans="1:1" x14ac:dyDescent="0.3">
      <c r="A12213" s="678"/>
    </row>
    <row r="12214" spans="1:1" x14ac:dyDescent="0.3">
      <c r="A12214" s="678"/>
    </row>
    <row r="12215" spans="1:1" x14ac:dyDescent="0.3">
      <c r="A12215" s="678"/>
    </row>
    <row r="12216" spans="1:1" x14ac:dyDescent="0.3">
      <c r="A12216" s="678"/>
    </row>
    <row r="12217" spans="1:1" x14ac:dyDescent="0.3">
      <c r="A12217" s="678"/>
    </row>
    <row r="12218" spans="1:1" x14ac:dyDescent="0.3">
      <c r="A12218" s="678"/>
    </row>
    <row r="12219" spans="1:1" x14ac:dyDescent="0.3">
      <c r="A12219" s="678"/>
    </row>
    <row r="12220" spans="1:1" x14ac:dyDescent="0.3">
      <c r="A12220" s="678"/>
    </row>
    <row r="12221" spans="1:1" x14ac:dyDescent="0.3">
      <c r="A12221" s="678"/>
    </row>
    <row r="12222" spans="1:1" x14ac:dyDescent="0.3">
      <c r="A12222" s="678"/>
    </row>
    <row r="12223" spans="1:1" x14ac:dyDescent="0.3">
      <c r="A12223" s="678"/>
    </row>
    <row r="12224" spans="1:1" x14ac:dyDescent="0.3">
      <c r="A12224" s="678"/>
    </row>
    <row r="12225" spans="1:1" x14ac:dyDescent="0.3">
      <c r="A12225" s="678"/>
    </row>
    <row r="12226" spans="1:1" x14ac:dyDescent="0.3">
      <c r="A12226" s="678"/>
    </row>
    <row r="12227" spans="1:1" x14ac:dyDescent="0.3">
      <c r="A12227" s="678"/>
    </row>
    <row r="12228" spans="1:1" x14ac:dyDescent="0.3">
      <c r="A12228" s="678"/>
    </row>
    <row r="12229" spans="1:1" x14ac:dyDescent="0.3">
      <c r="A12229" s="678"/>
    </row>
    <row r="12230" spans="1:1" x14ac:dyDescent="0.3">
      <c r="A12230" s="678"/>
    </row>
    <row r="12231" spans="1:1" x14ac:dyDescent="0.3">
      <c r="A12231" s="678"/>
    </row>
    <row r="12232" spans="1:1" x14ac:dyDescent="0.3">
      <c r="A12232" s="678"/>
    </row>
    <row r="12233" spans="1:1" x14ac:dyDescent="0.3">
      <c r="A12233" s="678"/>
    </row>
    <row r="12234" spans="1:1" x14ac:dyDescent="0.3">
      <c r="A12234" s="678"/>
    </row>
    <row r="12235" spans="1:1" x14ac:dyDescent="0.3">
      <c r="A12235" s="678"/>
    </row>
    <row r="12236" spans="1:1" x14ac:dyDescent="0.3">
      <c r="A12236" s="678"/>
    </row>
    <row r="12237" spans="1:1" x14ac:dyDescent="0.3">
      <c r="A12237" s="678"/>
    </row>
    <row r="12238" spans="1:1" x14ac:dyDescent="0.3">
      <c r="A12238" s="678"/>
    </row>
    <row r="12239" spans="1:1" x14ac:dyDescent="0.3">
      <c r="A12239" s="678"/>
    </row>
    <row r="12240" spans="1:1" x14ac:dyDescent="0.3">
      <c r="A12240" s="678"/>
    </row>
    <row r="12241" spans="1:1" x14ac:dyDescent="0.3">
      <c r="A12241" s="678"/>
    </row>
    <row r="12242" spans="1:1" x14ac:dyDescent="0.3">
      <c r="A12242" s="678"/>
    </row>
    <row r="12243" spans="1:1" x14ac:dyDescent="0.3">
      <c r="A12243" s="678"/>
    </row>
    <row r="12244" spans="1:1" x14ac:dyDescent="0.3">
      <c r="A12244" s="678"/>
    </row>
    <row r="12245" spans="1:1" x14ac:dyDescent="0.3">
      <c r="A12245" s="678"/>
    </row>
    <row r="12246" spans="1:1" x14ac:dyDescent="0.3">
      <c r="A12246" s="678"/>
    </row>
    <row r="12247" spans="1:1" x14ac:dyDescent="0.3">
      <c r="A12247" s="678"/>
    </row>
    <row r="12248" spans="1:1" x14ac:dyDescent="0.3">
      <c r="A12248" s="678"/>
    </row>
    <row r="12249" spans="1:1" x14ac:dyDescent="0.3">
      <c r="A12249" s="678"/>
    </row>
    <row r="12250" spans="1:1" x14ac:dyDescent="0.3">
      <c r="A12250" s="678"/>
    </row>
    <row r="12251" spans="1:1" x14ac:dyDescent="0.3">
      <c r="A12251" s="678"/>
    </row>
    <row r="12252" spans="1:1" x14ac:dyDescent="0.3">
      <c r="A12252" s="678"/>
    </row>
    <row r="12253" spans="1:1" x14ac:dyDescent="0.3">
      <c r="A12253" s="678"/>
    </row>
    <row r="12254" spans="1:1" x14ac:dyDescent="0.3">
      <c r="A12254" s="678"/>
    </row>
    <row r="12255" spans="1:1" x14ac:dyDescent="0.3">
      <c r="A12255" s="678"/>
    </row>
    <row r="12256" spans="1:1" x14ac:dyDescent="0.3">
      <c r="A12256" s="678"/>
    </row>
    <row r="12257" spans="1:1" x14ac:dyDescent="0.3">
      <c r="A12257" s="678"/>
    </row>
    <row r="12258" spans="1:1" x14ac:dyDescent="0.3">
      <c r="A12258" s="678"/>
    </row>
    <row r="12259" spans="1:1" x14ac:dyDescent="0.3">
      <c r="A12259" s="678"/>
    </row>
    <row r="12260" spans="1:1" x14ac:dyDescent="0.3">
      <c r="A12260" s="678"/>
    </row>
    <row r="12261" spans="1:1" x14ac:dyDescent="0.3">
      <c r="A12261" s="678"/>
    </row>
    <row r="12262" spans="1:1" x14ac:dyDescent="0.3">
      <c r="A12262" s="678"/>
    </row>
    <row r="12263" spans="1:1" x14ac:dyDescent="0.3">
      <c r="A12263" s="678"/>
    </row>
    <row r="12264" spans="1:1" x14ac:dyDescent="0.3">
      <c r="A12264" s="678"/>
    </row>
    <row r="12265" spans="1:1" x14ac:dyDescent="0.3">
      <c r="A12265" s="678"/>
    </row>
    <row r="12266" spans="1:1" x14ac:dyDescent="0.3">
      <c r="A12266" s="678"/>
    </row>
    <row r="12267" spans="1:1" x14ac:dyDescent="0.3">
      <c r="A12267" s="678"/>
    </row>
    <row r="12268" spans="1:1" x14ac:dyDescent="0.3">
      <c r="A12268" s="678"/>
    </row>
    <row r="12269" spans="1:1" x14ac:dyDescent="0.3">
      <c r="A12269" s="678"/>
    </row>
    <row r="12270" spans="1:1" x14ac:dyDescent="0.3">
      <c r="A12270" s="678"/>
    </row>
    <row r="12271" spans="1:1" x14ac:dyDescent="0.3">
      <c r="A12271" s="678"/>
    </row>
    <row r="12272" spans="1:1" x14ac:dyDescent="0.3">
      <c r="A12272" s="678"/>
    </row>
    <row r="12273" spans="1:1" x14ac:dyDescent="0.3">
      <c r="A12273" s="678"/>
    </row>
    <row r="12274" spans="1:1" x14ac:dyDescent="0.3">
      <c r="A12274" s="678"/>
    </row>
    <row r="12275" spans="1:1" x14ac:dyDescent="0.3">
      <c r="A12275" s="678"/>
    </row>
    <row r="12276" spans="1:1" x14ac:dyDescent="0.3">
      <c r="A12276" s="678"/>
    </row>
    <row r="12277" spans="1:1" x14ac:dyDescent="0.3">
      <c r="A12277" s="678"/>
    </row>
    <row r="12278" spans="1:1" x14ac:dyDescent="0.3">
      <c r="A12278" s="678"/>
    </row>
    <row r="12279" spans="1:1" x14ac:dyDescent="0.3">
      <c r="A12279" s="678"/>
    </row>
    <row r="12280" spans="1:1" x14ac:dyDescent="0.3">
      <c r="A12280" s="678"/>
    </row>
    <row r="12281" spans="1:1" x14ac:dyDescent="0.3">
      <c r="A12281" s="678"/>
    </row>
    <row r="12282" spans="1:1" x14ac:dyDescent="0.3">
      <c r="A12282" s="678"/>
    </row>
    <row r="12283" spans="1:1" x14ac:dyDescent="0.3">
      <c r="A12283" s="678"/>
    </row>
    <row r="12284" spans="1:1" x14ac:dyDescent="0.3">
      <c r="A12284" s="678"/>
    </row>
    <row r="12285" spans="1:1" x14ac:dyDescent="0.3">
      <c r="A12285" s="678"/>
    </row>
    <row r="12286" spans="1:1" x14ac:dyDescent="0.3">
      <c r="A12286" s="678"/>
    </row>
    <row r="12287" spans="1:1" x14ac:dyDescent="0.3">
      <c r="A12287" s="678"/>
    </row>
    <row r="12288" spans="1:1" x14ac:dyDescent="0.3">
      <c r="A12288" s="678"/>
    </row>
    <row r="12289" spans="1:1" x14ac:dyDescent="0.3">
      <c r="A12289" s="678"/>
    </row>
    <row r="12290" spans="1:1" x14ac:dyDescent="0.3">
      <c r="A12290" s="678"/>
    </row>
    <row r="12291" spans="1:1" x14ac:dyDescent="0.3">
      <c r="A12291" s="678"/>
    </row>
    <row r="12292" spans="1:1" x14ac:dyDescent="0.3">
      <c r="A12292" s="678"/>
    </row>
    <row r="12293" spans="1:1" x14ac:dyDescent="0.3">
      <c r="A12293" s="678"/>
    </row>
    <row r="12294" spans="1:1" x14ac:dyDescent="0.3">
      <c r="A12294" s="678"/>
    </row>
    <row r="12295" spans="1:1" x14ac:dyDescent="0.3">
      <c r="A12295" s="678"/>
    </row>
    <row r="12296" spans="1:1" x14ac:dyDescent="0.3">
      <c r="A12296" s="678"/>
    </row>
    <row r="12297" spans="1:1" x14ac:dyDescent="0.3">
      <c r="A12297" s="678"/>
    </row>
    <row r="12298" spans="1:1" x14ac:dyDescent="0.3">
      <c r="A12298" s="678"/>
    </row>
    <row r="12299" spans="1:1" x14ac:dyDescent="0.3">
      <c r="A12299" s="678"/>
    </row>
    <row r="12300" spans="1:1" x14ac:dyDescent="0.3">
      <c r="A12300" s="678"/>
    </row>
    <row r="12301" spans="1:1" x14ac:dyDescent="0.3">
      <c r="A12301" s="678"/>
    </row>
    <row r="12302" spans="1:1" x14ac:dyDescent="0.3">
      <c r="A12302" s="678"/>
    </row>
    <row r="12303" spans="1:1" x14ac:dyDescent="0.3">
      <c r="A12303" s="678"/>
    </row>
    <row r="12304" spans="1:1" x14ac:dyDescent="0.3">
      <c r="A12304" s="678"/>
    </row>
    <row r="12305" spans="1:1" x14ac:dyDescent="0.3">
      <c r="A12305" s="678"/>
    </row>
    <row r="12306" spans="1:1" x14ac:dyDescent="0.3">
      <c r="A12306" s="678"/>
    </row>
    <row r="12307" spans="1:1" x14ac:dyDescent="0.3">
      <c r="A12307" s="678"/>
    </row>
    <row r="12308" spans="1:1" x14ac:dyDescent="0.3">
      <c r="A12308" s="678"/>
    </row>
    <row r="12309" spans="1:1" x14ac:dyDescent="0.3">
      <c r="A12309" s="678"/>
    </row>
    <row r="12310" spans="1:1" x14ac:dyDescent="0.3">
      <c r="A12310" s="678"/>
    </row>
    <row r="12311" spans="1:1" x14ac:dyDescent="0.3">
      <c r="A12311" s="678"/>
    </row>
    <row r="12312" spans="1:1" x14ac:dyDescent="0.3">
      <c r="A12312" s="678"/>
    </row>
    <row r="12313" spans="1:1" x14ac:dyDescent="0.3">
      <c r="A12313" s="678"/>
    </row>
    <row r="12314" spans="1:1" x14ac:dyDescent="0.3">
      <c r="A12314" s="678"/>
    </row>
    <row r="12315" spans="1:1" x14ac:dyDescent="0.3">
      <c r="A12315" s="678"/>
    </row>
    <row r="12316" spans="1:1" x14ac:dyDescent="0.3">
      <c r="A12316" s="678"/>
    </row>
    <row r="12317" spans="1:1" x14ac:dyDescent="0.3">
      <c r="A12317" s="678"/>
    </row>
    <row r="12318" spans="1:1" x14ac:dyDescent="0.3">
      <c r="A12318" s="678"/>
    </row>
    <row r="12319" spans="1:1" x14ac:dyDescent="0.3">
      <c r="A12319" s="678"/>
    </row>
    <row r="12320" spans="1:1" x14ac:dyDescent="0.3">
      <c r="A12320" s="678"/>
    </row>
    <row r="12321" spans="1:1" x14ac:dyDescent="0.3">
      <c r="A12321" s="678"/>
    </row>
    <row r="12322" spans="1:1" x14ac:dyDescent="0.3">
      <c r="A12322" s="678"/>
    </row>
    <row r="12323" spans="1:1" x14ac:dyDescent="0.3">
      <c r="A12323" s="678"/>
    </row>
    <row r="12324" spans="1:1" x14ac:dyDescent="0.3">
      <c r="A12324" s="678"/>
    </row>
    <row r="12325" spans="1:1" x14ac:dyDescent="0.3">
      <c r="A12325" s="678"/>
    </row>
    <row r="12326" spans="1:1" x14ac:dyDescent="0.3">
      <c r="A12326" s="678"/>
    </row>
    <row r="12327" spans="1:1" x14ac:dyDescent="0.3">
      <c r="A12327" s="678"/>
    </row>
    <row r="12328" spans="1:1" x14ac:dyDescent="0.3">
      <c r="A12328" s="678"/>
    </row>
    <row r="12329" spans="1:1" x14ac:dyDescent="0.3">
      <c r="A12329" s="678"/>
    </row>
    <row r="12330" spans="1:1" x14ac:dyDescent="0.3">
      <c r="A12330" s="678"/>
    </row>
    <row r="12331" spans="1:1" x14ac:dyDescent="0.3">
      <c r="A12331" s="678"/>
    </row>
    <row r="12332" spans="1:1" x14ac:dyDescent="0.3">
      <c r="A12332" s="678"/>
    </row>
    <row r="12333" spans="1:1" x14ac:dyDescent="0.3">
      <c r="A12333" s="678"/>
    </row>
    <row r="12334" spans="1:1" x14ac:dyDescent="0.3">
      <c r="A12334" s="678"/>
    </row>
    <row r="12335" spans="1:1" x14ac:dyDescent="0.3">
      <c r="A12335" s="678"/>
    </row>
    <row r="12336" spans="1:1" x14ac:dyDescent="0.3">
      <c r="A12336" s="678"/>
    </row>
    <row r="12337" spans="1:1" x14ac:dyDescent="0.3">
      <c r="A12337" s="678"/>
    </row>
    <row r="12338" spans="1:1" x14ac:dyDescent="0.3">
      <c r="A12338" s="678"/>
    </row>
    <row r="12339" spans="1:1" x14ac:dyDescent="0.3">
      <c r="A12339" s="678"/>
    </row>
    <row r="12340" spans="1:1" x14ac:dyDescent="0.3">
      <c r="A12340" s="678"/>
    </row>
    <row r="12341" spans="1:1" x14ac:dyDescent="0.3">
      <c r="A12341" s="678"/>
    </row>
    <row r="12342" spans="1:1" x14ac:dyDescent="0.3">
      <c r="A12342" s="678"/>
    </row>
    <row r="12343" spans="1:1" x14ac:dyDescent="0.3">
      <c r="A12343" s="678"/>
    </row>
    <row r="12344" spans="1:1" x14ac:dyDescent="0.3">
      <c r="A12344" s="678"/>
    </row>
    <row r="12345" spans="1:1" x14ac:dyDescent="0.3">
      <c r="A12345" s="678"/>
    </row>
    <row r="12346" spans="1:1" x14ac:dyDescent="0.3">
      <c r="A12346" s="678"/>
    </row>
    <row r="12347" spans="1:1" x14ac:dyDescent="0.3">
      <c r="A12347" s="678"/>
    </row>
    <row r="12348" spans="1:1" x14ac:dyDescent="0.3">
      <c r="A12348" s="678"/>
    </row>
    <row r="12349" spans="1:1" x14ac:dyDescent="0.3">
      <c r="A12349" s="678"/>
    </row>
    <row r="12350" spans="1:1" x14ac:dyDescent="0.3">
      <c r="A12350" s="678"/>
    </row>
    <row r="12351" spans="1:1" x14ac:dyDescent="0.3">
      <c r="A12351" s="678"/>
    </row>
    <row r="12352" spans="1:1" x14ac:dyDescent="0.3">
      <c r="A12352" s="678"/>
    </row>
    <row r="12353" spans="1:1" x14ac:dyDescent="0.3">
      <c r="A12353" s="678"/>
    </row>
    <row r="12354" spans="1:1" x14ac:dyDescent="0.3">
      <c r="A12354" s="678"/>
    </row>
    <row r="12355" spans="1:1" x14ac:dyDescent="0.3">
      <c r="A12355" s="678"/>
    </row>
    <row r="12356" spans="1:1" x14ac:dyDescent="0.3">
      <c r="A12356" s="678"/>
    </row>
    <row r="12357" spans="1:1" x14ac:dyDescent="0.3">
      <c r="A12357" s="678"/>
    </row>
    <row r="12358" spans="1:1" x14ac:dyDescent="0.3">
      <c r="A12358" s="678"/>
    </row>
    <row r="12359" spans="1:1" x14ac:dyDescent="0.3">
      <c r="A12359" s="678"/>
    </row>
    <row r="12360" spans="1:1" x14ac:dyDescent="0.3">
      <c r="A12360" s="678"/>
    </row>
    <row r="12361" spans="1:1" x14ac:dyDescent="0.3">
      <c r="A12361" s="678"/>
    </row>
    <row r="12362" spans="1:1" x14ac:dyDescent="0.3">
      <c r="A12362" s="678"/>
    </row>
    <row r="12363" spans="1:1" x14ac:dyDescent="0.3">
      <c r="A12363" s="678"/>
    </row>
    <row r="12364" spans="1:1" x14ac:dyDescent="0.3">
      <c r="A12364" s="678"/>
    </row>
    <row r="12365" spans="1:1" x14ac:dyDescent="0.3">
      <c r="A12365" s="678"/>
    </row>
    <row r="12366" spans="1:1" x14ac:dyDescent="0.3">
      <c r="A12366" s="678"/>
    </row>
    <row r="12367" spans="1:1" x14ac:dyDescent="0.3">
      <c r="A12367" s="678"/>
    </row>
    <row r="12368" spans="1:1" x14ac:dyDescent="0.3">
      <c r="A12368" s="678"/>
    </row>
    <row r="12369" spans="1:1" x14ac:dyDescent="0.3">
      <c r="A12369" s="678"/>
    </row>
    <row r="12370" spans="1:1" x14ac:dyDescent="0.3">
      <c r="A12370" s="678"/>
    </row>
    <row r="12371" spans="1:1" x14ac:dyDescent="0.3">
      <c r="A12371" s="678"/>
    </row>
    <row r="12372" spans="1:1" x14ac:dyDescent="0.3">
      <c r="A12372" s="678"/>
    </row>
    <row r="12373" spans="1:1" x14ac:dyDescent="0.3">
      <c r="A12373" s="678"/>
    </row>
    <row r="12374" spans="1:1" x14ac:dyDescent="0.3">
      <c r="A12374" s="678"/>
    </row>
    <row r="12375" spans="1:1" x14ac:dyDescent="0.3">
      <c r="A12375" s="678"/>
    </row>
    <row r="12376" spans="1:1" x14ac:dyDescent="0.3">
      <c r="A12376" s="678"/>
    </row>
    <row r="12377" spans="1:1" x14ac:dyDescent="0.3">
      <c r="A12377" s="678"/>
    </row>
    <row r="12378" spans="1:1" x14ac:dyDescent="0.3">
      <c r="A12378" s="678"/>
    </row>
    <row r="12379" spans="1:1" x14ac:dyDescent="0.3">
      <c r="A12379" s="678"/>
    </row>
    <row r="12380" spans="1:1" x14ac:dyDescent="0.3">
      <c r="A12380" s="678"/>
    </row>
    <row r="12381" spans="1:1" x14ac:dyDescent="0.3">
      <c r="A12381" s="678"/>
    </row>
    <row r="12382" spans="1:1" x14ac:dyDescent="0.3">
      <c r="A12382" s="678"/>
    </row>
    <row r="12383" spans="1:1" x14ac:dyDescent="0.3">
      <c r="A12383" s="678"/>
    </row>
    <row r="12384" spans="1:1" x14ac:dyDescent="0.3">
      <c r="A12384" s="678"/>
    </row>
    <row r="12385" spans="1:1" x14ac:dyDescent="0.3">
      <c r="A12385" s="678"/>
    </row>
    <row r="12386" spans="1:1" x14ac:dyDescent="0.3">
      <c r="A12386" s="678"/>
    </row>
    <row r="12387" spans="1:1" x14ac:dyDescent="0.3">
      <c r="A12387" s="678"/>
    </row>
    <row r="12388" spans="1:1" x14ac:dyDescent="0.3">
      <c r="A12388" s="678"/>
    </row>
    <row r="12389" spans="1:1" x14ac:dyDescent="0.3">
      <c r="A12389" s="678"/>
    </row>
    <row r="12390" spans="1:1" x14ac:dyDescent="0.3">
      <c r="A12390" s="678"/>
    </row>
    <row r="12391" spans="1:1" x14ac:dyDescent="0.3">
      <c r="A12391" s="678"/>
    </row>
    <row r="12392" spans="1:1" x14ac:dyDescent="0.3">
      <c r="A12392" s="678"/>
    </row>
    <row r="12393" spans="1:1" x14ac:dyDescent="0.3">
      <c r="A12393" s="678"/>
    </row>
    <row r="12394" spans="1:1" x14ac:dyDescent="0.3">
      <c r="A12394" s="678"/>
    </row>
    <row r="12395" spans="1:1" x14ac:dyDescent="0.3">
      <c r="A12395" s="678"/>
    </row>
    <row r="12396" spans="1:1" x14ac:dyDescent="0.3">
      <c r="A12396" s="678"/>
    </row>
    <row r="12397" spans="1:1" x14ac:dyDescent="0.3">
      <c r="A12397" s="678"/>
    </row>
    <row r="12398" spans="1:1" x14ac:dyDescent="0.3">
      <c r="A12398" s="678"/>
    </row>
    <row r="12399" spans="1:1" x14ac:dyDescent="0.3">
      <c r="A12399" s="678"/>
    </row>
    <row r="12400" spans="1:1" x14ac:dyDescent="0.3">
      <c r="A12400" s="678"/>
    </row>
    <row r="12401" spans="1:1" x14ac:dyDescent="0.3">
      <c r="A12401" s="678"/>
    </row>
    <row r="12402" spans="1:1" x14ac:dyDescent="0.3">
      <c r="A12402" s="678"/>
    </row>
    <row r="12403" spans="1:1" x14ac:dyDescent="0.3">
      <c r="A12403" s="678"/>
    </row>
    <row r="12404" spans="1:1" x14ac:dyDescent="0.3">
      <c r="A12404" s="678"/>
    </row>
    <row r="12405" spans="1:1" x14ac:dyDescent="0.3">
      <c r="A12405" s="678"/>
    </row>
    <row r="12406" spans="1:1" x14ac:dyDescent="0.3">
      <c r="A12406" s="678"/>
    </row>
    <row r="12407" spans="1:1" x14ac:dyDescent="0.3">
      <c r="A12407" s="678"/>
    </row>
    <row r="12408" spans="1:1" x14ac:dyDescent="0.3">
      <c r="A12408" s="678"/>
    </row>
    <row r="12409" spans="1:1" x14ac:dyDescent="0.3">
      <c r="A12409" s="678"/>
    </row>
    <row r="12410" spans="1:1" x14ac:dyDescent="0.3">
      <c r="A12410" s="678"/>
    </row>
    <row r="12411" spans="1:1" x14ac:dyDescent="0.3">
      <c r="A12411" s="678"/>
    </row>
    <row r="12412" spans="1:1" x14ac:dyDescent="0.3">
      <c r="A12412" s="678"/>
    </row>
    <row r="12413" spans="1:1" x14ac:dyDescent="0.3">
      <c r="A12413" s="678"/>
    </row>
    <row r="12414" spans="1:1" x14ac:dyDescent="0.3">
      <c r="A12414" s="678"/>
    </row>
    <row r="12415" spans="1:1" x14ac:dyDescent="0.3">
      <c r="A12415" s="678"/>
    </row>
    <row r="12416" spans="1:1" x14ac:dyDescent="0.3">
      <c r="A12416" s="678"/>
    </row>
    <row r="12417" spans="1:1" x14ac:dyDescent="0.3">
      <c r="A12417" s="678"/>
    </row>
    <row r="12418" spans="1:1" x14ac:dyDescent="0.3">
      <c r="A12418" s="678"/>
    </row>
    <row r="12419" spans="1:1" x14ac:dyDescent="0.3">
      <c r="A12419" s="678"/>
    </row>
    <row r="12420" spans="1:1" x14ac:dyDescent="0.3">
      <c r="A12420" s="678"/>
    </row>
    <row r="12421" spans="1:1" x14ac:dyDescent="0.3">
      <c r="A12421" s="678"/>
    </row>
    <row r="12422" spans="1:1" x14ac:dyDescent="0.3">
      <c r="A12422" s="678"/>
    </row>
    <row r="12423" spans="1:1" x14ac:dyDescent="0.3">
      <c r="A12423" s="678"/>
    </row>
    <row r="12424" spans="1:1" x14ac:dyDescent="0.3">
      <c r="A12424" s="678"/>
    </row>
    <row r="12425" spans="1:1" x14ac:dyDescent="0.3">
      <c r="A12425" s="678"/>
    </row>
    <row r="12426" spans="1:1" x14ac:dyDescent="0.3">
      <c r="A12426" s="678"/>
    </row>
    <row r="12427" spans="1:1" x14ac:dyDescent="0.3">
      <c r="A12427" s="678"/>
    </row>
    <row r="12428" spans="1:1" x14ac:dyDescent="0.3">
      <c r="A12428" s="678"/>
    </row>
    <row r="12429" spans="1:1" x14ac:dyDescent="0.3">
      <c r="A12429" s="678"/>
    </row>
    <row r="12430" spans="1:1" x14ac:dyDescent="0.3">
      <c r="A12430" s="678"/>
    </row>
    <row r="12431" spans="1:1" x14ac:dyDescent="0.3">
      <c r="A12431" s="678"/>
    </row>
    <row r="12432" spans="1:1" x14ac:dyDescent="0.3">
      <c r="A12432" s="678"/>
    </row>
    <row r="12433" spans="1:1" x14ac:dyDescent="0.3">
      <c r="A12433" s="678"/>
    </row>
    <row r="12434" spans="1:1" x14ac:dyDescent="0.3">
      <c r="A12434" s="678"/>
    </row>
    <row r="12435" spans="1:1" x14ac:dyDescent="0.3">
      <c r="A12435" s="678"/>
    </row>
    <row r="12436" spans="1:1" x14ac:dyDescent="0.3">
      <c r="A12436" s="678"/>
    </row>
    <row r="12437" spans="1:1" x14ac:dyDescent="0.3">
      <c r="A12437" s="678"/>
    </row>
    <row r="12438" spans="1:1" x14ac:dyDescent="0.3">
      <c r="A12438" s="678"/>
    </row>
    <row r="12439" spans="1:1" x14ac:dyDescent="0.3">
      <c r="A12439" s="678"/>
    </row>
    <row r="12440" spans="1:1" x14ac:dyDescent="0.3">
      <c r="A12440" s="678"/>
    </row>
    <row r="12441" spans="1:1" x14ac:dyDescent="0.3">
      <c r="A12441" s="678"/>
    </row>
    <row r="12442" spans="1:1" x14ac:dyDescent="0.3">
      <c r="A12442" s="678"/>
    </row>
    <row r="12443" spans="1:1" x14ac:dyDescent="0.3">
      <c r="A12443" s="678"/>
    </row>
    <row r="12444" spans="1:1" x14ac:dyDescent="0.3">
      <c r="A12444" s="678"/>
    </row>
    <row r="12445" spans="1:1" x14ac:dyDescent="0.3">
      <c r="A12445" s="678"/>
    </row>
    <row r="12446" spans="1:1" x14ac:dyDescent="0.3">
      <c r="A12446" s="678"/>
    </row>
    <row r="12447" spans="1:1" x14ac:dyDescent="0.3">
      <c r="A12447" s="678"/>
    </row>
    <row r="12448" spans="1:1" x14ac:dyDescent="0.3">
      <c r="A12448" s="678"/>
    </row>
    <row r="12449" spans="1:1" x14ac:dyDescent="0.3">
      <c r="A12449" s="678"/>
    </row>
    <row r="12450" spans="1:1" x14ac:dyDescent="0.3">
      <c r="A12450" s="678"/>
    </row>
    <row r="12451" spans="1:1" x14ac:dyDescent="0.3">
      <c r="A12451" s="678"/>
    </row>
    <row r="12452" spans="1:1" x14ac:dyDescent="0.3">
      <c r="A12452" s="678"/>
    </row>
    <row r="12453" spans="1:1" x14ac:dyDescent="0.3">
      <c r="A12453" s="678"/>
    </row>
    <row r="12454" spans="1:1" x14ac:dyDescent="0.3">
      <c r="A12454" s="678"/>
    </row>
    <row r="12455" spans="1:1" x14ac:dyDescent="0.3">
      <c r="A12455" s="678"/>
    </row>
    <row r="12456" spans="1:1" x14ac:dyDescent="0.3">
      <c r="A12456" s="678"/>
    </row>
    <row r="12457" spans="1:1" x14ac:dyDescent="0.3">
      <c r="A12457" s="678"/>
    </row>
    <row r="12458" spans="1:1" x14ac:dyDescent="0.3">
      <c r="A12458" s="678"/>
    </row>
    <row r="12459" spans="1:1" x14ac:dyDescent="0.3">
      <c r="A12459" s="678"/>
    </row>
    <row r="12460" spans="1:1" x14ac:dyDescent="0.3">
      <c r="A12460" s="678"/>
    </row>
    <row r="12461" spans="1:1" x14ac:dyDescent="0.3">
      <c r="A12461" s="678"/>
    </row>
    <row r="12462" spans="1:1" x14ac:dyDescent="0.3">
      <c r="A12462" s="678"/>
    </row>
    <row r="12463" spans="1:1" x14ac:dyDescent="0.3">
      <c r="A12463" s="678"/>
    </row>
    <row r="12464" spans="1:1" x14ac:dyDescent="0.3">
      <c r="A12464" s="678"/>
    </row>
    <row r="12465" spans="1:1" x14ac:dyDescent="0.3">
      <c r="A12465" s="678"/>
    </row>
    <row r="12466" spans="1:1" x14ac:dyDescent="0.3">
      <c r="A12466" s="678"/>
    </row>
    <row r="12467" spans="1:1" x14ac:dyDescent="0.3">
      <c r="A12467" s="678"/>
    </row>
    <row r="12468" spans="1:1" x14ac:dyDescent="0.3">
      <c r="A12468" s="678"/>
    </row>
    <row r="12469" spans="1:1" x14ac:dyDescent="0.3">
      <c r="A12469" s="678"/>
    </row>
    <row r="12470" spans="1:1" x14ac:dyDescent="0.3">
      <c r="A12470" s="678"/>
    </row>
    <row r="12471" spans="1:1" x14ac:dyDescent="0.3">
      <c r="A12471" s="678"/>
    </row>
    <row r="12472" spans="1:1" x14ac:dyDescent="0.3">
      <c r="A12472" s="678"/>
    </row>
    <row r="12473" spans="1:1" x14ac:dyDescent="0.3">
      <c r="A12473" s="678"/>
    </row>
    <row r="12474" spans="1:1" x14ac:dyDescent="0.3">
      <c r="A12474" s="678"/>
    </row>
    <row r="12475" spans="1:1" x14ac:dyDescent="0.3">
      <c r="A12475" s="678"/>
    </row>
    <row r="12476" spans="1:1" x14ac:dyDescent="0.3">
      <c r="A12476" s="678"/>
    </row>
    <row r="12477" spans="1:1" x14ac:dyDescent="0.3">
      <c r="A12477" s="678"/>
    </row>
    <row r="12478" spans="1:1" x14ac:dyDescent="0.3">
      <c r="A12478" s="678"/>
    </row>
    <row r="12479" spans="1:1" x14ac:dyDescent="0.3">
      <c r="A12479" s="678"/>
    </row>
    <row r="12480" spans="1:1" x14ac:dyDescent="0.3">
      <c r="A12480" s="678"/>
    </row>
    <row r="12481" spans="1:1" x14ac:dyDescent="0.3">
      <c r="A12481" s="678"/>
    </row>
    <row r="12482" spans="1:1" x14ac:dyDescent="0.3">
      <c r="A12482" s="678"/>
    </row>
    <row r="12483" spans="1:1" x14ac:dyDescent="0.3">
      <c r="A12483" s="678"/>
    </row>
    <row r="12484" spans="1:1" x14ac:dyDescent="0.3">
      <c r="A12484" s="678"/>
    </row>
    <row r="12485" spans="1:1" x14ac:dyDescent="0.3">
      <c r="A12485" s="678"/>
    </row>
    <row r="12486" spans="1:1" x14ac:dyDescent="0.3">
      <c r="A12486" s="678"/>
    </row>
    <row r="12487" spans="1:1" x14ac:dyDescent="0.3">
      <c r="A12487" s="678"/>
    </row>
    <row r="12488" spans="1:1" x14ac:dyDescent="0.3">
      <c r="A12488" s="678"/>
    </row>
    <row r="12489" spans="1:1" x14ac:dyDescent="0.3">
      <c r="A12489" s="678"/>
    </row>
    <row r="12490" spans="1:1" x14ac:dyDescent="0.3">
      <c r="A12490" s="678"/>
    </row>
    <row r="12491" spans="1:1" x14ac:dyDescent="0.3">
      <c r="A12491" s="678"/>
    </row>
    <row r="12492" spans="1:1" x14ac:dyDescent="0.3">
      <c r="A12492" s="678"/>
    </row>
    <row r="12493" spans="1:1" x14ac:dyDescent="0.3">
      <c r="A12493" s="678"/>
    </row>
    <row r="12494" spans="1:1" x14ac:dyDescent="0.3">
      <c r="A12494" s="678"/>
    </row>
    <row r="12495" spans="1:1" x14ac:dyDescent="0.3">
      <c r="A12495" s="678"/>
    </row>
    <row r="12496" spans="1:1" x14ac:dyDescent="0.3">
      <c r="A12496" s="678"/>
    </row>
    <row r="12497" spans="1:1" x14ac:dyDescent="0.3">
      <c r="A12497" s="678"/>
    </row>
    <row r="12498" spans="1:1" x14ac:dyDescent="0.3">
      <c r="A12498" s="678"/>
    </row>
    <row r="12499" spans="1:1" x14ac:dyDescent="0.3">
      <c r="A12499" s="678"/>
    </row>
    <row r="12500" spans="1:1" x14ac:dyDescent="0.3">
      <c r="A12500" s="678"/>
    </row>
    <row r="12501" spans="1:1" x14ac:dyDescent="0.3">
      <c r="A12501" s="678"/>
    </row>
    <row r="12502" spans="1:1" x14ac:dyDescent="0.3">
      <c r="A12502" s="678"/>
    </row>
    <row r="12503" spans="1:1" x14ac:dyDescent="0.3">
      <c r="A12503" s="678"/>
    </row>
    <row r="12504" spans="1:1" x14ac:dyDescent="0.3">
      <c r="A12504" s="678"/>
    </row>
    <row r="12505" spans="1:1" x14ac:dyDescent="0.3">
      <c r="A12505" s="678"/>
    </row>
    <row r="12506" spans="1:1" x14ac:dyDescent="0.3">
      <c r="A12506" s="678"/>
    </row>
    <row r="12507" spans="1:1" x14ac:dyDescent="0.3">
      <c r="A12507" s="678"/>
    </row>
    <row r="12508" spans="1:1" x14ac:dyDescent="0.3">
      <c r="A12508" s="678"/>
    </row>
    <row r="12509" spans="1:1" x14ac:dyDescent="0.3">
      <c r="A12509" s="678"/>
    </row>
    <row r="12510" spans="1:1" x14ac:dyDescent="0.3">
      <c r="A12510" s="678"/>
    </row>
    <row r="12511" spans="1:1" x14ac:dyDescent="0.3">
      <c r="A12511" s="678"/>
    </row>
    <row r="12512" spans="1:1" x14ac:dyDescent="0.3">
      <c r="A12512" s="678"/>
    </row>
    <row r="12513" spans="1:1" x14ac:dyDescent="0.3">
      <c r="A12513" s="678"/>
    </row>
    <row r="12514" spans="1:1" x14ac:dyDescent="0.3">
      <c r="A12514" s="678"/>
    </row>
    <row r="12515" spans="1:1" x14ac:dyDescent="0.3">
      <c r="A12515" s="678"/>
    </row>
    <row r="12516" spans="1:1" x14ac:dyDescent="0.3">
      <c r="A12516" s="678"/>
    </row>
    <row r="12517" spans="1:1" x14ac:dyDescent="0.3">
      <c r="A12517" s="678"/>
    </row>
    <row r="12518" spans="1:1" x14ac:dyDescent="0.3">
      <c r="A12518" s="678"/>
    </row>
    <row r="12519" spans="1:1" x14ac:dyDescent="0.3">
      <c r="A12519" s="678"/>
    </row>
    <row r="12520" spans="1:1" x14ac:dyDescent="0.3">
      <c r="A12520" s="678"/>
    </row>
    <row r="12521" spans="1:1" x14ac:dyDescent="0.3">
      <c r="A12521" s="678"/>
    </row>
    <row r="12522" spans="1:1" x14ac:dyDescent="0.3">
      <c r="A12522" s="678"/>
    </row>
    <row r="12523" spans="1:1" x14ac:dyDescent="0.3">
      <c r="A12523" s="678"/>
    </row>
    <row r="12524" spans="1:1" x14ac:dyDescent="0.3">
      <c r="A12524" s="678"/>
    </row>
    <row r="12525" spans="1:1" x14ac:dyDescent="0.3">
      <c r="A12525" s="678"/>
    </row>
    <row r="12526" spans="1:1" x14ac:dyDescent="0.3">
      <c r="A12526" s="678"/>
    </row>
    <row r="12527" spans="1:1" x14ac:dyDescent="0.3">
      <c r="A12527" s="678"/>
    </row>
    <row r="12528" spans="1:1" x14ac:dyDescent="0.3">
      <c r="A12528" s="678"/>
    </row>
    <row r="12529" spans="1:1" x14ac:dyDescent="0.3">
      <c r="A12529" s="678"/>
    </row>
    <row r="12530" spans="1:1" x14ac:dyDescent="0.3">
      <c r="A12530" s="678"/>
    </row>
    <row r="12531" spans="1:1" x14ac:dyDescent="0.3">
      <c r="A12531" s="678"/>
    </row>
    <row r="12532" spans="1:1" x14ac:dyDescent="0.3">
      <c r="A12532" s="678"/>
    </row>
    <row r="12533" spans="1:1" x14ac:dyDescent="0.3">
      <c r="A12533" s="678"/>
    </row>
    <row r="12534" spans="1:1" x14ac:dyDescent="0.3">
      <c r="A12534" s="678"/>
    </row>
    <row r="12535" spans="1:1" x14ac:dyDescent="0.3">
      <c r="A12535" s="678"/>
    </row>
    <row r="12536" spans="1:1" x14ac:dyDescent="0.3">
      <c r="A12536" s="678"/>
    </row>
    <row r="12537" spans="1:1" x14ac:dyDescent="0.3">
      <c r="A12537" s="678"/>
    </row>
    <row r="12538" spans="1:1" x14ac:dyDescent="0.3">
      <c r="A12538" s="678"/>
    </row>
    <row r="12539" spans="1:1" x14ac:dyDescent="0.3">
      <c r="A12539" s="678"/>
    </row>
    <row r="12540" spans="1:1" x14ac:dyDescent="0.3">
      <c r="A12540" s="678"/>
    </row>
    <row r="12541" spans="1:1" x14ac:dyDescent="0.3">
      <c r="A12541" s="678"/>
    </row>
    <row r="12542" spans="1:1" x14ac:dyDescent="0.3">
      <c r="A12542" s="678"/>
    </row>
    <row r="12543" spans="1:1" x14ac:dyDescent="0.3">
      <c r="A12543" s="678"/>
    </row>
    <row r="12544" spans="1:1" x14ac:dyDescent="0.3">
      <c r="A12544" s="678"/>
    </row>
    <row r="12545" spans="1:1" x14ac:dyDescent="0.3">
      <c r="A12545" s="678"/>
    </row>
    <row r="12546" spans="1:1" x14ac:dyDescent="0.3">
      <c r="A12546" s="678"/>
    </row>
    <row r="12547" spans="1:1" x14ac:dyDescent="0.3">
      <c r="A12547" s="678"/>
    </row>
    <row r="12548" spans="1:1" x14ac:dyDescent="0.3">
      <c r="A12548" s="678"/>
    </row>
    <row r="12549" spans="1:1" x14ac:dyDescent="0.3">
      <c r="A12549" s="678"/>
    </row>
    <row r="12550" spans="1:1" x14ac:dyDescent="0.3">
      <c r="A12550" s="678"/>
    </row>
    <row r="12551" spans="1:1" x14ac:dyDescent="0.3">
      <c r="A12551" s="678"/>
    </row>
    <row r="12552" spans="1:1" x14ac:dyDescent="0.3">
      <c r="A12552" s="678"/>
    </row>
    <row r="12553" spans="1:1" x14ac:dyDescent="0.3">
      <c r="A12553" s="678"/>
    </row>
    <row r="12554" spans="1:1" x14ac:dyDescent="0.3">
      <c r="A12554" s="678"/>
    </row>
    <row r="12555" spans="1:1" x14ac:dyDescent="0.3">
      <c r="A12555" s="678"/>
    </row>
    <row r="12556" spans="1:1" x14ac:dyDescent="0.3">
      <c r="A12556" s="678"/>
    </row>
    <row r="12557" spans="1:1" x14ac:dyDescent="0.3">
      <c r="A12557" s="678"/>
    </row>
    <row r="12558" spans="1:1" x14ac:dyDescent="0.3">
      <c r="A12558" s="678"/>
    </row>
    <row r="12559" spans="1:1" x14ac:dyDescent="0.3">
      <c r="A12559" s="678"/>
    </row>
    <row r="12560" spans="1:1" x14ac:dyDescent="0.3">
      <c r="A12560" s="678"/>
    </row>
    <row r="12561" spans="1:1" x14ac:dyDescent="0.3">
      <c r="A12561" s="678"/>
    </row>
    <row r="12562" spans="1:1" x14ac:dyDescent="0.3">
      <c r="A12562" s="678"/>
    </row>
    <row r="12563" spans="1:1" x14ac:dyDescent="0.3">
      <c r="A12563" s="678"/>
    </row>
    <row r="12564" spans="1:1" x14ac:dyDescent="0.3">
      <c r="A12564" s="678"/>
    </row>
    <row r="12565" spans="1:1" x14ac:dyDescent="0.3">
      <c r="A12565" s="678"/>
    </row>
    <row r="12566" spans="1:1" x14ac:dyDescent="0.3">
      <c r="A12566" s="678"/>
    </row>
    <row r="12567" spans="1:1" x14ac:dyDescent="0.3">
      <c r="A12567" s="678"/>
    </row>
    <row r="12568" spans="1:1" x14ac:dyDescent="0.3">
      <c r="A12568" s="678"/>
    </row>
    <row r="12569" spans="1:1" x14ac:dyDescent="0.3">
      <c r="A12569" s="678"/>
    </row>
    <row r="12570" spans="1:1" x14ac:dyDescent="0.3">
      <c r="A12570" s="678"/>
    </row>
    <row r="12571" spans="1:1" x14ac:dyDescent="0.3">
      <c r="A12571" s="678"/>
    </row>
    <row r="12572" spans="1:1" x14ac:dyDescent="0.3">
      <c r="A12572" s="678"/>
    </row>
    <row r="12573" spans="1:1" x14ac:dyDescent="0.3">
      <c r="A12573" s="678"/>
    </row>
    <row r="12574" spans="1:1" x14ac:dyDescent="0.3">
      <c r="A12574" s="678"/>
    </row>
    <row r="12575" spans="1:1" x14ac:dyDescent="0.3">
      <c r="A12575" s="678"/>
    </row>
    <row r="12576" spans="1:1" x14ac:dyDescent="0.3">
      <c r="A12576" s="678"/>
    </row>
    <row r="12577" spans="1:1" x14ac:dyDescent="0.3">
      <c r="A12577" s="678"/>
    </row>
    <row r="12578" spans="1:1" x14ac:dyDescent="0.3">
      <c r="A12578" s="678"/>
    </row>
    <row r="12579" spans="1:1" x14ac:dyDescent="0.3">
      <c r="A12579" s="678"/>
    </row>
    <row r="12580" spans="1:1" x14ac:dyDescent="0.3">
      <c r="A12580" s="678"/>
    </row>
    <row r="12581" spans="1:1" x14ac:dyDescent="0.3">
      <c r="A12581" s="678"/>
    </row>
    <row r="12582" spans="1:1" x14ac:dyDescent="0.3">
      <c r="A12582" s="678"/>
    </row>
    <row r="12583" spans="1:1" x14ac:dyDescent="0.3">
      <c r="A12583" s="678"/>
    </row>
    <row r="12584" spans="1:1" x14ac:dyDescent="0.3">
      <c r="A12584" s="678"/>
    </row>
    <row r="12585" spans="1:1" x14ac:dyDescent="0.3">
      <c r="A12585" s="678"/>
    </row>
    <row r="12586" spans="1:1" x14ac:dyDescent="0.3">
      <c r="A12586" s="678"/>
    </row>
    <row r="12587" spans="1:1" x14ac:dyDescent="0.3">
      <c r="A12587" s="678"/>
    </row>
    <row r="12588" spans="1:1" x14ac:dyDescent="0.3">
      <c r="A12588" s="678"/>
    </row>
    <row r="12589" spans="1:1" x14ac:dyDescent="0.3">
      <c r="A12589" s="678"/>
    </row>
    <row r="12590" spans="1:1" x14ac:dyDescent="0.3">
      <c r="A12590" s="678"/>
    </row>
    <row r="12591" spans="1:1" x14ac:dyDescent="0.3">
      <c r="A12591" s="678"/>
    </row>
    <row r="12592" spans="1:1" x14ac:dyDescent="0.3">
      <c r="A12592" s="678"/>
    </row>
    <row r="12593" spans="1:1" x14ac:dyDescent="0.3">
      <c r="A12593" s="678"/>
    </row>
    <row r="12594" spans="1:1" x14ac:dyDescent="0.3">
      <c r="A12594" s="678"/>
    </row>
    <row r="12595" spans="1:1" x14ac:dyDescent="0.3">
      <c r="A12595" s="678"/>
    </row>
    <row r="12596" spans="1:1" x14ac:dyDescent="0.3">
      <c r="A12596" s="678"/>
    </row>
    <row r="12597" spans="1:1" x14ac:dyDescent="0.3">
      <c r="A12597" s="678"/>
    </row>
    <row r="12598" spans="1:1" x14ac:dyDescent="0.3">
      <c r="A12598" s="678"/>
    </row>
    <row r="12599" spans="1:1" x14ac:dyDescent="0.3">
      <c r="A12599" s="678"/>
    </row>
    <row r="12600" spans="1:1" x14ac:dyDescent="0.3">
      <c r="A12600" s="678"/>
    </row>
    <row r="12601" spans="1:1" x14ac:dyDescent="0.3">
      <c r="A12601" s="678"/>
    </row>
    <row r="12602" spans="1:1" x14ac:dyDescent="0.3">
      <c r="A12602" s="678"/>
    </row>
    <row r="12603" spans="1:1" x14ac:dyDescent="0.3">
      <c r="A12603" s="678"/>
    </row>
    <row r="12604" spans="1:1" x14ac:dyDescent="0.3">
      <c r="A12604" s="678"/>
    </row>
    <row r="12605" spans="1:1" x14ac:dyDescent="0.3">
      <c r="A12605" s="678"/>
    </row>
    <row r="12606" spans="1:1" x14ac:dyDescent="0.3">
      <c r="A12606" s="678"/>
    </row>
    <row r="12607" spans="1:1" x14ac:dyDescent="0.3">
      <c r="A12607" s="678"/>
    </row>
    <row r="12608" spans="1:1" x14ac:dyDescent="0.3">
      <c r="A12608" s="678"/>
    </row>
    <row r="12609" spans="1:1" x14ac:dyDescent="0.3">
      <c r="A12609" s="678"/>
    </row>
    <row r="12610" spans="1:1" x14ac:dyDescent="0.3">
      <c r="A12610" s="678"/>
    </row>
    <row r="12611" spans="1:1" x14ac:dyDescent="0.3">
      <c r="A12611" s="678"/>
    </row>
    <row r="12612" spans="1:1" x14ac:dyDescent="0.3">
      <c r="A12612" s="678"/>
    </row>
    <row r="12613" spans="1:1" x14ac:dyDescent="0.3">
      <c r="A12613" s="678"/>
    </row>
    <row r="12614" spans="1:1" x14ac:dyDescent="0.3">
      <c r="A12614" s="678"/>
    </row>
    <row r="12615" spans="1:1" x14ac:dyDescent="0.3">
      <c r="A12615" s="678"/>
    </row>
    <row r="12616" spans="1:1" x14ac:dyDescent="0.3">
      <c r="A12616" s="678"/>
    </row>
    <row r="12617" spans="1:1" x14ac:dyDescent="0.3">
      <c r="A12617" s="678"/>
    </row>
    <row r="12618" spans="1:1" x14ac:dyDescent="0.3">
      <c r="A12618" s="678"/>
    </row>
    <row r="12619" spans="1:1" x14ac:dyDescent="0.3">
      <c r="A12619" s="678"/>
    </row>
    <row r="12620" spans="1:1" x14ac:dyDescent="0.3">
      <c r="A12620" s="678"/>
    </row>
    <row r="12621" spans="1:1" x14ac:dyDescent="0.3">
      <c r="A12621" s="678"/>
    </row>
    <row r="12622" spans="1:1" x14ac:dyDescent="0.3">
      <c r="A12622" s="678"/>
    </row>
    <row r="12623" spans="1:1" x14ac:dyDescent="0.3">
      <c r="A12623" s="678"/>
    </row>
    <row r="12624" spans="1:1" x14ac:dyDescent="0.3">
      <c r="A12624" s="678"/>
    </row>
    <row r="12625" spans="1:1" x14ac:dyDescent="0.3">
      <c r="A12625" s="678"/>
    </row>
    <row r="12626" spans="1:1" x14ac:dyDescent="0.3">
      <c r="A12626" s="678"/>
    </row>
    <row r="12627" spans="1:1" x14ac:dyDescent="0.3">
      <c r="A12627" s="678"/>
    </row>
    <row r="12628" spans="1:1" x14ac:dyDescent="0.3">
      <c r="A12628" s="678"/>
    </row>
    <row r="12629" spans="1:1" x14ac:dyDescent="0.3">
      <c r="A12629" s="678"/>
    </row>
    <row r="12630" spans="1:1" x14ac:dyDescent="0.3">
      <c r="A12630" s="678"/>
    </row>
    <row r="12631" spans="1:1" x14ac:dyDescent="0.3">
      <c r="A12631" s="678"/>
    </row>
    <row r="12632" spans="1:1" x14ac:dyDescent="0.3">
      <c r="A12632" s="678"/>
    </row>
    <row r="12633" spans="1:1" x14ac:dyDescent="0.3">
      <c r="A12633" s="678"/>
    </row>
    <row r="12634" spans="1:1" x14ac:dyDescent="0.3">
      <c r="A12634" s="678"/>
    </row>
    <row r="12635" spans="1:1" x14ac:dyDescent="0.3">
      <c r="A12635" s="678"/>
    </row>
    <row r="12636" spans="1:1" x14ac:dyDescent="0.3">
      <c r="A12636" s="678"/>
    </row>
    <row r="12637" spans="1:1" x14ac:dyDescent="0.3">
      <c r="A12637" s="678"/>
    </row>
    <row r="12638" spans="1:1" x14ac:dyDescent="0.3">
      <c r="A12638" s="678"/>
    </row>
    <row r="12639" spans="1:1" x14ac:dyDescent="0.3">
      <c r="A12639" s="678"/>
    </row>
    <row r="12640" spans="1:1" x14ac:dyDescent="0.3">
      <c r="A12640" s="678"/>
    </row>
    <row r="12641" spans="1:1" x14ac:dyDescent="0.3">
      <c r="A12641" s="678"/>
    </row>
    <row r="12642" spans="1:1" x14ac:dyDescent="0.3">
      <c r="A12642" s="678"/>
    </row>
    <row r="12643" spans="1:1" x14ac:dyDescent="0.3">
      <c r="A12643" s="678"/>
    </row>
    <row r="12644" spans="1:1" x14ac:dyDescent="0.3">
      <c r="A12644" s="678"/>
    </row>
    <row r="12645" spans="1:1" x14ac:dyDescent="0.3">
      <c r="A12645" s="678"/>
    </row>
    <row r="12646" spans="1:1" x14ac:dyDescent="0.3">
      <c r="A12646" s="678"/>
    </row>
    <row r="12647" spans="1:1" x14ac:dyDescent="0.3">
      <c r="A12647" s="678"/>
    </row>
    <row r="12648" spans="1:1" x14ac:dyDescent="0.3">
      <c r="A12648" s="678"/>
    </row>
    <row r="12649" spans="1:1" x14ac:dyDescent="0.3">
      <c r="A12649" s="678"/>
    </row>
    <row r="12650" spans="1:1" x14ac:dyDescent="0.3">
      <c r="A12650" s="678"/>
    </row>
    <row r="12651" spans="1:1" x14ac:dyDescent="0.3">
      <c r="A12651" s="678"/>
    </row>
    <row r="12652" spans="1:1" x14ac:dyDescent="0.3">
      <c r="A12652" s="678"/>
    </row>
    <row r="12653" spans="1:1" x14ac:dyDescent="0.3">
      <c r="A12653" s="678"/>
    </row>
    <row r="12654" spans="1:1" x14ac:dyDescent="0.3">
      <c r="A12654" s="678"/>
    </row>
    <row r="12655" spans="1:1" x14ac:dyDescent="0.3">
      <c r="A12655" s="678"/>
    </row>
    <row r="12656" spans="1:1" x14ac:dyDescent="0.3">
      <c r="A12656" s="678"/>
    </row>
    <row r="12657" spans="1:1" x14ac:dyDescent="0.3">
      <c r="A12657" s="678"/>
    </row>
    <row r="12658" spans="1:1" x14ac:dyDescent="0.3">
      <c r="A12658" s="678"/>
    </row>
    <row r="12659" spans="1:1" x14ac:dyDescent="0.3">
      <c r="A12659" s="678"/>
    </row>
    <row r="12660" spans="1:1" x14ac:dyDescent="0.3">
      <c r="A12660" s="678"/>
    </row>
    <row r="12661" spans="1:1" x14ac:dyDescent="0.3">
      <c r="A12661" s="678"/>
    </row>
    <row r="12662" spans="1:1" x14ac:dyDescent="0.3">
      <c r="A12662" s="678"/>
    </row>
    <row r="12663" spans="1:1" x14ac:dyDescent="0.3">
      <c r="A12663" s="678"/>
    </row>
    <row r="12664" spans="1:1" x14ac:dyDescent="0.3">
      <c r="A12664" s="678"/>
    </row>
    <row r="12665" spans="1:1" x14ac:dyDescent="0.3">
      <c r="A12665" s="678"/>
    </row>
    <row r="12666" spans="1:1" x14ac:dyDescent="0.3">
      <c r="A12666" s="678"/>
    </row>
    <row r="12667" spans="1:1" x14ac:dyDescent="0.3">
      <c r="A12667" s="678"/>
    </row>
    <row r="12668" spans="1:1" x14ac:dyDescent="0.3">
      <c r="A12668" s="678"/>
    </row>
    <row r="12669" spans="1:1" x14ac:dyDescent="0.3">
      <c r="A12669" s="678"/>
    </row>
    <row r="12670" spans="1:1" x14ac:dyDescent="0.3">
      <c r="A12670" s="678"/>
    </row>
    <row r="12671" spans="1:1" x14ac:dyDescent="0.3">
      <c r="A12671" s="678"/>
    </row>
    <row r="12672" spans="1:1" x14ac:dyDescent="0.3">
      <c r="A12672" s="678"/>
    </row>
    <row r="12673" spans="1:1" x14ac:dyDescent="0.3">
      <c r="A12673" s="678"/>
    </row>
    <row r="12674" spans="1:1" x14ac:dyDescent="0.3">
      <c r="A12674" s="678"/>
    </row>
    <row r="12675" spans="1:1" x14ac:dyDescent="0.3">
      <c r="A12675" s="678"/>
    </row>
    <row r="12676" spans="1:1" x14ac:dyDescent="0.3">
      <c r="A12676" s="678"/>
    </row>
    <row r="12677" spans="1:1" x14ac:dyDescent="0.3">
      <c r="A12677" s="678"/>
    </row>
    <row r="12678" spans="1:1" x14ac:dyDescent="0.3">
      <c r="A12678" s="678"/>
    </row>
    <row r="12679" spans="1:1" x14ac:dyDescent="0.3">
      <c r="A12679" s="678"/>
    </row>
    <row r="12680" spans="1:1" x14ac:dyDescent="0.3">
      <c r="A12680" s="678"/>
    </row>
    <row r="12681" spans="1:1" x14ac:dyDescent="0.3">
      <c r="A12681" s="678"/>
    </row>
    <row r="12682" spans="1:1" x14ac:dyDescent="0.3">
      <c r="A12682" s="678"/>
    </row>
    <row r="12683" spans="1:1" x14ac:dyDescent="0.3">
      <c r="A12683" s="678"/>
    </row>
    <row r="12684" spans="1:1" x14ac:dyDescent="0.3">
      <c r="A12684" s="678"/>
    </row>
    <row r="12685" spans="1:1" x14ac:dyDescent="0.3">
      <c r="A12685" s="678"/>
    </row>
    <row r="12686" spans="1:1" x14ac:dyDescent="0.3">
      <c r="A12686" s="678"/>
    </row>
    <row r="12687" spans="1:1" x14ac:dyDescent="0.3">
      <c r="A12687" s="678"/>
    </row>
    <row r="12688" spans="1:1" x14ac:dyDescent="0.3">
      <c r="A12688" s="678"/>
    </row>
    <row r="12689" spans="1:1" x14ac:dyDescent="0.3">
      <c r="A12689" s="678"/>
    </row>
    <row r="12690" spans="1:1" x14ac:dyDescent="0.3">
      <c r="A12690" s="678"/>
    </row>
    <row r="12691" spans="1:1" x14ac:dyDescent="0.3">
      <c r="A12691" s="678"/>
    </row>
    <row r="12692" spans="1:1" x14ac:dyDescent="0.3">
      <c r="A12692" s="678"/>
    </row>
    <row r="12693" spans="1:1" x14ac:dyDescent="0.3">
      <c r="A12693" s="678"/>
    </row>
    <row r="12694" spans="1:1" x14ac:dyDescent="0.3">
      <c r="A12694" s="678"/>
    </row>
    <row r="12695" spans="1:1" x14ac:dyDescent="0.3">
      <c r="A12695" s="678"/>
    </row>
    <row r="12696" spans="1:1" x14ac:dyDescent="0.3">
      <c r="A12696" s="678"/>
    </row>
    <row r="12697" spans="1:1" x14ac:dyDescent="0.3">
      <c r="A12697" s="678"/>
    </row>
    <row r="12698" spans="1:1" x14ac:dyDescent="0.3">
      <c r="A12698" s="678"/>
    </row>
    <row r="12699" spans="1:1" x14ac:dyDescent="0.3">
      <c r="A12699" s="678"/>
    </row>
    <row r="12700" spans="1:1" x14ac:dyDescent="0.3">
      <c r="A12700" s="678"/>
    </row>
    <row r="12701" spans="1:1" x14ac:dyDescent="0.3">
      <c r="A12701" s="678"/>
    </row>
    <row r="12702" spans="1:1" x14ac:dyDescent="0.3">
      <c r="A12702" s="678"/>
    </row>
    <row r="12703" spans="1:1" x14ac:dyDescent="0.3">
      <c r="A12703" s="678"/>
    </row>
    <row r="12704" spans="1:1" x14ac:dyDescent="0.3">
      <c r="A12704" s="678"/>
    </row>
    <row r="12705" spans="1:1" x14ac:dyDescent="0.3">
      <c r="A12705" s="678"/>
    </row>
    <row r="12706" spans="1:1" x14ac:dyDescent="0.3">
      <c r="A12706" s="678"/>
    </row>
    <row r="12707" spans="1:1" x14ac:dyDescent="0.3">
      <c r="A12707" s="678"/>
    </row>
    <row r="12708" spans="1:1" x14ac:dyDescent="0.3">
      <c r="A12708" s="678"/>
    </row>
    <row r="12709" spans="1:1" x14ac:dyDescent="0.3">
      <c r="A12709" s="678"/>
    </row>
    <row r="12710" spans="1:1" x14ac:dyDescent="0.3">
      <c r="A12710" s="678"/>
    </row>
    <row r="12711" spans="1:1" x14ac:dyDescent="0.3">
      <c r="A12711" s="678"/>
    </row>
    <row r="12712" spans="1:1" x14ac:dyDescent="0.3">
      <c r="A12712" s="678"/>
    </row>
    <row r="12713" spans="1:1" x14ac:dyDescent="0.3">
      <c r="A12713" s="678"/>
    </row>
    <row r="12714" spans="1:1" x14ac:dyDescent="0.3">
      <c r="A12714" s="678"/>
    </row>
    <row r="12715" spans="1:1" x14ac:dyDescent="0.3">
      <c r="A12715" s="678"/>
    </row>
    <row r="12716" spans="1:1" x14ac:dyDescent="0.3">
      <c r="A12716" s="678"/>
    </row>
    <row r="12717" spans="1:1" x14ac:dyDescent="0.3">
      <c r="A12717" s="678"/>
    </row>
    <row r="12718" spans="1:1" x14ac:dyDescent="0.3">
      <c r="A12718" s="678"/>
    </row>
    <row r="12719" spans="1:1" x14ac:dyDescent="0.3">
      <c r="A12719" s="678"/>
    </row>
    <row r="12720" spans="1:1" x14ac:dyDescent="0.3">
      <c r="A12720" s="678"/>
    </row>
    <row r="12721" spans="1:1" x14ac:dyDescent="0.3">
      <c r="A12721" s="678"/>
    </row>
    <row r="12722" spans="1:1" x14ac:dyDescent="0.3">
      <c r="A12722" s="678"/>
    </row>
    <row r="12723" spans="1:1" x14ac:dyDescent="0.3">
      <c r="A12723" s="678"/>
    </row>
    <row r="12724" spans="1:1" x14ac:dyDescent="0.3">
      <c r="A12724" s="678"/>
    </row>
    <row r="12725" spans="1:1" x14ac:dyDescent="0.3">
      <c r="A12725" s="678"/>
    </row>
    <row r="12726" spans="1:1" x14ac:dyDescent="0.3">
      <c r="A12726" s="678"/>
    </row>
    <row r="12727" spans="1:1" x14ac:dyDescent="0.3">
      <c r="A12727" s="678"/>
    </row>
    <row r="12728" spans="1:1" x14ac:dyDescent="0.3">
      <c r="A12728" s="678"/>
    </row>
    <row r="12729" spans="1:1" x14ac:dyDescent="0.3">
      <c r="A12729" s="678"/>
    </row>
    <row r="12730" spans="1:1" x14ac:dyDescent="0.3">
      <c r="A12730" s="678"/>
    </row>
    <row r="12731" spans="1:1" x14ac:dyDescent="0.3">
      <c r="A12731" s="678"/>
    </row>
    <row r="12732" spans="1:1" x14ac:dyDescent="0.3">
      <c r="A12732" s="678"/>
    </row>
    <row r="12733" spans="1:1" x14ac:dyDescent="0.3">
      <c r="A12733" s="678"/>
    </row>
    <row r="12734" spans="1:1" x14ac:dyDescent="0.3">
      <c r="A12734" s="678"/>
    </row>
    <row r="12735" spans="1:1" x14ac:dyDescent="0.3">
      <c r="A12735" s="678"/>
    </row>
    <row r="12736" spans="1:1" x14ac:dyDescent="0.3">
      <c r="A12736" s="678"/>
    </row>
    <row r="12737" spans="1:1" x14ac:dyDescent="0.3">
      <c r="A12737" s="678"/>
    </row>
    <row r="12738" spans="1:1" x14ac:dyDescent="0.3">
      <c r="A12738" s="678"/>
    </row>
    <row r="12739" spans="1:1" x14ac:dyDescent="0.3">
      <c r="A12739" s="678"/>
    </row>
    <row r="12740" spans="1:1" x14ac:dyDescent="0.3">
      <c r="A12740" s="678"/>
    </row>
    <row r="12741" spans="1:1" x14ac:dyDescent="0.3">
      <c r="A12741" s="678"/>
    </row>
    <row r="12742" spans="1:1" x14ac:dyDescent="0.3">
      <c r="A12742" s="678"/>
    </row>
    <row r="12743" spans="1:1" x14ac:dyDescent="0.3">
      <c r="A12743" s="678"/>
    </row>
    <row r="12744" spans="1:1" x14ac:dyDescent="0.3">
      <c r="A12744" s="678"/>
    </row>
    <row r="12745" spans="1:1" x14ac:dyDescent="0.3">
      <c r="A12745" s="678"/>
    </row>
    <row r="12746" spans="1:1" x14ac:dyDescent="0.3">
      <c r="A12746" s="678"/>
    </row>
    <row r="12747" spans="1:1" x14ac:dyDescent="0.3">
      <c r="A12747" s="678"/>
    </row>
    <row r="12748" spans="1:1" x14ac:dyDescent="0.3">
      <c r="A12748" s="678"/>
    </row>
    <row r="12749" spans="1:1" x14ac:dyDescent="0.3">
      <c r="A12749" s="678"/>
    </row>
    <row r="12750" spans="1:1" x14ac:dyDescent="0.3">
      <c r="A12750" s="678"/>
    </row>
    <row r="12751" spans="1:1" x14ac:dyDescent="0.3">
      <c r="A12751" s="678"/>
    </row>
    <row r="12752" spans="1:1" x14ac:dyDescent="0.3">
      <c r="A12752" s="678"/>
    </row>
    <row r="12753" spans="1:1" x14ac:dyDescent="0.3">
      <c r="A12753" s="678"/>
    </row>
    <row r="12754" spans="1:1" x14ac:dyDescent="0.3">
      <c r="A12754" s="678"/>
    </row>
    <row r="12755" spans="1:1" x14ac:dyDescent="0.3">
      <c r="A12755" s="678"/>
    </row>
    <row r="12756" spans="1:1" x14ac:dyDescent="0.3">
      <c r="A12756" s="678"/>
    </row>
    <row r="12757" spans="1:1" x14ac:dyDescent="0.3">
      <c r="A12757" s="678"/>
    </row>
    <row r="12758" spans="1:1" x14ac:dyDescent="0.3">
      <c r="A12758" s="678"/>
    </row>
    <row r="12759" spans="1:1" x14ac:dyDescent="0.3">
      <c r="A12759" s="678"/>
    </row>
    <row r="12760" spans="1:1" x14ac:dyDescent="0.3">
      <c r="A12760" s="678"/>
    </row>
    <row r="12761" spans="1:1" x14ac:dyDescent="0.3">
      <c r="A12761" s="678"/>
    </row>
    <row r="12762" spans="1:1" x14ac:dyDescent="0.3">
      <c r="A12762" s="678"/>
    </row>
    <row r="12763" spans="1:1" x14ac:dyDescent="0.3">
      <c r="A12763" s="678"/>
    </row>
    <row r="12764" spans="1:1" x14ac:dyDescent="0.3">
      <c r="A12764" s="678"/>
    </row>
    <row r="12765" spans="1:1" x14ac:dyDescent="0.3">
      <c r="A12765" s="678"/>
    </row>
    <row r="12766" spans="1:1" x14ac:dyDescent="0.3">
      <c r="A12766" s="678"/>
    </row>
    <row r="12767" spans="1:1" x14ac:dyDescent="0.3">
      <c r="A12767" s="678"/>
    </row>
    <row r="12768" spans="1:1" x14ac:dyDescent="0.3">
      <c r="A12768" s="678"/>
    </row>
    <row r="12769" spans="1:1" x14ac:dyDescent="0.3">
      <c r="A12769" s="678"/>
    </row>
    <row r="12770" spans="1:1" x14ac:dyDescent="0.3">
      <c r="A12770" s="678"/>
    </row>
    <row r="12771" spans="1:1" x14ac:dyDescent="0.3">
      <c r="A12771" s="678"/>
    </row>
    <row r="12772" spans="1:1" x14ac:dyDescent="0.3">
      <c r="A12772" s="678"/>
    </row>
    <row r="12773" spans="1:1" x14ac:dyDescent="0.3">
      <c r="A12773" s="678"/>
    </row>
    <row r="12774" spans="1:1" x14ac:dyDescent="0.3">
      <c r="A12774" s="678"/>
    </row>
    <row r="12775" spans="1:1" x14ac:dyDescent="0.3">
      <c r="A12775" s="678"/>
    </row>
    <row r="12776" spans="1:1" x14ac:dyDescent="0.3">
      <c r="A12776" s="678"/>
    </row>
    <row r="12777" spans="1:1" x14ac:dyDescent="0.3">
      <c r="A12777" s="678"/>
    </row>
    <row r="12778" spans="1:1" x14ac:dyDescent="0.3">
      <c r="A12778" s="678"/>
    </row>
    <row r="12779" spans="1:1" x14ac:dyDescent="0.3">
      <c r="A12779" s="678"/>
    </row>
    <row r="12780" spans="1:1" x14ac:dyDescent="0.3">
      <c r="A12780" s="678"/>
    </row>
    <row r="12781" spans="1:1" x14ac:dyDescent="0.3">
      <c r="A12781" s="678"/>
    </row>
    <row r="12782" spans="1:1" x14ac:dyDescent="0.3">
      <c r="A12782" s="678"/>
    </row>
    <row r="12783" spans="1:1" x14ac:dyDescent="0.3">
      <c r="A12783" s="678"/>
    </row>
    <row r="12784" spans="1:1" x14ac:dyDescent="0.3">
      <c r="A12784" s="678"/>
    </row>
    <row r="12785" spans="1:1" x14ac:dyDescent="0.3">
      <c r="A12785" s="678"/>
    </row>
    <row r="12786" spans="1:1" x14ac:dyDescent="0.3">
      <c r="A12786" s="678"/>
    </row>
    <row r="12787" spans="1:1" x14ac:dyDescent="0.3">
      <c r="A12787" s="678"/>
    </row>
    <row r="12788" spans="1:1" x14ac:dyDescent="0.3">
      <c r="A12788" s="678"/>
    </row>
    <row r="12789" spans="1:1" x14ac:dyDescent="0.3">
      <c r="A12789" s="678"/>
    </row>
    <row r="12790" spans="1:1" x14ac:dyDescent="0.3">
      <c r="A12790" s="678"/>
    </row>
    <row r="12791" spans="1:1" x14ac:dyDescent="0.3">
      <c r="A12791" s="678"/>
    </row>
    <row r="12792" spans="1:1" x14ac:dyDescent="0.3">
      <c r="A12792" s="678"/>
    </row>
    <row r="12793" spans="1:1" x14ac:dyDescent="0.3">
      <c r="A12793" s="678"/>
    </row>
    <row r="12794" spans="1:1" x14ac:dyDescent="0.3">
      <c r="A12794" s="678"/>
    </row>
    <row r="12795" spans="1:1" x14ac:dyDescent="0.3">
      <c r="A12795" s="678"/>
    </row>
    <row r="12796" spans="1:1" x14ac:dyDescent="0.3">
      <c r="A12796" s="678"/>
    </row>
    <row r="12797" spans="1:1" x14ac:dyDescent="0.3">
      <c r="A12797" s="678"/>
    </row>
    <row r="12798" spans="1:1" x14ac:dyDescent="0.3">
      <c r="A12798" s="678"/>
    </row>
    <row r="12799" spans="1:1" x14ac:dyDescent="0.3">
      <c r="A12799" s="678"/>
    </row>
    <row r="12800" spans="1:1" x14ac:dyDescent="0.3">
      <c r="A12800" s="678"/>
    </row>
    <row r="12801" spans="1:1" x14ac:dyDescent="0.3">
      <c r="A12801" s="678"/>
    </row>
    <row r="12802" spans="1:1" x14ac:dyDescent="0.3">
      <c r="A12802" s="678"/>
    </row>
    <row r="12803" spans="1:1" x14ac:dyDescent="0.3">
      <c r="A12803" s="678"/>
    </row>
    <row r="12804" spans="1:1" x14ac:dyDescent="0.3">
      <c r="A12804" s="678"/>
    </row>
    <row r="12805" spans="1:1" x14ac:dyDescent="0.3">
      <c r="A12805" s="678"/>
    </row>
    <row r="12806" spans="1:1" x14ac:dyDescent="0.3">
      <c r="A12806" s="678"/>
    </row>
    <row r="12807" spans="1:1" x14ac:dyDescent="0.3">
      <c r="A12807" s="678"/>
    </row>
    <row r="12808" spans="1:1" x14ac:dyDescent="0.3">
      <c r="A12808" s="678"/>
    </row>
    <row r="12809" spans="1:1" x14ac:dyDescent="0.3">
      <c r="A12809" s="678"/>
    </row>
    <row r="12810" spans="1:1" x14ac:dyDescent="0.3">
      <c r="A12810" s="678"/>
    </row>
    <row r="12811" spans="1:1" x14ac:dyDescent="0.3">
      <c r="A12811" s="678"/>
    </row>
    <row r="12812" spans="1:1" x14ac:dyDescent="0.3">
      <c r="A12812" s="678"/>
    </row>
    <row r="12813" spans="1:1" x14ac:dyDescent="0.3">
      <c r="A12813" s="678"/>
    </row>
    <row r="12814" spans="1:1" x14ac:dyDescent="0.3">
      <c r="A12814" s="678"/>
    </row>
    <row r="12815" spans="1:1" x14ac:dyDescent="0.3">
      <c r="A12815" s="678"/>
    </row>
    <row r="12816" spans="1:1" x14ac:dyDescent="0.3">
      <c r="A12816" s="678"/>
    </row>
    <row r="12817" spans="1:1" x14ac:dyDescent="0.3">
      <c r="A12817" s="678"/>
    </row>
    <row r="12818" spans="1:1" x14ac:dyDescent="0.3">
      <c r="A12818" s="678"/>
    </row>
    <row r="12819" spans="1:1" x14ac:dyDescent="0.3">
      <c r="A12819" s="678"/>
    </row>
    <row r="12820" spans="1:1" x14ac:dyDescent="0.3">
      <c r="A12820" s="678"/>
    </row>
    <row r="12821" spans="1:1" x14ac:dyDescent="0.3">
      <c r="A12821" s="678"/>
    </row>
    <row r="12822" spans="1:1" x14ac:dyDescent="0.3">
      <c r="A12822" s="678"/>
    </row>
    <row r="12823" spans="1:1" x14ac:dyDescent="0.3">
      <c r="A12823" s="678"/>
    </row>
    <row r="12824" spans="1:1" x14ac:dyDescent="0.3">
      <c r="A12824" s="678"/>
    </row>
    <row r="12825" spans="1:1" x14ac:dyDescent="0.3">
      <c r="A12825" s="678"/>
    </row>
    <row r="12826" spans="1:1" x14ac:dyDescent="0.3">
      <c r="A12826" s="678"/>
    </row>
    <row r="12827" spans="1:1" x14ac:dyDescent="0.3">
      <c r="A12827" s="678"/>
    </row>
    <row r="12828" spans="1:1" x14ac:dyDescent="0.3">
      <c r="A12828" s="678"/>
    </row>
    <row r="12829" spans="1:1" x14ac:dyDescent="0.3">
      <c r="A12829" s="678"/>
    </row>
    <row r="12830" spans="1:1" x14ac:dyDescent="0.3">
      <c r="A12830" s="678"/>
    </row>
    <row r="12831" spans="1:1" x14ac:dyDescent="0.3">
      <c r="A12831" s="678"/>
    </row>
    <row r="12832" spans="1:1" x14ac:dyDescent="0.3">
      <c r="A12832" s="678"/>
    </row>
    <row r="12833" spans="1:1" x14ac:dyDescent="0.3">
      <c r="A12833" s="678"/>
    </row>
    <row r="12834" spans="1:1" x14ac:dyDescent="0.3">
      <c r="A12834" s="678"/>
    </row>
    <row r="12835" spans="1:1" x14ac:dyDescent="0.3">
      <c r="A12835" s="678"/>
    </row>
    <row r="12836" spans="1:1" x14ac:dyDescent="0.3">
      <c r="A12836" s="678"/>
    </row>
    <row r="12837" spans="1:1" x14ac:dyDescent="0.3">
      <c r="A12837" s="678"/>
    </row>
    <row r="12838" spans="1:1" x14ac:dyDescent="0.3">
      <c r="A12838" s="678"/>
    </row>
    <row r="12839" spans="1:1" x14ac:dyDescent="0.3">
      <c r="A12839" s="678"/>
    </row>
    <row r="12840" spans="1:1" x14ac:dyDescent="0.3">
      <c r="A12840" s="678"/>
    </row>
    <row r="12841" spans="1:1" x14ac:dyDescent="0.3">
      <c r="A12841" s="678"/>
    </row>
    <row r="12842" spans="1:1" x14ac:dyDescent="0.3">
      <c r="A12842" s="678"/>
    </row>
    <row r="12843" spans="1:1" x14ac:dyDescent="0.3">
      <c r="A12843" s="678"/>
    </row>
    <row r="12844" spans="1:1" x14ac:dyDescent="0.3">
      <c r="A12844" s="678"/>
    </row>
    <row r="12845" spans="1:1" x14ac:dyDescent="0.3">
      <c r="A12845" s="678"/>
    </row>
    <row r="12846" spans="1:1" x14ac:dyDescent="0.3">
      <c r="A12846" s="678"/>
    </row>
    <row r="12847" spans="1:1" x14ac:dyDescent="0.3">
      <c r="A12847" s="678"/>
    </row>
    <row r="12848" spans="1:1" x14ac:dyDescent="0.3">
      <c r="A12848" s="678"/>
    </row>
    <row r="12849" spans="1:1" x14ac:dyDescent="0.3">
      <c r="A12849" s="678"/>
    </row>
    <row r="12850" spans="1:1" x14ac:dyDescent="0.3">
      <c r="A12850" s="678"/>
    </row>
    <row r="12851" spans="1:1" x14ac:dyDescent="0.3">
      <c r="A12851" s="678"/>
    </row>
    <row r="12852" spans="1:1" x14ac:dyDescent="0.3">
      <c r="A12852" s="678"/>
    </row>
    <row r="12853" spans="1:1" x14ac:dyDescent="0.3">
      <c r="A12853" s="678"/>
    </row>
    <row r="12854" spans="1:1" x14ac:dyDescent="0.3">
      <c r="A12854" s="678"/>
    </row>
    <row r="12855" spans="1:1" x14ac:dyDescent="0.3">
      <c r="A12855" s="678"/>
    </row>
    <row r="12856" spans="1:1" x14ac:dyDescent="0.3">
      <c r="A12856" s="678"/>
    </row>
    <row r="12857" spans="1:1" x14ac:dyDescent="0.3">
      <c r="A12857" s="678"/>
    </row>
    <row r="12858" spans="1:1" x14ac:dyDescent="0.3">
      <c r="A12858" s="678"/>
    </row>
    <row r="12859" spans="1:1" x14ac:dyDescent="0.3">
      <c r="A12859" s="678"/>
    </row>
    <row r="12860" spans="1:1" x14ac:dyDescent="0.3">
      <c r="A12860" s="678"/>
    </row>
    <row r="12861" spans="1:1" x14ac:dyDescent="0.3">
      <c r="A12861" s="678"/>
    </row>
    <row r="12862" spans="1:1" x14ac:dyDescent="0.3">
      <c r="A12862" s="678"/>
    </row>
    <row r="12863" spans="1:1" x14ac:dyDescent="0.3">
      <c r="A12863" s="678"/>
    </row>
    <row r="12864" spans="1:1" x14ac:dyDescent="0.3">
      <c r="A12864" s="678"/>
    </row>
    <row r="12865" spans="1:1" x14ac:dyDescent="0.3">
      <c r="A12865" s="678"/>
    </row>
    <row r="12866" spans="1:1" x14ac:dyDescent="0.3">
      <c r="A12866" s="678"/>
    </row>
    <row r="12867" spans="1:1" x14ac:dyDescent="0.3">
      <c r="A12867" s="678"/>
    </row>
    <row r="12868" spans="1:1" x14ac:dyDescent="0.3">
      <c r="A12868" s="678"/>
    </row>
    <row r="12869" spans="1:1" x14ac:dyDescent="0.3">
      <c r="A12869" s="678"/>
    </row>
    <row r="12870" spans="1:1" x14ac:dyDescent="0.3">
      <c r="A12870" s="678"/>
    </row>
    <row r="12871" spans="1:1" x14ac:dyDescent="0.3">
      <c r="A12871" s="678"/>
    </row>
    <row r="12872" spans="1:1" x14ac:dyDescent="0.3">
      <c r="A12872" s="678"/>
    </row>
    <row r="12873" spans="1:1" x14ac:dyDescent="0.3">
      <c r="A12873" s="678"/>
    </row>
    <row r="12874" spans="1:1" x14ac:dyDescent="0.3">
      <c r="A12874" s="678"/>
    </row>
    <row r="12875" spans="1:1" x14ac:dyDescent="0.3">
      <c r="A12875" s="678"/>
    </row>
    <row r="12876" spans="1:1" x14ac:dyDescent="0.3">
      <c r="A12876" s="678"/>
    </row>
    <row r="12877" spans="1:1" x14ac:dyDescent="0.3">
      <c r="A12877" s="678"/>
    </row>
    <row r="12878" spans="1:1" x14ac:dyDescent="0.3">
      <c r="A12878" s="678"/>
    </row>
    <row r="12879" spans="1:1" x14ac:dyDescent="0.3">
      <c r="A12879" s="678"/>
    </row>
    <row r="12880" spans="1:1" x14ac:dyDescent="0.3">
      <c r="A12880" s="678"/>
    </row>
    <row r="12881" spans="1:1" x14ac:dyDescent="0.3">
      <c r="A12881" s="678"/>
    </row>
    <row r="12882" spans="1:1" x14ac:dyDescent="0.3">
      <c r="A12882" s="678"/>
    </row>
    <row r="12883" spans="1:1" x14ac:dyDescent="0.3">
      <c r="A12883" s="678"/>
    </row>
    <row r="12884" spans="1:1" x14ac:dyDescent="0.3">
      <c r="A12884" s="678"/>
    </row>
    <row r="12885" spans="1:1" x14ac:dyDescent="0.3">
      <c r="A12885" s="678"/>
    </row>
    <row r="12886" spans="1:1" x14ac:dyDescent="0.3">
      <c r="A12886" s="678"/>
    </row>
    <row r="12887" spans="1:1" x14ac:dyDescent="0.3">
      <c r="A12887" s="678"/>
    </row>
    <row r="12888" spans="1:1" x14ac:dyDescent="0.3">
      <c r="A12888" s="678"/>
    </row>
    <row r="12889" spans="1:1" x14ac:dyDescent="0.3">
      <c r="A12889" s="678"/>
    </row>
    <row r="12890" spans="1:1" x14ac:dyDescent="0.3">
      <c r="A12890" s="678"/>
    </row>
    <row r="12891" spans="1:1" x14ac:dyDescent="0.3">
      <c r="A12891" s="678"/>
    </row>
    <row r="12892" spans="1:1" x14ac:dyDescent="0.3">
      <c r="A12892" s="678"/>
    </row>
    <row r="12893" spans="1:1" x14ac:dyDescent="0.3">
      <c r="A12893" s="678"/>
    </row>
    <row r="12894" spans="1:1" x14ac:dyDescent="0.3">
      <c r="A12894" s="678"/>
    </row>
    <row r="12895" spans="1:1" x14ac:dyDescent="0.3">
      <c r="A12895" s="678"/>
    </row>
    <row r="12896" spans="1:1" x14ac:dyDescent="0.3">
      <c r="A12896" s="678"/>
    </row>
    <row r="12897" spans="1:1" x14ac:dyDescent="0.3">
      <c r="A12897" s="678"/>
    </row>
    <row r="12898" spans="1:1" x14ac:dyDescent="0.3">
      <c r="A12898" s="678"/>
    </row>
    <row r="12899" spans="1:1" x14ac:dyDescent="0.3">
      <c r="A12899" s="678"/>
    </row>
    <row r="12900" spans="1:1" x14ac:dyDescent="0.3">
      <c r="A12900" s="678"/>
    </row>
    <row r="12901" spans="1:1" x14ac:dyDescent="0.3">
      <c r="A12901" s="678"/>
    </row>
    <row r="12902" spans="1:1" x14ac:dyDescent="0.3">
      <c r="A12902" s="678"/>
    </row>
    <row r="12903" spans="1:1" x14ac:dyDescent="0.3">
      <c r="A12903" s="678"/>
    </row>
    <row r="12904" spans="1:1" x14ac:dyDescent="0.3">
      <c r="A12904" s="678"/>
    </row>
    <row r="12905" spans="1:1" x14ac:dyDescent="0.3">
      <c r="A12905" s="678"/>
    </row>
    <row r="12906" spans="1:1" x14ac:dyDescent="0.3">
      <c r="A12906" s="678"/>
    </row>
    <row r="12907" spans="1:1" x14ac:dyDescent="0.3">
      <c r="A12907" s="678"/>
    </row>
    <row r="12908" spans="1:1" x14ac:dyDescent="0.3">
      <c r="A12908" s="678"/>
    </row>
    <row r="12909" spans="1:1" x14ac:dyDescent="0.3">
      <c r="A12909" s="678"/>
    </row>
    <row r="12910" spans="1:1" x14ac:dyDescent="0.3">
      <c r="A12910" s="678"/>
    </row>
    <row r="12911" spans="1:1" x14ac:dyDescent="0.3">
      <c r="A12911" s="678"/>
    </row>
    <row r="12912" spans="1:1" x14ac:dyDescent="0.3">
      <c r="A12912" s="678"/>
    </row>
    <row r="12913" spans="1:1" x14ac:dyDescent="0.3">
      <c r="A12913" s="678"/>
    </row>
    <row r="12914" spans="1:1" x14ac:dyDescent="0.3">
      <c r="A12914" s="678"/>
    </row>
    <row r="12915" spans="1:1" x14ac:dyDescent="0.3">
      <c r="A12915" s="678"/>
    </row>
    <row r="12916" spans="1:1" x14ac:dyDescent="0.3">
      <c r="A12916" s="678"/>
    </row>
    <row r="12917" spans="1:1" x14ac:dyDescent="0.3">
      <c r="A12917" s="678"/>
    </row>
    <row r="12918" spans="1:1" x14ac:dyDescent="0.3">
      <c r="A12918" s="678"/>
    </row>
    <row r="12919" spans="1:1" x14ac:dyDescent="0.3">
      <c r="A12919" s="678"/>
    </row>
    <row r="12920" spans="1:1" x14ac:dyDescent="0.3">
      <c r="A12920" s="678"/>
    </row>
    <row r="12921" spans="1:1" x14ac:dyDescent="0.3">
      <c r="A12921" s="678"/>
    </row>
    <row r="12922" spans="1:1" x14ac:dyDescent="0.3">
      <c r="A12922" s="678"/>
    </row>
    <row r="12923" spans="1:1" x14ac:dyDescent="0.3">
      <c r="A12923" s="678"/>
    </row>
    <row r="12924" spans="1:1" x14ac:dyDescent="0.3">
      <c r="A12924" s="678"/>
    </row>
    <row r="12925" spans="1:1" x14ac:dyDescent="0.3">
      <c r="A12925" s="678"/>
    </row>
    <row r="12926" spans="1:1" x14ac:dyDescent="0.3">
      <c r="A12926" s="678"/>
    </row>
    <row r="12927" spans="1:1" x14ac:dyDescent="0.3">
      <c r="A12927" s="678"/>
    </row>
    <row r="12928" spans="1:1" x14ac:dyDescent="0.3">
      <c r="A12928" s="678"/>
    </row>
    <row r="12929" spans="1:1" x14ac:dyDescent="0.3">
      <c r="A12929" s="678"/>
    </row>
    <row r="12930" spans="1:1" x14ac:dyDescent="0.3">
      <c r="A12930" s="678"/>
    </row>
    <row r="12931" spans="1:1" x14ac:dyDescent="0.3">
      <c r="A12931" s="678"/>
    </row>
    <row r="12932" spans="1:1" x14ac:dyDescent="0.3">
      <c r="A12932" s="678"/>
    </row>
    <row r="12933" spans="1:1" x14ac:dyDescent="0.3">
      <c r="A12933" s="678"/>
    </row>
    <row r="12934" spans="1:1" x14ac:dyDescent="0.3">
      <c r="A12934" s="678"/>
    </row>
    <row r="12935" spans="1:1" x14ac:dyDescent="0.3">
      <c r="A12935" s="678"/>
    </row>
    <row r="12936" spans="1:1" x14ac:dyDescent="0.3">
      <c r="A12936" s="678"/>
    </row>
    <row r="12937" spans="1:1" x14ac:dyDescent="0.3">
      <c r="A12937" s="678"/>
    </row>
    <row r="12938" spans="1:1" x14ac:dyDescent="0.3">
      <c r="A12938" s="678"/>
    </row>
    <row r="12939" spans="1:1" x14ac:dyDescent="0.3">
      <c r="A12939" s="678"/>
    </row>
    <row r="12940" spans="1:1" x14ac:dyDescent="0.3">
      <c r="A12940" s="678"/>
    </row>
    <row r="12941" spans="1:1" x14ac:dyDescent="0.3">
      <c r="A12941" s="678"/>
    </row>
    <row r="12942" spans="1:1" x14ac:dyDescent="0.3">
      <c r="A12942" s="678"/>
    </row>
    <row r="12943" spans="1:1" x14ac:dyDescent="0.3">
      <c r="A12943" s="678"/>
    </row>
    <row r="12944" spans="1:1" x14ac:dyDescent="0.3">
      <c r="A12944" s="678"/>
    </row>
    <row r="12945" spans="1:1" x14ac:dyDescent="0.3">
      <c r="A12945" s="678"/>
    </row>
    <row r="12946" spans="1:1" x14ac:dyDescent="0.3">
      <c r="A12946" s="678"/>
    </row>
    <row r="12947" spans="1:1" x14ac:dyDescent="0.3">
      <c r="A12947" s="678"/>
    </row>
    <row r="12948" spans="1:1" x14ac:dyDescent="0.3">
      <c r="A12948" s="678"/>
    </row>
    <row r="12949" spans="1:1" x14ac:dyDescent="0.3">
      <c r="A12949" s="678"/>
    </row>
    <row r="12950" spans="1:1" x14ac:dyDescent="0.3">
      <c r="A12950" s="678"/>
    </row>
    <row r="12951" spans="1:1" x14ac:dyDescent="0.3">
      <c r="A12951" s="678"/>
    </row>
    <row r="12952" spans="1:1" x14ac:dyDescent="0.3">
      <c r="A12952" s="678"/>
    </row>
    <row r="12953" spans="1:1" x14ac:dyDescent="0.3">
      <c r="A12953" s="678"/>
    </row>
    <row r="12954" spans="1:1" x14ac:dyDescent="0.3">
      <c r="A12954" s="678"/>
    </row>
    <row r="12955" spans="1:1" x14ac:dyDescent="0.3">
      <c r="A12955" s="678"/>
    </row>
    <row r="12956" spans="1:1" x14ac:dyDescent="0.3">
      <c r="A12956" s="678"/>
    </row>
    <row r="12957" spans="1:1" x14ac:dyDescent="0.3">
      <c r="A12957" s="678"/>
    </row>
    <row r="12958" spans="1:1" x14ac:dyDescent="0.3">
      <c r="A12958" s="678"/>
    </row>
    <row r="12959" spans="1:1" x14ac:dyDescent="0.3">
      <c r="A12959" s="678"/>
    </row>
    <row r="12960" spans="1:1" x14ac:dyDescent="0.3">
      <c r="A12960" s="678"/>
    </row>
    <row r="12961" spans="1:1" x14ac:dyDescent="0.3">
      <c r="A12961" s="678"/>
    </row>
    <row r="12962" spans="1:1" x14ac:dyDescent="0.3">
      <c r="A12962" s="678"/>
    </row>
    <row r="12963" spans="1:1" x14ac:dyDescent="0.3">
      <c r="A12963" s="678"/>
    </row>
    <row r="12964" spans="1:1" x14ac:dyDescent="0.3">
      <c r="A12964" s="678"/>
    </row>
    <row r="12965" spans="1:1" x14ac:dyDescent="0.3">
      <c r="A12965" s="678"/>
    </row>
    <row r="12966" spans="1:1" x14ac:dyDescent="0.3">
      <c r="A12966" s="678"/>
    </row>
    <row r="12967" spans="1:1" x14ac:dyDescent="0.3">
      <c r="A12967" s="678"/>
    </row>
    <row r="12968" spans="1:1" x14ac:dyDescent="0.3">
      <c r="A12968" s="678"/>
    </row>
    <row r="12969" spans="1:1" x14ac:dyDescent="0.3">
      <c r="A12969" s="678"/>
    </row>
    <row r="12970" spans="1:1" x14ac:dyDescent="0.3">
      <c r="A12970" s="678"/>
    </row>
    <row r="12971" spans="1:1" x14ac:dyDescent="0.3">
      <c r="A12971" s="678"/>
    </row>
    <row r="12972" spans="1:1" x14ac:dyDescent="0.3">
      <c r="A12972" s="678"/>
    </row>
    <row r="12973" spans="1:1" x14ac:dyDescent="0.3">
      <c r="A12973" s="678"/>
    </row>
    <row r="12974" spans="1:1" x14ac:dyDescent="0.3">
      <c r="A12974" s="678"/>
    </row>
    <row r="12975" spans="1:1" x14ac:dyDescent="0.3">
      <c r="A12975" s="678"/>
    </row>
    <row r="12976" spans="1:1" x14ac:dyDescent="0.3">
      <c r="A12976" s="678"/>
    </row>
    <row r="12977" spans="1:1" x14ac:dyDescent="0.3">
      <c r="A12977" s="678"/>
    </row>
    <row r="12978" spans="1:1" x14ac:dyDescent="0.3">
      <c r="A12978" s="678"/>
    </row>
    <row r="12979" spans="1:1" x14ac:dyDescent="0.3">
      <c r="A12979" s="678"/>
    </row>
    <row r="12980" spans="1:1" x14ac:dyDescent="0.3">
      <c r="A12980" s="678"/>
    </row>
    <row r="12981" spans="1:1" x14ac:dyDescent="0.3">
      <c r="A12981" s="678"/>
    </row>
    <row r="12982" spans="1:1" x14ac:dyDescent="0.3">
      <c r="A12982" s="678"/>
    </row>
    <row r="12983" spans="1:1" x14ac:dyDescent="0.3">
      <c r="A12983" s="678"/>
    </row>
    <row r="12984" spans="1:1" x14ac:dyDescent="0.3">
      <c r="A12984" s="678"/>
    </row>
    <row r="12985" spans="1:1" x14ac:dyDescent="0.3">
      <c r="A12985" s="678"/>
    </row>
    <row r="12986" spans="1:1" x14ac:dyDescent="0.3">
      <c r="A12986" s="678"/>
    </row>
    <row r="12987" spans="1:1" x14ac:dyDescent="0.3">
      <c r="A12987" s="678"/>
    </row>
    <row r="12988" spans="1:1" x14ac:dyDescent="0.3">
      <c r="A12988" s="678"/>
    </row>
    <row r="12989" spans="1:1" x14ac:dyDescent="0.3">
      <c r="A12989" s="678"/>
    </row>
    <row r="12990" spans="1:1" x14ac:dyDescent="0.3">
      <c r="A12990" s="678"/>
    </row>
    <row r="12991" spans="1:1" x14ac:dyDescent="0.3">
      <c r="A12991" s="678"/>
    </row>
    <row r="12992" spans="1:1" x14ac:dyDescent="0.3">
      <c r="A12992" s="678"/>
    </row>
    <row r="12993" spans="1:1" x14ac:dyDescent="0.3">
      <c r="A12993" s="678"/>
    </row>
    <row r="12994" spans="1:1" x14ac:dyDescent="0.3">
      <c r="A12994" s="678"/>
    </row>
    <row r="12995" spans="1:1" x14ac:dyDescent="0.3">
      <c r="A12995" s="678"/>
    </row>
    <row r="12996" spans="1:1" x14ac:dyDescent="0.3">
      <c r="A12996" s="678"/>
    </row>
    <row r="12997" spans="1:1" x14ac:dyDescent="0.3">
      <c r="A12997" s="678"/>
    </row>
    <row r="12998" spans="1:1" x14ac:dyDescent="0.3">
      <c r="A12998" s="678"/>
    </row>
    <row r="12999" spans="1:1" x14ac:dyDescent="0.3">
      <c r="A12999" s="678"/>
    </row>
    <row r="13000" spans="1:1" x14ac:dyDescent="0.3">
      <c r="A13000" s="678"/>
    </row>
    <row r="13001" spans="1:1" x14ac:dyDescent="0.3">
      <c r="A13001" s="678"/>
    </row>
    <row r="13002" spans="1:1" x14ac:dyDescent="0.3">
      <c r="A13002" s="678"/>
    </row>
    <row r="13003" spans="1:1" x14ac:dyDescent="0.3">
      <c r="A13003" s="678"/>
    </row>
    <row r="13004" spans="1:1" x14ac:dyDescent="0.3">
      <c r="A13004" s="678"/>
    </row>
    <row r="13005" spans="1:1" x14ac:dyDescent="0.3">
      <c r="A13005" s="678"/>
    </row>
    <row r="13006" spans="1:1" x14ac:dyDescent="0.3">
      <c r="A13006" s="678"/>
    </row>
    <row r="13007" spans="1:1" x14ac:dyDescent="0.3">
      <c r="A13007" s="678"/>
    </row>
    <row r="13008" spans="1:1" x14ac:dyDescent="0.3">
      <c r="A13008" s="678"/>
    </row>
    <row r="13009" spans="1:1" x14ac:dyDescent="0.3">
      <c r="A13009" s="678"/>
    </row>
    <row r="13010" spans="1:1" x14ac:dyDescent="0.3">
      <c r="A13010" s="678"/>
    </row>
    <row r="13011" spans="1:1" x14ac:dyDescent="0.3">
      <c r="A13011" s="678"/>
    </row>
    <row r="13012" spans="1:1" x14ac:dyDescent="0.3">
      <c r="A13012" s="678"/>
    </row>
    <row r="13013" spans="1:1" x14ac:dyDescent="0.3">
      <c r="A13013" s="678"/>
    </row>
    <row r="13014" spans="1:1" x14ac:dyDescent="0.3">
      <c r="A13014" s="678"/>
    </row>
    <row r="13015" spans="1:1" x14ac:dyDescent="0.3">
      <c r="A13015" s="678"/>
    </row>
    <row r="13016" spans="1:1" x14ac:dyDescent="0.3">
      <c r="A13016" s="678"/>
    </row>
    <row r="13017" spans="1:1" x14ac:dyDescent="0.3">
      <c r="A13017" s="678"/>
    </row>
    <row r="13018" spans="1:1" x14ac:dyDescent="0.3">
      <c r="A13018" s="678"/>
    </row>
    <row r="13019" spans="1:1" x14ac:dyDescent="0.3">
      <c r="A13019" s="678"/>
    </row>
    <row r="13020" spans="1:1" x14ac:dyDescent="0.3">
      <c r="A13020" s="678"/>
    </row>
    <row r="13021" spans="1:1" x14ac:dyDescent="0.3">
      <c r="A13021" s="678"/>
    </row>
    <row r="13022" spans="1:1" x14ac:dyDescent="0.3">
      <c r="A13022" s="678"/>
    </row>
    <row r="13023" spans="1:1" x14ac:dyDescent="0.3">
      <c r="A13023" s="678"/>
    </row>
    <row r="13024" spans="1:1" x14ac:dyDescent="0.3">
      <c r="A13024" s="678"/>
    </row>
    <row r="13025" spans="1:1" x14ac:dyDescent="0.3">
      <c r="A13025" s="678"/>
    </row>
    <row r="13026" spans="1:1" x14ac:dyDescent="0.3">
      <c r="A13026" s="678"/>
    </row>
    <row r="13027" spans="1:1" x14ac:dyDescent="0.3">
      <c r="A13027" s="678"/>
    </row>
    <row r="13028" spans="1:1" x14ac:dyDescent="0.3">
      <c r="A13028" s="678"/>
    </row>
    <row r="13029" spans="1:1" x14ac:dyDescent="0.3">
      <c r="A13029" s="678"/>
    </row>
    <row r="13030" spans="1:1" x14ac:dyDescent="0.3">
      <c r="A13030" s="678"/>
    </row>
    <row r="13031" spans="1:1" x14ac:dyDescent="0.3">
      <c r="A13031" s="678"/>
    </row>
    <row r="13032" spans="1:1" x14ac:dyDescent="0.3">
      <c r="A13032" s="678"/>
    </row>
    <row r="13033" spans="1:1" x14ac:dyDescent="0.3">
      <c r="A13033" s="678"/>
    </row>
    <row r="13034" spans="1:1" x14ac:dyDescent="0.3">
      <c r="A13034" s="678"/>
    </row>
    <row r="13035" spans="1:1" x14ac:dyDescent="0.3">
      <c r="A13035" s="678"/>
    </row>
    <row r="13036" spans="1:1" x14ac:dyDescent="0.3">
      <c r="A13036" s="678"/>
    </row>
    <row r="13037" spans="1:1" x14ac:dyDescent="0.3">
      <c r="A13037" s="678"/>
    </row>
    <row r="13038" spans="1:1" x14ac:dyDescent="0.3">
      <c r="A13038" s="678"/>
    </row>
    <row r="13039" spans="1:1" x14ac:dyDescent="0.3">
      <c r="A13039" s="678"/>
    </row>
    <row r="13040" spans="1:1" x14ac:dyDescent="0.3">
      <c r="A13040" s="678"/>
    </row>
    <row r="13041" spans="1:1" x14ac:dyDescent="0.3">
      <c r="A13041" s="678"/>
    </row>
    <row r="13042" spans="1:1" x14ac:dyDescent="0.3">
      <c r="A13042" s="678"/>
    </row>
    <row r="13043" spans="1:1" x14ac:dyDescent="0.3">
      <c r="A13043" s="678"/>
    </row>
    <row r="13044" spans="1:1" x14ac:dyDescent="0.3">
      <c r="A13044" s="678"/>
    </row>
    <row r="13045" spans="1:1" x14ac:dyDescent="0.3">
      <c r="A13045" s="678"/>
    </row>
    <row r="13046" spans="1:1" x14ac:dyDescent="0.3">
      <c r="A13046" s="678"/>
    </row>
    <row r="13047" spans="1:1" x14ac:dyDescent="0.3">
      <c r="A13047" s="678"/>
    </row>
    <row r="13048" spans="1:1" x14ac:dyDescent="0.3">
      <c r="A13048" s="678"/>
    </row>
    <row r="13049" spans="1:1" x14ac:dyDescent="0.3">
      <c r="A13049" s="678"/>
    </row>
    <row r="13050" spans="1:1" x14ac:dyDescent="0.3">
      <c r="A13050" s="678"/>
    </row>
    <row r="13051" spans="1:1" x14ac:dyDescent="0.3">
      <c r="A13051" s="678"/>
    </row>
    <row r="13052" spans="1:1" x14ac:dyDescent="0.3">
      <c r="A13052" s="678"/>
    </row>
    <row r="13053" spans="1:1" x14ac:dyDescent="0.3">
      <c r="A13053" s="678"/>
    </row>
    <row r="13054" spans="1:1" x14ac:dyDescent="0.3">
      <c r="A13054" s="678"/>
    </row>
    <row r="13055" spans="1:1" x14ac:dyDescent="0.3">
      <c r="A13055" s="678"/>
    </row>
    <row r="13056" spans="1:1" x14ac:dyDescent="0.3">
      <c r="A13056" s="678"/>
    </row>
    <row r="13057" spans="1:1" x14ac:dyDescent="0.3">
      <c r="A13057" s="678"/>
    </row>
    <row r="13058" spans="1:1" x14ac:dyDescent="0.3">
      <c r="A13058" s="678"/>
    </row>
    <row r="13059" spans="1:1" x14ac:dyDescent="0.3">
      <c r="A13059" s="678"/>
    </row>
    <row r="13060" spans="1:1" x14ac:dyDescent="0.3">
      <c r="A13060" s="678"/>
    </row>
    <row r="13061" spans="1:1" x14ac:dyDescent="0.3">
      <c r="A13061" s="678"/>
    </row>
    <row r="13062" spans="1:1" x14ac:dyDescent="0.3">
      <c r="A13062" s="678"/>
    </row>
    <row r="13063" spans="1:1" x14ac:dyDescent="0.3">
      <c r="A13063" s="678"/>
    </row>
    <row r="13064" spans="1:1" x14ac:dyDescent="0.3">
      <c r="A13064" s="678"/>
    </row>
    <row r="13065" spans="1:1" x14ac:dyDescent="0.3">
      <c r="A13065" s="678"/>
    </row>
    <row r="13066" spans="1:1" x14ac:dyDescent="0.3">
      <c r="A13066" s="678"/>
    </row>
    <row r="13067" spans="1:1" x14ac:dyDescent="0.3">
      <c r="A13067" s="678"/>
    </row>
    <row r="13068" spans="1:1" x14ac:dyDescent="0.3">
      <c r="A13068" s="678"/>
    </row>
    <row r="13069" spans="1:1" x14ac:dyDescent="0.3">
      <c r="A13069" s="678"/>
    </row>
    <row r="13070" spans="1:1" x14ac:dyDescent="0.3">
      <c r="A13070" s="678"/>
    </row>
    <row r="13071" spans="1:1" x14ac:dyDescent="0.3">
      <c r="A13071" s="678"/>
    </row>
    <row r="13072" spans="1:1" x14ac:dyDescent="0.3">
      <c r="A13072" s="678"/>
    </row>
    <row r="13073" spans="1:1" x14ac:dyDescent="0.3">
      <c r="A13073" s="678"/>
    </row>
    <row r="13074" spans="1:1" x14ac:dyDescent="0.3">
      <c r="A13074" s="678"/>
    </row>
    <row r="13075" spans="1:1" x14ac:dyDescent="0.3">
      <c r="A13075" s="678"/>
    </row>
    <row r="13076" spans="1:1" x14ac:dyDescent="0.3">
      <c r="A13076" s="678"/>
    </row>
    <row r="13077" spans="1:1" x14ac:dyDescent="0.3">
      <c r="A13077" s="678"/>
    </row>
    <row r="13078" spans="1:1" x14ac:dyDescent="0.3">
      <c r="A13078" s="678"/>
    </row>
    <row r="13079" spans="1:1" x14ac:dyDescent="0.3">
      <c r="A13079" s="678"/>
    </row>
    <row r="13080" spans="1:1" x14ac:dyDescent="0.3">
      <c r="A13080" s="678"/>
    </row>
    <row r="13081" spans="1:1" x14ac:dyDescent="0.3">
      <c r="A13081" s="678"/>
    </row>
    <row r="13082" spans="1:1" x14ac:dyDescent="0.3">
      <c r="A13082" s="678"/>
    </row>
    <row r="13083" spans="1:1" x14ac:dyDescent="0.3">
      <c r="A13083" s="678"/>
    </row>
    <row r="13084" spans="1:1" x14ac:dyDescent="0.3">
      <c r="A13084" s="678"/>
    </row>
    <row r="13085" spans="1:1" x14ac:dyDescent="0.3">
      <c r="A13085" s="678"/>
    </row>
    <row r="13086" spans="1:1" x14ac:dyDescent="0.3">
      <c r="A13086" s="678"/>
    </row>
    <row r="13087" spans="1:1" x14ac:dyDescent="0.3">
      <c r="A13087" s="678"/>
    </row>
    <row r="13088" spans="1:1" x14ac:dyDescent="0.3">
      <c r="A13088" s="678"/>
    </row>
    <row r="13089" spans="1:1" x14ac:dyDescent="0.3">
      <c r="A13089" s="678"/>
    </row>
    <row r="13090" spans="1:1" x14ac:dyDescent="0.3">
      <c r="A13090" s="678"/>
    </row>
    <row r="13091" spans="1:1" x14ac:dyDescent="0.3">
      <c r="A13091" s="678"/>
    </row>
    <row r="13092" spans="1:1" x14ac:dyDescent="0.3">
      <c r="A13092" s="678"/>
    </row>
    <row r="13093" spans="1:1" x14ac:dyDescent="0.3">
      <c r="A13093" s="678"/>
    </row>
    <row r="13094" spans="1:1" x14ac:dyDescent="0.3">
      <c r="A13094" s="678"/>
    </row>
    <row r="13095" spans="1:1" x14ac:dyDescent="0.3">
      <c r="A13095" s="678"/>
    </row>
    <row r="13096" spans="1:1" x14ac:dyDescent="0.3">
      <c r="A13096" s="678"/>
    </row>
    <row r="13097" spans="1:1" x14ac:dyDescent="0.3">
      <c r="A13097" s="678"/>
    </row>
    <row r="13098" spans="1:1" x14ac:dyDescent="0.3">
      <c r="A13098" s="678"/>
    </row>
    <row r="13099" spans="1:1" x14ac:dyDescent="0.3">
      <c r="A13099" s="678"/>
    </row>
    <row r="13100" spans="1:1" x14ac:dyDescent="0.3">
      <c r="A13100" s="678"/>
    </row>
    <row r="13101" spans="1:1" x14ac:dyDescent="0.3">
      <c r="A13101" s="678"/>
    </row>
    <row r="13102" spans="1:1" x14ac:dyDescent="0.3">
      <c r="A13102" s="678"/>
    </row>
    <row r="13103" spans="1:1" x14ac:dyDescent="0.3">
      <c r="A13103" s="678"/>
    </row>
    <row r="13104" spans="1:1" x14ac:dyDescent="0.3">
      <c r="A13104" s="678"/>
    </row>
    <row r="13105" spans="1:1" x14ac:dyDescent="0.3">
      <c r="A13105" s="678"/>
    </row>
    <row r="13106" spans="1:1" x14ac:dyDescent="0.3">
      <c r="A13106" s="678"/>
    </row>
    <row r="13107" spans="1:1" x14ac:dyDescent="0.3">
      <c r="A13107" s="678"/>
    </row>
    <row r="13108" spans="1:1" x14ac:dyDescent="0.3">
      <c r="A13108" s="678"/>
    </row>
    <row r="13109" spans="1:1" x14ac:dyDescent="0.3">
      <c r="A13109" s="678"/>
    </row>
    <row r="13110" spans="1:1" x14ac:dyDescent="0.3">
      <c r="A13110" s="678"/>
    </row>
    <row r="13111" spans="1:1" x14ac:dyDescent="0.3">
      <c r="A13111" s="678"/>
    </row>
    <row r="13112" spans="1:1" x14ac:dyDescent="0.3">
      <c r="A13112" s="678"/>
    </row>
    <row r="13113" spans="1:1" x14ac:dyDescent="0.3">
      <c r="A13113" s="678"/>
    </row>
    <row r="13114" spans="1:1" x14ac:dyDescent="0.3">
      <c r="A13114" s="678"/>
    </row>
    <row r="13115" spans="1:1" x14ac:dyDescent="0.3">
      <c r="A13115" s="678"/>
    </row>
    <row r="13116" spans="1:1" x14ac:dyDescent="0.3">
      <c r="A13116" s="678"/>
    </row>
    <row r="13117" spans="1:1" x14ac:dyDescent="0.3">
      <c r="A13117" s="678"/>
    </row>
    <row r="13118" spans="1:1" x14ac:dyDescent="0.3">
      <c r="A13118" s="678"/>
    </row>
    <row r="13119" spans="1:1" x14ac:dyDescent="0.3">
      <c r="A13119" s="678"/>
    </row>
    <row r="13120" spans="1:1" x14ac:dyDescent="0.3">
      <c r="A13120" s="678"/>
    </row>
    <row r="13121" spans="1:1" x14ac:dyDescent="0.3">
      <c r="A13121" s="678"/>
    </row>
    <row r="13122" spans="1:1" x14ac:dyDescent="0.3">
      <c r="A13122" s="678"/>
    </row>
    <row r="13123" spans="1:1" x14ac:dyDescent="0.3">
      <c r="A13123" s="678"/>
    </row>
    <row r="13124" spans="1:1" x14ac:dyDescent="0.3">
      <c r="A13124" s="678"/>
    </row>
    <row r="13125" spans="1:1" x14ac:dyDescent="0.3">
      <c r="A13125" s="678"/>
    </row>
    <row r="13126" spans="1:1" x14ac:dyDescent="0.3">
      <c r="A13126" s="678"/>
    </row>
    <row r="13127" spans="1:1" x14ac:dyDescent="0.3">
      <c r="A13127" s="678"/>
    </row>
    <row r="13128" spans="1:1" x14ac:dyDescent="0.3">
      <c r="A13128" s="678"/>
    </row>
    <row r="13129" spans="1:1" x14ac:dyDescent="0.3">
      <c r="A13129" s="678"/>
    </row>
    <row r="13130" spans="1:1" x14ac:dyDescent="0.3">
      <c r="A13130" s="678"/>
    </row>
    <row r="13131" spans="1:1" x14ac:dyDescent="0.3">
      <c r="A13131" s="678"/>
    </row>
    <row r="13132" spans="1:1" x14ac:dyDescent="0.3">
      <c r="A13132" s="678"/>
    </row>
    <row r="13133" spans="1:1" x14ac:dyDescent="0.3">
      <c r="A13133" s="678"/>
    </row>
    <row r="13134" spans="1:1" x14ac:dyDescent="0.3">
      <c r="A13134" s="678"/>
    </row>
    <row r="13135" spans="1:1" x14ac:dyDescent="0.3">
      <c r="A13135" s="678"/>
    </row>
    <row r="13136" spans="1:1" x14ac:dyDescent="0.3">
      <c r="A13136" s="678"/>
    </row>
    <row r="13137" spans="1:1" x14ac:dyDescent="0.3">
      <c r="A13137" s="678"/>
    </row>
    <row r="13138" spans="1:1" x14ac:dyDescent="0.3">
      <c r="A13138" s="678"/>
    </row>
    <row r="13139" spans="1:1" x14ac:dyDescent="0.3">
      <c r="A13139" s="678"/>
    </row>
    <row r="13140" spans="1:1" x14ac:dyDescent="0.3">
      <c r="A13140" s="678"/>
    </row>
    <row r="13141" spans="1:1" x14ac:dyDescent="0.3">
      <c r="A13141" s="678"/>
    </row>
    <row r="13142" spans="1:1" x14ac:dyDescent="0.3">
      <c r="A13142" s="678"/>
    </row>
    <row r="13143" spans="1:1" x14ac:dyDescent="0.3">
      <c r="A13143" s="678"/>
    </row>
    <row r="13144" spans="1:1" x14ac:dyDescent="0.3">
      <c r="A13144" s="678"/>
    </row>
    <row r="13145" spans="1:1" x14ac:dyDescent="0.3">
      <c r="A13145" s="678"/>
    </row>
    <row r="13146" spans="1:1" x14ac:dyDescent="0.3">
      <c r="A13146" s="678"/>
    </row>
    <row r="13147" spans="1:1" x14ac:dyDescent="0.3">
      <c r="A13147" s="678"/>
    </row>
    <row r="13148" spans="1:1" x14ac:dyDescent="0.3">
      <c r="A13148" s="678"/>
    </row>
    <row r="13149" spans="1:1" x14ac:dyDescent="0.3">
      <c r="A13149" s="678"/>
    </row>
    <row r="13150" spans="1:1" x14ac:dyDescent="0.3">
      <c r="A13150" s="678"/>
    </row>
    <row r="13151" spans="1:1" x14ac:dyDescent="0.3">
      <c r="A13151" s="678"/>
    </row>
    <row r="13152" spans="1:1" x14ac:dyDescent="0.3">
      <c r="A13152" s="678"/>
    </row>
    <row r="13153" spans="1:1" x14ac:dyDescent="0.3">
      <c r="A13153" s="678"/>
    </row>
    <row r="13154" spans="1:1" x14ac:dyDescent="0.3">
      <c r="A13154" s="678"/>
    </row>
    <row r="13155" spans="1:1" x14ac:dyDescent="0.3">
      <c r="A13155" s="678"/>
    </row>
    <row r="13156" spans="1:1" x14ac:dyDescent="0.3">
      <c r="A13156" s="678"/>
    </row>
    <row r="13157" spans="1:1" x14ac:dyDescent="0.3">
      <c r="A13157" s="678"/>
    </row>
    <row r="13158" spans="1:1" x14ac:dyDescent="0.3">
      <c r="A13158" s="678"/>
    </row>
    <row r="13159" spans="1:1" x14ac:dyDescent="0.3">
      <c r="A13159" s="678"/>
    </row>
    <row r="13160" spans="1:1" x14ac:dyDescent="0.3">
      <c r="A13160" s="678"/>
    </row>
    <row r="13161" spans="1:1" x14ac:dyDescent="0.3">
      <c r="A13161" s="678"/>
    </row>
    <row r="13162" spans="1:1" x14ac:dyDescent="0.3">
      <c r="A13162" s="678"/>
    </row>
    <row r="13163" spans="1:1" x14ac:dyDescent="0.3">
      <c r="A13163" s="678"/>
    </row>
    <row r="13164" spans="1:1" x14ac:dyDescent="0.3">
      <c r="A13164" s="678"/>
    </row>
    <row r="13165" spans="1:1" x14ac:dyDescent="0.3">
      <c r="A13165" s="678"/>
    </row>
    <row r="13166" spans="1:1" x14ac:dyDescent="0.3">
      <c r="A13166" s="678"/>
    </row>
    <row r="13167" spans="1:1" x14ac:dyDescent="0.3">
      <c r="A13167" s="678"/>
    </row>
    <row r="13168" spans="1:1" x14ac:dyDescent="0.3">
      <c r="A13168" s="678"/>
    </row>
    <row r="13169" spans="1:1" x14ac:dyDescent="0.3">
      <c r="A13169" s="678"/>
    </row>
    <row r="13170" spans="1:1" x14ac:dyDescent="0.3">
      <c r="A13170" s="678"/>
    </row>
    <row r="13171" spans="1:1" x14ac:dyDescent="0.3">
      <c r="A13171" s="678"/>
    </row>
    <row r="13172" spans="1:1" x14ac:dyDescent="0.3">
      <c r="A13172" s="678"/>
    </row>
    <row r="13173" spans="1:1" x14ac:dyDescent="0.3">
      <c r="A13173" s="678"/>
    </row>
    <row r="13174" spans="1:1" x14ac:dyDescent="0.3">
      <c r="A13174" s="678"/>
    </row>
    <row r="13175" spans="1:1" x14ac:dyDescent="0.3">
      <c r="A13175" s="678"/>
    </row>
    <row r="13176" spans="1:1" x14ac:dyDescent="0.3">
      <c r="A13176" s="678"/>
    </row>
    <row r="13177" spans="1:1" x14ac:dyDescent="0.3">
      <c r="A13177" s="678"/>
    </row>
    <row r="13178" spans="1:1" x14ac:dyDescent="0.3">
      <c r="A13178" s="678"/>
    </row>
    <row r="13179" spans="1:1" x14ac:dyDescent="0.3">
      <c r="A13179" s="678"/>
    </row>
    <row r="13180" spans="1:1" x14ac:dyDescent="0.3">
      <c r="A13180" s="678"/>
    </row>
    <row r="13181" spans="1:1" x14ac:dyDescent="0.3">
      <c r="A13181" s="678"/>
    </row>
    <row r="13182" spans="1:1" x14ac:dyDescent="0.3">
      <c r="A13182" s="678"/>
    </row>
    <row r="13183" spans="1:1" x14ac:dyDescent="0.3">
      <c r="A13183" s="678"/>
    </row>
    <row r="13184" spans="1:1" x14ac:dyDescent="0.3">
      <c r="A13184" s="678"/>
    </row>
    <row r="13185" spans="1:1" x14ac:dyDescent="0.3">
      <c r="A13185" s="678"/>
    </row>
    <row r="13186" spans="1:1" x14ac:dyDescent="0.3">
      <c r="A13186" s="678"/>
    </row>
    <row r="13187" spans="1:1" x14ac:dyDescent="0.3">
      <c r="A13187" s="678"/>
    </row>
    <row r="13188" spans="1:1" x14ac:dyDescent="0.3">
      <c r="A13188" s="678"/>
    </row>
    <row r="13189" spans="1:1" x14ac:dyDescent="0.3">
      <c r="A13189" s="678"/>
    </row>
    <row r="13190" spans="1:1" x14ac:dyDescent="0.3">
      <c r="A13190" s="678"/>
    </row>
    <row r="13191" spans="1:1" x14ac:dyDescent="0.3">
      <c r="A13191" s="678"/>
    </row>
    <row r="13192" spans="1:1" x14ac:dyDescent="0.3">
      <c r="A13192" s="678"/>
    </row>
    <row r="13193" spans="1:1" x14ac:dyDescent="0.3">
      <c r="A13193" s="678"/>
    </row>
    <row r="13194" spans="1:1" x14ac:dyDescent="0.3">
      <c r="A13194" s="678"/>
    </row>
    <row r="13195" spans="1:1" x14ac:dyDescent="0.3">
      <c r="A13195" s="678"/>
    </row>
    <row r="13196" spans="1:1" x14ac:dyDescent="0.3">
      <c r="A13196" s="678"/>
    </row>
    <row r="13197" spans="1:1" x14ac:dyDescent="0.3">
      <c r="A13197" s="678"/>
    </row>
    <row r="13198" spans="1:1" x14ac:dyDescent="0.3">
      <c r="A13198" s="678"/>
    </row>
    <row r="13199" spans="1:1" x14ac:dyDescent="0.3">
      <c r="A13199" s="678"/>
    </row>
    <row r="13200" spans="1:1" x14ac:dyDescent="0.3">
      <c r="A13200" s="678"/>
    </row>
    <row r="13201" spans="1:1" x14ac:dyDescent="0.3">
      <c r="A13201" s="678"/>
    </row>
    <row r="13202" spans="1:1" x14ac:dyDescent="0.3">
      <c r="A13202" s="678"/>
    </row>
    <row r="13203" spans="1:1" x14ac:dyDescent="0.3">
      <c r="A13203" s="678"/>
    </row>
    <row r="13204" spans="1:1" x14ac:dyDescent="0.3">
      <c r="A13204" s="678"/>
    </row>
    <row r="13205" spans="1:1" x14ac:dyDescent="0.3">
      <c r="A13205" s="678"/>
    </row>
    <row r="13206" spans="1:1" x14ac:dyDescent="0.3">
      <c r="A13206" s="678"/>
    </row>
    <row r="13207" spans="1:1" x14ac:dyDescent="0.3">
      <c r="A13207" s="678"/>
    </row>
    <row r="13208" spans="1:1" x14ac:dyDescent="0.3">
      <c r="A13208" s="678"/>
    </row>
    <row r="13209" spans="1:1" x14ac:dyDescent="0.3">
      <c r="A13209" s="678"/>
    </row>
    <row r="13210" spans="1:1" x14ac:dyDescent="0.3">
      <c r="A13210" s="678"/>
    </row>
    <row r="13211" spans="1:1" x14ac:dyDescent="0.3">
      <c r="A13211" s="678"/>
    </row>
    <row r="13212" spans="1:1" x14ac:dyDescent="0.3">
      <c r="A13212" s="678"/>
    </row>
    <row r="13213" spans="1:1" x14ac:dyDescent="0.3">
      <c r="A13213" s="678"/>
    </row>
    <row r="13214" spans="1:1" x14ac:dyDescent="0.3">
      <c r="A13214" s="678"/>
    </row>
    <row r="13215" spans="1:1" x14ac:dyDescent="0.3">
      <c r="A13215" s="678"/>
    </row>
    <row r="13216" spans="1:1" x14ac:dyDescent="0.3">
      <c r="A13216" s="678"/>
    </row>
    <row r="13217" spans="1:1" x14ac:dyDescent="0.3">
      <c r="A13217" s="678"/>
    </row>
    <row r="13218" spans="1:1" x14ac:dyDescent="0.3">
      <c r="A13218" s="678"/>
    </row>
    <row r="13219" spans="1:1" x14ac:dyDescent="0.3">
      <c r="A13219" s="678"/>
    </row>
    <row r="13220" spans="1:1" x14ac:dyDescent="0.3">
      <c r="A13220" s="678"/>
    </row>
    <row r="13221" spans="1:1" x14ac:dyDescent="0.3">
      <c r="A13221" s="678"/>
    </row>
    <row r="13222" spans="1:1" x14ac:dyDescent="0.3">
      <c r="A13222" s="678"/>
    </row>
    <row r="13223" spans="1:1" x14ac:dyDescent="0.3">
      <c r="A13223" s="678"/>
    </row>
    <row r="13224" spans="1:1" x14ac:dyDescent="0.3">
      <c r="A13224" s="678"/>
    </row>
    <row r="13225" spans="1:1" x14ac:dyDescent="0.3">
      <c r="A13225" s="678"/>
    </row>
    <row r="13226" spans="1:1" x14ac:dyDescent="0.3">
      <c r="A13226" s="678"/>
    </row>
    <row r="13227" spans="1:1" x14ac:dyDescent="0.3">
      <c r="A13227" s="678"/>
    </row>
    <row r="13228" spans="1:1" x14ac:dyDescent="0.3">
      <c r="A13228" s="678"/>
    </row>
    <row r="13229" spans="1:1" x14ac:dyDescent="0.3">
      <c r="A13229" s="678"/>
    </row>
    <row r="13230" spans="1:1" x14ac:dyDescent="0.3">
      <c r="A13230" s="678"/>
    </row>
    <row r="13231" spans="1:1" x14ac:dyDescent="0.3">
      <c r="A13231" s="678"/>
    </row>
    <row r="13232" spans="1:1" x14ac:dyDescent="0.3">
      <c r="A13232" s="678"/>
    </row>
    <row r="13233" spans="1:1" x14ac:dyDescent="0.3">
      <c r="A13233" s="678"/>
    </row>
    <row r="13234" spans="1:1" x14ac:dyDescent="0.3">
      <c r="A13234" s="678"/>
    </row>
    <row r="13235" spans="1:1" x14ac:dyDescent="0.3">
      <c r="A13235" s="678"/>
    </row>
    <row r="13236" spans="1:1" x14ac:dyDescent="0.3">
      <c r="A13236" s="678"/>
    </row>
    <row r="13237" spans="1:1" x14ac:dyDescent="0.3">
      <c r="A13237" s="678"/>
    </row>
    <row r="13238" spans="1:1" x14ac:dyDescent="0.3">
      <c r="A13238" s="678"/>
    </row>
    <row r="13239" spans="1:1" x14ac:dyDescent="0.3">
      <c r="A13239" s="678"/>
    </row>
    <row r="13240" spans="1:1" x14ac:dyDescent="0.3">
      <c r="A13240" s="678"/>
    </row>
    <row r="13241" spans="1:1" x14ac:dyDescent="0.3">
      <c r="A13241" s="678"/>
    </row>
    <row r="13242" spans="1:1" x14ac:dyDescent="0.3">
      <c r="A13242" s="678"/>
    </row>
    <row r="13243" spans="1:1" x14ac:dyDescent="0.3">
      <c r="A13243" s="678"/>
    </row>
    <row r="13244" spans="1:1" x14ac:dyDescent="0.3">
      <c r="A13244" s="678"/>
    </row>
    <row r="13245" spans="1:1" x14ac:dyDescent="0.3">
      <c r="A13245" s="678"/>
    </row>
    <row r="13246" spans="1:1" x14ac:dyDescent="0.3">
      <c r="A13246" s="678"/>
    </row>
    <row r="13247" spans="1:1" x14ac:dyDescent="0.3">
      <c r="A13247" s="678"/>
    </row>
    <row r="13248" spans="1:1" x14ac:dyDescent="0.3">
      <c r="A13248" s="678"/>
    </row>
    <row r="13249" spans="1:1" x14ac:dyDescent="0.3">
      <c r="A13249" s="678"/>
    </row>
    <row r="13250" spans="1:1" x14ac:dyDescent="0.3">
      <c r="A13250" s="678"/>
    </row>
    <row r="13251" spans="1:1" x14ac:dyDescent="0.3">
      <c r="A13251" s="678"/>
    </row>
    <row r="13252" spans="1:1" x14ac:dyDescent="0.3">
      <c r="A13252" s="678"/>
    </row>
    <row r="13253" spans="1:1" x14ac:dyDescent="0.3">
      <c r="A13253" s="678"/>
    </row>
    <row r="13254" spans="1:1" x14ac:dyDescent="0.3">
      <c r="A13254" s="678"/>
    </row>
    <row r="13255" spans="1:1" x14ac:dyDescent="0.3">
      <c r="A13255" s="678"/>
    </row>
    <row r="13256" spans="1:1" x14ac:dyDescent="0.3">
      <c r="A13256" s="678"/>
    </row>
    <row r="13257" spans="1:1" x14ac:dyDescent="0.3">
      <c r="A13257" s="678"/>
    </row>
    <row r="13258" spans="1:1" x14ac:dyDescent="0.3">
      <c r="A13258" s="678"/>
    </row>
    <row r="13259" spans="1:1" x14ac:dyDescent="0.3">
      <c r="A13259" s="678"/>
    </row>
    <row r="13260" spans="1:1" x14ac:dyDescent="0.3">
      <c r="A13260" s="678"/>
    </row>
    <row r="13261" spans="1:1" x14ac:dyDescent="0.3">
      <c r="A13261" s="678"/>
    </row>
    <row r="13262" spans="1:1" x14ac:dyDescent="0.3">
      <c r="A13262" s="678"/>
    </row>
    <row r="13263" spans="1:1" x14ac:dyDescent="0.3">
      <c r="A13263" s="678"/>
    </row>
    <row r="13264" spans="1:1" x14ac:dyDescent="0.3">
      <c r="A13264" s="678"/>
    </row>
    <row r="13265" spans="1:1" x14ac:dyDescent="0.3">
      <c r="A13265" s="678"/>
    </row>
    <row r="13266" spans="1:1" x14ac:dyDescent="0.3">
      <c r="A13266" s="678"/>
    </row>
    <row r="13267" spans="1:1" x14ac:dyDescent="0.3">
      <c r="A13267" s="678"/>
    </row>
    <row r="13268" spans="1:1" x14ac:dyDescent="0.3">
      <c r="A13268" s="678"/>
    </row>
    <row r="13269" spans="1:1" x14ac:dyDescent="0.3">
      <c r="A13269" s="678"/>
    </row>
    <row r="13270" spans="1:1" x14ac:dyDescent="0.3">
      <c r="A13270" s="678"/>
    </row>
    <row r="13271" spans="1:1" x14ac:dyDescent="0.3">
      <c r="A13271" s="678"/>
    </row>
    <row r="13272" spans="1:1" x14ac:dyDescent="0.3">
      <c r="A13272" s="678"/>
    </row>
    <row r="13273" spans="1:1" x14ac:dyDescent="0.3">
      <c r="A13273" s="678"/>
    </row>
    <row r="13274" spans="1:1" x14ac:dyDescent="0.3">
      <c r="A13274" s="678"/>
    </row>
    <row r="13275" spans="1:1" x14ac:dyDescent="0.3">
      <c r="A13275" s="678"/>
    </row>
    <row r="13276" spans="1:1" x14ac:dyDescent="0.3">
      <c r="A13276" s="678"/>
    </row>
    <row r="13277" spans="1:1" x14ac:dyDescent="0.3">
      <c r="A13277" s="678"/>
    </row>
    <row r="13278" spans="1:1" x14ac:dyDescent="0.3">
      <c r="A13278" s="678"/>
    </row>
    <row r="13279" spans="1:1" x14ac:dyDescent="0.3">
      <c r="A13279" s="678"/>
    </row>
    <row r="13280" spans="1:1" x14ac:dyDescent="0.3">
      <c r="A13280" s="678"/>
    </row>
    <row r="13281" spans="1:1" x14ac:dyDescent="0.3">
      <c r="A13281" s="678"/>
    </row>
    <row r="13282" spans="1:1" x14ac:dyDescent="0.3">
      <c r="A13282" s="678"/>
    </row>
    <row r="13283" spans="1:1" x14ac:dyDescent="0.3">
      <c r="A13283" s="678"/>
    </row>
    <row r="13284" spans="1:1" x14ac:dyDescent="0.3">
      <c r="A13284" s="678"/>
    </row>
    <row r="13285" spans="1:1" x14ac:dyDescent="0.3">
      <c r="A13285" s="678"/>
    </row>
    <row r="13286" spans="1:1" x14ac:dyDescent="0.3">
      <c r="A13286" s="678"/>
    </row>
    <row r="13287" spans="1:1" x14ac:dyDescent="0.3">
      <c r="A13287" s="678"/>
    </row>
    <row r="13288" spans="1:1" x14ac:dyDescent="0.3">
      <c r="A13288" s="678"/>
    </row>
    <row r="13289" spans="1:1" x14ac:dyDescent="0.3">
      <c r="A13289" s="678"/>
    </row>
    <row r="13290" spans="1:1" x14ac:dyDescent="0.3">
      <c r="A13290" s="678"/>
    </row>
    <row r="13291" spans="1:1" x14ac:dyDescent="0.3">
      <c r="A13291" s="678"/>
    </row>
    <row r="13292" spans="1:1" x14ac:dyDescent="0.3">
      <c r="A13292" s="678"/>
    </row>
    <row r="13293" spans="1:1" x14ac:dyDescent="0.3">
      <c r="A13293" s="678"/>
    </row>
    <row r="13294" spans="1:1" x14ac:dyDescent="0.3">
      <c r="A13294" s="678"/>
    </row>
    <row r="13295" spans="1:1" x14ac:dyDescent="0.3">
      <c r="A13295" s="678"/>
    </row>
    <row r="13296" spans="1:1" x14ac:dyDescent="0.3">
      <c r="A13296" s="678"/>
    </row>
    <row r="13297" spans="1:1" x14ac:dyDescent="0.3">
      <c r="A13297" s="678"/>
    </row>
    <row r="13298" spans="1:1" x14ac:dyDescent="0.3">
      <c r="A13298" s="678"/>
    </row>
    <row r="13299" spans="1:1" x14ac:dyDescent="0.3">
      <c r="A13299" s="678"/>
    </row>
    <row r="13300" spans="1:1" x14ac:dyDescent="0.3">
      <c r="A13300" s="678"/>
    </row>
    <row r="13301" spans="1:1" x14ac:dyDescent="0.3">
      <c r="A13301" s="678"/>
    </row>
    <row r="13302" spans="1:1" x14ac:dyDescent="0.3">
      <c r="A13302" s="678"/>
    </row>
    <row r="13303" spans="1:1" x14ac:dyDescent="0.3">
      <c r="A13303" s="678"/>
    </row>
    <row r="13304" spans="1:1" x14ac:dyDescent="0.3">
      <c r="A13304" s="678"/>
    </row>
    <row r="13305" spans="1:1" x14ac:dyDescent="0.3">
      <c r="A13305" s="678"/>
    </row>
    <row r="13306" spans="1:1" x14ac:dyDescent="0.3">
      <c r="A13306" s="678"/>
    </row>
    <row r="13307" spans="1:1" x14ac:dyDescent="0.3">
      <c r="A13307" s="678"/>
    </row>
    <row r="13308" spans="1:1" x14ac:dyDescent="0.3">
      <c r="A13308" s="678"/>
    </row>
    <row r="13309" spans="1:1" x14ac:dyDescent="0.3">
      <c r="A13309" s="678"/>
    </row>
    <row r="13310" spans="1:1" x14ac:dyDescent="0.3">
      <c r="A13310" s="678"/>
    </row>
    <row r="13311" spans="1:1" x14ac:dyDescent="0.3">
      <c r="A13311" s="678"/>
    </row>
    <row r="13312" spans="1:1" x14ac:dyDescent="0.3">
      <c r="A13312" s="678"/>
    </row>
    <row r="13313" spans="1:1" x14ac:dyDescent="0.3">
      <c r="A13313" s="678"/>
    </row>
    <row r="13314" spans="1:1" x14ac:dyDescent="0.3">
      <c r="A13314" s="678"/>
    </row>
    <row r="13315" spans="1:1" x14ac:dyDescent="0.3">
      <c r="A13315" s="678"/>
    </row>
    <row r="13316" spans="1:1" x14ac:dyDescent="0.3">
      <c r="A13316" s="678"/>
    </row>
    <row r="13317" spans="1:1" x14ac:dyDescent="0.3">
      <c r="A13317" s="678"/>
    </row>
    <row r="13318" spans="1:1" x14ac:dyDescent="0.3">
      <c r="A13318" s="678"/>
    </row>
    <row r="13319" spans="1:1" x14ac:dyDescent="0.3">
      <c r="A13319" s="678"/>
    </row>
    <row r="13320" spans="1:1" x14ac:dyDescent="0.3">
      <c r="A13320" s="678"/>
    </row>
    <row r="13321" spans="1:1" x14ac:dyDescent="0.3">
      <c r="A13321" s="678"/>
    </row>
    <row r="13322" spans="1:1" x14ac:dyDescent="0.3">
      <c r="A13322" s="678"/>
    </row>
    <row r="13323" spans="1:1" x14ac:dyDescent="0.3">
      <c r="A13323" s="678"/>
    </row>
    <row r="13324" spans="1:1" x14ac:dyDescent="0.3">
      <c r="A13324" s="678"/>
    </row>
    <row r="13325" spans="1:1" x14ac:dyDescent="0.3">
      <c r="A13325" s="678"/>
    </row>
    <row r="13326" spans="1:1" x14ac:dyDescent="0.3">
      <c r="A13326" s="678"/>
    </row>
    <row r="13327" spans="1:1" x14ac:dyDescent="0.3">
      <c r="A13327" s="678"/>
    </row>
    <row r="13328" spans="1:1" x14ac:dyDescent="0.3">
      <c r="A13328" s="678"/>
    </row>
    <row r="13329" spans="1:1" x14ac:dyDescent="0.3">
      <c r="A13329" s="678"/>
    </row>
    <row r="13330" spans="1:1" x14ac:dyDescent="0.3">
      <c r="A13330" s="678"/>
    </row>
    <row r="13331" spans="1:1" x14ac:dyDescent="0.3">
      <c r="A13331" s="678"/>
    </row>
    <row r="13332" spans="1:1" x14ac:dyDescent="0.3">
      <c r="A13332" s="678"/>
    </row>
    <row r="13333" spans="1:1" x14ac:dyDescent="0.3">
      <c r="A13333" s="678"/>
    </row>
    <row r="13334" spans="1:1" x14ac:dyDescent="0.3">
      <c r="A13334" s="678"/>
    </row>
    <row r="13335" spans="1:1" x14ac:dyDescent="0.3">
      <c r="A13335" s="678"/>
    </row>
    <row r="13336" spans="1:1" x14ac:dyDescent="0.3">
      <c r="A13336" s="678"/>
    </row>
    <row r="13337" spans="1:1" x14ac:dyDescent="0.3">
      <c r="A13337" s="678"/>
    </row>
    <row r="13338" spans="1:1" x14ac:dyDescent="0.3">
      <c r="A13338" s="678"/>
    </row>
    <row r="13339" spans="1:1" x14ac:dyDescent="0.3">
      <c r="A13339" s="678"/>
    </row>
    <row r="13340" spans="1:1" x14ac:dyDescent="0.3">
      <c r="A13340" s="678"/>
    </row>
    <row r="13341" spans="1:1" x14ac:dyDescent="0.3">
      <c r="A13341" s="678"/>
    </row>
    <row r="13342" spans="1:1" x14ac:dyDescent="0.3">
      <c r="A13342" s="678"/>
    </row>
    <row r="13343" spans="1:1" x14ac:dyDescent="0.3">
      <c r="A13343" s="678"/>
    </row>
    <row r="13344" spans="1:1" x14ac:dyDescent="0.3">
      <c r="A13344" s="678"/>
    </row>
    <row r="13345" spans="1:1" x14ac:dyDescent="0.3">
      <c r="A13345" s="678"/>
    </row>
    <row r="13346" spans="1:1" x14ac:dyDescent="0.3">
      <c r="A13346" s="678"/>
    </row>
    <row r="13347" spans="1:1" x14ac:dyDescent="0.3">
      <c r="A13347" s="678"/>
    </row>
    <row r="13348" spans="1:1" x14ac:dyDescent="0.3">
      <c r="A13348" s="678"/>
    </row>
    <row r="13349" spans="1:1" x14ac:dyDescent="0.3">
      <c r="A13349" s="678"/>
    </row>
    <row r="13350" spans="1:1" x14ac:dyDescent="0.3">
      <c r="A13350" s="678"/>
    </row>
    <row r="13351" spans="1:1" x14ac:dyDescent="0.3">
      <c r="A13351" s="678"/>
    </row>
    <row r="13352" spans="1:1" x14ac:dyDescent="0.3">
      <c r="A13352" s="678"/>
    </row>
    <row r="13353" spans="1:1" x14ac:dyDescent="0.3">
      <c r="A13353" s="678"/>
    </row>
    <row r="13354" spans="1:1" x14ac:dyDescent="0.3">
      <c r="A13354" s="678"/>
    </row>
    <row r="13355" spans="1:1" x14ac:dyDescent="0.3">
      <c r="A13355" s="678"/>
    </row>
    <row r="13356" spans="1:1" x14ac:dyDescent="0.3">
      <c r="A13356" s="678"/>
    </row>
    <row r="13357" spans="1:1" x14ac:dyDescent="0.3">
      <c r="A13357" s="678"/>
    </row>
    <row r="13358" spans="1:1" x14ac:dyDescent="0.3">
      <c r="A13358" s="678"/>
    </row>
    <row r="13359" spans="1:1" x14ac:dyDescent="0.3">
      <c r="A13359" s="678"/>
    </row>
    <row r="13360" spans="1:1" x14ac:dyDescent="0.3">
      <c r="A13360" s="678"/>
    </row>
    <row r="13361" spans="1:1" x14ac:dyDescent="0.3">
      <c r="A13361" s="678"/>
    </row>
    <row r="13362" spans="1:1" x14ac:dyDescent="0.3">
      <c r="A13362" s="678"/>
    </row>
    <row r="13363" spans="1:1" x14ac:dyDescent="0.3">
      <c r="A13363" s="678"/>
    </row>
    <row r="13364" spans="1:1" x14ac:dyDescent="0.3">
      <c r="A13364" s="678"/>
    </row>
    <row r="13365" spans="1:1" x14ac:dyDescent="0.3">
      <c r="A13365" s="678"/>
    </row>
    <row r="13366" spans="1:1" x14ac:dyDescent="0.3">
      <c r="A13366" s="678"/>
    </row>
    <row r="13367" spans="1:1" x14ac:dyDescent="0.3">
      <c r="A13367" s="678"/>
    </row>
    <row r="13368" spans="1:1" x14ac:dyDescent="0.3">
      <c r="A13368" s="678"/>
    </row>
    <row r="13369" spans="1:1" x14ac:dyDescent="0.3">
      <c r="A13369" s="678"/>
    </row>
    <row r="13370" spans="1:1" x14ac:dyDescent="0.3">
      <c r="A13370" s="678"/>
    </row>
    <row r="13371" spans="1:1" x14ac:dyDescent="0.3">
      <c r="A13371" s="678"/>
    </row>
    <row r="13372" spans="1:1" x14ac:dyDescent="0.3">
      <c r="A13372" s="678"/>
    </row>
    <row r="13373" spans="1:1" x14ac:dyDescent="0.3">
      <c r="A13373" s="678"/>
    </row>
    <row r="13374" spans="1:1" x14ac:dyDescent="0.3">
      <c r="A13374" s="678"/>
    </row>
    <row r="13375" spans="1:1" x14ac:dyDescent="0.3">
      <c r="A13375" s="678"/>
    </row>
    <row r="13376" spans="1:1" x14ac:dyDescent="0.3">
      <c r="A13376" s="678"/>
    </row>
    <row r="13377" spans="1:1" x14ac:dyDescent="0.3">
      <c r="A13377" s="678"/>
    </row>
    <row r="13378" spans="1:1" x14ac:dyDescent="0.3">
      <c r="A13378" s="678"/>
    </row>
    <row r="13379" spans="1:1" x14ac:dyDescent="0.3">
      <c r="A13379" s="678"/>
    </row>
    <row r="13380" spans="1:1" x14ac:dyDescent="0.3">
      <c r="A13380" s="678"/>
    </row>
    <row r="13381" spans="1:1" x14ac:dyDescent="0.3">
      <c r="A13381" s="678"/>
    </row>
    <row r="13382" spans="1:1" x14ac:dyDescent="0.3">
      <c r="A13382" s="678"/>
    </row>
    <row r="13383" spans="1:1" x14ac:dyDescent="0.3">
      <c r="A13383" s="678"/>
    </row>
    <row r="13384" spans="1:1" x14ac:dyDescent="0.3">
      <c r="A13384" s="678"/>
    </row>
    <row r="13385" spans="1:1" x14ac:dyDescent="0.3">
      <c r="A13385" s="678"/>
    </row>
    <row r="13386" spans="1:1" x14ac:dyDescent="0.3">
      <c r="A13386" s="678"/>
    </row>
    <row r="13387" spans="1:1" x14ac:dyDescent="0.3">
      <c r="A13387" s="678"/>
    </row>
    <row r="13388" spans="1:1" x14ac:dyDescent="0.3">
      <c r="A13388" s="678"/>
    </row>
    <row r="13389" spans="1:1" x14ac:dyDescent="0.3">
      <c r="A13389" s="678"/>
    </row>
    <row r="13390" spans="1:1" x14ac:dyDescent="0.3">
      <c r="A13390" s="678"/>
    </row>
    <row r="13391" spans="1:1" x14ac:dyDescent="0.3">
      <c r="A13391" s="678"/>
    </row>
    <row r="13392" spans="1:1" x14ac:dyDescent="0.3">
      <c r="A13392" s="678"/>
    </row>
    <row r="13393" spans="1:1" x14ac:dyDescent="0.3">
      <c r="A13393" s="678"/>
    </row>
    <row r="13394" spans="1:1" x14ac:dyDescent="0.3">
      <c r="A13394" s="678"/>
    </row>
    <row r="13395" spans="1:1" x14ac:dyDescent="0.3">
      <c r="A13395" s="678"/>
    </row>
    <row r="13396" spans="1:1" x14ac:dyDescent="0.3">
      <c r="A13396" s="678"/>
    </row>
    <row r="13397" spans="1:1" x14ac:dyDescent="0.3">
      <c r="A13397" s="678"/>
    </row>
    <row r="13398" spans="1:1" x14ac:dyDescent="0.3">
      <c r="A13398" s="678"/>
    </row>
    <row r="13399" spans="1:1" x14ac:dyDescent="0.3">
      <c r="A13399" s="678"/>
    </row>
    <row r="13400" spans="1:1" x14ac:dyDescent="0.3">
      <c r="A13400" s="678"/>
    </row>
    <row r="13401" spans="1:1" x14ac:dyDescent="0.3">
      <c r="A13401" s="678"/>
    </row>
    <row r="13402" spans="1:1" x14ac:dyDescent="0.3">
      <c r="A13402" s="678"/>
    </row>
    <row r="13403" spans="1:1" x14ac:dyDescent="0.3">
      <c r="A13403" s="678"/>
    </row>
    <row r="13404" spans="1:1" x14ac:dyDescent="0.3">
      <c r="A13404" s="678"/>
    </row>
    <row r="13405" spans="1:1" x14ac:dyDescent="0.3">
      <c r="A13405" s="678"/>
    </row>
    <row r="13406" spans="1:1" x14ac:dyDescent="0.3">
      <c r="A13406" s="678"/>
    </row>
    <row r="13407" spans="1:1" x14ac:dyDescent="0.3">
      <c r="A13407" s="678"/>
    </row>
    <row r="13408" spans="1:1" x14ac:dyDescent="0.3">
      <c r="A13408" s="678"/>
    </row>
    <row r="13409" spans="1:1" x14ac:dyDescent="0.3">
      <c r="A13409" s="678"/>
    </row>
    <row r="13410" spans="1:1" x14ac:dyDescent="0.3">
      <c r="A13410" s="678"/>
    </row>
    <row r="13411" spans="1:1" x14ac:dyDescent="0.3">
      <c r="A13411" s="678"/>
    </row>
    <row r="13412" spans="1:1" x14ac:dyDescent="0.3">
      <c r="A13412" s="678"/>
    </row>
    <row r="13413" spans="1:1" x14ac:dyDescent="0.3">
      <c r="A13413" s="678"/>
    </row>
    <row r="13414" spans="1:1" x14ac:dyDescent="0.3">
      <c r="A13414" s="678"/>
    </row>
    <row r="13415" spans="1:1" x14ac:dyDescent="0.3">
      <c r="A13415" s="678"/>
    </row>
    <row r="13416" spans="1:1" x14ac:dyDescent="0.3">
      <c r="A13416" s="678"/>
    </row>
    <row r="13417" spans="1:1" x14ac:dyDescent="0.3">
      <c r="A13417" s="678"/>
    </row>
    <row r="13418" spans="1:1" x14ac:dyDescent="0.3">
      <c r="A13418" s="678"/>
    </row>
    <row r="13419" spans="1:1" x14ac:dyDescent="0.3">
      <c r="A13419" s="678"/>
    </row>
    <row r="13420" spans="1:1" x14ac:dyDescent="0.3">
      <c r="A13420" s="678"/>
    </row>
    <row r="13421" spans="1:1" x14ac:dyDescent="0.3">
      <c r="A13421" s="678"/>
    </row>
    <row r="13422" spans="1:1" x14ac:dyDescent="0.3">
      <c r="A13422" s="678"/>
    </row>
    <row r="13423" spans="1:1" x14ac:dyDescent="0.3">
      <c r="A13423" s="678"/>
    </row>
    <row r="13424" spans="1:1" x14ac:dyDescent="0.3">
      <c r="A13424" s="678"/>
    </row>
    <row r="13425" spans="1:1" x14ac:dyDescent="0.3">
      <c r="A13425" s="678"/>
    </row>
    <row r="13426" spans="1:1" x14ac:dyDescent="0.3">
      <c r="A13426" s="678"/>
    </row>
    <row r="13427" spans="1:1" x14ac:dyDescent="0.3">
      <c r="A13427" s="678"/>
    </row>
    <row r="13428" spans="1:1" x14ac:dyDescent="0.3">
      <c r="A13428" s="678"/>
    </row>
    <row r="13429" spans="1:1" x14ac:dyDescent="0.3">
      <c r="A13429" s="678"/>
    </row>
    <row r="13430" spans="1:1" x14ac:dyDescent="0.3">
      <c r="A13430" s="678"/>
    </row>
    <row r="13431" spans="1:1" x14ac:dyDescent="0.3">
      <c r="A13431" s="678"/>
    </row>
    <row r="13432" spans="1:1" x14ac:dyDescent="0.3">
      <c r="A13432" s="678"/>
    </row>
    <row r="13433" spans="1:1" x14ac:dyDescent="0.3">
      <c r="A13433" s="678"/>
    </row>
    <row r="13434" spans="1:1" x14ac:dyDescent="0.3">
      <c r="A13434" s="678"/>
    </row>
    <row r="13435" spans="1:1" x14ac:dyDescent="0.3">
      <c r="A13435" s="678"/>
    </row>
    <row r="13436" spans="1:1" x14ac:dyDescent="0.3">
      <c r="A13436" s="678"/>
    </row>
    <row r="13437" spans="1:1" x14ac:dyDescent="0.3">
      <c r="A13437" s="678"/>
    </row>
    <row r="13438" spans="1:1" x14ac:dyDescent="0.3">
      <c r="A13438" s="678"/>
    </row>
    <row r="13439" spans="1:1" x14ac:dyDescent="0.3">
      <c r="A13439" s="678"/>
    </row>
    <row r="13440" spans="1:1" x14ac:dyDescent="0.3">
      <c r="A13440" s="678"/>
    </row>
    <row r="13441" spans="1:1" x14ac:dyDescent="0.3">
      <c r="A13441" s="678"/>
    </row>
    <row r="13442" spans="1:1" x14ac:dyDescent="0.3">
      <c r="A13442" s="678"/>
    </row>
    <row r="13443" spans="1:1" x14ac:dyDescent="0.3">
      <c r="A13443" s="678"/>
    </row>
    <row r="13444" spans="1:1" x14ac:dyDescent="0.3">
      <c r="A13444" s="678"/>
    </row>
    <row r="13445" spans="1:1" x14ac:dyDescent="0.3">
      <c r="A13445" s="678"/>
    </row>
    <row r="13446" spans="1:1" x14ac:dyDescent="0.3">
      <c r="A13446" s="678"/>
    </row>
    <row r="13447" spans="1:1" x14ac:dyDescent="0.3">
      <c r="A13447" s="678"/>
    </row>
    <row r="13448" spans="1:1" x14ac:dyDescent="0.3">
      <c r="A13448" s="678"/>
    </row>
    <row r="13449" spans="1:1" x14ac:dyDescent="0.3">
      <c r="A13449" s="678"/>
    </row>
    <row r="13450" spans="1:1" x14ac:dyDescent="0.3">
      <c r="A13450" s="678"/>
    </row>
    <row r="13451" spans="1:1" x14ac:dyDescent="0.3">
      <c r="A13451" s="678"/>
    </row>
    <row r="13452" spans="1:1" x14ac:dyDescent="0.3">
      <c r="A13452" s="678"/>
    </row>
    <row r="13453" spans="1:1" x14ac:dyDescent="0.3">
      <c r="A13453" s="678"/>
    </row>
    <row r="13454" spans="1:1" x14ac:dyDescent="0.3">
      <c r="A13454" s="678"/>
    </row>
    <row r="13455" spans="1:1" x14ac:dyDescent="0.3">
      <c r="A13455" s="678"/>
    </row>
    <row r="13456" spans="1:1" x14ac:dyDescent="0.3">
      <c r="A13456" s="678"/>
    </row>
    <row r="13457" spans="1:1" x14ac:dyDescent="0.3">
      <c r="A13457" s="678"/>
    </row>
    <row r="13458" spans="1:1" x14ac:dyDescent="0.3">
      <c r="A13458" s="678"/>
    </row>
    <row r="13459" spans="1:1" x14ac:dyDescent="0.3">
      <c r="A13459" s="678"/>
    </row>
    <row r="13460" spans="1:1" x14ac:dyDescent="0.3">
      <c r="A13460" s="678"/>
    </row>
    <row r="13461" spans="1:1" x14ac:dyDescent="0.3">
      <c r="A13461" s="678"/>
    </row>
    <row r="13462" spans="1:1" x14ac:dyDescent="0.3">
      <c r="A13462" s="678"/>
    </row>
    <row r="13463" spans="1:1" x14ac:dyDescent="0.3">
      <c r="A13463" s="678"/>
    </row>
    <row r="13464" spans="1:1" x14ac:dyDescent="0.3">
      <c r="A13464" s="678"/>
    </row>
    <row r="13465" spans="1:1" x14ac:dyDescent="0.3">
      <c r="A13465" s="678"/>
    </row>
    <row r="13466" spans="1:1" x14ac:dyDescent="0.3">
      <c r="A13466" s="678"/>
    </row>
    <row r="13467" spans="1:1" x14ac:dyDescent="0.3">
      <c r="A13467" s="678"/>
    </row>
    <row r="13468" spans="1:1" x14ac:dyDescent="0.3">
      <c r="A13468" s="678"/>
    </row>
    <row r="13469" spans="1:1" x14ac:dyDescent="0.3">
      <c r="A13469" s="678"/>
    </row>
    <row r="13470" spans="1:1" x14ac:dyDescent="0.3">
      <c r="A13470" s="678"/>
    </row>
    <row r="13471" spans="1:1" x14ac:dyDescent="0.3">
      <c r="A13471" s="678"/>
    </row>
    <row r="13472" spans="1:1" x14ac:dyDescent="0.3">
      <c r="A13472" s="678"/>
    </row>
    <row r="13473" spans="1:1" x14ac:dyDescent="0.3">
      <c r="A13473" s="678"/>
    </row>
    <row r="13474" spans="1:1" x14ac:dyDescent="0.3">
      <c r="A13474" s="678"/>
    </row>
    <row r="13475" spans="1:1" x14ac:dyDescent="0.3">
      <c r="A13475" s="678"/>
    </row>
    <row r="13476" spans="1:1" x14ac:dyDescent="0.3">
      <c r="A13476" s="678"/>
    </row>
    <row r="13477" spans="1:1" x14ac:dyDescent="0.3">
      <c r="A13477" s="678"/>
    </row>
    <row r="13478" spans="1:1" x14ac:dyDescent="0.3">
      <c r="A13478" s="678"/>
    </row>
    <row r="13479" spans="1:1" x14ac:dyDescent="0.3">
      <c r="A13479" s="678"/>
    </row>
    <row r="13480" spans="1:1" x14ac:dyDescent="0.3">
      <c r="A13480" s="678"/>
    </row>
    <row r="13481" spans="1:1" x14ac:dyDescent="0.3">
      <c r="A13481" s="678"/>
    </row>
    <row r="13482" spans="1:1" x14ac:dyDescent="0.3">
      <c r="A13482" s="678"/>
    </row>
    <row r="13483" spans="1:1" x14ac:dyDescent="0.3">
      <c r="A13483" s="678"/>
    </row>
    <row r="13484" spans="1:1" x14ac:dyDescent="0.3">
      <c r="A13484" s="678"/>
    </row>
    <row r="13485" spans="1:1" x14ac:dyDescent="0.3">
      <c r="A13485" s="678"/>
    </row>
    <row r="13486" spans="1:1" x14ac:dyDescent="0.3">
      <c r="A13486" s="678"/>
    </row>
    <row r="13487" spans="1:1" x14ac:dyDescent="0.3">
      <c r="A13487" s="678"/>
    </row>
    <row r="13488" spans="1:1" x14ac:dyDescent="0.3">
      <c r="A13488" s="678"/>
    </row>
    <row r="13489" spans="1:1" x14ac:dyDescent="0.3">
      <c r="A13489" s="678"/>
    </row>
    <row r="13490" spans="1:1" x14ac:dyDescent="0.3">
      <c r="A13490" s="678"/>
    </row>
    <row r="13491" spans="1:1" x14ac:dyDescent="0.3">
      <c r="A13491" s="678"/>
    </row>
    <row r="13492" spans="1:1" x14ac:dyDescent="0.3">
      <c r="A13492" s="678"/>
    </row>
    <row r="13493" spans="1:1" x14ac:dyDescent="0.3">
      <c r="A13493" s="678"/>
    </row>
    <row r="13494" spans="1:1" x14ac:dyDescent="0.3">
      <c r="A13494" s="678"/>
    </row>
    <row r="13495" spans="1:1" x14ac:dyDescent="0.3">
      <c r="A13495" s="678"/>
    </row>
    <row r="13496" spans="1:1" x14ac:dyDescent="0.3">
      <c r="A13496" s="678"/>
    </row>
    <row r="13497" spans="1:1" x14ac:dyDescent="0.3">
      <c r="A13497" s="678"/>
    </row>
    <row r="13498" spans="1:1" x14ac:dyDescent="0.3">
      <c r="A13498" s="678"/>
    </row>
    <row r="13499" spans="1:1" x14ac:dyDescent="0.3">
      <c r="A13499" s="678"/>
    </row>
    <row r="13500" spans="1:1" x14ac:dyDescent="0.3">
      <c r="A13500" s="678"/>
    </row>
    <row r="13501" spans="1:1" x14ac:dyDescent="0.3">
      <c r="A13501" s="678"/>
    </row>
    <row r="13502" spans="1:1" x14ac:dyDescent="0.3">
      <c r="A13502" s="678"/>
    </row>
    <row r="13503" spans="1:1" x14ac:dyDescent="0.3">
      <c r="A13503" s="678"/>
    </row>
    <row r="13504" spans="1:1" x14ac:dyDescent="0.3">
      <c r="A13504" s="678"/>
    </row>
    <row r="13505" spans="1:1" x14ac:dyDescent="0.3">
      <c r="A13505" s="678"/>
    </row>
    <row r="13506" spans="1:1" x14ac:dyDescent="0.3">
      <c r="A13506" s="678"/>
    </row>
    <row r="13507" spans="1:1" x14ac:dyDescent="0.3">
      <c r="A13507" s="678"/>
    </row>
    <row r="13508" spans="1:1" x14ac:dyDescent="0.3">
      <c r="A13508" s="678"/>
    </row>
    <row r="13509" spans="1:1" x14ac:dyDescent="0.3">
      <c r="A13509" s="678"/>
    </row>
    <row r="13510" spans="1:1" x14ac:dyDescent="0.3">
      <c r="A13510" s="678"/>
    </row>
    <row r="13511" spans="1:1" x14ac:dyDescent="0.3">
      <c r="A13511" s="678"/>
    </row>
    <row r="13512" spans="1:1" x14ac:dyDescent="0.3">
      <c r="A13512" s="678"/>
    </row>
    <row r="13513" spans="1:1" x14ac:dyDescent="0.3">
      <c r="A13513" s="678"/>
    </row>
    <row r="13514" spans="1:1" x14ac:dyDescent="0.3">
      <c r="A13514" s="678"/>
    </row>
    <row r="13515" spans="1:1" x14ac:dyDescent="0.3">
      <c r="A13515" s="678"/>
    </row>
    <row r="13516" spans="1:1" x14ac:dyDescent="0.3">
      <c r="A13516" s="678"/>
    </row>
    <row r="13517" spans="1:1" x14ac:dyDescent="0.3">
      <c r="A13517" s="678"/>
    </row>
    <row r="13518" spans="1:1" x14ac:dyDescent="0.3">
      <c r="A13518" s="678"/>
    </row>
    <row r="13519" spans="1:1" x14ac:dyDescent="0.3">
      <c r="A13519" s="678"/>
    </row>
    <row r="13520" spans="1:1" x14ac:dyDescent="0.3">
      <c r="A13520" s="678"/>
    </row>
    <row r="13521" spans="1:1" x14ac:dyDescent="0.3">
      <c r="A13521" s="678"/>
    </row>
    <row r="13522" spans="1:1" x14ac:dyDescent="0.3">
      <c r="A13522" s="678"/>
    </row>
    <row r="13523" spans="1:1" x14ac:dyDescent="0.3">
      <c r="A13523" s="678"/>
    </row>
    <row r="13524" spans="1:1" x14ac:dyDescent="0.3">
      <c r="A13524" s="678"/>
    </row>
    <row r="13525" spans="1:1" x14ac:dyDescent="0.3">
      <c r="A13525" s="678"/>
    </row>
    <row r="13526" spans="1:1" x14ac:dyDescent="0.3">
      <c r="A13526" s="678"/>
    </row>
    <row r="13527" spans="1:1" x14ac:dyDescent="0.3">
      <c r="A13527" s="678"/>
    </row>
    <row r="13528" spans="1:1" x14ac:dyDescent="0.3">
      <c r="A13528" s="678"/>
    </row>
    <row r="13529" spans="1:1" x14ac:dyDescent="0.3">
      <c r="A13529" s="678"/>
    </row>
    <row r="13530" spans="1:1" x14ac:dyDescent="0.3">
      <c r="A13530" s="678"/>
    </row>
    <row r="13531" spans="1:1" x14ac:dyDescent="0.3">
      <c r="A13531" s="678"/>
    </row>
    <row r="13532" spans="1:1" x14ac:dyDescent="0.3">
      <c r="A13532" s="678"/>
    </row>
    <row r="13533" spans="1:1" x14ac:dyDescent="0.3">
      <c r="A13533" s="678"/>
    </row>
    <row r="13534" spans="1:1" x14ac:dyDescent="0.3">
      <c r="A13534" s="678"/>
    </row>
    <row r="13535" spans="1:1" x14ac:dyDescent="0.3">
      <c r="A13535" s="678"/>
    </row>
    <row r="13536" spans="1:1" x14ac:dyDescent="0.3">
      <c r="A13536" s="678"/>
    </row>
    <row r="13537" spans="1:1" x14ac:dyDescent="0.3">
      <c r="A13537" s="678"/>
    </row>
    <row r="13538" spans="1:1" x14ac:dyDescent="0.3">
      <c r="A13538" s="678"/>
    </row>
    <row r="13539" spans="1:1" x14ac:dyDescent="0.3">
      <c r="A13539" s="678"/>
    </row>
    <row r="13540" spans="1:1" x14ac:dyDescent="0.3">
      <c r="A13540" s="678"/>
    </row>
    <row r="13541" spans="1:1" x14ac:dyDescent="0.3">
      <c r="A13541" s="678"/>
    </row>
    <row r="13542" spans="1:1" x14ac:dyDescent="0.3">
      <c r="A13542" s="678"/>
    </row>
    <row r="13543" spans="1:1" x14ac:dyDescent="0.3">
      <c r="A13543" s="678"/>
    </row>
    <row r="13544" spans="1:1" x14ac:dyDescent="0.3">
      <c r="A13544" s="678"/>
    </row>
    <row r="13545" spans="1:1" x14ac:dyDescent="0.3">
      <c r="A13545" s="678"/>
    </row>
    <row r="13546" spans="1:1" x14ac:dyDescent="0.3">
      <c r="A13546" s="678"/>
    </row>
    <row r="13547" spans="1:1" x14ac:dyDescent="0.3">
      <c r="A13547" s="678"/>
    </row>
    <row r="13548" spans="1:1" x14ac:dyDescent="0.3">
      <c r="A13548" s="678"/>
    </row>
    <row r="13549" spans="1:1" x14ac:dyDescent="0.3">
      <c r="A13549" s="678"/>
    </row>
    <row r="13550" spans="1:1" x14ac:dyDescent="0.3">
      <c r="A13550" s="678"/>
    </row>
    <row r="13551" spans="1:1" x14ac:dyDescent="0.3">
      <c r="A13551" s="678"/>
    </row>
    <row r="13552" spans="1:1" x14ac:dyDescent="0.3">
      <c r="A13552" s="678"/>
    </row>
    <row r="13553" spans="1:1" x14ac:dyDescent="0.3">
      <c r="A13553" s="678"/>
    </row>
    <row r="13554" spans="1:1" x14ac:dyDescent="0.3">
      <c r="A13554" s="678"/>
    </row>
    <row r="13555" spans="1:1" x14ac:dyDescent="0.3">
      <c r="A13555" s="678"/>
    </row>
    <row r="13556" spans="1:1" x14ac:dyDescent="0.3">
      <c r="A13556" s="678"/>
    </row>
    <row r="13557" spans="1:1" x14ac:dyDescent="0.3">
      <c r="A13557" s="678"/>
    </row>
    <row r="13558" spans="1:1" x14ac:dyDescent="0.3">
      <c r="A13558" s="678"/>
    </row>
    <row r="13559" spans="1:1" x14ac:dyDescent="0.3">
      <c r="A13559" s="678"/>
    </row>
    <row r="13560" spans="1:1" x14ac:dyDescent="0.3">
      <c r="A13560" s="678"/>
    </row>
    <row r="13561" spans="1:1" x14ac:dyDescent="0.3">
      <c r="A13561" s="678"/>
    </row>
    <row r="13562" spans="1:1" x14ac:dyDescent="0.3">
      <c r="A13562" s="678"/>
    </row>
    <row r="13563" spans="1:1" x14ac:dyDescent="0.3">
      <c r="A13563" s="678"/>
    </row>
    <row r="13564" spans="1:1" x14ac:dyDescent="0.3">
      <c r="A13564" s="678"/>
    </row>
    <row r="13565" spans="1:1" x14ac:dyDescent="0.3">
      <c r="A13565" s="678"/>
    </row>
    <row r="13566" spans="1:1" x14ac:dyDescent="0.3">
      <c r="A13566" s="678"/>
    </row>
    <row r="13567" spans="1:1" x14ac:dyDescent="0.3">
      <c r="A13567" s="678"/>
    </row>
    <row r="13568" spans="1:1" x14ac:dyDescent="0.3">
      <c r="A13568" s="678"/>
    </row>
    <row r="13569" spans="1:1" x14ac:dyDescent="0.3">
      <c r="A13569" s="678"/>
    </row>
    <row r="13570" spans="1:1" x14ac:dyDescent="0.3">
      <c r="A13570" s="678"/>
    </row>
    <row r="13571" spans="1:1" x14ac:dyDescent="0.3">
      <c r="A13571" s="678"/>
    </row>
    <row r="13572" spans="1:1" x14ac:dyDescent="0.3">
      <c r="A13572" s="678"/>
    </row>
    <row r="13573" spans="1:1" x14ac:dyDescent="0.3">
      <c r="A13573" s="678"/>
    </row>
    <row r="13574" spans="1:1" x14ac:dyDescent="0.3">
      <c r="A13574" s="678"/>
    </row>
    <row r="13575" spans="1:1" x14ac:dyDescent="0.3">
      <c r="A13575" s="678"/>
    </row>
    <row r="13576" spans="1:1" x14ac:dyDescent="0.3">
      <c r="A13576" s="678"/>
    </row>
    <row r="13577" spans="1:1" x14ac:dyDescent="0.3">
      <c r="A13577" s="678"/>
    </row>
    <row r="13578" spans="1:1" x14ac:dyDescent="0.3">
      <c r="A13578" s="678"/>
    </row>
    <row r="13579" spans="1:1" x14ac:dyDescent="0.3">
      <c r="A13579" s="678"/>
    </row>
    <row r="13580" spans="1:1" x14ac:dyDescent="0.3">
      <c r="A13580" s="678"/>
    </row>
    <row r="13581" spans="1:1" x14ac:dyDescent="0.3">
      <c r="A13581" s="678"/>
    </row>
    <row r="13582" spans="1:1" x14ac:dyDescent="0.3">
      <c r="A13582" s="678"/>
    </row>
    <row r="13583" spans="1:1" x14ac:dyDescent="0.3">
      <c r="A13583" s="678"/>
    </row>
    <row r="13584" spans="1:1" x14ac:dyDescent="0.3">
      <c r="A13584" s="678"/>
    </row>
    <row r="13585" spans="1:1" x14ac:dyDescent="0.3">
      <c r="A13585" s="678"/>
    </row>
    <row r="13586" spans="1:1" x14ac:dyDescent="0.3">
      <c r="A13586" s="678"/>
    </row>
    <row r="13587" spans="1:1" x14ac:dyDescent="0.3">
      <c r="A13587" s="678"/>
    </row>
    <row r="13588" spans="1:1" x14ac:dyDescent="0.3">
      <c r="A13588" s="678"/>
    </row>
    <row r="13589" spans="1:1" x14ac:dyDescent="0.3">
      <c r="A13589" s="678"/>
    </row>
    <row r="13590" spans="1:1" x14ac:dyDescent="0.3">
      <c r="A13590" s="678"/>
    </row>
    <row r="13591" spans="1:1" x14ac:dyDescent="0.3">
      <c r="A13591" s="678"/>
    </row>
    <row r="13592" spans="1:1" x14ac:dyDescent="0.3">
      <c r="A13592" s="678"/>
    </row>
    <row r="13593" spans="1:1" x14ac:dyDescent="0.3">
      <c r="A13593" s="678"/>
    </row>
    <row r="13594" spans="1:1" x14ac:dyDescent="0.3">
      <c r="A13594" s="678"/>
    </row>
    <row r="13595" spans="1:1" x14ac:dyDescent="0.3">
      <c r="A13595" s="678"/>
    </row>
    <row r="13596" spans="1:1" x14ac:dyDescent="0.3">
      <c r="A13596" s="678"/>
    </row>
    <row r="13597" spans="1:1" x14ac:dyDescent="0.3">
      <c r="A13597" s="678"/>
    </row>
    <row r="13598" spans="1:1" x14ac:dyDescent="0.3">
      <c r="A13598" s="678"/>
    </row>
    <row r="13599" spans="1:1" x14ac:dyDescent="0.3">
      <c r="A13599" s="678"/>
    </row>
    <row r="13600" spans="1:1" x14ac:dyDescent="0.3">
      <c r="A13600" s="678"/>
    </row>
    <row r="13601" spans="1:1" x14ac:dyDescent="0.3">
      <c r="A13601" s="678"/>
    </row>
    <row r="13602" spans="1:1" x14ac:dyDescent="0.3">
      <c r="A13602" s="678"/>
    </row>
    <row r="13603" spans="1:1" x14ac:dyDescent="0.3">
      <c r="A13603" s="678"/>
    </row>
    <row r="13604" spans="1:1" x14ac:dyDescent="0.3">
      <c r="A13604" s="678"/>
    </row>
    <row r="13605" spans="1:1" x14ac:dyDescent="0.3">
      <c r="A13605" s="678"/>
    </row>
    <row r="13606" spans="1:1" x14ac:dyDescent="0.3">
      <c r="A13606" s="678"/>
    </row>
    <row r="13607" spans="1:1" x14ac:dyDescent="0.3">
      <c r="A13607" s="678"/>
    </row>
    <row r="13608" spans="1:1" x14ac:dyDescent="0.3">
      <c r="A13608" s="678"/>
    </row>
    <row r="13609" spans="1:1" x14ac:dyDescent="0.3">
      <c r="A13609" s="678"/>
    </row>
    <row r="13610" spans="1:1" x14ac:dyDescent="0.3">
      <c r="A13610" s="678"/>
    </row>
    <row r="13611" spans="1:1" x14ac:dyDescent="0.3">
      <c r="A13611" s="678"/>
    </row>
    <row r="13612" spans="1:1" x14ac:dyDescent="0.3">
      <c r="A13612" s="678"/>
    </row>
    <row r="13613" spans="1:1" x14ac:dyDescent="0.3">
      <c r="A13613" s="678"/>
    </row>
    <row r="13614" spans="1:1" x14ac:dyDescent="0.3">
      <c r="A13614" s="678"/>
    </row>
    <row r="13615" spans="1:1" x14ac:dyDescent="0.3">
      <c r="A13615" s="678"/>
    </row>
    <row r="13616" spans="1:1" x14ac:dyDescent="0.3">
      <c r="A13616" s="678"/>
    </row>
    <row r="13617" spans="1:1" x14ac:dyDescent="0.3">
      <c r="A13617" s="678"/>
    </row>
    <row r="13618" spans="1:1" x14ac:dyDescent="0.3">
      <c r="A13618" s="678"/>
    </row>
    <row r="13619" spans="1:1" x14ac:dyDescent="0.3">
      <c r="A13619" s="678"/>
    </row>
    <row r="13620" spans="1:1" x14ac:dyDescent="0.3">
      <c r="A13620" s="678"/>
    </row>
    <row r="13621" spans="1:1" x14ac:dyDescent="0.3">
      <c r="A13621" s="678"/>
    </row>
    <row r="13622" spans="1:1" x14ac:dyDescent="0.3">
      <c r="A13622" s="678"/>
    </row>
    <row r="13623" spans="1:1" x14ac:dyDescent="0.3">
      <c r="A13623" s="678"/>
    </row>
    <row r="13624" spans="1:1" x14ac:dyDescent="0.3">
      <c r="A13624" s="678"/>
    </row>
    <row r="13625" spans="1:1" x14ac:dyDescent="0.3">
      <c r="A13625" s="678"/>
    </row>
    <row r="13626" spans="1:1" x14ac:dyDescent="0.3">
      <c r="A13626" s="678"/>
    </row>
    <row r="13627" spans="1:1" x14ac:dyDescent="0.3">
      <c r="A13627" s="678"/>
    </row>
    <row r="13628" spans="1:1" x14ac:dyDescent="0.3">
      <c r="A13628" s="678"/>
    </row>
    <row r="13629" spans="1:1" x14ac:dyDescent="0.3">
      <c r="A13629" s="678"/>
    </row>
    <row r="13630" spans="1:1" x14ac:dyDescent="0.3">
      <c r="A13630" s="678"/>
    </row>
    <row r="13631" spans="1:1" x14ac:dyDescent="0.3">
      <c r="A13631" s="678"/>
    </row>
    <row r="13632" spans="1:1" x14ac:dyDescent="0.3">
      <c r="A13632" s="678"/>
    </row>
    <row r="13633" spans="1:1" x14ac:dyDescent="0.3">
      <c r="A13633" s="678"/>
    </row>
    <row r="13634" spans="1:1" x14ac:dyDescent="0.3">
      <c r="A13634" s="678"/>
    </row>
    <row r="13635" spans="1:1" x14ac:dyDescent="0.3">
      <c r="A13635" s="678"/>
    </row>
    <row r="13636" spans="1:1" x14ac:dyDescent="0.3">
      <c r="A13636" s="678"/>
    </row>
    <row r="13637" spans="1:1" x14ac:dyDescent="0.3">
      <c r="A13637" s="678"/>
    </row>
    <row r="13638" spans="1:1" x14ac:dyDescent="0.3">
      <c r="A13638" s="678"/>
    </row>
    <row r="13639" spans="1:1" x14ac:dyDescent="0.3">
      <c r="A13639" s="678"/>
    </row>
    <row r="13640" spans="1:1" x14ac:dyDescent="0.3">
      <c r="A13640" s="678"/>
    </row>
    <row r="13641" spans="1:1" x14ac:dyDescent="0.3">
      <c r="A13641" s="678"/>
    </row>
    <row r="13642" spans="1:1" x14ac:dyDescent="0.3">
      <c r="A13642" s="678"/>
    </row>
    <row r="13643" spans="1:1" x14ac:dyDescent="0.3">
      <c r="A13643" s="678"/>
    </row>
    <row r="13644" spans="1:1" x14ac:dyDescent="0.3">
      <c r="A13644" s="678"/>
    </row>
    <row r="13645" spans="1:1" x14ac:dyDescent="0.3">
      <c r="A13645" s="678"/>
    </row>
    <row r="13646" spans="1:1" x14ac:dyDescent="0.3">
      <c r="A13646" s="678"/>
    </row>
    <row r="13647" spans="1:1" x14ac:dyDescent="0.3">
      <c r="A13647" s="678"/>
    </row>
    <row r="13648" spans="1:1" x14ac:dyDescent="0.3">
      <c r="A13648" s="678"/>
    </row>
    <row r="13649" spans="1:1" x14ac:dyDescent="0.3">
      <c r="A13649" s="678"/>
    </row>
    <row r="13650" spans="1:1" x14ac:dyDescent="0.3">
      <c r="A13650" s="678"/>
    </row>
    <row r="13651" spans="1:1" x14ac:dyDescent="0.3">
      <c r="A13651" s="678"/>
    </row>
    <row r="13652" spans="1:1" x14ac:dyDescent="0.3">
      <c r="A13652" s="678"/>
    </row>
    <row r="13653" spans="1:1" x14ac:dyDescent="0.3">
      <c r="A13653" s="678"/>
    </row>
    <row r="13654" spans="1:1" x14ac:dyDescent="0.3">
      <c r="A13654" s="678"/>
    </row>
    <row r="13655" spans="1:1" x14ac:dyDescent="0.3">
      <c r="A13655" s="678"/>
    </row>
    <row r="13656" spans="1:1" x14ac:dyDescent="0.3">
      <c r="A13656" s="678"/>
    </row>
    <row r="13657" spans="1:1" x14ac:dyDescent="0.3">
      <c r="A13657" s="678"/>
    </row>
    <row r="13658" spans="1:1" x14ac:dyDescent="0.3">
      <c r="A13658" s="678"/>
    </row>
    <row r="13659" spans="1:1" x14ac:dyDescent="0.3">
      <c r="A13659" s="678"/>
    </row>
    <row r="13660" spans="1:1" x14ac:dyDescent="0.3">
      <c r="A13660" s="678"/>
    </row>
    <row r="13661" spans="1:1" x14ac:dyDescent="0.3">
      <c r="A13661" s="678"/>
    </row>
    <row r="13662" spans="1:1" x14ac:dyDescent="0.3">
      <c r="A13662" s="678"/>
    </row>
    <row r="13663" spans="1:1" x14ac:dyDescent="0.3">
      <c r="A13663" s="678"/>
    </row>
    <row r="13664" spans="1:1" x14ac:dyDescent="0.3">
      <c r="A13664" s="678"/>
    </row>
    <row r="13665" spans="1:1" x14ac:dyDescent="0.3">
      <c r="A13665" s="678"/>
    </row>
    <row r="13666" spans="1:1" x14ac:dyDescent="0.3">
      <c r="A13666" s="678"/>
    </row>
    <row r="13667" spans="1:1" x14ac:dyDescent="0.3">
      <c r="A13667" s="678"/>
    </row>
    <row r="13668" spans="1:1" x14ac:dyDescent="0.3">
      <c r="A13668" s="678"/>
    </row>
    <row r="13669" spans="1:1" x14ac:dyDescent="0.3">
      <c r="A13669" s="678"/>
    </row>
    <row r="13670" spans="1:1" x14ac:dyDescent="0.3">
      <c r="A13670" s="678"/>
    </row>
    <row r="13671" spans="1:1" x14ac:dyDescent="0.3">
      <c r="A13671" s="678"/>
    </row>
    <row r="13672" spans="1:1" x14ac:dyDescent="0.3">
      <c r="A13672" s="678"/>
    </row>
    <row r="13673" spans="1:1" x14ac:dyDescent="0.3">
      <c r="A13673" s="678"/>
    </row>
    <row r="13674" spans="1:1" x14ac:dyDescent="0.3">
      <c r="A13674" s="678"/>
    </row>
    <row r="13675" spans="1:1" x14ac:dyDescent="0.3">
      <c r="A13675" s="678"/>
    </row>
    <row r="13676" spans="1:1" x14ac:dyDescent="0.3">
      <c r="A13676" s="678"/>
    </row>
    <row r="13677" spans="1:1" x14ac:dyDescent="0.3">
      <c r="A13677" s="678"/>
    </row>
    <row r="13678" spans="1:1" x14ac:dyDescent="0.3">
      <c r="A13678" s="678"/>
    </row>
    <row r="13679" spans="1:1" x14ac:dyDescent="0.3">
      <c r="A13679" s="678"/>
    </row>
    <row r="13680" spans="1:1" x14ac:dyDescent="0.3">
      <c r="A13680" s="678"/>
    </row>
    <row r="13681" spans="1:1" x14ac:dyDescent="0.3">
      <c r="A13681" s="678"/>
    </row>
    <row r="13682" spans="1:1" x14ac:dyDescent="0.3">
      <c r="A13682" s="678"/>
    </row>
    <row r="13683" spans="1:1" x14ac:dyDescent="0.3">
      <c r="A13683" s="678"/>
    </row>
    <row r="13684" spans="1:1" x14ac:dyDescent="0.3">
      <c r="A13684" s="678"/>
    </row>
    <row r="13685" spans="1:1" x14ac:dyDescent="0.3">
      <c r="A13685" s="678"/>
    </row>
    <row r="13686" spans="1:1" x14ac:dyDescent="0.3">
      <c r="A13686" s="678"/>
    </row>
    <row r="13687" spans="1:1" x14ac:dyDescent="0.3">
      <c r="A13687" s="678"/>
    </row>
    <row r="13688" spans="1:1" x14ac:dyDescent="0.3">
      <c r="A13688" s="678"/>
    </row>
    <row r="13689" spans="1:1" x14ac:dyDescent="0.3">
      <c r="A13689" s="678"/>
    </row>
    <row r="13690" spans="1:1" x14ac:dyDescent="0.3">
      <c r="A13690" s="678"/>
    </row>
    <row r="13691" spans="1:1" x14ac:dyDescent="0.3">
      <c r="A13691" s="678"/>
    </row>
    <row r="13692" spans="1:1" x14ac:dyDescent="0.3">
      <c r="A13692" s="678"/>
    </row>
    <row r="13693" spans="1:1" x14ac:dyDescent="0.3">
      <c r="A13693" s="678"/>
    </row>
    <row r="13694" spans="1:1" x14ac:dyDescent="0.3">
      <c r="A13694" s="678"/>
    </row>
    <row r="13695" spans="1:1" x14ac:dyDescent="0.3">
      <c r="A13695" s="678"/>
    </row>
    <row r="13696" spans="1:1" x14ac:dyDescent="0.3">
      <c r="A13696" s="678"/>
    </row>
    <row r="13697" spans="1:1" x14ac:dyDescent="0.3">
      <c r="A13697" s="678"/>
    </row>
    <row r="13698" spans="1:1" x14ac:dyDescent="0.3">
      <c r="A13698" s="678"/>
    </row>
    <row r="13699" spans="1:1" x14ac:dyDescent="0.3">
      <c r="A13699" s="678"/>
    </row>
    <row r="13700" spans="1:1" x14ac:dyDescent="0.3">
      <c r="A13700" s="678"/>
    </row>
    <row r="13701" spans="1:1" x14ac:dyDescent="0.3">
      <c r="A13701" s="678"/>
    </row>
    <row r="13702" spans="1:1" x14ac:dyDescent="0.3">
      <c r="A13702" s="678"/>
    </row>
    <row r="13703" spans="1:1" x14ac:dyDescent="0.3">
      <c r="A13703" s="678"/>
    </row>
    <row r="13704" spans="1:1" x14ac:dyDescent="0.3">
      <c r="A13704" s="678"/>
    </row>
    <row r="13705" spans="1:1" x14ac:dyDescent="0.3">
      <c r="A13705" s="678"/>
    </row>
    <row r="13706" spans="1:1" x14ac:dyDescent="0.3">
      <c r="A13706" s="678"/>
    </row>
    <row r="13707" spans="1:1" x14ac:dyDescent="0.3">
      <c r="A13707" s="678"/>
    </row>
    <row r="13708" spans="1:1" x14ac:dyDescent="0.3">
      <c r="A13708" s="678"/>
    </row>
    <row r="13709" spans="1:1" x14ac:dyDescent="0.3">
      <c r="A13709" s="678"/>
    </row>
    <row r="13710" spans="1:1" x14ac:dyDescent="0.3">
      <c r="A13710" s="678"/>
    </row>
    <row r="13711" spans="1:1" x14ac:dyDescent="0.3">
      <c r="A13711" s="678"/>
    </row>
    <row r="13712" spans="1:1" x14ac:dyDescent="0.3">
      <c r="A13712" s="678"/>
    </row>
    <row r="13713" spans="1:1" x14ac:dyDescent="0.3">
      <c r="A13713" s="678"/>
    </row>
    <row r="13714" spans="1:1" x14ac:dyDescent="0.3">
      <c r="A13714" s="678"/>
    </row>
    <row r="13715" spans="1:1" x14ac:dyDescent="0.3">
      <c r="A13715" s="678"/>
    </row>
    <row r="13716" spans="1:1" x14ac:dyDescent="0.3">
      <c r="A13716" s="678"/>
    </row>
    <row r="13717" spans="1:1" x14ac:dyDescent="0.3">
      <c r="A13717" s="678"/>
    </row>
    <row r="13718" spans="1:1" x14ac:dyDescent="0.3">
      <c r="A13718" s="678"/>
    </row>
    <row r="13719" spans="1:1" x14ac:dyDescent="0.3">
      <c r="A13719" s="678"/>
    </row>
    <row r="13720" spans="1:1" x14ac:dyDescent="0.3">
      <c r="A13720" s="678"/>
    </row>
    <row r="13721" spans="1:1" x14ac:dyDescent="0.3">
      <c r="A13721" s="678"/>
    </row>
    <row r="13722" spans="1:1" x14ac:dyDescent="0.3">
      <c r="A13722" s="678"/>
    </row>
    <row r="13723" spans="1:1" x14ac:dyDescent="0.3">
      <c r="A13723" s="678"/>
    </row>
    <row r="13724" spans="1:1" x14ac:dyDescent="0.3">
      <c r="A13724" s="678"/>
    </row>
    <row r="13725" spans="1:1" x14ac:dyDescent="0.3">
      <c r="A13725" s="678"/>
    </row>
    <row r="13726" spans="1:1" x14ac:dyDescent="0.3">
      <c r="A13726" s="678"/>
    </row>
    <row r="13727" spans="1:1" x14ac:dyDescent="0.3">
      <c r="A13727" s="678"/>
    </row>
    <row r="13728" spans="1:1" x14ac:dyDescent="0.3">
      <c r="A13728" s="678"/>
    </row>
    <row r="13729" spans="1:1" x14ac:dyDescent="0.3">
      <c r="A13729" s="678"/>
    </row>
    <row r="13730" spans="1:1" x14ac:dyDescent="0.3">
      <c r="A13730" s="678"/>
    </row>
    <row r="13731" spans="1:1" x14ac:dyDescent="0.3">
      <c r="A13731" s="678"/>
    </row>
    <row r="13732" spans="1:1" x14ac:dyDescent="0.3">
      <c r="A13732" s="678"/>
    </row>
    <row r="13733" spans="1:1" x14ac:dyDescent="0.3">
      <c r="A13733" s="678"/>
    </row>
    <row r="13734" spans="1:1" x14ac:dyDescent="0.3">
      <c r="A13734" s="678"/>
    </row>
    <row r="13735" spans="1:1" x14ac:dyDescent="0.3">
      <c r="A13735" s="678"/>
    </row>
    <row r="13736" spans="1:1" x14ac:dyDescent="0.3">
      <c r="A13736" s="678"/>
    </row>
    <row r="13737" spans="1:1" x14ac:dyDescent="0.3">
      <c r="A13737" s="678"/>
    </row>
    <row r="13738" spans="1:1" x14ac:dyDescent="0.3">
      <c r="A13738" s="678"/>
    </row>
    <row r="13739" spans="1:1" x14ac:dyDescent="0.3">
      <c r="A13739" s="678"/>
    </row>
    <row r="13740" spans="1:1" x14ac:dyDescent="0.3">
      <c r="A13740" s="678"/>
    </row>
    <row r="13741" spans="1:1" x14ac:dyDescent="0.3">
      <c r="A13741" s="678"/>
    </row>
    <row r="13742" spans="1:1" x14ac:dyDescent="0.3">
      <c r="A13742" s="678"/>
    </row>
    <row r="13743" spans="1:1" x14ac:dyDescent="0.3">
      <c r="A13743" s="678"/>
    </row>
    <row r="13744" spans="1:1" x14ac:dyDescent="0.3">
      <c r="A13744" s="678"/>
    </row>
    <row r="13745" spans="1:1" x14ac:dyDescent="0.3">
      <c r="A13745" s="678"/>
    </row>
    <row r="13746" spans="1:1" x14ac:dyDescent="0.3">
      <c r="A13746" s="678"/>
    </row>
    <row r="13747" spans="1:1" x14ac:dyDescent="0.3">
      <c r="A13747" s="678"/>
    </row>
    <row r="13748" spans="1:1" x14ac:dyDescent="0.3">
      <c r="A13748" s="678"/>
    </row>
    <row r="13749" spans="1:1" x14ac:dyDescent="0.3">
      <c r="A13749" s="678"/>
    </row>
    <row r="13750" spans="1:1" x14ac:dyDescent="0.3">
      <c r="A13750" s="678"/>
    </row>
    <row r="13751" spans="1:1" x14ac:dyDescent="0.3">
      <c r="A13751" s="678"/>
    </row>
    <row r="13752" spans="1:1" x14ac:dyDescent="0.3">
      <c r="A13752" s="678"/>
    </row>
    <row r="13753" spans="1:1" x14ac:dyDescent="0.3">
      <c r="A13753" s="678"/>
    </row>
    <row r="13754" spans="1:1" x14ac:dyDescent="0.3">
      <c r="A13754" s="678"/>
    </row>
    <row r="13755" spans="1:1" x14ac:dyDescent="0.3">
      <c r="A13755" s="678"/>
    </row>
    <row r="13756" spans="1:1" x14ac:dyDescent="0.3">
      <c r="A13756" s="678"/>
    </row>
    <row r="13757" spans="1:1" x14ac:dyDescent="0.3">
      <c r="A13757" s="678"/>
    </row>
    <row r="13758" spans="1:1" x14ac:dyDescent="0.3">
      <c r="A13758" s="678"/>
    </row>
    <row r="13759" spans="1:1" x14ac:dyDescent="0.3">
      <c r="A13759" s="678"/>
    </row>
    <row r="13760" spans="1:1" x14ac:dyDescent="0.3">
      <c r="A13760" s="678"/>
    </row>
    <row r="13761" spans="1:1" x14ac:dyDescent="0.3">
      <c r="A13761" s="678"/>
    </row>
    <row r="13762" spans="1:1" x14ac:dyDescent="0.3">
      <c r="A13762" s="678"/>
    </row>
    <row r="13763" spans="1:1" x14ac:dyDescent="0.3">
      <c r="A13763" s="678"/>
    </row>
    <row r="13764" spans="1:1" x14ac:dyDescent="0.3">
      <c r="A13764" s="678"/>
    </row>
    <row r="13765" spans="1:1" x14ac:dyDescent="0.3">
      <c r="A13765" s="678"/>
    </row>
    <row r="13766" spans="1:1" x14ac:dyDescent="0.3">
      <c r="A13766" s="678"/>
    </row>
    <row r="13767" spans="1:1" x14ac:dyDescent="0.3">
      <c r="A13767" s="678"/>
    </row>
    <row r="13768" spans="1:1" x14ac:dyDescent="0.3">
      <c r="A13768" s="678"/>
    </row>
    <row r="13769" spans="1:1" x14ac:dyDescent="0.3">
      <c r="A13769" s="678"/>
    </row>
    <row r="13770" spans="1:1" x14ac:dyDescent="0.3">
      <c r="A13770" s="678"/>
    </row>
    <row r="13771" spans="1:1" x14ac:dyDescent="0.3">
      <c r="A13771" s="678"/>
    </row>
    <row r="13772" spans="1:1" x14ac:dyDescent="0.3">
      <c r="A13772" s="678"/>
    </row>
    <row r="13773" spans="1:1" x14ac:dyDescent="0.3">
      <c r="A13773" s="678"/>
    </row>
    <row r="13774" spans="1:1" x14ac:dyDescent="0.3">
      <c r="A13774" s="678"/>
    </row>
    <row r="13775" spans="1:1" x14ac:dyDescent="0.3">
      <c r="A13775" s="678"/>
    </row>
    <row r="13776" spans="1:1" x14ac:dyDescent="0.3">
      <c r="A13776" s="678"/>
    </row>
    <row r="13777" spans="1:1" x14ac:dyDescent="0.3">
      <c r="A13777" s="678"/>
    </row>
    <row r="13778" spans="1:1" x14ac:dyDescent="0.3">
      <c r="A13778" s="678"/>
    </row>
    <row r="13779" spans="1:1" x14ac:dyDescent="0.3">
      <c r="A13779" s="678"/>
    </row>
    <row r="13780" spans="1:1" x14ac:dyDescent="0.3">
      <c r="A13780" s="678"/>
    </row>
    <row r="13781" spans="1:1" x14ac:dyDescent="0.3">
      <c r="A13781" s="678"/>
    </row>
    <row r="13782" spans="1:1" x14ac:dyDescent="0.3">
      <c r="A13782" s="678"/>
    </row>
    <row r="13783" spans="1:1" x14ac:dyDescent="0.3">
      <c r="A13783" s="678"/>
    </row>
    <row r="13784" spans="1:1" x14ac:dyDescent="0.3">
      <c r="A13784" s="678"/>
    </row>
    <row r="13785" spans="1:1" x14ac:dyDescent="0.3">
      <c r="A13785" s="678"/>
    </row>
    <row r="13786" spans="1:1" x14ac:dyDescent="0.3">
      <c r="A13786" s="678"/>
    </row>
    <row r="13787" spans="1:1" x14ac:dyDescent="0.3">
      <c r="A13787" s="678"/>
    </row>
    <row r="13788" spans="1:1" x14ac:dyDescent="0.3">
      <c r="A13788" s="678"/>
    </row>
    <row r="13789" spans="1:1" x14ac:dyDescent="0.3">
      <c r="A13789" s="678"/>
    </row>
    <row r="13790" spans="1:1" x14ac:dyDescent="0.3">
      <c r="A13790" s="678"/>
    </row>
    <row r="13791" spans="1:1" x14ac:dyDescent="0.3">
      <c r="A13791" s="678"/>
    </row>
    <row r="13792" spans="1:1" x14ac:dyDescent="0.3">
      <c r="A13792" s="678"/>
    </row>
    <row r="13793" spans="1:1" x14ac:dyDescent="0.3">
      <c r="A13793" s="678"/>
    </row>
    <row r="13794" spans="1:1" x14ac:dyDescent="0.3">
      <c r="A13794" s="678"/>
    </row>
    <row r="13795" spans="1:1" x14ac:dyDescent="0.3">
      <c r="A13795" s="678"/>
    </row>
    <row r="13796" spans="1:1" x14ac:dyDescent="0.3">
      <c r="A13796" s="678"/>
    </row>
    <row r="13797" spans="1:1" x14ac:dyDescent="0.3">
      <c r="A13797" s="678"/>
    </row>
    <row r="13798" spans="1:1" x14ac:dyDescent="0.3">
      <c r="A13798" s="678"/>
    </row>
    <row r="13799" spans="1:1" x14ac:dyDescent="0.3">
      <c r="A13799" s="678"/>
    </row>
    <row r="13800" spans="1:1" x14ac:dyDescent="0.3">
      <c r="A13800" s="678"/>
    </row>
    <row r="13801" spans="1:1" x14ac:dyDescent="0.3">
      <c r="A13801" s="678"/>
    </row>
    <row r="13802" spans="1:1" x14ac:dyDescent="0.3">
      <c r="A13802" s="678"/>
    </row>
    <row r="13803" spans="1:1" x14ac:dyDescent="0.3">
      <c r="A13803" s="678"/>
    </row>
    <row r="13804" spans="1:1" x14ac:dyDescent="0.3">
      <c r="A13804" s="678"/>
    </row>
    <row r="13805" spans="1:1" x14ac:dyDescent="0.3">
      <c r="A13805" s="678"/>
    </row>
    <row r="13806" spans="1:1" x14ac:dyDescent="0.3">
      <c r="A13806" s="678"/>
    </row>
    <row r="13807" spans="1:1" x14ac:dyDescent="0.3">
      <c r="A13807" s="678"/>
    </row>
    <row r="13808" spans="1:1" x14ac:dyDescent="0.3">
      <c r="A13808" s="678"/>
    </row>
    <row r="13809" spans="1:1" x14ac:dyDescent="0.3">
      <c r="A13809" s="678"/>
    </row>
    <row r="13810" spans="1:1" x14ac:dyDescent="0.3">
      <c r="A13810" s="678"/>
    </row>
    <row r="13811" spans="1:1" x14ac:dyDescent="0.3">
      <c r="A13811" s="678"/>
    </row>
    <row r="13812" spans="1:1" x14ac:dyDescent="0.3">
      <c r="A13812" s="678"/>
    </row>
    <row r="13813" spans="1:1" x14ac:dyDescent="0.3">
      <c r="A13813" s="678"/>
    </row>
    <row r="13814" spans="1:1" x14ac:dyDescent="0.3">
      <c r="A13814" s="678"/>
    </row>
    <row r="13815" spans="1:1" x14ac:dyDescent="0.3">
      <c r="A13815" s="678"/>
    </row>
    <row r="13816" spans="1:1" x14ac:dyDescent="0.3">
      <c r="A13816" s="678"/>
    </row>
    <row r="13817" spans="1:1" x14ac:dyDescent="0.3">
      <c r="A13817" s="678"/>
    </row>
    <row r="13818" spans="1:1" x14ac:dyDescent="0.3">
      <c r="A13818" s="678"/>
    </row>
    <row r="13819" spans="1:1" x14ac:dyDescent="0.3">
      <c r="A13819" s="678"/>
    </row>
    <row r="13820" spans="1:1" x14ac:dyDescent="0.3">
      <c r="A13820" s="678"/>
    </row>
    <row r="13821" spans="1:1" x14ac:dyDescent="0.3">
      <c r="A13821" s="678"/>
    </row>
    <row r="13822" spans="1:1" x14ac:dyDescent="0.3">
      <c r="A13822" s="678"/>
    </row>
    <row r="13823" spans="1:1" x14ac:dyDescent="0.3">
      <c r="A13823" s="678"/>
    </row>
    <row r="13824" spans="1:1" x14ac:dyDescent="0.3">
      <c r="A13824" s="678"/>
    </row>
    <row r="13825" spans="1:1" x14ac:dyDescent="0.3">
      <c r="A13825" s="678"/>
    </row>
    <row r="13826" spans="1:1" x14ac:dyDescent="0.3">
      <c r="A13826" s="678"/>
    </row>
    <row r="13827" spans="1:1" x14ac:dyDescent="0.3">
      <c r="A13827" s="678"/>
    </row>
    <row r="13828" spans="1:1" x14ac:dyDescent="0.3">
      <c r="A13828" s="678"/>
    </row>
    <row r="13829" spans="1:1" x14ac:dyDescent="0.3">
      <c r="A13829" s="678"/>
    </row>
    <row r="13830" spans="1:1" x14ac:dyDescent="0.3">
      <c r="A13830" s="678"/>
    </row>
    <row r="13831" spans="1:1" x14ac:dyDescent="0.3">
      <c r="A13831" s="678"/>
    </row>
    <row r="13832" spans="1:1" x14ac:dyDescent="0.3">
      <c r="A13832" s="678"/>
    </row>
    <row r="13833" spans="1:1" x14ac:dyDescent="0.3">
      <c r="A13833" s="678"/>
    </row>
    <row r="13834" spans="1:1" x14ac:dyDescent="0.3">
      <c r="A13834" s="678"/>
    </row>
    <row r="13835" spans="1:1" x14ac:dyDescent="0.3">
      <c r="A13835" s="678"/>
    </row>
    <row r="13836" spans="1:1" x14ac:dyDescent="0.3">
      <c r="A13836" s="678"/>
    </row>
    <row r="13837" spans="1:1" x14ac:dyDescent="0.3">
      <c r="A13837" s="678"/>
    </row>
    <row r="13838" spans="1:1" x14ac:dyDescent="0.3">
      <c r="A13838" s="678"/>
    </row>
    <row r="13839" spans="1:1" x14ac:dyDescent="0.3">
      <c r="A13839" s="678"/>
    </row>
    <row r="13840" spans="1:1" x14ac:dyDescent="0.3">
      <c r="A13840" s="678"/>
    </row>
    <row r="13841" spans="1:1" x14ac:dyDescent="0.3">
      <c r="A13841" s="678"/>
    </row>
    <row r="13842" spans="1:1" x14ac:dyDescent="0.3">
      <c r="A13842" s="678"/>
    </row>
    <row r="13843" spans="1:1" x14ac:dyDescent="0.3">
      <c r="A13843" s="678"/>
    </row>
    <row r="13844" spans="1:1" x14ac:dyDescent="0.3">
      <c r="A13844" s="678"/>
    </row>
    <row r="13845" spans="1:1" x14ac:dyDescent="0.3">
      <c r="A13845" s="678"/>
    </row>
    <row r="13846" spans="1:1" x14ac:dyDescent="0.3">
      <c r="A13846" s="678"/>
    </row>
    <row r="13847" spans="1:1" x14ac:dyDescent="0.3">
      <c r="A13847" s="678"/>
    </row>
    <row r="13848" spans="1:1" x14ac:dyDescent="0.3">
      <c r="A13848" s="678"/>
    </row>
    <row r="13849" spans="1:1" x14ac:dyDescent="0.3">
      <c r="A13849" s="678"/>
    </row>
    <row r="13850" spans="1:1" x14ac:dyDescent="0.3">
      <c r="A13850" s="678"/>
    </row>
    <row r="13851" spans="1:1" x14ac:dyDescent="0.3">
      <c r="A13851" s="678"/>
    </row>
    <row r="13852" spans="1:1" x14ac:dyDescent="0.3">
      <c r="A13852" s="678"/>
    </row>
    <row r="13853" spans="1:1" x14ac:dyDescent="0.3">
      <c r="A13853" s="678"/>
    </row>
    <row r="13854" spans="1:1" x14ac:dyDescent="0.3">
      <c r="A13854" s="678"/>
    </row>
    <row r="13855" spans="1:1" x14ac:dyDescent="0.3">
      <c r="A13855" s="678"/>
    </row>
    <row r="13856" spans="1:1" x14ac:dyDescent="0.3">
      <c r="A13856" s="678"/>
    </row>
    <row r="13857" spans="1:1" x14ac:dyDescent="0.3">
      <c r="A13857" s="678"/>
    </row>
    <row r="13858" spans="1:1" x14ac:dyDescent="0.3">
      <c r="A13858" s="678"/>
    </row>
    <row r="13859" spans="1:1" x14ac:dyDescent="0.3">
      <c r="A13859" s="678"/>
    </row>
    <row r="13860" spans="1:1" x14ac:dyDescent="0.3">
      <c r="A13860" s="678"/>
    </row>
    <row r="13861" spans="1:1" x14ac:dyDescent="0.3">
      <c r="A13861" s="678"/>
    </row>
    <row r="13862" spans="1:1" x14ac:dyDescent="0.3">
      <c r="A13862" s="678"/>
    </row>
    <row r="13863" spans="1:1" x14ac:dyDescent="0.3">
      <c r="A13863" s="678"/>
    </row>
    <row r="13864" spans="1:1" x14ac:dyDescent="0.3">
      <c r="A13864" s="678"/>
    </row>
    <row r="13865" spans="1:1" x14ac:dyDescent="0.3">
      <c r="A13865" s="678"/>
    </row>
    <row r="13866" spans="1:1" x14ac:dyDescent="0.3">
      <c r="A13866" s="678"/>
    </row>
    <row r="13867" spans="1:1" x14ac:dyDescent="0.3">
      <c r="A13867" s="678"/>
    </row>
    <row r="13868" spans="1:1" x14ac:dyDescent="0.3">
      <c r="A13868" s="678"/>
    </row>
    <row r="13869" spans="1:1" x14ac:dyDescent="0.3">
      <c r="A13869" s="678"/>
    </row>
    <row r="13870" spans="1:1" x14ac:dyDescent="0.3">
      <c r="A13870" s="678"/>
    </row>
    <row r="13871" spans="1:1" x14ac:dyDescent="0.3">
      <c r="A13871" s="678"/>
    </row>
    <row r="13872" spans="1:1" x14ac:dyDescent="0.3">
      <c r="A13872" s="678"/>
    </row>
    <row r="13873" spans="1:1" x14ac:dyDescent="0.3">
      <c r="A13873" s="678"/>
    </row>
    <row r="13874" spans="1:1" x14ac:dyDescent="0.3">
      <c r="A13874" s="678"/>
    </row>
    <row r="13875" spans="1:1" x14ac:dyDescent="0.3">
      <c r="A13875" s="678"/>
    </row>
    <row r="13876" spans="1:1" x14ac:dyDescent="0.3">
      <c r="A13876" s="678"/>
    </row>
    <row r="13877" spans="1:1" x14ac:dyDescent="0.3">
      <c r="A13877" s="678"/>
    </row>
    <row r="13878" spans="1:1" x14ac:dyDescent="0.3">
      <c r="A13878" s="678"/>
    </row>
    <row r="13879" spans="1:1" x14ac:dyDescent="0.3">
      <c r="A13879" s="678"/>
    </row>
    <row r="13880" spans="1:1" x14ac:dyDescent="0.3">
      <c r="A13880" s="678"/>
    </row>
    <row r="13881" spans="1:1" x14ac:dyDescent="0.3">
      <c r="A13881" s="678"/>
    </row>
    <row r="13882" spans="1:1" x14ac:dyDescent="0.3">
      <c r="A13882" s="678"/>
    </row>
    <row r="13883" spans="1:1" x14ac:dyDescent="0.3">
      <c r="A13883" s="678"/>
    </row>
    <row r="13884" spans="1:1" x14ac:dyDescent="0.3">
      <c r="A13884" s="678"/>
    </row>
    <row r="13885" spans="1:1" x14ac:dyDescent="0.3">
      <c r="A13885" s="678"/>
    </row>
    <row r="13886" spans="1:1" x14ac:dyDescent="0.3">
      <c r="A13886" s="678"/>
    </row>
    <row r="13887" spans="1:1" x14ac:dyDescent="0.3">
      <c r="A13887" s="678"/>
    </row>
    <row r="13888" spans="1:1" x14ac:dyDescent="0.3">
      <c r="A13888" s="678"/>
    </row>
    <row r="13889" spans="1:1" x14ac:dyDescent="0.3">
      <c r="A13889" s="678"/>
    </row>
    <row r="13890" spans="1:1" x14ac:dyDescent="0.3">
      <c r="A13890" s="678"/>
    </row>
    <row r="13891" spans="1:1" x14ac:dyDescent="0.3">
      <c r="A13891" s="678"/>
    </row>
    <row r="13892" spans="1:1" x14ac:dyDescent="0.3">
      <c r="A13892" s="678"/>
    </row>
    <row r="13893" spans="1:1" x14ac:dyDescent="0.3">
      <c r="A13893" s="678"/>
    </row>
    <row r="13894" spans="1:1" x14ac:dyDescent="0.3">
      <c r="A13894" s="678"/>
    </row>
    <row r="13895" spans="1:1" x14ac:dyDescent="0.3">
      <c r="A13895" s="678"/>
    </row>
    <row r="13896" spans="1:1" x14ac:dyDescent="0.3">
      <c r="A13896" s="678"/>
    </row>
    <row r="13897" spans="1:1" x14ac:dyDescent="0.3">
      <c r="A13897" s="678"/>
    </row>
    <row r="13898" spans="1:1" x14ac:dyDescent="0.3">
      <c r="A13898" s="678"/>
    </row>
    <row r="13899" spans="1:1" x14ac:dyDescent="0.3">
      <c r="A13899" s="678"/>
    </row>
    <row r="13900" spans="1:1" x14ac:dyDescent="0.3">
      <c r="A13900" s="678"/>
    </row>
    <row r="13901" spans="1:1" x14ac:dyDescent="0.3">
      <c r="A13901" s="678"/>
    </row>
    <row r="13902" spans="1:1" x14ac:dyDescent="0.3">
      <c r="A13902" s="678"/>
    </row>
    <row r="13903" spans="1:1" x14ac:dyDescent="0.3">
      <c r="A13903" s="678"/>
    </row>
    <row r="13904" spans="1:1" x14ac:dyDescent="0.3">
      <c r="A13904" s="678"/>
    </row>
    <row r="13905" spans="1:1" x14ac:dyDescent="0.3">
      <c r="A13905" s="678"/>
    </row>
    <row r="13906" spans="1:1" x14ac:dyDescent="0.3">
      <c r="A13906" s="678"/>
    </row>
    <row r="13907" spans="1:1" x14ac:dyDescent="0.3">
      <c r="A13907" s="678"/>
    </row>
    <row r="13908" spans="1:1" x14ac:dyDescent="0.3">
      <c r="A13908" s="678"/>
    </row>
    <row r="13909" spans="1:1" x14ac:dyDescent="0.3">
      <c r="A13909" s="678"/>
    </row>
    <row r="13910" spans="1:1" x14ac:dyDescent="0.3">
      <c r="A13910" s="678"/>
    </row>
    <row r="13911" spans="1:1" x14ac:dyDescent="0.3">
      <c r="A13911" s="678"/>
    </row>
    <row r="13912" spans="1:1" x14ac:dyDescent="0.3">
      <c r="A13912" s="678"/>
    </row>
    <row r="13913" spans="1:1" x14ac:dyDescent="0.3">
      <c r="A13913" s="678"/>
    </row>
    <row r="13914" spans="1:1" x14ac:dyDescent="0.3">
      <c r="A13914" s="678"/>
    </row>
    <row r="13915" spans="1:1" x14ac:dyDescent="0.3">
      <c r="A13915" s="678"/>
    </row>
    <row r="13916" spans="1:1" x14ac:dyDescent="0.3">
      <c r="A13916" s="678"/>
    </row>
    <row r="13917" spans="1:1" x14ac:dyDescent="0.3">
      <c r="A13917" s="678"/>
    </row>
    <row r="13918" spans="1:1" x14ac:dyDescent="0.3">
      <c r="A13918" s="678"/>
    </row>
    <row r="13919" spans="1:1" x14ac:dyDescent="0.3">
      <c r="A13919" s="678"/>
    </row>
    <row r="13920" spans="1:1" x14ac:dyDescent="0.3">
      <c r="A13920" s="678"/>
    </row>
    <row r="13921" spans="1:1" x14ac:dyDescent="0.3">
      <c r="A13921" s="678"/>
    </row>
    <row r="13922" spans="1:1" x14ac:dyDescent="0.3">
      <c r="A13922" s="678"/>
    </row>
    <row r="13923" spans="1:1" x14ac:dyDescent="0.3">
      <c r="A13923" s="678"/>
    </row>
    <row r="13924" spans="1:1" x14ac:dyDescent="0.3">
      <c r="A13924" s="678"/>
    </row>
    <row r="13925" spans="1:1" x14ac:dyDescent="0.3">
      <c r="A13925" s="678"/>
    </row>
    <row r="13926" spans="1:1" x14ac:dyDescent="0.3">
      <c r="A13926" s="678"/>
    </row>
    <row r="13927" spans="1:1" x14ac:dyDescent="0.3">
      <c r="A13927" s="678"/>
    </row>
    <row r="13928" spans="1:1" x14ac:dyDescent="0.3">
      <c r="A13928" s="678"/>
    </row>
    <row r="13929" spans="1:1" x14ac:dyDescent="0.3">
      <c r="A13929" s="678"/>
    </row>
    <row r="13930" spans="1:1" x14ac:dyDescent="0.3">
      <c r="A13930" s="678"/>
    </row>
    <row r="13931" spans="1:1" x14ac:dyDescent="0.3">
      <c r="A13931" s="678"/>
    </row>
    <row r="13932" spans="1:1" x14ac:dyDescent="0.3">
      <c r="A13932" s="678"/>
    </row>
    <row r="13933" spans="1:1" x14ac:dyDescent="0.3">
      <c r="A13933" s="678"/>
    </row>
    <row r="13934" spans="1:1" x14ac:dyDescent="0.3">
      <c r="A13934" s="678"/>
    </row>
    <row r="13935" spans="1:1" x14ac:dyDescent="0.3">
      <c r="A13935" s="678"/>
    </row>
    <row r="13936" spans="1:1" x14ac:dyDescent="0.3">
      <c r="A13936" s="678"/>
    </row>
    <row r="13937" spans="1:1" x14ac:dyDescent="0.3">
      <c r="A13937" s="678"/>
    </row>
    <row r="13938" spans="1:1" x14ac:dyDescent="0.3">
      <c r="A13938" s="678"/>
    </row>
    <row r="13939" spans="1:1" x14ac:dyDescent="0.3">
      <c r="A13939" s="678"/>
    </row>
    <row r="13940" spans="1:1" x14ac:dyDescent="0.3">
      <c r="A13940" s="678"/>
    </row>
    <row r="13941" spans="1:1" x14ac:dyDescent="0.3">
      <c r="A13941" s="678"/>
    </row>
    <row r="13942" spans="1:1" x14ac:dyDescent="0.3">
      <c r="A13942" s="678"/>
    </row>
    <row r="13943" spans="1:1" x14ac:dyDescent="0.3">
      <c r="A13943" s="678"/>
    </row>
    <row r="13944" spans="1:1" x14ac:dyDescent="0.3">
      <c r="A13944" s="678"/>
    </row>
    <row r="13945" spans="1:1" x14ac:dyDescent="0.3">
      <c r="A13945" s="678"/>
    </row>
    <row r="13946" spans="1:1" x14ac:dyDescent="0.3">
      <c r="A13946" s="678"/>
    </row>
    <row r="13947" spans="1:1" x14ac:dyDescent="0.3">
      <c r="A13947" s="678"/>
    </row>
    <row r="13948" spans="1:1" x14ac:dyDescent="0.3">
      <c r="A13948" s="678"/>
    </row>
    <row r="13949" spans="1:1" x14ac:dyDescent="0.3">
      <c r="A13949" s="678"/>
    </row>
    <row r="13950" spans="1:1" x14ac:dyDescent="0.3">
      <c r="A13950" s="678"/>
    </row>
    <row r="13951" spans="1:1" x14ac:dyDescent="0.3">
      <c r="A13951" s="678"/>
    </row>
    <row r="13952" spans="1:1" x14ac:dyDescent="0.3">
      <c r="A13952" s="678"/>
    </row>
    <row r="13953" spans="1:1" x14ac:dyDescent="0.3">
      <c r="A13953" s="678"/>
    </row>
    <row r="13954" spans="1:1" x14ac:dyDescent="0.3">
      <c r="A13954" s="678"/>
    </row>
    <row r="13955" spans="1:1" x14ac:dyDescent="0.3">
      <c r="A13955" s="678"/>
    </row>
    <row r="13956" spans="1:1" x14ac:dyDescent="0.3">
      <c r="A13956" s="678"/>
    </row>
    <row r="13957" spans="1:1" x14ac:dyDescent="0.3">
      <c r="A13957" s="678"/>
    </row>
    <row r="13958" spans="1:1" x14ac:dyDescent="0.3">
      <c r="A13958" s="678"/>
    </row>
    <row r="13959" spans="1:1" x14ac:dyDescent="0.3">
      <c r="A13959" s="678"/>
    </row>
    <row r="13960" spans="1:1" x14ac:dyDescent="0.3">
      <c r="A13960" s="678"/>
    </row>
    <row r="13961" spans="1:1" x14ac:dyDescent="0.3">
      <c r="A13961" s="678"/>
    </row>
    <row r="13962" spans="1:1" x14ac:dyDescent="0.3">
      <c r="A13962" s="678"/>
    </row>
    <row r="13963" spans="1:1" x14ac:dyDescent="0.3">
      <c r="A13963" s="678"/>
    </row>
    <row r="13964" spans="1:1" x14ac:dyDescent="0.3">
      <c r="A13964" s="678"/>
    </row>
    <row r="13965" spans="1:1" x14ac:dyDescent="0.3">
      <c r="A13965" s="678"/>
    </row>
    <row r="13966" spans="1:1" x14ac:dyDescent="0.3">
      <c r="A13966" s="678"/>
    </row>
    <row r="13967" spans="1:1" x14ac:dyDescent="0.3">
      <c r="A13967" s="678"/>
    </row>
    <row r="13968" spans="1:1" x14ac:dyDescent="0.3">
      <c r="A13968" s="678"/>
    </row>
    <row r="13969" spans="1:1" x14ac:dyDescent="0.3">
      <c r="A13969" s="678"/>
    </row>
    <row r="13970" spans="1:1" x14ac:dyDescent="0.3">
      <c r="A13970" s="678"/>
    </row>
    <row r="13971" spans="1:1" x14ac:dyDescent="0.3">
      <c r="A13971" s="678"/>
    </row>
    <row r="13972" spans="1:1" x14ac:dyDescent="0.3">
      <c r="A13972" s="678"/>
    </row>
    <row r="13973" spans="1:1" x14ac:dyDescent="0.3">
      <c r="A13973" s="678"/>
    </row>
    <row r="13974" spans="1:1" x14ac:dyDescent="0.3">
      <c r="A13974" s="678"/>
    </row>
    <row r="13975" spans="1:1" x14ac:dyDescent="0.3">
      <c r="A13975" s="678"/>
    </row>
    <row r="13976" spans="1:1" x14ac:dyDescent="0.3">
      <c r="A13976" s="678"/>
    </row>
    <row r="13977" spans="1:1" x14ac:dyDescent="0.3">
      <c r="A13977" s="678"/>
    </row>
    <row r="13978" spans="1:1" x14ac:dyDescent="0.3">
      <c r="A13978" s="678"/>
    </row>
    <row r="13979" spans="1:1" x14ac:dyDescent="0.3">
      <c r="A13979" s="678"/>
    </row>
    <row r="13980" spans="1:1" x14ac:dyDescent="0.3">
      <c r="A13980" s="678"/>
    </row>
    <row r="13981" spans="1:1" x14ac:dyDescent="0.3">
      <c r="A13981" s="678"/>
    </row>
    <row r="13982" spans="1:1" x14ac:dyDescent="0.3">
      <c r="A13982" s="678"/>
    </row>
    <row r="13983" spans="1:1" x14ac:dyDescent="0.3">
      <c r="A13983" s="678"/>
    </row>
    <row r="13984" spans="1:1" x14ac:dyDescent="0.3">
      <c r="A13984" s="678"/>
    </row>
    <row r="13985" spans="1:1" x14ac:dyDescent="0.3">
      <c r="A13985" s="678"/>
    </row>
    <row r="13986" spans="1:1" x14ac:dyDescent="0.3">
      <c r="A13986" s="678"/>
    </row>
    <row r="13987" spans="1:1" x14ac:dyDescent="0.3">
      <c r="A13987" s="678"/>
    </row>
    <row r="13988" spans="1:1" x14ac:dyDescent="0.3">
      <c r="A13988" s="678"/>
    </row>
    <row r="13989" spans="1:1" x14ac:dyDescent="0.3">
      <c r="A13989" s="678"/>
    </row>
    <row r="13990" spans="1:1" x14ac:dyDescent="0.3">
      <c r="A13990" s="678"/>
    </row>
    <row r="13991" spans="1:1" x14ac:dyDescent="0.3">
      <c r="A13991" s="678"/>
    </row>
    <row r="13992" spans="1:1" x14ac:dyDescent="0.3">
      <c r="A13992" s="678"/>
    </row>
    <row r="13993" spans="1:1" x14ac:dyDescent="0.3">
      <c r="A13993" s="678"/>
    </row>
    <row r="13994" spans="1:1" x14ac:dyDescent="0.3">
      <c r="A13994" s="678"/>
    </row>
    <row r="13995" spans="1:1" x14ac:dyDescent="0.3">
      <c r="A13995" s="678"/>
    </row>
    <row r="13996" spans="1:1" x14ac:dyDescent="0.3">
      <c r="A13996" s="678"/>
    </row>
    <row r="13997" spans="1:1" x14ac:dyDescent="0.3">
      <c r="A13997" s="678"/>
    </row>
    <row r="13998" spans="1:1" x14ac:dyDescent="0.3">
      <c r="A13998" s="678"/>
    </row>
    <row r="13999" spans="1:1" x14ac:dyDescent="0.3">
      <c r="A13999" s="678"/>
    </row>
    <row r="14000" spans="1:1" x14ac:dyDescent="0.3">
      <c r="A14000" s="678"/>
    </row>
    <row r="14001" spans="1:1" x14ac:dyDescent="0.3">
      <c r="A14001" s="678"/>
    </row>
    <row r="14002" spans="1:1" x14ac:dyDescent="0.3">
      <c r="A14002" s="678"/>
    </row>
    <row r="14003" spans="1:1" x14ac:dyDescent="0.3">
      <c r="A14003" s="678"/>
    </row>
    <row r="14004" spans="1:1" x14ac:dyDescent="0.3">
      <c r="A14004" s="678"/>
    </row>
    <row r="14005" spans="1:1" x14ac:dyDescent="0.3">
      <c r="A14005" s="678"/>
    </row>
    <row r="14006" spans="1:1" x14ac:dyDescent="0.3">
      <c r="A14006" s="678"/>
    </row>
    <row r="14007" spans="1:1" x14ac:dyDescent="0.3">
      <c r="A14007" s="678"/>
    </row>
    <row r="14008" spans="1:1" x14ac:dyDescent="0.3">
      <c r="A14008" s="678"/>
    </row>
    <row r="14009" spans="1:1" x14ac:dyDescent="0.3">
      <c r="A14009" s="678"/>
    </row>
    <row r="14010" spans="1:1" x14ac:dyDescent="0.3">
      <c r="A14010" s="678"/>
    </row>
    <row r="14011" spans="1:1" x14ac:dyDescent="0.3">
      <c r="A14011" s="678"/>
    </row>
    <row r="14012" spans="1:1" x14ac:dyDescent="0.3">
      <c r="A14012" s="678"/>
    </row>
    <row r="14013" spans="1:1" x14ac:dyDescent="0.3">
      <c r="A14013" s="678"/>
    </row>
    <row r="14014" spans="1:1" x14ac:dyDescent="0.3">
      <c r="A14014" s="678"/>
    </row>
    <row r="14015" spans="1:1" x14ac:dyDescent="0.3">
      <c r="A14015" s="678"/>
    </row>
    <row r="14016" spans="1:1" x14ac:dyDescent="0.3">
      <c r="A14016" s="678"/>
    </row>
    <row r="14017" spans="1:1" x14ac:dyDescent="0.3">
      <c r="A14017" s="678"/>
    </row>
    <row r="14018" spans="1:1" x14ac:dyDescent="0.3">
      <c r="A14018" s="678"/>
    </row>
    <row r="14019" spans="1:1" x14ac:dyDescent="0.3">
      <c r="A14019" s="678"/>
    </row>
    <row r="14020" spans="1:1" x14ac:dyDescent="0.3">
      <c r="A14020" s="678"/>
    </row>
    <row r="14021" spans="1:1" x14ac:dyDescent="0.3">
      <c r="A14021" s="678"/>
    </row>
    <row r="14022" spans="1:1" x14ac:dyDescent="0.3">
      <c r="A14022" s="678"/>
    </row>
    <row r="14023" spans="1:1" x14ac:dyDescent="0.3">
      <c r="A14023" s="678"/>
    </row>
    <row r="14024" spans="1:1" x14ac:dyDescent="0.3">
      <c r="A14024" s="678"/>
    </row>
    <row r="14025" spans="1:1" x14ac:dyDescent="0.3">
      <c r="A14025" s="678"/>
    </row>
    <row r="14026" spans="1:1" x14ac:dyDescent="0.3">
      <c r="A14026" s="678"/>
    </row>
    <row r="14027" spans="1:1" x14ac:dyDescent="0.3">
      <c r="A14027" s="678"/>
    </row>
    <row r="14028" spans="1:1" x14ac:dyDescent="0.3">
      <c r="A14028" s="678"/>
    </row>
    <row r="14029" spans="1:1" x14ac:dyDescent="0.3">
      <c r="A14029" s="678"/>
    </row>
    <row r="14030" spans="1:1" x14ac:dyDescent="0.3">
      <c r="A14030" s="678"/>
    </row>
    <row r="14031" spans="1:1" x14ac:dyDescent="0.3">
      <c r="A14031" s="678"/>
    </row>
    <row r="14032" spans="1:1" x14ac:dyDescent="0.3">
      <c r="A14032" s="678"/>
    </row>
    <row r="14033" spans="1:1" x14ac:dyDescent="0.3">
      <c r="A14033" s="678"/>
    </row>
    <row r="14034" spans="1:1" x14ac:dyDescent="0.3">
      <c r="A14034" s="678"/>
    </row>
    <row r="14035" spans="1:1" x14ac:dyDescent="0.3">
      <c r="A14035" s="678"/>
    </row>
    <row r="14036" spans="1:1" x14ac:dyDescent="0.3">
      <c r="A14036" s="678"/>
    </row>
    <row r="14037" spans="1:1" x14ac:dyDescent="0.3">
      <c r="A14037" s="678"/>
    </row>
    <row r="14038" spans="1:1" x14ac:dyDescent="0.3">
      <c r="A14038" s="678"/>
    </row>
    <row r="14039" spans="1:1" x14ac:dyDescent="0.3">
      <c r="A14039" s="678"/>
    </row>
    <row r="14040" spans="1:1" x14ac:dyDescent="0.3">
      <c r="A14040" s="678"/>
    </row>
    <row r="14041" spans="1:1" x14ac:dyDescent="0.3">
      <c r="A14041" s="678"/>
    </row>
    <row r="14042" spans="1:1" x14ac:dyDescent="0.3">
      <c r="A14042" s="678"/>
    </row>
    <row r="14043" spans="1:1" x14ac:dyDescent="0.3">
      <c r="A14043" s="678"/>
    </row>
    <row r="14044" spans="1:1" x14ac:dyDescent="0.3">
      <c r="A14044" s="678"/>
    </row>
    <row r="14045" spans="1:1" x14ac:dyDescent="0.3">
      <c r="A14045" s="678"/>
    </row>
    <row r="14046" spans="1:1" x14ac:dyDescent="0.3">
      <c r="A14046" s="678"/>
    </row>
    <row r="14047" spans="1:1" x14ac:dyDescent="0.3">
      <c r="A14047" s="678"/>
    </row>
    <row r="14048" spans="1:1" x14ac:dyDescent="0.3">
      <c r="A14048" s="678"/>
    </row>
    <row r="14049" spans="1:1" x14ac:dyDescent="0.3">
      <c r="A14049" s="678"/>
    </row>
    <row r="14050" spans="1:1" x14ac:dyDescent="0.3">
      <c r="A14050" s="678"/>
    </row>
    <row r="14051" spans="1:1" x14ac:dyDescent="0.3">
      <c r="A14051" s="678"/>
    </row>
    <row r="14052" spans="1:1" x14ac:dyDescent="0.3">
      <c r="A14052" s="678"/>
    </row>
    <row r="14053" spans="1:1" x14ac:dyDescent="0.3">
      <c r="A14053" s="678"/>
    </row>
    <row r="14054" spans="1:1" x14ac:dyDescent="0.3">
      <c r="A14054" s="678"/>
    </row>
    <row r="14055" spans="1:1" x14ac:dyDescent="0.3">
      <c r="A14055" s="678"/>
    </row>
    <row r="14056" spans="1:1" x14ac:dyDescent="0.3">
      <c r="A14056" s="678"/>
    </row>
    <row r="14057" spans="1:1" x14ac:dyDescent="0.3">
      <c r="A14057" s="678"/>
    </row>
    <row r="14058" spans="1:1" x14ac:dyDescent="0.3">
      <c r="A14058" s="678"/>
    </row>
    <row r="14059" spans="1:1" x14ac:dyDescent="0.3">
      <c r="A14059" s="678"/>
    </row>
    <row r="14060" spans="1:1" x14ac:dyDescent="0.3">
      <c r="A14060" s="678"/>
    </row>
    <row r="14061" spans="1:1" x14ac:dyDescent="0.3">
      <c r="A14061" s="678"/>
    </row>
    <row r="14062" spans="1:1" x14ac:dyDescent="0.3">
      <c r="A14062" s="678"/>
    </row>
    <row r="14063" spans="1:1" x14ac:dyDescent="0.3">
      <c r="A14063" s="678"/>
    </row>
    <row r="14064" spans="1:1" x14ac:dyDescent="0.3">
      <c r="A14064" s="678"/>
    </row>
    <row r="14065" spans="1:1" x14ac:dyDescent="0.3">
      <c r="A14065" s="678"/>
    </row>
    <row r="14066" spans="1:1" x14ac:dyDescent="0.3">
      <c r="A14066" s="678"/>
    </row>
    <row r="14067" spans="1:1" x14ac:dyDescent="0.3">
      <c r="A14067" s="678"/>
    </row>
    <row r="14068" spans="1:1" x14ac:dyDescent="0.3">
      <c r="A14068" s="678"/>
    </row>
    <row r="14069" spans="1:1" x14ac:dyDescent="0.3">
      <c r="A14069" s="678"/>
    </row>
    <row r="14070" spans="1:1" x14ac:dyDescent="0.3">
      <c r="A14070" s="678"/>
    </row>
    <row r="14071" spans="1:1" x14ac:dyDescent="0.3">
      <c r="A14071" s="678"/>
    </row>
    <row r="14072" spans="1:1" x14ac:dyDescent="0.3">
      <c r="A14072" s="678"/>
    </row>
    <row r="14073" spans="1:1" x14ac:dyDescent="0.3">
      <c r="A14073" s="678"/>
    </row>
    <row r="14074" spans="1:1" x14ac:dyDescent="0.3">
      <c r="A14074" s="678"/>
    </row>
    <row r="14075" spans="1:1" x14ac:dyDescent="0.3">
      <c r="A14075" s="678"/>
    </row>
    <row r="14076" spans="1:1" x14ac:dyDescent="0.3">
      <c r="A14076" s="678"/>
    </row>
    <row r="14077" spans="1:1" x14ac:dyDescent="0.3">
      <c r="A14077" s="678"/>
    </row>
    <row r="14078" spans="1:1" x14ac:dyDescent="0.3">
      <c r="A14078" s="678"/>
    </row>
    <row r="14079" spans="1:1" x14ac:dyDescent="0.3">
      <c r="A14079" s="678"/>
    </row>
    <row r="14080" spans="1:1" x14ac:dyDescent="0.3">
      <c r="A14080" s="678"/>
    </row>
    <row r="14081" spans="1:1" x14ac:dyDescent="0.3">
      <c r="A14081" s="678"/>
    </row>
    <row r="14082" spans="1:1" x14ac:dyDescent="0.3">
      <c r="A14082" s="678"/>
    </row>
    <row r="14083" spans="1:1" x14ac:dyDescent="0.3">
      <c r="A14083" s="678"/>
    </row>
    <row r="14084" spans="1:1" x14ac:dyDescent="0.3">
      <c r="A14084" s="678"/>
    </row>
    <row r="14085" spans="1:1" x14ac:dyDescent="0.3">
      <c r="A14085" s="678"/>
    </row>
    <row r="14086" spans="1:1" x14ac:dyDescent="0.3">
      <c r="A14086" s="678"/>
    </row>
    <row r="14087" spans="1:1" x14ac:dyDescent="0.3">
      <c r="A14087" s="678"/>
    </row>
    <row r="14088" spans="1:1" x14ac:dyDescent="0.3">
      <c r="A14088" s="678"/>
    </row>
    <row r="14089" spans="1:1" x14ac:dyDescent="0.3">
      <c r="A14089" s="678"/>
    </row>
    <row r="14090" spans="1:1" x14ac:dyDescent="0.3">
      <c r="A14090" s="678"/>
    </row>
    <row r="14091" spans="1:1" x14ac:dyDescent="0.3">
      <c r="A14091" s="678"/>
    </row>
    <row r="14092" spans="1:1" x14ac:dyDescent="0.3">
      <c r="A14092" s="678"/>
    </row>
    <row r="14093" spans="1:1" x14ac:dyDescent="0.3">
      <c r="A14093" s="678"/>
    </row>
    <row r="14094" spans="1:1" x14ac:dyDescent="0.3">
      <c r="A14094" s="678"/>
    </row>
    <row r="14095" spans="1:1" x14ac:dyDescent="0.3">
      <c r="A14095" s="678"/>
    </row>
    <row r="14096" spans="1:1" x14ac:dyDescent="0.3">
      <c r="A14096" s="678"/>
    </row>
    <row r="14097" spans="1:1" x14ac:dyDescent="0.3">
      <c r="A14097" s="678"/>
    </row>
    <row r="14098" spans="1:1" x14ac:dyDescent="0.3">
      <c r="A14098" s="678"/>
    </row>
    <row r="14099" spans="1:1" x14ac:dyDescent="0.3">
      <c r="A14099" s="678"/>
    </row>
    <row r="14100" spans="1:1" x14ac:dyDescent="0.3">
      <c r="A14100" s="678"/>
    </row>
    <row r="14101" spans="1:1" x14ac:dyDescent="0.3">
      <c r="A14101" s="678"/>
    </row>
    <row r="14102" spans="1:1" x14ac:dyDescent="0.3">
      <c r="A14102" s="678"/>
    </row>
    <row r="14103" spans="1:1" x14ac:dyDescent="0.3">
      <c r="A14103" s="678"/>
    </row>
    <row r="14104" spans="1:1" x14ac:dyDescent="0.3">
      <c r="A14104" s="678"/>
    </row>
    <row r="14105" spans="1:1" x14ac:dyDescent="0.3">
      <c r="A14105" s="678"/>
    </row>
    <row r="14106" spans="1:1" x14ac:dyDescent="0.3">
      <c r="A14106" s="678"/>
    </row>
    <row r="14107" spans="1:1" x14ac:dyDescent="0.3">
      <c r="A14107" s="678"/>
    </row>
    <row r="14108" spans="1:1" x14ac:dyDescent="0.3">
      <c r="A14108" s="678"/>
    </row>
    <row r="14109" spans="1:1" x14ac:dyDescent="0.3">
      <c r="A14109" s="678"/>
    </row>
    <row r="14110" spans="1:1" x14ac:dyDescent="0.3">
      <c r="A14110" s="678"/>
    </row>
    <row r="14111" spans="1:1" x14ac:dyDescent="0.3">
      <c r="A14111" s="678"/>
    </row>
    <row r="14112" spans="1:1" x14ac:dyDescent="0.3">
      <c r="A14112" s="678"/>
    </row>
    <row r="14113" spans="1:1" x14ac:dyDescent="0.3">
      <c r="A14113" s="678"/>
    </row>
    <row r="14114" spans="1:1" x14ac:dyDescent="0.3">
      <c r="A14114" s="678"/>
    </row>
    <row r="14115" spans="1:1" x14ac:dyDescent="0.3">
      <c r="A14115" s="678"/>
    </row>
    <row r="14116" spans="1:1" x14ac:dyDescent="0.3">
      <c r="A14116" s="678"/>
    </row>
    <row r="14117" spans="1:1" x14ac:dyDescent="0.3">
      <c r="A14117" s="678"/>
    </row>
    <row r="14118" spans="1:1" x14ac:dyDescent="0.3">
      <c r="A14118" s="678"/>
    </row>
    <row r="14119" spans="1:1" x14ac:dyDescent="0.3">
      <c r="A14119" s="678"/>
    </row>
    <row r="14120" spans="1:1" x14ac:dyDescent="0.3">
      <c r="A14120" s="678"/>
    </row>
    <row r="14121" spans="1:1" x14ac:dyDescent="0.3">
      <c r="A14121" s="678"/>
    </row>
    <row r="14122" spans="1:1" x14ac:dyDescent="0.3">
      <c r="A14122" s="678"/>
    </row>
    <row r="14123" spans="1:1" x14ac:dyDescent="0.3">
      <c r="A14123" s="678"/>
    </row>
    <row r="14124" spans="1:1" x14ac:dyDescent="0.3">
      <c r="A14124" s="678"/>
    </row>
    <row r="14125" spans="1:1" x14ac:dyDescent="0.3">
      <c r="A14125" s="678"/>
    </row>
    <row r="14126" spans="1:1" x14ac:dyDescent="0.3">
      <c r="A14126" s="678"/>
    </row>
    <row r="14127" spans="1:1" x14ac:dyDescent="0.3">
      <c r="A14127" s="678"/>
    </row>
    <row r="14128" spans="1:1" x14ac:dyDescent="0.3">
      <c r="A14128" s="678"/>
    </row>
    <row r="14129" spans="1:1" x14ac:dyDescent="0.3">
      <c r="A14129" s="678"/>
    </row>
    <row r="14130" spans="1:1" x14ac:dyDescent="0.3">
      <c r="A14130" s="678"/>
    </row>
    <row r="14131" spans="1:1" x14ac:dyDescent="0.3">
      <c r="A14131" s="678"/>
    </row>
    <row r="14132" spans="1:1" x14ac:dyDescent="0.3">
      <c r="A14132" s="678"/>
    </row>
    <row r="14133" spans="1:1" x14ac:dyDescent="0.3">
      <c r="A14133" s="678"/>
    </row>
    <row r="14134" spans="1:1" x14ac:dyDescent="0.3">
      <c r="A14134" s="678"/>
    </row>
    <row r="14135" spans="1:1" x14ac:dyDescent="0.3">
      <c r="A14135" s="678"/>
    </row>
    <row r="14136" spans="1:1" x14ac:dyDescent="0.3">
      <c r="A14136" s="678"/>
    </row>
    <row r="14137" spans="1:1" x14ac:dyDescent="0.3">
      <c r="A14137" s="678"/>
    </row>
    <row r="14138" spans="1:1" x14ac:dyDescent="0.3">
      <c r="A14138" s="678"/>
    </row>
    <row r="14139" spans="1:1" x14ac:dyDescent="0.3">
      <c r="A14139" s="678"/>
    </row>
    <row r="14140" spans="1:1" x14ac:dyDescent="0.3">
      <c r="A14140" s="678"/>
    </row>
    <row r="14141" spans="1:1" x14ac:dyDescent="0.3">
      <c r="A14141" s="678"/>
    </row>
    <row r="14142" spans="1:1" x14ac:dyDescent="0.3">
      <c r="A14142" s="678"/>
    </row>
    <row r="14143" spans="1:1" x14ac:dyDescent="0.3">
      <c r="A14143" s="678"/>
    </row>
    <row r="14144" spans="1:1" x14ac:dyDescent="0.3">
      <c r="A14144" s="678"/>
    </row>
    <row r="14145" spans="1:1" x14ac:dyDescent="0.3">
      <c r="A14145" s="678"/>
    </row>
    <row r="14146" spans="1:1" x14ac:dyDescent="0.3">
      <c r="A14146" s="678"/>
    </row>
    <row r="14147" spans="1:1" x14ac:dyDescent="0.3">
      <c r="A14147" s="678"/>
    </row>
    <row r="14148" spans="1:1" x14ac:dyDescent="0.3">
      <c r="A14148" s="678"/>
    </row>
    <row r="14149" spans="1:1" x14ac:dyDescent="0.3">
      <c r="A14149" s="678"/>
    </row>
    <row r="14150" spans="1:1" x14ac:dyDescent="0.3">
      <c r="A14150" s="678"/>
    </row>
    <row r="14151" spans="1:1" x14ac:dyDescent="0.3">
      <c r="A14151" s="678"/>
    </row>
    <row r="14152" spans="1:1" x14ac:dyDescent="0.3">
      <c r="A14152" s="678"/>
    </row>
    <row r="14153" spans="1:1" x14ac:dyDescent="0.3">
      <c r="A14153" s="678"/>
    </row>
    <row r="14154" spans="1:1" x14ac:dyDescent="0.3">
      <c r="A14154" s="678"/>
    </row>
    <row r="14155" spans="1:1" x14ac:dyDescent="0.3">
      <c r="A14155" s="678"/>
    </row>
    <row r="14156" spans="1:1" x14ac:dyDescent="0.3">
      <c r="A14156" s="678"/>
    </row>
    <row r="14157" spans="1:1" x14ac:dyDescent="0.3">
      <c r="A14157" s="678"/>
    </row>
    <row r="14158" spans="1:1" x14ac:dyDescent="0.3">
      <c r="A14158" s="678"/>
    </row>
    <row r="14159" spans="1:1" x14ac:dyDescent="0.3">
      <c r="A14159" s="678"/>
    </row>
    <row r="14160" spans="1:1" x14ac:dyDescent="0.3">
      <c r="A14160" s="678"/>
    </row>
    <row r="14161" spans="1:1" x14ac:dyDescent="0.3">
      <c r="A14161" s="678"/>
    </row>
    <row r="14162" spans="1:1" x14ac:dyDescent="0.3">
      <c r="A14162" s="678"/>
    </row>
    <row r="14163" spans="1:1" x14ac:dyDescent="0.3">
      <c r="A14163" s="678"/>
    </row>
    <row r="14164" spans="1:1" x14ac:dyDescent="0.3">
      <c r="A14164" s="678"/>
    </row>
    <row r="14165" spans="1:1" x14ac:dyDescent="0.3">
      <c r="A14165" s="678"/>
    </row>
    <row r="14166" spans="1:1" x14ac:dyDescent="0.3">
      <c r="A14166" s="678"/>
    </row>
    <row r="14167" spans="1:1" x14ac:dyDescent="0.3">
      <c r="A14167" s="678"/>
    </row>
    <row r="14168" spans="1:1" x14ac:dyDescent="0.3">
      <c r="A14168" s="678"/>
    </row>
    <row r="14169" spans="1:1" x14ac:dyDescent="0.3">
      <c r="A14169" s="678"/>
    </row>
    <row r="14170" spans="1:1" x14ac:dyDescent="0.3">
      <c r="A14170" s="678"/>
    </row>
    <row r="14171" spans="1:1" x14ac:dyDescent="0.3">
      <c r="A14171" s="678"/>
    </row>
    <row r="14172" spans="1:1" x14ac:dyDescent="0.3">
      <c r="A14172" s="678"/>
    </row>
    <row r="14173" spans="1:1" x14ac:dyDescent="0.3">
      <c r="A14173" s="678"/>
    </row>
    <row r="14174" spans="1:1" x14ac:dyDescent="0.3">
      <c r="A14174" s="678"/>
    </row>
    <row r="14175" spans="1:1" x14ac:dyDescent="0.3">
      <c r="A14175" s="678"/>
    </row>
    <row r="14176" spans="1:1" x14ac:dyDescent="0.3">
      <c r="A14176" s="678"/>
    </row>
    <row r="14177" spans="1:1" x14ac:dyDescent="0.3">
      <c r="A14177" s="678"/>
    </row>
    <row r="14178" spans="1:1" x14ac:dyDescent="0.3">
      <c r="A14178" s="678"/>
    </row>
    <row r="14179" spans="1:1" x14ac:dyDescent="0.3">
      <c r="A14179" s="678"/>
    </row>
    <row r="14180" spans="1:1" x14ac:dyDescent="0.3">
      <c r="A14180" s="678"/>
    </row>
    <row r="14181" spans="1:1" x14ac:dyDescent="0.3">
      <c r="A14181" s="678"/>
    </row>
    <row r="14182" spans="1:1" x14ac:dyDescent="0.3">
      <c r="A14182" s="678"/>
    </row>
    <row r="14183" spans="1:1" x14ac:dyDescent="0.3">
      <c r="A14183" s="678"/>
    </row>
    <row r="14184" spans="1:1" x14ac:dyDescent="0.3">
      <c r="A14184" s="678"/>
    </row>
    <row r="14185" spans="1:1" x14ac:dyDescent="0.3">
      <c r="A14185" s="678"/>
    </row>
    <row r="14186" spans="1:1" x14ac:dyDescent="0.3">
      <c r="A14186" s="678"/>
    </row>
    <row r="14187" spans="1:1" x14ac:dyDescent="0.3">
      <c r="A14187" s="678"/>
    </row>
    <row r="14188" spans="1:1" x14ac:dyDescent="0.3">
      <c r="A14188" s="678"/>
    </row>
    <row r="14189" spans="1:1" x14ac:dyDescent="0.3">
      <c r="A14189" s="678"/>
    </row>
    <row r="14190" spans="1:1" x14ac:dyDescent="0.3">
      <c r="A14190" s="678"/>
    </row>
    <row r="14191" spans="1:1" x14ac:dyDescent="0.3">
      <c r="A14191" s="678"/>
    </row>
    <row r="14192" spans="1:1" x14ac:dyDescent="0.3">
      <c r="A14192" s="678"/>
    </row>
    <row r="14193" spans="1:1" x14ac:dyDescent="0.3">
      <c r="A14193" s="678"/>
    </row>
    <row r="14194" spans="1:1" x14ac:dyDescent="0.3">
      <c r="A14194" s="678"/>
    </row>
    <row r="14195" spans="1:1" x14ac:dyDescent="0.3">
      <c r="A14195" s="678"/>
    </row>
    <row r="14196" spans="1:1" x14ac:dyDescent="0.3">
      <c r="A14196" s="678"/>
    </row>
    <row r="14197" spans="1:1" x14ac:dyDescent="0.3">
      <c r="A14197" s="678"/>
    </row>
    <row r="14198" spans="1:1" x14ac:dyDescent="0.3">
      <c r="A14198" s="678"/>
    </row>
    <row r="14199" spans="1:1" x14ac:dyDescent="0.3">
      <c r="A14199" s="678"/>
    </row>
    <row r="14200" spans="1:1" x14ac:dyDescent="0.3">
      <c r="A14200" s="678"/>
    </row>
    <row r="14201" spans="1:1" x14ac:dyDescent="0.3">
      <c r="A14201" s="678"/>
    </row>
    <row r="14202" spans="1:1" x14ac:dyDescent="0.3">
      <c r="A14202" s="678"/>
    </row>
    <row r="14203" spans="1:1" x14ac:dyDescent="0.3">
      <c r="A14203" s="678"/>
    </row>
    <row r="14204" spans="1:1" x14ac:dyDescent="0.3">
      <c r="A14204" s="678"/>
    </row>
    <row r="14205" spans="1:1" x14ac:dyDescent="0.3">
      <c r="A14205" s="678"/>
    </row>
    <row r="14206" spans="1:1" x14ac:dyDescent="0.3">
      <c r="A14206" s="678"/>
    </row>
    <row r="14207" spans="1:1" x14ac:dyDescent="0.3">
      <c r="A14207" s="678"/>
    </row>
    <row r="14208" spans="1:1" x14ac:dyDescent="0.3">
      <c r="A14208" s="678"/>
    </row>
    <row r="14209" spans="1:1" x14ac:dyDescent="0.3">
      <c r="A14209" s="678"/>
    </row>
    <row r="14210" spans="1:1" x14ac:dyDescent="0.3">
      <c r="A14210" s="678"/>
    </row>
    <row r="14211" spans="1:1" x14ac:dyDescent="0.3">
      <c r="A14211" s="678"/>
    </row>
    <row r="14212" spans="1:1" x14ac:dyDescent="0.3">
      <c r="A14212" s="678"/>
    </row>
    <row r="14213" spans="1:1" x14ac:dyDescent="0.3">
      <c r="A14213" s="678"/>
    </row>
    <row r="14214" spans="1:1" x14ac:dyDescent="0.3">
      <c r="A14214" s="678"/>
    </row>
    <row r="14215" spans="1:1" x14ac:dyDescent="0.3">
      <c r="A14215" s="678"/>
    </row>
    <row r="14216" spans="1:1" x14ac:dyDescent="0.3">
      <c r="A14216" s="678"/>
    </row>
    <row r="14217" spans="1:1" x14ac:dyDescent="0.3">
      <c r="A14217" s="678"/>
    </row>
    <row r="14218" spans="1:1" x14ac:dyDescent="0.3">
      <c r="A14218" s="678"/>
    </row>
    <row r="14219" spans="1:1" x14ac:dyDescent="0.3">
      <c r="A14219" s="678"/>
    </row>
    <row r="14220" spans="1:1" x14ac:dyDescent="0.3">
      <c r="A14220" s="678"/>
    </row>
    <row r="14221" spans="1:1" x14ac:dyDescent="0.3">
      <c r="A14221" s="678"/>
    </row>
    <row r="14222" spans="1:1" x14ac:dyDescent="0.3">
      <c r="A14222" s="678"/>
    </row>
    <row r="14223" spans="1:1" x14ac:dyDescent="0.3">
      <c r="A14223" s="678"/>
    </row>
    <row r="14224" spans="1:1" x14ac:dyDescent="0.3">
      <c r="A14224" s="678"/>
    </row>
    <row r="14225" spans="1:1" x14ac:dyDescent="0.3">
      <c r="A14225" s="678"/>
    </row>
    <row r="14226" spans="1:1" x14ac:dyDescent="0.3">
      <c r="A14226" s="678"/>
    </row>
    <row r="14227" spans="1:1" x14ac:dyDescent="0.3">
      <c r="A14227" s="678"/>
    </row>
    <row r="14228" spans="1:1" x14ac:dyDescent="0.3">
      <c r="A14228" s="678"/>
    </row>
    <row r="14229" spans="1:1" x14ac:dyDescent="0.3">
      <c r="A14229" s="678"/>
    </row>
    <row r="14230" spans="1:1" x14ac:dyDescent="0.3">
      <c r="A14230" s="678"/>
    </row>
    <row r="14231" spans="1:1" x14ac:dyDescent="0.3">
      <c r="A14231" s="678"/>
    </row>
    <row r="14232" spans="1:1" x14ac:dyDescent="0.3">
      <c r="A14232" s="678"/>
    </row>
    <row r="14233" spans="1:1" x14ac:dyDescent="0.3">
      <c r="A14233" s="678"/>
    </row>
    <row r="14234" spans="1:1" x14ac:dyDescent="0.3">
      <c r="A14234" s="678"/>
    </row>
    <row r="14235" spans="1:1" x14ac:dyDescent="0.3">
      <c r="A14235" s="678"/>
    </row>
    <row r="14236" spans="1:1" x14ac:dyDescent="0.3">
      <c r="A14236" s="678"/>
    </row>
    <row r="14237" spans="1:1" x14ac:dyDescent="0.3">
      <c r="A14237" s="678"/>
    </row>
    <row r="14238" spans="1:1" x14ac:dyDescent="0.3">
      <c r="A14238" s="678"/>
    </row>
    <row r="14239" spans="1:1" x14ac:dyDescent="0.3">
      <c r="A14239" s="678"/>
    </row>
    <row r="14240" spans="1:1" x14ac:dyDescent="0.3">
      <c r="A14240" s="678"/>
    </row>
    <row r="14241" spans="1:1" x14ac:dyDescent="0.3">
      <c r="A14241" s="678"/>
    </row>
    <row r="14242" spans="1:1" x14ac:dyDescent="0.3">
      <c r="A14242" s="678"/>
    </row>
    <row r="14243" spans="1:1" x14ac:dyDescent="0.3">
      <c r="A14243" s="678"/>
    </row>
    <row r="14244" spans="1:1" x14ac:dyDescent="0.3">
      <c r="A14244" s="678"/>
    </row>
    <row r="14245" spans="1:1" x14ac:dyDescent="0.3">
      <c r="A14245" s="678"/>
    </row>
    <row r="14246" spans="1:1" x14ac:dyDescent="0.3">
      <c r="A14246" s="678"/>
    </row>
    <row r="14247" spans="1:1" x14ac:dyDescent="0.3">
      <c r="A14247" s="678"/>
    </row>
    <row r="14248" spans="1:1" x14ac:dyDescent="0.3">
      <c r="A14248" s="678"/>
    </row>
    <row r="14249" spans="1:1" x14ac:dyDescent="0.3">
      <c r="A14249" s="678"/>
    </row>
    <row r="14250" spans="1:1" x14ac:dyDescent="0.3">
      <c r="A14250" s="678"/>
    </row>
    <row r="14251" spans="1:1" x14ac:dyDescent="0.3">
      <c r="A14251" s="678"/>
    </row>
    <row r="14252" spans="1:1" x14ac:dyDescent="0.3">
      <c r="A14252" s="678"/>
    </row>
    <row r="14253" spans="1:1" x14ac:dyDescent="0.3">
      <c r="A14253" s="678"/>
    </row>
    <row r="14254" spans="1:1" x14ac:dyDescent="0.3">
      <c r="A14254" s="678"/>
    </row>
    <row r="14255" spans="1:1" x14ac:dyDescent="0.3">
      <c r="A14255" s="678"/>
    </row>
    <row r="14256" spans="1:1" x14ac:dyDescent="0.3">
      <c r="A14256" s="678"/>
    </row>
    <row r="14257" spans="1:1" x14ac:dyDescent="0.3">
      <c r="A14257" s="678"/>
    </row>
    <row r="14258" spans="1:1" x14ac:dyDescent="0.3">
      <c r="A14258" s="678"/>
    </row>
    <row r="14259" spans="1:1" x14ac:dyDescent="0.3">
      <c r="A14259" s="678"/>
    </row>
    <row r="14260" spans="1:1" x14ac:dyDescent="0.3">
      <c r="A14260" s="678"/>
    </row>
    <row r="14261" spans="1:1" x14ac:dyDescent="0.3">
      <c r="A14261" s="678"/>
    </row>
    <row r="14262" spans="1:1" x14ac:dyDescent="0.3">
      <c r="A14262" s="678"/>
    </row>
    <row r="14263" spans="1:1" x14ac:dyDescent="0.3">
      <c r="A14263" s="678"/>
    </row>
    <row r="14264" spans="1:1" x14ac:dyDescent="0.3">
      <c r="A14264" s="678"/>
    </row>
    <row r="14265" spans="1:1" x14ac:dyDescent="0.3">
      <c r="A14265" s="678"/>
    </row>
    <row r="14266" spans="1:1" x14ac:dyDescent="0.3">
      <c r="A14266" s="678"/>
    </row>
    <row r="14267" spans="1:1" x14ac:dyDescent="0.3">
      <c r="A14267" s="678"/>
    </row>
    <row r="14268" spans="1:1" x14ac:dyDescent="0.3">
      <c r="A14268" s="678"/>
    </row>
    <row r="14269" spans="1:1" x14ac:dyDescent="0.3">
      <c r="A14269" s="678"/>
    </row>
    <row r="14270" spans="1:1" x14ac:dyDescent="0.3">
      <c r="A14270" s="678"/>
    </row>
    <row r="14271" spans="1:1" x14ac:dyDescent="0.3">
      <c r="A14271" s="678"/>
    </row>
    <row r="14272" spans="1:1" x14ac:dyDescent="0.3">
      <c r="A14272" s="678"/>
    </row>
    <row r="14273" spans="1:1" x14ac:dyDescent="0.3">
      <c r="A14273" s="678"/>
    </row>
    <row r="14274" spans="1:1" x14ac:dyDescent="0.3">
      <c r="A14274" s="678"/>
    </row>
    <row r="14275" spans="1:1" x14ac:dyDescent="0.3">
      <c r="A14275" s="678"/>
    </row>
    <row r="14276" spans="1:1" x14ac:dyDescent="0.3">
      <c r="A14276" s="678"/>
    </row>
    <row r="14277" spans="1:1" x14ac:dyDescent="0.3">
      <c r="A14277" s="678"/>
    </row>
    <row r="14278" spans="1:1" x14ac:dyDescent="0.3">
      <c r="A14278" s="678"/>
    </row>
    <row r="14279" spans="1:1" x14ac:dyDescent="0.3">
      <c r="A14279" s="678"/>
    </row>
    <row r="14280" spans="1:1" x14ac:dyDescent="0.3">
      <c r="A14280" s="678"/>
    </row>
    <row r="14281" spans="1:1" x14ac:dyDescent="0.3">
      <c r="A14281" s="678"/>
    </row>
    <row r="14282" spans="1:1" x14ac:dyDescent="0.3">
      <c r="A14282" s="678"/>
    </row>
    <row r="14283" spans="1:1" x14ac:dyDescent="0.3">
      <c r="A14283" s="678"/>
    </row>
    <row r="14284" spans="1:1" x14ac:dyDescent="0.3">
      <c r="A14284" s="678"/>
    </row>
    <row r="14285" spans="1:1" x14ac:dyDescent="0.3">
      <c r="A14285" s="678"/>
    </row>
    <row r="14286" spans="1:1" x14ac:dyDescent="0.3">
      <c r="A14286" s="678"/>
    </row>
    <row r="14287" spans="1:1" x14ac:dyDescent="0.3">
      <c r="A14287" s="678"/>
    </row>
    <row r="14288" spans="1:1" x14ac:dyDescent="0.3">
      <c r="A14288" s="678"/>
    </row>
    <row r="14289" spans="1:1" x14ac:dyDescent="0.3">
      <c r="A14289" s="678"/>
    </row>
    <row r="14290" spans="1:1" x14ac:dyDescent="0.3">
      <c r="A14290" s="678"/>
    </row>
    <row r="14291" spans="1:1" x14ac:dyDescent="0.3">
      <c r="A14291" s="678"/>
    </row>
    <row r="14292" spans="1:1" x14ac:dyDescent="0.3">
      <c r="A14292" s="678"/>
    </row>
    <row r="14293" spans="1:1" x14ac:dyDescent="0.3">
      <c r="A14293" s="678"/>
    </row>
    <row r="14294" spans="1:1" x14ac:dyDescent="0.3">
      <c r="A14294" s="678"/>
    </row>
    <row r="14295" spans="1:1" x14ac:dyDescent="0.3">
      <c r="A14295" s="678"/>
    </row>
    <row r="14296" spans="1:1" x14ac:dyDescent="0.3">
      <c r="A14296" s="678"/>
    </row>
    <row r="14297" spans="1:1" x14ac:dyDescent="0.3">
      <c r="A14297" s="678"/>
    </row>
    <row r="14298" spans="1:1" x14ac:dyDescent="0.3">
      <c r="A14298" s="678"/>
    </row>
    <row r="14299" spans="1:1" x14ac:dyDescent="0.3">
      <c r="A14299" s="678"/>
    </row>
    <row r="14300" spans="1:1" x14ac:dyDescent="0.3">
      <c r="A14300" s="678"/>
    </row>
    <row r="14301" spans="1:1" x14ac:dyDescent="0.3">
      <c r="A14301" s="678"/>
    </row>
    <row r="14302" spans="1:1" x14ac:dyDescent="0.3">
      <c r="A14302" s="678"/>
    </row>
    <row r="14303" spans="1:1" x14ac:dyDescent="0.3">
      <c r="A14303" s="678"/>
    </row>
    <row r="14304" spans="1:1" x14ac:dyDescent="0.3">
      <c r="A14304" s="678"/>
    </row>
    <row r="14305" spans="1:1" x14ac:dyDescent="0.3">
      <c r="A14305" s="678"/>
    </row>
    <row r="14306" spans="1:1" x14ac:dyDescent="0.3">
      <c r="A14306" s="678"/>
    </row>
    <row r="14307" spans="1:1" x14ac:dyDescent="0.3">
      <c r="A14307" s="678"/>
    </row>
    <row r="14308" spans="1:1" x14ac:dyDescent="0.3">
      <c r="A14308" s="678"/>
    </row>
    <row r="14309" spans="1:1" x14ac:dyDescent="0.3">
      <c r="A14309" s="678"/>
    </row>
    <row r="14310" spans="1:1" x14ac:dyDescent="0.3">
      <c r="A14310" s="678"/>
    </row>
    <row r="14311" spans="1:1" x14ac:dyDescent="0.3">
      <c r="A14311" s="678"/>
    </row>
    <row r="14312" spans="1:1" x14ac:dyDescent="0.3">
      <c r="A14312" s="678"/>
    </row>
    <row r="14313" spans="1:1" x14ac:dyDescent="0.3">
      <c r="A14313" s="678"/>
    </row>
    <row r="14314" spans="1:1" x14ac:dyDescent="0.3">
      <c r="A14314" s="678"/>
    </row>
    <row r="14315" spans="1:1" x14ac:dyDescent="0.3">
      <c r="A14315" s="678"/>
    </row>
    <row r="14316" spans="1:1" x14ac:dyDescent="0.3">
      <c r="A14316" s="678"/>
    </row>
    <row r="14317" spans="1:1" x14ac:dyDescent="0.3">
      <c r="A14317" s="678"/>
    </row>
    <row r="14318" spans="1:1" x14ac:dyDescent="0.3">
      <c r="A14318" s="678"/>
    </row>
    <row r="14319" spans="1:1" x14ac:dyDescent="0.3">
      <c r="A14319" s="678"/>
    </row>
    <row r="14320" spans="1:1" x14ac:dyDescent="0.3">
      <c r="A14320" s="678"/>
    </row>
    <row r="14321" spans="1:1" x14ac:dyDescent="0.3">
      <c r="A14321" s="678"/>
    </row>
    <row r="14322" spans="1:1" x14ac:dyDescent="0.3">
      <c r="A14322" s="678"/>
    </row>
    <row r="14323" spans="1:1" x14ac:dyDescent="0.3">
      <c r="A14323" s="678"/>
    </row>
    <row r="14324" spans="1:1" x14ac:dyDescent="0.3">
      <c r="A14324" s="678"/>
    </row>
    <row r="14325" spans="1:1" x14ac:dyDescent="0.3">
      <c r="A14325" s="678"/>
    </row>
    <row r="14326" spans="1:1" x14ac:dyDescent="0.3">
      <c r="A14326" s="678"/>
    </row>
    <row r="14327" spans="1:1" x14ac:dyDescent="0.3">
      <c r="A14327" s="678"/>
    </row>
    <row r="14328" spans="1:1" x14ac:dyDescent="0.3">
      <c r="A14328" s="678"/>
    </row>
    <row r="14329" spans="1:1" x14ac:dyDescent="0.3">
      <c r="A14329" s="678"/>
    </row>
    <row r="14330" spans="1:1" x14ac:dyDescent="0.3">
      <c r="A14330" s="678"/>
    </row>
    <row r="14331" spans="1:1" x14ac:dyDescent="0.3">
      <c r="A14331" s="678"/>
    </row>
    <row r="14332" spans="1:1" x14ac:dyDescent="0.3">
      <c r="A14332" s="678"/>
    </row>
    <row r="14333" spans="1:1" x14ac:dyDescent="0.3">
      <c r="A14333" s="678"/>
    </row>
    <row r="14334" spans="1:1" x14ac:dyDescent="0.3">
      <c r="A14334" s="678"/>
    </row>
    <row r="14335" spans="1:1" x14ac:dyDescent="0.3">
      <c r="A14335" s="678"/>
    </row>
    <row r="14336" spans="1:1" x14ac:dyDescent="0.3">
      <c r="A14336" s="678"/>
    </row>
    <row r="14337" spans="1:1" x14ac:dyDescent="0.3">
      <c r="A14337" s="678"/>
    </row>
    <row r="14338" spans="1:1" x14ac:dyDescent="0.3">
      <c r="A14338" s="678"/>
    </row>
    <row r="14339" spans="1:1" x14ac:dyDescent="0.3">
      <c r="A14339" s="678"/>
    </row>
    <row r="14340" spans="1:1" x14ac:dyDescent="0.3">
      <c r="A14340" s="678"/>
    </row>
    <row r="14341" spans="1:1" x14ac:dyDescent="0.3">
      <c r="A14341" s="678"/>
    </row>
    <row r="14342" spans="1:1" x14ac:dyDescent="0.3">
      <c r="A14342" s="678"/>
    </row>
    <row r="14343" spans="1:1" x14ac:dyDescent="0.3">
      <c r="A14343" s="678"/>
    </row>
    <row r="14344" spans="1:1" x14ac:dyDescent="0.3">
      <c r="A14344" s="678"/>
    </row>
    <row r="14345" spans="1:1" x14ac:dyDescent="0.3">
      <c r="A14345" s="678"/>
    </row>
    <row r="14346" spans="1:1" x14ac:dyDescent="0.3">
      <c r="A14346" s="678"/>
    </row>
    <row r="14347" spans="1:1" x14ac:dyDescent="0.3">
      <c r="A14347" s="678"/>
    </row>
    <row r="14348" spans="1:1" x14ac:dyDescent="0.3">
      <c r="A14348" s="678"/>
    </row>
    <row r="14349" spans="1:1" x14ac:dyDescent="0.3">
      <c r="A14349" s="678"/>
    </row>
    <row r="14350" spans="1:1" x14ac:dyDescent="0.3">
      <c r="A14350" s="678"/>
    </row>
    <row r="14351" spans="1:1" x14ac:dyDescent="0.3">
      <c r="A14351" s="678"/>
    </row>
    <row r="14352" spans="1:1" x14ac:dyDescent="0.3">
      <c r="A14352" s="678"/>
    </row>
    <row r="14353" spans="1:1" x14ac:dyDescent="0.3">
      <c r="A14353" s="678"/>
    </row>
    <row r="14354" spans="1:1" x14ac:dyDescent="0.3">
      <c r="A14354" s="678"/>
    </row>
    <row r="14355" spans="1:1" x14ac:dyDescent="0.3">
      <c r="A14355" s="678"/>
    </row>
    <row r="14356" spans="1:1" x14ac:dyDescent="0.3">
      <c r="A14356" s="678"/>
    </row>
    <row r="14357" spans="1:1" x14ac:dyDescent="0.3">
      <c r="A14357" s="678"/>
    </row>
    <row r="14358" spans="1:1" x14ac:dyDescent="0.3">
      <c r="A14358" s="678"/>
    </row>
    <row r="14359" spans="1:1" x14ac:dyDescent="0.3">
      <c r="A14359" s="678"/>
    </row>
    <row r="14360" spans="1:1" x14ac:dyDescent="0.3">
      <c r="A14360" s="678"/>
    </row>
    <row r="14361" spans="1:1" x14ac:dyDescent="0.3">
      <c r="A14361" s="678"/>
    </row>
    <row r="14362" spans="1:1" x14ac:dyDescent="0.3">
      <c r="A14362" s="678"/>
    </row>
    <row r="14363" spans="1:1" x14ac:dyDescent="0.3">
      <c r="A14363" s="678"/>
    </row>
    <row r="14364" spans="1:1" x14ac:dyDescent="0.3">
      <c r="A14364" s="678"/>
    </row>
    <row r="14365" spans="1:1" x14ac:dyDescent="0.3">
      <c r="A14365" s="678"/>
    </row>
    <row r="14366" spans="1:1" x14ac:dyDescent="0.3">
      <c r="A14366" s="678"/>
    </row>
    <row r="14367" spans="1:1" x14ac:dyDescent="0.3">
      <c r="A14367" s="678"/>
    </row>
    <row r="14368" spans="1:1" x14ac:dyDescent="0.3">
      <c r="A14368" s="678"/>
    </row>
    <row r="14369" spans="1:1" x14ac:dyDescent="0.3">
      <c r="A14369" s="678"/>
    </row>
    <row r="14370" spans="1:1" x14ac:dyDescent="0.3">
      <c r="A14370" s="678"/>
    </row>
    <row r="14371" spans="1:1" x14ac:dyDescent="0.3">
      <c r="A14371" s="678"/>
    </row>
    <row r="14372" spans="1:1" x14ac:dyDescent="0.3">
      <c r="A14372" s="678"/>
    </row>
    <row r="14373" spans="1:1" x14ac:dyDescent="0.3">
      <c r="A14373" s="678"/>
    </row>
    <row r="14374" spans="1:1" x14ac:dyDescent="0.3">
      <c r="A14374" s="678"/>
    </row>
    <row r="14375" spans="1:1" x14ac:dyDescent="0.3">
      <c r="A14375" s="678"/>
    </row>
    <row r="14376" spans="1:1" x14ac:dyDescent="0.3">
      <c r="A14376" s="678"/>
    </row>
    <row r="14377" spans="1:1" x14ac:dyDescent="0.3">
      <c r="A14377" s="678"/>
    </row>
    <row r="14378" spans="1:1" x14ac:dyDescent="0.3">
      <c r="A14378" s="678"/>
    </row>
    <row r="14379" spans="1:1" x14ac:dyDescent="0.3">
      <c r="A14379" s="678"/>
    </row>
    <row r="14380" spans="1:1" x14ac:dyDescent="0.3">
      <c r="A14380" s="678"/>
    </row>
    <row r="14381" spans="1:1" x14ac:dyDescent="0.3">
      <c r="A14381" s="678"/>
    </row>
    <row r="14382" spans="1:1" x14ac:dyDescent="0.3">
      <c r="A14382" s="678"/>
    </row>
    <row r="14383" spans="1:1" x14ac:dyDescent="0.3">
      <c r="A14383" s="678"/>
    </row>
    <row r="14384" spans="1:1" x14ac:dyDescent="0.3">
      <c r="A14384" s="678"/>
    </row>
    <row r="14385" spans="1:1" x14ac:dyDescent="0.3">
      <c r="A14385" s="678"/>
    </row>
    <row r="14386" spans="1:1" x14ac:dyDescent="0.3">
      <c r="A14386" s="678"/>
    </row>
    <row r="14387" spans="1:1" x14ac:dyDescent="0.3">
      <c r="A14387" s="678"/>
    </row>
    <row r="14388" spans="1:1" x14ac:dyDescent="0.3">
      <c r="A14388" s="678"/>
    </row>
    <row r="14389" spans="1:1" x14ac:dyDescent="0.3">
      <c r="A14389" s="678"/>
    </row>
    <row r="14390" spans="1:1" x14ac:dyDescent="0.3">
      <c r="A14390" s="678"/>
    </row>
    <row r="14391" spans="1:1" x14ac:dyDescent="0.3">
      <c r="A14391" s="678"/>
    </row>
    <row r="14392" spans="1:1" x14ac:dyDescent="0.3">
      <c r="A14392" s="678"/>
    </row>
    <row r="14393" spans="1:1" x14ac:dyDescent="0.3">
      <c r="A14393" s="678"/>
    </row>
    <row r="14394" spans="1:1" x14ac:dyDescent="0.3">
      <c r="A14394" s="678"/>
    </row>
    <row r="14395" spans="1:1" x14ac:dyDescent="0.3">
      <c r="A14395" s="678"/>
    </row>
    <row r="14396" spans="1:1" x14ac:dyDescent="0.3">
      <c r="A14396" s="678"/>
    </row>
    <row r="14397" spans="1:1" x14ac:dyDescent="0.3">
      <c r="A14397" s="678"/>
    </row>
    <row r="14398" spans="1:1" x14ac:dyDescent="0.3">
      <c r="A14398" s="678"/>
    </row>
    <row r="14399" spans="1:1" x14ac:dyDescent="0.3">
      <c r="A14399" s="678"/>
    </row>
    <row r="14400" spans="1:1" x14ac:dyDescent="0.3">
      <c r="A14400" s="678"/>
    </row>
    <row r="14401" spans="1:1" x14ac:dyDescent="0.3">
      <c r="A14401" s="678"/>
    </row>
    <row r="14402" spans="1:1" x14ac:dyDescent="0.3">
      <c r="A14402" s="678"/>
    </row>
    <row r="14403" spans="1:1" x14ac:dyDescent="0.3">
      <c r="A14403" s="678"/>
    </row>
    <row r="14404" spans="1:1" x14ac:dyDescent="0.3">
      <c r="A14404" s="678"/>
    </row>
    <row r="14405" spans="1:1" x14ac:dyDescent="0.3">
      <c r="A14405" s="678"/>
    </row>
    <row r="14406" spans="1:1" x14ac:dyDescent="0.3">
      <c r="A14406" s="678"/>
    </row>
    <row r="14407" spans="1:1" x14ac:dyDescent="0.3">
      <c r="A14407" s="678"/>
    </row>
    <row r="14408" spans="1:1" x14ac:dyDescent="0.3">
      <c r="A14408" s="678"/>
    </row>
    <row r="14409" spans="1:1" x14ac:dyDescent="0.3">
      <c r="A14409" s="678"/>
    </row>
    <row r="14410" spans="1:1" x14ac:dyDescent="0.3">
      <c r="A14410" s="678"/>
    </row>
    <row r="14411" spans="1:1" x14ac:dyDescent="0.3">
      <c r="A14411" s="678"/>
    </row>
    <row r="14412" spans="1:1" x14ac:dyDescent="0.3">
      <c r="A14412" s="678"/>
    </row>
    <row r="14413" spans="1:1" x14ac:dyDescent="0.3">
      <c r="A14413" s="678"/>
    </row>
    <row r="14414" spans="1:1" x14ac:dyDescent="0.3">
      <c r="A14414" s="678"/>
    </row>
    <row r="14415" spans="1:1" x14ac:dyDescent="0.3">
      <c r="A14415" s="678"/>
    </row>
    <row r="14416" spans="1:1" x14ac:dyDescent="0.3">
      <c r="A14416" s="678"/>
    </row>
    <row r="14417" spans="1:1" x14ac:dyDescent="0.3">
      <c r="A14417" s="678"/>
    </row>
    <row r="14418" spans="1:1" x14ac:dyDescent="0.3">
      <c r="A14418" s="678"/>
    </row>
    <row r="14419" spans="1:1" x14ac:dyDescent="0.3">
      <c r="A14419" s="678"/>
    </row>
    <row r="14420" spans="1:1" x14ac:dyDescent="0.3">
      <c r="A14420" s="678"/>
    </row>
    <row r="14421" spans="1:1" x14ac:dyDescent="0.3">
      <c r="A14421" s="678"/>
    </row>
    <row r="14422" spans="1:1" x14ac:dyDescent="0.3">
      <c r="A14422" s="678"/>
    </row>
    <row r="14423" spans="1:1" x14ac:dyDescent="0.3">
      <c r="A14423" s="678"/>
    </row>
    <row r="14424" spans="1:1" x14ac:dyDescent="0.3">
      <c r="A14424" s="678"/>
    </row>
    <row r="14425" spans="1:1" x14ac:dyDescent="0.3">
      <c r="A14425" s="678"/>
    </row>
    <row r="14426" spans="1:1" x14ac:dyDescent="0.3">
      <c r="A14426" s="678"/>
    </row>
    <row r="14427" spans="1:1" x14ac:dyDescent="0.3">
      <c r="A14427" s="678"/>
    </row>
    <row r="14428" spans="1:1" x14ac:dyDescent="0.3">
      <c r="A14428" s="678"/>
    </row>
    <row r="14429" spans="1:1" x14ac:dyDescent="0.3">
      <c r="A14429" s="678"/>
    </row>
    <row r="14430" spans="1:1" x14ac:dyDescent="0.3">
      <c r="A14430" s="678"/>
    </row>
    <row r="14431" spans="1:1" x14ac:dyDescent="0.3">
      <c r="A14431" s="678"/>
    </row>
    <row r="14432" spans="1:1" x14ac:dyDescent="0.3">
      <c r="A14432" s="678"/>
    </row>
    <row r="14433" spans="1:1" x14ac:dyDescent="0.3">
      <c r="A14433" s="678"/>
    </row>
    <row r="14434" spans="1:1" x14ac:dyDescent="0.3">
      <c r="A14434" s="678"/>
    </row>
    <row r="14435" spans="1:1" x14ac:dyDescent="0.3">
      <c r="A14435" s="678"/>
    </row>
    <row r="14436" spans="1:1" x14ac:dyDescent="0.3">
      <c r="A14436" s="678"/>
    </row>
    <row r="14437" spans="1:1" x14ac:dyDescent="0.3">
      <c r="A14437" s="678"/>
    </row>
    <row r="14438" spans="1:1" x14ac:dyDescent="0.3">
      <c r="A14438" s="678"/>
    </row>
    <row r="14439" spans="1:1" x14ac:dyDescent="0.3">
      <c r="A14439" s="678"/>
    </row>
    <row r="14440" spans="1:1" x14ac:dyDescent="0.3">
      <c r="A14440" s="678"/>
    </row>
    <row r="14441" spans="1:1" x14ac:dyDescent="0.3">
      <c r="A14441" s="678"/>
    </row>
    <row r="14442" spans="1:1" x14ac:dyDescent="0.3">
      <c r="A14442" s="678"/>
    </row>
    <row r="14443" spans="1:1" x14ac:dyDescent="0.3">
      <c r="A14443" s="678"/>
    </row>
    <row r="14444" spans="1:1" x14ac:dyDescent="0.3">
      <c r="A14444" s="678"/>
    </row>
    <row r="14445" spans="1:1" x14ac:dyDescent="0.3">
      <c r="A14445" s="678"/>
    </row>
    <row r="14446" spans="1:1" x14ac:dyDescent="0.3">
      <c r="A14446" s="678"/>
    </row>
    <row r="14447" spans="1:1" x14ac:dyDescent="0.3">
      <c r="A14447" s="678"/>
    </row>
    <row r="14448" spans="1:1" x14ac:dyDescent="0.3">
      <c r="A14448" s="678"/>
    </row>
    <row r="14449" spans="1:1" x14ac:dyDescent="0.3">
      <c r="A14449" s="678"/>
    </row>
    <row r="14450" spans="1:1" x14ac:dyDescent="0.3">
      <c r="A14450" s="678"/>
    </row>
    <row r="14451" spans="1:1" x14ac:dyDescent="0.3">
      <c r="A14451" s="678"/>
    </row>
    <row r="14452" spans="1:1" x14ac:dyDescent="0.3">
      <c r="A14452" s="678"/>
    </row>
    <row r="14453" spans="1:1" x14ac:dyDescent="0.3">
      <c r="A14453" s="678"/>
    </row>
    <row r="14454" spans="1:1" x14ac:dyDescent="0.3">
      <c r="A14454" s="678"/>
    </row>
    <row r="14455" spans="1:1" x14ac:dyDescent="0.3">
      <c r="A14455" s="678"/>
    </row>
    <row r="14456" spans="1:1" x14ac:dyDescent="0.3">
      <c r="A14456" s="678"/>
    </row>
    <row r="14457" spans="1:1" x14ac:dyDescent="0.3">
      <c r="A14457" s="678"/>
    </row>
    <row r="14458" spans="1:1" x14ac:dyDescent="0.3">
      <c r="A14458" s="678"/>
    </row>
    <row r="14459" spans="1:1" x14ac:dyDescent="0.3">
      <c r="A14459" s="678"/>
    </row>
    <row r="14460" spans="1:1" x14ac:dyDescent="0.3">
      <c r="A14460" s="678"/>
    </row>
    <row r="14461" spans="1:1" x14ac:dyDescent="0.3">
      <c r="A14461" s="678"/>
    </row>
    <row r="14462" spans="1:1" x14ac:dyDescent="0.3">
      <c r="A14462" s="678"/>
    </row>
    <row r="14463" spans="1:1" x14ac:dyDescent="0.3">
      <c r="A14463" s="678"/>
    </row>
    <row r="14464" spans="1:1" x14ac:dyDescent="0.3">
      <c r="A14464" s="678"/>
    </row>
    <row r="14465" spans="1:1" x14ac:dyDescent="0.3">
      <c r="A14465" s="678"/>
    </row>
    <row r="14466" spans="1:1" x14ac:dyDescent="0.3">
      <c r="A14466" s="678"/>
    </row>
    <row r="14467" spans="1:1" x14ac:dyDescent="0.3">
      <c r="A14467" s="678"/>
    </row>
    <row r="14468" spans="1:1" x14ac:dyDescent="0.3">
      <c r="A14468" s="678"/>
    </row>
    <row r="14469" spans="1:1" x14ac:dyDescent="0.3">
      <c r="A14469" s="678"/>
    </row>
    <row r="14470" spans="1:1" x14ac:dyDescent="0.3">
      <c r="A14470" s="678"/>
    </row>
    <row r="14471" spans="1:1" x14ac:dyDescent="0.3">
      <c r="A14471" s="678"/>
    </row>
    <row r="14472" spans="1:1" x14ac:dyDescent="0.3">
      <c r="A14472" s="678"/>
    </row>
    <row r="14473" spans="1:1" x14ac:dyDescent="0.3">
      <c r="A14473" s="678"/>
    </row>
    <row r="14474" spans="1:1" x14ac:dyDescent="0.3">
      <c r="A14474" s="678"/>
    </row>
    <row r="14475" spans="1:1" x14ac:dyDescent="0.3">
      <c r="A14475" s="678"/>
    </row>
    <row r="14476" spans="1:1" x14ac:dyDescent="0.3">
      <c r="A14476" s="678"/>
    </row>
    <row r="14477" spans="1:1" x14ac:dyDescent="0.3">
      <c r="A14477" s="678"/>
    </row>
    <row r="14478" spans="1:1" x14ac:dyDescent="0.3">
      <c r="A14478" s="678"/>
    </row>
    <row r="14479" spans="1:1" x14ac:dyDescent="0.3">
      <c r="A14479" s="678"/>
    </row>
    <row r="14480" spans="1:1" x14ac:dyDescent="0.3">
      <c r="A14480" s="678"/>
    </row>
    <row r="14481" spans="1:1" x14ac:dyDescent="0.3">
      <c r="A14481" s="678"/>
    </row>
    <row r="14482" spans="1:1" x14ac:dyDescent="0.3">
      <c r="A14482" s="678"/>
    </row>
    <row r="14483" spans="1:1" x14ac:dyDescent="0.3">
      <c r="A14483" s="678"/>
    </row>
    <row r="14484" spans="1:1" x14ac:dyDescent="0.3">
      <c r="A14484" s="678"/>
    </row>
    <row r="14485" spans="1:1" x14ac:dyDescent="0.3">
      <c r="A14485" s="678"/>
    </row>
    <row r="14486" spans="1:1" x14ac:dyDescent="0.3">
      <c r="A14486" s="678"/>
    </row>
    <row r="14487" spans="1:1" x14ac:dyDescent="0.3">
      <c r="A14487" s="678"/>
    </row>
    <row r="14488" spans="1:1" x14ac:dyDescent="0.3">
      <c r="A14488" s="678"/>
    </row>
    <row r="14489" spans="1:1" x14ac:dyDescent="0.3">
      <c r="A14489" s="678"/>
    </row>
    <row r="14490" spans="1:1" x14ac:dyDescent="0.3">
      <c r="A14490" s="678"/>
    </row>
    <row r="14491" spans="1:1" x14ac:dyDescent="0.3">
      <c r="A14491" s="678"/>
    </row>
    <row r="14492" spans="1:1" x14ac:dyDescent="0.3">
      <c r="A14492" s="678"/>
    </row>
    <row r="14493" spans="1:1" x14ac:dyDescent="0.3">
      <c r="A14493" s="678"/>
    </row>
    <row r="14494" spans="1:1" x14ac:dyDescent="0.3">
      <c r="A14494" s="678"/>
    </row>
    <row r="14495" spans="1:1" x14ac:dyDescent="0.3">
      <c r="A14495" s="678"/>
    </row>
    <row r="14496" spans="1:1" x14ac:dyDescent="0.3">
      <c r="A14496" s="678"/>
    </row>
    <row r="14497" spans="1:1" x14ac:dyDescent="0.3">
      <c r="A14497" s="678"/>
    </row>
    <row r="14498" spans="1:1" x14ac:dyDescent="0.3">
      <c r="A14498" s="678"/>
    </row>
    <row r="14499" spans="1:1" x14ac:dyDescent="0.3">
      <c r="A14499" s="678"/>
    </row>
    <row r="14500" spans="1:1" x14ac:dyDescent="0.3">
      <c r="A14500" s="678"/>
    </row>
    <row r="14501" spans="1:1" x14ac:dyDescent="0.3">
      <c r="A14501" s="678"/>
    </row>
    <row r="14502" spans="1:1" x14ac:dyDescent="0.3">
      <c r="A14502" s="678"/>
    </row>
    <row r="14503" spans="1:1" x14ac:dyDescent="0.3">
      <c r="A14503" s="678"/>
    </row>
    <row r="14504" spans="1:1" x14ac:dyDescent="0.3">
      <c r="A14504" s="678"/>
    </row>
    <row r="14505" spans="1:1" x14ac:dyDescent="0.3">
      <c r="A14505" s="678"/>
    </row>
    <row r="14506" spans="1:1" x14ac:dyDescent="0.3">
      <c r="A14506" s="678"/>
    </row>
    <row r="14507" spans="1:1" x14ac:dyDescent="0.3">
      <c r="A14507" s="678"/>
    </row>
    <row r="14508" spans="1:1" x14ac:dyDescent="0.3">
      <c r="A14508" s="678"/>
    </row>
    <row r="14509" spans="1:1" x14ac:dyDescent="0.3">
      <c r="A14509" s="678"/>
    </row>
    <row r="14510" spans="1:1" x14ac:dyDescent="0.3">
      <c r="A14510" s="678"/>
    </row>
    <row r="14511" spans="1:1" x14ac:dyDescent="0.3">
      <c r="A14511" s="678"/>
    </row>
    <row r="14512" spans="1:1" x14ac:dyDescent="0.3">
      <c r="A14512" s="678"/>
    </row>
    <row r="14513" spans="1:1" x14ac:dyDescent="0.3">
      <c r="A14513" s="678"/>
    </row>
    <row r="14514" spans="1:1" x14ac:dyDescent="0.3">
      <c r="A14514" s="678"/>
    </row>
    <row r="14515" spans="1:1" x14ac:dyDescent="0.3">
      <c r="A14515" s="678"/>
    </row>
    <row r="14516" spans="1:1" x14ac:dyDescent="0.3">
      <c r="A14516" s="678"/>
    </row>
    <row r="14517" spans="1:1" x14ac:dyDescent="0.3">
      <c r="A14517" s="678"/>
    </row>
    <row r="14518" spans="1:1" x14ac:dyDescent="0.3">
      <c r="A14518" s="678"/>
    </row>
    <row r="14519" spans="1:1" x14ac:dyDescent="0.3">
      <c r="A14519" s="678"/>
    </row>
    <row r="14520" spans="1:1" x14ac:dyDescent="0.3">
      <c r="A14520" s="678"/>
    </row>
    <row r="14521" spans="1:1" x14ac:dyDescent="0.3">
      <c r="A14521" s="678"/>
    </row>
    <row r="14522" spans="1:1" x14ac:dyDescent="0.3">
      <c r="A14522" s="678"/>
    </row>
    <row r="14523" spans="1:1" x14ac:dyDescent="0.3">
      <c r="A14523" s="678"/>
    </row>
    <row r="14524" spans="1:1" x14ac:dyDescent="0.3">
      <c r="A14524" s="678"/>
    </row>
    <row r="14525" spans="1:1" x14ac:dyDescent="0.3">
      <c r="A14525" s="678"/>
    </row>
    <row r="14526" spans="1:1" x14ac:dyDescent="0.3">
      <c r="A14526" s="678"/>
    </row>
    <row r="14527" spans="1:1" x14ac:dyDescent="0.3">
      <c r="A14527" s="678"/>
    </row>
    <row r="14528" spans="1:1" x14ac:dyDescent="0.3">
      <c r="A14528" s="678"/>
    </row>
    <row r="14529" spans="1:1" x14ac:dyDescent="0.3">
      <c r="A14529" s="678"/>
    </row>
    <row r="14530" spans="1:1" x14ac:dyDescent="0.3">
      <c r="A14530" s="678"/>
    </row>
    <row r="14531" spans="1:1" x14ac:dyDescent="0.3">
      <c r="A14531" s="678"/>
    </row>
    <row r="14532" spans="1:1" x14ac:dyDescent="0.3">
      <c r="A14532" s="678"/>
    </row>
    <row r="14533" spans="1:1" x14ac:dyDescent="0.3">
      <c r="A14533" s="678"/>
    </row>
    <row r="14534" spans="1:1" x14ac:dyDescent="0.3">
      <c r="A14534" s="678"/>
    </row>
    <row r="14535" spans="1:1" x14ac:dyDescent="0.3">
      <c r="A14535" s="678"/>
    </row>
    <row r="14536" spans="1:1" x14ac:dyDescent="0.3">
      <c r="A14536" s="678"/>
    </row>
    <row r="14537" spans="1:1" x14ac:dyDescent="0.3">
      <c r="A14537" s="678"/>
    </row>
    <row r="14538" spans="1:1" x14ac:dyDescent="0.3">
      <c r="A14538" s="678"/>
    </row>
    <row r="14539" spans="1:1" x14ac:dyDescent="0.3">
      <c r="A14539" s="678"/>
    </row>
    <row r="14540" spans="1:1" x14ac:dyDescent="0.3">
      <c r="A14540" s="678"/>
    </row>
    <row r="14541" spans="1:1" x14ac:dyDescent="0.3">
      <c r="A14541" s="678"/>
    </row>
    <row r="14542" spans="1:1" x14ac:dyDescent="0.3">
      <c r="A14542" s="678"/>
    </row>
    <row r="14543" spans="1:1" x14ac:dyDescent="0.3">
      <c r="A14543" s="678"/>
    </row>
    <row r="14544" spans="1:1" x14ac:dyDescent="0.3">
      <c r="A14544" s="678"/>
    </row>
    <row r="14545" spans="1:1" x14ac:dyDescent="0.3">
      <c r="A14545" s="678"/>
    </row>
    <row r="14546" spans="1:1" x14ac:dyDescent="0.3">
      <c r="A14546" s="678"/>
    </row>
    <row r="14547" spans="1:1" x14ac:dyDescent="0.3">
      <c r="A14547" s="678"/>
    </row>
    <row r="14548" spans="1:1" x14ac:dyDescent="0.3">
      <c r="A14548" s="678"/>
    </row>
    <row r="14549" spans="1:1" x14ac:dyDescent="0.3">
      <c r="A14549" s="678"/>
    </row>
    <row r="14550" spans="1:1" x14ac:dyDescent="0.3">
      <c r="A14550" s="678"/>
    </row>
    <row r="14551" spans="1:1" x14ac:dyDescent="0.3">
      <c r="A14551" s="678"/>
    </row>
    <row r="14552" spans="1:1" x14ac:dyDescent="0.3">
      <c r="A14552" s="678"/>
    </row>
    <row r="14553" spans="1:1" x14ac:dyDescent="0.3">
      <c r="A14553" s="678"/>
    </row>
    <row r="14554" spans="1:1" x14ac:dyDescent="0.3">
      <c r="A14554" s="678"/>
    </row>
    <row r="14555" spans="1:1" x14ac:dyDescent="0.3">
      <c r="A14555" s="678"/>
    </row>
    <row r="14556" spans="1:1" x14ac:dyDescent="0.3">
      <c r="A14556" s="678"/>
    </row>
    <row r="14557" spans="1:1" x14ac:dyDescent="0.3">
      <c r="A14557" s="678"/>
    </row>
    <row r="14558" spans="1:1" x14ac:dyDescent="0.3">
      <c r="A14558" s="678"/>
    </row>
    <row r="14559" spans="1:1" x14ac:dyDescent="0.3">
      <c r="A14559" s="678"/>
    </row>
    <row r="14560" spans="1:1" x14ac:dyDescent="0.3">
      <c r="A14560" s="678"/>
    </row>
    <row r="14561" spans="1:1" x14ac:dyDescent="0.3">
      <c r="A14561" s="678"/>
    </row>
    <row r="14562" spans="1:1" x14ac:dyDescent="0.3">
      <c r="A14562" s="678"/>
    </row>
    <row r="14563" spans="1:1" x14ac:dyDescent="0.3">
      <c r="A14563" s="678"/>
    </row>
    <row r="14564" spans="1:1" x14ac:dyDescent="0.3">
      <c r="A14564" s="678"/>
    </row>
    <row r="14565" spans="1:1" x14ac:dyDescent="0.3">
      <c r="A14565" s="678"/>
    </row>
    <row r="14566" spans="1:1" x14ac:dyDescent="0.3">
      <c r="A14566" s="678"/>
    </row>
    <row r="14567" spans="1:1" x14ac:dyDescent="0.3">
      <c r="A14567" s="678"/>
    </row>
    <row r="14568" spans="1:1" x14ac:dyDescent="0.3">
      <c r="A14568" s="678"/>
    </row>
    <row r="14569" spans="1:1" x14ac:dyDescent="0.3">
      <c r="A14569" s="678"/>
    </row>
    <row r="14570" spans="1:1" x14ac:dyDescent="0.3">
      <c r="A14570" s="678"/>
    </row>
    <row r="14571" spans="1:1" x14ac:dyDescent="0.3">
      <c r="A14571" s="678"/>
    </row>
    <row r="14572" spans="1:1" x14ac:dyDescent="0.3">
      <c r="A14572" s="678"/>
    </row>
    <row r="14573" spans="1:1" x14ac:dyDescent="0.3">
      <c r="A14573" s="678"/>
    </row>
    <row r="14574" spans="1:1" x14ac:dyDescent="0.3">
      <c r="A14574" s="678"/>
    </row>
    <row r="14575" spans="1:1" x14ac:dyDescent="0.3">
      <c r="A14575" s="678"/>
    </row>
    <row r="14576" spans="1:1" x14ac:dyDescent="0.3">
      <c r="A14576" s="678"/>
    </row>
    <row r="14577" spans="1:1" x14ac:dyDescent="0.3">
      <c r="A14577" s="678"/>
    </row>
    <row r="14578" spans="1:1" x14ac:dyDescent="0.3">
      <c r="A14578" s="678"/>
    </row>
    <row r="14579" spans="1:1" x14ac:dyDescent="0.3">
      <c r="A14579" s="678"/>
    </row>
    <row r="14580" spans="1:1" x14ac:dyDescent="0.3">
      <c r="A14580" s="678"/>
    </row>
    <row r="14581" spans="1:1" x14ac:dyDescent="0.3">
      <c r="A14581" s="678"/>
    </row>
    <row r="14582" spans="1:1" x14ac:dyDescent="0.3">
      <c r="A14582" s="678"/>
    </row>
    <row r="14583" spans="1:1" x14ac:dyDescent="0.3">
      <c r="A14583" s="678"/>
    </row>
    <row r="14584" spans="1:1" x14ac:dyDescent="0.3">
      <c r="A14584" s="678"/>
    </row>
    <row r="14585" spans="1:1" x14ac:dyDescent="0.3">
      <c r="A14585" s="678"/>
    </row>
    <row r="14586" spans="1:1" x14ac:dyDescent="0.3">
      <c r="A14586" s="678"/>
    </row>
    <row r="14587" spans="1:1" x14ac:dyDescent="0.3">
      <c r="A14587" s="678"/>
    </row>
    <row r="14588" spans="1:1" x14ac:dyDescent="0.3">
      <c r="A14588" s="678"/>
    </row>
    <row r="14589" spans="1:1" x14ac:dyDescent="0.3">
      <c r="A14589" s="678"/>
    </row>
    <row r="14590" spans="1:1" x14ac:dyDescent="0.3">
      <c r="A14590" s="678"/>
    </row>
    <row r="14591" spans="1:1" x14ac:dyDescent="0.3">
      <c r="A14591" s="678"/>
    </row>
    <row r="14592" spans="1:1" x14ac:dyDescent="0.3">
      <c r="A14592" s="678"/>
    </row>
    <row r="14593" spans="1:1" x14ac:dyDescent="0.3">
      <c r="A14593" s="678"/>
    </row>
    <row r="14594" spans="1:1" x14ac:dyDescent="0.3">
      <c r="A14594" s="678"/>
    </row>
    <row r="14595" spans="1:1" x14ac:dyDescent="0.3">
      <c r="A14595" s="678"/>
    </row>
    <row r="14596" spans="1:1" x14ac:dyDescent="0.3">
      <c r="A14596" s="678"/>
    </row>
    <row r="14597" spans="1:1" x14ac:dyDescent="0.3">
      <c r="A14597" s="678"/>
    </row>
    <row r="14598" spans="1:1" x14ac:dyDescent="0.3">
      <c r="A14598" s="678"/>
    </row>
    <row r="14599" spans="1:1" x14ac:dyDescent="0.3">
      <c r="A14599" s="678"/>
    </row>
    <row r="14600" spans="1:1" x14ac:dyDescent="0.3">
      <c r="A14600" s="678"/>
    </row>
    <row r="14601" spans="1:1" x14ac:dyDescent="0.3">
      <c r="A14601" s="678"/>
    </row>
    <row r="14602" spans="1:1" x14ac:dyDescent="0.3">
      <c r="A14602" s="678"/>
    </row>
    <row r="14603" spans="1:1" x14ac:dyDescent="0.3">
      <c r="A14603" s="678"/>
    </row>
    <row r="14604" spans="1:1" x14ac:dyDescent="0.3">
      <c r="A14604" s="678"/>
    </row>
    <row r="14605" spans="1:1" x14ac:dyDescent="0.3">
      <c r="A14605" s="678"/>
    </row>
    <row r="14606" spans="1:1" x14ac:dyDescent="0.3">
      <c r="A14606" s="678"/>
    </row>
    <row r="14607" spans="1:1" x14ac:dyDescent="0.3">
      <c r="A14607" s="678"/>
    </row>
    <row r="14608" spans="1:1" x14ac:dyDescent="0.3">
      <c r="A14608" s="678"/>
    </row>
    <row r="14609" spans="1:1" x14ac:dyDescent="0.3">
      <c r="A14609" s="678"/>
    </row>
    <row r="14610" spans="1:1" x14ac:dyDescent="0.3">
      <c r="A14610" s="678"/>
    </row>
    <row r="14611" spans="1:1" x14ac:dyDescent="0.3">
      <c r="A14611" s="678"/>
    </row>
    <row r="14612" spans="1:1" x14ac:dyDescent="0.3">
      <c r="A14612" s="678"/>
    </row>
    <row r="14613" spans="1:1" x14ac:dyDescent="0.3">
      <c r="A14613" s="678"/>
    </row>
    <row r="14614" spans="1:1" x14ac:dyDescent="0.3">
      <c r="A14614" s="678"/>
    </row>
    <row r="14615" spans="1:1" x14ac:dyDescent="0.3">
      <c r="A14615" s="678"/>
    </row>
    <row r="14616" spans="1:1" x14ac:dyDescent="0.3">
      <c r="A14616" s="678"/>
    </row>
    <row r="14617" spans="1:1" x14ac:dyDescent="0.3">
      <c r="A14617" s="678"/>
    </row>
    <row r="14618" spans="1:1" x14ac:dyDescent="0.3">
      <c r="A14618" s="678"/>
    </row>
    <row r="14619" spans="1:1" x14ac:dyDescent="0.3">
      <c r="A14619" s="678"/>
    </row>
    <row r="14620" spans="1:1" x14ac:dyDescent="0.3">
      <c r="A14620" s="678"/>
    </row>
    <row r="14621" spans="1:1" x14ac:dyDescent="0.3">
      <c r="A14621" s="678"/>
    </row>
    <row r="14622" spans="1:1" x14ac:dyDescent="0.3">
      <c r="A14622" s="678"/>
    </row>
    <row r="14623" spans="1:1" x14ac:dyDescent="0.3">
      <c r="A14623" s="678"/>
    </row>
    <row r="14624" spans="1:1" x14ac:dyDescent="0.3">
      <c r="A14624" s="678"/>
    </row>
    <row r="14625" spans="1:1" x14ac:dyDescent="0.3">
      <c r="A14625" s="678"/>
    </row>
    <row r="14626" spans="1:1" x14ac:dyDescent="0.3">
      <c r="A14626" s="678"/>
    </row>
    <row r="14627" spans="1:1" x14ac:dyDescent="0.3">
      <c r="A14627" s="678"/>
    </row>
    <row r="14628" spans="1:1" x14ac:dyDescent="0.3">
      <c r="A14628" s="678"/>
    </row>
    <row r="14629" spans="1:1" x14ac:dyDescent="0.3">
      <c r="A14629" s="678"/>
    </row>
    <row r="14630" spans="1:1" x14ac:dyDescent="0.3">
      <c r="A14630" s="678"/>
    </row>
    <row r="14631" spans="1:1" x14ac:dyDescent="0.3">
      <c r="A14631" s="678"/>
    </row>
    <row r="14632" spans="1:1" x14ac:dyDescent="0.3">
      <c r="A14632" s="678"/>
    </row>
    <row r="14633" spans="1:1" x14ac:dyDescent="0.3">
      <c r="A14633" s="678"/>
    </row>
    <row r="14634" spans="1:1" x14ac:dyDescent="0.3">
      <c r="A14634" s="678"/>
    </row>
    <row r="14635" spans="1:1" x14ac:dyDescent="0.3">
      <c r="A14635" s="678"/>
    </row>
    <row r="14636" spans="1:1" x14ac:dyDescent="0.3">
      <c r="A14636" s="678"/>
    </row>
    <row r="14637" spans="1:1" x14ac:dyDescent="0.3">
      <c r="A14637" s="678"/>
    </row>
    <row r="14638" spans="1:1" x14ac:dyDescent="0.3">
      <c r="A14638" s="678"/>
    </row>
    <row r="14639" spans="1:1" x14ac:dyDescent="0.3">
      <c r="A14639" s="678"/>
    </row>
    <row r="14640" spans="1:1" x14ac:dyDescent="0.3">
      <c r="A14640" s="678"/>
    </row>
    <row r="14641" spans="1:1" x14ac:dyDescent="0.3">
      <c r="A14641" s="678"/>
    </row>
    <row r="14642" spans="1:1" x14ac:dyDescent="0.3">
      <c r="A14642" s="678"/>
    </row>
    <row r="14643" spans="1:1" x14ac:dyDescent="0.3">
      <c r="A14643" s="678"/>
    </row>
    <row r="14644" spans="1:1" x14ac:dyDescent="0.3">
      <c r="A14644" s="678"/>
    </row>
    <row r="14645" spans="1:1" x14ac:dyDescent="0.3">
      <c r="A14645" s="678"/>
    </row>
    <row r="14646" spans="1:1" x14ac:dyDescent="0.3">
      <c r="A14646" s="678"/>
    </row>
    <row r="14647" spans="1:1" x14ac:dyDescent="0.3">
      <c r="A14647" s="678"/>
    </row>
    <row r="14648" spans="1:1" x14ac:dyDescent="0.3">
      <c r="A14648" s="678"/>
    </row>
    <row r="14649" spans="1:1" x14ac:dyDescent="0.3">
      <c r="A14649" s="678"/>
    </row>
    <row r="14650" spans="1:1" x14ac:dyDescent="0.3">
      <c r="A14650" s="678"/>
    </row>
    <row r="14651" spans="1:1" x14ac:dyDescent="0.3">
      <c r="A14651" s="678"/>
    </row>
    <row r="14652" spans="1:1" x14ac:dyDescent="0.3">
      <c r="A14652" s="678"/>
    </row>
    <row r="14653" spans="1:1" x14ac:dyDescent="0.3">
      <c r="A14653" s="678"/>
    </row>
    <row r="14654" spans="1:1" x14ac:dyDescent="0.3">
      <c r="A14654" s="678"/>
    </row>
    <row r="14655" spans="1:1" x14ac:dyDescent="0.3">
      <c r="A14655" s="678"/>
    </row>
    <row r="14656" spans="1:1" x14ac:dyDescent="0.3">
      <c r="A14656" s="678"/>
    </row>
    <row r="14657" spans="1:1" x14ac:dyDescent="0.3">
      <c r="A14657" s="678"/>
    </row>
    <row r="14658" spans="1:1" x14ac:dyDescent="0.3">
      <c r="A14658" s="678"/>
    </row>
    <row r="14659" spans="1:1" x14ac:dyDescent="0.3">
      <c r="A14659" s="678"/>
    </row>
    <row r="14660" spans="1:1" x14ac:dyDescent="0.3">
      <c r="A14660" s="678"/>
    </row>
    <row r="14661" spans="1:1" x14ac:dyDescent="0.3">
      <c r="A14661" s="678"/>
    </row>
    <row r="14662" spans="1:1" x14ac:dyDescent="0.3">
      <c r="A14662" s="678"/>
    </row>
    <row r="14663" spans="1:1" x14ac:dyDescent="0.3">
      <c r="A14663" s="678"/>
    </row>
    <row r="14664" spans="1:1" x14ac:dyDescent="0.3">
      <c r="A14664" s="678"/>
    </row>
    <row r="14665" spans="1:1" x14ac:dyDescent="0.3">
      <c r="A14665" s="678"/>
    </row>
    <row r="14666" spans="1:1" x14ac:dyDescent="0.3">
      <c r="A14666" s="678"/>
    </row>
    <row r="14667" spans="1:1" x14ac:dyDescent="0.3">
      <c r="A14667" s="678"/>
    </row>
    <row r="14668" spans="1:1" x14ac:dyDescent="0.3">
      <c r="A14668" s="678"/>
    </row>
    <row r="14669" spans="1:1" x14ac:dyDescent="0.3">
      <c r="A14669" s="678"/>
    </row>
    <row r="14670" spans="1:1" x14ac:dyDescent="0.3">
      <c r="A14670" s="678"/>
    </row>
    <row r="14671" spans="1:1" x14ac:dyDescent="0.3">
      <c r="A14671" s="678"/>
    </row>
    <row r="14672" spans="1:1" x14ac:dyDescent="0.3">
      <c r="A14672" s="678"/>
    </row>
    <row r="14673" spans="1:1" x14ac:dyDescent="0.3">
      <c r="A14673" s="678"/>
    </row>
    <row r="14674" spans="1:1" x14ac:dyDescent="0.3">
      <c r="A14674" s="678"/>
    </row>
    <row r="14675" spans="1:1" x14ac:dyDescent="0.3">
      <c r="A14675" s="678"/>
    </row>
    <row r="14676" spans="1:1" x14ac:dyDescent="0.3">
      <c r="A14676" s="678"/>
    </row>
    <row r="14677" spans="1:1" x14ac:dyDescent="0.3">
      <c r="A14677" s="678"/>
    </row>
    <row r="14678" spans="1:1" x14ac:dyDescent="0.3">
      <c r="A14678" s="678"/>
    </row>
    <row r="14679" spans="1:1" x14ac:dyDescent="0.3">
      <c r="A14679" s="678"/>
    </row>
    <row r="14680" spans="1:1" x14ac:dyDescent="0.3">
      <c r="A14680" s="678"/>
    </row>
    <row r="14681" spans="1:1" x14ac:dyDescent="0.3">
      <c r="A14681" s="678"/>
    </row>
    <row r="14682" spans="1:1" x14ac:dyDescent="0.3">
      <c r="A14682" s="678"/>
    </row>
    <row r="14683" spans="1:1" x14ac:dyDescent="0.3">
      <c r="A14683" s="678"/>
    </row>
    <row r="14684" spans="1:1" x14ac:dyDescent="0.3">
      <c r="A14684" s="678"/>
    </row>
    <row r="14685" spans="1:1" x14ac:dyDescent="0.3">
      <c r="A14685" s="678"/>
    </row>
    <row r="14686" spans="1:1" x14ac:dyDescent="0.3">
      <c r="A14686" s="678"/>
    </row>
    <row r="14687" spans="1:1" x14ac:dyDescent="0.3">
      <c r="A14687" s="678"/>
    </row>
    <row r="14688" spans="1:1" x14ac:dyDescent="0.3">
      <c r="A14688" s="678"/>
    </row>
    <row r="14689" spans="1:1" x14ac:dyDescent="0.3">
      <c r="A14689" s="678"/>
    </row>
    <row r="14690" spans="1:1" x14ac:dyDescent="0.3">
      <c r="A14690" s="678"/>
    </row>
    <row r="14691" spans="1:1" x14ac:dyDescent="0.3">
      <c r="A14691" s="678"/>
    </row>
    <row r="14692" spans="1:1" x14ac:dyDescent="0.3">
      <c r="A14692" s="678"/>
    </row>
    <row r="14693" spans="1:1" x14ac:dyDescent="0.3">
      <c r="A14693" s="678"/>
    </row>
    <row r="14694" spans="1:1" x14ac:dyDescent="0.3">
      <c r="A14694" s="678"/>
    </row>
    <row r="14695" spans="1:1" x14ac:dyDescent="0.3">
      <c r="A14695" s="678"/>
    </row>
    <row r="14696" spans="1:1" x14ac:dyDescent="0.3">
      <c r="A14696" s="678"/>
    </row>
    <row r="14697" spans="1:1" x14ac:dyDescent="0.3">
      <c r="A14697" s="678"/>
    </row>
    <row r="14698" spans="1:1" x14ac:dyDescent="0.3">
      <c r="A14698" s="678"/>
    </row>
    <row r="14699" spans="1:1" x14ac:dyDescent="0.3">
      <c r="A14699" s="678"/>
    </row>
    <row r="14700" spans="1:1" x14ac:dyDescent="0.3">
      <c r="A14700" s="678"/>
    </row>
    <row r="14701" spans="1:1" x14ac:dyDescent="0.3">
      <c r="A14701" s="678"/>
    </row>
    <row r="14702" spans="1:1" x14ac:dyDescent="0.3">
      <c r="A14702" s="678"/>
    </row>
    <row r="14703" spans="1:1" x14ac:dyDescent="0.3">
      <c r="A14703" s="678"/>
    </row>
    <row r="14704" spans="1:1" x14ac:dyDescent="0.3">
      <c r="A14704" s="678"/>
    </row>
    <row r="14705" spans="1:1" x14ac:dyDescent="0.3">
      <c r="A14705" s="678"/>
    </row>
    <row r="14706" spans="1:1" x14ac:dyDescent="0.3">
      <c r="A14706" s="678"/>
    </row>
    <row r="14707" spans="1:1" x14ac:dyDescent="0.3">
      <c r="A14707" s="678"/>
    </row>
    <row r="14708" spans="1:1" x14ac:dyDescent="0.3">
      <c r="A14708" s="678"/>
    </row>
    <row r="14709" spans="1:1" x14ac:dyDescent="0.3">
      <c r="A14709" s="678"/>
    </row>
    <row r="14710" spans="1:1" x14ac:dyDescent="0.3">
      <c r="A14710" s="678"/>
    </row>
    <row r="14711" spans="1:1" x14ac:dyDescent="0.3">
      <c r="A14711" s="678"/>
    </row>
    <row r="14712" spans="1:1" x14ac:dyDescent="0.3">
      <c r="A14712" s="678"/>
    </row>
    <row r="14713" spans="1:1" x14ac:dyDescent="0.3">
      <c r="A14713" s="678"/>
    </row>
    <row r="14714" spans="1:1" x14ac:dyDescent="0.3">
      <c r="A14714" s="678"/>
    </row>
    <row r="14715" spans="1:1" x14ac:dyDescent="0.3">
      <c r="A14715" s="678"/>
    </row>
    <row r="14716" spans="1:1" x14ac:dyDescent="0.3">
      <c r="A14716" s="678"/>
    </row>
    <row r="14717" spans="1:1" x14ac:dyDescent="0.3">
      <c r="A14717" s="678"/>
    </row>
    <row r="14718" spans="1:1" x14ac:dyDescent="0.3">
      <c r="A14718" s="678"/>
    </row>
    <row r="14719" spans="1:1" x14ac:dyDescent="0.3">
      <c r="A14719" s="678"/>
    </row>
    <row r="14720" spans="1:1" x14ac:dyDescent="0.3">
      <c r="A14720" s="678"/>
    </row>
    <row r="14721" spans="1:1" x14ac:dyDescent="0.3">
      <c r="A14721" s="678"/>
    </row>
    <row r="14722" spans="1:1" x14ac:dyDescent="0.3">
      <c r="A14722" s="678"/>
    </row>
    <row r="14723" spans="1:1" x14ac:dyDescent="0.3">
      <c r="A14723" s="678"/>
    </row>
    <row r="14724" spans="1:1" x14ac:dyDescent="0.3">
      <c r="A14724" s="678"/>
    </row>
    <row r="14725" spans="1:1" x14ac:dyDescent="0.3">
      <c r="A14725" s="678"/>
    </row>
    <row r="14726" spans="1:1" x14ac:dyDescent="0.3">
      <c r="A14726" s="678"/>
    </row>
    <row r="14727" spans="1:1" x14ac:dyDescent="0.3">
      <c r="A14727" s="678"/>
    </row>
    <row r="14728" spans="1:1" x14ac:dyDescent="0.3">
      <c r="A14728" s="678"/>
    </row>
    <row r="14729" spans="1:1" x14ac:dyDescent="0.3">
      <c r="A14729" s="678"/>
    </row>
    <row r="14730" spans="1:1" x14ac:dyDescent="0.3">
      <c r="A14730" s="678"/>
    </row>
    <row r="14731" spans="1:1" x14ac:dyDescent="0.3">
      <c r="A14731" s="678"/>
    </row>
    <row r="14732" spans="1:1" x14ac:dyDescent="0.3">
      <c r="A14732" s="678"/>
    </row>
    <row r="14733" spans="1:1" x14ac:dyDescent="0.3">
      <c r="A14733" s="678"/>
    </row>
    <row r="14734" spans="1:1" x14ac:dyDescent="0.3">
      <c r="A14734" s="678"/>
    </row>
    <row r="14735" spans="1:1" x14ac:dyDescent="0.3">
      <c r="A14735" s="678"/>
    </row>
    <row r="14736" spans="1:1" x14ac:dyDescent="0.3">
      <c r="A14736" s="678"/>
    </row>
    <row r="14737" spans="1:1" x14ac:dyDescent="0.3">
      <c r="A14737" s="678"/>
    </row>
    <row r="14738" spans="1:1" x14ac:dyDescent="0.3">
      <c r="A14738" s="678"/>
    </row>
    <row r="14739" spans="1:1" x14ac:dyDescent="0.3">
      <c r="A14739" s="678"/>
    </row>
    <row r="14740" spans="1:1" x14ac:dyDescent="0.3">
      <c r="A14740" s="678"/>
    </row>
    <row r="14741" spans="1:1" x14ac:dyDescent="0.3">
      <c r="A14741" s="678"/>
    </row>
    <row r="14742" spans="1:1" x14ac:dyDescent="0.3">
      <c r="A14742" s="678"/>
    </row>
    <row r="14743" spans="1:1" x14ac:dyDescent="0.3">
      <c r="A14743" s="678"/>
    </row>
    <row r="14744" spans="1:1" x14ac:dyDescent="0.3">
      <c r="A14744" s="678"/>
    </row>
    <row r="14745" spans="1:1" x14ac:dyDescent="0.3">
      <c r="A14745" s="678"/>
    </row>
    <row r="14746" spans="1:1" x14ac:dyDescent="0.3">
      <c r="A14746" s="678"/>
    </row>
    <row r="14747" spans="1:1" x14ac:dyDescent="0.3">
      <c r="A14747" s="678"/>
    </row>
    <row r="14748" spans="1:1" x14ac:dyDescent="0.3">
      <c r="A14748" s="678"/>
    </row>
    <row r="14749" spans="1:1" x14ac:dyDescent="0.3">
      <c r="A14749" s="678"/>
    </row>
    <row r="14750" spans="1:1" x14ac:dyDescent="0.3">
      <c r="A14750" s="678"/>
    </row>
    <row r="14751" spans="1:1" x14ac:dyDescent="0.3">
      <c r="A14751" s="678"/>
    </row>
    <row r="14752" spans="1:1" x14ac:dyDescent="0.3">
      <c r="A14752" s="678"/>
    </row>
    <row r="14753" spans="1:1" x14ac:dyDescent="0.3">
      <c r="A14753" s="678"/>
    </row>
    <row r="14754" spans="1:1" x14ac:dyDescent="0.3">
      <c r="A14754" s="678"/>
    </row>
    <row r="14755" spans="1:1" x14ac:dyDescent="0.3">
      <c r="A14755" s="678"/>
    </row>
    <row r="14756" spans="1:1" x14ac:dyDescent="0.3">
      <c r="A14756" s="678"/>
    </row>
    <row r="14757" spans="1:1" x14ac:dyDescent="0.3">
      <c r="A14757" s="678"/>
    </row>
    <row r="14758" spans="1:1" x14ac:dyDescent="0.3">
      <c r="A14758" s="678"/>
    </row>
    <row r="14759" spans="1:1" x14ac:dyDescent="0.3">
      <c r="A14759" s="678"/>
    </row>
    <row r="14760" spans="1:1" x14ac:dyDescent="0.3">
      <c r="A14760" s="678"/>
    </row>
    <row r="14761" spans="1:1" x14ac:dyDescent="0.3">
      <c r="A14761" s="678"/>
    </row>
    <row r="14762" spans="1:1" x14ac:dyDescent="0.3">
      <c r="A14762" s="678"/>
    </row>
    <row r="14763" spans="1:1" x14ac:dyDescent="0.3">
      <c r="A14763" s="678"/>
    </row>
    <row r="14764" spans="1:1" x14ac:dyDescent="0.3">
      <c r="A14764" s="678"/>
    </row>
    <row r="14765" spans="1:1" x14ac:dyDescent="0.3">
      <c r="A14765" s="678"/>
    </row>
    <row r="14766" spans="1:1" x14ac:dyDescent="0.3">
      <c r="A14766" s="678"/>
    </row>
    <row r="14767" spans="1:1" x14ac:dyDescent="0.3">
      <c r="A14767" s="678"/>
    </row>
    <row r="14768" spans="1:1" x14ac:dyDescent="0.3">
      <c r="A14768" s="678"/>
    </row>
    <row r="14769" spans="1:1" x14ac:dyDescent="0.3">
      <c r="A14769" s="678"/>
    </row>
    <row r="14770" spans="1:1" x14ac:dyDescent="0.3">
      <c r="A14770" s="678"/>
    </row>
    <row r="14771" spans="1:1" x14ac:dyDescent="0.3">
      <c r="A14771" s="678"/>
    </row>
    <row r="14772" spans="1:1" x14ac:dyDescent="0.3">
      <c r="A14772" s="678"/>
    </row>
    <row r="14773" spans="1:1" x14ac:dyDescent="0.3">
      <c r="A14773" s="678"/>
    </row>
    <row r="14774" spans="1:1" x14ac:dyDescent="0.3">
      <c r="A14774" s="678"/>
    </row>
    <row r="14775" spans="1:1" x14ac:dyDescent="0.3">
      <c r="A14775" s="678"/>
    </row>
    <row r="14776" spans="1:1" x14ac:dyDescent="0.3">
      <c r="A14776" s="678"/>
    </row>
    <row r="14777" spans="1:1" x14ac:dyDescent="0.3">
      <c r="A14777" s="678"/>
    </row>
    <row r="14778" spans="1:1" x14ac:dyDescent="0.3">
      <c r="A14778" s="678"/>
    </row>
    <row r="14779" spans="1:1" x14ac:dyDescent="0.3">
      <c r="A14779" s="678"/>
    </row>
    <row r="14780" spans="1:1" x14ac:dyDescent="0.3">
      <c r="A14780" s="678"/>
    </row>
    <row r="14781" spans="1:1" x14ac:dyDescent="0.3">
      <c r="A14781" s="678"/>
    </row>
    <row r="14782" spans="1:1" x14ac:dyDescent="0.3">
      <c r="A14782" s="678"/>
    </row>
    <row r="14783" spans="1:1" x14ac:dyDescent="0.3">
      <c r="A14783" s="678"/>
    </row>
    <row r="14784" spans="1:1" x14ac:dyDescent="0.3">
      <c r="A14784" s="678"/>
    </row>
    <row r="14785" spans="1:1" x14ac:dyDescent="0.3">
      <c r="A14785" s="678"/>
    </row>
    <row r="14786" spans="1:1" x14ac:dyDescent="0.3">
      <c r="A14786" s="678"/>
    </row>
    <row r="14787" spans="1:1" x14ac:dyDescent="0.3">
      <c r="A14787" s="678"/>
    </row>
    <row r="14788" spans="1:1" x14ac:dyDescent="0.3">
      <c r="A14788" s="678"/>
    </row>
    <row r="14789" spans="1:1" x14ac:dyDescent="0.3">
      <c r="A14789" s="678"/>
    </row>
    <row r="14790" spans="1:1" x14ac:dyDescent="0.3">
      <c r="A14790" s="678"/>
    </row>
    <row r="14791" spans="1:1" x14ac:dyDescent="0.3">
      <c r="A14791" s="678"/>
    </row>
    <row r="14792" spans="1:1" x14ac:dyDescent="0.3">
      <c r="A14792" s="678"/>
    </row>
    <row r="14793" spans="1:1" x14ac:dyDescent="0.3">
      <c r="A14793" s="678"/>
    </row>
    <row r="14794" spans="1:1" x14ac:dyDescent="0.3">
      <c r="A14794" s="678"/>
    </row>
    <row r="14795" spans="1:1" x14ac:dyDescent="0.3">
      <c r="A14795" s="678"/>
    </row>
    <row r="14796" spans="1:1" x14ac:dyDescent="0.3">
      <c r="A14796" s="678"/>
    </row>
    <row r="14797" spans="1:1" x14ac:dyDescent="0.3">
      <c r="A14797" s="678"/>
    </row>
    <row r="14798" spans="1:1" x14ac:dyDescent="0.3">
      <c r="A14798" s="678"/>
    </row>
    <row r="14799" spans="1:1" x14ac:dyDescent="0.3">
      <c r="A14799" s="678"/>
    </row>
    <row r="14800" spans="1:1" x14ac:dyDescent="0.3">
      <c r="A14800" s="678"/>
    </row>
    <row r="14801" spans="1:1" x14ac:dyDescent="0.3">
      <c r="A14801" s="678"/>
    </row>
    <row r="14802" spans="1:1" x14ac:dyDescent="0.3">
      <c r="A14802" s="678"/>
    </row>
    <row r="14803" spans="1:1" x14ac:dyDescent="0.3">
      <c r="A14803" s="678"/>
    </row>
    <row r="14804" spans="1:1" x14ac:dyDescent="0.3">
      <c r="A14804" s="678"/>
    </row>
    <row r="14805" spans="1:1" x14ac:dyDescent="0.3">
      <c r="A14805" s="678"/>
    </row>
    <row r="14806" spans="1:1" x14ac:dyDescent="0.3">
      <c r="A14806" s="678"/>
    </row>
    <row r="14807" spans="1:1" x14ac:dyDescent="0.3">
      <c r="A14807" s="678"/>
    </row>
    <row r="14808" spans="1:1" x14ac:dyDescent="0.3">
      <c r="A14808" s="678"/>
    </row>
    <row r="14809" spans="1:1" x14ac:dyDescent="0.3">
      <c r="A14809" s="678"/>
    </row>
    <row r="14810" spans="1:1" x14ac:dyDescent="0.3">
      <c r="A14810" s="678"/>
    </row>
    <row r="14811" spans="1:1" x14ac:dyDescent="0.3">
      <c r="A14811" s="678"/>
    </row>
    <row r="14812" spans="1:1" x14ac:dyDescent="0.3">
      <c r="A14812" s="678"/>
    </row>
    <row r="14813" spans="1:1" x14ac:dyDescent="0.3">
      <c r="A14813" s="678"/>
    </row>
    <row r="14814" spans="1:1" x14ac:dyDescent="0.3">
      <c r="A14814" s="678"/>
    </row>
    <row r="14815" spans="1:1" x14ac:dyDescent="0.3">
      <c r="A14815" s="678"/>
    </row>
    <row r="14816" spans="1:1" x14ac:dyDescent="0.3">
      <c r="A14816" s="678"/>
    </row>
    <row r="14817" spans="1:1" x14ac:dyDescent="0.3">
      <c r="A14817" s="678"/>
    </row>
    <row r="14818" spans="1:1" x14ac:dyDescent="0.3">
      <c r="A14818" s="678"/>
    </row>
    <row r="14819" spans="1:1" x14ac:dyDescent="0.3">
      <c r="A14819" s="678"/>
    </row>
    <row r="14820" spans="1:1" x14ac:dyDescent="0.3">
      <c r="A14820" s="678"/>
    </row>
    <row r="14821" spans="1:1" x14ac:dyDescent="0.3">
      <c r="A14821" s="678"/>
    </row>
    <row r="14822" spans="1:1" x14ac:dyDescent="0.3">
      <c r="A14822" s="678"/>
    </row>
    <row r="14823" spans="1:1" x14ac:dyDescent="0.3">
      <c r="A14823" s="678"/>
    </row>
    <row r="14824" spans="1:1" x14ac:dyDescent="0.3">
      <c r="A14824" s="678"/>
    </row>
    <row r="14825" spans="1:1" x14ac:dyDescent="0.3">
      <c r="A14825" s="678"/>
    </row>
    <row r="14826" spans="1:1" x14ac:dyDescent="0.3">
      <c r="A14826" s="678"/>
    </row>
    <row r="14827" spans="1:1" x14ac:dyDescent="0.3">
      <c r="A14827" s="678"/>
    </row>
    <row r="14828" spans="1:1" x14ac:dyDescent="0.3">
      <c r="A14828" s="678"/>
    </row>
    <row r="14829" spans="1:1" x14ac:dyDescent="0.3">
      <c r="A14829" s="678"/>
    </row>
    <row r="14830" spans="1:1" x14ac:dyDescent="0.3">
      <c r="A14830" s="678"/>
    </row>
    <row r="14831" spans="1:1" x14ac:dyDescent="0.3">
      <c r="A14831" s="678"/>
    </row>
    <row r="14832" spans="1:1" x14ac:dyDescent="0.3">
      <c r="A14832" s="678"/>
    </row>
    <row r="14833" spans="1:1" x14ac:dyDescent="0.3">
      <c r="A14833" s="678"/>
    </row>
    <row r="14834" spans="1:1" x14ac:dyDescent="0.3">
      <c r="A14834" s="678"/>
    </row>
    <row r="14835" spans="1:1" x14ac:dyDescent="0.3">
      <c r="A14835" s="678"/>
    </row>
    <row r="14836" spans="1:1" x14ac:dyDescent="0.3">
      <c r="A14836" s="678"/>
    </row>
    <row r="14837" spans="1:1" x14ac:dyDescent="0.3">
      <c r="A14837" s="678"/>
    </row>
    <row r="14838" spans="1:1" x14ac:dyDescent="0.3">
      <c r="A14838" s="678"/>
    </row>
    <row r="14839" spans="1:1" x14ac:dyDescent="0.3">
      <c r="A14839" s="678"/>
    </row>
    <row r="14840" spans="1:1" x14ac:dyDescent="0.3">
      <c r="A14840" s="678"/>
    </row>
    <row r="14841" spans="1:1" x14ac:dyDescent="0.3">
      <c r="A14841" s="678"/>
    </row>
    <row r="14842" spans="1:1" x14ac:dyDescent="0.3">
      <c r="A14842" s="678"/>
    </row>
    <row r="14843" spans="1:1" x14ac:dyDescent="0.3">
      <c r="A14843" s="678"/>
    </row>
    <row r="14844" spans="1:1" x14ac:dyDescent="0.3">
      <c r="A14844" s="678"/>
    </row>
    <row r="14845" spans="1:1" x14ac:dyDescent="0.3">
      <c r="A14845" s="678"/>
    </row>
    <row r="14846" spans="1:1" x14ac:dyDescent="0.3">
      <c r="A14846" s="678"/>
    </row>
    <row r="14847" spans="1:1" x14ac:dyDescent="0.3">
      <c r="A14847" s="678"/>
    </row>
    <row r="14848" spans="1:1" x14ac:dyDescent="0.3">
      <c r="A14848" s="678"/>
    </row>
    <row r="14849" spans="1:1" x14ac:dyDescent="0.3">
      <c r="A14849" s="678"/>
    </row>
    <row r="14850" spans="1:1" x14ac:dyDescent="0.3">
      <c r="A14850" s="678"/>
    </row>
    <row r="14851" spans="1:1" x14ac:dyDescent="0.3">
      <c r="A14851" s="678"/>
    </row>
    <row r="14852" spans="1:1" x14ac:dyDescent="0.3">
      <c r="A14852" s="678"/>
    </row>
    <row r="14853" spans="1:1" x14ac:dyDescent="0.3">
      <c r="A14853" s="678"/>
    </row>
    <row r="14854" spans="1:1" x14ac:dyDescent="0.3">
      <c r="A14854" s="678"/>
    </row>
    <row r="14855" spans="1:1" x14ac:dyDescent="0.3">
      <c r="A14855" s="678"/>
    </row>
    <row r="14856" spans="1:1" x14ac:dyDescent="0.3">
      <c r="A14856" s="678"/>
    </row>
    <row r="14857" spans="1:1" x14ac:dyDescent="0.3">
      <c r="A14857" s="678"/>
    </row>
    <row r="14858" spans="1:1" x14ac:dyDescent="0.3">
      <c r="A14858" s="678"/>
    </row>
    <row r="14859" spans="1:1" x14ac:dyDescent="0.3">
      <c r="A14859" s="678"/>
    </row>
    <row r="14860" spans="1:1" x14ac:dyDescent="0.3">
      <c r="A14860" s="678"/>
    </row>
    <row r="14861" spans="1:1" x14ac:dyDescent="0.3">
      <c r="A14861" s="678"/>
    </row>
    <row r="14862" spans="1:1" x14ac:dyDescent="0.3">
      <c r="A14862" s="678"/>
    </row>
    <row r="14863" spans="1:1" x14ac:dyDescent="0.3">
      <c r="A14863" s="678"/>
    </row>
    <row r="14864" spans="1:1" x14ac:dyDescent="0.3">
      <c r="A14864" s="678"/>
    </row>
    <row r="14865" spans="1:1" x14ac:dyDescent="0.3">
      <c r="A14865" s="678"/>
    </row>
    <row r="14866" spans="1:1" x14ac:dyDescent="0.3">
      <c r="A14866" s="678"/>
    </row>
    <row r="14867" spans="1:1" x14ac:dyDescent="0.3">
      <c r="A14867" s="678"/>
    </row>
    <row r="14868" spans="1:1" x14ac:dyDescent="0.3">
      <c r="A14868" s="678"/>
    </row>
    <row r="14869" spans="1:1" x14ac:dyDescent="0.3">
      <c r="A14869" s="678"/>
    </row>
    <row r="14870" spans="1:1" x14ac:dyDescent="0.3">
      <c r="A14870" s="678"/>
    </row>
    <row r="14871" spans="1:1" x14ac:dyDescent="0.3">
      <c r="A14871" s="678"/>
    </row>
    <row r="14872" spans="1:1" x14ac:dyDescent="0.3">
      <c r="A14872" s="678"/>
    </row>
    <row r="14873" spans="1:1" x14ac:dyDescent="0.3">
      <c r="A14873" s="678"/>
    </row>
    <row r="14874" spans="1:1" x14ac:dyDescent="0.3">
      <c r="A14874" s="678"/>
    </row>
    <row r="14875" spans="1:1" x14ac:dyDescent="0.3">
      <c r="A14875" s="678"/>
    </row>
    <row r="14876" spans="1:1" x14ac:dyDescent="0.3">
      <c r="A14876" s="678"/>
    </row>
    <row r="14877" spans="1:1" x14ac:dyDescent="0.3">
      <c r="A14877" s="678"/>
    </row>
    <row r="14878" spans="1:1" x14ac:dyDescent="0.3">
      <c r="A14878" s="678"/>
    </row>
    <row r="14879" spans="1:1" x14ac:dyDescent="0.3">
      <c r="A14879" s="678"/>
    </row>
    <row r="14880" spans="1:1" x14ac:dyDescent="0.3">
      <c r="A14880" s="678"/>
    </row>
    <row r="14881" spans="1:1" x14ac:dyDescent="0.3">
      <c r="A14881" s="678"/>
    </row>
    <row r="14882" spans="1:1" x14ac:dyDescent="0.3">
      <c r="A14882" s="678"/>
    </row>
    <row r="14883" spans="1:1" x14ac:dyDescent="0.3">
      <c r="A14883" s="678"/>
    </row>
    <row r="14884" spans="1:1" x14ac:dyDescent="0.3">
      <c r="A14884" s="678"/>
    </row>
    <row r="14885" spans="1:1" x14ac:dyDescent="0.3">
      <c r="A14885" s="678"/>
    </row>
    <row r="14886" spans="1:1" x14ac:dyDescent="0.3">
      <c r="A14886" s="678"/>
    </row>
    <row r="14887" spans="1:1" x14ac:dyDescent="0.3">
      <c r="A14887" s="678"/>
    </row>
    <row r="14888" spans="1:1" x14ac:dyDescent="0.3">
      <c r="A14888" s="678"/>
    </row>
    <row r="14889" spans="1:1" x14ac:dyDescent="0.3">
      <c r="A14889" s="678"/>
    </row>
    <row r="14890" spans="1:1" x14ac:dyDescent="0.3">
      <c r="A14890" s="678"/>
    </row>
    <row r="14891" spans="1:1" x14ac:dyDescent="0.3">
      <c r="A14891" s="678"/>
    </row>
    <row r="14892" spans="1:1" x14ac:dyDescent="0.3">
      <c r="A14892" s="678"/>
    </row>
    <row r="14893" spans="1:1" x14ac:dyDescent="0.3">
      <c r="A14893" s="678"/>
    </row>
    <row r="14894" spans="1:1" x14ac:dyDescent="0.3">
      <c r="A14894" s="678"/>
    </row>
    <row r="14895" spans="1:1" x14ac:dyDescent="0.3">
      <c r="A14895" s="678"/>
    </row>
    <row r="14896" spans="1:1" x14ac:dyDescent="0.3">
      <c r="A14896" s="678"/>
    </row>
    <row r="14897" spans="1:1" x14ac:dyDescent="0.3">
      <c r="A14897" s="678"/>
    </row>
    <row r="14898" spans="1:1" x14ac:dyDescent="0.3">
      <c r="A14898" s="678"/>
    </row>
    <row r="14899" spans="1:1" x14ac:dyDescent="0.3">
      <c r="A14899" s="678"/>
    </row>
    <row r="14900" spans="1:1" x14ac:dyDescent="0.3">
      <c r="A14900" s="678"/>
    </row>
    <row r="14901" spans="1:1" x14ac:dyDescent="0.3">
      <c r="A14901" s="678"/>
    </row>
    <row r="14902" spans="1:1" x14ac:dyDescent="0.3">
      <c r="A14902" s="678"/>
    </row>
    <row r="14903" spans="1:1" x14ac:dyDescent="0.3">
      <c r="A14903" s="678"/>
    </row>
    <row r="14904" spans="1:1" x14ac:dyDescent="0.3">
      <c r="A14904" s="678"/>
    </row>
    <row r="14905" spans="1:1" x14ac:dyDescent="0.3">
      <c r="A14905" s="678"/>
    </row>
    <row r="14906" spans="1:1" x14ac:dyDescent="0.3">
      <c r="A14906" s="678"/>
    </row>
    <row r="14907" spans="1:1" x14ac:dyDescent="0.3">
      <c r="A14907" s="678"/>
    </row>
    <row r="14908" spans="1:1" x14ac:dyDescent="0.3">
      <c r="A14908" s="678"/>
    </row>
    <row r="14909" spans="1:1" x14ac:dyDescent="0.3">
      <c r="A14909" s="678"/>
    </row>
    <row r="14910" spans="1:1" x14ac:dyDescent="0.3">
      <c r="A14910" s="678"/>
    </row>
    <row r="14911" spans="1:1" x14ac:dyDescent="0.3">
      <c r="A14911" s="678"/>
    </row>
    <row r="14912" spans="1:1" x14ac:dyDescent="0.3">
      <c r="A14912" s="678"/>
    </row>
    <row r="14913" spans="1:1" x14ac:dyDescent="0.3">
      <c r="A14913" s="678"/>
    </row>
    <row r="14914" spans="1:1" x14ac:dyDescent="0.3">
      <c r="A14914" s="678"/>
    </row>
    <row r="14915" spans="1:1" x14ac:dyDescent="0.3">
      <c r="A14915" s="678"/>
    </row>
    <row r="14916" spans="1:1" x14ac:dyDescent="0.3">
      <c r="A14916" s="678"/>
    </row>
    <row r="14917" spans="1:1" x14ac:dyDescent="0.3">
      <c r="A14917" s="678"/>
    </row>
    <row r="14918" spans="1:1" x14ac:dyDescent="0.3">
      <c r="A14918" s="678"/>
    </row>
    <row r="14919" spans="1:1" x14ac:dyDescent="0.3">
      <c r="A14919" s="678"/>
    </row>
    <row r="14920" spans="1:1" x14ac:dyDescent="0.3">
      <c r="A14920" s="678"/>
    </row>
    <row r="14921" spans="1:1" x14ac:dyDescent="0.3">
      <c r="A14921" s="678"/>
    </row>
    <row r="14922" spans="1:1" x14ac:dyDescent="0.3">
      <c r="A14922" s="678"/>
    </row>
    <row r="14923" spans="1:1" x14ac:dyDescent="0.3">
      <c r="A14923" s="678"/>
    </row>
    <row r="14924" spans="1:1" x14ac:dyDescent="0.3">
      <c r="A14924" s="678"/>
    </row>
    <row r="14925" spans="1:1" x14ac:dyDescent="0.3">
      <c r="A14925" s="678"/>
    </row>
    <row r="14926" spans="1:1" x14ac:dyDescent="0.3">
      <c r="A14926" s="678"/>
    </row>
    <row r="14927" spans="1:1" x14ac:dyDescent="0.3">
      <c r="A14927" s="678"/>
    </row>
    <row r="14928" spans="1:1" x14ac:dyDescent="0.3">
      <c r="A14928" s="678"/>
    </row>
    <row r="14929" spans="1:1" x14ac:dyDescent="0.3">
      <c r="A14929" s="678"/>
    </row>
    <row r="14930" spans="1:1" x14ac:dyDescent="0.3">
      <c r="A14930" s="678"/>
    </row>
    <row r="14931" spans="1:1" x14ac:dyDescent="0.3">
      <c r="A14931" s="678"/>
    </row>
    <row r="14932" spans="1:1" x14ac:dyDescent="0.3">
      <c r="A14932" s="678"/>
    </row>
    <row r="14933" spans="1:1" x14ac:dyDescent="0.3">
      <c r="A14933" s="678"/>
    </row>
    <row r="14934" spans="1:1" x14ac:dyDescent="0.3">
      <c r="A14934" s="678"/>
    </row>
    <row r="14935" spans="1:1" x14ac:dyDescent="0.3">
      <c r="A14935" s="678"/>
    </row>
    <row r="14936" spans="1:1" x14ac:dyDescent="0.3">
      <c r="A14936" s="678"/>
    </row>
    <row r="14937" spans="1:1" x14ac:dyDescent="0.3">
      <c r="A14937" s="678"/>
    </row>
    <row r="14938" spans="1:1" x14ac:dyDescent="0.3">
      <c r="A14938" s="678"/>
    </row>
    <row r="14939" spans="1:1" x14ac:dyDescent="0.3">
      <c r="A14939" s="678"/>
    </row>
    <row r="14940" spans="1:1" x14ac:dyDescent="0.3">
      <c r="A14940" s="678"/>
    </row>
    <row r="14941" spans="1:1" x14ac:dyDescent="0.3">
      <c r="A14941" s="678"/>
    </row>
    <row r="14942" spans="1:1" x14ac:dyDescent="0.3">
      <c r="A14942" s="678"/>
    </row>
    <row r="14943" spans="1:1" x14ac:dyDescent="0.3">
      <c r="A14943" s="678"/>
    </row>
    <row r="14944" spans="1:1" x14ac:dyDescent="0.3">
      <c r="A14944" s="678"/>
    </row>
    <row r="14945" spans="1:1" x14ac:dyDescent="0.3">
      <c r="A14945" s="678"/>
    </row>
    <row r="14946" spans="1:1" x14ac:dyDescent="0.3">
      <c r="A14946" s="678"/>
    </row>
    <row r="14947" spans="1:1" x14ac:dyDescent="0.3">
      <c r="A14947" s="678"/>
    </row>
    <row r="14948" spans="1:1" x14ac:dyDescent="0.3">
      <c r="A14948" s="678"/>
    </row>
    <row r="14949" spans="1:1" x14ac:dyDescent="0.3">
      <c r="A14949" s="678"/>
    </row>
    <row r="14950" spans="1:1" x14ac:dyDescent="0.3">
      <c r="A14950" s="678"/>
    </row>
    <row r="14951" spans="1:1" x14ac:dyDescent="0.3">
      <c r="A14951" s="678"/>
    </row>
    <row r="14952" spans="1:1" x14ac:dyDescent="0.3">
      <c r="A14952" s="678"/>
    </row>
    <row r="14953" spans="1:1" x14ac:dyDescent="0.3">
      <c r="A14953" s="678"/>
    </row>
    <row r="14954" spans="1:1" x14ac:dyDescent="0.3">
      <c r="A14954" s="678"/>
    </row>
    <row r="14955" spans="1:1" x14ac:dyDescent="0.3">
      <c r="A14955" s="678"/>
    </row>
    <row r="14956" spans="1:1" x14ac:dyDescent="0.3">
      <c r="A14956" s="678"/>
    </row>
    <row r="14957" spans="1:1" x14ac:dyDescent="0.3">
      <c r="A14957" s="678"/>
    </row>
    <row r="14958" spans="1:1" x14ac:dyDescent="0.3">
      <c r="A14958" s="678"/>
    </row>
    <row r="14959" spans="1:1" x14ac:dyDescent="0.3">
      <c r="A14959" s="678"/>
    </row>
    <row r="14960" spans="1:1" x14ac:dyDescent="0.3">
      <c r="A14960" s="678"/>
    </row>
    <row r="14961" spans="1:1" x14ac:dyDescent="0.3">
      <c r="A14961" s="678"/>
    </row>
    <row r="14962" spans="1:1" x14ac:dyDescent="0.3">
      <c r="A14962" s="678"/>
    </row>
    <row r="14963" spans="1:1" x14ac:dyDescent="0.3">
      <c r="A14963" s="678"/>
    </row>
    <row r="14964" spans="1:1" x14ac:dyDescent="0.3">
      <c r="A14964" s="678"/>
    </row>
    <row r="14965" spans="1:1" x14ac:dyDescent="0.3">
      <c r="A14965" s="678"/>
    </row>
    <row r="14966" spans="1:1" x14ac:dyDescent="0.3">
      <c r="A14966" s="678"/>
    </row>
    <row r="14967" spans="1:1" x14ac:dyDescent="0.3">
      <c r="A14967" s="678"/>
    </row>
    <row r="14968" spans="1:1" x14ac:dyDescent="0.3">
      <c r="A14968" s="678"/>
    </row>
    <row r="14969" spans="1:1" x14ac:dyDescent="0.3">
      <c r="A14969" s="678"/>
    </row>
    <row r="14970" spans="1:1" x14ac:dyDescent="0.3">
      <c r="A14970" s="678"/>
    </row>
    <row r="14971" spans="1:1" x14ac:dyDescent="0.3">
      <c r="A14971" s="678"/>
    </row>
    <row r="14972" spans="1:1" x14ac:dyDescent="0.3">
      <c r="A14972" s="678"/>
    </row>
    <row r="14973" spans="1:1" x14ac:dyDescent="0.3">
      <c r="A14973" s="678"/>
    </row>
    <row r="14974" spans="1:1" x14ac:dyDescent="0.3">
      <c r="A14974" s="678"/>
    </row>
    <row r="14975" spans="1:1" x14ac:dyDescent="0.3">
      <c r="A14975" s="678"/>
    </row>
    <row r="14976" spans="1:1" x14ac:dyDescent="0.3">
      <c r="A14976" s="678"/>
    </row>
    <row r="14977" spans="1:1" x14ac:dyDescent="0.3">
      <c r="A14977" s="678"/>
    </row>
    <row r="14978" spans="1:1" x14ac:dyDescent="0.3">
      <c r="A14978" s="678"/>
    </row>
    <row r="14979" spans="1:1" x14ac:dyDescent="0.3">
      <c r="A14979" s="678"/>
    </row>
    <row r="14980" spans="1:1" x14ac:dyDescent="0.3">
      <c r="A14980" s="678"/>
    </row>
    <row r="14981" spans="1:1" x14ac:dyDescent="0.3">
      <c r="A14981" s="678"/>
    </row>
    <row r="14982" spans="1:1" x14ac:dyDescent="0.3">
      <c r="A14982" s="678"/>
    </row>
    <row r="14983" spans="1:1" x14ac:dyDescent="0.3">
      <c r="A14983" s="678"/>
    </row>
    <row r="14984" spans="1:1" x14ac:dyDescent="0.3">
      <c r="A14984" s="678"/>
    </row>
    <row r="14985" spans="1:1" x14ac:dyDescent="0.3">
      <c r="A14985" s="678"/>
    </row>
    <row r="14986" spans="1:1" x14ac:dyDescent="0.3">
      <c r="A14986" s="678"/>
    </row>
    <row r="14987" spans="1:1" x14ac:dyDescent="0.3">
      <c r="A14987" s="678"/>
    </row>
    <row r="14988" spans="1:1" x14ac:dyDescent="0.3">
      <c r="A14988" s="678"/>
    </row>
    <row r="14989" spans="1:1" x14ac:dyDescent="0.3">
      <c r="A14989" s="678"/>
    </row>
    <row r="14990" spans="1:1" x14ac:dyDescent="0.3">
      <c r="A14990" s="678"/>
    </row>
    <row r="14991" spans="1:1" x14ac:dyDescent="0.3">
      <c r="A14991" s="678"/>
    </row>
    <row r="14992" spans="1:1" x14ac:dyDescent="0.3">
      <c r="A14992" s="678"/>
    </row>
    <row r="14993" spans="1:1" x14ac:dyDescent="0.3">
      <c r="A14993" s="678"/>
    </row>
    <row r="14994" spans="1:1" x14ac:dyDescent="0.3">
      <c r="A14994" s="678"/>
    </row>
    <row r="14995" spans="1:1" x14ac:dyDescent="0.3">
      <c r="A14995" s="678"/>
    </row>
    <row r="14996" spans="1:1" x14ac:dyDescent="0.3">
      <c r="A14996" s="678"/>
    </row>
    <row r="14997" spans="1:1" x14ac:dyDescent="0.3">
      <c r="A14997" s="678"/>
    </row>
    <row r="14998" spans="1:1" x14ac:dyDescent="0.3">
      <c r="A14998" s="678"/>
    </row>
    <row r="14999" spans="1:1" x14ac:dyDescent="0.3">
      <c r="A14999" s="678"/>
    </row>
    <row r="15000" spans="1:1" x14ac:dyDescent="0.3">
      <c r="A15000" s="678"/>
    </row>
    <row r="15001" spans="1:1" x14ac:dyDescent="0.3">
      <c r="A15001" s="678"/>
    </row>
    <row r="15002" spans="1:1" x14ac:dyDescent="0.3">
      <c r="A15002" s="678"/>
    </row>
    <row r="15003" spans="1:1" x14ac:dyDescent="0.3">
      <c r="A15003" s="678"/>
    </row>
    <row r="15004" spans="1:1" x14ac:dyDescent="0.3">
      <c r="A15004" s="678"/>
    </row>
    <row r="15005" spans="1:1" x14ac:dyDescent="0.3">
      <c r="A15005" s="678"/>
    </row>
    <row r="15006" spans="1:1" x14ac:dyDescent="0.3">
      <c r="A15006" s="678"/>
    </row>
    <row r="15007" spans="1:1" x14ac:dyDescent="0.3">
      <c r="A15007" s="678"/>
    </row>
    <row r="15008" spans="1:1" x14ac:dyDescent="0.3">
      <c r="A15008" s="678"/>
    </row>
    <row r="15009" spans="1:1" x14ac:dyDescent="0.3">
      <c r="A15009" s="678"/>
    </row>
    <row r="15010" spans="1:1" x14ac:dyDescent="0.3">
      <c r="A15010" s="678"/>
    </row>
    <row r="15011" spans="1:1" x14ac:dyDescent="0.3">
      <c r="A15011" s="678"/>
    </row>
    <row r="15012" spans="1:1" x14ac:dyDescent="0.3">
      <c r="A15012" s="678"/>
    </row>
    <row r="15013" spans="1:1" x14ac:dyDescent="0.3">
      <c r="A15013" s="678"/>
    </row>
    <row r="15014" spans="1:1" x14ac:dyDescent="0.3">
      <c r="A15014" s="678"/>
    </row>
    <row r="15015" spans="1:1" x14ac:dyDescent="0.3">
      <c r="A15015" s="678"/>
    </row>
    <row r="15016" spans="1:1" x14ac:dyDescent="0.3">
      <c r="A15016" s="678"/>
    </row>
    <row r="15017" spans="1:1" x14ac:dyDescent="0.3">
      <c r="A15017" s="678"/>
    </row>
    <row r="15018" spans="1:1" x14ac:dyDescent="0.3">
      <c r="A15018" s="678"/>
    </row>
    <row r="15019" spans="1:1" x14ac:dyDescent="0.3">
      <c r="A15019" s="678"/>
    </row>
    <row r="15020" spans="1:1" x14ac:dyDescent="0.3">
      <c r="A15020" s="678"/>
    </row>
    <row r="15021" spans="1:1" x14ac:dyDescent="0.3">
      <c r="A15021" s="678"/>
    </row>
    <row r="15022" spans="1:1" x14ac:dyDescent="0.3">
      <c r="A15022" s="678"/>
    </row>
    <row r="15023" spans="1:1" x14ac:dyDescent="0.3">
      <c r="A15023" s="678"/>
    </row>
    <row r="15024" spans="1:1" x14ac:dyDescent="0.3">
      <c r="A15024" s="678"/>
    </row>
    <row r="15025" spans="1:1" x14ac:dyDescent="0.3">
      <c r="A15025" s="678"/>
    </row>
    <row r="15026" spans="1:1" x14ac:dyDescent="0.3">
      <c r="A15026" s="678"/>
    </row>
    <row r="15027" spans="1:1" x14ac:dyDescent="0.3">
      <c r="A15027" s="678"/>
    </row>
    <row r="15028" spans="1:1" x14ac:dyDescent="0.3">
      <c r="A15028" s="678"/>
    </row>
    <row r="15029" spans="1:1" x14ac:dyDescent="0.3">
      <c r="A15029" s="678"/>
    </row>
    <row r="15030" spans="1:1" x14ac:dyDescent="0.3">
      <c r="A15030" s="678"/>
    </row>
    <row r="15031" spans="1:1" x14ac:dyDescent="0.3">
      <c r="A15031" s="678"/>
    </row>
    <row r="15032" spans="1:1" x14ac:dyDescent="0.3">
      <c r="A15032" s="678"/>
    </row>
    <row r="15033" spans="1:1" x14ac:dyDescent="0.3">
      <c r="A15033" s="678"/>
    </row>
    <row r="15034" spans="1:1" x14ac:dyDescent="0.3">
      <c r="A15034" s="678"/>
    </row>
    <row r="15035" spans="1:1" x14ac:dyDescent="0.3">
      <c r="A15035" s="678"/>
    </row>
    <row r="15036" spans="1:1" x14ac:dyDescent="0.3">
      <c r="A15036" s="678"/>
    </row>
    <row r="15037" spans="1:1" x14ac:dyDescent="0.3">
      <c r="A15037" s="678"/>
    </row>
    <row r="15038" spans="1:1" x14ac:dyDescent="0.3">
      <c r="A15038" s="678"/>
    </row>
    <row r="15039" spans="1:1" x14ac:dyDescent="0.3">
      <c r="A15039" s="678"/>
    </row>
    <row r="15040" spans="1:1" x14ac:dyDescent="0.3">
      <c r="A15040" s="678"/>
    </row>
    <row r="15041" spans="1:1" x14ac:dyDescent="0.3">
      <c r="A15041" s="678"/>
    </row>
    <row r="15042" spans="1:1" x14ac:dyDescent="0.3">
      <c r="A15042" s="678"/>
    </row>
    <row r="15043" spans="1:1" x14ac:dyDescent="0.3">
      <c r="A15043" s="678"/>
    </row>
    <row r="15044" spans="1:1" x14ac:dyDescent="0.3">
      <c r="A15044" s="678"/>
    </row>
    <row r="15045" spans="1:1" x14ac:dyDescent="0.3">
      <c r="A15045" s="678"/>
    </row>
    <row r="15046" spans="1:1" x14ac:dyDescent="0.3">
      <c r="A15046" s="678"/>
    </row>
    <row r="15047" spans="1:1" x14ac:dyDescent="0.3">
      <c r="A15047" s="678"/>
    </row>
    <row r="15048" spans="1:1" x14ac:dyDescent="0.3">
      <c r="A15048" s="678"/>
    </row>
    <row r="15049" spans="1:1" x14ac:dyDescent="0.3">
      <c r="A15049" s="678"/>
    </row>
    <row r="15050" spans="1:1" x14ac:dyDescent="0.3">
      <c r="A15050" s="678"/>
    </row>
    <row r="15051" spans="1:1" x14ac:dyDescent="0.3">
      <c r="A15051" s="678"/>
    </row>
    <row r="15052" spans="1:1" x14ac:dyDescent="0.3">
      <c r="A15052" s="678"/>
    </row>
    <row r="15053" spans="1:1" x14ac:dyDescent="0.3">
      <c r="A15053" s="678"/>
    </row>
    <row r="15054" spans="1:1" x14ac:dyDescent="0.3">
      <c r="A15054" s="678"/>
    </row>
    <row r="15055" spans="1:1" x14ac:dyDescent="0.3">
      <c r="A15055" s="678"/>
    </row>
    <row r="15056" spans="1:1" x14ac:dyDescent="0.3">
      <c r="A15056" s="678"/>
    </row>
    <row r="15057" spans="1:1" x14ac:dyDescent="0.3">
      <c r="A15057" s="678"/>
    </row>
    <row r="15058" spans="1:1" x14ac:dyDescent="0.3">
      <c r="A15058" s="678"/>
    </row>
    <row r="15059" spans="1:1" x14ac:dyDescent="0.3">
      <c r="A15059" s="678"/>
    </row>
    <row r="15060" spans="1:1" x14ac:dyDescent="0.3">
      <c r="A15060" s="678"/>
    </row>
    <row r="15061" spans="1:1" x14ac:dyDescent="0.3">
      <c r="A15061" s="678"/>
    </row>
    <row r="15062" spans="1:1" x14ac:dyDescent="0.3">
      <c r="A15062" s="678"/>
    </row>
    <row r="15063" spans="1:1" x14ac:dyDescent="0.3">
      <c r="A15063" s="678"/>
    </row>
    <row r="15064" spans="1:1" x14ac:dyDescent="0.3">
      <c r="A15064" s="678"/>
    </row>
    <row r="15065" spans="1:1" x14ac:dyDescent="0.3">
      <c r="A15065" s="678"/>
    </row>
    <row r="15066" spans="1:1" x14ac:dyDescent="0.3">
      <c r="A15066" s="678"/>
    </row>
    <row r="15067" spans="1:1" x14ac:dyDescent="0.3">
      <c r="A15067" s="678"/>
    </row>
    <row r="15068" spans="1:1" x14ac:dyDescent="0.3">
      <c r="A15068" s="678"/>
    </row>
    <row r="15069" spans="1:1" x14ac:dyDescent="0.3">
      <c r="A15069" s="678"/>
    </row>
    <row r="15070" spans="1:1" x14ac:dyDescent="0.3">
      <c r="A15070" s="678"/>
    </row>
    <row r="15071" spans="1:1" x14ac:dyDescent="0.3">
      <c r="A15071" s="678"/>
    </row>
    <row r="15072" spans="1:1" x14ac:dyDescent="0.3">
      <c r="A15072" s="678"/>
    </row>
    <row r="15073" spans="1:1" x14ac:dyDescent="0.3">
      <c r="A15073" s="678"/>
    </row>
    <row r="15074" spans="1:1" x14ac:dyDescent="0.3">
      <c r="A15074" s="678"/>
    </row>
    <row r="15075" spans="1:1" x14ac:dyDescent="0.3">
      <c r="A15075" s="678"/>
    </row>
    <row r="15076" spans="1:1" x14ac:dyDescent="0.3">
      <c r="A15076" s="678"/>
    </row>
    <row r="15077" spans="1:1" x14ac:dyDescent="0.3">
      <c r="A15077" s="678"/>
    </row>
    <row r="15078" spans="1:1" x14ac:dyDescent="0.3">
      <c r="A15078" s="678"/>
    </row>
    <row r="15079" spans="1:1" x14ac:dyDescent="0.3">
      <c r="A15079" s="678"/>
    </row>
    <row r="15080" spans="1:1" x14ac:dyDescent="0.3">
      <c r="A15080" s="678"/>
    </row>
    <row r="15081" spans="1:1" x14ac:dyDescent="0.3">
      <c r="A15081" s="678"/>
    </row>
    <row r="15082" spans="1:1" x14ac:dyDescent="0.3">
      <c r="A15082" s="678"/>
    </row>
    <row r="15083" spans="1:1" x14ac:dyDescent="0.3">
      <c r="A15083" s="678"/>
    </row>
    <row r="15084" spans="1:1" x14ac:dyDescent="0.3">
      <c r="A15084" s="678"/>
    </row>
    <row r="15085" spans="1:1" x14ac:dyDescent="0.3">
      <c r="A15085" s="678"/>
    </row>
    <row r="15086" spans="1:1" x14ac:dyDescent="0.3">
      <c r="A15086" s="678"/>
    </row>
    <row r="15087" spans="1:1" x14ac:dyDescent="0.3">
      <c r="A15087" s="678"/>
    </row>
    <row r="15088" spans="1:1" x14ac:dyDescent="0.3">
      <c r="A15088" s="678"/>
    </row>
    <row r="15089" spans="1:1" x14ac:dyDescent="0.3">
      <c r="A15089" s="678"/>
    </row>
    <row r="15090" spans="1:1" x14ac:dyDescent="0.3">
      <c r="A15090" s="678"/>
    </row>
    <row r="15091" spans="1:1" x14ac:dyDescent="0.3">
      <c r="A15091" s="678"/>
    </row>
    <row r="15092" spans="1:1" x14ac:dyDescent="0.3">
      <c r="A15092" s="678"/>
    </row>
    <row r="15093" spans="1:1" x14ac:dyDescent="0.3">
      <c r="A15093" s="678"/>
    </row>
    <row r="15094" spans="1:1" x14ac:dyDescent="0.3">
      <c r="A15094" s="678"/>
    </row>
    <row r="15095" spans="1:1" x14ac:dyDescent="0.3">
      <c r="A15095" s="678"/>
    </row>
    <row r="15096" spans="1:1" x14ac:dyDescent="0.3">
      <c r="A15096" s="678"/>
    </row>
    <row r="15097" spans="1:1" x14ac:dyDescent="0.3">
      <c r="A15097" s="678"/>
    </row>
    <row r="15098" spans="1:1" x14ac:dyDescent="0.3">
      <c r="A15098" s="678"/>
    </row>
    <row r="15099" spans="1:1" x14ac:dyDescent="0.3">
      <c r="A15099" s="678"/>
    </row>
    <row r="15100" spans="1:1" x14ac:dyDescent="0.3">
      <c r="A15100" s="678"/>
    </row>
    <row r="15101" spans="1:1" x14ac:dyDescent="0.3">
      <c r="A15101" s="678"/>
    </row>
    <row r="15102" spans="1:1" x14ac:dyDescent="0.3">
      <c r="A15102" s="678"/>
    </row>
    <row r="15103" spans="1:1" x14ac:dyDescent="0.3">
      <c r="A15103" s="678"/>
    </row>
    <row r="15104" spans="1:1" x14ac:dyDescent="0.3">
      <c r="A15104" s="678"/>
    </row>
    <row r="15105" spans="1:1" x14ac:dyDescent="0.3">
      <c r="A15105" s="678"/>
    </row>
    <row r="15106" spans="1:1" x14ac:dyDescent="0.3">
      <c r="A15106" s="678"/>
    </row>
    <row r="15107" spans="1:1" x14ac:dyDescent="0.3">
      <c r="A15107" s="678"/>
    </row>
    <row r="15108" spans="1:1" x14ac:dyDescent="0.3">
      <c r="A15108" s="678"/>
    </row>
    <row r="15109" spans="1:1" x14ac:dyDescent="0.3">
      <c r="A15109" s="678"/>
    </row>
    <row r="15110" spans="1:1" x14ac:dyDescent="0.3">
      <c r="A15110" s="678"/>
    </row>
    <row r="15111" spans="1:1" x14ac:dyDescent="0.3">
      <c r="A15111" s="678"/>
    </row>
    <row r="15112" spans="1:1" x14ac:dyDescent="0.3">
      <c r="A15112" s="678"/>
    </row>
    <row r="15113" spans="1:1" x14ac:dyDescent="0.3">
      <c r="A15113" s="678"/>
    </row>
    <row r="15114" spans="1:1" x14ac:dyDescent="0.3">
      <c r="A15114" s="678"/>
    </row>
    <row r="15115" spans="1:1" x14ac:dyDescent="0.3">
      <c r="A15115" s="678"/>
    </row>
    <row r="15116" spans="1:1" x14ac:dyDescent="0.3">
      <c r="A15116" s="678"/>
    </row>
    <row r="15117" spans="1:1" x14ac:dyDescent="0.3">
      <c r="A15117" s="678"/>
    </row>
    <row r="15118" spans="1:1" x14ac:dyDescent="0.3">
      <c r="A15118" s="678"/>
    </row>
    <row r="15119" spans="1:1" x14ac:dyDescent="0.3">
      <c r="A15119" s="678"/>
    </row>
    <row r="15120" spans="1:1" x14ac:dyDescent="0.3">
      <c r="A15120" s="678"/>
    </row>
    <row r="15121" spans="1:1" x14ac:dyDescent="0.3">
      <c r="A15121" s="678"/>
    </row>
    <row r="15122" spans="1:1" x14ac:dyDescent="0.3">
      <c r="A15122" s="678"/>
    </row>
    <row r="15123" spans="1:1" x14ac:dyDescent="0.3">
      <c r="A15123" s="678"/>
    </row>
    <row r="15124" spans="1:1" x14ac:dyDescent="0.3">
      <c r="A15124" s="678"/>
    </row>
    <row r="15125" spans="1:1" x14ac:dyDescent="0.3">
      <c r="A15125" s="678"/>
    </row>
    <row r="15126" spans="1:1" x14ac:dyDescent="0.3">
      <c r="A15126" s="678"/>
    </row>
    <row r="15127" spans="1:1" x14ac:dyDescent="0.3">
      <c r="A15127" s="678"/>
    </row>
    <row r="15128" spans="1:1" x14ac:dyDescent="0.3">
      <c r="A15128" s="678"/>
    </row>
    <row r="15129" spans="1:1" x14ac:dyDescent="0.3">
      <c r="A15129" s="678"/>
    </row>
    <row r="15130" spans="1:1" x14ac:dyDescent="0.3">
      <c r="A15130" s="678"/>
    </row>
    <row r="15131" spans="1:1" x14ac:dyDescent="0.3">
      <c r="A15131" s="678"/>
    </row>
    <row r="15132" spans="1:1" x14ac:dyDescent="0.3">
      <c r="A15132" s="678"/>
    </row>
    <row r="15133" spans="1:1" x14ac:dyDescent="0.3">
      <c r="A15133" s="678"/>
    </row>
    <row r="15134" spans="1:1" x14ac:dyDescent="0.3">
      <c r="A15134" s="678"/>
    </row>
    <row r="15135" spans="1:1" x14ac:dyDescent="0.3">
      <c r="A15135" s="678"/>
    </row>
    <row r="15136" spans="1:1" x14ac:dyDescent="0.3">
      <c r="A15136" s="678"/>
    </row>
    <row r="15137" spans="1:1" x14ac:dyDescent="0.3">
      <c r="A15137" s="678"/>
    </row>
    <row r="15138" spans="1:1" x14ac:dyDescent="0.3">
      <c r="A15138" s="678"/>
    </row>
    <row r="15139" spans="1:1" x14ac:dyDescent="0.3">
      <c r="A15139" s="678"/>
    </row>
    <row r="15140" spans="1:1" x14ac:dyDescent="0.3">
      <c r="A15140" s="678"/>
    </row>
    <row r="15141" spans="1:1" x14ac:dyDescent="0.3">
      <c r="A15141" s="678"/>
    </row>
    <row r="15142" spans="1:1" x14ac:dyDescent="0.3">
      <c r="A15142" s="678"/>
    </row>
    <row r="15143" spans="1:1" x14ac:dyDescent="0.3">
      <c r="A15143" s="678"/>
    </row>
    <row r="15144" spans="1:1" x14ac:dyDescent="0.3">
      <c r="A15144" s="678"/>
    </row>
    <row r="15145" spans="1:1" x14ac:dyDescent="0.3">
      <c r="A15145" s="678"/>
    </row>
    <row r="15146" spans="1:1" x14ac:dyDescent="0.3">
      <c r="A15146" s="678"/>
    </row>
    <row r="15147" spans="1:1" x14ac:dyDescent="0.3">
      <c r="A15147" s="678"/>
    </row>
    <row r="15148" spans="1:1" x14ac:dyDescent="0.3">
      <c r="A15148" s="678"/>
    </row>
    <row r="15149" spans="1:1" x14ac:dyDescent="0.3">
      <c r="A15149" s="678"/>
    </row>
    <row r="15150" spans="1:1" x14ac:dyDescent="0.3">
      <c r="A15150" s="678"/>
    </row>
    <row r="15151" spans="1:1" x14ac:dyDescent="0.3">
      <c r="A15151" s="678"/>
    </row>
    <row r="15152" spans="1:1" x14ac:dyDescent="0.3">
      <c r="A15152" s="678"/>
    </row>
    <row r="15153" spans="1:1" x14ac:dyDescent="0.3">
      <c r="A15153" s="678"/>
    </row>
    <row r="15154" spans="1:1" x14ac:dyDescent="0.3">
      <c r="A15154" s="678"/>
    </row>
    <row r="15155" spans="1:1" x14ac:dyDescent="0.3">
      <c r="A15155" s="678"/>
    </row>
    <row r="15156" spans="1:1" x14ac:dyDescent="0.3">
      <c r="A15156" s="678"/>
    </row>
    <row r="15157" spans="1:1" x14ac:dyDescent="0.3">
      <c r="A15157" s="678"/>
    </row>
    <row r="15158" spans="1:1" x14ac:dyDescent="0.3">
      <c r="A15158" s="678"/>
    </row>
    <row r="15159" spans="1:1" x14ac:dyDescent="0.3">
      <c r="A15159" s="678"/>
    </row>
    <row r="15160" spans="1:1" x14ac:dyDescent="0.3">
      <c r="A15160" s="678"/>
    </row>
    <row r="15161" spans="1:1" x14ac:dyDescent="0.3">
      <c r="A15161" s="678"/>
    </row>
    <row r="15162" spans="1:1" x14ac:dyDescent="0.3">
      <c r="A15162" s="678"/>
    </row>
    <row r="15163" spans="1:1" x14ac:dyDescent="0.3">
      <c r="A15163" s="678"/>
    </row>
    <row r="15164" spans="1:1" x14ac:dyDescent="0.3">
      <c r="A15164" s="678"/>
    </row>
    <row r="15165" spans="1:1" x14ac:dyDescent="0.3">
      <c r="A15165" s="678"/>
    </row>
    <row r="15166" spans="1:1" x14ac:dyDescent="0.3">
      <c r="A15166" s="678"/>
    </row>
    <row r="15167" spans="1:1" x14ac:dyDescent="0.3">
      <c r="A15167" s="678"/>
    </row>
    <row r="15168" spans="1:1" x14ac:dyDescent="0.3">
      <c r="A15168" s="678"/>
    </row>
    <row r="15169" spans="1:1" x14ac:dyDescent="0.3">
      <c r="A15169" s="678"/>
    </row>
    <row r="15170" spans="1:1" x14ac:dyDescent="0.3">
      <c r="A15170" s="678"/>
    </row>
    <row r="15171" spans="1:1" x14ac:dyDescent="0.3">
      <c r="A15171" s="678"/>
    </row>
    <row r="15172" spans="1:1" x14ac:dyDescent="0.3">
      <c r="A15172" s="678"/>
    </row>
    <row r="15173" spans="1:1" x14ac:dyDescent="0.3">
      <c r="A15173" s="678"/>
    </row>
    <row r="15174" spans="1:1" x14ac:dyDescent="0.3">
      <c r="A15174" s="678"/>
    </row>
    <row r="15175" spans="1:1" x14ac:dyDescent="0.3">
      <c r="A15175" s="678"/>
    </row>
    <row r="15176" spans="1:1" x14ac:dyDescent="0.3">
      <c r="A15176" s="678"/>
    </row>
    <row r="15177" spans="1:1" x14ac:dyDescent="0.3">
      <c r="A15177" s="678"/>
    </row>
    <row r="15178" spans="1:1" x14ac:dyDescent="0.3">
      <c r="A15178" s="678"/>
    </row>
    <row r="15179" spans="1:1" x14ac:dyDescent="0.3">
      <c r="A15179" s="678"/>
    </row>
    <row r="15180" spans="1:1" x14ac:dyDescent="0.3">
      <c r="A15180" s="678"/>
    </row>
    <row r="15181" spans="1:1" x14ac:dyDescent="0.3">
      <c r="A15181" s="678"/>
    </row>
    <row r="15182" spans="1:1" x14ac:dyDescent="0.3">
      <c r="A15182" s="678"/>
    </row>
    <row r="15183" spans="1:1" x14ac:dyDescent="0.3">
      <c r="A15183" s="678"/>
    </row>
    <row r="15184" spans="1:1" x14ac:dyDescent="0.3">
      <c r="A15184" s="678"/>
    </row>
    <row r="15185" spans="1:1" x14ac:dyDescent="0.3">
      <c r="A15185" s="678"/>
    </row>
    <row r="15186" spans="1:1" x14ac:dyDescent="0.3">
      <c r="A15186" s="678"/>
    </row>
    <row r="15187" spans="1:1" x14ac:dyDescent="0.3">
      <c r="A15187" s="678"/>
    </row>
    <row r="15188" spans="1:1" x14ac:dyDescent="0.3">
      <c r="A15188" s="678"/>
    </row>
    <row r="15189" spans="1:1" x14ac:dyDescent="0.3">
      <c r="A15189" s="678"/>
    </row>
    <row r="15190" spans="1:1" x14ac:dyDescent="0.3">
      <c r="A15190" s="678"/>
    </row>
    <row r="15191" spans="1:1" x14ac:dyDescent="0.3">
      <c r="A15191" s="678"/>
    </row>
    <row r="15192" spans="1:1" x14ac:dyDescent="0.3">
      <c r="A15192" s="678"/>
    </row>
    <row r="15193" spans="1:1" x14ac:dyDescent="0.3">
      <c r="A15193" s="678"/>
    </row>
    <row r="15194" spans="1:1" x14ac:dyDescent="0.3">
      <c r="A15194" s="678"/>
    </row>
    <row r="15195" spans="1:1" x14ac:dyDescent="0.3">
      <c r="A15195" s="678"/>
    </row>
    <row r="15196" spans="1:1" x14ac:dyDescent="0.3">
      <c r="A15196" s="678"/>
    </row>
    <row r="15197" spans="1:1" x14ac:dyDescent="0.3">
      <c r="A15197" s="678"/>
    </row>
    <row r="15198" spans="1:1" x14ac:dyDescent="0.3">
      <c r="A15198" s="678"/>
    </row>
    <row r="15199" spans="1:1" x14ac:dyDescent="0.3">
      <c r="A15199" s="678"/>
    </row>
    <row r="15200" spans="1:1" x14ac:dyDescent="0.3">
      <c r="A15200" s="678"/>
    </row>
    <row r="15201" spans="1:1" x14ac:dyDescent="0.3">
      <c r="A15201" s="678"/>
    </row>
    <row r="15202" spans="1:1" x14ac:dyDescent="0.3">
      <c r="A15202" s="678"/>
    </row>
    <row r="15203" spans="1:1" x14ac:dyDescent="0.3">
      <c r="A15203" s="678"/>
    </row>
    <row r="15204" spans="1:1" x14ac:dyDescent="0.3">
      <c r="A15204" s="678"/>
    </row>
    <row r="15205" spans="1:1" x14ac:dyDescent="0.3">
      <c r="A15205" s="678"/>
    </row>
    <row r="15206" spans="1:1" x14ac:dyDescent="0.3">
      <c r="A15206" s="678"/>
    </row>
    <row r="15207" spans="1:1" x14ac:dyDescent="0.3">
      <c r="A15207" s="678"/>
    </row>
    <row r="15208" spans="1:1" x14ac:dyDescent="0.3">
      <c r="A15208" s="678"/>
    </row>
    <row r="15209" spans="1:1" x14ac:dyDescent="0.3">
      <c r="A15209" s="678"/>
    </row>
    <row r="15210" spans="1:1" x14ac:dyDescent="0.3">
      <c r="A15210" s="678"/>
    </row>
    <row r="15211" spans="1:1" x14ac:dyDescent="0.3">
      <c r="A15211" s="678"/>
    </row>
    <row r="15212" spans="1:1" x14ac:dyDescent="0.3">
      <c r="A15212" s="678"/>
    </row>
    <row r="15213" spans="1:1" x14ac:dyDescent="0.3">
      <c r="A15213" s="678"/>
    </row>
    <row r="15214" spans="1:1" x14ac:dyDescent="0.3">
      <c r="A15214" s="678"/>
    </row>
    <row r="15215" spans="1:1" x14ac:dyDescent="0.3">
      <c r="A15215" s="678"/>
    </row>
    <row r="15216" spans="1:1" x14ac:dyDescent="0.3">
      <c r="A15216" s="678"/>
    </row>
    <row r="15217" spans="1:1" x14ac:dyDescent="0.3">
      <c r="A15217" s="678"/>
    </row>
    <row r="15218" spans="1:1" x14ac:dyDescent="0.3">
      <c r="A15218" s="678"/>
    </row>
    <row r="15219" spans="1:1" x14ac:dyDescent="0.3">
      <c r="A15219" s="678"/>
    </row>
    <row r="15220" spans="1:1" x14ac:dyDescent="0.3">
      <c r="A15220" s="678"/>
    </row>
    <row r="15221" spans="1:1" x14ac:dyDescent="0.3">
      <c r="A15221" s="678"/>
    </row>
    <row r="15222" spans="1:1" x14ac:dyDescent="0.3">
      <c r="A15222" s="678"/>
    </row>
    <row r="15223" spans="1:1" x14ac:dyDescent="0.3">
      <c r="A15223" s="678"/>
    </row>
    <row r="15224" spans="1:1" x14ac:dyDescent="0.3">
      <c r="A15224" s="678"/>
    </row>
    <row r="15225" spans="1:1" x14ac:dyDescent="0.3">
      <c r="A15225" s="678"/>
    </row>
    <row r="15226" spans="1:1" x14ac:dyDescent="0.3">
      <c r="A15226" s="678"/>
    </row>
    <row r="15227" spans="1:1" x14ac:dyDescent="0.3">
      <c r="A15227" s="678"/>
    </row>
    <row r="15228" spans="1:1" x14ac:dyDescent="0.3">
      <c r="A15228" s="678"/>
    </row>
    <row r="15229" spans="1:1" x14ac:dyDescent="0.3">
      <c r="A15229" s="678"/>
    </row>
    <row r="15230" spans="1:1" x14ac:dyDescent="0.3">
      <c r="A15230" s="678"/>
    </row>
    <row r="15231" spans="1:1" x14ac:dyDescent="0.3">
      <c r="A15231" s="678"/>
    </row>
    <row r="15232" spans="1:1" x14ac:dyDescent="0.3">
      <c r="A15232" s="678"/>
    </row>
    <row r="15233" spans="1:1" x14ac:dyDescent="0.3">
      <c r="A15233" s="678"/>
    </row>
    <row r="15234" spans="1:1" x14ac:dyDescent="0.3">
      <c r="A15234" s="678"/>
    </row>
    <row r="15235" spans="1:1" x14ac:dyDescent="0.3">
      <c r="A15235" s="678"/>
    </row>
    <row r="15236" spans="1:1" x14ac:dyDescent="0.3">
      <c r="A15236" s="678"/>
    </row>
    <row r="15237" spans="1:1" x14ac:dyDescent="0.3">
      <c r="A15237" s="678"/>
    </row>
    <row r="15238" spans="1:1" x14ac:dyDescent="0.3">
      <c r="A15238" s="678"/>
    </row>
    <row r="15239" spans="1:1" x14ac:dyDescent="0.3">
      <c r="A15239" s="678"/>
    </row>
    <row r="15240" spans="1:1" x14ac:dyDescent="0.3">
      <c r="A15240" s="678"/>
    </row>
    <row r="15241" spans="1:1" x14ac:dyDescent="0.3">
      <c r="A15241" s="678"/>
    </row>
    <row r="15242" spans="1:1" x14ac:dyDescent="0.3">
      <c r="A15242" s="678"/>
    </row>
    <row r="15243" spans="1:1" x14ac:dyDescent="0.3">
      <c r="A15243" s="678"/>
    </row>
    <row r="15244" spans="1:1" x14ac:dyDescent="0.3">
      <c r="A15244" s="678"/>
    </row>
    <row r="15245" spans="1:1" x14ac:dyDescent="0.3">
      <c r="A15245" s="678"/>
    </row>
    <row r="15246" spans="1:1" x14ac:dyDescent="0.3">
      <c r="A15246" s="678"/>
    </row>
    <row r="15247" spans="1:1" x14ac:dyDescent="0.3">
      <c r="A15247" s="678"/>
    </row>
    <row r="15248" spans="1:1" x14ac:dyDescent="0.3">
      <c r="A15248" s="678"/>
    </row>
    <row r="15249" spans="1:1" x14ac:dyDescent="0.3">
      <c r="A15249" s="678"/>
    </row>
    <row r="15250" spans="1:1" x14ac:dyDescent="0.3">
      <c r="A15250" s="678"/>
    </row>
    <row r="15251" spans="1:1" x14ac:dyDescent="0.3">
      <c r="A15251" s="678"/>
    </row>
    <row r="15252" spans="1:1" x14ac:dyDescent="0.3">
      <c r="A15252" s="678"/>
    </row>
    <row r="15253" spans="1:1" x14ac:dyDescent="0.3">
      <c r="A15253" s="678"/>
    </row>
    <row r="15254" spans="1:1" x14ac:dyDescent="0.3">
      <c r="A15254" s="678"/>
    </row>
    <row r="15255" spans="1:1" x14ac:dyDescent="0.3">
      <c r="A15255" s="678"/>
    </row>
    <row r="15256" spans="1:1" x14ac:dyDescent="0.3">
      <c r="A15256" s="678"/>
    </row>
    <row r="15257" spans="1:1" x14ac:dyDescent="0.3">
      <c r="A15257" s="678"/>
    </row>
    <row r="15258" spans="1:1" x14ac:dyDescent="0.3">
      <c r="A15258" s="678"/>
    </row>
    <row r="15259" spans="1:1" x14ac:dyDescent="0.3">
      <c r="A15259" s="678"/>
    </row>
    <row r="15260" spans="1:1" x14ac:dyDescent="0.3">
      <c r="A15260" s="678"/>
    </row>
    <row r="15261" spans="1:1" x14ac:dyDescent="0.3">
      <c r="A15261" s="678"/>
    </row>
    <row r="15262" spans="1:1" x14ac:dyDescent="0.3">
      <c r="A15262" s="678"/>
    </row>
    <row r="15263" spans="1:1" x14ac:dyDescent="0.3">
      <c r="A15263" s="678"/>
    </row>
    <row r="15264" spans="1:1" x14ac:dyDescent="0.3">
      <c r="A15264" s="678"/>
    </row>
    <row r="15265" spans="1:1" x14ac:dyDescent="0.3">
      <c r="A15265" s="678"/>
    </row>
    <row r="15266" spans="1:1" x14ac:dyDescent="0.3">
      <c r="A15266" s="678"/>
    </row>
    <row r="15267" spans="1:1" x14ac:dyDescent="0.3">
      <c r="A15267" s="678"/>
    </row>
    <row r="15268" spans="1:1" x14ac:dyDescent="0.3">
      <c r="A15268" s="678"/>
    </row>
    <row r="15269" spans="1:1" x14ac:dyDescent="0.3">
      <c r="A15269" s="678"/>
    </row>
    <row r="15270" spans="1:1" x14ac:dyDescent="0.3">
      <c r="A15270" s="678"/>
    </row>
    <row r="15271" spans="1:1" x14ac:dyDescent="0.3">
      <c r="A15271" s="678"/>
    </row>
    <row r="15272" spans="1:1" x14ac:dyDescent="0.3">
      <c r="A15272" s="678"/>
    </row>
    <row r="15273" spans="1:1" x14ac:dyDescent="0.3">
      <c r="A15273" s="678"/>
    </row>
    <row r="15274" spans="1:1" x14ac:dyDescent="0.3">
      <c r="A15274" s="678"/>
    </row>
    <row r="15275" spans="1:1" x14ac:dyDescent="0.3">
      <c r="A15275" s="678"/>
    </row>
    <row r="15276" spans="1:1" x14ac:dyDescent="0.3">
      <c r="A15276" s="678"/>
    </row>
    <row r="15277" spans="1:1" x14ac:dyDescent="0.3">
      <c r="A15277" s="678"/>
    </row>
    <row r="15278" spans="1:1" x14ac:dyDescent="0.3">
      <c r="A15278" s="678"/>
    </row>
    <row r="15279" spans="1:1" x14ac:dyDescent="0.3">
      <c r="A15279" s="678"/>
    </row>
    <row r="15280" spans="1:1" x14ac:dyDescent="0.3">
      <c r="A15280" s="678"/>
    </row>
    <row r="15281" spans="1:1" x14ac:dyDescent="0.3">
      <c r="A15281" s="678"/>
    </row>
    <row r="15282" spans="1:1" x14ac:dyDescent="0.3">
      <c r="A15282" s="678"/>
    </row>
    <row r="15283" spans="1:1" x14ac:dyDescent="0.3">
      <c r="A15283" s="678"/>
    </row>
    <row r="15284" spans="1:1" x14ac:dyDescent="0.3">
      <c r="A15284" s="678"/>
    </row>
    <row r="15285" spans="1:1" x14ac:dyDescent="0.3">
      <c r="A15285" s="678"/>
    </row>
    <row r="15286" spans="1:1" x14ac:dyDescent="0.3">
      <c r="A15286" s="678"/>
    </row>
    <row r="15287" spans="1:1" x14ac:dyDescent="0.3">
      <c r="A15287" s="678"/>
    </row>
    <row r="15288" spans="1:1" x14ac:dyDescent="0.3">
      <c r="A15288" s="678"/>
    </row>
    <row r="15289" spans="1:1" x14ac:dyDescent="0.3">
      <c r="A15289" s="678"/>
    </row>
    <row r="15290" spans="1:1" x14ac:dyDescent="0.3">
      <c r="A15290" s="678"/>
    </row>
    <row r="15291" spans="1:1" x14ac:dyDescent="0.3">
      <c r="A15291" s="678"/>
    </row>
    <row r="15292" spans="1:1" x14ac:dyDescent="0.3">
      <c r="A15292" s="678"/>
    </row>
    <row r="15293" spans="1:1" x14ac:dyDescent="0.3">
      <c r="A15293" s="678"/>
    </row>
    <row r="15294" spans="1:1" x14ac:dyDescent="0.3">
      <c r="A15294" s="678"/>
    </row>
    <row r="15295" spans="1:1" x14ac:dyDescent="0.3">
      <c r="A15295" s="678"/>
    </row>
    <row r="15296" spans="1:1" x14ac:dyDescent="0.3">
      <c r="A15296" s="678"/>
    </row>
    <row r="15297" spans="1:1" x14ac:dyDescent="0.3">
      <c r="A15297" s="678"/>
    </row>
    <row r="15298" spans="1:1" x14ac:dyDescent="0.3">
      <c r="A15298" s="678"/>
    </row>
    <row r="15299" spans="1:1" x14ac:dyDescent="0.3">
      <c r="A15299" s="678"/>
    </row>
    <row r="15300" spans="1:1" x14ac:dyDescent="0.3">
      <c r="A15300" s="678"/>
    </row>
    <row r="15301" spans="1:1" x14ac:dyDescent="0.3">
      <c r="A15301" s="678"/>
    </row>
    <row r="15302" spans="1:1" x14ac:dyDescent="0.3">
      <c r="A15302" s="678"/>
    </row>
    <row r="15303" spans="1:1" x14ac:dyDescent="0.3">
      <c r="A15303" s="678"/>
    </row>
    <row r="15304" spans="1:1" x14ac:dyDescent="0.3">
      <c r="A15304" s="678"/>
    </row>
    <row r="15305" spans="1:1" x14ac:dyDescent="0.3">
      <c r="A15305" s="678"/>
    </row>
    <row r="15306" spans="1:1" x14ac:dyDescent="0.3">
      <c r="A15306" s="678"/>
    </row>
    <row r="15307" spans="1:1" x14ac:dyDescent="0.3">
      <c r="A15307" s="678"/>
    </row>
    <row r="15308" spans="1:1" x14ac:dyDescent="0.3">
      <c r="A15308" s="678"/>
    </row>
    <row r="15309" spans="1:1" x14ac:dyDescent="0.3">
      <c r="A15309" s="678"/>
    </row>
    <row r="15310" spans="1:1" x14ac:dyDescent="0.3">
      <c r="A15310" s="678"/>
    </row>
    <row r="15311" spans="1:1" x14ac:dyDescent="0.3">
      <c r="A15311" s="678"/>
    </row>
    <row r="15312" spans="1:1" x14ac:dyDescent="0.3">
      <c r="A15312" s="678"/>
    </row>
    <row r="15313" spans="1:1" x14ac:dyDescent="0.3">
      <c r="A15313" s="678"/>
    </row>
    <row r="15314" spans="1:1" x14ac:dyDescent="0.3">
      <c r="A15314" s="678"/>
    </row>
    <row r="15315" spans="1:1" x14ac:dyDescent="0.3">
      <c r="A15315" s="678"/>
    </row>
    <row r="15316" spans="1:1" x14ac:dyDescent="0.3">
      <c r="A15316" s="678"/>
    </row>
    <row r="15317" spans="1:1" x14ac:dyDescent="0.3">
      <c r="A15317" s="678"/>
    </row>
    <row r="15318" spans="1:1" x14ac:dyDescent="0.3">
      <c r="A15318" s="678"/>
    </row>
    <row r="15319" spans="1:1" x14ac:dyDescent="0.3">
      <c r="A15319" s="678"/>
    </row>
    <row r="15320" spans="1:1" x14ac:dyDescent="0.3">
      <c r="A15320" s="678"/>
    </row>
    <row r="15321" spans="1:1" x14ac:dyDescent="0.3">
      <c r="A15321" s="678"/>
    </row>
    <row r="15322" spans="1:1" x14ac:dyDescent="0.3">
      <c r="A15322" s="678"/>
    </row>
    <row r="15323" spans="1:1" x14ac:dyDescent="0.3">
      <c r="A15323" s="678"/>
    </row>
    <row r="15324" spans="1:1" x14ac:dyDescent="0.3">
      <c r="A15324" s="678"/>
    </row>
    <row r="15325" spans="1:1" x14ac:dyDescent="0.3">
      <c r="A15325" s="678"/>
    </row>
    <row r="15326" spans="1:1" x14ac:dyDescent="0.3">
      <c r="A15326" s="678"/>
    </row>
    <row r="15327" spans="1:1" x14ac:dyDescent="0.3">
      <c r="A15327" s="678"/>
    </row>
    <row r="15328" spans="1:1" x14ac:dyDescent="0.3">
      <c r="A15328" s="678"/>
    </row>
    <row r="15329" spans="1:1" x14ac:dyDescent="0.3">
      <c r="A15329" s="678"/>
    </row>
    <row r="15330" spans="1:1" x14ac:dyDescent="0.3">
      <c r="A15330" s="678"/>
    </row>
    <row r="15331" spans="1:1" x14ac:dyDescent="0.3">
      <c r="A15331" s="678"/>
    </row>
    <row r="15332" spans="1:1" x14ac:dyDescent="0.3">
      <c r="A15332" s="678"/>
    </row>
    <row r="15333" spans="1:1" x14ac:dyDescent="0.3">
      <c r="A15333" s="678"/>
    </row>
    <row r="15334" spans="1:1" x14ac:dyDescent="0.3">
      <c r="A15334" s="678"/>
    </row>
    <row r="15335" spans="1:1" x14ac:dyDescent="0.3">
      <c r="A15335" s="678"/>
    </row>
    <row r="15336" spans="1:1" x14ac:dyDescent="0.3">
      <c r="A15336" s="678"/>
    </row>
    <row r="15337" spans="1:1" x14ac:dyDescent="0.3">
      <c r="A15337" s="678"/>
    </row>
    <row r="15338" spans="1:1" x14ac:dyDescent="0.3">
      <c r="A15338" s="678"/>
    </row>
    <row r="15339" spans="1:1" x14ac:dyDescent="0.3">
      <c r="A15339" s="678"/>
    </row>
    <row r="15340" spans="1:1" x14ac:dyDescent="0.3">
      <c r="A15340" s="678"/>
    </row>
    <row r="15341" spans="1:1" x14ac:dyDescent="0.3">
      <c r="A15341" s="678"/>
    </row>
    <row r="15342" spans="1:1" x14ac:dyDescent="0.3">
      <c r="A15342" s="678"/>
    </row>
    <row r="15343" spans="1:1" x14ac:dyDescent="0.3">
      <c r="A15343" s="678"/>
    </row>
    <row r="15344" spans="1:1" x14ac:dyDescent="0.3">
      <c r="A15344" s="678"/>
    </row>
    <row r="15345" spans="1:1" x14ac:dyDescent="0.3">
      <c r="A15345" s="678"/>
    </row>
    <row r="15346" spans="1:1" x14ac:dyDescent="0.3">
      <c r="A15346" s="678"/>
    </row>
    <row r="15347" spans="1:1" x14ac:dyDescent="0.3">
      <c r="A15347" s="678"/>
    </row>
    <row r="15348" spans="1:1" x14ac:dyDescent="0.3">
      <c r="A15348" s="678"/>
    </row>
    <row r="15349" spans="1:1" x14ac:dyDescent="0.3">
      <c r="A15349" s="678"/>
    </row>
    <row r="15350" spans="1:1" x14ac:dyDescent="0.3">
      <c r="A15350" s="678"/>
    </row>
    <row r="15351" spans="1:1" x14ac:dyDescent="0.3">
      <c r="A15351" s="678"/>
    </row>
    <row r="15352" spans="1:1" x14ac:dyDescent="0.3">
      <c r="A15352" s="678"/>
    </row>
    <row r="15353" spans="1:1" x14ac:dyDescent="0.3">
      <c r="A15353" s="678"/>
    </row>
    <row r="15354" spans="1:1" x14ac:dyDescent="0.3">
      <c r="A15354" s="678"/>
    </row>
    <row r="15355" spans="1:1" x14ac:dyDescent="0.3">
      <c r="A15355" s="678"/>
    </row>
    <row r="15356" spans="1:1" x14ac:dyDescent="0.3">
      <c r="A15356" s="678"/>
    </row>
    <row r="15357" spans="1:1" x14ac:dyDescent="0.3">
      <c r="A15357" s="678"/>
    </row>
    <row r="15358" spans="1:1" x14ac:dyDescent="0.3">
      <c r="A15358" s="678"/>
    </row>
    <row r="15359" spans="1:1" x14ac:dyDescent="0.3">
      <c r="A15359" s="678"/>
    </row>
    <row r="15360" spans="1:1" x14ac:dyDescent="0.3">
      <c r="A15360" s="678"/>
    </row>
    <row r="15361" spans="1:1" x14ac:dyDescent="0.3">
      <c r="A15361" s="678"/>
    </row>
    <row r="15362" spans="1:1" x14ac:dyDescent="0.3">
      <c r="A15362" s="678"/>
    </row>
    <row r="15363" spans="1:1" x14ac:dyDescent="0.3">
      <c r="A15363" s="678"/>
    </row>
    <row r="15364" spans="1:1" x14ac:dyDescent="0.3">
      <c r="A15364" s="678"/>
    </row>
    <row r="15365" spans="1:1" x14ac:dyDescent="0.3">
      <c r="A15365" s="678"/>
    </row>
    <row r="15366" spans="1:1" x14ac:dyDescent="0.3">
      <c r="A15366" s="678"/>
    </row>
    <row r="15367" spans="1:1" x14ac:dyDescent="0.3">
      <c r="A15367" s="678"/>
    </row>
    <row r="15368" spans="1:1" x14ac:dyDescent="0.3">
      <c r="A15368" s="678"/>
    </row>
    <row r="15369" spans="1:1" x14ac:dyDescent="0.3">
      <c r="A15369" s="678"/>
    </row>
    <row r="15370" spans="1:1" x14ac:dyDescent="0.3">
      <c r="A15370" s="678"/>
    </row>
    <row r="15371" spans="1:1" x14ac:dyDescent="0.3">
      <c r="A15371" s="678"/>
    </row>
    <row r="15372" spans="1:1" x14ac:dyDescent="0.3">
      <c r="A15372" s="678"/>
    </row>
    <row r="15373" spans="1:1" x14ac:dyDescent="0.3">
      <c r="A15373" s="678"/>
    </row>
    <row r="15374" spans="1:1" x14ac:dyDescent="0.3">
      <c r="A15374" s="678"/>
    </row>
    <row r="15375" spans="1:1" x14ac:dyDescent="0.3">
      <c r="A15375" s="678"/>
    </row>
    <row r="15376" spans="1:1" x14ac:dyDescent="0.3">
      <c r="A15376" s="678"/>
    </row>
    <row r="15377" spans="1:1" x14ac:dyDescent="0.3">
      <c r="A15377" s="678"/>
    </row>
    <row r="15378" spans="1:1" x14ac:dyDescent="0.3">
      <c r="A15378" s="678"/>
    </row>
    <row r="15379" spans="1:1" x14ac:dyDescent="0.3">
      <c r="A15379" s="678"/>
    </row>
    <row r="15380" spans="1:1" x14ac:dyDescent="0.3">
      <c r="A15380" s="678"/>
    </row>
    <row r="15381" spans="1:1" x14ac:dyDescent="0.3">
      <c r="A15381" s="678"/>
    </row>
    <row r="15382" spans="1:1" x14ac:dyDescent="0.3">
      <c r="A15382" s="678"/>
    </row>
    <row r="15383" spans="1:1" x14ac:dyDescent="0.3">
      <c r="A15383" s="678"/>
    </row>
    <row r="15384" spans="1:1" x14ac:dyDescent="0.3">
      <c r="A15384" s="678"/>
    </row>
    <row r="15385" spans="1:1" x14ac:dyDescent="0.3">
      <c r="A15385" s="678"/>
    </row>
    <row r="15386" spans="1:1" x14ac:dyDescent="0.3">
      <c r="A15386" s="678"/>
    </row>
    <row r="15387" spans="1:1" x14ac:dyDescent="0.3">
      <c r="A15387" s="678"/>
    </row>
    <row r="15388" spans="1:1" x14ac:dyDescent="0.3">
      <c r="A15388" s="678"/>
    </row>
    <row r="15389" spans="1:1" x14ac:dyDescent="0.3">
      <c r="A15389" s="678"/>
    </row>
    <row r="15390" spans="1:1" x14ac:dyDescent="0.3">
      <c r="A15390" s="678"/>
    </row>
    <row r="15391" spans="1:1" x14ac:dyDescent="0.3">
      <c r="A15391" s="678"/>
    </row>
    <row r="15392" spans="1:1" x14ac:dyDescent="0.3">
      <c r="A15392" s="678"/>
    </row>
    <row r="15393" spans="1:1" x14ac:dyDescent="0.3">
      <c r="A15393" s="678"/>
    </row>
    <row r="15394" spans="1:1" x14ac:dyDescent="0.3">
      <c r="A15394" s="678"/>
    </row>
    <row r="15395" spans="1:1" x14ac:dyDescent="0.3">
      <c r="A15395" s="678"/>
    </row>
    <row r="15396" spans="1:1" x14ac:dyDescent="0.3">
      <c r="A15396" s="678"/>
    </row>
    <row r="15397" spans="1:1" x14ac:dyDescent="0.3">
      <c r="A15397" s="678"/>
    </row>
    <row r="15398" spans="1:1" x14ac:dyDescent="0.3">
      <c r="A15398" s="678"/>
    </row>
    <row r="15399" spans="1:1" x14ac:dyDescent="0.3">
      <c r="A15399" s="678"/>
    </row>
    <row r="15400" spans="1:1" x14ac:dyDescent="0.3">
      <c r="A15400" s="678"/>
    </row>
    <row r="15401" spans="1:1" x14ac:dyDescent="0.3">
      <c r="A15401" s="678"/>
    </row>
    <row r="15402" spans="1:1" x14ac:dyDescent="0.3">
      <c r="A15402" s="678"/>
    </row>
    <row r="15403" spans="1:1" x14ac:dyDescent="0.3">
      <c r="A15403" s="678"/>
    </row>
    <row r="15404" spans="1:1" x14ac:dyDescent="0.3">
      <c r="A15404" s="678"/>
    </row>
    <row r="15405" spans="1:1" x14ac:dyDescent="0.3">
      <c r="A15405" s="678"/>
    </row>
    <row r="15406" spans="1:1" x14ac:dyDescent="0.3">
      <c r="A15406" s="678"/>
    </row>
    <row r="15407" spans="1:1" x14ac:dyDescent="0.3">
      <c r="A15407" s="678"/>
    </row>
    <row r="15408" spans="1:1" x14ac:dyDescent="0.3">
      <c r="A15408" s="678"/>
    </row>
    <row r="15409" spans="1:1" x14ac:dyDescent="0.3">
      <c r="A15409" s="678"/>
    </row>
    <row r="15410" spans="1:1" x14ac:dyDescent="0.3">
      <c r="A15410" s="678"/>
    </row>
    <row r="15411" spans="1:1" x14ac:dyDescent="0.3">
      <c r="A15411" s="678"/>
    </row>
    <row r="15412" spans="1:1" x14ac:dyDescent="0.3">
      <c r="A15412" s="678"/>
    </row>
    <row r="15413" spans="1:1" x14ac:dyDescent="0.3">
      <c r="A15413" s="678"/>
    </row>
    <row r="15414" spans="1:1" x14ac:dyDescent="0.3">
      <c r="A15414" s="678"/>
    </row>
    <row r="15415" spans="1:1" x14ac:dyDescent="0.3">
      <c r="A15415" s="678"/>
    </row>
    <row r="15416" spans="1:1" x14ac:dyDescent="0.3">
      <c r="A15416" s="678"/>
    </row>
    <row r="15417" spans="1:1" x14ac:dyDescent="0.3">
      <c r="A15417" s="678"/>
    </row>
    <row r="15418" spans="1:1" x14ac:dyDescent="0.3">
      <c r="A15418" s="678"/>
    </row>
    <row r="15419" spans="1:1" x14ac:dyDescent="0.3">
      <c r="A15419" s="678"/>
    </row>
    <row r="15420" spans="1:1" x14ac:dyDescent="0.3">
      <c r="A15420" s="678"/>
    </row>
    <row r="15421" spans="1:1" x14ac:dyDescent="0.3">
      <c r="A15421" s="678"/>
    </row>
    <row r="15422" spans="1:1" x14ac:dyDescent="0.3">
      <c r="A15422" s="678"/>
    </row>
    <row r="15423" spans="1:1" x14ac:dyDescent="0.3">
      <c r="A15423" s="678"/>
    </row>
    <row r="15424" spans="1:1" x14ac:dyDescent="0.3">
      <c r="A15424" s="678"/>
    </row>
    <row r="15425" spans="1:1" x14ac:dyDescent="0.3">
      <c r="A15425" s="678"/>
    </row>
    <row r="15426" spans="1:1" x14ac:dyDescent="0.3">
      <c r="A15426" s="678"/>
    </row>
    <row r="15427" spans="1:1" x14ac:dyDescent="0.3">
      <c r="A15427" s="678"/>
    </row>
    <row r="15428" spans="1:1" x14ac:dyDescent="0.3">
      <c r="A15428" s="678"/>
    </row>
    <row r="15429" spans="1:1" x14ac:dyDescent="0.3">
      <c r="A15429" s="678"/>
    </row>
    <row r="15430" spans="1:1" x14ac:dyDescent="0.3">
      <c r="A15430" s="678"/>
    </row>
    <row r="15431" spans="1:1" x14ac:dyDescent="0.3">
      <c r="A15431" s="678"/>
    </row>
    <row r="15432" spans="1:1" x14ac:dyDescent="0.3">
      <c r="A15432" s="678"/>
    </row>
    <row r="15433" spans="1:1" x14ac:dyDescent="0.3">
      <c r="A15433" s="678"/>
    </row>
    <row r="15434" spans="1:1" x14ac:dyDescent="0.3">
      <c r="A15434" s="678"/>
    </row>
    <row r="15435" spans="1:1" x14ac:dyDescent="0.3">
      <c r="A15435" s="678"/>
    </row>
    <row r="15436" spans="1:1" x14ac:dyDescent="0.3">
      <c r="A15436" s="678"/>
    </row>
    <row r="15437" spans="1:1" x14ac:dyDescent="0.3">
      <c r="A15437" s="678"/>
    </row>
    <row r="15438" spans="1:1" x14ac:dyDescent="0.3">
      <c r="A15438" s="678"/>
    </row>
    <row r="15439" spans="1:1" x14ac:dyDescent="0.3">
      <c r="A15439" s="678"/>
    </row>
    <row r="15440" spans="1:1" x14ac:dyDescent="0.3">
      <c r="A15440" s="678"/>
    </row>
    <row r="15441" spans="1:1" x14ac:dyDescent="0.3">
      <c r="A15441" s="678"/>
    </row>
    <row r="15442" spans="1:1" x14ac:dyDescent="0.3">
      <c r="A15442" s="678"/>
    </row>
    <row r="15443" spans="1:1" x14ac:dyDescent="0.3">
      <c r="A15443" s="678"/>
    </row>
    <row r="15444" spans="1:1" x14ac:dyDescent="0.3">
      <c r="A15444" s="678"/>
    </row>
    <row r="15445" spans="1:1" x14ac:dyDescent="0.3">
      <c r="A15445" s="678"/>
    </row>
    <row r="15446" spans="1:1" x14ac:dyDescent="0.3">
      <c r="A15446" s="678"/>
    </row>
    <row r="15447" spans="1:1" x14ac:dyDescent="0.3">
      <c r="A15447" s="678"/>
    </row>
    <row r="15448" spans="1:1" x14ac:dyDescent="0.3">
      <c r="A15448" s="678"/>
    </row>
    <row r="15449" spans="1:1" x14ac:dyDescent="0.3">
      <c r="A15449" s="678"/>
    </row>
    <row r="15450" spans="1:1" x14ac:dyDescent="0.3">
      <c r="A15450" s="678"/>
    </row>
    <row r="15451" spans="1:1" x14ac:dyDescent="0.3">
      <c r="A15451" s="678"/>
    </row>
    <row r="15452" spans="1:1" x14ac:dyDescent="0.3">
      <c r="A15452" s="678"/>
    </row>
    <row r="15453" spans="1:1" x14ac:dyDescent="0.3">
      <c r="A15453" s="678"/>
    </row>
    <row r="15454" spans="1:1" x14ac:dyDescent="0.3">
      <c r="A15454" s="678"/>
    </row>
    <row r="15455" spans="1:1" x14ac:dyDescent="0.3">
      <c r="A15455" s="678"/>
    </row>
    <row r="15456" spans="1:1" x14ac:dyDescent="0.3">
      <c r="A15456" s="678"/>
    </row>
    <row r="15457" spans="1:1" x14ac:dyDescent="0.3">
      <c r="A15457" s="678"/>
    </row>
    <row r="15458" spans="1:1" x14ac:dyDescent="0.3">
      <c r="A15458" s="678"/>
    </row>
    <row r="15459" spans="1:1" x14ac:dyDescent="0.3">
      <c r="A15459" s="678"/>
    </row>
    <row r="15460" spans="1:1" x14ac:dyDescent="0.3">
      <c r="A15460" s="678"/>
    </row>
    <row r="15461" spans="1:1" x14ac:dyDescent="0.3">
      <c r="A15461" s="678"/>
    </row>
    <row r="15462" spans="1:1" x14ac:dyDescent="0.3">
      <c r="A15462" s="678"/>
    </row>
    <row r="15463" spans="1:1" x14ac:dyDescent="0.3">
      <c r="A15463" s="678"/>
    </row>
    <row r="15464" spans="1:1" x14ac:dyDescent="0.3">
      <c r="A15464" s="678"/>
    </row>
    <row r="15465" spans="1:1" x14ac:dyDescent="0.3">
      <c r="A15465" s="678"/>
    </row>
    <row r="15466" spans="1:1" x14ac:dyDescent="0.3">
      <c r="A15466" s="678"/>
    </row>
    <row r="15467" spans="1:1" x14ac:dyDescent="0.3">
      <c r="A15467" s="678"/>
    </row>
    <row r="15468" spans="1:1" x14ac:dyDescent="0.3">
      <c r="A15468" s="678"/>
    </row>
    <row r="15469" spans="1:1" x14ac:dyDescent="0.3">
      <c r="A15469" s="678"/>
    </row>
    <row r="15470" spans="1:1" x14ac:dyDescent="0.3">
      <c r="A15470" s="678"/>
    </row>
    <row r="15471" spans="1:1" x14ac:dyDescent="0.3">
      <c r="A15471" s="678"/>
    </row>
    <row r="15472" spans="1:1" x14ac:dyDescent="0.3">
      <c r="A15472" s="678"/>
    </row>
    <row r="15473" spans="1:1" x14ac:dyDescent="0.3">
      <c r="A15473" s="678"/>
    </row>
    <row r="15474" spans="1:1" x14ac:dyDescent="0.3">
      <c r="A15474" s="678"/>
    </row>
    <row r="15475" spans="1:1" x14ac:dyDescent="0.3">
      <c r="A15475" s="678"/>
    </row>
    <row r="15476" spans="1:1" x14ac:dyDescent="0.3">
      <c r="A15476" s="678"/>
    </row>
    <row r="15477" spans="1:1" x14ac:dyDescent="0.3">
      <c r="A15477" s="678"/>
    </row>
    <row r="15478" spans="1:1" x14ac:dyDescent="0.3">
      <c r="A15478" s="678"/>
    </row>
    <row r="15479" spans="1:1" x14ac:dyDescent="0.3">
      <c r="A15479" s="678"/>
    </row>
    <row r="15480" spans="1:1" x14ac:dyDescent="0.3">
      <c r="A15480" s="678"/>
    </row>
    <row r="15481" spans="1:1" x14ac:dyDescent="0.3">
      <c r="A15481" s="678"/>
    </row>
    <row r="15482" spans="1:1" x14ac:dyDescent="0.3">
      <c r="A15482" s="678"/>
    </row>
    <row r="15483" spans="1:1" x14ac:dyDescent="0.3">
      <c r="A15483" s="678"/>
    </row>
    <row r="15484" spans="1:1" x14ac:dyDescent="0.3">
      <c r="A15484" s="678"/>
    </row>
    <row r="15485" spans="1:1" x14ac:dyDescent="0.3">
      <c r="A15485" s="678"/>
    </row>
    <row r="15486" spans="1:1" x14ac:dyDescent="0.3">
      <c r="A15486" s="678"/>
    </row>
    <row r="15487" spans="1:1" x14ac:dyDescent="0.3">
      <c r="A15487" s="678"/>
    </row>
    <row r="15488" spans="1:1" x14ac:dyDescent="0.3">
      <c r="A15488" s="678"/>
    </row>
    <row r="15489" spans="1:1" x14ac:dyDescent="0.3">
      <c r="A15489" s="678"/>
    </row>
    <row r="15490" spans="1:1" x14ac:dyDescent="0.3">
      <c r="A15490" s="678"/>
    </row>
    <row r="15491" spans="1:1" x14ac:dyDescent="0.3">
      <c r="A15491" s="678"/>
    </row>
    <row r="15492" spans="1:1" x14ac:dyDescent="0.3">
      <c r="A15492" s="678"/>
    </row>
    <row r="15493" spans="1:1" x14ac:dyDescent="0.3">
      <c r="A15493" s="678"/>
    </row>
    <row r="15494" spans="1:1" x14ac:dyDescent="0.3">
      <c r="A15494" s="678"/>
    </row>
    <row r="15495" spans="1:1" x14ac:dyDescent="0.3">
      <c r="A15495" s="678"/>
    </row>
    <row r="15496" spans="1:1" x14ac:dyDescent="0.3">
      <c r="A15496" s="678"/>
    </row>
    <row r="15497" spans="1:1" x14ac:dyDescent="0.3">
      <c r="A15497" s="678"/>
    </row>
    <row r="15498" spans="1:1" x14ac:dyDescent="0.3">
      <c r="A15498" s="678"/>
    </row>
    <row r="15499" spans="1:1" x14ac:dyDescent="0.3">
      <c r="A15499" s="678"/>
    </row>
    <row r="15500" spans="1:1" x14ac:dyDescent="0.3">
      <c r="A15500" s="678"/>
    </row>
    <row r="15501" spans="1:1" x14ac:dyDescent="0.3">
      <c r="A15501" s="678"/>
    </row>
    <row r="15502" spans="1:1" x14ac:dyDescent="0.3">
      <c r="A15502" s="678"/>
    </row>
    <row r="15503" spans="1:1" x14ac:dyDescent="0.3">
      <c r="A15503" s="678"/>
    </row>
    <row r="15504" spans="1:1" x14ac:dyDescent="0.3">
      <c r="A15504" s="678"/>
    </row>
    <row r="15505" spans="1:1" x14ac:dyDescent="0.3">
      <c r="A15505" s="678"/>
    </row>
    <row r="15506" spans="1:1" x14ac:dyDescent="0.3">
      <c r="A15506" s="678"/>
    </row>
    <row r="15507" spans="1:1" x14ac:dyDescent="0.3">
      <c r="A15507" s="678"/>
    </row>
    <row r="15508" spans="1:1" x14ac:dyDescent="0.3">
      <c r="A15508" s="678"/>
    </row>
    <row r="15509" spans="1:1" x14ac:dyDescent="0.3">
      <c r="A15509" s="678"/>
    </row>
    <row r="15510" spans="1:1" x14ac:dyDescent="0.3">
      <c r="A15510" s="678"/>
    </row>
  </sheetData>
  <sheetProtection algorithmName="SHA-512" hashValue="GabKI/Y67ffgQueZqdYXRIU+6jPUwcUBaNI8mcKy/Sf8qQgQLJh/tqWuTdjkLd1jn4cXfBVRSCD6mBCNRbwJhA==" saltValue="bI2BkwIqIi/JtnewLiO98g==" spinCount="100000" sheet="1" objects="1" scenarios="1"/>
  <sortState xmlns:xlrd2="http://schemas.microsoft.com/office/spreadsheetml/2017/richdata2" ref="A1:A15511">
    <sortCondition ref="A1:A15511"/>
  </sortState>
  <dataValidations count="1">
    <dataValidation type="list" allowBlank="1" showInputMessage="1" showErrorMessage="1" sqref="G6" xr:uid="{00000000-0002-0000-0500-000000000000}">
      <formula1>Entegrus_SA</formula1>
    </dataValidation>
  </dataValidations>
  <pageMargins left="0.7" right="0.7" top="0.75" bottom="0.75" header="0.3" footer="0.3"/>
  <pageSetup scale="2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BU37"/>
  <sheetViews>
    <sheetView showGridLines="0" view="pageBreakPreview" zoomScale="60" zoomScaleNormal="100" workbookViewId="0">
      <selection activeCell="B16" sqref="B16"/>
    </sheetView>
  </sheetViews>
  <sheetFormatPr defaultColWidth="9.33203125" defaultRowHeight="14.4" x14ac:dyDescent="0.3"/>
  <cols>
    <col min="1" max="1" width="64.6640625" style="1193" bestFit="1" customWidth="1"/>
    <col min="2" max="2" width="9.33203125" style="1193" customWidth="1"/>
    <col min="3" max="3" width="14.6640625" style="1193" bestFit="1" customWidth="1"/>
    <col min="4" max="4" width="13.33203125" style="1193" bestFit="1" customWidth="1"/>
    <col min="5" max="5" width="16.33203125" style="1193" customWidth="1"/>
    <col min="6" max="8" width="17.6640625" style="1193" customWidth="1"/>
    <col min="9" max="9" width="18" style="1193" customWidth="1"/>
    <col min="10" max="10" width="17.6640625" style="1193" customWidth="1"/>
    <col min="11" max="14" width="18.33203125" style="1193" hidden="1" customWidth="1"/>
    <col min="15" max="18" width="19.33203125" style="1193" hidden="1" customWidth="1"/>
    <col min="19" max="19" width="21.5546875" style="1193" customWidth="1"/>
    <col min="20" max="20" width="22.33203125" style="1193" customWidth="1"/>
    <col min="21" max="21" width="11.5546875" style="1193" bestFit="1" customWidth="1"/>
    <col min="22" max="16384" width="9.33203125" style="1193"/>
  </cols>
  <sheetData>
    <row r="1" spans="1:73" s="785" customFormat="1" ht="15" thickBot="1" x14ac:dyDescent="0.35">
      <c r="R1" s="785" t="str">
        <f>IF(C31="YES", "YES", "NO")</f>
        <v>NO</v>
      </c>
      <c r="BU1" s="787"/>
    </row>
    <row r="2" spans="1:73" s="785" customFormat="1" ht="18" customHeight="1" x14ac:dyDescent="0.3">
      <c r="B2" s="787" t="b">
        <f>IF(J4="Yes",TRUE,FALSE)</f>
        <v>1</v>
      </c>
      <c r="G2" s="1819" t="s">
        <v>5298</v>
      </c>
      <c r="H2" s="1820"/>
      <c r="I2" s="1820"/>
      <c r="J2" s="1821"/>
      <c r="K2" s="1080"/>
    </row>
    <row r="3" spans="1:73" s="785" customFormat="1" ht="15" customHeight="1" thickBot="1" x14ac:dyDescent="0.35">
      <c r="G3" s="1822" t="s">
        <v>5299</v>
      </c>
      <c r="H3" s="1823"/>
      <c r="I3" s="1823"/>
      <c r="J3" s="1824"/>
      <c r="K3" s="1383"/>
    </row>
    <row r="4" spans="1:73" s="785" customFormat="1" ht="15.6" thickTop="1" thickBot="1" x14ac:dyDescent="0.35">
      <c r="G4" s="1383" t="s">
        <v>5300</v>
      </c>
      <c r="H4" s="1384"/>
      <c r="I4" s="1384"/>
      <c r="J4" s="1502" t="s">
        <v>5033</v>
      </c>
      <c r="K4" s="1081"/>
    </row>
    <row r="5" spans="1:73" s="785" customFormat="1" ht="15" thickBot="1" x14ac:dyDescent="0.35">
      <c r="B5" s="1420"/>
      <c r="C5" s="1248"/>
      <c r="D5" s="1248"/>
      <c r="E5" s="775"/>
      <c r="F5" s="775"/>
      <c r="G5" s="1082"/>
      <c r="H5" s="1421"/>
      <c r="I5" s="1421"/>
      <c r="J5" s="1422"/>
      <c r="K5" s="1082"/>
      <c r="L5" s="775"/>
      <c r="M5" s="775"/>
      <c r="N5" s="775"/>
      <c r="O5" s="775"/>
      <c r="P5" s="775"/>
      <c r="Q5" s="775"/>
      <c r="R5" s="775"/>
      <c r="S5" s="776"/>
    </row>
    <row r="6" spans="1:73" s="785" customFormat="1" ht="15" customHeight="1" thickBot="1" x14ac:dyDescent="0.35">
      <c r="A6" s="510"/>
      <c r="B6" s="1390"/>
      <c r="C6" s="1248"/>
      <c r="D6" s="1248"/>
      <c r="E6" s="1391"/>
      <c r="F6" s="1391"/>
      <c r="G6" s="1825" t="s">
        <v>5301</v>
      </c>
      <c r="H6" s="1826"/>
      <c r="I6" s="1826"/>
      <c r="J6" s="1827"/>
      <c r="K6" s="1082"/>
      <c r="L6" s="775"/>
      <c r="M6" s="775"/>
      <c r="N6" s="775"/>
      <c r="O6" s="775"/>
      <c r="P6" s="775"/>
      <c r="Q6" s="775"/>
      <c r="R6" s="775"/>
      <c r="S6" s="776"/>
    </row>
    <row r="7" spans="1:73" s="785" customFormat="1" ht="15" thickBot="1" x14ac:dyDescent="0.35">
      <c r="A7" s="510"/>
      <c r="B7" s="1390"/>
      <c r="C7" s="1248"/>
      <c r="D7" s="1248"/>
      <c r="E7" s="1391"/>
      <c r="F7" s="1391"/>
      <c r="G7" s="1828"/>
      <c r="H7" s="1829"/>
      <c r="I7" s="1829"/>
      <c r="J7" s="1830"/>
      <c r="K7" s="1082"/>
      <c r="L7" s="775"/>
      <c r="M7" s="775"/>
      <c r="N7" s="775"/>
      <c r="O7" s="775"/>
      <c r="P7" s="775"/>
      <c r="Q7" s="775"/>
      <c r="R7" s="775"/>
      <c r="S7" s="776"/>
    </row>
    <row r="8" spans="1:73" s="785" customFormat="1" ht="15" thickBot="1" x14ac:dyDescent="0.35">
      <c r="A8" s="1661"/>
      <c r="B8" s="1390"/>
      <c r="C8" s="1249"/>
      <c r="D8" s="1248"/>
      <c r="E8" s="1391"/>
      <c r="F8" s="1391"/>
      <c r="G8" s="1828"/>
      <c r="H8" s="1829"/>
      <c r="I8" s="1829"/>
      <c r="J8" s="1830"/>
      <c r="K8" s="1082"/>
      <c r="L8" s="775"/>
      <c r="M8" s="775"/>
      <c r="N8" s="775"/>
      <c r="O8" s="775"/>
      <c r="P8" s="775"/>
      <c r="Q8" s="775"/>
      <c r="R8" s="775"/>
      <c r="S8" s="776"/>
    </row>
    <row r="9" spans="1:73" s="785" customFormat="1" ht="15" thickBot="1" x14ac:dyDescent="0.35">
      <c r="A9" s="510"/>
      <c r="B9" s="1390"/>
      <c r="C9" s="1248"/>
      <c r="D9" s="1248"/>
      <c r="E9" s="1391"/>
      <c r="F9" s="1391"/>
      <c r="G9" s="1828"/>
      <c r="H9" s="1829"/>
      <c r="I9" s="1829"/>
      <c r="J9" s="1830"/>
      <c r="K9" s="1082"/>
      <c r="L9" s="775"/>
      <c r="M9" s="775"/>
      <c r="N9" s="775"/>
      <c r="O9" s="775"/>
      <c r="P9" s="775"/>
      <c r="Q9" s="775"/>
      <c r="R9" s="775"/>
      <c r="S9" s="776"/>
    </row>
    <row r="10" spans="1:73" s="1408" customFormat="1" ht="15" thickBot="1" x14ac:dyDescent="0.35">
      <c r="B10" s="1409"/>
      <c r="C10" s="1410"/>
      <c r="D10" s="1410"/>
      <c r="E10" s="1410"/>
      <c r="F10" s="1410"/>
      <c r="G10" s="1828"/>
      <c r="H10" s="1829"/>
      <c r="I10" s="1829"/>
      <c r="J10" s="1830"/>
      <c r="K10" s="1411"/>
      <c r="L10" s="1410"/>
      <c r="M10" s="1410"/>
      <c r="N10" s="1410"/>
      <c r="O10" s="1410"/>
      <c r="P10" s="1410"/>
      <c r="Q10" s="1410"/>
      <c r="R10" s="1410"/>
      <c r="S10" s="1412"/>
    </row>
    <row r="11" spans="1:73" s="1408" customFormat="1" ht="15" thickBot="1" x14ac:dyDescent="0.35">
      <c r="B11" s="1409"/>
      <c r="C11" s="1410"/>
      <c r="D11" s="1410"/>
      <c r="E11" s="1410"/>
      <c r="F11" s="1410"/>
      <c r="G11" s="1828"/>
      <c r="H11" s="1829"/>
      <c r="I11" s="1829"/>
      <c r="J11" s="1830"/>
      <c r="K11" s="1411"/>
      <c r="L11" s="1410"/>
      <c r="M11" s="1410"/>
      <c r="N11" s="1410"/>
      <c r="O11" s="1410"/>
      <c r="P11" s="1410"/>
      <c r="Q11" s="1410"/>
      <c r="R11" s="1410"/>
      <c r="S11" s="1412"/>
    </row>
    <row r="12" spans="1:73" s="1408" customFormat="1" ht="15" customHeight="1" thickBot="1" x14ac:dyDescent="0.35">
      <c r="A12" s="1413"/>
      <c r="B12" s="1409"/>
      <c r="C12" s="1410"/>
      <c r="D12" s="1410"/>
      <c r="E12" s="1410"/>
      <c r="F12" s="1410"/>
      <c r="G12" s="1838" t="s">
        <v>5302</v>
      </c>
      <c r="H12" s="1839"/>
      <c r="I12" s="1839"/>
      <c r="J12" s="1840"/>
      <c r="K12" s="1411"/>
      <c r="L12" s="1410"/>
      <c r="M12" s="1410"/>
      <c r="N12" s="1410"/>
      <c r="O12" s="1410"/>
      <c r="P12" s="1410"/>
      <c r="Q12" s="1410"/>
      <c r="R12" s="1410"/>
      <c r="S12" s="1412"/>
    </row>
    <row r="13" spans="1:73" s="1407" customFormat="1" ht="27" customHeight="1" thickBot="1" x14ac:dyDescent="0.35">
      <c r="A13" s="1836"/>
      <c r="B13" s="1837"/>
      <c r="C13" s="1837"/>
      <c r="D13" s="1837"/>
      <c r="E13" s="1837"/>
      <c r="F13" s="1662"/>
      <c r="G13" s="1841"/>
      <c r="H13" s="1842"/>
      <c r="I13" s="1842"/>
      <c r="J13" s="1843"/>
      <c r="K13" s="1414"/>
      <c r="L13" s="1415"/>
      <c r="M13" s="1415"/>
      <c r="N13" s="1415"/>
      <c r="O13" s="1415"/>
      <c r="P13" s="1415"/>
      <c r="Q13" s="1415"/>
      <c r="R13" s="1415"/>
      <c r="S13" s="1416"/>
    </row>
    <row r="14" spans="1:73" s="1407" customFormat="1" ht="15" thickBot="1" x14ac:dyDescent="0.35">
      <c r="B14" s="1417"/>
      <c r="C14" s="1835"/>
      <c r="D14" s="1835"/>
      <c r="E14" s="1835"/>
      <c r="F14" s="1835"/>
      <c r="G14" s="1835"/>
      <c r="H14" s="1835"/>
      <c r="I14" s="1415"/>
      <c r="J14" s="1415"/>
      <c r="K14" s="1846"/>
      <c r="L14" s="1846"/>
      <c r="M14" s="1846"/>
      <c r="N14" s="1846"/>
      <c r="O14" s="1846"/>
      <c r="P14" s="1846"/>
      <c r="Q14" s="1846"/>
      <c r="R14" s="1846"/>
      <c r="S14" s="1847"/>
    </row>
    <row r="15" spans="1:73" s="1407" customFormat="1" ht="22.5" customHeight="1" thickBot="1" x14ac:dyDescent="0.35">
      <c r="A15" s="1453"/>
      <c r="B15" s="1454"/>
      <c r="C15" s="1833" t="s">
        <v>1408</v>
      </c>
      <c r="D15" s="1833" t="s">
        <v>1407</v>
      </c>
      <c r="E15" s="1833" t="s">
        <v>2300</v>
      </c>
      <c r="F15" s="1833" t="s">
        <v>2301</v>
      </c>
      <c r="G15" s="1831" t="s">
        <v>1951</v>
      </c>
      <c r="H15" s="1831" t="s">
        <v>1952</v>
      </c>
      <c r="I15" s="1833" t="s">
        <v>1460</v>
      </c>
      <c r="J15" s="1833" t="s">
        <v>1459</v>
      </c>
      <c r="K15" s="1831" t="s">
        <v>1589</v>
      </c>
      <c r="L15" s="1831" t="s">
        <v>1590</v>
      </c>
      <c r="M15" s="1831" t="s">
        <v>6918</v>
      </c>
      <c r="N15" s="1831" t="s">
        <v>1591</v>
      </c>
      <c r="O15" s="1831" t="s">
        <v>2297</v>
      </c>
      <c r="P15" s="1831" t="s">
        <v>4307</v>
      </c>
      <c r="Q15" s="1831" t="s">
        <v>4308</v>
      </c>
      <c r="R15" s="1831" t="s">
        <v>5036</v>
      </c>
      <c r="S15" s="1848" t="s">
        <v>208</v>
      </c>
      <c r="T15" s="1844" t="s">
        <v>1882</v>
      </c>
    </row>
    <row r="16" spans="1:73" s="1457" customFormat="1" ht="30.75" customHeight="1" thickBot="1" x14ac:dyDescent="0.35">
      <c r="A16" s="1455" t="s">
        <v>48</v>
      </c>
      <c r="B16" s="1456" t="s">
        <v>49</v>
      </c>
      <c r="C16" s="1834"/>
      <c r="D16" s="1834"/>
      <c r="E16" s="1834"/>
      <c r="F16" s="1834"/>
      <c r="G16" s="1832"/>
      <c r="H16" s="1832"/>
      <c r="I16" s="1834"/>
      <c r="J16" s="1834"/>
      <c r="K16" s="1832"/>
      <c r="L16" s="1832"/>
      <c r="M16" s="1832"/>
      <c r="N16" s="1832"/>
      <c r="O16" s="1832"/>
      <c r="P16" s="1832"/>
      <c r="Q16" s="1832"/>
      <c r="R16" s="1832"/>
      <c r="S16" s="1849"/>
      <c r="T16" s="1845"/>
    </row>
    <row r="17" spans="1:20" ht="15.75" customHeight="1" thickBot="1" x14ac:dyDescent="0.35">
      <c r="A17" s="1663" t="s">
        <v>427</v>
      </c>
      <c r="B17" s="1485" t="s">
        <v>154</v>
      </c>
      <c r="C17" s="1493">
        <v>45878451</v>
      </c>
      <c r="D17" s="1494">
        <v>0</v>
      </c>
      <c r="E17" s="1495">
        <v>1083427</v>
      </c>
      <c r="F17" s="1495">
        <v>0</v>
      </c>
      <c r="G17" s="1487">
        <v>0</v>
      </c>
      <c r="H17" s="1487">
        <v>0</v>
      </c>
      <c r="I17" s="1488">
        <f t="shared" ref="I17:J23" si="0">C17-G17</f>
        <v>45878451</v>
      </c>
      <c r="J17" s="1488">
        <f t="shared" si="0"/>
        <v>0</v>
      </c>
      <c r="K17" s="1489"/>
      <c r="L17" s="1489"/>
      <c r="M17" s="1489"/>
      <c r="N17" s="1489"/>
      <c r="O17" s="1489"/>
      <c r="P17" s="1489"/>
      <c r="Q17" s="1489"/>
      <c r="R17" s="1489"/>
      <c r="S17" s="1499">
        <v>0</v>
      </c>
      <c r="T17" s="1481">
        <v>6324</v>
      </c>
    </row>
    <row r="18" spans="1:20" ht="15.75" customHeight="1" thickBot="1" x14ac:dyDescent="0.35">
      <c r="A18" s="1663" t="s">
        <v>2522</v>
      </c>
      <c r="B18" s="1485" t="s">
        <v>154</v>
      </c>
      <c r="C18" s="1493">
        <v>22669052</v>
      </c>
      <c r="D18" s="1494">
        <v>0</v>
      </c>
      <c r="E18" s="1495">
        <v>4871690</v>
      </c>
      <c r="F18" s="1495">
        <v>0</v>
      </c>
      <c r="G18" s="1487">
        <v>0</v>
      </c>
      <c r="H18" s="1487">
        <v>0</v>
      </c>
      <c r="I18" s="1488">
        <f t="shared" si="0"/>
        <v>22669052</v>
      </c>
      <c r="J18" s="1488">
        <f t="shared" si="0"/>
        <v>0</v>
      </c>
      <c r="K18" s="1489"/>
      <c r="L18" s="1489"/>
      <c r="M18" s="1489"/>
      <c r="N18" s="1489"/>
      <c r="O18" s="1489"/>
      <c r="P18" s="1489"/>
      <c r="Q18" s="1489"/>
      <c r="R18" s="1489"/>
      <c r="S18" s="1499">
        <v>0</v>
      </c>
      <c r="T18" s="1481">
        <v>782</v>
      </c>
    </row>
    <row r="19" spans="1:20" ht="15.75" customHeight="1" thickBot="1" x14ac:dyDescent="0.35">
      <c r="A19" s="1663" t="s">
        <v>611</v>
      </c>
      <c r="B19" s="1485" t="s">
        <v>155</v>
      </c>
      <c r="C19" s="1493">
        <v>52423807</v>
      </c>
      <c r="D19" s="1494">
        <v>143971</v>
      </c>
      <c r="E19" s="1495">
        <v>48111498</v>
      </c>
      <c r="F19" s="1495">
        <v>133641</v>
      </c>
      <c r="G19" s="1487">
        <v>2736305</v>
      </c>
      <c r="H19" s="1487">
        <v>5131</v>
      </c>
      <c r="I19" s="1488">
        <f t="shared" si="0"/>
        <v>49687502</v>
      </c>
      <c r="J19" s="1488">
        <f t="shared" si="0"/>
        <v>138840</v>
      </c>
      <c r="K19" s="1489"/>
      <c r="L19" s="1489"/>
      <c r="M19" s="1489"/>
      <c r="N19" s="1489"/>
      <c r="O19" s="1489"/>
      <c r="P19" s="1489"/>
      <c r="Q19" s="1489"/>
      <c r="R19" s="1489"/>
      <c r="S19" s="1499">
        <v>0</v>
      </c>
      <c r="T19" s="1481"/>
    </row>
    <row r="20" spans="1:20" ht="15.75" customHeight="1" thickBot="1" x14ac:dyDescent="0.35">
      <c r="A20" s="1663" t="s">
        <v>612</v>
      </c>
      <c r="B20" s="1485" t="s">
        <v>155</v>
      </c>
      <c r="C20" s="1493">
        <v>18101354</v>
      </c>
      <c r="D20" s="1494">
        <v>42600</v>
      </c>
      <c r="E20" s="1495">
        <v>18101354</v>
      </c>
      <c r="F20" s="1495">
        <v>42600</v>
      </c>
      <c r="G20" s="1487">
        <v>0</v>
      </c>
      <c r="H20" s="1487">
        <v>0</v>
      </c>
      <c r="I20" s="1488">
        <f t="shared" si="0"/>
        <v>18101354</v>
      </c>
      <c r="J20" s="1488">
        <f t="shared" si="0"/>
        <v>42600</v>
      </c>
      <c r="K20" s="1489"/>
      <c r="L20" s="1489"/>
      <c r="M20" s="1489"/>
      <c r="N20" s="1489"/>
      <c r="O20" s="1489"/>
      <c r="P20" s="1489"/>
      <c r="Q20" s="1489"/>
      <c r="R20" s="1489"/>
      <c r="S20" s="1499">
        <v>0</v>
      </c>
      <c r="T20" s="1481"/>
    </row>
    <row r="21" spans="1:20" ht="15.75" customHeight="1" thickBot="1" x14ac:dyDescent="0.35">
      <c r="A21" s="1663" t="s">
        <v>592</v>
      </c>
      <c r="B21" s="1485" t="s">
        <v>154</v>
      </c>
      <c r="C21" s="1493">
        <v>585041</v>
      </c>
      <c r="D21" s="1494">
        <v>0</v>
      </c>
      <c r="E21" s="1495">
        <v>90336</v>
      </c>
      <c r="F21" s="1495">
        <v>0</v>
      </c>
      <c r="G21" s="1487">
        <v>0</v>
      </c>
      <c r="H21" s="1487">
        <v>0</v>
      </c>
      <c r="I21" s="1488">
        <f t="shared" si="0"/>
        <v>585041</v>
      </c>
      <c r="J21" s="1488">
        <f t="shared" si="0"/>
        <v>0</v>
      </c>
      <c r="K21" s="1489"/>
      <c r="L21" s="1489"/>
      <c r="M21" s="1489"/>
      <c r="N21" s="1489"/>
      <c r="O21" s="1489"/>
      <c r="P21" s="1489"/>
      <c r="Q21" s="1489"/>
      <c r="R21" s="1489"/>
      <c r="S21" s="1499">
        <v>0</v>
      </c>
      <c r="T21" s="1481"/>
    </row>
    <row r="22" spans="1:20" ht="15.75" customHeight="1" thickBot="1" x14ac:dyDescent="0.35">
      <c r="A22" s="1663" t="s">
        <v>604</v>
      </c>
      <c r="B22" s="1486" t="s">
        <v>155</v>
      </c>
      <c r="C22" s="1496">
        <v>35563</v>
      </c>
      <c r="D22" s="1497">
        <v>99</v>
      </c>
      <c r="E22" s="1480">
        <v>12921</v>
      </c>
      <c r="F22" s="1480">
        <v>35</v>
      </c>
      <c r="G22" s="1482">
        <v>0</v>
      </c>
      <c r="H22" s="1482">
        <v>0</v>
      </c>
      <c r="I22" s="1479">
        <f t="shared" si="0"/>
        <v>35563</v>
      </c>
      <c r="J22" s="1479">
        <f t="shared" si="0"/>
        <v>99</v>
      </c>
      <c r="K22" s="1483"/>
      <c r="L22" s="1483"/>
      <c r="M22" s="1483"/>
      <c r="N22" s="1483"/>
      <c r="O22" s="1483"/>
      <c r="P22" s="1483"/>
      <c r="Q22" s="1483"/>
      <c r="R22" s="1483"/>
      <c r="S22" s="1500">
        <v>0</v>
      </c>
      <c r="T22" s="1481"/>
    </row>
    <row r="23" spans="1:20" ht="15.75" customHeight="1" thickBot="1" x14ac:dyDescent="0.35">
      <c r="A23" s="1471" t="s">
        <v>590</v>
      </c>
      <c r="B23" s="1484" t="s">
        <v>155</v>
      </c>
      <c r="C23" s="1508">
        <v>517704</v>
      </c>
      <c r="D23" s="1498">
        <v>1429</v>
      </c>
      <c r="E23" s="1498">
        <v>517704</v>
      </c>
      <c r="F23" s="1498">
        <v>1429</v>
      </c>
      <c r="G23" s="1490">
        <v>0</v>
      </c>
      <c r="H23" s="1490">
        <v>0</v>
      </c>
      <c r="I23" s="1491">
        <f t="shared" si="0"/>
        <v>517704</v>
      </c>
      <c r="J23" s="1491">
        <f t="shared" si="0"/>
        <v>1429</v>
      </c>
      <c r="K23" s="1492"/>
      <c r="L23" s="1492"/>
      <c r="M23" s="1492"/>
      <c r="N23" s="1492"/>
      <c r="O23" s="1492"/>
      <c r="P23" s="1492"/>
      <c r="Q23" s="1492"/>
      <c r="R23" s="1492"/>
      <c r="S23" s="1501">
        <v>0</v>
      </c>
      <c r="T23" s="1481"/>
    </row>
    <row r="24" spans="1:20" x14ac:dyDescent="0.3">
      <c r="B24" s="1472" t="s">
        <v>47</v>
      </c>
      <c r="C24" s="1473">
        <f>SUM($C$17:$C$23)</f>
        <v>140210972</v>
      </c>
      <c r="D24" s="1473">
        <f>SUM($D$17:$D$23)</f>
        <v>188099</v>
      </c>
      <c r="E24" s="1473">
        <f>SUM($E$17:$E$23)</f>
        <v>72788930</v>
      </c>
      <c r="F24" s="1473">
        <f>SUM($F$17:$F$23)</f>
        <v>177705</v>
      </c>
      <c r="G24" s="1473">
        <f>SUM($G$17:$G$23)</f>
        <v>2736305</v>
      </c>
      <c r="H24" s="1473">
        <f>SUM($H$17:$H$23)</f>
        <v>5131</v>
      </c>
      <c r="I24" s="1473">
        <f>SUM($I$17:$I$23)</f>
        <v>137474667</v>
      </c>
      <c r="J24" s="1473">
        <f>SUM($J$17:$J$23)</f>
        <v>182968</v>
      </c>
      <c r="K24" s="1474">
        <f>SUM($K$17:$K$23)</f>
        <v>0</v>
      </c>
      <c r="L24" s="1474">
        <f>SUM($L$17:$L$23)</f>
        <v>0</v>
      </c>
      <c r="M24" s="1474">
        <f>SUM($M$17:$M$23)</f>
        <v>0</v>
      </c>
      <c r="N24" s="1474">
        <f>SUM($N$17:$N$23)</f>
        <v>0</v>
      </c>
      <c r="O24" s="1474">
        <f>SUM($O$17:$O$23)</f>
        <v>0</v>
      </c>
      <c r="P24" s="1474">
        <f>SUM($P$17:$P$23)</f>
        <v>0</v>
      </c>
      <c r="Q24" s="1474">
        <f>SUM($Q$17:$Q$23)</f>
        <v>0</v>
      </c>
      <c r="R24" s="1474">
        <f>SUM($R$17:$R$23)</f>
        <v>0</v>
      </c>
      <c r="S24" s="1473">
        <f>'3. Continuity Schedule'!BT43</f>
        <v>0</v>
      </c>
      <c r="T24" s="1618">
        <f>SUM($T$17:$T$23)</f>
        <v>7106</v>
      </c>
    </row>
    <row r="25" spans="1:20" x14ac:dyDescent="0.3">
      <c r="L25" s="639" t="str">
        <f>IF($L$24&lt;&gt;1,"Does not equal 100%","")</f>
        <v>Does not equal 100%</v>
      </c>
      <c r="M25" s="639" t="str">
        <f>IF($M$24&lt;&gt;1,"Does not equal 100%","")</f>
        <v>Does not equal 100%</v>
      </c>
      <c r="N25" s="639" t="str">
        <f>IF($N$24&lt;&gt;1,"Does not equal 100%","")</f>
        <v>Does not equal 100%</v>
      </c>
      <c r="O25" s="639" t="str">
        <f>IF($O$24&lt;&gt;1,"Does not equal 100%","")</f>
        <v>Does not equal 100%</v>
      </c>
      <c r="P25" s="639" t="str">
        <f>IF($P$24&lt;&gt;1,"Does not equal 100%","")</f>
        <v>Does not equal 100%</v>
      </c>
      <c r="Q25" s="639" t="str">
        <f>IF($Q$24&lt;&gt;1,"Does not equal 100%","")</f>
        <v>Does not equal 100%</v>
      </c>
      <c r="R25" s="639" t="str">
        <f>IF($R$24&lt;&gt;1,"Does not equal 100%","")</f>
        <v>Does not equal 100%</v>
      </c>
    </row>
    <row r="26" spans="1:20" x14ac:dyDescent="0.3">
      <c r="A26" s="1475" t="s">
        <v>7322</v>
      </c>
    </row>
    <row r="27" spans="1:20" x14ac:dyDescent="0.3">
      <c r="A27" s="1195" t="s">
        <v>7323</v>
      </c>
      <c r="C27" s="1476">
        <v>96273.26999999999</v>
      </c>
    </row>
    <row r="28" spans="1:20" x14ac:dyDescent="0.3">
      <c r="A28" s="1195" t="s">
        <v>7324</v>
      </c>
      <c r="C28" s="1476">
        <v>96273.26999999999</v>
      </c>
    </row>
    <row r="29" spans="1:20" ht="16.2" x14ac:dyDescent="0.3">
      <c r="A29" s="1195" t="s">
        <v>7325</v>
      </c>
      <c r="C29" s="1477">
        <v>6.8663149985152372E-4</v>
      </c>
      <c r="D29" s="639" t="s">
        <v>7380</v>
      </c>
    </row>
    <row r="30" spans="1:20" ht="15" thickBot="1" x14ac:dyDescent="0.35"/>
    <row r="31" spans="1:20" ht="67.2" thickBot="1" x14ac:dyDescent="0.35">
      <c r="A31" s="1506" t="s">
        <v>7381</v>
      </c>
      <c r="C31" s="1507" t="s">
        <v>512</v>
      </c>
    </row>
    <row r="35" spans="1:1" ht="16.2" x14ac:dyDescent="0.3">
      <c r="A35" s="1478" t="s">
        <v>7326</v>
      </c>
    </row>
    <row r="36" spans="1:1" ht="16.2" x14ac:dyDescent="0.3">
      <c r="A36" s="1478" t="s">
        <v>7327</v>
      </c>
    </row>
    <row r="37" spans="1:1" ht="16.2" x14ac:dyDescent="0.3">
      <c r="A37" s="1478" t="s">
        <v>7328</v>
      </c>
    </row>
  </sheetData>
  <sheetProtection algorithmName="SHA-512" hashValue="098oNSHYSitkhLhieP6Ih4mtEmqYKzUGVgX+4KkSbYI2FerXm//A7qfgMQs8Yuh/3eDxK5xsTJMrS8mqLr1LFw==" saltValue="LGAECBwbbBkP1uKCvqe88Q==" spinCount="100000" sheet="1" objects="1" scenarios="1"/>
  <mergeCells count="25">
    <mergeCell ref="T15:T16"/>
    <mergeCell ref="K14:S14"/>
    <mergeCell ref="S15:S16"/>
    <mergeCell ref="N15:N16"/>
    <mergeCell ref="O15:O16"/>
    <mergeCell ref="R15:R16"/>
    <mergeCell ref="P15:P16"/>
    <mergeCell ref="Q15:Q16"/>
    <mergeCell ref="K15:K16"/>
    <mergeCell ref="M15:M16"/>
    <mergeCell ref="L15:L16"/>
    <mergeCell ref="G2:J2"/>
    <mergeCell ref="G3:J3"/>
    <mergeCell ref="G6:J11"/>
    <mergeCell ref="H15:H16"/>
    <mergeCell ref="I15:I16"/>
    <mergeCell ref="J15:J16"/>
    <mergeCell ref="C14:H14"/>
    <mergeCell ref="E15:E16"/>
    <mergeCell ref="F15:F16"/>
    <mergeCell ref="G15:G16"/>
    <mergeCell ref="D15:D16"/>
    <mergeCell ref="C15:C16"/>
    <mergeCell ref="A13:E13"/>
    <mergeCell ref="G12:J13"/>
  </mergeCells>
  <dataValidations count="3">
    <dataValidation type="list" showErrorMessage="1" errorTitle="Selection Needed" error="Please select an option from the drop-down list." prompt="Use the following format eg: January 1, 2013" sqref="J4" xr:uid="{00000000-0002-0000-0600-000000000000}">
      <formula1>"Yes,No"</formula1>
    </dataValidation>
    <dataValidation type="list" allowBlank="1" showInputMessage="1" showErrorMessage="1" sqref="B17:B23" xr:uid="{9EB0E57B-8F7A-43B1-B5BA-BB5723F6E6D6}">
      <formula1>"kWh, kW, kVA"</formula1>
    </dataValidation>
    <dataValidation type="list" allowBlank="1" showInputMessage="1" showErrorMessage="1" sqref="C31" xr:uid="{89A61BD9-7F5C-4822-84C4-1811929999AF}">
      <formula1>"YES, NO"</formula1>
    </dataValidation>
  </dataValidations>
  <pageMargins left="0.25" right="0.25" top="0.75" bottom="0.75" header="0.3" footer="0.3"/>
  <pageSetup paperSize="17" scale="72" orientation="landscape" r:id="rId1"/>
  <headerFooter>
    <oddFooter>&amp;C&amp;A</oddFooter>
  </headerFooter>
  <ignoredErrors>
    <ignoredError sqref="B2"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D999"/>
  <sheetViews>
    <sheetView showGridLines="0" view="pageBreakPreview" zoomScale="60" zoomScaleNormal="100" workbookViewId="0">
      <selection activeCell="H27" sqref="H27"/>
    </sheetView>
  </sheetViews>
  <sheetFormatPr defaultColWidth="9.33203125" defaultRowHeight="14.4" x14ac:dyDescent="0.3"/>
  <cols>
    <col min="1" max="1" width="61.33203125" style="111" customWidth="1"/>
    <col min="2" max="2" width="9.33203125" style="22"/>
    <col min="3" max="3" width="14.6640625" style="22" customWidth="1"/>
    <col min="4" max="4" width="14.6640625" style="22" hidden="1" customWidth="1"/>
    <col min="5" max="5" width="11.6640625" style="22" customWidth="1"/>
    <col min="6" max="9" width="14.6640625" style="22" customWidth="1"/>
    <col min="10" max="11" width="14.6640625" style="22" hidden="1" customWidth="1"/>
    <col min="12" max="14" width="14.6640625" style="22" customWidth="1"/>
    <col min="15" max="21" width="14.6640625" style="22" hidden="1" customWidth="1"/>
    <col min="22" max="22" width="14.6640625" style="680" hidden="1" customWidth="1"/>
    <col min="23" max="23" width="10.33203125" style="22" bestFit="1" customWidth="1"/>
    <col min="24" max="16384" width="9.33203125" style="22"/>
  </cols>
  <sheetData>
    <row r="1" spans="1:30" x14ac:dyDescent="0.3">
      <c r="A1" s="681"/>
      <c r="B1" s="1193"/>
      <c r="C1" s="1193"/>
      <c r="D1" s="1193"/>
      <c r="E1" s="1193"/>
      <c r="F1" s="1193"/>
      <c r="G1" s="1193"/>
      <c r="H1" s="1193"/>
      <c r="I1" s="1193"/>
      <c r="J1" s="1193"/>
      <c r="K1" s="1193"/>
      <c r="L1" s="1193"/>
      <c r="M1" s="1193"/>
      <c r="N1" s="1193"/>
      <c r="O1" s="1193"/>
      <c r="P1" s="1193"/>
      <c r="Q1" s="1193"/>
      <c r="R1" s="1193"/>
      <c r="S1" s="1193"/>
      <c r="T1" s="1193"/>
      <c r="U1" s="1193"/>
      <c r="V1" s="1193"/>
      <c r="W1" s="1193"/>
      <c r="X1" s="1193"/>
      <c r="Y1" s="1193"/>
      <c r="Z1" s="1193"/>
      <c r="AA1" s="1193"/>
      <c r="AB1" s="1193"/>
      <c r="AC1" s="1193"/>
      <c r="AD1" s="680"/>
    </row>
    <row r="2" spans="1:30" x14ac:dyDescent="0.3">
      <c r="A2" s="681"/>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680"/>
    </row>
    <row r="3" spans="1:30" x14ac:dyDescent="0.3">
      <c r="A3" s="681"/>
      <c r="B3" s="1193"/>
      <c r="C3" s="119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680"/>
    </row>
    <row r="4" spans="1:30" x14ac:dyDescent="0.3">
      <c r="A4" s="681"/>
      <c r="B4" s="1193"/>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680"/>
    </row>
    <row r="5" spans="1:30" x14ac:dyDescent="0.3">
      <c r="A5" s="681"/>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680"/>
    </row>
    <row r="6" spans="1:30" x14ac:dyDescent="0.3">
      <c r="A6" s="681"/>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680"/>
    </row>
    <row r="7" spans="1:30" x14ac:dyDescent="0.3">
      <c r="A7" s="681"/>
      <c r="B7" s="1193"/>
      <c r="C7" s="1193"/>
      <c r="D7" s="1193"/>
      <c r="E7" s="1193"/>
      <c r="F7" s="1193"/>
      <c r="G7" s="1193"/>
      <c r="H7" s="1193"/>
      <c r="I7" s="1193"/>
      <c r="J7" s="1193"/>
      <c r="K7" s="1193"/>
      <c r="L7" s="1193"/>
      <c r="M7" s="1193"/>
      <c r="N7" s="1193"/>
      <c r="O7" s="1193"/>
      <c r="P7" s="1193"/>
      <c r="Q7" s="1193"/>
      <c r="R7" s="1193"/>
      <c r="S7" s="1193"/>
      <c r="T7" s="1193"/>
      <c r="U7" s="1193"/>
      <c r="V7" s="1193"/>
      <c r="W7" s="1193"/>
      <c r="X7" s="1193"/>
      <c r="Y7" s="1193"/>
      <c r="Z7" s="1193"/>
      <c r="AA7" s="1193"/>
      <c r="AB7" s="1193"/>
      <c r="AC7" s="1193"/>
      <c r="AD7" s="680"/>
    </row>
    <row r="8" spans="1:30" x14ac:dyDescent="0.3">
      <c r="A8" s="681"/>
      <c r="B8" s="1193"/>
      <c r="C8" s="1193"/>
      <c r="D8" s="1193"/>
      <c r="E8" s="1193"/>
      <c r="F8" s="1193"/>
      <c r="G8" s="1193"/>
      <c r="H8" s="1193"/>
      <c r="I8" s="1193"/>
      <c r="J8" s="1193"/>
      <c r="K8" s="1193"/>
      <c r="L8" s="1193"/>
      <c r="M8" s="1193"/>
      <c r="N8" s="1193"/>
      <c r="O8" s="1193"/>
      <c r="P8" s="1193"/>
      <c r="Q8" s="1193"/>
      <c r="R8" s="1193"/>
      <c r="S8" s="1193"/>
      <c r="T8" s="1193"/>
      <c r="U8" s="1193"/>
      <c r="V8" s="1193"/>
      <c r="W8" s="1193"/>
      <c r="X8" s="1193"/>
      <c r="Y8" s="1193"/>
      <c r="Z8" s="1193"/>
      <c r="AA8" s="1193"/>
      <c r="AB8" s="1193"/>
      <c r="AC8" s="1193"/>
      <c r="AD8" s="680"/>
    </row>
    <row r="9" spans="1:30" x14ac:dyDescent="0.3">
      <c r="A9" s="681"/>
      <c r="B9" s="1193"/>
      <c r="C9" s="1193"/>
      <c r="D9" s="1193"/>
      <c r="E9" s="1193"/>
      <c r="F9" s="1193"/>
      <c r="G9" s="1193"/>
      <c r="H9" s="1193"/>
      <c r="I9" s="1193"/>
      <c r="J9" s="1193"/>
      <c r="K9" s="1193"/>
      <c r="L9" s="1193"/>
      <c r="M9" s="1193"/>
      <c r="N9" s="1193"/>
      <c r="O9" s="1193"/>
      <c r="P9" s="1193"/>
      <c r="Q9" s="1193"/>
      <c r="R9" s="1193"/>
      <c r="S9" s="1193"/>
      <c r="T9" s="1193"/>
      <c r="U9" s="1193"/>
      <c r="V9" s="1193"/>
      <c r="W9" s="1193"/>
      <c r="X9" s="1193"/>
      <c r="Y9" s="1193"/>
      <c r="Z9" s="1193"/>
      <c r="AA9" s="1193"/>
      <c r="AB9" s="1193"/>
      <c r="AC9" s="1193"/>
      <c r="AD9" s="680"/>
    </row>
    <row r="10" spans="1:30" x14ac:dyDescent="0.3">
      <c r="A10" s="681"/>
      <c r="B10" s="1193"/>
      <c r="C10" s="1193"/>
      <c r="D10" s="1193"/>
      <c r="E10" s="1193"/>
      <c r="F10" s="1193"/>
      <c r="G10" s="1193"/>
      <c r="H10" s="1193"/>
      <c r="I10" s="1193"/>
      <c r="J10" s="1193"/>
      <c r="K10" s="1193"/>
      <c r="L10" s="1193"/>
      <c r="M10" s="1193"/>
      <c r="N10" s="1193"/>
      <c r="O10" s="1193"/>
      <c r="P10" s="1193"/>
      <c r="Q10" s="1193"/>
      <c r="R10" s="1193"/>
      <c r="S10" s="1193"/>
      <c r="T10" s="1193"/>
      <c r="U10" s="1193"/>
      <c r="V10" s="1193"/>
      <c r="W10" s="1193"/>
      <c r="X10" s="1193"/>
      <c r="Y10" s="1193"/>
      <c r="Z10" s="1193"/>
      <c r="AA10" s="1193"/>
      <c r="AB10" s="1193"/>
      <c r="AC10" s="1193"/>
      <c r="AD10" s="680"/>
    </row>
    <row r="11" spans="1:30" ht="20.25" customHeight="1" x14ac:dyDescent="0.3">
      <c r="A11" s="1850" t="s">
        <v>6879</v>
      </c>
      <c r="B11" s="1850"/>
      <c r="C11" s="1850"/>
      <c r="D11" s="1850"/>
      <c r="E11" s="1850"/>
      <c r="F11" s="1850"/>
      <c r="G11" s="1850"/>
      <c r="H11" s="1850"/>
      <c r="I11" s="1850"/>
      <c r="J11" s="1850"/>
      <c r="K11" s="1850"/>
      <c r="L11" s="1850"/>
      <c r="M11" s="1193"/>
      <c r="N11" s="1193"/>
      <c r="O11" s="1193"/>
      <c r="P11" s="1193"/>
      <c r="Q11" s="1193"/>
      <c r="R11" s="1193"/>
      <c r="S11" s="1193"/>
      <c r="T11" s="1193"/>
      <c r="U11" s="1193"/>
      <c r="V11" s="1193"/>
      <c r="W11" s="1193"/>
      <c r="X11" s="1193"/>
      <c r="Y11" s="1193"/>
      <c r="Z11" s="1193"/>
      <c r="AA11" s="1193"/>
      <c r="AB11" s="1193"/>
      <c r="AC11" s="1193"/>
      <c r="AD11" s="680"/>
    </row>
    <row r="12" spans="1:30" ht="21" customHeight="1" x14ac:dyDescent="0.3">
      <c r="A12" s="1850"/>
      <c r="B12" s="1850"/>
      <c r="C12" s="1850"/>
      <c r="D12" s="1850"/>
      <c r="E12" s="1850"/>
      <c r="F12" s="1850"/>
      <c r="G12" s="1850"/>
      <c r="H12" s="1850"/>
      <c r="I12" s="1850"/>
      <c r="J12" s="1850"/>
      <c r="K12" s="1850"/>
      <c r="L12" s="1850"/>
      <c r="M12" s="1193"/>
      <c r="N12" s="1193"/>
      <c r="O12" s="1193"/>
      <c r="P12" s="1193"/>
      <c r="Q12" s="1193"/>
      <c r="R12" s="1193"/>
      <c r="S12" s="1193"/>
      <c r="T12" s="1193"/>
      <c r="U12" s="1193"/>
      <c r="V12" s="1193"/>
      <c r="W12" s="1193"/>
      <c r="X12" s="1193"/>
      <c r="Y12" s="1193"/>
      <c r="Z12" s="1193"/>
      <c r="AA12" s="1193"/>
      <c r="AB12" s="1193"/>
      <c r="AC12" s="1193"/>
      <c r="AD12" s="680"/>
    </row>
    <row r="13" spans="1:30" ht="17.399999999999999" x14ac:dyDescent="0.3">
      <c r="A13" s="682" t="s">
        <v>453</v>
      </c>
      <c r="B13" s="1193"/>
      <c r="C13" s="1193"/>
      <c r="D13" s="1193"/>
      <c r="E13" s="1193"/>
      <c r="F13" s="1193"/>
      <c r="G13" s="1193"/>
      <c r="H13" s="1193"/>
      <c r="I13" s="1193"/>
      <c r="J13" s="1193"/>
      <c r="K13" s="1193"/>
      <c r="L13" s="1193"/>
      <c r="M13" s="1193"/>
      <c r="N13" s="1193"/>
      <c r="O13" s="1193"/>
      <c r="P13" s="1193"/>
      <c r="Q13" s="1193"/>
      <c r="R13" s="1193"/>
      <c r="S13" s="1193"/>
      <c r="T13" s="1193"/>
      <c r="U13" s="1193"/>
      <c r="V13" s="1193"/>
      <c r="W13" s="1193"/>
      <c r="X13" s="1193"/>
      <c r="Y13" s="1193"/>
      <c r="Z13" s="1193"/>
      <c r="AA13" s="1193"/>
      <c r="AB13" s="1193"/>
      <c r="AC13" s="1193"/>
      <c r="AD13" s="680"/>
    </row>
    <row r="14" spans="1:30" s="28" customFormat="1" ht="29.25" customHeight="1" x14ac:dyDescent="0.3">
      <c r="A14" s="683"/>
      <c r="B14" s="684"/>
      <c r="C14" s="1851" t="s">
        <v>50</v>
      </c>
      <c r="D14" s="1851" t="s">
        <v>51</v>
      </c>
      <c r="E14" s="1851" t="s">
        <v>594</v>
      </c>
      <c r="F14" s="1853" t="s">
        <v>1411</v>
      </c>
      <c r="G14" s="685"/>
      <c r="H14" s="686"/>
      <c r="I14" s="686" t="s">
        <v>1415</v>
      </c>
      <c r="J14" s="686"/>
      <c r="K14" s="686"/>
      <c r="L14" s="685"/>
      <c r="M14" s="685"/>
      <c r="N14" s="686" t="s">
        <v>1415</v>
      </c>
      <c r="O14" s="1853" t="s">
        <v>1889</v>
      </c>
      <c r="P14" s="1853" t="s">
        <v>6919</v>
      </c>
      <c r="Q14" s="1853" t="s">
        <v>1890</v>
      </c>
      <c r="R14" s="1853" t="s">
        <v>2298</v>
      </c>
      <c r="S14" s="1853" t="s">
        <v>4309</v>
      </c>
      <c r="T14" s="1853" t="s">
        <v>4310</v>
      </c>
      <c r="U14" s="1853" t="s">
        <v>5035</v>
      </c>
      <c r="V14" s="1853" t="s">
        <v>5913</v>
      </c>
      <c r="W14" s="1853">
        <v>1568</v>
      </c>
      <c r="X14" s="780"/>
      <c r="Y14" s="780"/>
      <c r="Z14" s="780"/>
      <c r="AA14" s="780"/>
      <c r="AB14" s="780"/>
      <c r="AC14" s="780"/>
      <c r="AD14" s="687"/>
    </row>
    <row r="15" spans="1:30" s="28" customFormat="1" ht="20.25" customHeight="1" x14ac:dyDescent="0.3">
      <c r="A15" s="688" t="s">
        <v>48</v>
      </c>
      <c r="B15" s="689"/>
      <c r="C15" s="1852"/>
      <c r="D15" s="1852"/>
      <c r="E15" s="1852"/>
      <c r="F15" s="1854"/>
      <c r="G15" s="690">
        <v>1550</v>
      </c>
      <c r="H15" s="690">
        <v>1551</v>
      </c>
      <c r="I15" s="690">
        <v>1580</v>
      </c>
      <c r="J15" s="691" t="s">
        <v>1569</v>
      </c>
      <c r="K15" s="691" t="s">
        <v>1601</v>
      </c>
      <c r="L15" s="690">
        <v>1584</v>
      </c>
      <c r="M15" s="690">
        <v>1586</v>
      </c>
      <c r="N15" s="690">
        <v>1588</v>
      </c>
      <c r="O15" s="1855"/>
      <c r="P15" s="1855"/>
      <c r="Q15" s="1855"/>
      <c r="R15" s="1855"/>
      <c r="S15" s="1855"/>
      <c r="T15" s="1855"/>
      <c r="U15" s="1855"/>
      <c r="V15" s="1855"/>
      <c r="W15" s="1855"/>
      <c r="X15" s="780"/>
      <c r="Y15" s="780"/>
      <c r="Z15" s="780"/>
      <c r="AA15" s="780"/>
      <c r="AB15" s="780"/>
      <c r="AC15" s="780"/>
      <c r="AD15" s="687"/>
    </row>
    <row r="16" spans="1:30" x14ac:dyDescent="0.3">
      <c r="A16" s="681"/>
      <c r="B16" s="1193"/>
      <c r="C16" s="1193"/>
      <c r="D16" s="1193"/>
      <c r="E16" s="1193"/>
      <c r="F16" s="1193"/>
      <c r="G16" s="1193"/>
      <c r="H16" s="1193"/>
      <c r="I16" s="1193"/>
      <c r="J16" s="1193"/>
      <c r="K16" s="1193"/>
      <c r="L16" s="1193"/>
      <c r="M16" s="1193"/>
      <c r="N16" s="1193"/>
      <c r="O16" s="1193"/>
      <c r="P16" s="1193"/>
      <c r="Q16" s="1193"/>
      <c r="R16" s="1193"/>
      <c r="S16" s="1193"/>
      <c r="T16" s="1193"/>
      <c r="U16" s="1193"/>
      <c r="V16" s="1193"/>
      <c r="W16" s="1193"/>
      <c r="X16" s="1193"/>
      <c r="Y16" s="1193"/>
      <c r="Z16" s="1193"/>
      <c r="AA16" s="1193"/>
      <c r="AB16" s="1193"/>
      <c r="AC16" s="1193"/>
    </row>
    <row r="17" spans="1:29" ht="15.75" customHeight="1" x14ac:dyDescent="0.3">
      <c r="A17" s="1667" t="s">
        <v>427</v>
      </c>
      <c r="B17" s="1193"/>
      <c r="C17" s="1512">
        <v>0.3272101344536717</v>
      </c>
      <c r="D17" s="1512">
        <v>1.4884502354959745E-2</v>
      </c>
      <c r="E17" s="1512">
        <v>0.88995215311004783</v>
      </c>
      <c r="F17" s="1512">
        <v>0.3337229469339249</v>
      </c>
      <c r="G17" s="1514"/>
      <c r="H17" s="1514"/>
      <c r="I17" s="1514"/>
      <c r="J17" s="1514"/>
      <c r="K17" s="1514"/>
      <c r="L17" s="1514"/>
      <c r="M17" s="1514"/>
      <c r="N17" s="1514"/>
      <c r="O17" s="1514"/>
      <c r="P17" s="1514"/>
      <c r="Q17" s="1514"/>
      <c r="R17" s="1514"/>
      <c r="S17" s="1514"/>
      <c r="T17" s="1514"/>
      <c r="U17" s="1514"/>
      <c r="V17" s="1514"/>
      <c r="W17" s="1514">
        <v>0</v>
      </c>
      <c r="X17" s="1193"/>
      <c r="Y17" s="1193"/>
      <c r="Z17" s="1193"/>
      <c r="AA17" s="1193"/>
      <c r="AB17" s="1193"/>
      <c r="AC17" s="1193"/>
    </row>
    <row r="18" spans="1:29" ht="15.75" customHeight="1" x14ac:dyDescent="0.3">
      <c r="A18" s="1667" t="s">
        <v>2522</v>
      </c>
      <c r="B18" s="1193"/>
      <c r="C18" s="1512">
        <v>0.16167816025125337</v>
      </c>
      <c r="D18" s="1512">
        <v>6.6928995933859717E-2</v>
      </c>
      <c r="E18" s="1512">
        <v>0.11004784688995216</v>
      </c>
      <c r="F18" s="1512">
        <v>0.16489621320559372</v>
      </c>
      <c r="G18" s="1514"/>
      <c r="H18" s="1514"/>
      <c r="I18" s="1514"/>
      <c r="J18" s="1514"/>
      <c r="K18" s="1514"/>
      <c r="L18" s="1514"/>
      <c r="M18" s="1514"/>
      <c r="N18" s="1514"/>
      <c r="O18" s="1514"/>
      <c r="P18" s="1514"/>
      <c r="Q18" s="1514"/>
      <c r="R18" s="1514"/>
      <c r="S18" s="1514"/>
      <c r="T18" s="1514"/>
      <c r="U18" s="1514"/>
      <c r="V18" s="1514"/>
      <c r="W18" s="1514">
        <v>0</v>
      </c>
      <c r="X18" s="1193"/>
      <c r="Y18" s="1193"/>
      <c r="Z18" s="1193"/>
      <c r="AA18" s="1193"/>
      <c r="AB18" s="1193"/>
      <c r="AC18" s="1193"/>
    </row>
    <row r="19" spans="1:29" ht="15.75" customHeight="1" x14ac:dyDescent="0.3">
      <c r="A19" s="1667" t="s">
        <v>611</v>
      </c>
      <c r="B19" s="1193"/>
      <c r="C19" s="1512">
        <v>0.37389232990981619</v>
      </c>
      <c r="D19" s="1512">
        <v>0.66097273307905469</v>
      </c>
      <c r="E19" s="1512">
        <v>0</v>
      </c>
      <c r="F19" s="1512">
        <v>0.36143024081665898</v>
      </c>
      <c r="G19" s="1514"/>
      <c r="H19" s="1514"/>
      <c r="I19" s="1514"/>
      <c r="J19" s="1514"/>
      <c r="K19" s="1514"/>
      <c r="L19" s="1514"/>
      <c r="M19" s="1514"/>
      <c r="N19" s="1514"/>
      <c r="O19" s="1514"/>
      <c r="P19" s="1514"/>
      <c r="Q19" s="1514"/>
      <c r="R19" s="1514"/>
      <c r="S19" s="1514"/>
      <c r="T19" s="1514"/>
      <c r="U19" s="1514"/>
      <c r="V19" s="1514"/>
      <c r="W19" s="1514">
        <v>0</v>
      </c>
      <c r="X19" s="1193"/>
      <c r="Y19" s="1193"/>
      <c r="Z19" s="1193"/>
      <c r="AA19" s="1193"/>
      <c r="AB19" s="1193"/>
      <c r="AC19" s="1193"/>
    </row>
    <row r="20" spans="1:29" ht="15.75" customHeight="1" x14ac:dyDescent="0.3">
      <c r="A20" s="1667" t="s">
        <v>612</v>
      </c>
      <c r="B20" s="1193"/>
      <c r="C20" s="1512">
        <v>0.12910083812841694</v>
      </c>
      <c r="D20" s="1512">
        <v>0.24868278734142679</v>
      </c>
      <c r="E20" s="1512">
        <v>0</v>
      </c>
      <c r="F20" s="1512">
        <v>0.13167046987646094</v>
      </c>
      <c r="G20" s="1514"/>
      <c r="H20" s="1514"/>
      <c r="I20" s="1514"/>
      <c r="J20" s="1514"/>
      <c r="K20" s="1514"/>
      <c r="L20" s="1514"/>
      <c r="M20" s="1514"/>
      <c r="N20" s="1514"/>
      <c r="O20" s="1514"/>
      <c r="P20" s="1514"/>
      <c r="Q20" s="1514"/>
      <c r="R20" s="1514"/>
      <c r="S20" s="1514"/>
      <c r="T20" s="1514"/>
      <c r="U20" s="1514"/>
      <c r="V20" s="1514"/>
      <c r="W20" s="1514">
        <v>0</v>
      </c>
      <c r="X20" s="1193"/>
      <c r="Y20" s="1193"/>
      <c r="Z20" s="1193"/>
      <c r="AA20" s="1193"/>
      <c r="AB20" s="1193"/>
      <c r="AC20" s="1193"/>
    </row>
    <row r="21" spans="1:29" ht="15.75" customHeight="1" x14ac:dyDescent="0.3">
      <c r="A21" s="1667" t="s">
        <v>592</v>
      </c>
      <c r="B21" s="1193"/>
      <c r="C21" s="1512">
        <v>4.1725764514349136E-3</v>
      </c>
      <c r="D21" s="1512">
        <v>1.2410678382001219E-3</v>
      </c>
      <c r="E21" s="1512">
        <v>0</v>
      </c>
      <c r="F21" s="1512">
        <v>4.255627693209833E-3</v>
      </c>
      <c r="G21" s="1514"/>
      <c r="H21" s="1514"/>
      <c r="I21" s="1514"/>
      <c r="J21" s="1514"/>
      <c r="K21" s="1514"/>
      <c r="L21" s="1514"/>
      <c r="M21" s="1514"/>
      <c r="N21" s="1514"/>
      <c r="O21" s="1514"/>
      <c r="P21" s="1514"/>
      <c r="Q21" s="1514"/>
      <c r="R21" s="1514"/>
      <c r="S21" s="1514"/>
      <c r="T21" s="1514"/>
      <c r="U21" s="1514"/>
      <c r="V21" s="1514"/>
      <c r="W21" s="1514">
        <v>0</v>
      </c>
      <c r="X21" s="1193"/>
      <c r="Y21" s="1193"/>
      <c r="Z21" s="1193"/>
      <c r="AA21" s="1193"/>
      <c r="AB21" s="1193"/>
      <c r="AC21" s="1193"/>
    </row>
    <row r="22" spans="1:29" ht="15.75" customHeight="1" x14ac:dyDescent="0.3">
      <c r="A22" s="1667" t="s">
        <v>604</v>
      </c>
      <c r="B22" s="1193"/>
      <c r="C22" s="1512">
        <v>2.5363920877746998E-4</v>
      </c>
      <c r="D22" s="1512">
        <v>1.775132564800719E-4</v>
      </c>
      <c r="E22" s="1512">
        <v>0</v>
      </c>
      <c r="F22" s="1512">
        <v>2.5868766061459163E-4</v>
      </c>
      <c r="G22" s="1514"/>
      <c r="H22" s="1514"/>
      <c r="I22" s="1514"/>
      <c r="J22" s="1514"/>
      <c r="K22" s="1514"/>
      <c r="L22" s="1514"/>
      <c r="M22" s="1514"/>
      <c r="N22" s="1514"/>
      <c r="O22" s="1514"/>
      <c r="P22" s="1514"/>
      <c r="Q22" s="1514"/>
      <c r="R22" s="1514"/>
      <c r="S22" s="1514"/>
      <c r="T22" s="1514"/>
      <c r="U22" s="1514"/>
      <c r="V22" s="1514"/>
      <c r="W22" s="1514">
        <v>0</v>
      </c>
      <c r="X22" s="1193"/>
      <c r="Y22" s="1193"/>
      <c r="Z22" s="1193"/>
      <c r="AA22" s="1193"/>
      <c r="AB22" s="1193"/>
      <c r="AC22" s="1193"/>
    </row>
    <row r="23" spans="1:29" ht="15.75" customHeight="1" thickBot="1" x14ac:dyDescent="0.35">
      <c r="A23" s="1509" t="s">
        <v>590</v>
      </c>
      <c r="B23" s="383"/>
      <c r="C23" s="1513">
        <v>3.6923215966293992E-3</v>
      </c>
      <c r="D23" s="1513">
        <v>7.112400196018818E-3</v>
      </c>
      <c r="E23" s="1513">
        <v>0</v>
      </c>
      <c r="F23" s="1513">
        <v>3.7658138135370062E-3</v>
      </c>
      <c r="G23" s="1515"/>
      <c r="H23" s="1515"/>
      <c r="I23" s="1515"/>
      <c r="J23" s="1515"/>
      <c r="K23" s="1515"/>
      <c r="L23" s="1515"/>
      <c r="M23" s="1515"/>
      <c r="N23" s="1515"/>
      <c r="O23" s="1515"/>
      <c r="P23" s="1515"/>
      <c r="Q23" s="1515"/>
      <c r="R23" s="1515"/>
      <c r="S23" s="1515"/>
      <c r="T23" s="1515"/>
      <c r="U23" s="1515"/>
      <c r="V23" s="1515"/>
      <c r="W23" s="1515">
        <v>0</v>
      </c>
      <c r="X23" s="1193"/>
      <c r="Y23" s="1193"/>
      <c r="Z23" s="1193"/>
      <c r="AA23" s="1193"/>
      <c r="AB23" s="1193"/>
      <c r="AC23" s="1193"/>
    </row>
    <row r="24" spans="1:29" x14ac:dyDescent="0.3">
      <c r="A24" s="681"/>
      <c r="B24" s="1193"/>
      <c r="C24" s="1193"/>
      <c r="D24" s="1193"/>
      <c r="E24" s="1193"/>
      <c r="F24" s="1193"/>
      <c r="G24" s="1514"/>
      <c r="H24" s="1514"/>
      <c r="I24" s="1514"/>
      <c r="J24" s="1514"/>
      <c r="K24" s="1514"/>
      <c r="L24" s="1514"/>
      <c r="M24" s="1514"/>
      <c r="N24" s="1514"/>
      <c r="O24" s="1514"/>
      <c r="P24" s="1514"/>
      <c r="Q24" s="1514"/>
      <c r="R24" s="1514"/>
      <c r="S24" s="1514"/>
      <c r="T24" s="1514"/>
      <c r="U24" s="1514"/>
      <c r="V24" s="1514"/>
      <c r="W24" s="1514"/>
      <c r="X24" s="1193"/>
      <c r="Y24" s="1193"/>
      <c r="Z24" s="1193"/>
      <c r="AA24" s="1193"/>
      <c r="AB24" s="1193"/>
      <c r="AC24" s="1193"/>
    </row>
    <row r="25" spans="1:29" x14ac:dyDescent="0.3">
      <c r="A25" s="681" t="s">
        <v>47</v>
      </c>
      <c r="B25" s="1193"/>
      <c r="C25" s="1511">
        <f>SUM($C$17:$C$23)</f>
        <v>1</v>
      </c>
      <c r="D25" s="1511">
        <f>SUM($D$17:$D$23)</f>
        <v>0.99999999999999989</v>
      </c>
      <c r="E25" s="1511">
        <f>SUM($E$17:$E$23)</f>
        <v>1</v>
      </c>
      <c r="F25" s="1511">
        <f>SUM($F$17:$F$23)</f>
        <v>1</v>
      </c>
      <c r="G25" s="1514">
        <f>SUM($G$17:$G$23)</f>
        <v>0</v>
      </c>
      <c r="H25" s="1514">
        <f>SUM($H$17:$H$23)</f>
        <v>0</v>
      </c>
      <c r="I25" s="1514">
        <f>SUM($I$17:$I$23)</f>
        <v>0</v>
      </c>
      <c r="J25" s="1514">
        <f>SUM($J$17:$J$23)</f>
        <v>0</v>
      </c>
      <c r="K25" s="1514">
        <f>SUM($K$17:$K$23)</f>
        <v>0</v>
      </c>
      <c r="L25" s="1514">
        <f>SUM($L$17:$L$23)</f>
        <v>0</v>
      </c>
      <c r="M25" s="1514">
        <f>SUM($M$17:$M$23)</f>
        <v>0</v>
      </c>
      <c r="N25" s="1514">
        <f>SUM($N$17:$N$23)</f>
        <v>0</v>
      </c>
      <c r="O25" s="1514">
        <f>SUM($O$17:$O$23)</f>
        <v>0</v>
      </c>
      <c r="P25" s="1514">
        <f>SUM($P$17:$P$23)</f>
        <v>0</v>
      </c>
      <c r="Q25" s="1514">
        <f>SUM($Q$17:$Q$23)</f>
        <v>0</v>
      </c>
      <c r="R25" s="1514">
        <f>SUM($R$17:$R$23)</f>
        <v>0</v>
      </c>
      <c r="S25" s="1514">
        <f>SUM($S$17:$S$23)</f>
        <v>0</v>
      </c>
      <c r="T25" s="1514">
        <f>SUM($T$17:$T$23)</f>
        <v>0</v>
      </c>
      <c r="U25" s="1514">
        <f>SUM($U$17:$U$23)</f>
        <v>0</v>
      </c>
      <c r="V25" s="1514">
        <f>SUM($V$17:$V$23)</f>
        <v>0</v>
      </c>
      <c r="W25" s="1514">
        <f>SUM($W$17:$W$23)</f>
        <v>0</v>
      </c>
      <c r="X25" s="1193"/>
      <c r="Y25" s="1193"/>
      <c r="Z25" s="1193"/>
      <c r="AA25" s="1193"/>
      <c r="AB25" s="1193"/>
      <c r="AC25" s="1193"/>
    </row>
    <row r="26" spans="1:29" x14ac:dyDescent="0.3">
      <c r="A26" s="681"/>
      <c r="B26" s="1193"/>
      <c r="C26" s="1193"/>
      <c r="D26" s="1193"/>
      <c r="E26" s="1193"/>
      <c r="F26" s="1193"/>
      <c r="G26" s="1193"/>
      <c r="H26" s="1193"/>
      <c r="I26" s="1193"/>
      <c r="J26" s="1193"/>
      <c r="K26" s="1193"/>
      <c r="L26" s="1193"/>
      <c r="M26" s="1193"/>
      <c r="N26" s="1193"/>
      <c r="O26" s="1193"/>
      <c r="P26" s="1193"/>
      <c r="Q26" s="1193"/>
      <c r="R26" s="1193"/>
      <c r="S26" s="1193"/>
      <c r="T26" s="1193"/>
      <c r="U26" s="1193"/>
      <c r="V26" s="1193"/>
      <c r="W26" s="1193"/>
      <c r="X26" s="1193"/>
      <c r="Y26" s="1193"/>
      <c r="Z26" s="1193"/>
      <c r="AA26" s="1193"/>
      <c r="AB26" s="1193"/>
      <c r="AC26" s="1193"/>
    </row>
    <row r="27" spans="1:29" x14ac:dyDescent="0.3">
      <c r="A27" s="681"/>
      <c r="B27" s="1193"/>
      <c r="C27" s="1193"/>
      <c r="D27" s="1193"/>
      <c r="E27" s="1193"/>
      <c r="F27" s="1193"/>
      <c r="G27" s="1193"/>
      <c r="H27" s="1193"/>
      <c r="I27" s="1193"/>
      <c r="J27" s="1193"/>
      <c r="K27" s="1193"/>
      <c r="L27" s="1193"/>
      <c r="M27" s="1193"/>
      <c r="N27" s="1193"/>
      <c r="O27" s="1193"/>
      <c r="P27" s="1193"/>
      <c r="Q27" s="1193"/>
      <c r="R27" s="1193"/>
      <c r="S27" s="1193"/>
      <c r="T27" s="1193"/>
      <c r="U27" s="1193"/>
      <c r="V27" s="1193"/>
      <c r="W27" s="1193"/>
      <c r="X27" s="1193"/>
      <c r="Y27" s="1193"/>
      <c r="Z27" s="1193"/>
      <c r="AA27" s="1193"/>
      <c r="AB27" s="1193"/>
      <c r="AC27" s="1193"/>
    </row>
    <row r="28" spans="1:29" x14ac:dyDescent="0.3">
      <c r="A28" s="1510" t="s">
        <v>7337</v>
      </c>
      <c r="B28" s="1193"/>
      <c r="C28" s="1193"/>
      <c r="D28" s="1193"/>
      <c r="E28" s="1193"/>
      <c r="F28" s="1193"/>
      <c r="G28" s="1193"/>
      <c r="H28" s="1193"/>
      <c r="I28" s="1193"/>
      <c r="J28" s="1193"/>
      <c r="K28" s="1193"/>
      <c r="L28" s="1193"/>
      <c r="M28" s="1193"/>
      <c r="N28" s="1193"/>
      <c r="O28" s="1193"/>
      <c r="P28" s="1193"/>
      <c r="Q28" s="1193"/>
      <c r="R28" s="1193"/>
      <c r="S28" s="1193"/>
      <c r="T28" s="1193"/>
      <c r="U28" s="1193"/>
      <c r="V28" s="1193"/>
      <c r="W28" s="1193"/>
      <c r="X28" s="1193"/>
      <c r="Y28" s="1193"/>
      <c r="Z28" s="1193"/>
      <c r="AA28" s="1193"/>
      <c r="AB28" s="1193"/>
      <c r="AC28" s="1193"/>
    </row>
    <row r="29" spans="1:29" x14ac:dyDescent="0.3">
      <c r="A29" s="681"/>
      <c r="B29" s="1193"/>
      <c r="C29" s="1193"/>
      <c r="D29" s="1193"/>
      <c r="E29" s="1193"/>
      <c r="F29" s="1193"/>
      <c r="G29" s="1193"/>
      <c r="H29" s="1193"/>
      <c r="I29" s="1193"/>
      <c r="J29" s="1193"/>
      <c r="K29" s="1193"/>
      <c r="L29" s="1193"/>
      <c r="M29" s="1193"/>
      <c r="N29" s="1193"/>
      <c r="O29" s="1193"/>
      <c r="P29" s="1193"/>
      <c r="Q29" s="1193"/>
      <c r="R29" s="1193"/>
      <c r="S29" s="1193"/>
      <c r="T29" s="1193"/>
      <c r="U29" s="1193"/>
      <c r="V29" s="1193"/>
      <c r="W29" s="1193"/>
      <c r="X29" s="1193"/>
      <c r="Y29" s="1193"/>
      <c r="Z29" s="1193"/>
      <c r="AA29" s="1193"/>
      <c r="AB29" s="1193"/>
      <c r="AC29" s="1193"/>
    </row>
    <row r="30" spans="1:29" x14ac:dyDescent="0.3">
      <c r="A30" s="681"/>
      <c r="B30" s="1193"/>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c r="Y30" s="1193"/>
      <c r="Z30" s="1193"/>
      <c r="AA30" s="1193"/>
      <c r="AB30" s="1193"/>
      <c r="AC30" s="1193"/>
    </row>
    <row r="31" spans="1:29" x14ac:dyDescent="0.3">
      <c r="A31" s="681"/>
      <c r="B31" s="1193"/>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row>
    <row r="32" spans="1:29" x14ac:dyDescent="0.3">
      <c r="A32" s="681"/>
      <c r="B32" s="1193"/>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row>
    <row r="33" spans="1:29" x14ac:dyDescent="0.3">
      <c r="A33" s="681"/>
      <c r="B33" s="1193"/>
      <c r="C33" s="1193"/>
      <c r="D33" s="1193"/>
      <c r="E33" s="1193"/>
      <c r="F33" s="1193"/>
      <c r="G33" s="1193"/>
      <c r="H33" s="1193"/>
      <c r="I33" s="1193"/>
      <c r="J33" s="1193"/>
      <c r="K33" s="1193"/>
      <c r="L33" s="1193"/>
      <c r="M33" s="1193"/>
      <c r="N33" s="1193"/>
      <c r="O33" s="1193"/>
      <c r="P33" s="1193"/>
      <c r="Q33" s="1193"/>
      <c r="R33" s="1193"/>
      <c r="S33" s="1193"/>
      <c r="T33" s="1193"/>
      <c r="U33" s="1193"/>
      <c r="V33" s="1193"/>
      <c r="W33" s="1193"/>
      <c r="X33" s="1193"/>
      <c r="Y33" s="1193"/>
      <c r="Z33" s="1193"/>
      <c r="AA33" s="1193"/>
      <c r="AB33" s="1193"/>
      <c r="AC33" s="1193"/>
    </row>
    <row r="34" spans="1:29" x14ac:dyDescent="0.3">
      <c r="A34" s="681"/>
      <c r="B34" s="1193"/>
      <c r="C34" s="1193"/>
      <c r="D34" s="1193"/>
      <c r="E34" s="1193"/>
      <c r="F34" s="1193"/>
      <c r="G34" s="1193"/>
      <c r="H34" s="1193"/>
      <c r="I34" s="1193"/>
      <c r="J34" s="1193"/>
      <c r="K34" s="1193"/>
      <c r="L34" s="1193"/>
      <c r="M34" s="1193"/>
      <c r="N34" s="1193"/>
      <c r="O34" s="1193"/>
      <c r="P34" s="1193"/>
      <c r="Q34" s="1193"/>
      <c r="R34" s="1193"/>
      <c r="S34" s="1193"/>
      <c r="T34" s="1193"/>
      <c r="U34" s="1193"/>
      <c r="V34" s="1193"/>
      <c r="W34" s="1193"/>
      <c r="X34" s="1193"/>
      <c r="Y34" s="1193"/>
      <c r="Z34" s="1193"/>
      <c r="AA34" s="1193"/>
      <c r="AB34" s="1193"/>
      <c r="AC34" s="1193"/>
    </row>
    <row r="35" spans="1:29" x14ac:dyDescent="0.3">
      <c r="A35" s="681"/>
      <c r="B35" s="1193"/>
      <c r="C35" s="1193"/>
      <c r="D35" s="1193"/>
      <c r="E35" s="1193"/>
      <c r="F35" s="1193"/>
      <c r="G35" s="1193"/>
      <c r="H35" s="1193"/>
      <c r="I35" s="1193"/>
      <c r="J35" s="1193"/>
      <c r="K35" s="1193"/>
      <c r="L35" s="1193"/>
      <c r="M35" s="1193"/>
      <c r="N35" s="1193"/>
      <c r="O35" s="1193"/>
      <c r="P35" s="1193"/>
      <c r="Q35" s="1193"/>
      <c r="R35" s="1193"/>
      <c r="S35" s="1193"/>
      <c r="T35" s="1193"/>
      <c r="U35" s="1193"/>
      <c r="V35" s="1193"/>
      <c r="W35" s="1193"/>
      <c r="X35" s="1193"/>
      <c r="Y35" s="1193"/>
      <c r="Z35" s="1193"/>
      <c r="AA35" s="1193"/>
      <c r="AB35" s="1193"/>
      <c r="AC35" s="1193"/>
    </row>
    <row r="36" spans="1:29" x14ac:dyDescent="0.3">
      <c r="A36" s="681"/>
      <c r="B36" s="1193"/>
      <c r="C36" s="1193"/>
      <c r="D36" s="1193"/>
      <c r="E36" s="1193"/>
      <c r="F36" s="1193"/>
      <c r="G36" s="1193"/>
      <c r="H36" s="1193"/>
      <c r="I36" s="1193"/>
      <c r="J36" s="1193"/>
      <c r="K36" s="1193"/>
      <c r="L36" s="1193"/>
      <c r="M36" s="1193"/>
      <c r="N36" s="1193"/>
      <c r="O36" s="1193"/>
      <c r="P36" s="1193"/>
      <c r="Q36" s="1193"/>
      <c r="R36" s="1193"/>
      <c r="S36" s="1193"/>
      <c r="T36" s="1193"/>
      <c r="U36" s="1193"/>
      <c r="V36" s="1193"/>
      <c r="W36" s="1193"/>
      <c r="X36" s="1193"/>
      <c r="Y36" s="1193"/>
      <c r="Z36" s="1193"/>
      <c r="AA36" s="1193"/>
      <c r="AB36" s="1193"/>
      <c r="AC36" s="1193"/>
    </row>
    <row r="37" spans="1:29" x14ac:dyDescent="0.3">
      <c r="A37" s="681"/>
      <c r="B37" s="1193"/>
      <c r="C37" s="1193"/>
      <c r="D37" s="1193"/>
      <c r="E37" s="1193"/>
      <c r="F37" s="1193"/>
      <c r="G37" s="1193"/>
      <c r="H37" s="1193"/>
      <c r="I37" s="1193"/>
      <c r="J37" s="1193"/>
      <c r="K37" s="1193"/>
      <c r="L37" s="1193"/>
      <c r="M37" s="1193"/>
      <c r="N37" s="1193"/>
      <c r="O37" s="1193"/>
      <c r="P37" s="1193"/>
      <c r="Q37" s="1193"/>
      <c r="R37" s="1193"/>
      <c r="S37" s="1193"/>
      <c r="T37" s="1193"/>
      <c r="U37" s="1193"/>
      <c r="V37" s="1193"/>
      <c r="W37" s="1193"/>
      <c r="X37" s="1193"/>
      <c r="Y37" s="1193"/>
      <c r="Z37" s="1193"/>
      <c r="AA37" s="1193"/>
      <c r="AB37" s="1193"/>
      <c r="AC37" s="1193"/>
    </row>
    <row r="38" spans="1:29" x14ac:dyDescent="0.3">
      <c r="A38" s="681"/>
      <c r="B38" s="1193"/>
      <c r="C38" s="1193"/>
      <c r="D38" s="1193"/>
      <c r="E38" s="1193"/>
      <c r="F38" s="1193"/>
      <c r="G38" s="1193"/>
      <c r="H38" s="1193"/>
      <c r="I38" s="1193"/>
      <c r="J38" s="1193"/>
      <c r="K38" s="1193"/>
      <c r="L38" s="1193"/>
      <c r="M38" s="1193"/>
      <c r="N38" s="1193"/>
      <c r="O38" s="1193"/>
      <c r="P38" s="1193"/>
      <c r="Q38" s="1193"/>
      <c r="R38" s="1193"/>
      <c r="S38" s="1193"/>
      <c r="T38" s="1193"/>
      <c r="U38" s="1193"/>
      <c r="V38" s="1193"/>
      <c r="W38" s="1193"/>
      <c r="X38" s="1193"/>
      <c r="Y38" s="1193"/>
      <c r="Z38" s="1193"/>
      <c r="AA38" s="1193"/>
      <c r="AB38" s="1193"/>
      <c r="AC38" s="1193"/>
    </row>
    <row r="39" spans="1:29" x14ac:dyDescent="0.3">
      <c r="A39" s="681"/>
      <c r="B39" s="1193"/>
      <c r="C39" s="1193"/>
      <c r="D39" s="1193"/>
      <c r="E39" s="1193"/>
      <c r="F39" s="1193"/>
      <c r="G39" s="1193"/>
      <c r="H39" s="1193"/>
      <c r="I39" s="1193"/>
      <c r="J39" s="1193"/>
      <c r="K39" s="1193"/>
      <c r="L39" s="1193"/>
      <c r="M39" s="1193"/>
      <c r="N39" s="1193"/>
      <c r="O39" s="1193"/>
      <c r="P39" s="1193"/>
      <c r="Q39" s="1193"/>
      <c r="R39" s="1193"/>
      <c r="S39" s="1193"/>
      <c r="T39" s="1193"/>
      <c r="U39" s="1193"/>
      <c r="V39" s="1193"/>
      <c r="W39" s="1193"/>
      <c r="X39" s="1193"/>
      <c r="Y39" s="1193"/>
      <c r="Z39" s="1193"/>
      <c r="AA39" s="1193"/>
      <c r="AB39" s="1193"/>
      <c r="AC39" s="1193"/>
    </row>
    <row r="40" spans="1:29" x14ac:dyDescent="0.3">
      <c r="A40" s="681"/>
      <c r="B40" s="1193"/>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3"/>
      <c r="Y40" s="1193"/>
      <c r="Z40" s="1193"/>
      <c r="AA40" s="1193"/>
      <c r="AB40" s="1193"/>
      <c r="AC40" s="1193"/>
    </row>
    <row r="41" spans="1:29" x14ac:dyDescent="0.3">
      <c r="A41" s="681"/>
      <c r="B41" s="1193"/>
      <c r="C41" s="1193"/>
      <c r="D41" s="1193"/>
      <c r="E41" s="1193"/>
      <c r="F41" s="1193"/>
      <c r="G41" s="1193"/>
      <c r="H41" s="1193"/>
      <c r="I41" s="1193"/>
      <c r="J41" s="1193"/>
      <c r="K41" s="1193"/>
      <c r="L41" s="1193"/>
      <c r="M41" s="1193"/>
      <c r="N41" s="1193"/>
      <c r="O41" s="1193"/>
      <c r="P41" s="1193"/>
      <c r="Q41" s="1193"/>
      <c r="R41" s="1193"/>
      <c r="S41" s="1193"/>
      <c r="T41" s="1193"/>
      <c r="U41" s="1193"/>
      <c r="V41" s="1193"/>
      <c r="W41" s="1193"/>
      <c r="X41" s="1193"/>
      <c r="Y41" s="1193"/>
      <c r="Z41" s="1193"/>
      <c r="AA41" s="1193"/>
      <c r="AB41" s="1193"/>
      <c r="AC41" s="1193"/>
    </row>
    <row r="42" spans="1:29" x14ac:dyDescent="0.3">
      <c r="A42" s="681"/>
      <c r="B42" s="1193"/>
      <c r="C42" s="1193"/>
      <c r="D42" s="1193"/>
      <c r="E42" s="1193"/>
      <c r="F42" s="1193"/>
      <c r="G42" s="1193"/>
      <c r="H42" s="1193"/>
      <c r="I42" s="1193"/>
      <c r="J42" s="1193"/>
      <c r="K42" s="1193"/>
      <c r="L42" s="1193"/>
      <c r="M42" s="1193"/>
      <c r="N42" s="1193"/>
      <c r="O42" s="1193"/>
      <c r="P42" s="1193"/>
      <c r="Q42" s="1193"/>
      <c r="R42" s="1193"/>
      <c r="S42" s="1193"/>
      <c r="T42" s="1193"/>
      <c r="U42" s="1193"/>
      <c r="V42" s="1193"/>
      <c r="W42" s="1193"/>
      <c r="X42" s="1193"/>
      <c r="Y42" s="1193"/>
      <c r="Z42" s="1193"/>
      <c r="AA42" s="1193"/>
      <c r="AB42" s="1193"/>
      <c r="AC42" s="1193"/>
    </row>
    <row r="43" spans="1:29" x14ac:dyDescent="0.3">
      <c r="A43" s="681"/>
      <c r="B43" s="1193"/>
      <c r="C43" s="1193"/>
      <c r="D43" s="1193"/>
      <c r="E43" s="1193"/>
      <c r="F43" s="1193"/>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row>
    <row r="44" spans="1:29" x14ac:dyDescent="0.3">
      <c r="A44" s="681"/>
      <c r="B44" s="1193"/>
      <c r="C44" s="1193"/>
      <c r="D44" s="1193"/>
      <c r="E44" s="1193"/>
      <c r="F44" s="1193"/>
      <c r="G44" s="1193"/>
      <c r="H44" s="1193"/>
      <c r="I44" s="1193"/>
      <c r="J44" s="1193"/>
      <c r="K44" s="1193"/>
      <c r="L44" s="1193"/>
      <c r="M44" s="1193"/>
      <c r="N44" s="1193"/>
      <c r="O44" s="1193"/>
      <c r="P44" s="1193"/>
      <c r="Q44" s="1193"/>
      <c r="R44" s="1193"/>
      <c r="S44" s="1193"/>
      <c r="T44" s="1193"/>
      <c r="U44" s="1193"/>
      <c r="V44" s="1193"/>
      <c r="W44" s="1193"/>
      <c r="X44" s="1193"/>
      <c r="Y44" s="1193"/>
      <c r="Z44" s="1193"/>
      <c r="AA44" s="1193"/>
      <c r="AB44" s="1193"/>
      <c r="AC44" s="1193"/>
    </row>
    <row r="45" spans="1:29" x14ac:dyDescent="0.3">
      <c r="A45" s="681"/>
      <c r="B45" s="1193"/>
      <c r="C45" s="1193"/>
      <c r="D45" s="1193"/>
      <c r="E45" s="1193"/>
      <c r="F45" s="1193"/>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row>
    <row r="46" spans="1:29" x14ac:dyDescent="0.3">
      <c r="A46" s="681"/>
      <c r="B46" s="1193"/>
      <c r="C46" s="1193"/>
      <c r="D46" s="1193"/>
      <c r="E46" s="1193"/>
      <c r="F46" s="1193"/>
      <c r="G46" s="1193"/>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row>
    <row r="47" spans="1:29" x14ac:dyDescent="0.3">
      <c r="A47" s="681"/>
      <c r="B47" s="1193"/>
      <c r="C47" s="1193"/>
      <c r="D47" s="1193"/>
      <c r="E47" s="1193"/>
      <c r="F47" s="1193"/>
      <c r="G47" s="1193"/>
      <c r="H47" s="1193"/>
      <c r="I47" s="1193"/>
      <c r="J47" s="1193"/>
      <c r="K47" s="1193"/>
      <c r="L47" s="1193"/>
      <c r="M47" s="1193"/>
      <c r="N47" s="1193"/>
      <c r="O47" s="1193"/>
      <c r="P47" s="1193"/>
      <c r="Q47" s="1193"/>
      <c r="R47" s="1193"/>
      <c r="S47" s="1193"/>
      <c r="T47" s="1193"/>
      <c r="U47" s="1193"/>
      <c r="V47" s="1193"/>
      <c r="W47" s="1193"/>
      <c r="X47" s="1193"/>
      <c r="Y47" s="1193"/>
      <c r="Z47" s="1193"/>
      <c r="AA47" s="1193"/>
      <c r="AB47" s="1193"/>
      <c r="AC47" s="1193"/>
    </row>
    <row r="48" spans="1:29" x14ac:dyDescent="0.3">
      <c r="A48" s="681"/>
      <c r="B48" s="1193"/>
      <c r="C48" s="1193"/>
      <c r="D48" s="1193"/>
      <c r="E48" s="1193"/>
      <c r="F48" s="1193"/>
      <c r="G48" s="1193"/>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row>
    <row r="49" spans="1:29" x14ac:dyDescent="0.3">
      <c r="A49" s="681"/>
      <c r="B49" s="1193"/>
      <c r="C49" s="1193"/>
      <c r="D49" s="1193"/>
      <c r="E49" s="1193"/>
      <c r="F49" s="1193"/>
      <c r="G49" s="1193"/>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row>
    <row r="50" spans="1:29" x14ac:dyDescent="0.3">
      <c r="A50" s="681"/>
      <c r="B50" s="1193"/>
      <c r="C50" s="1193"/>
      <c r="D50" s="1193"/>
      <c r="E50" s="1193"/>
      <c r="F50" s="1193"/>
      <c r="G50" s="1193"/>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row>
    <row r="51" spans="1:29" x14ac:dyDescent="0.3">
      <c r="A51" s="681"/>
      <c r="B51" s="1193"/>
      <c r="C51" s="1193"/>
      <c r="D51" s="1193"/>
      <c r="E51" s="1193"/>
      <c r="F51" s="1193"/>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row>
    <row r="52" spans="1:29" x14ac:dyDescent="0.3">
      <c r="A52" s="681"/>
      <c r="B52" s="1193"/>
      <c r="C52" s="1193"/>
      <c r="D52" s="1193"/>
      <c r="E52" s="1193"/>
      <c r="F52" s="1193"/>
      <c r="G52" s="1193"/>
      <c r="H52" s="1193"/>
      <c r="I52" s="1193"/>
      <c r="J52" s="1193"/>
      <c r="K52" s="1193"/>
      <c r="L52" s="1193"/>
      <c r="M52" s="1193"/>
      <c r="N52" s="1193"/>
      <c r="O52" s="1193"/>
      <c r="P52" s="1193"/>
      <c r="Q52" s="1193"/>
      <c r="R52" s="1193"/>
      <c r="S52" s="1193"/>
      <c r="T52" s="1193"/>
      <c r="U52" s="1193"/>
      <c r="V52" s="1193"/>
      <c r="W52" s="1193"/>
      <c r="X52" s="1193"/>
      <c r="Y52" s="1193"/>
      <c r="Z52" s="1193"/>
      <c r="AA52" s="1193"/>
      <c r="AB52" s="1193"/>
      <c r="AC52" s="1193"/>
    </row>
    <row r="53" spans="1:29" x14ac:dyDescent="0.3">
      <c r="A53" s="681"/>
      <c r="B53" s="1193"/>
      <c r="C53" s="1193"/>
      <c r="D53" s="1193"/>
      <c r="E53" s="1193"/>
      <c r="F53" s="1193"/>
      <c r="G53" s="1193"/>
      <c r="H53" s="1193"/>
      <c r="I53" s="1193"/>
      <c r="J53" s="1193"/>
      <c r="K53" s="1193"/>
      <c r="L53" s="1193"/>
      <c r="M53" s="1193"/>
      <c r="N53" s="1193"/>
      <c r="O53" s="1193"/>
      <c r="P53" s="1193"/>
      <c r="Q53" s="1193"/>
      <c r="R53" s="1193"/>
      <c r="S53" s="1193"/>
      <c r="T53" s="1193"/>
      <c r="U53" s="1193"/>
      <c r="V53" s="1193"/>
      <c r="W53" s="1193"/>
      <c r="X53" s="1193"/>
      <c r="Y53" s="1193"/>
      <c r="Z53" s="1193"/>
      <c r="AA53" s="1193"/>
      <c r="AB53" s="1193"/>
      <c r="AC53" s="1193"/>
    </row>
    <row r="54" spans="1:29" x14ac:dyDescent="0.3">
      <c r="A54" s="681"/>
      <c r="B54" s="1193"/>
      <c r="C54" s="1193"/>
      <c r="D54" s="1193"/>
      <c r="E54" s="1193"/>
      <c r="F54" s="1193"/>
      <c r="G54" s="1193"/>
      <c r="H54" s="1193"/>
      <c r="I54" s="1193"/>
      <c r="J54" s="1193"/>
      <c r="K54" s="1193"/>
      <c r="L54" s="1193"/>
      <c r="M54" s="1193"/>
      <c r="N54" s="1193"/>
      <c r="O54" s="1193"/>
      <c r="P54" s="1193"/>
      <c r="Q54" s="1193"/>
      <c r="R54" s="1193"/>
      <c r="S54" s="1193"/>
      <c r="T54" s="1193"/>
      <c r="U54" s="1193"/>
      <c r="V54" s="1193"/>
      <c r="W54" s="1193"/>
      <c r="X54" s="1193"/>
      <c r="Y54" s="1193"/>
      <c r="Z54" s="1193"/>
      <c r="AA54" s="1193"/>
      <c r="AB54" s="1193"/>
      <c r="AC54" s="1193"/>
    </row>
    <row r="55" spans="1:29" x14ac:dyDescent="0.3">
      <c r="A55" s="681"/>
      <c r="B55" s="1193"/>
      <c r="C55" s="1193"/>
      <c r="D55" s="1193"/>
      <c r="E55" s="1193"/>
      <c r="F55" s="1193"/>
      <c r="G55" s="1193"/>
      <c r="H55" s="1193"/>
      <c r="I55" s="1193"/>
      <c r="J55" s="1193"/>
      <c r="K55" s="1193"/>
      <c r="L55" s="1193"/>
      <c r="M55" s="1193"/>
      <c r="N55" s="1193"/>
      <c r="O55" s="1193"/>
      <c r="P55" s="1193"/>
      <c r="Q55" s="1193"/>
      <c r="R55" s="1193"/>
      <c r="S55" s="1193"/>
      <c r="T55" s="1193"/>
      <c r="U55" s="1193"/>
      <c r="V55" s="1193"/>
      <c r="W55" s="1193"/>
      <c r="X55" s="1193"/>
      <c r="Y55" s="1193"/>
      <c r="Z55" s="1193"/>
      <c r="AA55" s="1193"/>
      <c r="AB55" s="1193"/>
      <c r="AC55" s="1193"/>
    </row>
    <row r="56" spans="1:29" x14ac:dyDescent="0.3">
      <c r="A56" s="681"/>
      <c r="B56" s="1193"/>
      <c r="C56" s="1193"/>
      <c r="D56" s="1193"/>
      <c r="E56" s="1193"/>
      <c r="F56" s="1193"/>
      <c r="G56" s="1193"/>
      <c r="H56" s="1193"/>
      <c r="I56" s="1193"/>
      <c r="J56" s="1193"/>
      <c r="K56" s="1193"/>
      <c r="L56" s="1193"/>
      <c r="M56" s="1193"/>
      <c r="N56" s="1193"/>
      <c r="O56" s="1193"/>
      <c r="P56" s="1193"/>
      <c r="Q56" s="1193"/>
      <c r="R56" s="1193"/>
      <c r="S56" s="1193"/>
      <c r="T56" s="1193"/>
      <c r="U56" s="1193"/>
      <c r="V56" s="1193"/>
      <c r="W56" s="1193"/>
      <c r="X56" s="1193"/>
      <c r="Y56" s="1193"/>
      <c r="Z56" s="1193"/>
      <c r="AA56" s="1193"/>
      <c r="AB56" s="1193"/>
      <c r="AC56" s="1193"/>
    </row>
    <row r="57" spans="1:29" x14ac:dyDescent="0.3">
      <c r="A57" s="681"/>
      <c r="B57" s="1193"/>
      <c r="C57" s="1193"/>
      <c r="D57" s="1193"/>
      <c r="E57" s="1193"/>
      <c r="F57" s="1193"/>
      <c r="G57" s="1193"/>
      <c r="H57" s="1193"/>
      <c r="I57" s="1193"/>
      <c r="J57" s="1193"/>
      <c r="K57" s="1193"/>
      <c r="L57" s="1193"/>
      <c r="M57" s="1193"/>
      <c r="N57" s="1193"/>
      <c r="O57" s="1193"/>
      <c r="P57" s="1193"/>
      <c r="Q57" s="1193"/>
      <c r="R57" s="1193"/>
      <c r="S57" s="1193"/>
      <c r="T57" s="1193"/>
      <c r="U57" s="1193"/>
      <c r="V57" s="1193"/>
      <c r="W57" s="1193"/>
      <c r="X57" s="1193"/>
      <c r="Y57" s="1193"/>
      <c r="Z57" s="1193"/>
      <c r="AA57" s="1193"/>
      <c r="AB57" s="1193"/>
      <c r="AC57" s="1193"/>
    </row>
    <row r="58" spans="1:29" x14ac:dyDescent="0.3">
      <c r="A58" s="681"/>
      <c r="B58" s="1193"/>
      <c r="C58" s="1193"/>
      <c r="D58" s="1193"/>
      <c r="E58" s="1193"/>
      <c r="F58" s="1193"/>
      <c r="G58" s="1193"/>
      <c r="H58" s="1193"/>
      <c r="I58" s="1193"/>
      <c r="J58" s="1193"/>
      <c r="K58" s="1193"/>
      <c r="L58" s="1193"/>
      <c r="M58" s="1193"/>
      <c r="N58" s="1193"/>
      <c r="O58" s="1193"/>
      <c r="P58" s="1193"/>
      <c r="Q58" s="1193"/>
      <c r="R58" s="1193"/>
      <c r="S58" s="1193"/>
      <c r="T58" s="1193"/>
      <c r="U58" s="1193"/>
      <c r="V58" s="1193"/>
      <c r="W58" s="1193"/>
      <c r="X58" s="1193"/>
      <c r="Y58" s="1193"/>
      <c r="Z58" s="1193"/>
      <c r="AA58" s="1193"/>
      <c r="AB58" s="1193"/>
      <c r="AC58" s="1193"/>
    </row>
    <row r="59" spans="1:29" x14ac:dyDescent="0.3">
      <c r="A59" s="681"/>
      <c r="B59" s="1193"/>
      <c r="C59" s="1193"/>
      <c r="D59" s="1193"/>
      <c r="E59" s="1193"/>
      <c r="F59" s="1193"/>
      <c r="G59" s="1193"/>
      <c r="H59" s="1193"/>
      <c r="I59" s="1193"/>
      <c r="J59" s="1193"/>
      <c r="K59" s="1193"/>
      <c r="L59" s="1193"/>
      <c r="M59" s="1193"/>
      <c r="N59" s="1193"/>
      <c r="O59" s="1193"/>
      <c r="P59" s="1193"/>
      <c r="Q59" s="1193"/>
      <c r="R59" s="1193"/>
      <c r="S59" s="1193"/>
      <c r="T59" s="1193"/>
      <c r="U59" s="1193"/>
      <c r="V59" s="1193"/>
      <c r="W59" s="1193"/>
      <c r="X59" s="1193"/>
      <c r="Y59" s="1193"/>
      <c r="Z59" s="1193"/>
      <c r="AA59" s="1193"/>
      <c r="AB59" s="1193"/>
      <c r="AC59" s="1193"/>
    </row>
    <row r="60" spans="1:29" x14ac:dyDescent="0.3">
      <c r="A60" s="681"/>
      <c r="B60" s="1193"/>
      <c r="C60" s="1193"/>
      <c r="D60" s="1193"/>
      <c r="E60" s="1193"/>
      <c r="F60" s="1193"/>
      <c r="G60" s="1193"/>
      <c r="H60" s="1193"/>
      <c r="I60" s="1193"/>
      <c r="J60" s="1193"/>
      <c r="K60" s="1193"/>
      <c r="L60" s="1193"/>
      <c r="M60" s="1193"/>
      <c r="N60" s="1193"/>
      <c r="O60" s="1193"/>
      <c r="P60" s="1193"/>
      <c r="Q60" s="1193"/>
      <c r="R60" s="1193"/>
      <c r="S60" s="1193"/>
      <c r="T60" s="1193"/>
      <c r="U60" s="1193"/>
      <c r="V60" s="1193"/>
      <c r="W60" s="1193"/>
      <c r="X60" s="1193"/>
      <c r="Y60" s="1193"/>
      <c r="Z60" s="1193"/>
      <c r="AA60" s="1193"/>
      <c r="AB60" s="1193"/>
      <c r="AC60" s="1193"/>
    </row>
    <row r="61" spans="1:29" x14ac:dyDescent="0.3">
      <c r="A61" s="681"/>
      <c r="B61" s="1193"/>
      <c r="C61" s="1193"/>
      <c r="D61" s="1193"/>
      <c r="E61" s="1193"/>
      <c r="F61" s="1193"/>
      <c r="G61" s="1193"/>
      <c r="H61" s="1193"/>
      <c r="I61" s="1193"/>
      <c r="J61" s="1193"/>
      <c r="K61" s="1193"/>
      <c r="L61" s="1193"/>
      <c r="M61" s="1193"/>
      <c r="N61" s="1193"/>
      <c r="O61" s="1193"/>
      <c r="P61" s="1193"/>
      <c r="Q61" s="1193"/>
      <c r="R61" s="1193"/>
      <c r="S61" s="1193"/>
      <c r="T61" s="1193"/>
      <c r="U61" s="1193"/>
      <c r="V61" s="1193"/>
      <c r="W61" s="1193"/>
      <c r="X61" s="1193"/>
      <c r="Y61" s="1193"/>
      <c r="Z61" s="1193"/>
      <c r="AA61" s="1193"/>
      <c r="AB61" s="1193"/>
      <c r="AC61" s="1193"/>
    </row>
    <row r="62" spans="1:29" x14ac:dyDescent="0.3">
      <c r="A62" s="681"/>
      <c r="B62" s="1193"/>
      <c r="C62" s="1193"/>
      <c r="D62" s="1193"/>
      <c r="E62" s="1193"/>
      <c r="F62" s="1193"/>
      <c r="G62" s="1193"/>
      <c r="H62" s="1193"/>
      <c r="I62" s="1193"/>
      <c r="J62" s="1193"/>
      <c r="K62" s="1193"/>
      <c r="L62" s="1193"/>
      <c r="M62" s="1193"/>
      <c r="N62" s="1193"/>
      <c r="O62" s="1193"/>
      <c r="P62" s="1193"/>
      <c r="Q62" s="1193"/>
      <c r="R62" s="1193"/>
      <c r="S62" s="1193"/>
      <c r="T62" s="1193"/>
      <c r="U62" s="1193"/>
      <c r="V62" s="1193"/>
      <c r="W62" s="1193"/>
      <c r="X62" s="1193"/>
      <c r="Y62" s="1193"/>
      <c r="Z62" s="1193"/>
      <c r="AA62" s="1193"/>
      <c r="AB62" s="1193"/>
      <c r="AC62" s="1193"/>
    </row>
    <row r="63" spans="1:29" x14ac:dyDescent="0.3">
      <c r="A63" s="681"/>
      <c r="B63" s="1193"/>
      <c r="C63" s="1193"/>
      <c r="D63" s="1193"/>
      <c r="E63" s="1193"/>
      <c r="F63" s="1193"/>
      <c r="G63" s="1193"/>
      <c r="H63" s="1193"/>
      <c r="I63" s="1193"/>
      <c r="J63" s="1193"/>
      <c r="K63" s="1193"/>
      <c r="L63" s="1193"/>
      <c r="M63" s="1193"/>
      <c r="N63" s="1193"/>
      <c r="O63" s="1193"/>
      <c r="P63" s="1193"/>
      <c r="Q63" s="1193"/>
      <c r="R63" s="1193"/>
      <c r="S63" s="1193"/>
      <c r="T63" s="1193"/>
      <c r="U63" s="1193"/>
      <c r="V63" s="1193"/>
      <c r="W63" s="1193"/>
      <c r="X63" s="1193"/>
      <c r="Y63" s="1193"/>
      <c r="Z63" s="1193"/>
      <c r="AA63" s="1193"/>
      <c r="AB63" s="1193"/>
      <c r="AC63" s="1193"/>
    </row>
    <row r="64" spans="1:29" x14ac:dyDescent="0.3">
      <c r="A64" s="681"/>
      <c r="B64" s="1193"/>
      <c r="C64" s="1193"/>
      <c r="D64" s="1193"/>
      <c r="E64" s="1193"/>
      <c r="F64" s="1193"/>
      <c r="G64" s="1193"/>
      <c r="H64" s="1193"/>
      <c r="I64" s="1193"/>
      <c r="J64" s="1193"/>
      <c r="K64" s="1193"/>
      <c r="L64" s="1193"/>
      <c r="M64" s="1193"/>
      <c r="N64" s="1193"/>
      <c r="O64" s="1193"/>
      <c r="P64" s="1193"/>
      <c r="Q64" s="1193"/>
      <c r="R64" s="1193"/>
      <c r="S64" s="1193"/>
      <c r="T64" s="1193"/>
      <c r="U64" s="1193"/>
      <c r="V64" s="1193"/>
      <c r="W64" s="1193"/>
      <c r="X64" s="1193"/>
      <c r="Y64" s="1193"/>
      <c r="Z64" s="1193"/>
      <c r="AA64" s="1193"/>
      <c r="AB64" s="1193"/>
      <c r="AC64" s="1193"/>
    </row>
    <row r="65" spans="1:29" x14ac:dyDescent="0.3">
      <c r="A65" s="681"/>
      <c r="B65" s="1193"/>
      <c r="C65" s="1193"/>
      <c r="D65" s="1193"/>
      <c r="E65" s="1193"/>
      <c r="F65" s="1193"/>
      <c r="G65" s="1193"/>
      <c r="H65" s="1193"/>
      <c r="I65" s="1193"/>
      <c r="J65" s="1193"/>
      <c r="K65" s="1193"/>
      <c r="L65" s="1193"/>
      <c r="M65" s="1193"/>
      <c r="N65" s="1193"/>
      <c r="O65" s="1193"/>
      <c r="P65" s="1193"/>
      <c r="Q65" s="1193"/>
      <c r="R65" s="1193"/>
      <c r="S65" s="1193"/>
      <c r="T65" s="1193"/>
      <c r="U65" s="1193"/>
      <c r="V65" s="1193"/>
      <c r="W65" s="1193"/>
      <c r="X65" s="1193"/>
      <c r="Y65" s="1193"/>
      <c r="Z65" s="1193"/>
      <c r="AA65" s="1193"/>
      <c r="AB65" s="1193"/>
      <c r="AC65" s="1193"/>
    </row>
    <row r="66" spans="1:29" x14ac:dyDescent="0.3">
      <c r="A66" s="681"/>
      <c r="B66" s="1193"/>
      <c r="C66" s="1193"/>
      <c r="D66" s="1193"/>
      <c r="E66" s="1193"/>
      <c r="F66" s="1193"/>
      <c r="G66" s="1193"/>
      <c r="H66" s="1193"/>
      <c r="I66" s="1193"/>
      <c r="J66" s="1193"/>
      <c r="K66" s="1193"/>
      <c r="L66" s="1193"/>
      <c r="M66" s="1193"/>
      <c r="N66" s="1193"/>
      <c r="O66" s="1193"/>
      <c r="P66" s="1193"/>
      <c r="Q66" s="1193"/>
      <c r="R66" s="1193"/>
      <c r="S66" s="1193"/>
      <c r="T66" s="1193"/>
      <c r="U66" s="1193"/>
      <c r="V66" s="1193"/>
      <c r="W66" s="1193"/>
      <c r="X66" s="1193"/>
      <c r="Y66" s="1193"/>
      <c r="Z66" s="1193"/>
      <c r="AA66" s="1193"/>
      <c r="AB66" s="1193"/>
      <c r="AC66" s="1193"/>
    </row>
    <row r="67" spans="1:29" x14ac:dyDescent="0.3">
      <c r="A67" s="681"/>
      <c r="B67" s="1193"/>
      <c r="C67" s="1193"/>
      <c r="D67" s="1193"/>
      <c r="E67" s="1193"/>
      <c r="F67" s="1193"/>
      <c r="G67" s="1193"/>
      <c r="H67" s="1193"/>
      <c r="I67" s="1193"/>
      <c r="J67" s="1193"/>
      <c r="K67" s="1193"/>
      <c r="L67" s="1193"/>
      <c r="M67" s="1193"/>
      <c r="N67" s="1193"/>
      <c r="O67" s="1193"/>
      <c r="P67" s="1193"/>
      <c r="Q67" s="1193"/>
      <c r="R67" s="1193"/>
      <c r="S67" s="1193"/>
      <c r="T67" s="1193"/>
      <c r="U67" s="1193"/>
      <c r="V67" s="1193"/>
      <c r="W67" s="1193"/>
      <c r="X67" s="1193"/>
      <c r="Y67" s="1193"/>
      <c r="Z67" s="1193"/>
      <c r="AA67" s="1193"/>
      <c r="AB67" s="1193"/>
      <c r="AC67" s="1193"/>
    </row>
    <row r="68" spans="1:29" x14ac:dyDescent="0.3">
      <c r="A68" s="681"/>
      <c r="B68" s="1193"/>
      <c r="C68" s="1193"/>
      <c r="D68" s="1193"/>
      <c r="E68" s="1193"/>
      <c r="F68" s="1193"/>
      <c r="G68" s="1193"/>
      <c r="H68" s="1193"/>
      <c r="I68" s="1193"/>
      <c r="J68" s="1193"/>
      <c r="K68" s="1193"/>
      <c r="L68" s="1193"/>
      <c r="M68" s="1193"/>
      <c r="N68" s="1193"/>
      <c r="O68" s="1193"/>
      <c r="P68" s="1193"/>
      <c r="Q68" s="1193"/>
      <c r="R68" s="1193"/>
      <c r="S68" s="1193"/>
      <c r="T68" s="1193"/>
      <c r="U68" s="1193"/>
      <c r="V68" s="1193"/>
      <c r="W68" s="1193"/>
      <c r="X68" s="1193"/>
      <c r="Y68" s="1193"/>
      <c r="Z68" s="1193"/>
      <c r="AA68" s="1193"/>
      <c r="AB68" s="1193"/>
      <c r="AC68" s="1193"/>
    </row>
    <row r="69" spans="1:29" x14ac:dyDescent="0.3">
      <c r="A69" s="681"/>
      <c r="B69" s="1193"/>
      <c r="C69" s="1193"/>
      <c r="D69" s="1193"/>
      <c r="E69" s="1193"/>
      <c r="F69" s="1193"/>
      <c r="G69" s="1193"/>
      <c r="H69" s="1193"/>
      <c r="I69" s="1193"/>
      <c r="J69" s="1193"/>
      <c r="K69" s="1193"/>
      <c r="L69" s="1193"/>
      <c r="M69" s="1193"/>
      <c r="N69" s="1193"/>
      <c r="O69" s="1193"/>
      <c r="P69" s="1193"/>
      <c r="Q69" s="1193"/>
      <c r="R69" s="1193"/>
      <c r="S69" s="1193"/>
      <c r="T69" s="1193"/>
      <c r="U69" s="1193"/>
      <c r="V69" s="1193"/>
      <c r="W69" s="1193"/>
      <c r="X69" s="1193"/>
      <c r="Y69" s="1193"/>
      <c r="Z69" s="1193"/>
      <c r="AA69" s="1193"/>
      <c r="AB69" s="1193"/>
      <c r="AC69" s="1193"/>
    </row>
    <row r="70" spans="1:29" x14ac:dyDescent="0.3">
      <c r="A70" s="681"/>
      <c r="B70" s="1193"/>
      <c r="C70" s="1193"/>
      <c r="D70" s="1193"/>
      <c r="E70" s="1193"/>
      <c r="F70" s="1193"/>
      <c r="G70" s="1193"/>
      <c r="H70" s="1193"/>
      <c r="I70" s="1193"/>
      <c r="J70" s="1193"/>
      <c r="K70" s="1193"/>
      <c r="L70" s="1193"/>
      <c r="M70" s="1193"/>
      <c r="N70" s="1193"/>
      <c r="O70" s="1193"/>
      <c r="P70" s="1193"/>
      <c r="Q70" s="1193"/>
      <c r="R70" s="1193"/>
      <c r="S70" s="1193"/>
      <c r="T70" s="1193"/>
      <c r="U70" s="1193"/>
      <c r="V70" s="1193"/>
      <c r="W70" s="1193"/>
      <c r="X70" s="1193"/>
      <c r="Y70" s="1193"/>
      <c r="Z70" s="1193"/>
      <c r="AA70" s="1193"/>
      <c r="AB70" s="1193"/>
      <c r="AC70" s="1193"/>
    </row>
    <row r="71" spans="1:29" x14ac:dyDescent="0.3">
      <c r="A71" s="681"/>
      <c r="B71" s="1193"/>
      <c r="C71" s="1193"/>
      <c r="D71" s="1193"/>
      <c r="E71" s="1193"/>
      <c r="F71" s="1193"/>
      <c r="G71" s="1193"/>
      <c r="H71" s="1193"/>
      <c r="I71" s="1193"/>
      <c r="J71" s="1193"/>
      <c r="K71" s="1193"/>
      <c r="L71" s="1193"/>
      <c r="M71" s="1193"/>
      <c r="N71" s="1193"/>
      <c r="O71" s="1193"/>
      <c r="P71" s="1193"/>
      <c r="Q71" s="1193"/>
      <c r="R71" s="1193"/>
      <c r="S71" s="1193"/>
      <c r="T71" s="1193"/>
      <c r="U71" s="1193"/>
      <c r="V71" s="1193"/>
      <c r="W71" s="1193"/>
      <c r="X71" s="1193"/>
      <c r="Y71" s="1193"/>
      <c r="Z71" s="1193"/>
      <c r="AA71" s="1193"/>
      <c r="AB71" s="1193"/>
      <c r="AC71" s="1193"/>
    </row>
    <row r="72" spans="1:29" x14ac:dyDescent="0.3">
      <c r="A72" s="681"/>
      <c r="B72" s="1193"/>
      <c r="C72" s="1193"/>
      <c r="D72" s="1193"/>
      <c r="E72" s="1193"/>
      <c r="F72" s="1193"/>
      <c r="G72" s="1193"/>
      <c r="H72" s="1193"/>
      <c r="I72" s="1193"/>
      <c r="J72" s="1193"/>
      <c r="K72" s="1193"/>
      <c r="L72" s="1193"/>
      <c r="M72" s="1193"/>
      <c r="N72" s="1193"/>
      <c r="O72" s="1193"/>
      <c r="P72" s="1193"/>
      <c r="Q72" s="1193"/>
      <c r="R72" s="1193"/>
      <c r="S72" s="1193"/>
      <c r="T72" s="1193"/>
      <c r="U72" s="1193"/>
      <c r="V72" s="1193"/>
      <c r="W72" s="1193"/>
      <c r="X72" s="1193"/>
      <c r="Y72" s="1193"/>
      <c r="Z72" s="1193"/>
      <c r="AA72" s="1193"/>
      <c r="AB72" s="1193"/>
      <c r="AC72" s="1193"/>
    </row>
    <row r="73" spans="1:29" x14ac:dyDescent="0.3">
      <c r="A73" s="681"/>
      <c r="B73" s="1193"/>
      <c r="C73" s="1193"/>
      <c r="D73" s="1193"/>
      <c r="E73" s="1193"/>
      <c r="F73" s="1193"/>
      <c r="G73" s="1193"/>
      <c r="H73" s="1193"/>
      <c r="I73" s="1193"/>
      <c r="J73" s="1193"/>
      <c r="K73" s="1193"/>
      <c r="L73" s="1193"/>
      <c r="M73" s="1193"/>
      <c r="N73" s="1193"/>
      <c r="O73" s="1193"/>
      <c r="P73" s="1193"/>
      <c r="Q73" s="1193"/>
      <c r="R73" s="1193"/>
      <c r="S73" s="1193"/>
      <c r="T73" s="1193"/>
      <c r="U73" s="1193"/>
      <c r="V73" s="1193"/>
      <c r="W73" s="1193"/>
      <c r="X73" s="1193"/>
      <c r="Y73" s="1193"/>
      <c r="Z73" s="1193"/>
      <c r="AA73" s="1193"/>
      <c r="AB73" s="1193"/>
      <c r="AC73" s="1193"/>
    </row>
    <row r="74" spans="1:29" x14ac:dyDescent="0.3">
      <c r="A74" s="681"/>
      <c r="B74" s="1193"/>
      <c r="C74" s="1193"/>
      <c r="D74" s="1193"/>
      <c r="E74" s="1193"/>
      <c r="F74" s="1193"/>
      <c r="G74" s="1193"/>
      <c r="H74" s="1193"/>
      <c r="I74" s="1193"/>
      <c r="J74" s="1193"/>
      <c r="K74" s="1193"/>
      <c r="L74" s="1193"/>
      <c r="M74" s="1193"/>
      <c r="N74" s="1193"/>
      <c r="O74" s="1193"/>
      <c r="P74" s="1193"/>
      <c r="Q74" s="1193"/>
      <c r="R74" s="1193"/>
      <c r="S74" s="1193"/>
      <c r="T74" s="1193"/>
      <c r="U74" s="1193"/>
      <c r="V74" s="1193"/>
      <c r="W74" s="1193"/>
      <c r="X74" s="1193"/>
      <c r="Y74" s="1193"/>
      <c r="Z74" s="1193"/>
      <c r="AA74" s="1193"/>
      <c r="AB74" s="1193"/>
      <c r="AC74" s="1193"/>
    </row>
    <row r="75" spans="1:29" x14ac:dyDescent="0.3">
      <c r="A75" s="681"/>
      <c r="B75" s="1193"/>
      <c r="C75" s="1193"/>
      <c r="D75" s="1193"/>
      <c r="E75" s="1193"/>
      <c r="F75" s="1193"/>
      <c r="G75" s="1193"/>
      <c r="H75" s="1193"/>
      <c r="I75" s="1193"/>
      <c r="J75" s="1193"/>
      <c r="K75" s="1193"/>
      <c r="L75" s="1193"/>
      <c r="M75" s="1193"/>
      <c r="N75" s="1193"/>
      <c r="O75" s="1193"/>
      <c r="P75" s="1193"/>
      <c r="Q75" s="1193"/>
      <c r="R75" s="1193"/>
      <c r="S75" s="1193"/>
      <c r="T75" s="1193"/>
      <c r="U75" s="1193"/>
      <c r="V75" s="1193"/>
      <c r="W75" s="1193"/>
      <c r="X75" s="1193"/>
      <c r="Y75" s="1193"/>
      <c r="Z75" s="1193"/>
      <c r="AA75" s="1193"/>
      <c r="AB75" s="1193"/>
      <c r="AC75" s="1193"/>
    </row>
    <row r="76" spans="1:29" x14ac:dyDescent="0.3">
      <c r="A76" s="681"/>
      <c r="B76" s="1193"/>
      <c r="C76" s="1193"/>
      <c r="D76" s="1193"/>
      <c r="E76" s="1193"/>
      <c r="F76" s="1193"/>
      <c r="G76" s="1193"/>
      <c r="H76" s="1193"/>
      <c r="I76" s="1193"/>
      <c r="J76" s="1193"/>
      <c r="K76" s="1193"/>
      <c r="L76" s="1193"/>
      <c r="M76" s="1193"/>
      <c r="N76" s="1193"/>
      <c r="O76" s="1193"/>
      <c r="P76" s="1193"/>
      <c r="Q76" s="1193"/>
      <c r="R76" s="1193"/>
      <c r="S76" s="1193"/>
      <c r="T76" s="1193"/>
      <c r="U76" s="1193"/>
      <c r="V76" s="1193"/>
      <c r="W76" s="1193"/>
      <c r="X76" s="1193"/>
      <c r="Y76" s="1193"/>
      <c r="Z76" s="1193"/>
      <c r="AA76" s="1193"/>
      <c r="AB76" s="1193"/>
      <c r="AC76" s="1193"/>
    </row>
    <row r="77" spans="1:29" x14ac:dyDescent="0.3">
      <c r="A77" s="681"/>
      <c r="B77" s="1193"/>
      <c r="C77" s="1193"/>
      <c r="D77" s="1193"/>
      <c r="E77" s="1193"/>
      <c r="F77" s="1193"/>
      <c r="G77" s="1193"/>
      <c r="H77" s="1193"/>
      <c r="I77" s="1193"/>
      <c r="J77" s="1193"/>
      <c r="K77" s="1193"/>
      <c r="L77" s="1193"/>
      <c r="M77" s="1193"/>
      <c r="N77" s="1193"/>
      <c r="O77" s="1193"/>
      <c r="P77" s="1193"/>
      <c r="Q77" s="1193"/>
      <c r="R77" s="1193"/>
      <c r="S77" s="1193"/>
      <c r="T77" s="1193"/>
      <c r="U77" s="1193"/>
      <c r="V77" s="1193"/>
      <c r="W77" s="1193"/>
      <c r="X77" s="1193"/>
      <c r="Y77" s="1193"/>
      <c r="Z77" s="1193"/>
      <c r="AA77" s="1193"/>
      <c r="AB77" s="1193"/>
      <c r="AC77" s="1193"/>
    </row>
    <row r="78" spans="1:29" x14ac:dyDescent="0.3">
      <c r="A78" s="681"/>
      <c r="B78" s="1193"/>
      <c r="C78" s="1193"/>
      <c r="D78" s="1193"/>
      <c r="E78" s="1193"/>
      <c r="F78" s="1193"/>
      <c r="G78" s="1193"/>
      <c r="H78" s="1193"/>
      <c r="I78" s="1193"/>
      <c r="J78" s="1193"/>
      <c r="K78" s="1193"/>
      <c r="L78" s="1193"/>
      <c r="M78" s="1193"/>
      <c r="N78" s="1193"/>
      <c r="O78" s="1193"/>
      <c r="P78" s="1193"/>
      <c r="Q78" s="1193"/>
      <c r="R78" s="1193"/>
      <c r="S78" s="1193"/>
      <c r="T78" s="1193"/>
      <c r="U78" s="1193"/>
      <c r="V78" s="1193"/>
      <c r="W78" s="1193"/>
      <c r="X78" s="1193"/>
      <c r="Y78" s="1193"/>
      <c r="Z78" s="1193"/>
      <c r="AA78" s="1193"/>
      <c r="AB78" s="1193"/>
      <c r="AC78" s="1193"/>
    </row>
    <row r="79" spans="1:29" x14ac:dyDescent="0.3">
      <c r="A79" s="681"/>
      <c r="B79" s="1193"/>
      <c r="C79" s="1193"/>
      <c r="D79" s="1193"/>
      <c r="E79" s="1193"/>
      <c r="F79" s="1193"/>
      <c r="G79" s="1193"/>
      <c r="H79" s="1193"/>
      <c r="I79" s="1193"/>
      <c r="J79" s="1193"/>
      <c r="K79" s="1193"/>
      <c r="L79" s="1193"/>
      <c r="M79" s="1193"/>
      <c r="N79" s="1193"/>
      <c r="O79" s="1193"/>
      <c r="P79" s="1193"/>
      <c r="Q79" s="1193"/>
      <c r="R79" s="1193"/>
      <c r="S79" s="1193"/>
      <c r="T79" s="1193"/>
      <c r="U79" s="1193"/>
      <c r="V79" s="1193"/>
      <c r="W79" s="1193"/>
      <c r="X79" s="1193"/>
      <c r="Y79" s="1193"/>
      <c r="Z79" s="1193"/>
      <c r="AA79" s="1193"/>
      <c r="AB79" s="1193"/>
      <c r="AC79" s="1193"/>
    </row>
    <row r="80" spans="1:29" x14ac:dyDescent="0.3">
      <c r="A80" s="681"/>
      <c r="B80" s="1193"/>
      <c r="C80" s="1193"/>
      <c r="D80" s="1193"/>
      <c r="E80" s="1193"/>
      <c r="F80" s="1193"/>
      <c r="G80" s="1193"/>
      <c r="H80" s="1193"/>
      <c r="I80" s="1193"/>
      <c r="J80" s="1193"/>
      <c r="K80" s="1193"/>
      <c r="L80" s="1193"/>
      <c r="M80" s="1193"/>
      <c r="N80" s="1193"/>
      <c r="O80" s="1193"/>
      <c r="P80" s="1193"/>
      <c r="Q80" s="1193"/>
      <c r="R80" s="1193"/>
      <c r="S80" s="1193"/>
      <c r="T80" s="1193"/>
      <c r="U80" s="1193"/>
      <c r="V80" s="1193"/>
      <c r="W80" s="1193"/>
      <c r="X80" s="1193"/>
      <c r="Y80" s="1193"/>
      <c r="Z80" s="1193"/>
      <c r="AA80" s="1193"/>
      <c r="AB80" s="1193"/>
      <c r="AC80" s="1193"/>
    </row>
    <row r="81" spans="1:29" x14ac:dyDescent="0.3">
      <c r="A81" s="681"/>
      <c r="B81" s="1193"/>
      <c r="C81" s="1193"/>
      <c r="D81" s="1193"/>
      <c r="E81" s="1193"/>
      <c r="F81" s="1193"/>
      <c r="G81" s="1193"/>
      <c r="H81" s="1193"/>
      <c r="I81" s="1193"/>
      <c r="J81" s="1193"/>
      <c r="K81" s="1193"/>
      <c r="L81" s="1193"/>
      <c r="M81" s="1193"/>
      <c r="N81" s="1193"/>
      <c r="O81" s="1193"/>
      <c r="P81" s="1193"/>
      <c r="Q81" s="1193"/>
      <c r="R81" s="1193"/>
      <c r="S81" s="1193"/>
      <c r="T81" s="1193"/>
      <c r="U81" s="1193"/>
      <c r="V81" s="1193"/>
      <c r="W81" s="1193"/>
      <c r="X81" s="1193"/>
      <c r="Y81" s="1193"/>
      <c r="Z81" s="1193"/>
      <c r="AA81" s="1193"/>
      <c r="AB81" s="1193"/>
      <c r="AC81" s="1193"/>
    </row>
    <row r="82" spans="1:29" x14ac:dyDescent="0.3">
      <c r="A82" s="681"/>
      <c r="B82" s="1193"/>
      <c r="C82" s="1193"/>
      <c r="D82" s="1193"/>
      <c r="E82" s="1193"/>
      <c r="F82" s="1193"/>
      <c r="G82" s="1193"/>
      <c r="H82" s="1193"/>
      <c r="I82" s="1193"/>
      <c r="J82" s="1193"/>
      <c r="K82" s="1193"/>
      <c r="L82" s="1193"/>
      <c r="M82" s="1193"/>
      <c r="N82" s="1193"/>
      <c r="O82" s="1193"/>
      <c r="P82" s="1193"/>
      <c r="Q82" s="1193"/>
      <c r="R82" s="1193"/>
      <c r="S82" s="1193"/>
      <c r="T82" s="1193"/>
      <c r="U82" s="1193"/>
      <c r="V82" s="1193"/>
      <c r="W82" s="1193"/>
      <c r="X82" s="1193"/>
      <c r="Y82" s="1193"/>
      <c r="Z82" s="1193"/>
      <c r="AA82" s="1193"/>
      <c r="AB82" s="1193"/>
      <c r="AC82" s="1193"/>
    </row>
    <row r="83" spans="1:29" x14ac:dyDescent="0.3">
      <c r="A83" s="681"/>
      <c r="B83" s="1193"/>
      <c r="C83" s="1193"/>
      <c r="D83" s="1193"/>
      <c r="E83" s="1193"/>
      <c r="F83" s="1193"/>
      <c r="G83" s="1193"/>
      <c r="H83" s="1193"/>
      <c r="I83" s="1193"/>
      <c r="J83" s="1193"/>
      <c r="K83" s="1193"/>
      <c r="L83" s="1193"/>
      <c r="M83" s="1193"/>
      <c r="N83" s="1193"/>
      <c r="O83" s="1193"/>
      <c r="P83" s="1193"/>
      <c r="Q83" s="1193"/>
      <c r="R83" s="1193"/>
      <c r="S83" s="1193"/>
      <c r="T83" s="1193"/>
      <c r="U83" s="1193"/>
      <c r="V83" s="1193"/>
      <c r="W83" s="1193"/>
      <c r="X83" s="1193"/>
      <c r="Y83" s="1193"/>
      <c r="Z83" s="1193"/>
      <c r="AA83" s="1193"/>
      <c r="AB83" s="1193"/>
      <c r="AC83" s="1193"/>
    </row>
    <row r="84" spans="1:29" x14ac:dyDescent="0.3">
      <c r="A84" s="681"/>
      <c r="B84" s="1193"/>
      <c r="C84" s="1193"/>
      <c r="D84" s="1193"/>
      <c r="E84" s="1193"/>
      <c r="F84" s="1193"/>
      <c r="G84" s="1193"/>
      <c r="H84" s="1193"/>
      <c r="I84" s="1193"/>
      <c r="J84" s="1193"/>
      <c r="K84" s="1193"/>
      <c r="L84" s="1193"/>
      <c r="M84" s="1193"/>
      <c r="N84" s="1193"/>
      <c r="O84" s="1193"/>
      <c r="P84" s="1193"/>
      <c r="Q84" s="1193"/>
      <c r="R84" s="1193"/>
      <c r="S84" s="1193"/>
      <c r="T84" s="1193"/>
      <c r="U84" s="1193"/>
      <c r="V84" s="1193"/>
      <c r="W84" s="1193"/>
      <c r="X84" s="1193"/>
      <c r="Y84" s="1193"/>
      <c r="Z84" s="1193"/>
      <c r="AA84" s="1193"/>
      <c r="AB84" s="1193"/>
      <c r="AC84" s="1193"/>
    </row>
    <row r="85" spans="1:29" x14ac:dyDescent="0.3">
      <c r="A85" s="681"/>
      <c r="B85" s="1193"/>
      <c r="C85" s="1193"/>
      <c r="D85" s="1193"/>
      <c r="E85" s="1193"/>
      <c r="F85" s="1193"/>
      <c r="G85" s="1193"/>
      <c r="H85" s="1193"/>
      <c r="I85" s="1193"/>
      <c r="J85" s="1193"/>
      <c r="K85" s="1193"/>
      <c r="L85" s="1193"/>
      <c r="M85" s="1193"/>
      <c r="N85" s="1193"/>
      <c r="O85" s="1193"/>
      <c r="P85" s="1193"/>
      <c r="Q85" s="1193"/>
      <c r="R85" s="1193"/>
      <c r="S85" s="1193"/>
      <c r="T85" s="1193"/>
      <c r="U85" s="1193"/>
      <c r="V85" s="1193"/>
      <c r="W85" s="1193"/>
      <c r="X85" s="1193"/>
      <c r="Y85" s="1193"/>
      <c r="Z85" s="1193"/>
      <c r="AA85" s="1193"/>
      <c r="AB85" s="1193"/>
      <c r="AC85" s="1193"/>
    </row>
    <row r="86" spans="1:29" x14ac:dyDescent="0.3">
      <c r="A86" s="681"/>
      <c r="B86" s="1193"/>
      <c r="C86" s="1193"/>
      <c r="D86" s="1193"/>
      <c r="E86" s="1193"/>
      <c r="F86" s="1193"/>
      <c r="G86" s="1193"/>
      <c r="H86" s="1193"/>
      <c r="I86" s="1193"/>
      <c r="J86" s="1193"/>
      <c r="K86" s="1193"/>
      <c r="L86" s="1193"/>
      <c r="M86" s="1193"/>
      <c r="N86" s="1193"/>
      <c r="O86" s="1193"/>
      <c r="P86" s="1193"/>
      <c r="Q86" s="1193"/>
      <c r="R86" s="1193"/>
      <c r="S86" s="1193"/>
      <c r="T86" s="1193"/>
      <c r="U86" s="1193"/>
      <c r="V86" s="1193"/>
      <c r="W86" s="1193"/>
      <c r="X86" s="1193"/>
      <c r="Y86" s="1193"/>
      <c r="Z86" s="1193"/>
      <c r="AA86" s="1193"/>
      <c r="AB86" s="1193"/>
      <c r="AC86" s="1193"/>
    </row>
    <row r="87" spans="1:29" x14ac:dyDescent="0.3">
      <c r="A87" s="681"/>
      <c r="B87" s="1193"/>
      <c r="C87" s="1193"/>
      <c r="D87" s="1193"/>
      <c r="E87" s="1193"/>
      <c r="F87" s="1193"/>
      <c r="G87" s="1193"/>
      <c r="H87" s="1193"/>
      <c r="I87" s="1193"/>
      <c r="J87" s="1193"/>
      <c r="K87" s="1193"/>
      <c r="L87" s="1193"/>
      <c r="M87" s="1193"/>
      <c r="N87" s="1193"/>
      <c r="O87" s="1193"/>
      <c r="P87" s="1193"/>
      <c r="Q87" s="1193"/>
      <c r="R87" s="1193"/>
      <c r="S87" s="1193"/>
      <c r="T87" s="1193"/>
      <c r="U87" s="1193"/>
      <c r="V87" s="1193"/>
      <c r="W87" s="1193"/>
      <c r="X87" s="1193"/>
      <c r="Y87" s="1193"/>
      <c r="Z87" s="1193"/>
      <c r="AA87" s="1193"/>
      <c r="AB87" s="1193"/>
      <c r="AC87" s="1193"/>
    </row>
    <row r="88" spans="1:29" x14ac:dyDescent="0.3">
      <c r="A88" s="681"/>
      <c r="B88" s="1193"/>
      <c r="C88" s="1193"/>
      <c r="D88" s="1193"/>
      <c r="E88" s="1193"/>
      <c r="F88" s="1193"/>
      <c r="G88" s="1193"/>
      <c r="H88" s="1193"/>
      <c r="I88" s="1193"/>
      <c r="J88" s="1193"/>
      <c r="K88" s="1193"/>
      <c r="L88" s="1193"/>
      <c r="M88" s="1193"/>
      <c r="N88" s="1193"/>
      <c r="O88" s="1193"/>
      <c r="P88" s="1193"/>
      <c r="Q88" s="1193"/>
      <c r="R88" s="1193"/>
      <c r="S88" s="1193"/>
      <c r="T88" s="1193"/>
      <c r="U88" s="1193"/>
      <c r="V88" s="1193"/>
      <c r="W88" s="1193"/>
      <c r="X88" s="1193"/>
      <c r="Y88" s="1193"/>
      <c r="Z88" s="1193"/>
      <c r="AA88" s="1193"/>
      <c r="AB88" s="1193"/>
      <c r="AC88" s="1193"/>
    </row>
    <row r="89" spans="1:29" x14ac:dyDescent="0.3">
      <c r="A89" s="681"/>
      <c r="B89" s="1193"/>
      <c r="C89" s="1193"/>
      <c r="D89" s="1193"/>
      <c r="E89" s="1193"/>
      <c r="F89" s="1193"/>
      <c r="G89" s="1193"/>
      <c r="H89" s="1193"/>
      <c r="I89" s="1193"/>
      <c r="J89" s="1193"/>
      <c r="K89" s="1193"/>
      <c r="L89" s="1193"/>
      <c r="M89" s="1193"/>
      <c r="N89" s="1193"/>
      <c r="O89" s="1193"/>
      <c r="P89" s="1193"/>
      <c r="Q89" s="1193"/>
      <c r="R89" s="1193"/>
      <c r="S89" s="1193"/>
      <c r="T89" s="1193"/>
      <c r="U89" s="1193"/>
      <c r="V89" s="1193"/>
      <c r="W89" s="1193"/>
      <c r="X89" s="1193"/>
      <c r="Y89" s="1193"/>
      <c r="Z89" s="1193"/>
      <c r="AA89" s="1193"/>
      <c r="AB89" s="1193"/>
      <c r="AC89" s="1193"/>
    </row>
    <row r="90" spans="1:29" x14ac:dyDescent="0.3">
      <c r="A90" s="681"/>
      <c r="B90" s="1193"/>
      <c r="C90" s="1193"/>
      <c r="D90" s="1193"/>
      <c r="E90" s="1193"/>
      <c r="F90" s="1193"/>
      <c r="G90" s="1193"/>
      <c r="H90" s="1193"/>
      <c r="I90" s="1193"/>
      <c r="J90" s="1193"/>
      <c r="K90" s="1193"/>
      <c r="L90" s="1193"/>
      <c r="M90" s="1193"/>
      <c r="N90" s="1193"/>
      <c r="O90" s="1193"/>
      <c r="P90" s="1193"/>
      <c r="Q90" s="1193"/>
      <c r="R90" s="1193"/>
      <c r="S90" s="1193"/>
      <c r="T90" s="1193"/>
      <c r="U90" s="1193"/>
      <c r="V90" s="1193"/>
      <c r="W90" s="1193"/>
      <c r="X90" s="1193"/>
      <c r="Y90" s="1193"/>
      <c r="Z90" s="1193"/>
      <c r="AA90" s="1193"/>
      <c r="AB90" s="1193"/>
      <c r="AC90" s="1193"/>
    </row>
    <row r="91" spans="1:29" x14ac:dyDescent="0.3">
      <c r="A91" s="681"/>
      <c r="B91" s="1193"/>
      <c r="C91" s="1193"/>
      <c r="D91" s="1193"/>
      <c r="E91" s="1193"/>
      <c r="F91" s="1193"/>
      <c r="G91" s="1193"/>
      <c r="H91" s="1193"/>
      <c r="I91" s="1193"/>
      <c r="J91" s="1193"/>
      <c r="K91" s="1193"/>
      <c r="L91" s="1193"/>
      <c r="M91" s="1193"/>
      <c r="N91" s="1193"/>
      <c r="O91" s="1193"/>
      <c r="P91" s="1193"/>
      <c r="Q91" s="1193"/>
      <c r="R91" s="1193"/>
      <c r="S91" s="1193"/>
      <c r="T91" s="1193"/>
      <c r="U91" s="1193"/>
      <c r="V91" s="1193"/>
      <c r="W91" s="1193"/>
      <c r="X91" s="1193"/>
      <c r="Y91" s="1193"/>
      <c r="Z91" s="1193"/>
      <c r="AA91" s="1193"/>
      <c r="AB91" s="1193"/>
      <c r="AC91" s="1193"/>
    </row>
    <row r="92" spans="1:29" x14ac:dyDescent="0.3">
      <c r="A92" s="681"/>
      <c r="B92" s="1193"/>
      <c r="C92" s="1193"/>
      <c r="D92" s="1193"/>
      <c r="E92" s="1193"/>
      <c r="F92" s="1193"/>
      <c r="G92" s="1193"/>
      <c r="H92" s="1193"/>
      <c r="I92" s="1193"/>
      <c r="J92" s="1193"/>
      <c r="K92" s="1193"/>
      <c r="L92" s="1193"/>
      <c r="M92" s="1193"/>
      <c r="N92" s="1193"/>
      <c r="O92" s="1193"/>
      <c r="P92" s="1193"/>
      <c r="Q92" s="1193"/>
      <c r="R92" s="1193"/>
      <c r="S92" s="1193"/>
      <c r="T92" s="1193"/>
      <c r="U92" s="1193"/>
      <c r="V92" s="1193"/>
      <c r="W92" s="1193"/>
      <c r="X92" s="1193"/>
      <c r="Y92" s="1193"/>
      <c r="Z92" s="1193"/>
      <c r="AA92" s="1193"/>
      <c r="AB92" s="1193"/>
      <c r="AC92" s="1193"/>
    </row>
    <row r="93" spans="1:29" x14ac:dyDescent="0.3">
      <c r="A93" s="681"/>
      <c r="B93" s="1193"/>
      <c r="C93" s="1193"/>
      <c r="D93" s="1193"/>
      <c r="E93" s="1193"/>
      <c r="F93" s="1193"/>
      <c r="G93" s="1193"/>
      <c r="H93" s="1193"/>
      <c r="I93" s="1193"/>
      <c r="J93" s="1193"/>
      <c r="K93" s="1193"/>
      <c r="L93" s="1193"/>
      <c r="M93" s="1193"/>
      <c r="N93" s="1193"/>
      <c r="O93" s="1193"/>
      <c r="P93" s="1193"/>
      <c r="Q93" s="1193"/>
      <c r="R93" s="1193"/>
      <c r="S93" s="1193"/>
      <c r="T93" s="1193"/>
      <c r="U93" s="1193"/>
      <c r="V93" s="1193"/>
      <c r="W93" s="1193"/>
      <c r="X93" s="1193"/>
      <c r="Y93" s="1193"/>
      <c r="Z93" s="1193"/>
      <c r="AA93" s="1193"/>
      <c r="AB93" s="1193"/>
      <c r="AC93" s="1193"/>
    </row>
    <row r="94" spans="1:29" x14ac:dyDescent="0.3">
      <c r="A94" s="681"/>
      <c r="B94" s="1193"/>
      <c r="C94" s="1193"/>
      <c r="D94" s="1193"/>
      <c r="E94" s="1193"/>
      <c r="F94" s="1193"/>
      <c r="G94" s="1193"/>
      <c r="H94" s="1193"/>
      <c r="I94" s="1193"/>
      <c r="J94" s="1193"/>
      <c r="K94" s="1193"/>
      <c r="L94" s="1193"/>
      <c r="M94" s="1193"/>
      <c r="N94" s="1193"/>
      <c r="O94" s="1193"/>
      <c r="P94" s="1193"/>
      <c r="Q94" s="1193"/>
      <c r="R94" s="1193"/>
      <c r="S94" s="1193"/>
      <c r="T94" s="1193"/>
      <c r="U94" s="1193"/>
      <c r="V94" s="1193"/>
      <c r="W94" s="1193"/>
      <c r="X94" s="1193"/>
      <c r="Y94" s="1193"/>
      <c r="Z94" s="1193"/>
      <c r="AA94" s="1193"/>
      <c r="AB94" s="1193"/>
      <c r="AC94" s="1193"/>
    </row>
    <row r="95" spans="1:29" x14ac:dyDescent="0.3">
      <c r="A95" s="681"/>
      <c r="B95" s="1193"/>
      <c r="C95" s="1193"/>
      <c r="D95" s="1193"/>
      <c r="E95" s="1193"/>
      <c r="F95" s="1193"/>
      <c r="G95" s="1193"/>
      <c r="H95" s="1193"/>
      <c r="I95" s="1193"/>
      <c r="J95" s="1193"/>
      <c r="K95" s="1193"/>
      <c r="L95" s="1193"/>
      <c r="M95" s="1193"/>
      <c r="N95" s="1193"/>
      <c r="O95" s="1193"/>
      <c r="P95" s="1193"/>
      <c r="Q95" s="1193"/>
      <c r="R95" s="1193"/>
      <c r="S95" s="1193"/>
      <c r="T95" s="1193"/>
      <c r="U95" s="1193"/>
      <c r="V95" s="1193"/>
      <c r="W95" s="1193"/>
      <c r="X95" s="1193"/>
      <c r="Y95" s="1193"/>
      <c r="Z95" s="1193"/>
      <c r="AA95" s="1193"/>
      <c r="AB95" s="1193"/>
      <c r="AC95" s="1193"/>
    </row>
    <row r="96" spans="1:29" x14ac:dyDescent="0.3">
      <c r="A96" s="681"/>
      <c r="B96" s="1193"/>
      <c r="C96" s="1193"/>
      <c r="D96" s="1193"/>
      <c r="E96" s="1193"/>
      <c r="F96" s="1193"/>
      <c r="G96" s="1193"/>
      <c r="H96" s="1193"/>
      <c r="I96" s="1193"/>
      <c r="J96" s="1193"/>
      <c r="K96" s="1193"/>
      <c r="L96" s="1193"/>
      <c r="M96" s="1193"/>
      <c r="N96" s="1193"/>
      <c r="O96" s="1193"/>
      <c r="P96" s="1193"/>
      <c r="Q96" s="1193"/>
      <c r="R96" s="1193"/>
      <c r="S96" s="1193"/>
      <c r="T96" s="1193"/>
      <c r="U96" s="1193"/>
      <c r="V96" s="1193"/>
      <c r="W96" s="1193"/>
      <c r="X96" s="1193"/>
      <c r="Y96" s="1193"/>
      <c r="Z96" s="1193"/>
      <c r="AA96" s="1193"/>
      <c r="AB96" s="1193"/>
      <c r="AC96" s="1193"/>
    </row>
    <row r="97" spans="1:29" x14ac:dyDescent="0.3">
      <c r="A97" s="681"/>
      <c r="B97" s="1193"/>
      <c r="C97" s="1193"/>
      <c r="D97" s="1193"/>
      <c r="E97" s="1193"/>
      <c r="F97" s="1193"/>
      <c r="G97" s="1193"/>
      <c r="H97" s="1193"/>
      <c r="I97" s="1193"/>
      <c r="J97" s="1193"/>
      <c r="K97" s="1193"/>
      <c r="L97" s="1193"/>
      <c r="M97" s="1193"/>
      <c r="N97" s="1193"/>
      <c r="O97" s="1193"/>
      <c r="P97" s="1193"/>
      <c r="Q97" s="1193"/>
      <c r="R97" s="1193"/>
      <c r="S97" s="1193"/>
      <c r="T97" s="1193"/>
      <c r="U97" s="1193"/>
      <c r="V97" s="1193"/>
      <c r="W97" s="1193"/>
      <c r="X97" s="1193"/>
      <c r="Y97" s="1193"/>
      <c r="Z97" s="1193"/>
      <c r="AA97" s="1193"/>
      <c r="AB97" s="1193"/>
      <c r="AC97" s="1193"/>
    </row>
    <row r="98" spans="1:29" x14ac:dyDescent="0.3">
      <c r="A98" s="681"/>
      <c r="B98" s="1193"/>
      <c r="C98" s="1193"/>
      <c r="D98" s="1193"/>
      <c r="E98" s="1193"/>
      <c r="F98" s="1193"/>
      <c r="G98" s="1193"/>
      <c r="H98" s="1193"/>
      <c r="I98" s="1193"/>
      <c r="J98" s="1193"/>
      <c r="K98" s="1193"/>
      <c r="L98" s="1193"/>
      <c r="M98" s="1193"/>
      <c r="N98" s="1193"/>
      <c r="O98" s="1193"/>
      <c r="P98" s="1193"/>
      <c r="Q98" s="1193"/>
      <c r="R98" s="1193"/>
      <c r="S98" s="1193"/>
      <c r="T98" s="1193"/>
      <c r="U98" s="1193"/>
      <c r="V98" s="1193"/>
      <c r="W98" s="1193"/>
      <c r="X98" s="1193"/>
      <c r="Y98" s="1193"/>
      <c r="Z98" s="1193"/>
      <c r="AA98" s="1193"/>
      <c r="AB98" s="1193"/>
      <c r="AC98" s="1193"/>
    </row>
    <row r="99" spans="1:29" x14ac:dyDescent="0.3">
      <c r="A99" s="681"/>
      <c r="B99" s="1193"/>
      <c r="C99" s="1193"/>
      <c r="D99" s="1193"/>
      <c r="E99" s="1193"/>
      <c r="F99" s="1193"/>
      <c r="G99" s="1193"/>
      <c r="H99" s="1193"/>
      <c r="I99" s="1193"/>
      <c r="J99" s="1193"/>
      <c r="K99" s="1193"/>
      <c r="L99" s="1193"/>
      <c r="M99" s="1193"/>
      <c r="N99" s="1193"/>
      <c r="O99" s="1193"/>
      <c r="P99" s="1193"/>
      <c r="Q99" s="1193"/>
      <c r="R99" s="1193"/>
      <c r="S99" s="1193"/>
      <c r="T99" s="1193"/>
      <c r="U99" s="1193"/>
      <c r="V99" s="1193"/>
      <c r="W99" s="1193"/>
      <c r="X99" s="1193"/>
      <c r="Y99" s="1193"/>
      <c r="Z99" s="1193"/>
      <c r="AA99" s="1193"/>
      <c r="AB99" s="1193"/>
      <c r="AC99" s="1193"/>
    </row>
    <row r="100" spans="1:29" x14ac:dyDescent="0.3">
      <c r="A100" s="681"/>
      <c r="B100" s="1193"/>
      <c r="C100" s="1193"/>
      <c r="D100" s="1193"/>
      <c r="E100" s="1193"/>
      <c r="F100" s="1193"/>
      <c r="G100" s="1193"/>
      <c r="H100" s="1193"/>
      <c r="I100" s="1193"/>
      <c r="J100" s="1193"/>
      <c r="K100" s="1193"/>
      <c r="L100" s="1193"/>
      <c r="M100" s="1193"/>
      <c r="N100" s="1193"/>
      <c r="O100" s="1193"/>
      <c r="P100" s="1193"/>
      <c r="Q100" s="1193"/>
      <c r="R100" s="1193"/>
      <c r="S100" s="1193"/>
      <c r="T100" s="1193"/>
      <c r="U100" s="1193"/>
      <c r="V100" s="1193"/>
      <c r="W100" s="1193"/>
      <c r="X100" s="1193"/>
      <c r="Y100" s="1193"/>
      <c r="Z100" s="1193"/>
      <c r="AA100" s="1193"/>
      <c r="AB100" s="1193"/>
      <c r="AC100" s="1193"/>
    </row>
    <row r="101" spans="1:29" x14ac:dyDescent="0.3">
      <c r="A101" s="681"/>
      <c r="B101" s="1193"/>
      <c r="C101" s="1193"/>
      <c r="D101" s="1193"/>
      <c r="E101" s="1193"/>
      <c r="F101" s="1193"/>
      <c r="G101" s="1193"/>
      <c r="H101" s="1193"/>
      <c r="I101" s="1193"/>
      <c r="J101" s="1193"/>
      <c r="K101" s="1193"/>
      <c r="L101" s="1193"/>
      <c r="M101" s="1193"/>
      <c r="N101" s="1193"/>
      <c r="O101" s="1193"/>
      <c r="P101" s="1193"/>
      <c r="Q101" s="1193"/>
      <c r="R101" s="1193"/>
      <c r="S101" s="1193"/>
      <c r="T101" s="1193"/>
      <c r="U101" s="1193"/>
      <c r="V101" s="1193"/>
      <c r="W101" s="1193"/>
      <c r="X101" s="1193"/>
      <c r="Y101" s="1193"/>
      <c r="Z101" s="1193"/>
      <c r="AA101" s="1193"/>
      <c r="AB101" s="1193"/>
      <c r="AC101" s="1193"/>
    </row>
    <row r="102" spans="1:29" x14ac:dyDescent="0.3">
      <c r="A102" s="681"/>
      <c r="B102" s="1193"/>
      <c r="C102" s="1193"/>
      <c r="D102" s="1193"/>
      <c r="E102" s="1193"/>
      <c r="F102" s="1193"/>
      <c r="G102" s="1193"/>
      <c r="H102" s="1193"/>
      <c r="I102" s="1193"/>
      <c r="J102" s="1193"/>
      <c r="K102" s="1193"/>
      <c r="L102" s="1193"/>
      <c r="M102" s="1193"/>
      <c r="N102" s="1193"/>
      <c r="O102" s="1193"/>
      <c r="P102" s="1193"/>
      <c r="Q102" s="1193"/>
      <c r="R102" s="1193"/>
      <c r="S102" s="1193"/>
      <c r="T102" s="1193"/>
      <c r="U102" s="1193"/>
      <c r="V102" s="1193"/>
      <c r="W102" s="1193"/>
      <c r="X102" s="1193"/>
      <c r="Y102" s="1193"/>
      <c r="Z102" s="1193"/>
      <c r="AA102" s="1193"/>
      <c r="AB102" s="1193"/>
      <c r="AC102" s="1193"/>
    </row>
    <row r="103" spans="1:29" x14ac:dyDescent="0.3">
      <c r="A103" s="681"/>
      <c r="B103" s="1193"/>
      <c r="C103" s="1193"/>
      <c r="D103" s="1193"/>
      <c r="E103" s="1193"/>
      <c r="F103" s="1193"/>
      <c r="G103" s="1193"/>
      <c r="H103" s="1193"/>
      <c r="I103" s="1193"/>
      <c r="J103" s="1193"/>
      <c r="K103" s="1193"/>
      <c r="L103" s="1193"/>
      <c r="M103" s="1193"/>
      <c r="N103" s="1193"/>
      <c r="O103" s="1193"/>
      <c r="P103" s="1193"/>
      <c r="Q103" s="1193"/>
      <c r="R103" s="1193"/>
      <c r="S103" s="1193"/>
      <c r="T103" s="1193"/>
      <c r="U103" s="1193"/>
      <c r="V103" s="1193"/>
      <c r="W103" s="1193"/>
      <c r="X103" s="1193"/>
      <c r="Y103" s="1193"/>
      <c r="Z103" s="1193"/>
      <c r="AA103" s="1193"/>
      <c r="AB103" s="1193"/>
      <c r="AC103" s="1193"/>
    </row>
    <row r="104" spans="1:29" x14ac:dyDescent="0.3">
      <c r="A104" s="681"/>
      <c r="B104" s="1193"/>
      <c r="C104" s="1193"/>
      <c r="D104" s="1193"/>
      <c r="E104" s="1193"/>
      <c r="F104" s="1193"/>
      <c r="G104" s="1193"/>
      <c r="H104" s="1193"/>
      <c r="I104" s="1193"/>
      <c r="J104" s="1193"/>
      <c r="K104" s="1193"/>
      <c r="L104" s="1193"/>
      <c r="M104" s="1193"/>
      <c r="N104" s="1193"/>
      <c r="O104" s="1193"/>
      <c r="P104" s="1193"/>
      <c r="Q104" s="1193"/>
      <c r="R104" s="1193"/>
      <c r="S104" s="1193"/>
      <c r="T104" s="1193"/>
      <c r="U104" s="1193"/>
      <c r="V104" s="1193"/>
      <c r="W104" s="1193"/>
      <c r="X104" s="1193"/>
      <c r="Y104" s="1193"/>
      <c r="Z104" s="1193"/>
      <c r="AA104" s="1193"/>
      <c r="AB104" s="1193"/>
      <c r="AC104" s="1193"/>
    </row>
    <row r="105" spans="1:29" x14ac:dyDescent="0.3">
      <c r="A105" s="681"/>
      <c r="B105" s="1193"/>
      <c r="C105" s="1193"/>
      <c r="D105" s="1193"/>
      <c r="E105" s="1193"/>
      <c r="F105" s="1193"/>
      <c r="G105" s="1193"/>
      <c r="H105" s="1193"/>
      <c r="I105" s="1193"/>
      <c r="J105" s="1193"/>
      <c r="K105" s="1193"/>
      <c r="L105" s="1193"/>
      <c r="M105" s="1193"/>
      <c r="N105" s="1193"/>
      <c r="O105" s="1193"/>
      <c r="P105" s="1193"/>
      <c r="Q105" s="1193"/>
      <c r="R105" s="1193"/>
      <c r="S105" s="1193"/>
      <c r="T105" s="1193"/>
      <c r="U105" s="1193"/>
      <c r="V105" s="1193"/>
      <c r="W105" s="1193"/>
      <c r="X105" s="1193"/>
      <c r="Y105" s="1193"/>
      <c r="Z105" s="1193"/>
      <c r="AA105" s="1193"/>
      <c r="AB105" s="1193"/>
      <c r="AC105" s="1193"/>
    </row>
    <row r="106" spans="1:29" x14ac:dyDescent="0.3">
      <c r="A106" s="681"/>
      <c r="B106" s="1193"/>
      <c r="C106" s="1193"/>
      <c r="D106" s="1193"/>
      <c r="E106" s="1193"/>
      <c r="F106" s="1193"/>
      <c r="G106" s="1193"/>
      <c r="H106" s="1193"/>
      <c r="I106" s="1193"/>
      <c r="J106" s="1193"/>
      <c r="K106" s="1193"/>
      <c r="L106" s="1193"/>
      <c r="M106" s="1193"/>
      <c r="N106" s="1193"/>
      <c r="O106" s="1193"/>
      <c r="P106" s="1193"/>
      <c r="Q106" s="1193"/>
      <c r="R106" s="1193"/>
      <c r="S106" s="1193"/>
      <c r="T106" s="1193"/>
      <c r="U106" s="1193"/>
      <c r="V106" s="1193"/>
      <c r="W106" s="1193"/>
      <c r="X106" s="1193"/>
      <c r="Y106" s="1193"/>
      <c r="Z106" s="1193"/>
      <c r="AA106" s="1193"/>
      <c r="AB106" s="1193"/>
      <c r="AC106" s="1193"/>
    </row>
    <row r="107" spans="1:29" x14ac:dyDescent="0.3">
      <c r="A107" s="681"/>
      <c r="B107" s="1193"/>
      <c r="C107" s="1193"/>
      <c r="D107" s="1193"/>
      <c r="E107" s="1193"/>
      <c r="F107" s="1193"/>
      <c r="G107" s="1193"/>
      <c r="H107" s="1193"/>
      <c r="I107" s="1193"/>
      <c r="J107" s="1193"/>
      <c r="K107" s="1193"/>
      <c r="L107" s="1193"/>
      <c r="M107" s="1193"/>
      <c r="N107" s="1193"/>
      <c r="O107" s="1193"/>
      <c r="P107" s="1193"/>
      <c r="Q107" s="1193"/>
      <c r="R107" s="1193"/>
      <c r="S107" s="1193"/>
      <c r="T107" s="1193"/>
      <c r="U107" s="1193"/>
      <c r="V107" s="1193"/>
      <c r="W107" s="1193"/>
      <c r="X107" s="1193"/>
      <c r="Y107" s="1193"/>
      <c r="Z107" s="1193"/>
      <c r="AA107" s="1193"/>
      <c r="AB107" s="1193"/>
      <c r="AC107" s="1193"/>
    </row>
    <row r="108" spans="1:29" x14ac:dyDescent="0.3">
      <c r="A108" s="681"/>
      <c r="B108" s="1193"/>
      <c r="C108" s="1193"/>
      <c r="D108" s="1193"/>
      <c r="E108" s="1193"/>
      <c r="F108" s="1193"/>
      <c r="G108" s="1193"/>
      <c r="H108" s="1193"/>
      <c r="I108" s="1193"/>
      <c r="J108" s="1193"/>
      <c r="K108" s="1193"/>
      <c r="L108" s="1193"/>
      <c r="M108" s="1193"/>
      <c r="N108" s="1193"/>
      <c r="O108" s="1193"/>
      <c r="P108" s="1193"/>
      <c r="Q108" s="1193"/>
      <c r="R108" s="1193"/>
      <c r="S108" s="1193"/>
      <c r="T108" s="1193"/>
      <c r="U108" s="1193"/>
      <c r="V108" s="1193"/>
      <c r="W108" s="1193"/>
      <c r="X108" s="1193"/>
      <c r="Y108" s="1193"/>
      <c r="Z108" s="1193"/>
      <c r="AA108" s="1193"/>
      <c r="AB108" s="1193"/>
      <c r="AC108" s="1193"/>
    </row>
    <row r="109" spans="1:29" x14ac:dyDescent="0.3">
      <c r="A109" s="681"/>
      <c r="B109" s="1193"/>
      <c r="C109" s="1193"/>
      <c r="D109" s="1193"/>
      <c r="E109" s="1193"/>
      <c r="F109" s="1193"/>
      <c r="G109" s="1193"/>
      <c r="H109" s="1193"/>
      <c r="I109" s="1193"/>
      <c r="J109" s="1193"/>
      <c r="K109" s="1193"/>
      <c r="L109" s="1193"/>
      <c r="M109" s="1193"/>
      <c r="N109" s="1193"/>
      <c r="O109" s="1193"/>
      <c r="P109" s="1193"/>
      <c r="Q109" s="1193"/>
      <c r="R109" s="1193"/>
      <c r="S109" s="1193"/>
      <c r="T109" s="1193"/>
      <c r="U109" s="1193"/>
      <c r="V109" s="1193"/>
      <c r="W109" s="1193"/>
      <c r="X109" s="1193"/>
      <c r="Y109" s="1193"/>
      <c r="Z109" s="1193"/>
      <c r="AA109" s="1193"/>
      <c r="AB109" s="1193"/>
      <c r="AC109" s="1193"/>
    </row>
    <row r="110" spans="1:29" x14ac:dyDescent="0.3">
      <c r="A110" s="681"/>
      <c r="B110" s="1193"/>
      <c r="C110" s="1193"/>
      <c r="D110" s="1193"/>
      <c r="E110" s="1193"/>
      <c r="F110" s="1193"/>
      <c r="G110" s="1193"/>
      <c r="H110" s="1193"/>
      <c r="I110" s="1193"/>
      <c r="J110" s="1193"/>
      <c r="K110" s="1193"/>
      <c r="L110" s="1193"/>
      <c r="M110" s="1193"/>
      <c r="N110" s="1193"/>
      <c r="O110" s="1193"/>
      <c r="P110" s="1193"/>
      <c r="Q110" s="1193"/>
      <c r="R110" s="1193"/>
      <c r="S110" s="1193"/>
      <c r="T110" s="1193"/>
      <c r="U110" s="1193"/>
      <c r="V110" s="1193"/>
      <c r="W110" s="1193"/>
      <c r="X110" s="1193"/>
      <c r="Y110" s="1193"/>
      <c r="Z110" s="1193"/>
      <c r="AA110" s="1193"/>
      <c r="AB110" s="1193"/>
      <c r="AC110" s="1193"/>
    </row>
    <row r="111" spans="1:29" x14ac:dyDescent="0.3">
      <c r="A111" s="681"/>
      <c r="B111" s="1193"/>
      <c r="C111" s="1193"/>
      <c r="D111" s="1193"/>
      <c r="E111" s="1193"/>
      <c r="F111" s="1193"/>
      <c r="G111" s="1193"/>
      <c r="H111" s="1193"/>
      <c r="I111" s="1193"/>
      <c r="J111" s="1193"/>
      <c r="K111" s="1193"/>
      <c r="L111" s="1193"/>
      <c r="M111" s="1193"/>
      <c r="N111" s="1193"/>
      <c r="O111" s="1193"/>
      <c r="P111" s="1193"/>
      <c r="Q111" s="1193"/>
      <c r="R111" s="1193"/>
      <c r="S111" s="1193"/>
      <c r="T111" s="1193"/>
      <c r="U111" s="1193"/>
      <c r="V111" s="1193"/>
      <c r="W111" s="1193"/>
      <c r="X111" s="1193"/>
      <c r="Y111" s="1193"/>
      <c r="Z111" s="1193"/>
      <c r="AA111" s="1193"/>
      <c r="AB111" s="1193"/>
      <c r="AC111" s="1193"/>
    </row>
    <row r="112" spans="1:29" x14ac:dyDescent="0.3">
      <c r="A112" s="681"/>
      <c r="B112" s="1193"/>
      <c r="C112" s="1193"/>
      <c r="D112" s="1193"/>
      <c r="E112" s="1193"/>
      <c r="F112" s="1193"/>
      <c r="G112" s="1193"/>
      <c r="H112" s="1193"/>
      <c r="I112" s="1193"/>
      <c r="J112" s="1193"/>
      <c r="K112" s="1193"/>
      <c r="L112" s="1193"/>
      <c r="M112" s="1193"/>
      <c r="N112" s="1193"/>
      <c r="O112" s="1193"/>
      <c r="P112" s="1193"/>
      <c r="Q112" s="1193"/>
      <c r="R112" s="1193"/>
      <c r="S112" s="1193"/>
      <c r="T112" s="1193"/>
      <c r="U112" s="1193"/>
      <c r="V112" s="1193"/>
      <c r="W112" s="1193"/>
      <c r="X112" s="1193"/>
      <c r="Y112" s="1193"/>
      <c r="Z112" s="1193"/>
      <c r="AA112" s="1193"/>
      <c r="AB112" s="1193"/>
      <c r="AC112" s="1193"/>
    </row>
    <row r="113" spans="1:29" x14ac:dyDescent="0.3">
      <c r="A113" s="681"/>
      <c r="B113" s="1193"/>
      <c r="C113" s="1193"/>
      <c r="D113" s="1193"/>
      <c r="E113" s="1193"/>
      <c r="F113" s="1193"/>
      <c r="G113" s="1193"/>
      <c r="H113" s="1193"/>
      <c r="I113" s="1193"/>
      <c r="J113" s="1193"/>
      <c r="K113" s="1193"/>
      <c r="L113" s="1193"/>
      <c r="M113" s="1193"/>
      <c r="N113" s="1193"/>
      <c r="O113" s="1193"/>
      <c r="P113" s="1193"/>
      <c r="Q113" s="1193"/>
      <c r="R113" s="1193"/>
      <c r="S113" s="1193"/>
      <c r="T113" s="1193"/>
      <c r="U113" s="1193"/>
      <c r="V113" s="1193"/>
      <c r="W113" s="1193"/>
      <c r="X113" s="1193"/>
      <c r="Y113" s="1193"/>
      <c r="Z113" s="1193"/>
      <c r="AA113" s="1193"/>
      <c r="AB113" s="1193"/>
      <c r="AC113" s="1193"/>
    </row>
    <row r="114" spans="1:29" x14ac:dyDescent="0.3">
      <c r="A114" s="681"/>
      <c r="B114" s="1193"/>
      <c r="C114" s="1193"/>
      <c r="D114" s="1193"/>
      <c r="E114" s="1193"/>
      <c r="F114" s="1193"/>
      <c r="G114" s="1193"/>
      <c r="H114" s="1193"/>
      <c r="I114" s="1193"/>
      <c r="J114" s="1193"/>
      <c r="K114" s="1193"/>
      <c r="L114" s="1193"/>
      <c r="M114" s="1193"/>
      <c r="N114" s="1193"/>
      <c r="O114" s="1193"/>
      <c r="P114" s="1193"/>
      <c r="Q114" s="1193"/>
      <c r="R114" s="1193"/>
      <c r="S114" s="1193"/>
      <c r="T114" s="1193"/>
      <c r="U114" s="1193"/>
      <c r="V114" s="1193"/>
      <c r="W114" s="1193"/>
      <c r="X114" s="1193"/>
      <c r="Y114" s="1193"/>
      <c r="Z114" s="1193"/>
      <c r="AA114" s="1193"/>
      <c r="AB114" s="1193"/>
      <c r="AC114" s="1193"/>
    </row>
    <row r="115" spans="1:29" x14ac:dyDescent="0.3">
      <c r="A115" s="681"/>
      <c r="B115" s="1193"/>
      <c r="C115" s="1193"/>
      <c r="D115" s="1193"/>
      <c r="E115" s="1193"/>
      <c r="F115" s="1193"/>
      <c r="G115" s="1193"/>
      <c r="H115" s="1193"/>
      <c r="I115" s="1193"/>
      <c r="J115" s="1193"/>
      <c r="K115" s="1193"/>
      <c r="L115" s="1193"/>
      <c r="M115" s="1193"/>
      <c r="N115" s="1193"/>
      <c r="O115" s="1193"/>
      <c r="P115" s="1193"/>
      <c r="Q115" s="1193"/>
      <c r="R115" s="1193"/>
      <c r="S115" s="1193"/>
      <c r="T115" s="1193"/>
      <c r="U115" s="1193"/>
      <c r="V115" s="1193"/>
      <c r="W115" s="1193"/>
      <c r="X115" s="1193"/>
      <c r="Y115" s="1193"/>
      <c r="Z115" s="1193"/>
      <c r="AA115" s="1193"/>
      <c r="AB115" s="1193"/>
      <c r="AC115" s="1193"/>
    </row>
    <row r="116" spans="1:29" x14ac:dyDescent="0.3">
      <c r="A116" s="681"/>
      <c r="B116" s="1193"/>
      <c r="C116" s="1193"/>
      <c r="D116" s="1193"/>
      <c r="E116" s="1193"/>
      <c r="F116" s="1193"/>
      <c r="G116" s="1193"/>
      <c r="H116" s="1193"/>
      <c r="I116" s="1193"/>
      <c r="J116" s="1193"/>
      <c r="K116" s="1193"/>
      <c r="L116" s="1193"/>
      <c r="M116" s="1193"/>
      <c r="N116" s="1193"/>
      <c r="O116" s="1193"/>
      <c r="P116" s="1193"/>
      <c r="Q116" s="1193"/>
      <c r="R116" s="1193"/>
      <c r="S116" s="1193"/>
      <c r="T116" s="1193"/>
      <c r="U116" s="1193"/>
      <c r="V116" s="1193"/>
      <c r="W116" s="1193"/>
      <c r="X116" s="1193"/>
      <c r="Y116" s="1193"/>
      <c r="Z116" s="1193"/>
      <c r="AA116" s="1193"/>
      <c r="AB116" s="1193"/>
      <c r="AC116" s="1193"/>
    </row>
    <row r="117" spans="1:29" x14ac:dyDescent="0.3">
      <c r="A117" s="681"/>
      <c r="B117" s="1193"/>
      <c r="C117" s="1193"/>
      <c r="D117" s="1193"/>
      <c r="E117" s="1193"/>
      <c r="F117" s="1193"/>
      <c r="G117" s="1193"/>
      <c r="H117" s="1193"/>
      <c r="I117" s="1193"/>
      <c r="J117" s="1193"/>
      <c r="K117" s="1193"/>
      <c r="L117" s="1193"/>
      <c r="M117" s="1193"/>
      <c r="N117" s="1193"/>
      <c r="O117" s="1193"/>
      <c r="P117" s="1193"/>
      <c r="Q117" s="1193"/>
      <c r="R117" s="1193"/>
      <c r="S117" s="1193"/>
      <c r="T117" s="1193"/>
      <c r="U117" s="1193"/>
      <c r="V117" s="1193"/>
      <c r="W117" s="1193"/>
      <c r="X117" s="1193"/>
      <c r="Y117" s="1193"/>
      <c r="Z117" s="1193"/>
      <c r="AA117" s="1193"/>
      <c r="AB117" s="1193"/>
      <c r="AC117" s="1193"/>
    </row>
    <row r="118" spans="1:29" x14ac:dyDescent="0.3">
      <c r="A118" s="681"/>
      <c r="B118" s="1193"/>
      <c r="C118" s="1193"/>
      <c r="D118" s="1193"/>
      <c r="E118" s="1193"/>
      <c r="F118" s="1193"/>
      <c r="G118" s="1193"/>
      <c r="H118" s="1193"/>
      <c r="I118" s="1193"/>
      <c r="J118" s="1193"/>
      <c r="K118" s="1193"/>
      <c r="L118" s="1193"/>
      <c r="M118" s="1193"/>
      <c r="N118" s="1193"/>
      <c r="O118" s="1193"/>
      <c r="P118" s="1193"/>
      <c r="Q118" s="1193"/>
      <c r="R118" s="1193"/>
      <c r="S118" s="1193"/>
      <c r="T118" s="1193"/>
      <c r="U118" s="1193"/>
      <c r="V118" s="1193"/>
      <c r="W118" s="1193"/>
      <c r="X118" s="1193"/>
      <c r="Y118" s="1193"/>
      <c r="Z118" s="1193"/>
      <c r="AA118" s="1193"/>
      <c r="AB118" s="1193"/>
      <c r="AC118" s="1193"/>
    </row>
    <row r="119" spans="1:29" x14ac:dyDescent="0.3">
      <c r="A119" s="681"/>
      <c r="B119" s="1193"/>
      <c r="C119" s="1193"/>
      <c r="D119" s="1193"/>
      <c r="E119" s="1193"/>
      <c r="F119" s="1193"/>
      <c r="G119" s="1193"/>
      <c r="H119" s="1193"/>
      <c r="I119" s="1193"/>
      <c r="J119" s="1193"/>
      <c r="K119" s="1193"/>
      <c r="L119" s="1193"/>
      <c r="M119" s="1193"/>
      <c r="N119" s="1193"/>
      <c r="O119" s="1193"/>
      <c r="P119" s="1193"/>
      <c r="Q119" s="1193"/>
      <c r="R119" s="1193"/>
      <c r="S119" s="1193"/>
      <c r="T119" s="1193"/>
      <c r="U119" s="1193"/>
      <c r="V119" s="1193"/>
      <c r="W119" s="1193"/>
      <c r="X119" s="1193"/>
      <c r="Y119" s="1193"/>
      <c r="Z119" s="1193"/>
      <c r="AA119" s="1193"/>
      <c r="AB119" s="1193"/>
      <c r="AC119" s="1193"/>
    </row>
    <row r="120" spans="1:29" x14ac:dyDescent="0.3">
      <c r="A120" s="681"/>
      <c r="B120" s="1193"/>
      <c r="C120" s="1193"/>
      <c r="D120" s="1193"/>
      <c r="E120" s="1193"/>
      <c r="F120" s="1193"/>
      <c r="G120" s="1193"/>
      <c r="H120" s="1193"/>
      <c r="I120" s="1193"/>
      <c r="J120" s="1193"/>
      <c r="K120" s="1193"/>
      <c r="L120" s="1193"/>
      <c r="M120" s="1193"/>
      <c r="N120" s="1193"/>
      <c r="O120" s="1193"/>
      <c r="P120" s="1193"/>
      <c r="Q120" s="1193"/>
      <c r="R120" s="1193"/>
      <c r="S120" s="1193"/>
      <c r="T120" s="1193"/>
      <c r="U120" s="1193"/>
      <c r="V120" s="1193"/>
      <c r="W120" s="1193"/>
      <c r="X120" s="1193"/>
      <c r="Y120" s="1193"/>
      <c r="Z120" s="1193"/>
      <c r="AA120" s="1193"/>
      <c r="AB120" s="1193"/>
      <c r="AC120" s="1193"/>
    </row>
    <row r="121" spans="1:29" x14ac:dyDescent="0.3">
      <c r="A121" s="681"/>
      <c r="B121" s="1193"/>
      <c r="C121" s="1193"/>
      <c r="D121" s="1193"/>
      <c r="E121" s="1193"/>
      <c r="F121" s="1193"/>
      <c r="G121" s="1193"/>
      <c r="H121" s="1193"/>
      <c r="I121" s="1193"/>
      <c r="J121" s="1193"/>
      <c r="K121" s="1193"/>
      <c r="L121" s="1193"/>
      <c r="M121" s="1193"/>
      <c r="N121" s="1193"/>
      <c r="O121" s="1193"/>
      <c r="P121" s="1193"/>
      <c r="Q121" s="1193"/>
      <c r="R121" s="1193"/>
      <c r="S121" s="1193"/>
      <c r="T121" s="1193"/>
      <c r="U121" s="1193"/>
      <c r="V121" s="1193"/>
      <c r="W121" s="1193"/>
      <c r="X121" s="1193"/>
      <c r="Y121" s="1193"/>
      <c r="Z121" s="1193"/>
      <c r="AA121" s="1193"/>
      <c r="AB121" s="1193"/>
      <c r="AC121" s="1193"/>
    </row>
    <row r="122" spans="1:29" x14ac:dyDescent="0.3">
      <c r="A122" s="681"/>
      <c r="B122" s="1193"/>
      <c r="C122" s="1193"/>
      <c r="D122" s="1193"/>
      <c r="E122" s="1193"/>
      <c r="F122" s="1193"/>
      <c r="G122" s="1193"/>
      <c r="H122" s="1193"/>
      <c r="I122" s="1193"/>
      <c r="J122" s="1193"/>
      <c r="K122" s="1193"/>
      <c r="L122" s="1193"/>
      <c r="M122" s="1193"/>
      <c r="N122" s="1193"/>
      <c r="O122" s="1193"/>
      <c r="P122" s="1193"/>
      <c r="Q122" s="1193"/>
      <c r="R122" s="1193"/>
      <c r="S122" s="1193"/>
      <c r="T122" s="1193"/>
      <c r="U122" s="1193"/>
      <c r="V122" s="1193"/>
      <c r="W122" s="1193"/>
      <c r="X122" s="1193"/>
      <c r="Y122" s="1193"/>
      <c r="Z122" s="1193"/>
      <c r="AA122" s="1193"/>
      <c r="AB122" s="1193"/>
      <c r="AC122" s="1193"/>
    </row>
    <row r="123" spans="1:29" x14ac:dyDescent="0.3">
      <c r="A123" s="681"/>
      <c r="B123" s="1193"/>
      <c r="C123" s="1193"/>
      <c r="D123" s="1193"/>
      <c r="E123" s="1193"/>
      <c r="F123" s="1193"/>
      <c r="G123" s="1193"/>
      <c r="H123" s="1193"/>
      <c r="I123" s="1193"/>
      <c r="J123" s="1193"/>
      <c r="K123" s="1193"/>
      <c r="L123" s="1193"/>
      <c r="M123" s="1193"/>
      <c r="N123" s="1193"/>
      <c r="O123" s="1193"/>
      <c r="P123" s="1193"/>
      <c r="Q123" s="1193"/>
      <c r="R123" s="1193"/>
      <c r="S123" s="1193"/>
      <c r="T123" s="1193"/>
      <c r="U123" s="1193"/>
      <c r="V123" s="1193"/>
      <c r="W123" s="1193"/>
      <c r="X123" s="1193"/>
      <c r="Y123" s="1193"/>
      <c r="Z123" s="1193"/>
      <c r="AA123" s="1193"/>
      <c r="AB123" s="1193"/>
      <c r="AC123" s="1193"/>
    </row>
    <row r="124" spans="1:29" x14ac:dyDescent="0.3">
      <c r="A124" s="681"/>
      <c r="B124" s="1193"/>
      <c r="C124" s="1193"/>
      <c r="D124" s="1193"/>
      <c r="E124" s="1193"/>
      <c r="F124" s="1193"/>
      <c r="G124" s="1193"/>
      <c r="H124" s="1193"/>
      <c r="I124" s="1193"/>
      <c r="J124" s="1193"/>
      <c r="K124" s="1193"/>
      <c r="L124" s="1193"/>
      <c r="M124" s="1193"/>
      <c r="N124" s="1193"/>
      <c r="O124" s="1193"/>
      <c r="P124" s="1193"/>
      <c r="Q124" s="1193"/>
      <c r="R124" s="1193"/>
      <c r="S124" s="1193"/>
      <c r="T124" s="1193"/>
      <c r="U124" s="1193"/>
      <c r="V124" s="1193"/>
      <c r="W124" s="1193"/>
      <c r="X124" s="1193"/>
      <c r="Y124" s="1193"/>
      <c r="Z124" s="1193"/>
      <c r="AA124" s="1193"/>
      <c r="AB124" s="1193"/>
      <c r="AC124" s="1193"/>
    </row>
    <row r="125" spans="1:29" x14ac:dyDescent="0.3">
      <c r="A125" s="681"/>
      <c r="B125" s="1193"/>
      <c r="C125" s="1193"/>
      <c r="D125" s="1193"/>
      <c r="E125" s="1193"/>
      <c r="F125" s="1193"/>
      <c r="G125" s="1193"/>
      <c r="H125" s="1193"/>
      <c r="I125" s="1193"/>
      <c r="J125" s="1193"/>
      <c r="K125" s="1193"/>
      <c r="L125" s="1193"/>
      <c r="M125" s="1193"/>
      <c r="N125" s="1193"/>
      <c r="O125" s="1193"/>
      <c r="P125" s="1193"/>
      <c r="Q125" s="1193"/>
      <c r="R125" s="1193"/>
      <c r="S125" s="1193"/>
      <c r="T125" s="1193"/>
      <c r="U125" s="1193"/>
      <c r="V125" s="1193"/>
      <c r="W125" s="1193"/>
      <c r="X125" s="1193"/>
      <c r="Y125" s="1193"/>
      <c r="Z125" s="1193"/>
      <c r="AA125" s="1193"/>
      <c r="AB125" s="1193"/>
      <c r="AC125" s="1193"/>
    </row>
    <row r="126" spans="1:29" x14ac:dyDescent="0.3">
      <c r="A126" s="681"/>
      <c r="B126" s="1193"/>
      <c r="C126" s="1193"/>
      <c r="D126" s="1193"/>
      <c r="E126" s="1193"/>
      <c r="F126" s="1193"/>
      <c r="G126" s="1193"/>
      <c r="H126" s="1193"/>
      <c r="I126" s="1193"/>
      <c r="J126" s="1193"/>
      <c r="K126" s="1193"/>
      <c r="L126" s="1193"/>
      <c r="M126" s="1193"/>
      <c r="N126" s="1193"/>
      <c r="O126" s="1193"/>
      <c r="P126" s="1193"/>
      <c r="Q126" s="1193"/>
      <c r="R126" s="1193"/>
      <c r="S126" s="1193"/>
      <c r="T126" s="1193"/>
      <c r="U126" s="1193"/>
      <c r="V126" s="1193"/>
      <c r="W126" s="1193"/>
      <c r="X126" s="1193"/>
      <c r="Y126" s="1193"/>
      <c r="Z126" s="1193"/>
      <c r="AA126" s="1193"/>
      <c r="AB126" s="1193"/>
      <c r="AC126" s="1193"/>
    </row>
    <row r="127" spans="1:29" x14ac:dyDescent="0.3">
      <c r="A127" s="681"/>
      <c r="B127" s="1193"/>
      <c r="C127" s="1193"/>
      <c r="D127" s="1193"/>
      <c r="E127" s="1193"/>
      <c r="F127" s="1193"/>
      <c r="G127" s="1193"/>
      <c r="H127" s="1193"/>
      <c r="I127" s="1193"/>
      <c r="J127" s="1193"/>
      <c r="K127" s="1193"/>
      <c r="L127" s="1193"/>
      <c r="M127" s="1193"/>
      <c r="N127" s="1193"/>
      <c r="O127" s="1193"/>
      <c r="P127" s="1193"/>
      <c r="Q127" s="1193"/>
      <c r="R127" s="1193"/>
      <c r="S127" s="1193"/>
      <c r="T127" s="1193"/>
      <c r="U127" s="1193"/>
      <c r="V127" s="1193"/>
      <c r="W127" s="1193"/>
      <c r="X127" s="1193"/>
      <c r="Y127" s="1193"/>
      <c r="Z127" s="1193"/>
      <c r="AA127" s="1193"/>
      <c r="AB127" s="1193"/>
      <c r="AC127" s="1193"/>
    </row>
    <row r="128" spans="1:29" x14ac:dyDescent="0.3">
      <c r="A128" s="681"/>
      <c r="B128" s="1193"/>
      <c r="C128" s="1193"/>
      <c r="D128" s="1193"/>
      <c r="E128" s="1193"/>
      <c r="F128" s="1193"/>
      <c r="G128" s="1193"/>
      <c r="H128" s="1193"/>
      <c r="I128" s="1193"/>
      <c r="J128" s="1193"/>
      <c r="K128" s="1193"/>
      <c r="L128" s="1193"/>
      <c r="M128" s="1193"/>
      <c r="N128" s="1193"/>
      <c r="O128" s="1193"/>
      <c r="P128" s="1193"/>
      <c r="Q128" s="1193"/>
      <c r="R128" s="1193"/>
      <c r="S128" s="1193"/>
      <c r="T128" s="1193"/>
      <c r="U128" s="1193"/>
      <c r="V128" s="1193"/>
      <c r="W128" s="1193"/>
      <c r="X128" s="1193"/>
      <c r="Y128" s="1193"/>
      <c r="Z128" s="1193"/>
      <c r="AA128" s="1193"/>
      <c r="AB128" s="1193"/>
      <c r="AC128" s="1193"/>
    </row>
    <row r="129" spans="1:29" x14ac:dyDescent="0.3">
      <c r="A129" s="681"/>
      <c r="B129" s="1193"/>
      <c r="C129" s="1193"/>
      <c r="D129" s="1193"/>
      <c r="E129" s="1193"/>
      <c r="F129" s="1193"/>
      <c r="G129" s="1193"/>
      <c r="H129" s="1193"/>
      <c r="I129" s="1193"/>
      <c r="J129" s="1193"/>
      <c r="K129" s="1193"/>
      <c r="L129" s="1193"/>
      <c r="M129" s="1193"/>
      <c r="N129" s="1193"/>
      <c r="O129" s="1193"/>
      <c r="P129" s="1193"/>
      <c r="Q129" s="1193"/>
      <c r="R129" s="1193"/>
      <c r="S129" s="1193"/>
      <c r="T129" s="1193"/>
      <c r="U129" s="1193"/>
      <c r="V129" s="1193"/>
      <c r="W129" s="1193"/>
      <c r="X129" s="1193"/>
      <c r="Y129" s="1193"/>
      <c r="Z129" s="1193"/>
      <c r="AA129" s="1193"/>
      <c r="AB129" s="1193"/>
      <c r="AC129" s="1193"/>
    </row>
    <row r="130" spans="1:29" x14ac:dyDescent="0.3">
      <c r="A130" s="681"/>
      <c r="B130" s="1193"/>
      <c r="C130" s="1193"/>
      <c r="D130" s="1193"/>
      <c r="E130" s="1193"/>
      <c r="F130" s="1193"/>
      <c r="G130" s="1193"/>
      <c r="H130" s="1193"/>
      <c r="I130" s="1193"/>
      <c r="J130" s="1193"/>
      <c r="K130" s="1193"/>
      <c r="L130" s="1193"/>
      <c r="M130" s="1193"/>
      <c r="N130" s="1193"/>
      <c r="O130" s="1193"/>
      <c r="P130" s="1193"/>
      <c r="Q130" s="1193"/>
      <c r="R130" s="1193"/>
      <c r="S130" s="1193"/>
      <c r="T130" s="1193"/>
      <c r="U130" s="1193"/>
      <c r="V130" s="1193"/>
      <c r="W130" s="1193"/>
      <c r="X130" s="1193"/>
      <c r="Y130" s="1193"/>
      <c r="Z130" s="1193"/>
      <c r="AA130" s="1193"/>
      <c r="AB130" s="1193"/>
      <c r="AC130" s="1193"/>
    </row>
    <row r="131" spans="1:29" x14ac:dyDescent="0.3">
      <c r="A131" s="681"/>
      <c r="B131" s="1193"/>
      <c r="C131" s="1193"/>
      <c r="D131" s="1193"/>
      <c r="E131" s="1193"/>
      <c r="F131" s="1193"/>
      <c r="G131" s="1193"/>
      <c r="H131" s="1193"/>
      <c r="I131" s="1193"/>
      <c r="J131" s="1193"/>
      <c r="K131" s="1193"/>
      <c r="L131" s="1193"/>
      <c r="M131" s="1193"/>
      <c r="N131" s="1193"/>
      <c r="O131" s="1193"/>
      <c r="P131" s="1193"/>
      <c r="Q131" s="1193"/>
      <c r="R131" s="1193"/>
      <c r="S131" s="1193"/>
      <c r="T131" s="1193"/>
      <c r="U131" s="1193"/>
      <c r="V131" s="1193"/>
      <c r="W131" s="1193"/>
      <c r="X131" s="1193"/>
      <c r="Y131" s="1193"/>
      <c r="Z131" s="1193"/>
      <c r="AA131" s="1193"/>
      <c r="AB131" s="1193"/>
      <c r="AC131" s="1193"/>
    </row>
    <row r="132" spans="1:29" x14ac:dyDescent="0.3">
      <c r="A132" s="681"/>
      <c r="B132" s="1193"/>
      <c r="C132" s="1193"/>
      <c r="D132" s="1193"/>
      <c r="E132" s="1193"/>
      <c r="F132" s="1193"/>
      <c r="G132" s="1193"/>
      <c r="H132" s="1193"/>
      <c r="I132" s="1193"/>
      <c r="J132" s="1193"/>
      <c r="K132" s="1193"/>
      <c r="L132" s="1193"/>
      <c r="M132" s="1193"/>
      <c r="N132" s="1193"/>
      <c r="O132" s="1193"/>
      <c r="P132" s="1193"/>
      <c r="Q132" s="1193"/>
      <c r="R132" s="1193"/>
      <c r="S132" s="1193"/>
      <c r="T132" s="1193"/>
      <c r="U132" s="1193"/>
      <c r="V132" s="1193"/>
      <c r="W132" s="1193"/>
      <c r="X132" s="1193"/>
      <c r="Y132" s="1193"/>
      <c r="Z132" s="1193"/>
      <c r="AA132" s="1193"/>
      <c r="AB132" s="1193"/>
      <c r="AC132" s="1193"/>
    </row>
    <row r="133" spans="1:29" x14ac:dyDescent="0.3">
      <c r="A133" s="681"/>
      <c r="B133" s="1193"/>
      <c r="C133" s="1193"/>
      <c r="D133" s="1193"/>
      <c r="E133" s="1193"/>
      <c r="F133" s="1193"/>
      <c r="G133" s="1193"/>
      <c r="H133" s="1193"/>
      <c r="I133" s="1193"/>
      <c r="J133" s="1193"/>
      <c r="K133" s="1193"/>
      <c r="L133" s="1193"/>
      <c r="M133" s="1193"/>
      <c r="N133" s="1193"/>
      <c r="O133" s="1193"/>
      <c r="P133" s="1193"/>
      <c r="Q133" s="1193"/>
      <c r="R133" s="1193"/>
      <c r="S133" s="1193"/>
      <c r="T133" s="1193"/>
      <c r="U133" s="1193"/>
      <c r="V133" s="1193"/>
      <c r="W133" s="1193"/>
      <c r="X133" s="1193"/>
      <c r="Y133" s="1193"/>
      <c r="Z133" s="1193"/>
      <c r="AA133" s="1193"/>
      <c r="AB133" s="1193"/>
      <c r="AC133" s="1193"/>
    </row>
    <row r="134" spans="1:29" x14ac:dyDescent="0.3">
      <c r="A134" s="681"/>
      <c r="B134" s="1193"/>
      <c r="C134" s="1193"/>
      <c r="D134" s="1193"/>
      <c r="E134" s="1193"/>
      <c r="F134" s="1193"/>
      <c r="G134" s="1193"/>
      <c r="H134" s="1193"/>
      <c r="I134" s="1193"/>
      <c r="J134" s="1193"/>
      <c r="K134" s="1193"/>
      <c r="L134" s="1193"/>
      <c r="M134" s="1193"/>
      <c r="N134" s="1193"/>
      <c r="O134" s="1193"/>
      <c r="P134" s="1193"/>
      <c r="Q134" s="1193"/>
      <c r="R134" s="1193"/>
      <c r="S134" s="1193"/>
      <c r="T134" s="1193"/>
      <c r="U134" s="1193"/>
      <c r="V134" s="1193"/>
      <c r="W134" s="1193"/>
      <c r="X134" s="1193"/>
      <c r="Y134" s="1193"/>
      <c r="Z134" s="1193"/>
      <c r="AA134" s="1193"/>
      <c r="AB134" s="1193"/>
      <c r="AC134" s="1193"/>
    </row>
    <row r="135" spans="1:29" x14ac:dyDescent="0.3">
      <c r="A135" s="681"/>
      <c r="B135" s="1193"/>
      <c r="C135" s="1193"/>
      <c r="D135" s="1193"/>
      <c r="E135" s="1193"/>
      <c r="F135" s="1193"/>
      <c r="G135" s="1193"/>
      <c r="H135" s="1193"/>
      <c r="I135" s="1193"/>
      <c r="J135" s="1193"/>
      <c r="K135" s="1193"/>
      <c r="L135" s="1193"/>
      <c r="M135" s="1193"/>
      <c r="N135" s="1193"/>
      <c r="O135" s="1193"/>
      <c r="P135" s="1193"/>
      <c r="Q135" s="1193"/>
      <c r="R135" s="1193"/>
      <c r="S135" s="1193"/>
      <c r="T135" s="1193"/>
      <c r="U135" s="1193"/>
      <c r="V135" s="1193"/>
      <c r="W135" s="1193"/>
      <c r="X135" s="1193"/>
      <c r="Y135" s="1193"/>
      <c r="Z135" s="1193"/>
      <c r="AA135" s="1193"/>
      <c r="AB135" s="1193"/>
      <c r="AC135" s="1193"/>
    </row>
    <row r="136" spans="1:29" x14ac:dyDescent="0.3">
      <c r="A136" s="681"/>
      <c r="B136" s="1193"/>
      <c r="C136" s="1193"/>
      <c r="D136" s="1193"/>
      <c r="E136" s="1193"/>
      <c r="F136" s="1193"/>
      <c r="G136" s="1193"/>
      <c r="H136" s="1193"/>
      <c r="I136" s="1193"/>
      <c r="J136" s="1193"/>
      <c r="K136" s="1193"/>
      <c r="L136" s="1193"/>
      <c r="M136" s="1193"/>
      <c r="N136" s="1193"/>
      <c r="O136" s="1193"/>
      <c r="P136" s="1193"/>
      <c r="Q136" s="1193"/>
      <c r="R136" s="1193"/>
      <c r="S136" s="1193"/>
      <c r="T136" s="1193"/>
      <c r="U136" s="1193"/>
      <c r="V136" s="1193"/>
      <c r="W136" s="1193"/>
      <c r="X136" s="1193"/>
      <c r="Y136" s="1193"/>
      <c r="Z136" s="1193"/>
      <c r="AA136" s="1193"/>
      <c r="AB136" s="1193"/>
      <c r="AC136" s="1193"/>
    </row>
    <row r="137" spans="1:29" x14ac:dyDescent="0.3">
      <c r="A137" s="681"/>
      <c r="B137" s="1193"/>
      <c r="C137" s="1193"/>
      <c r="D137" s="1193"/>
      <c r="E137" s="1193"/>
      <c r="F137" s="1193"/>
      <c r="G137" s="1193"/>
      <c r="H137" s="1193"/>
      <c r="I137" s="1193"/>
      <c r="J137" s="1193"/>
      <c r="K137" s="1193"/>
      <c r="L137" s="1193"/>
      <c r="M137" s="1193"/>
      <c r="N137" s="1193"/>
      <c r="O137" s="1193"/>
      <c r="P137" s="1193"/>
      <c r="Q137" s="1193"/>
      <c r="R137" s="1193"/>
      <c r="S137" s="1193"/>
      <c r="T137" s="1193"/>
      <c r="U137" s="1193"/>
      <c r="V137" s="1193"/>
      <c r="W137" s="1193"/>
      <c r="X137" s="1193"/>
      <c r="Y137" s="1193"/>
      <c r="Z137" s="1193"/>
      <c r="AA137" s="1193"/>
      <c r="AB137" s="1193"/>
      <c r="AC137" s="1193"/>
    </row>
    <row r="138" spans="1:29" x14ac:dyDescent="0.3">
      <c r="A138" s="681"/>
      <c r="B138" s="1193"/>
      <c r="C138" s="1193"/>
      <c r="D138" s="1193"/>
      <c r="E138" s="1193"/>
      <c r="F138" s="1193"/>
      <c r="G138" s="1193"/>
      <c r="H138" s="1193"/>
      <c r="I138" s="1193"/>
      <c r="J138" s="1193"/>
      <c r="K138" s="1193"/>
      <c r="L138" s="1193"/>
      <c r="M138" s="1193"/>
      <c r="N138" s="1193"/>
      <c r="O138" s="1193"/>
      <c r="P138" s="1193"/>
      <c r="Q138" s="1193"/>
      <c r="R138" s="1193"/>
      <c r="S138" s="1193"/>
      <c r="T138" s="1193"/>
      <c r="U138" s="1193"/>
      <c r="V138" s="1193"/>
      <c r="W138" s="1193"/>
      <c r="X138" s="1193"/>
      <c r="Y138" s="1193"/>
      <c r="Z138" s="1193"/>
      <c r="AA138" s="1193"/>
      <c r="AB138" s="1193"/>
      <c r="AC138" s="1193"/>
    </row>
    <row r="139" spans="1:29" x14ac:dyDescent="0.3">
      <c r="A139" s="681"/>
      <c r="B139" s="1193"/>
      <c r="C139" s="1193"/>
      <c r="D139" s="1193"/>
      <c r="E139" s="1193"/>
      <c r="F139" s="1193"/>
      <c r="G139" s="1193"/>
      <c r="H139" s="1193"/>
      <c r="I139" s="1193"/>
      <c r="J139" s="1193"/>
      <c r="K139" s="1193"/>
      <c r="L139" s="1193"/>
      <c r="M139" s="1193"/>
      <c r="N139" s="1193"/>
      <c r="O139" s="1193"/>
      <c r="P139" s="1193"/>
      <c r="Q139" s="1193"/>
      <c r="R139" s="1193"/>
      <c r="S139" s="1193"/>
      <c r="T139" s="1193"/>
      <c r="U139" s="1193"/>
      <c r="V139" s="1193"/>
      <c r="W139" s="1193"/>
      <c r="X139" s="1193"/>
      <c r="Y139" s="1193"/>
      <c r="Z139" s="1193"/>
      <c r="AA139" s="1193"/>
      <c r="AB139" s="1193"/>
      <c r="AC139" s="1193"/>
    </row>
    <row r="140" spans="1:29" x14ac:dyDescent="0.3">
      <c r="A140" s="681"/>
      <c r="B140" s="1193"/>
      <c r="C140" s="1193"/>
      <c r="D140" s="1193"/>
      <c r="E140" s="1193"/>
      <c r="F140" s="1193"/>
      <c r="G140" s="1193"/>
      <c r="H140" s="1193"/>
      <c r="I140" s="1193"/>
      <c r="J140" s="1193"/>
      <c r="K140" s="1193"/>
      <c r="L140" s="1193"/>
      <c r="M140" s="1193"/>
      <c r="N140" s="1193"/>
      <c r="O140" s="1193"/>
      <c r="P140" s="1193"/>
      <c r="Q140" s="1193"/>
      <c r="R140" s="1193"/>
      <c r="S140" s="1193"/>
      <c r="T140" s="1193"/>
      <c r="U140" s="1193"/>
      <c r="V140" s="1193"/>
      <c r="W140" s="1193"/>
      <c r="X140" s="1193"/>
      <c r="Y140" s="1193"/>
      <c r="Z140" s="1193"/>
      <c r="AA140" s="1193"/>
      <c r="AB140" s="1193"/>
      <c r="AC140" s="1193"/>
    </row>
    <row r="141" spans="1:29" x14ac:dyDescent="0.3">
      <c r="A141" s="681"/>
      <c r="B141" s="1193"/>
      <c r="C141" s="1193"/>
      <c r="D141" s="1193"/>
      <c r="E141" s="1193"/>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93"/>
      <c r="AB141" s="1193"/>
      <c r="AC141" s="1193"/>
    </row>
    <row r="142" spans="1:29" x14ac:dyDescent="0.3">
      <c r="A142" s="681"/>
      <c r="B142" s="1193"/>
      <c r="C142" s="1193"/>
      <c r="D142" s="1193"/>
      <c r="E142" s="1193"/>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93"/>
      <c r="AB142" s="1193"/>
      <c r="AC142" s="1193"/>
    </row>
    <row r="143" spans="1:29" x14ac:dyDescent="0.3">
      <c r="A143" s="681"/>
      <c r="B143" s="1193"/>
      <c r="C143" s="1193"/>
      <c r="D143" s="119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93"/>
      <c r="AB143" s="1193"/>
      <c r="AC143" s="1193"/>
    </row>
    <row r="144" spans="1:29" x14ac:dyDescent="0.3">
      <c r="A144" s="681"/>
      <c r="B144" s="1193"/>
      <c r="C144" s="1193"/>
      <c r="D144" s="119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c r="AA144" s="1193"/>
      <c r="AB144" s="1193"/>
      <c r="AC144" s="1193"/>
    </row>
    <row r="145" spans="1:29" x14ac:dyDescent="0.3">
      <c r="A145" s="681"/>
      <c r="B145" s="1193"/>
      <c r="C145" s="1193"/>
      <c r="D145" s="119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c r="AA145" s="1193"/>
      <c r="AB145" s="1193"/>
      <c r="AC145" s="1193"/>
    </row>
    <row r="146" spans="1:29" x14ac:dyDescent="0.3">
      <c r="A146" s="681"/>
      <c r="B146" s="1193"/>
      <c r="C146" s="1193"/>
      <c r="D146" s="1193"/>
      <c r="E146" s="1193"/>
      <c r="F146" s="1193"/>
      <c r="G146" s="1193"/>
      <c r="H146" s="1193"/>
      <c r="I146" s="1193"/>
      <c r="J146" s="1193"/>
      <c r="K146" s="1193"/>
      <c r="L146" s="1193"/>
      <c r="M146" s="1193"/>
      <c r="N146" s="1193"/>
      <c r="O146" s="1193"/>
      <c r="P146" s="1193"/>
      <c r="Q146" s="1193"/>
      <c r="R146" s="1193"/>
      <c r="S146" s="1193"/>
      <c r="T146" s="1193"/>
      <c r="U146" s="1193"/>
      <c r="V146" s="1193"/>
      <c r="W146" s="1193"/>
      <c r="X146" s="1193"/>
      <c r="Y146" s="1193"/>
      <c r="Z146" s="1193"/>
      <c r="AA146" s="1193"/>
      <c r="AB146" s="1193"/>
      <c r="AC146" s="1193"/>
    </row>
    <row r="147" spans="1:29" x14ac:dyDescent="0.3">
      <c r="A147" s="681"/>
      <c r="B147" s="1193"/>
      <c r="C147" s="1193"/>
      <c r="D147" s="119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c r="AA147" s="1193"/>
      <c r="AB147" s="1193"/>
      <c r="AC147" s="1193"/>
    </row>
    <row r="148" spans="1:29" x14ac:dyDescent="0.3">
      <c r="A148" s="681"/>
      <c r="B148" s="1193"/>
      <c r="C148" s="1193"/>
      <c r="D148" s="119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c r="AA148" s="1193"/>
      <c r="AB148" s="1193"/>
      <c r="AC148" s="1193"/>
    </row>
    <row r="149" spans="1:29" x14ac:dyDescent="0.3">
      <c r="A149" s="681"/>
      <c r="B149" s="1193"/>
      <c r="C149" s="1193"/>
      <c r="D149" s="119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93"/>
      <c r="AB149" s="1193"/>
      <c r="AC149" s="1193"/>
    </row>
    <row r="150" spans="1:29" x14ac:dyDescent="0.3">
      <c r="A150" s="681"/>
      <c r="B150" s="1193"/>
      <c r="C150" s="1193"/>
      <c r="D150" s="119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c r="AA150" s="1193"/>
      <c r="AB150" s="1193"/>
      <c r="AC150" s="1193"/>
    </row>
    <row r="151" spans="1:29" x14ac:dyDescent="0.3">
      <c r="A151" s="681"/>
      <c r="B151" s="1193"/>
      <c r="C151" s="1193"/>
      <c r="D151" s="119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93"/>
      <c r="AB151" s="1193"/>
      <c r="AC151" s="1193"/>
    </row>
    <row r="152" spans="1:29" x14ac:dyDescent="0.3">
      <c r="A152" s="681"/>
      <c r="B152" s="1193"/>
      <c r="C152" s="1193"/>
      <c r="D152" s="1193"/>
      <c r="E152" s="1193"/>
      <c r="F152" s="1193"/>
      <c r="G152" s="1193"/>
      <c r="H152" s="1193"/>
      <c r="I152" s="1193"/>
      <c r="J152" s="1193"/>
      <c r="K152" s="1193"/>
      <c r="L152" s="1193"/>
      <c r="M152" s="1193"/>
      <c r="N152" s="1193"/>
      <c r="O152" s="1193"/>
      <c r="P152" s="1193"/>
      <c r="Q152" s="1193"/>
      <c r="R152" s="1193"/>
      <c r="S152" s="1193"/>
      <c r="T152" s="1193"/>
      <c r="U152" s="1193"/>
      <c r="V152" s="1193"/>
      <c r="W152" s="1193"/>
      <c r="X152" s="1193"/>
      <c r="Y152" s="1193"/>
      <c r="Z152" s="1193"/>
      <c r="AA152" s="1193"/>
      <c r="AB152" s="1193"/>
      <c r="AC152" s="1193"/>
    </row>
    <row r="153" spans="1:29" x14ac:dyDescent="0.3">
      <c r="A153" s="681"/>
      <c r="B153" s="1193"/>
      <c r="C153" s="1193"/>
      <c r="D153" s="119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c r="AA153" s="1193"/>
      <c r="AB153" s="1193"/>
      <c r="AC153" s="1193"/>
    </row>
    <row r="154" spans="1:29" x14ac:dyDescent="0.3">
      <c r="A154" s="681"/>
      <c r="B154" s="1193"/>
      <c r="C154" s="1193"/>
      <c r="D154" s="119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c r="AA154" s="1193"/>
      <c r="AB154" s="1193"/>
      <c r="AC154" s="1193"/>
    </row>
    <row r="155" spans="1:29" x14ac:dyDescent="0.3">
      <c r="A155" s="681"/>
      <c r="B155" s="1193"/>
      <c r="C155" s="1193"/>
      <c r="D155" s="1193"/>
      <c r="E155" s="1193"/>
      <c r="F155" s="1193"/>
      <c r="G155" s="1193"/>
      <c r="H155" s="1193"/>
      <c r="I155" s="1193"/>
      <c r="J155" s="1193"/>
      <c r="K155" s="1193"/>
      <c r="L155" s="1193"/>
      <c r="M155" s="1193"/>
      <c r="N155" s="1193"/>
      <c r="O155" s="1193"/>
      <c r="P155" s="1193"/>
      <c r="Q155" s="1193"/>
      <c r="R155" s="1193"/>
      <c r="S155" s="1193"/>
      <c r="T155" s="1193"/>
      <c r="U155" s="1193"/>
      <c r="V155" s="1193"/>
      <c r="W155" s="1193"/>
      <c r="X155" s="1193"/>
      <c r="Y155" s="1193"/>
      <c r="Z155" s="1193"/>
      <c r="AA155" s="1193"/>
      <c r="AB155" s="1193"/>
      <c r="AC155" s="1193"/>
    </row>
    <row r="156" spans="1:29" x14ac:dyDescent="0.3">
      <c r="A156" s="681"/>
      <c r="B156" s="1193"/>
      <c r="C156" s="1193"/>
      <c r="D156" s="119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c r="AA156" s="1193"/>
      <c r="AB156" s="1193"/>
      <c r="AC156" s="1193"/>
    </row>
    <row r="157" spans="1:29" x14ac:dyDescent="0.3">
      <c r="A157" s="681"/>
      <c r="B157" s="1193"/>
      <c r="C157" s="1193"/>
      <c r="D157" s="119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c r="AA157" s="1193"/>
      <c r="AB157" s="1193"/>
      <c r="AC157" s="1193"/>
    </row>
    <row r="158" spans="1:29" x14ac:dyDescent="0.3">
      <c r="A158" s="681"/>
      <c r="B158" s="1193"/>
      <c r="C158" s="1193"/>
      <c r="D158" s="1193"/>
      <c r="E158" s="1193"/>
      <c r="F158" s="1193"/>
      <c r="G158" s="1193"/>
      <c r="H158" s="1193"/>
      <c r="I158" s="1193"/>
      <c r="J158" s="1193"/>
      <c r="K158" s="1193"/>
      <c r="L158" s="1193"/>
      <c r="M158" s="1193"/>
      <c r="N158" s="1193"/>
      <c r="O158" s="1193"/>
      <c r="P158" s="1193"/>
      <c r="Q158" s="1193"/>
      <c r="R158" s="1193"/>
      <c r="S158" s="1193"/>
      <c r="T158" s="1193"/>
      <c r="U158" s="1193"/>
      <c r="V158" s="1193"/>
      <c r="W158" s="1193"/>
      <c r="X158" s="1193"/>
      <c r="Y158" s="1193"/>
      <c r="Z158" s="1193"/>
      <c r="AA158" s="1193"/>
      <c r="AB158" s="1193"/>
      <c r="AC158" s="1193"/>
    </row>
    <row r="159" spans="1:29" x14ac:dyDescent="0.3">
      <c r="A159" s="681"/>
      <c r="B159" s="1193"/>
      <c r="C159" s="1193"/>
      <c r="D159" s="1193"/>
      <c r="E159" s="1193"/>
      <c r="F159" s="1193"/>
      <c r="G159" s="1193"/>
      <c r="H159" s="1193"/>
      <c r="I159" s="1193"/>
      <c r="J159" s="1193"/>
      <c r="K159" s="1193"/>
      <c r="L159" s="1193"/>
      <c r="M159" s="1193"/>
      <c r="N159" s="1193"/>
      <c r="O159" s="1193"/>
      <c r="P159" s="1193"/>
      <c r="Q159" s="1193"/>
      <c r="R159" s="1193"/>
      <c r="S159" s="1193"/>
      <c r="T159" s="1193"/>
      <c r="U159" s="1193"/>
      <c r="V159" s="1193"/>
      <c r="W159" s="1193"/>
      <c r="X159" s="1193"/>
      <c r="Y159" s="1193"/>
      <c r="Z159" s="1193"/>
      <c r="AA159" s="1193"/>
      <c r="AB159" s="1193"/>
      <c r="AC159" s="1193"/>
    </row>
    <row r="160" spans="1:29" x14ac:dyDescent="0.3">
      <c r="A160" s="681"/>
      <c r="B160" s="1193"/>
      <c r="C160" s="1193"/>
      <c r="D160" s="119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c r="AA160" s="1193"/>
      <c r="AB160" s="1193"/>
      <c r="AC160" s="1193"/>
    </row>
    <row r="161" spans="1:29" x14ac:dyDescent="0.3">
      <c r="A161" s="681"/>
      <c r="B161" s="1193"/>
      <c r="C161" s="1193"/>
      <c r="D161" s="1193"/>
      <c r="E161" s="1193"/>
      <c r="F161" s="1193"/>
      <c r="G161" s="1193"/>
      <c r="H161" s="1193"/>
      <c r="I161" s="1193"/>
      <c r="J161" s="1193"/>
      <c r="K161" s="1193"/>
      <c r="L161" s="1193"/>
      <c r="M161" s="1193"/>
      <c r="N161" s="1193"/>
      <c r="O161" s="1193"/>
      <c r="P161" s="1193"/>
      <c r="Q161" s="1193"/>
      <c r="R161" s="1193"/>
      <c r="S161" s="1193"/>
      <c r="T161" s="1193"/>
      <c r="U161" s="1193"/>
      <c r="V161" s="1193"/>
      <c r="W161" s="1193"/>
      <c r="X161" s="1193"/>
      <c r="Y161" s="1193"/>
      <c r="Z161" s="1193"/>
      <c r="AA161" s="1193"/>
      <c r="AB161" s="1193"/>
      <c r="AC161" s="1193"/>
    </row>
    <row r="162" spans="1:29" x14ac:dyDescent="0.3">
      <c r="A162" s="681"/>
      <c r="B162" s="1193"/>
      <c r="C162" s="1193"/>
      <c r="D162" s="119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c r="AA162" s="1193"/>
      <c r="AB162" s="1193"/>
      <c r="AC162" s="1193"/>
    </row>
    <row r="163" spans="1:29" x14ac:dyDescent="0.3">
      <c r="A163" s="681"/>
      <c r="B163" s="1193"/>
      <c r="C163" s="1193"/>
      <c r="D163" s="1193"/>
      <c r="E163" s="1193"/>
      <c r="F163" s="1193"/>
      <c r="G163" s="1193"/>
      <c r="H163" s="1193"/>
      <c r="I163" s="1193"/>
      <c r="J163" s="1193"/>
      <c r="K163" s="1193"/>
      <c r="L163" s="1193"/>
      <c r="M163" s="1193"/>
      <c r="N163" s="1193"/>
      <c r="O163" s="1193"/>
      <c r="P163" s="1193"/>
      <c r="Q163" s="1193"/>
      <c r="R163" s="1193"/>
      <c r="S163" s="1193"/>
      <c r="T163" s="1193"/>
      <c r="U163" s="1193"/>
      <c r="V163" s="1193"/>
      <c r="W163" s="1193"/>
      <c r="X163" s="1193"/>
      <c r="Y163" s="1193"/>
      <c r="Z163" s="1193"/>
      <c r="AA163" s="1193"/>
      <c r="AB163" s="1193"/>
      <c r="AC163" s="1193"/>
    </row>
    <row r="164" spans="1:29" x14ac:dyDescent="0.3">
      <c r="A164" s="681"/>
      <c r="B164" s="1193"/>
      <c r="C164" s="1193"/>
      <c r="D164" s="1193"/>
      <c r="E164" s="1193"/>
      <c r="F164" s="1193"/>
      <c r="G164" s="1193"/>
      <c r="H164" s="1193"/>
      <c r="I164" s="1193"/>
      <c r="J164" s="1193"/>
      <c r="K164" s="1193"/>
      <c r="L164" s="1193"/>
      <c r="M164" s="1193"/>
      <c r="N164" s="1193"/>
      <c r="O164" s="1193"/>
      <c r="P164" s="1193"/>
      <c r="Q164" s="1193"/>
      <c r="R164" s="1193"/>
      <c r="S164" s="1193"/>
      <c r="T164" s="1193"/>
      <c r="U164" s="1193"/>
      <c r="V164" s="1193"/>
      <c r="W164" s="1193"/>
      <c r="X164" s="1193"/>
      <c r="Y164" s="1193"/>
      <c r="Z164" s="1193"/>
      <c r="AA164" s="1193"/>
      <c r="AB164" s="1193"/>
      <c r="AC164" s="1193"/>
    </row>
    <row r="165" spans="1:29" x14ac:dyDescent="0.3">
      <c r="A165" s="681"/>
      <c r="B165" s="1193"/>
      <c r="C165" s="1193"/>
      <c r="D165" s="1193"/>
      <c r="E165" s="1193"/>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93"/>
      <c r="AB165" s="1193"/>
      <c r="AC165" s="1193"/>
    </row>
    <row r="166" spans="1:29" x14ac:dyDescent="0.3">
      <c r="A166" s="681"/>
      <c r="B166" s="1193"/>
      <c r="C166" s="1193"/>
      <c r="D166" s="119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93"/>
      <c r="AB166" s="1193"/>
      <c r="AC166" s="1193"/>
    </row>
    <row r="167" spans="1:29" x14ac:dyDescent="0.3">
      <c r="A167" s="681"/>
      <c r="B167" s="1193"/>
      <c r="C167" s="1193"/>
      <c r="D167" s="119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A167" s="1193"/>
      <c r="AB167" s="1193"/>
      <c r="AC167" s="1193"/>
    </row>
    <row r="168" spans="1:29" x14ac:dyDescent="0.3">
      <c r="A168" s="681"/>
      <c r="B168" s="1193"/>
      <c r="C168" s="1193"/>
      <c r="D168" s="119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c r="AA168" s="1193"/>
      <c r="AB168" s="1193"/>
      <c r="AC168" s="1193"/>
    </row>
    <row r="169" spans="1:29" x14ac:dyDescent="0.3">
      <c r="A169" s="681"/>
      <c r="B169" s="1193"/>
      <c r="C169" s="1193"/>
      <c r="D169" s="119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c r="Y169" s="1193"/>
      <c r="Z169" s="1193"/>
      <c r="AA169" s="1193"/>
      <c r="AB169" s="1193"/>
      <c r="AC169" s="1193"/>
    </row>
    <row r="170" spans="1:29" x14ac:dyDescent="0.3">
      <c r="A170" s="681"/>
      <c r="B170" s="1193"/>
      <c r="C170" s="1193"/>
      <c r="D170" s="119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c r="Y170" s="1193"/>
      <c r="Z170" s="1193"/>
      <c r="AA170" s="1193"/>
      <c r="AB170" s="1193"/>
      <c r="AC170" s="1193"/>
    </row>
    <row r="171" spans="1:29" x14ac:dyDescent="0.3">
      <c r="A171" s="681"/>
      <c r="B171" s="1193"/>
      <c r="C171" s="1193"/>
      <c r="D171" s="119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c r="AA171" s="1193"/>
      <c r="AB171" s="1193"/>
      <c r="AC171" s="1193"/>
    </row>
    <row r="172" spans="1:29" x14ac:dyDescent="0.3">
      <c r="A172" s="681"/>
      <c r="B172" s="1193"/>
      <c r="C172" s="1193"/>
      <c r="D172" s="119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c r="Y172" s="1193"/>
      <c r="Z172" s="1193"/>
      <c r="AA172" s="1193"/>
      <c r="AB172" s="1193"/>
      <c r="AC172" s="1193"/>
    </row>
    <row r="173" spans="1:29" x14ac:dyDescent="0.3">
      <c r="A173" s="681"/>
      <c r="B173" s="1193"/>
      <c r="C173" s="1193"/>
      <c r="D173" s="119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c r="AA173" s="1193"/>
      <c r="AB173" s="1193"/>
      <c r="AC173" s="1193"/>
    </row>
    <row r="174" spans="1:29" x14ac:dyDescent="0.3">
      <c r="A174" s="681"/>
      <c r="B174" s="1193"/>
      <c r="C174" s="1193"/>
      <c r="D174" s="119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c r="AA174" s="1193"/>
      <c r="AB174" s="1193"/>
      <c r="AC174" s="1193"/>
    </row>
    <row r="175" spans="1:29" x14ac:dyDescent="0.3">
      <c r="A175" s="681"/>
      <c r="B175" s="1193"/>
      <c r="C175" s="1193"/>
      <c r="D175" s="119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c r="Y175" s="1193"/>
      <c r="Z175" s="1193"/>
      <c r="AA175" s="1193"/>
      <c r="AB175" s="1193"/>
      <c r="AC175" s="1193"/>
    </row>
    <row r="176" spans="1:29" x14ac:dyDescent="0.3">
      <c r="A176" s="681"/>
      <c r="B176" s="1193"/>
      <c r="C176" s="1193"/>
      <c r="D176" s="119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c r="Y176" s="1193"/>
      <c r="Z176" s="1193"/>
      <c r="AA176" s="1193"/>
      <c r="AB176" s="1193"/>
      <c r="AC176" s="1193"/>
    </row>
    <row r="177" spans="1:29" x14ac:dyDescent="0.3">
      <c r="A177" s="681"/>
      <c r="B177" s="1193"/>
      <c r="C177" s="1193"/>
      <c r="D177" s="119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c r="AA177" s="1193"/>
      <c r="AB177" s="1193"/>
      <c r="AC177" s="1193"/>
    </row>
    <row r="178" spans="1:29" x14ac:dyDescent="0.3">
      <c r="A178" s="681"/>
      <c r="B178" s="1193"/>
      <c r="C178" s="1193"/>
      <c r="D178" s="119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c r="Y178" s="1193"/>
      <c r="Z178" s="1193"/>
      <c r="AA178" s="1193"/>
      <c r="AB178" s="1193"/>
      <c r="AC178" s="1193"/>
    </row>
    <row r="179" spans="1:29" x14ac:dyDescent="0.3">
      <c r="A179" s="681"/>
      <c r="B179" s="1193"/>
      <c r="C179" s="1193"/>
      <c r="D179" s="119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93"/>
      <c r="AB179" s="1193"/>
      <c r="AC179" s="1193"/>
    </row>
    <row r="180" spans="1:29" x14ac:dyDescent="0.3">
      <c r="A180" s="681"/>
      <c r="B180" s="1193"/>
      <c r="C180" s="1193"/>
      <c r="D180" s="1193"/>
      <c r="E180" s="1193"/>
      <c r="F180" s="1193"/>
      <c r="G180" s="1193"/>
      <c r="H180" s="1193"/>
      <c r="I180" s="1193"/>
      <c r="J180" s="1193"/>
      <c r="K180" s="1193"/>
      <c r="L180" s="1193"/>
      <c r="M180" s="1193"/>
      <c r="N180" s="1193"/>
      <c r="O180" s="1193"/>
      <c r="P180" s="1193"/>
      <c r="Q180" s="1193"/>
      <c r="R180" s="1193"/>
      <c r="S180" s="1193"/>
      <c r="T180" s="1193"/>
      <c r="U180" s="1193"/>
      <c r="V180" s="1193"/>
      <c r="W180" s="1193"/>
      <c r="X180" s="1193"/>
      <c r="Y180" s="1193"/>
      <c r="Z180" s="1193"/>
      <c r="AA180" s="1193"/>
      <c r="AB180" s="1193"/>
      <c r="AC180" s="1193"/>
    </row>
    <row r="181" spans="1:29" x14ac:dyDescent="0.3">
      <c r="A181" s="681"/>
      <c r="B181" s="1193"/>
      <c r="C181" s="1193"/>
      <c r="D181" s="119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c r="AA181" s="1193"/>
      <c r="AB181" s="1193"/>
      <c r="AC181" s="1193"/>
    </row>
    <row r="182" spans="1:29" x14ac:dyDescent="0.3">
      <c r="A182" s="681"/>
      <c r="B182" s="1193"/>
      <c r="C182" s="1193"/>
      <c r="D182" s="1193"/>
      <c r="E182" s="1193"/>
      <c r="F182" s="1193"/>
      <c r="G182" s="1193"/>
      <c r="H182" s="1193"/>
      <c r="I182" s="1193"/>
      <c r="J182" s="1193"/>
      <c r="K182" s="1193"/>
      <c r="L182" s="1193"/>
      <c r="M182" s="1193"/>
      <c r="N182" s="1193"/>
      <c r="O182" s="1193"/>
      <c r="P182" s="1193"/>
      <c r="Q182" s="1193"/>
      <c r="R182" s="1193"/>
      <c r="S182" s="1193"/>
      <c r="T182" s="1193"/>
      <c r="U182" s="1193"/>
      <c r="V182" s="1193"/>
      <c r="W182" s="1193"/>
      <c r="X182" s="1193"/>
      <c r="Y182" s="1193"/>
      <c r="Z182" s="1193"/>
      <c r="AA182" s="1193"/>
      <c r="AB182" s="1193"/>
      <c r="AC182" s="1193"/>
    </row>
    <row r="183" spans="1:29" x14ac:dyDescent="0.3">
      <c r="A183" s="681"/>
      <c r="B183" s="1193"/>
      <c r="C183" s="1193"/>
      <c r="D183" s="1193"/>
      <c r="E183" s="1193"/>
      <c r="F183" s="1193"/>
      <c r="G183" s="1193"/>
      <c r="H183" s="1193"/>
      <c r="I183" s="1193"/>
      <c r="J183" s="1193"/>
      <c r="K183" s="1193"/>
      <c r="L183" s="1193"/>
      <c r="M183" s="1193"/>
      <c r="N183" s="1193"/>
      <c r="O183" s="1193"/>
      <c r="P183" s="1193"/>
      <c r="Q183" s="1193"/>
      <c r="R183" s="1193"/>
      <c r="S183" s="1193"/>
      <c r="T183" s="1193"/>
      <c r="U183" s="1193"/>
      <c r="V183" s="1193"/>
      <c r="W183" s="1193"/>
      <c r="X183" s="1193"/>
      <c r="Y183" s="1193"/>
      <c r="Z183" s="1193"/>
      <c r="AA183" s="1193"/>
      <c r="AB183" s="1193"/>
      <c r="AC183" s="1193"/>
    </row>
    <row r="184" spans="1:29" x14ac:dyDescent="0.3">
      <c r="A184" s="681"/>
      <c r="B184" s="1193"/>
      <c r="C184" s="1193"/>
      <c r="D184" s="1193"/>
      <c r="E184" s="1193"/>
      <c r="F184" s="1193"/>
      <c r="G184" s="1193"/>
      <c r="H184" s="1193"/>
      <c r="I184" s="1193"/>
      <c r="J184" s="1193"/>
      <c r="K184" s="1193"/>
      <c r="L184" s="1193"/>
      <c r="M184" s="1193"/>
      <c r="N184" s="1193"/>
      <c r="O184" s="1193"/>
      <c r="P184" s="1193"/>
      <c r="Q184" s="1193"/>
      <c r="R184" s="1193"/>
      <c r="S184" s="1193"/>
      <c r="T184" s="1193"/>
      <c r="U184" s="1193"/>
      <c r="V184" s="1193"/>
      <c r="W184" s="1193"/>
      <c r="X184" s="1193"/>
      <c r="Y184" s="1193"/>
      <c r="Z184" s="1193"/>
      <c r="AA184" s="1193"/>
      <c r="AB184" s="1193"/>
      <c r="AC184" s="1193"/>
    </row>
    <row r="185" spans="1:29" x14ac:dyDescent="0.3">
      <c r="A185" s="681"/>
      <c r="B185" s="1193"/>
      <c r="C185" s="1193"/>
      <c r="D185" s="1193"/>
      <c r="E185" s="1193"/>
      <c r="F185" s="1193"/>
      <c r="G185" s="1193"/>
      <c r="H185" s="1193"/>
      <c r="I185" s="1193"/>
      <c r="J185" s="1193"/>
      <c r="K185" s="1193"/>
      <c r="L185" s="1193"/>
      <c r="M185" s="1193"/>
      <c r="N185" s="1193"/>
      <c r="O185" s="1193"/>
      <c r="P185" s="1193"/>
      <c r="Q185" s="1193"/>
      <c r="R185" s="1193"/>
      <c r="S185" s="1193"/>
      <c r="T185" s="1193"/>
      <c r="U185" s="1193"/>
      <c r="V185" s="1193"/>
      <c r="W185" s="1193"/>
      <c r="X185" s="1193"/>
      <c r="Y185" s="1193"/>
      <c r="Z185" s="1193"/>
      <c r="AA185" s="1193"/>
      <c r="AB185" s="1193"/>
      <c r="AC185" s="1193"/>
    </row>
    <row r="186" spans="1:29" x14ac:dyDescent="0.3">
      <c r="A186" s="681"/>
      <c r="B186" s="1193"/>
      <c r="C186" s="1193"/>
      <c r="D186" s="119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93"/>
      <c r="AB186" s="1193"/>
      <c r="AC186" s="1193"/>
    </row>
    <row r="187" spans="1:29" x14ac:dyDescent="0.3">
      <c r="A187" s="681"/>
      <c r="B187" s="1193"/>
      <c r="C187" s="1193"/>
      <c r="D187" s="119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c r="AA187" s="1193"/>
      <c r="AB187" s="1193"/>
      <c r="AC187" s="1193"/>
    </row>
    <row r="188" spans="1:29" x14ac:dyDescent="0.3">
      <c r="A188" s="681"/>
      <c r="B188" s="1193"/>
      <c r="C188" s="1193"/>
      <c r="D188" s="1193"/>
      <c r="E188" s="1193"/>
      <c r="F188" s="1193"/>
      <c r="G188" s="1193"/>
      <c r="H188" s="1193"/>
      <c r="I188" s="1193"/>
      <c r="J188" s="1193"/>
      <c r="K188" s="1193"/>
      <c r="L188" s="1193"/>
      <c r="M188" s="1193"/>
      <c r="N188" s="1193"/>
      <c r="O188" s="1193"/>
      <c r="P188" s="1193"/>
      <c r="Q188" s="1193"/>
      <c r="R188" s="1193"/>
      <c r="S188" s="1193"/>
      <c r="T188" s="1193"/>
      <c r="U188" s="1193"/>
      <c r="V188" s="1193"/>
      <c r="W188" s="1193"/>
      <c r="X188" s="1193"/>
      <c r="Y188" s="1193"/>
      <c r="Z188" s="1193"/>
      <c r="AA188" s="1193"/>
      <c r="AB188" s="1193"/>
      <c r="AC188" s="1193"/>
    </row>
    <row r="189" spans="1:29" x14ac:dyDescent="0.3">
      <c r="A189" s="681"/>
      <c r="B189" s="1193"/>
      <c r="C189" s="1193"/>
      <c r="D189" s="119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93"/>
      <c r="AB189" s="1193"/>
      <c r="AC189" s="1193"/>
    </row>
    <row r="190" spans="1:29" x14ac:dyDescent="0.3">
      <c r="A190" s="681"/>
      <c r="B190" s="1193"/>
      <c r="C190" s="1193"/>
      <c r="D190" s="119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93"/>
      <c r="AB190" s="1193"/>
      <c r="AC190" s="1193"/>
    </row>
    <row r="191" spans="1:29" x14ac:dyDescent="0.3">
      <c r="A191" s="681"/>
      <c r="B191" s="1193"/>
      <c r="C191" s="1193"/>
      <c r="D191" s="1193"/>
      <c r="E191" s="1193"/>
      <c r="F191" s="1193"/>
      <c r="G191" s="1193"/>
      <c r="H191" s="1193"/>
      <c r="I191" s="1193"/>
      <c r="J191" s="1193"/>
      <c r="K191" s="1193"/>
      <c r="L191" s="1193"/>
      <c r="M191" s="1193"/>
      <c r="N191" s="1193"/>
      <c r="O191" s="1193"/>
      <c r="P191" s="1193"/>
      <c r="Q191" s="1193"/>
      <c r="R191" s="1193"/>
      <c r="S191" s="1193"/>
      <c r="T191" s="1193"/>
      <c r="U191" s="1193"/>
      <c r="V191" s="1193"/>
      <c r="W191" s="1193"/>
      <c r="X191" s="1193"/>
      <c r="Y191" s="1193"/>
      <c r="Z191" s="1193"/>
      <c r="AA191" s="1193"/>
      <c r="AB191" s="1193"/>
      <c r="AC191" s="1193"/>
    </row>
    <row r="192" spans="1:29" x14ac:dyDescent="0.3">
      <c r="A192" s="681"/>
      <c r="B192" s="1193"/>
      <c r="C192" s="1193"/>
      <c r="D192" s="119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93"/>
      <c r="AB192" s="1193"/>
      <c r="AC192" s="1193"/>
    </row>
    <row r="193" spans="1:29" x14ac:dyDescent="0.3">
      <c r="A193" s="681"/>
      <c r="B193" s="1193"/>
      <c r="C193" s="1193"/>
      <c r="D193" s="1193"/>
      <c r="E193" s="1193"/>
      <c r="F193" s="1193"/>
      <c r="G193" s="1193"/>
      <c r="H193" s="1193"/>
      <c r="I193" s="1193"/>
      <c r="J193" s="1193"/>
      <c r="K193" s="1193"/>
      <c r="L193" s="1193"/>
      <c r="M193" s="1193"/>
      <c r="N193" s="1193"/>
      <c r="O193" s="1193"/>
      <c r="P193" s="1193"/>
      <c r="Q193" s="1193"/>
      <c r="R193" s="1193"/>
      <c r="S193" s="1193"/>
      <c r="T193" s="1193"/>
      <c r="U193" s="1193"/>
      <c r="V193" s="1193"/>
      <c r="W193" s="1193"/>
      <c r="X193" s="1193"/>
      <c r="Y193" s="1193"/>
      <c r="Z193" s="1193"/>
      <c r="AA193" s="1193"/>
      <c r="AB193" s="1193"/>
      <c r="AC193" s="1193"/>
    </row>
    <row r="194" spans="1:29" x14ac:dyDescent="0.3">
      <c r="A194" s="681"/>
      <c r="B194" s="1193"/>
      <c r="C194" s="1193"/>
      <c r="D194" s="1193"/>
      <c r="E194" s="1193"/>
      <c r="F194" s="1193"/>
      <c r="G194" s="1193"/>
      <c r="H194" s="1193"/>
      <c r="I194" s="1193"/>
      <c r="J194" s="1193"/>
      <c r="K194" s="1193"/>
      <c r="L194" s="1193"/>
      <c r="M194" s="1193"/>
      <c r="N194" s="1193"/>
      <c r="O194" s="1193"/>
      <c r="P194" s="1193"/>
      <c r="Q194" s="1193"/>
      <c r="R194" s="1193"/>
      <c r="S194" s="1193"/>
      <c r="T194" s="1193"/>
      <c r="U194" s="1193"/>
      <c r="V194" s="1193"/>
      <c r="W194" s="1193"/>
      <c r="X194" s="1193"/>
      <c r="Y194" s="1193"/>
      <c r="Z194" s="1193"/>
      <c r="AA194" s="1193"/>
      <c r="AB194" s="1193"/>
      <c r="AC194" s="1193"/>
    </row>
    <row r="195" spans="1:29" x14ac:dyDescent="0.3">
      <c r="A195" s="681"/>
      <c r="B195" s="1193"/>
      <c r="C195" s="1193"/>
      <c r="D195" s="1193"/>
      <c r="E195" s="1193"/>
      <c r="F195" s="1193"/>
      <c r="G195" s="1193"/>
      <c r="H195" s="1193"/>
      <c r="I195" s="1193"/>
      <c r="J195" s="1193"/>
      <c r="K195" s="1193"/>
      <c r="L195" s="1193"/>
      <c r="M195" s="1193"/>
      <c r="N195" s="1193"/>
      <c r="O195" s="1193"/>
      <c r="P195" s="1193"/>
      <c r="Q195" s="1193"/>
      <c r="R195" s="1193"/>
      <c r="S195" s="1193"/>
      <c r="T195" s="1193"/>
      <c r="U195" s="1193"/>
      <c r="V195" s="1193"/>
      <c r="W195" s="1193"/>
      <c r="X195" s="1193"/>
      <c r="Y195" s="1193"/>
      <c r="Z195" s="1193"/>
      <c r="AA195" s="1193"/>
      <c r="AB195" s="1193"/>
      <c r="AC195" s="1193"/>
    </row>
    <row r="196" spans="1:29" x14ac:dyDescent="0.3">
      <c r="A196" s="681"/>
      <c r="B196" s="1193"/>
      <c r="C196" s="1193"/>
      <c r="D196" s="119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c r="AA196" s="1193"/>
      <c r="AB196" s="1193"/>
      <c r="AC196" s="1193"/>
    </row>
    <row r="197" spans="1:29" x14ac:dyDescent="0.3">
      <c r="A197" s="681"/>
      <c r="B197" s="1193"/>
      <c r="C197" s="1193"/>
      <c r="D197" s="1193"/>
      <c r="E197" s="1193"/>
      <c r="F197" s="1193"/>
      <c r="G197" s="1193"/>
      <c r="H197" s="1193"/>
      <c r="I197" s="1193"/>
      <c r="J197" s="1193"/>
      <c r="K197" s="1193"/>
      <c r="L197" s="1193"/>
      <c r="M197" s="1193"/>
      <c r="N197" s="1193"/>
      <c r="O197" s="1193"/>
      <c r="P197" s="1193"/>
      <c r="Q197" s="1193"/>
      <c r="R197" s="1193"/>
      <c r="S197" s="1193"/>
      <c r="T197" s="1193"/>
      <c r="U197" s="1193"/>
      <c r="V197" s="1193"/>
      <c r="W197" s="1193"/>
      <c r="X197" s="1193"/>
      <c r="Y197" s="1193"/>
      <c r="Z197" s="1193"/>
      <c r="AA197" s="1193"/>
      <c r="AB197" s="1193"/>
      <c r="AC197" s="1193"/>
    </row>
    <row r="198" spans="1:29" x14ac:dyDescent="0.3">
      <c r="A198" s="681"/>
      <c r="B198" s="1193"/>
      <c r="C198" s="1193"/>
      <c r="D198" s="1193"/>
      <c r="E198" s="1193"/>
      <c r="F198" s="1193"/>
      <c r="G198" s="1193"/>
      <c r="H198" s="1193"/>
      <c r="I198" s="1193"/>
      <c r="J198" s="1193"/>
      <c r="K198" s="1193"/>
      <c r="L198" s="1193"/>
      <c r="M198" s="1193"/>
      <c r="N198" s="1193"/>
      <c r="O198" s="1193"/>
      <c r="P198" s="1193"/>
      <c r="Q198" s="1193"/>
      <c r="R198" s="1193"/>
      <c r="S198" s="1193"/>
      <c r="T198" s="1193"/>
      <c r="U198" s="1193"/>
      <c r="V198" s="1193"/>
      <c r="W198" s="1193"/>
      <c r="X198" s="1193"/>
      <c r="Y198" s="1193"/>
      <c r="Z198" s="1193"/>
      <c r="AA198" s="1193"/>
      <c r="AB198" s="1193"/>
      <c r="AC198" s="1193"/>
    </row>
    <row r="199" spans="1:29" x14ac:dyDescent="0.3">
      <c r="A199" s="681"/>
      <c r="B199" s="1193"/>
      <c r="C199" s="1193"/>
      <c r="D199" s="1193"/>
      <c r="E199" s="1193"/>
      <c r="F199" s="1193"/>
      <c r="G199" s="1193"/>
      <c r="H199" s="1193"/>
      <c r="I199" s="1193"/>
      <c r="J199" s="1193"/>
      <c r="K199" s="1193"/>
      <c r="L199" s="1193"/>
      <c r="M199" s="1193"/>
      <c r="N199" s="1193"/>
      <c r="O199" s="1193"/>
      <c r="P199" s="1193"/>
      <c r="Q199" s="1193"/>
      <c r="R199" s="1193"/>
      <c r="S199" s="1193"/>
      <c r="T199" s="1193"/>
      <c r="U199" s="1193"/>
      <c r="V199" s="1193"/>
      <c r="W199" s="1193"/>
      <c r="X199" s="1193"/>
      <c r="Y199" s="1193"/>
      <c r="Z199" s="1193"/>
      <c r="AA199" s="1193"/>
      <c r="AB199" s="1193"/>
      <c r="AC199" s="1193"/>
    </row>
    <row r="200" spans="1:29" x14ac:dyDescent="0.3">
      <c r="A200" s="681"/>
      <c r="B200" s="1193"/>
      <c r="C200" s="1193"/>
      <c r="D200" s="1193"/>
      <c r="E200" s="1193"/>
      <c r="F200" s="1193"/>
      <c r="G200" s="1193"/>
      <c r="H200" s="1193"/>
      <c r="I200" s="1193"/>
      <c r="J200" s="1193"/>
      <c r="K200" s="1193"/>
      <c r="L200" s="1193"/>
      <c r="M200" s="1193"/>
      <c r="N200" s="1193"/>
      <c r="O200" s="1193"/>
      <c r="P200" s="1193"/>
      <c r="Q200" s="1193"/>
      <c r="R200" s="1193"/>
      <c r="S200" s="1193"/>
      <c r="T200" s="1193"/>
      <c r="U200" s="1193"/>
      <c r="V200" s="1193"/>
      <c r="W200" s="1193"/>
      <c r="X200" s="1193"/>
      <c r="Y200" s="1193"/>
      <c r="Z200" s="1193"/>
      <c r="AA200" s="1193"/>
      <c r="AB200" s="1193"/>
      <c r="AC200" s="1193"/>
    </row>
    <row r="201" spans="1:29" x14ac:dyDescent="0.3">
      <c r="A201" s="681"/>
      <c r="B201" s="1193"/>
      <c r="C201" s="1193"/>
      <c r="D201" s="1193"/>
      <c r="E201" s="1193"/>
      <c r="F201" s="1193"/>
      <c r="G201" s="1193"/>
      <c r="H201" s="1193"/>
      <c r="I201" s="1193"/>
      <c r="J201" s="1193"/>
      <c r="K201" s="1193"/>
      <c r="L201" s="1193"/>
      <c r="M201" s="1193"/>
      <c r="N201" s="1193"/>
      <c r="O201" s="1193"/>
      <c r="P201" s="1193"/>
      <c r="Q201" s="1193"/>
      <c r="R201" s="1193"/>
      <c r="S201" s="1193"/>
      <c r="T201" s="1193"/>
      <c r="U201" s="1193"/>
      <c r="V201" s="1193"/>
      <c r="W201" s="1193"/>
      <c r="X201" s="1193"/>
      <c r="Y201" s="1193"/>
      <c r="Z201" s="1193"/>
      <c r="AA201" s="1193"/>
      <c r="AB201" s="1193"/>
      <c r="AC201" s="1193"/>
    </row>
    <row r="202" spans="1:29" x14ac:dyDescent="0.3">
      <c r="A202" s="681"/>
      <c r="B202" s="1193"/>
      <c r="C202" s="1193"/>
      <c r="D202" s="1193"/>
      <c r="E202" s="1193"/>
      <c r="F202" s="1193"/>
      <c r="G202" s="1193"/>
      <c r="H202" s="1193"/>
      <c r="I202" s="1193"/>
      <c r="J202" s="1193"/>
      <c r="K202" s="1193"/>
      <c r="L202" s="1193"/>
      <c r="M202" s="1193"/>
      <c r="N202" s="1193"/>
      <c r="O202" s="1193"/>
      <c r="P202" s="1193"/>
      <c r="Q202" s="1193"/>
      <c r="R202" s="1193"/>
      <c r="S202" s="1193"/>
      <c r="T202" s="1193"/>
      <c r="U202" s="1193"/>
      <c r="V202" s="1193"/>
      <c r="W202" s="1193"/>
      <c r="X202" s="1193"/>
      <c r="Y202" s="1193"/>
      <c r="Z202" s="1193"/>
      <c r="AA202" s="1193"/>
      <c r="AB202" s="1193"/>
      <c r="AC202" s="1193"/>
    </row>
    <row r="203" spans="1:29" x14ac:dyDescent="0.3">
      <c r="A203" s="681"/>
      <c r="B203" s="1193"/>
      <c r="C203" s="1193"/>
      <c r="D203" s="1193"/>
      <c r="E203" s="1193"/>
      <c r="F203" s="1193"/>
      <c r="G203" s="1193"/>
      <c r="H203" s="1193"/>
      <c r="I203" s="1193"/>
      <c r="J203" s="1193"/>
      <c r="K203" s="1193"/>
      <c r="L203" s="1193"/>
      <c r="M203" s="1193"/>
      <c r="N203" s="1193"/>
      <c r="O203" s="1193"/>
      <c r="P203" s="1193"/>
      <c r="Q203" s="1193"/>
      <c r="R203" s="1193"/>
      <c r="S203" s="1193"/>
      <c r="T203" s="1193"/>
      <c r="U203" s="1193"/>
      <c r="V203" s="1193"/>
      <c r="W203" s="1193"/>
      <c r="X203" s="1193"/>
      <c r="Y203" s="1193"/>
      <c r="Z203" s="1193"/>
      <c r="AA203" s="1193"/>
      <c r="AB203" s="1193"/>
      <c r="AC203" s="1193"/>
    </row>
    <row r="204" spans="1:29" x14ac:dyDescent="0.3">
      <c r="A204" s="681"/>
      <c r="B204" s="1193"/>
      <c r="C204" s="1193"/>
      <c r="D204" s="1193"/>
      <c r="E204" s="1193"/>
      <c r="F204" s="1193"/>
      <c r="G204" s="1193"/>
      <c r="H204" s="1193"/>
      <c r="I204" s="1193"/>
      <c r="J204" s="1193"/>
      <c r="K204" s="1193"/>
      <c r="L204" s="1193"/>
      <c r="M204" s="1193"/>
      <c r="N204" s="1193"/>
      <c r="O204" s="1193"/>
      <c r="P204" s="1193"/>
      <c r="Q204" s="1193"/>
      <c r="R204" s="1193"/>
      <c r="S204" s="1193"/>
      <c r="T204" s="1193"/>
      <c r="U204" s="1193"/>
      <c r="V204" s="1193"/>
      <c r="W204" s="1193"/>
      <c r="X204" s="1193"/>
      <c r="Y204" s="1193"/>
      <c r="Z204" s="1193"/>
      <c r="AA204" s="1193"/>
      <c r="AB204" s="1193"/>
      <c r="AC204" s="1193"/>
    </row>
    <row r="205" spans="1:29" x14ac:dyDescent="0.3">
      <c r="A205" s="681"/>
      <c r="B205" s="1193"/>
      <c r="C205" s="1193"/>
      <c r="D205" s="1193"/>
      <c r="E205" s="1193"/>
      <c r="F205" s="1193"/>
      <c r="G205" s="1193"/>
      <c r="H205" s="1193"/>
      <c r="I205" s="1193"/>
      <c r="J205" s="1193"/>
      <c r="K205" s="1193"/>
      <c r="L205" s="1193"/>
      <c r="M205" s="1193"/>
      <c r="N205" s="1193"/>
      <c r="O205" s="1193"/>
      <c r="P205" s="1193"/>
      <c r="Q205" s="1193"/>
      <c r="R205" s="1193"/>
      <c r="S205" s="1193"/>
      <c r="T205" s="1193"/>
      <c r="U205" s="1193"/>
      <c r="V205" s="1193"/>
      <c r="W205" s="1193"/>
      <c r="X205" s="1193"/>
      <c r="Y205" s="1193"/>
      <c r="Z205" s="1193"/>
      <c r="AA205" s="1193"/>
      <c r="AB205" s="1193"/>
      <c r="AC205" s="1193"/>
    </row>
    <row r="206" spans="1:29" x14ac:dyDescent="0.3">
      <c r="A206" s="681"/>
      <c r="B206" s="1193"/>
      <c r="C206" s="1193"/>
      <c r="D206" s="1193"/>
      <c r="E206" s="1193"/>
      <c r="F206" s="1193"/>
      <c r="G206" s="1193"/>
      <c r="H206" s="1193"/>
      <c r="I206" s="1193"/>
      <c r="J206" s="1193"/>
      <c r="K206" s="1193"/>
      <c r="L206" s="1193"/>
      <c r="M206" s="1193"/>
      <c r="N206" s="1193"/>
      <c r="O206" s="1193"/>
      <c r="P206" s="1193"/>
      <c r="Q206" s="1193"/>
      <c r="R206" s="1193"/>
      <c r="S206" s="1193"/>
      <c r="T206" s="1193"/>
      <c r="U206" s="1193"/>
      <c r="V206" s="1193"/>
      <c r="W206" s="1193"/>
      <c r="X206" s="1193"/>
      <c r="Y206" s="1193"/>
      <c r="Z206" s="1193"/>
      <c r="AA206" s="1193"/>
      <c r="AB206" s="1193"/>
      <c r="AC206" s="1193"/>
    </row>
    <row r="207" spans="1:29" x14ac:dyDescent="0.3">
      <c r="A207" s="681"/>
      <c r="B207" s="1193"/>
      <c r="C207" s="1193"/>
      <c r="D207" s="1193"/>
      <c r="E207" s="1193"/>
      <c r="F207" s="1193"/>
      <c r="G207" s="1193"/>
      <c r="H207" s="1193"/>
      <c r="I207" s="1193"/>
      <c r="J207" s="1193"/>
      <c r="K207" s="1193"/>
      <c r="L207" s="1193"/>
      <c r="M207" s="1193"/>
      <c r="N207" s="1193"/>
      <c r="O207" s="1193"/>
      <c r="P207" s="1193"/>
      <c r="Q207" s="1193"/>
      <c r="R207" s="1193"/>
      <c r="S207" s="1193"/>
      <c r="T207" s="1193"/>
      <c r="U207" s="1193"/>
      <c r="V207" s="1193"/>
      <c r="W207" s="1193"/>
      <c r="X207" s="1193"/>
      <c r="Y207" s="1193"/>
      <c r="Z207" s="1193"/>
      <c r="AA207" s="1193"/>
      <c r="AB207" s="1193"/>
      <c r="AC207" s="1193"/>
    </row>
    <row r="208" spans="1:29" x14ac:dyDescent="0.3">
      <c r="A208" s="681"/>
      <c r="B208" s="1193"/>
      <c r="C208" s="1193"/>
      <c r="D208" s="1193"/>
      <c r="E208" s="1193"/>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c r="AA208" s="1193"/>
      <c r="AB208" s="1193"/>
      <c r="AC208" s="1193"/>
    </row>
    <row r="209" spans="1:29" x14ac:dyDescent="0.3">
      <c r="A209" s="681"/>
      <c r="B209" s="1193"/>
      <c r="C209" s="1193"/>
      <c r="D209" s="1193"/>
      <c r="E209" s="1193"/>
      <c r="F209" s="1193"/>
      <c r="G209" s="1193"/>
      <c r="H209" s="1193"/>
      <c r="I209" s="1193"/>
      <c r="J209" s="1193"/>
      <c r="K209" s="1193"/>
      <c r="L209" s="1193"/>
      <c r="M209" s="1193"/>
      <c r="N209" s="1193"/>
      <c r="O209" s="1193"/>
      <c r="P209" s="1193"/>
      <c r="Q209" s="1193"/>
      <c r="R209" s="1193"/>
      <c r="S209" s="1193"/>
      <c r="T209" s="1193"/>
      <c r="U209" s="1193"/>
      <c r="V209" s="1193"/>
      <c r="W209" s="1193"/>
      <c r="X209" s="1193"/>
      <c r="Y209" s="1193"/>
      <c r="Z209" s="1193"/>
      <c r="AA209" s="1193"/>
      <c r="AB209" s="1193"/>
      <c r="AC209" s="1193"/>
    </row>
    <row r="210" spans="1:29" x14ac:dyDescent="0.3">
      <c r="A210" s="681"/>
      <c r="B210" s="1193"/>
      <c r="C210" s="1193"/>
      <c r="D210" s="1193"/>
      <c r="E210" s="1193"/>
      <c r="F210" s="1193"/>
      <c r="G210" s="1193"/>
      <c r="H210" s="1193"/>
      <c r="I210" s="1193"/>
      <c r="J210" s="1193"/>
      <c r="K210" s="1193"/>
      <c r="L210" s="1193"/>
      <c r="M210" s="1193"/>
      <c r="N210" s="1193"/>
      <c r="O210" s="1193"/>
      <c r="P210" s="1193"/>
      <c r="Q210" s="1193"/>
      <c r="R210" s="1193"/>
      <c r="S210" s="1193"/>
      <c r="T210" s="1193"/>
      <c r="U210" s="1193"/>
      <c r="V210" s="1193"/>
      <c r="W210" s="1193"/>
      <c r="X210" s="1193"/>
      <c r="Y210" s="1193"/>
      <c r="Z210" s="1193"/>
      <c r="AA210" s="1193"/>
      <c r="AB210" s="1193"/>
      <c r="AC210" s="1193"/>
    </row>
    <row r="211" spans="1:29" x14ac:dyDescent="0.3">
      <c r="A211" s="681"/>
      <c r="B211" s="1193"/>
      <c r="C211" s="1193"/>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93"/>
      <c r="AB211" s="1193"/>
      <c r="AC211" s="1193"/>
    </row>
    <row r="212" spans="1:29" x14ac:dyDescent="0.3">
      <c r="A212" s="681"/>
      <c r="B212" s="1193"/>
      <c r="C212" s="1193"/>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93"/>
      <c r="AB212" s="1193"/>
      <c r="AC212" s="1193"/>
    </row>
    <row r="213" spans="1:29" x14ac:dyDescent="0.3">
      <c r="A213" s="681"/>
      <c r="B213" s="1193"/>
      <c r="C213" s="1193"/>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row>
    <row r="214" spans="1:29" x14ac:dyDescent="0.3">
      <c r="A214" s="681"/>
      <c r="B214" s="1193"/>
      <c r="C214" s="1193"/>
      <c r="D214" s="1193"/>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93"/>
      <c r="AB214" s="1193"/>
      <c r="AC214" s="1193"/>
    </row>
    <row r="215" spans="1:29" x14ac:dyDescent="0.3">
      <c r="A215" s="681"/>
      <c r="B215" s="1193"/>
      <c r="C215" s="1193"/>
      <c r="D215" s="1193"/>
      <c r="E215" s="1193"/>
      <c r="F215" s="1193"/>
      <c r="G215" s="1193"/>
      <c r="H215" s="1193"/>
      <c r="I215" s="1193"/>
      <c r="J215" s="1193"/>
      <c r="K215" s="1193"/>
      <c r="L215" s="1193"/>
      <c r="M215" s="1193"/>
      <c r="N215" s="1193"/>
      <c r="O215" s="1193"/>
      <c r="P215" s="1193"/>
      <c r="Q215" s="1193"/>
      <c r="R215" s="1193"/>
      <c r="S215" s="1193"/>
      <c r="T215" s="1193"/>
      <c r="U215" s="1193"/>
      <c r="V215" s="1193"/>
      <c r="W215" s="1193"/>
      <c r="X215" s="1193"/>
      <c r="Y215" s="1193"/>
      <c r="Z215" s="1193"/>
      <c r="AA215" s="1193"/>
      <c r="AB215" s="1193"/>
      <c r="AC215" s="1193"/>
    </row>
    <row r="216" spans="1:29" x14ac:dyDescent="0.3">
      <c r="A216" s="681"/>
      <c r="B216" s="1193"/>
      <c r="C216" s="1193"/>
      <c r="D216" s="1193"/>
      <c r="E216" s="1193"/>
      <c r="F216" s="1193"/>
      <c r="G216" s="1193"/>
      <c r="H216" s="1193"/>
      <c r="I216" s="1193"/>
      <c r="J216" s="1193"/>
      <c r="K216" s="1193"/>
      <c r="L216" s="1193"/>
      <c r="M216" s="1193"/>
      <c r="N216" s="1193"/>
      <c r="O216" s="1193"/>
      <c r="P216" s="1193"/>
      <c r="Q216" s="1193"/>
      <c r="R216" s="1193"/>
      <c r="S216" s="1193"/>
      <c r="T216" s="1193"/>
      <c r="U216" s="1193"/>
      <c r="V216" s="1193"/>
      <c r="W216" s="1193"/>
      <c r="X216" s="1193"/>
      <c r="Y216" s="1193"/>
      <c r="Z216" s="1193"/>
      <c r="AA216" s="1193"/>
      <c r="AB216" s="1193"/>
      <c r="AC216" s="1193"/>
    </row>
    <row r="217" spans="1:29" x14ac:dyDescent="0.3">
      <c r="A217" s="681"/>
      <c r="B217" s="1193"/>
      <c r="C217" s="1193"/>
      <c r="D217" s="1193"/>
      <c r="E217" s="1193"/>
      <c r="F217" s="1193"/>
      <c r="G217" s="1193"/>
      <c r="H217" s="1193"/>
      <c r="I217" s="1193"/>
      <c r="J217" s="1193"/>
      <c r="K217" s="1193"/>
      <c r="L217" s="1193"/>
      <c r="M217" s="1193"/>
      <c r="N217" s="1193"/>
      <c r="O217" s="1193"/>
      <c r="P217" s="1193"/>
      <c r="Q217" s="1193"/>
      <c r="R217" s="1193"/>
      <c r="S217" s="1193"/>
      <c r="T217" s="1193"/>
      <c r="U217" s="1193"/>
      <c r="V217" s="1193"/>
      <c r="W217" s="1193"/>
      <c r="X217" s="1193"/>
      <c r="Y217" s="1193"/>
      <c r="Z217" s="1193"/>
      <c r="AA217" s="1193"/>
      <c r="AB217" s="1193"/>
      <c r="AC217" s="1193"/>
    </row>
    <row r="218" spans="1:29" x14ac:dyDescent="0.3">
      <c r="A218" s="681"/>
      <c r="B218" s="1193"/>
      <c r="C218" s="1193"/>
      <c r="D218" s="1193"/>
      <c r="E218" s="1193"/>
      <c r="F218" s="1193"/>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c r="AB218" s="1193"/>
      <c r="AC218" s="1193"/>
    </row>
    <row r="219" spans="1:29" x14ac:dyDescent="0.3">
      <c r="A219" s="681"/>
      <c r="B219" s="1193"/>
      <c r="C219" s="1193"/>
      <c r="D219" s="1193"/>
      <c r="E219" s="1193"/>
      <c r="F219" s="1193"/>
      <c r="G219" s="1193"/>
      <c r="H219" s="1193"/>
      <c r="I219" s="1193"/>
      <c r="J219" s="1193"/>
      <c r="K219" s="1193"/>
      <c r="L219" s="1193"/>
      <c r="M219" s="1193"/>
      <c r="N219" s="1193"/>
      <c r="O219" s="1193"/>
      <c r="P219" s="1193"/>
      <c r="Q219" s="1193"/>
      <c r="R219" s="1193"/>
      <c r="S219" s="1193"/>
      <c r="T219" s="1193"/>
      <c r="U219" s="1193"/>
      <c r="V219" s="1193"/>
      <c r="W219" s="1193"/>
      <c r="X219" s="1193"/>
      <c r="Y219" s="1193"/>
      <c r="Z219" s="1193"/>
      <c r="AA219" s="1193"/>
      <c r="AB219" s="1193"/>
      <c r="AC219" s="1193"/>
    </row>
    <row r="220" spans="1:29" x14ac:dyDescent="0.3">
      <c r="A220" s="681"/>
      <c r="B220" s="1193"/>
      <c r="C220" s="1193"/>
      <c r="D220" s="1193"/>
      <c r="E220" s="1193"/>
      <c r="F220" s="1193"/>
      <c r="G220" s="1193"/>
      <c r="H220" s="1193"/>
      <c r="I220" s="1193"/>
      <c r="J220" s="1193"/>
      <c r="K220" s="1193"/>
      <c r="L220" s="1193"/>
      <c r="M220" s="1193"/>
      <c r="N220" s="1193"/>
      <c r="O220" s="1193"/>
      <c r="P220" s="1193"/>
      <c r="Q220" s="1193"/>
      <c r="R220" s="1193"/>
      <c r="S220" s="1193"/>
      <c r="T220" s="1193"/>
      <c r="U220" s="1193"/>
      <c r="V220" s="1193"/>
      <c r="W220" s="1193"/>
      <c r="X220" s="1193"/>
      <c r="Y220" s="1193"/>
      <c r="Z220" s="1193"/>
      <c r="AA220" s="1193"/>
      <c r="AB220" s="1193"/>
      <c r="AC220" s="1193"/>
    </row>
    <row r="221" spans="1:29" x14ac:dyDescent="0.3">
      <c r="A221" s="681"/>
      <c r="B221" s="1193"/>
      <c r="C221" s="1193"/>
      <c r="D221" s="119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c r="AA221" s="1193"/>
      <c r="AB221" s="1193"/>
      <c r="AC221" s="1193"/>
    </row>
    <row r="222" spans="1:29" x14ac:dyDescent="0.3">
      <c r="A222" s="681"/>
      <c r="B222" s="1193"/>
      <c r="C222" s="1193"/>
      <c r="D222" s="1193"/>
      <c r="E222" s="1193"/>
      <c r="F222" s="1193"/>
      <c r="G222" s="1193"/>
      <c r="H222" s="1193"/>
      <c r="I222" s="1193"/>
      <c r="J222" s="1193"/>
      <c r="K222" s="1193"/>
      <c r="L222" s="1193"/>
      <c r="M222" s="1193"/>
      <c r="N222" s="1193"/>
      <c r="O222" s="1193"/>
      <c r="P222" s="1193"/>
      <c r="Q222" s="1193"/>
      <c r="R222" s="1193"/>
      <c r="S222" s="1193"/>
      <c r="T222" s="1193"/>
      <c r="U222" s="1193"/>
      <c r="V222" s="1193"/>
      <c r="W222" s="1193"/>
      <c r="X222" s="1193"/>
      <c r="Y222" s="1193"/>
      <c r="Z222" s="1193"/>
      <c r="AA222" s="1193"/>
      <c r="AB222" s="1193"/>
      <c r="AC222" s="1193"/>
    </row>
    <row r="223" spans="1:29" x14ac:dyDescent="0.3">
      <c r="A223" s="681"/>
      <c r="B223" s="1193"/>
      <c r="C223" s="1193"/>
      <c r="D223" s="1193"/>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c r="AA223" s="1193"/>
      <c r="AB223" s="1193"/>
      <c r="AC223" s="1193"/>
    </row>
    <row r="224" spans="1:29" x14ac:dyDescent="0.3">
      <c r="A224" s="681"/>
      <c r="B224" s="1193"/>
      <c r="C224" s="1193"/>
      <c r="D224" s="1193"/>
      <c r="E224" s="1193"/>
      <c r="F224" s="1193"/>
      <c r="G224" s="1193"/>
      <c r="H224" s="1193"/>
      <c r="I224" s="1193"/>
      <c r="J224" s="1193"/>
      <c r="K224" s="1193"/>
      <c r="L224" s="1193"/>
      <c r="M224" s="1193"/>
      <c r="N224" s="1193"/>
      <c r="O224" s="1193"/>
      <c r="P224" s="1193"/>
      <c r="Q224" s="1193"/>
      <c r="R224" s="1193"/>
      <c r="S224" s="1193"/>
      <c r="T224" s="1193"/>
      <c r="U224" s="1193"/>
      <c r="V224" s="1193"/>
      <c r="W224" s="1193"/>
      <c r="X224" s="1193"/>
      <c r="Y224" s="1193"/>
      <c r="Z224" s="1193"/>
      <c r="AA224" s="1193"/>
      <c r="AB224" s="1193"/>
      <c r="AC224" s="1193"/>
    </row>
    <row r="225" spans="1:29" x14ac:dyDescent="0.3">
      <c r="A225" s="681"/>
      <c r="B225" s="1193"/>
      <c r="C225" s="1193"/>
      <c r="D225" s="1193"/>
      <c r="E225" s="1193"/>
      <c r="F225" s="1193"/>
      <c r="G225" s="1193"/>
      <c r="H225" s="1193"/>
      <c r="I225" s="1193"/>
      <c r="J225" s="1193"/>
      <c r="K225" s="1193"/>
      <c r="L225" s="1193"/>
      <c r="M225" s="1193"/>
      <c r="N225" s="1193"/>
      <c r="O225" s="1193"/>
      <c r="P225" s="1193"/>
      <c r="Q225" s="1193"/>
      <c r="R225" s="1193"/>
      <c r="S225" s="1193"/>
      <c r="T225" s="1193"/>
      <c r="U225" s="1193"/>
      <c r="V225" s="1193"/>
      <c r="W225" s="1193"/>
      <c r="X225" s="1193"/>
      <c r="Y225" s="1193"/>
      <c r="Z225" s="1193"/>
      <c r="AA225" s="1193"/>
      <c r="AB225" s="1193"/>
      <c r="AC225" s="1193"/>
    </row>
    <row r="226" spans="1:29" x14ac:dyDescent="0.3">
      <c r="A226" s="681"/>
      <c r="B226" s="1193"/>
      <c r="C226" s="1193"/>
      <c r="D226" s="1193"/>
      <c r="E226" s="1193"/>
      <c r="F226" s="1193"/>
      <c r="G226" s="1193"/>
      <c r="H226" s="1193"/>
      <c r="I226" s="1193"/>
      <c r="J226" s="1193"/>
      <c r="K226" s="1193"/>
      <c r="L226" s="1193"/>
      <c r="M226" s="1193"/>
      <c r="N226" s="1193"/>
      <c r="O226" s="1193"/>
      <c r="P226" s="1193"/>
      <c r="Q226" s="1193"/>
      <c r="R226" s="1193"/>
      <c r="S226" s="1193"/>
      <c r="T226" s="1193"/>
      <c r="U226" s="1193"/>
      <c r="V226" s="1193"/>
      <c r="W226" s="1193"/>
      <c r="X226" s="1193"/>
      <c r="Y226" s="1193"/>
      <c r="Z226" s="1193"/>
      <c r="AA226" s="1193"/>
      <c r="AB226" s="1193"/>
      <c r="AC226" s="1193"/>
    </row>
    <row r="227" spans="1:29" x14ac:dyDescent="0.3">
      <c r="A227" s="681"/>
      <c r="B227" s="1193"/>
      <c r="C227" s="1193"/>
      <c r="D227" s="1193"/>
      <c r="E227" s="1193"/>
      <c r="F227" s="1193"/>
      <c r="G227" s="1193"/>
      <c r="H227" s="1193"/>
      <c r="I227" s="1193"/>
      <c r="J227" s="1193"/>
      <c r="K227" s="1193"/>
      <c r="L227" s="1193"/>
      <c r="M227" s="1193"/>
      <c r="N227" s="1193"/>
      <c r="O227" s="1193"/>
      <c r="P227" s="1193"/>
      <c r="Q227" s="1193"/>
      <c r="R227" s="1193"/>
      <c r="S227" s="1193"/>
      <c r="T227" s="1193"/>
      <c r="U227" s="1193"/>
      <c r="V227" s="1193"/>
      <c r="W227" s="1193"/>
      <c r="X227" s="1193"/>
      <c r="Y227" s="1193"/>
      <c r="Z227" s="1193"/>
      <c r="AA227" s="1193"/>
      <c r="AB227" s="1193"/>
      <c r="AC227" s="1193"/>
    </row>
    <row r="228" spans="1:29" x14ac:dyDescent="0.3">
      <c r="A228" s="681"/>
      <c r="B228" s="1193"/>
      <c r="C228" s="1193"/>
      <c r="D228" s="119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c r="AA228" s="1193"/>
      <c r="AB228" s="1193"/>
      <c r="AC228" s="1193"/>
    </row>
    <row r="229" spans="1:29" x14ac:dyDescent="0.3">
      <c r="A229" s="681"/>
      <c r="B229" s="1193"/>
      <c r="C229" s="1193"/>
      <c r="D229" s="1193"/>
      <c r="E229" s="1193"/>
      <c r="F229" s="1193"/>
      <c r="G229" s="1193"/>
      <c r="H229" s="1193"/>
      <c r="I229" s="1193"/>
      <c r="J229" s="1193"/>
      <c r="K229" s="1193"/>
      <c r="L229" s="1193"/>
      <c r="M229" s="1193"/>
      <c r="N229" s="1193"/>
      <c r="O229" s="1193"/>
      <c r="P229" s="1193"/>
      <c r="Q229" s="1193"/>
      <c r="R229" s="1193"/>
      <c r="S229" s="1193"/>
      <c r="T229" s="1193"/>
      <c r="U229" s="1193"/>
      <c r="V229" s="1193"/>
      <c r="W229" s="1193"/>
      <c r="X229" s="1193"/>
      <c r="Y229" s="1193"/>
      <c r="Z229" s="1193"/>
      <c r="AA229" s="1193"/>
      <c r="AB229" s="1193"/>
      <c r="AC229" s="1193"/>
    </row>
    <row r="230" spans="1:29" x14ac:dyDescent="0.3">
      <c r="A230" s="681"/>
      <c r="B230" s="1193"/>
      <c r="C230" s="1193"/>
      <c r="D230" s="1193"/>
      <c r="E230" s="1193"/>
      <c r="F230" s="1193"/>
      <c r="G230" s="1193"/>
      <c r="H230" s="1193"/>
      <c r="I230" s="1193"/>
      <c r="J230" s="1193"/>
      <c r="K230" s="1193"/>
      <c r="L230" s="1193"/>
      <c r="M230" s="1193"/>
      <c r="N230" s="1193"/>
      <c r="O230" s="1193"/>
      <c r="P230" s="1193"/>
      <c r="Q230" s="1193"/>
      <c r="R230" s="1193"/>
      <c r="S230" s="1193"/>
      <c r="T230" s="1193"/>
      <c r="U230" s="1193"/>
      <c r="V230" s="1193"/>
      <c r="W230" s="1193"/>
      <c r="X230" s="1193"/>
      <c r="Y230" s="1193"/>
      <c r="Z230" s="1193"/>
      <c r="AA230" s="1193"/>
      <c r="AB230" s="1193"/>
      <c r="AC230" s="1193"/>
    </row>
    <row r="231" spans="1:29" x14ac:dyDescent="0.3">
      <c r="A231" s="681"/>
      <c r="B231" s="1193"/>
      <c r="C231" s="1193"/>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row>
    <row r="232" spans="1:29" x14ac:dyDescent="0.3">
      <c r="A232" s="681"/>
      <c r="B232" s="1193"/>
      <c r="C232" s="1193"/>
      <c r="D232" s="1193"/>
      <c r="E232" s="1193"/>
      <c r="F232" s="1193"/>
      <c r="G232" s="1193"/>
      <c r="H232" s="1193"/>
      <c r="I232" s="1193"/>
      <c r="J232" s="1193"/>
      <c r="K232" s="1193"/>
      <c r="L232" s="1193"/>
      <c r="M232" s="1193"/>
      <c r="N232" s="1193"/>
      <c r="O232" s="1193"/>
      <c r="P232" s="1193"/>
      <c r="Q232" s="1193"/>
      <c r="R232" s="1193"/>
      <c r="S232" s="1193"/>
      <c r="T232" s="1193"/>
      <c r="U232" s="1193"/>
      <c r="V232" s="1193"/>
      <c r="W232" s="1193"/>
      <c r="X232" s="1193"/>
      <c r="Y232" s="1193"/>
      <c r="Z232" s="1193"/>
      <c r="AA232" s="1193"/>
      <c r="AB232" s="1193"/>
      <c r="AC232" s="1193"/>
    </row>
    <row r="233" spans="1:29" x14ac:dyDescent="0.3">
      <c r="A233" s="681"/>
      <c r="B233" s="1193"/>
      <c r="C233" s="1193"/>
      <c r="D233" s="1193"/>
      <c r="E233" s="1193"/>
      <c r="F233" s="1193"/>
      <c r="G233" s="1193"/>
      <c r="H233" s="1193"/>
      <c r="I233" s="1193"/>
      <c r="J233" s="1193"/>
      <c r="K233" s="1193"/>
      <c r="L233" s="1193"/>
      <c r="M233" s="1193"/>
      <c r="N233" s="1193"/>
      <c r="O233" s="1193"/>
      <c r="P233" s="1193"/>
      <c r="Q233" s="1193"/>
      <c r="R233" s="1193"/>
      <c r="S233" s="1193"/>
      <c r="T233" s="1193"/>
      <c r="U233" s="1193"/>
      <c r="V233" s="1193"/>
      <c r="W233" s="1193"/>
      <c r="X233" s="1193"/>
      <c r="Y233" s="1193"/>
      <c r="Z233" s="1193"/>
      <c r="AA233" s="1193"/>
      <c r="AB233" s="1193"/>
      <c r="AC233" s="1193"/>
    </row>
    <row r="234" spans="1:29" x14ac:dyDescent="0.3">
      <c r="A234" s="681"/>
      <c r="B234" s="1193"/>
      <c r="C234" s="1193"/>
      <c r="D234" s="1193"/>
      <c r="E234" s="1193"/>
      <c r="F234" s="1193"/>
      <c r="G234" s="1193"/>
      <c r="H234" s="1193"/>
      <c r="I234" s="1193"/>
      <c r="J234" s="1193"/>
      <c r="K234" s="1193"/>
      <c r="L234" s="1193"/>
      <c r="M234" s="1193"/>
      <c r="N234" s="1193"/>
      <c r="O234" s="1193"/>
      <c r="P234" s="1193"/>
      <c r="Q234" s="1193"/>
      <c r="R234" s="1193"/>
      <c r="S234" s="1193"/>
      <c r="T234" s="1193"/>
      <c r="U234" s="1193"/>
      <c r="V234" s="1193"/>
      <c r="W234" s="1193"/>
      <c r="X234" s="1193"/>
      <c r="Y234" s="1193"/>
      <c r="Z234" s="1193"/>
      <c r="AA234" s="1193"/>
      <c r="AB234" s="1193"/>
      <c r="AC234" s="1193"/>
    </row>
    <row r="235" spans="1:29" x14ac:dyDescent="0.3">
      <c r="A235" s="681"/>
      <c r="B235" s="1193"/>
      <c r="C235" s="1193"/>
      <c r="D235" s="1193"/>
      <c r="E235" s="1193"/>
      <c r="F235" s="1193"/>
      <c r="G235" s="1193"/>
      <c r="H235" s="1193"/>
      <c r="I235" s="1193"/>
      <c r="J235" s="1193"/>
      <c r="K235" s="1193"/>
      <c r="L235" s="1193"/>
      <c r="M235" s="1193"/>
      <c r="N235" s="1193"/>
      <c r="O235" s="1193"/>
      <c r="P235" s="1193"/>
      <c r="Q235" s="1193"/>
      <c r="R235" s="1193"/>
      <c r="S235" s="1193"/>
      <c r="T235" s="1193"/>
      <c r="U235" s="1193"/>
      <c r="V235" s="1193"/>
      <c r="W235" s="1193"/>
      <c r="X235" s="1193"/>
      <c r="Y235" s="1193"/>
      <c r="Z235" s="1193"/>
      <c r="AA235" s="1193"/>
      <c r="AB235" s="1193"/>
      <c r="AC235" s="1193"/>
    </row>
    <row r="236" spans="1:29" x14ac:dyDescent="0.3">
      <c r="A236" s="681"/>
      <c r="B236" s="1193"/>
      <c r="C236" s="1193"/>
      <c r="D236" s="1193"/>
      <c r="E236" s="1193"/>
      <c r="F236" s="1193"/>
      <c r="G236" s="1193"/>
      <c r="H236" s="1193"/>
      <c r="I236" s="1193"/>
      <c r="J236" s="1193"/>
      <c r="K236" s="1193"/>
      <c r="L236" s="1193"/>
      <c r="M236" s="1193"/>
      <c r="N236" s="1193"/>
      <c r="O236" s="1193"/>
      <c r="P236" s="1193"/>
      <c r="Q236" s="1193"/>
      <c r="R236" s="1193"/>
      <c r="S236" s="1193"/>
      <c r="T236" s="1193"/>
      <c r="U236" s="1193"/>
      <c r="V236" s="1193"/>
      <c r="W236" s="1193"/>
      <c r="X236" s="1193"/>
      <c r="Y236" s="1193"/>
      <c r="Z236" s="1193"/>
      <c r="AA236" s="1193"/>
      <c r="AB236" s="1193"/>
      <c r="AC236" s="1193"/>
    </row>
    <row r="237" spans="1:29" x14ac:dyDescent="0.3">
      <c r="A237" s="681"/>
      <c r="B237" s="1193"/>
      <c r="C237" s="1193"/>
      <c r="D237" s="1193"/>
      <c r="E237" s="1193"/>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93"/>
      <c r="AB237" s="1193"/>
      <c r="AC237" s="1193"/>
    </row>
    <row r="238" spans="1:29" x14ac:dyDescent="0.3">
      <c r="A238" s="681"/>
      <c r="B238" s="1193"/>
      <c r="C238" s="1193"/>
      <c r="D238" s="1193"/>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93"/>
      <c r="AB238" s="1193"/>
      <c r="AC238" s="1193"/>
    </row>
    <row r="239" spans="1:29" x14ac:dyDescent="0.3">
      <c r="A239" s="681"/>
      <c r="B239" s="1193"/>
      <c r="C239" s="1193"/>
      <c r="D239" s="1193"/>
      <c r="E239" s="1193"/>
      <c r="F239" s="1193"/>
      <c r="G239" s="1193"/>
      <c r="H239" s="1193"/>
      <c r="I239" s="1193"/>
      <c r="J239" s="1193"/>
      <c r="K239" s="1193"/>
      <c r="L239" s="1193"/>
      <c r="M239" s="1193"/>
      <c r="N239" s="1193"/>
      <c r="O239" s="1193"/>
      <c r="P239" s="1193"/>
      <c r="Q239" s="1193"/>
      <c r="R239" s="1193"/>
      <c r="S239" s="1193"/>
      <c r="T239" s="1193"/>
      <c r="U239" s="1193"/>
      <c r="V239" s="1193"/>
      <c r="W239" s="1193"/>
      <c r="X239" s="1193"/>
      <c r="Y239" s="1193"/>
      <c r="Z239" s="1193"/>
      <c r="AA239" s="1193"/>
      <c r="AB239" s="1193"/>
      <c r="AC239" s="1193"/>
    </row>
    <row r="240" spans="1:29" x14ac:dyDescent="0.3">
      <c r="A240" s="681"/>
      <c r="B240" s="1193"/>
      <c r="C240" s="1193"/>
      <c r="D240" s="1193"/>
      <c r="E240" s="1193"/>
      <c r="F240" s="1193"/>
      <c r="G240" s="1193"/>
      <c r="H240" s="1193"/>
      <c r="I240" s="1193"/>
      <c r="J240" s="1193"/>
      <c r="K240" s="1193"/>
      <c r="L240" s="1193"/>
      <c r="M240" s="1193"/>
      <c r="N240" s="1193"/>
      <c r="O240" s="1193"/>
      <c r="P240" s="1193"/>
      <c r="Q240" s="1193"/>
      <c r="R240" s="1193"/>
      <c r="S240" s="1193"/>
      <c r="T240" s="1193"/>
      <c r="U240" s="1193"/>
      <c r="V240" s="1193"/>
      <c r="W240" s="1193"/>
      <c r="X240" s="1193"/>
      <c r="Y240" s="1193"/>
      <c r="Z240" s="1193"/>
      <c r="AA240" s="1193"/>
      <c r="AB240" s="1193"/>
      <c r="AC240" s="1193"/>
    </row>
    <row r="241" spans="1:29" x14ac:dyDescent="0.3">
      <c r="A241" s="681"/>
      <c r="B241" s="1193"/>
      <c r="C241" s="1193"/>
      <c r="D241" s="1193"/>
      <c r="E241" s="1193"/>
      <c r="F241" s="1193"/>
      <c r="G241" s="1193"/>
      <c r="H241" s="1193"/>
      <c r="I241" s="1193"/>
      <c r="J241" s="1193"/>
      <c r="K241" s="1193"/>
      <c r="L241" s="1193"/>
      <c r="M241" s="1193"/>
      <c r="N241" s="1193"/>
      <c r="O241" s="1193"/>
      <c r="P241" s="1193"/>
      <c r="Q241" s="1193"/>
      <c r="R241" s="1193"/>
      <c r="S241" s="1193"/>
      <c r="T241" s="1193"/>
      <c r="U241" s="1193"/>
      <c r="V241" s="1193"/>
      <c r="W241" s="1193"/>
      <c r="X241" s="1193"/>
      <c r="Y241" s="1193"/>
      <c r="Z241" s="1193"/>
      <c r="AA241" s="1193"/>
      <c r="AB241" s="1193"/>
      <c r="AC241" s="1193"/>
    </row>
    <row r="242" spans="1:29" x14ac:dyDescent="0.3">
      <c r="A242" s="681"/>
      <c r="B242" s="1193"/>
      <c r="C242" s="1193"/>
      <c r="D242" s="1193"/>
      <c r="E242" s="1193"/>
      <c r="F242" s="1193"/>
      <c r="G242" s="1193"/>
      <c r="H242" s="1193"/>
      <c r="I242" s="1193"/>
      <c r="J242" s="1193"/>
      <c r="K242" s="1193"/>
      <c r="L242" s="1193"/>
      <c r="M242" s="1193"/>
      <c r="N242" s="1193"/>
      <c r="O242" s="1193"/>
      <c r="P242" s="1193"/>
      <c r="Q242" s="1193"/>
      <c r="R242" s="1193"/>
      <c r="S242" s="1193"/>
      <c r="T242" s="1193"/>
      <c r="U242" s="1193"/>
      <c r="V242" s="1193"/>
      <c r="W242" s="1193"/>
      <c r="X242" s="1193"/>
      <c r="Y242" s="1193"/>
      <c r="Z242" s="1193"/>
      <c r="AA242" s="1193"/>
      <c r="AB242" s="1193"/>
      <c r="AC242" s="1193"/>
    </row>
    <row r="243" spans="1:29" x14ac:dyDescent="0.3">
      <c r="A243" s="681"/>
      <c r="B243" s="1193"/>
      <c r="C243" s="1193"/>
      <c r="D243" s="1193"/>
      <c r="E243" s="1193"/>
      <c r="F243" s="1193"/>
      <c r="G243" s="1193"/>
      <c r="H243" s="1193"/>
      <c r="I243" s="1193"/>
      <c r="J243" s="1193"/>
      <c r="K243" s="1193"/>
      <c r="L243" s="1193"/>
      <c r="M243" s="1193"/>
      <c r="N243" s="1193"/>
      <c r="O243" s="1193"/>
      <c r="P243" s="1193"/>
      <c r="Q243" s="1193"/>
      <c r="R243" s="1193"/>
      <c r="S243" s="1193"/>
      <c r="T243" s="1193"/>
      <c r="U243" s="1193"/>
      <c r="V243" s="1193"/>
      <c r="W243" s="1193"/>
      <c r="X243" s="1193"/>
      <c r="Y243" s="1193"/>
      <c r="Z243" s="1193"/>
      <c r="AA243" s="1193"/>
      <c r="AB243" s="1193"/>
      <c r="AC243" s="1193"/>
    </row>
    <row r="244" spans="1:29" x14ac:dyDescent="0.3">
      <c r="A244" s="681"/>
      <c r="B244" s="1193"/>
      <c r="C244" s="1193"/>
      <c r="D244" s="1193"/>
      <c r="E244" s="1193"/>
      <c r="F244" s="1193"/>
      <c r="G244" s="1193"/>
      <c r="H244" s="1193"/>
      <c r="I244" s="1193"/>
      <c r="J244" s="1193"/>
      <c r="K244" s="1193"/>
      <c r="L244" s="1193"/>
      <c r="M244" s="1193"/>
      <c r="N244" s="1193"/>
      <c r="O244" s="1193"/>
      <c r="P244" s="1193"/>
      <c r="Q244" s="1193"/>
      <c r="R244" s="1193"/>
      <c r="S244" s="1193"/>
      <c r="T244" s="1193"/>
      <c r="U244" s="1193"/>
      <c r="V244" s="1193"/>
      <c r="W244" s="1193"/>
      <c r="X244" s="1193"/>
      <c r="Y244" s="1193"/>
      <c r="Z244" s="1193"/>
      <c r="AA244" s="1193"/>
      <c r="AB244" s="1193"/>
      <c r="AC244" s="1193"/>
    </row>
    <row r="245" spans="1:29" x14ac:dyDescent="0.3">
      <c r="A245" s="681"/>
      <c r="B245" s="1193"/>
      <c r="C245" s="1193"/>
      <c r="D245" s="1193"/>
      <c r="E245" s="1193"/>
      <c r="F245" s="1193"/>
      <c r="G245" s="1193"/>
      <c r="H245" s="1193"/>
      <c r="I245" s="1193"/>
      <c r="J245" s="1193"/>
      <c r="K245" s="1193"/>
      <c r="L245" s="1193"/>
      <c r="M245" s="1193"/>
      <c r="N245" s="1193"/>
      <c r="O245" s="1193"/>
      <c r="P245" s="1193"/>
      <c r="Q245" s="1193"/>
      <c r="R245" s="1193"/>
      <c r="S245" s="1193"/>
      <c r="T245" s="1193"/>
      <c r="U245" s="1193"/>
      <c r="V245" s="1193"/>
      <c r="W245" s="1193"/>
      <c r="X245" s="1193"/>
      <c r="Y245" s="1193"/>
      <c r="Z245" s="1193"/>
      <c r="AA245" s="1193"/>
      <c r="AB245" s="1193"/>
      <c r="AC245" s="1193"/>
    </row>
    <row r="246" spans="1:29" x14ac:dyDescent="0.3">
      <c r="A246" s="681"/>
      <c r="B246" s="1193"/>
      <c r="C246" s="1193"/>
      <c r="D246" s="1193"/>
      <c r="E246" s="1193"/>
      <c r="F246" s="1193"/>
      <c r="G246" s="1193"/>
      <c r="H246" s="1193"/>
      <c r="I246" s="1193"/>
      <c r="J246" s="1193"/>
      <c r="K246" s="1193"/>
      <c r="L246" s="1193"/>
      <c r="M246" s="1193"/>
      <c r="N246" s="1193"/>
      <c r="O246" s="1193"/>
      <c r="P246" s="1193"/>
      <c r="Q246" s="1193"/>
      <c r="R246" s="1193"/>
      <c r="S246" s="1193"/>
      <c r="T246" s="1193"/>
      <c r="U246" s="1193"/>
      <c r="V246" s="1193"/>
      <c r="W246" s="1193"/>
      <c r="X246" s="1193"/>
      <c r="Y246" s="1193"/>
      <c r="Z246" s="1193"/>
      <c r="AA246" s="1193"/>
      <c r="AB246" s="1193"/>
      <c r="AC246" s="1193"/>
    </row>
    <row r="247" spans="1:29" x14ac:dyDescent="0.3">
      <c r="A247" s="681"/>
      <c r="B247" s="1193"/>
      <c r="C247" s="1193"/>
      <c r="D247" s="1193"/>
      <c r="E247" s="1193"/>
      <c r="F247" s="1193"/>
      <c r="G247" s="1193"/>
      <c r="H247" s="1193"/>
      <c r="I247" s="1193"/>
      <c r="J247" s="1193"/>
      <c r="K247" s="1193"/>
      <c r="L247" s="1193"/>
      <c r="M247" s="1193"/>
      <c r="N247" s="1193"/>
      <c r="O247" s="1193"/>
      <c r="P247" s="1193"/>
      <c r="Q247" s="1193"/>
      <c r="R247" s="1193"/>
      <c r="S247" s="1193"/>
      <c r="T247" s="1193"/>
      <c r="U247" s="1193"/>
      <c r="V247" s="1193"/>
      <c r="W247" s="1193"/>
      <c r="X247" s="1193"/>
      <c r="Y247" s="1193"/>
      <c r="Z247" s="1193"/>
      <c r="AA247" s="1193"/>
      <c r="AB247" s="1193"/>
      <c r="AC247" s="1193"/>
    </row>
    <row r="248" spans="1:29" x14ac:dyDescent="0.3">
      <c r="A248" s="681"/>
      <c r="B248" s="1193"/>
      <c r="C248" s="1193"/>
      <c r="D248" s="1193"/>
      <c r="E248" s="1193"/>
      <c r="F248" s="1193"/>
      <c r="G248" s="1193"/>
      <c r="H248" s="1193"/>
      <c r="I248" s="1193"/>
      <c r="J248" s="1193"/>
      <c r="K248" s="1193"/>
      <c r="L248" s="1193"/>
      <c r="M248" s="1193"/>
      <c r="N248" s="1193"/>
      <c r="O248" s="1193"/>
      <c r="P248" s="1193"/>
      <c r="Q248" s="1193"/>
      <c r="R248" s="1193"/>
      <c r="S248" s="1193"/>
      <c r="T248" s="1193"/>
      <c r="U248" s="1193"/>
      <c r="V248" s="1193"/>
      <c r="W248" s="1193"/>
      <c r="X248" s="1193"/>
      <c r="Y248" s="1193"/>
      <c r="Z248" s="1193"/>
      <c r="AA248" s="1193"/>
      <c r="AB248" s="1193"/>
      <c r="AC248" s="1193"/>
    </row>
    <row r="249" spans="1:29" x14ac:dyDescent="0.3">
      <c r="A249" s="681"/>
      <c r="B249" s="1193"/>
      <c r="C249" s="1193"/>
      <c r="D249" s="1193"/>
      <c r="E249" s="1193"/>
      <c r="F249" s="1193"/>
      <c r="G249" s="1193"/>
      <c r="H249" s="1193"/>
      <c r="I249" s="1193"/>
      <c r="J249" s="1193"/>
      <c r="K249" s="1193"/>
      <c r="L249" s="1193"/>
      <c r="M249" s="1193"/>
      <c r="N249" s="1193"/>
      <c r="O249" s="1193"/>
      <c r="P249" s="1193"/>
      <c r="Q249" s="1193"/>
      <c r="R249" s="1193"/>
      <c r="S249" s="1193"/>
      <c r="T249" s="1193"/>
      <c r="U249" s="1193"/>
      <c r="V249" s="1193"/>
      <c r="W249" s="1193"/>
      <c r="X249" s="1193"/>
      <c r="Y249" s="1193"/>
      <c r="Z249" s="1193"/>
      <c r="AA249" s="1193"/>
      <c r="AB249" s="1193"/>
      <c r="AC249" s="1193"/>
    </row>
    <row r="250" spans="1:29" x14ac:dyDescent="0.3">
      <c r="A250" s="681"/>
      <c r="B250" s="1193"/>
      <c r="C250" s="1193"/>
      <c r="D250" s="1193"/>
      <c r="E250" s="1193"/>
      <c r="F250" s="1193"/>
      <c r="G250" s="1193"/>
      <c r="H250" s="1193"/>
      <c r="I250" s="1193"/>
      <c r="J250" s="1193"/>
      <c r="K250" s="1193"/>
      <c r="L250" s="1193"/>
      <c r="M250" s="1193"/>
      <c r="N250" s="1193"/>
      <c r="O250" s="1193"/>
      <c r="P250" s="1193"/>
      <c r="Q250" s="1193"/>
      <c r="R250" s="1193"/>
      <c r="S250" s="1193"/>
      <c r="T250" s="1193"/>
      <c r="U250" s="1193"/>
      <c r="V250" s="1193"/>
      <c r="W250" s="1193"/>
      <c r="X250" s="1193"/>
      <c r="Y250" s="1193"/>
      <c r="Z250" s="1193"/>
      <c r="AA250" s="1193"/>
      <c r="AB250" s="1193"/>
      <c r="AC250" s="1193"/>
    </row>
    <row r="251" spans="1:29" x14ac:dyDescent="0.3">
      <c r="A251" s="681"/>
      <c r="B251" s="1193"/>
      <c r="C251" s="1193"/>
      <c r="D251" s="1193"/>
      <c r="E251" s="1193"/>
      <c r="F251" s="1193"/>
      <c r="G251" s="1193"/>
      <c r="H251" s="1193"/>
      <c r="I251" s="1193"/>
      <c r="J251" s="1193"/>
      <c r="K251" s="1193"/>
      <c r="L251" s="1193"/>
      <c r="M251" s="1193"/>
      <c r="N251" s="1193"/>
      <c r="O251" s="1193"/>
      <c r="P251" s="1193"/>
      <c r="Q251" s="1193"/>
      <c r="R251" s="1193"/>
      <c r="S251" s="1193"/>
      <c r="T251" s="1193"/>
      <c r="U251" s="1193"/>
      <c r="V251" s="1193"/>
      <c r="W251" s="1193"/>
      <c r="X251" s="1193"/>
      <c r="Y251" s="1193"/>
      <c r="Z251" s="1193"/>
      <c r="AA251" s="1193"/>
      <c r="AB251" s="1193"/>
      <c r="AC251" s="1193"/>
    </row>
    <row r="252" spans="1:29" x14ac:dyDescent="0.3">
      <c r="A252" s="681"/>
      <c r="B252" s="1193"/>
      <c r="C252" s="1193"/>
      <c r="D252" s="1193"/>
      <c r="E252" s="1193"/>
      <c r="F252" s="1193"/>
      <c r="G252" s="1193"/>
      <c r="H252" s="1193"/>
      <c r="I252" s="1193"/>
      <c r="J252" s="1193"/>
      <c r="K252" s="1193"/>
      <c r="L252" s="1193"/>
      <c r="M252" s="1193"/>
      <c r="N252" s="1193"/>
      <c r="O252" s="1193"/>
      <c r="P252" s="1193"/>
      <c r="Q252" s="1193"/>
      <c r="R252" s="1193"/>
      <c r="S252" s="1193"/>
      <c r="T252" s="1193"/>
      <c r="U252" s="1193"/>
      <c r="V252" s="1193"/>
      <c r="W252" s="1193"/>
      <c r="X252" s="1193"/>
      <c r="Y252" s="1193"/>
      <c r="Z252" s="1193"/>
      <c r="AA252" s="1193"/>
      <c r="AB252" s="1193"/>
      <c r="AC252" s="1193"/>
    </row>
    <row r="253" spans="1:29" x14ac:dyDescent="0.3">
      <c r="A253" s="681"/>
      <c r="B253" s="1193"/>
      <c r="C253" s="1193"/>
      <c r="D253" s="1193"/>
      <c r="E253" s="1193"/>
      <c r="F253" s="1193"/>
      <c r="G253" s="1193"/>
      <c r="H253" s="1193"/>
      <c r="I253" s="1193"/>
      <c r="J253" s="1193"/>
      <c r="K253" s="1193"/>
      <c r="L253" s="1193"/>
      <c r="M253" s="1193"/>
      <c r="N253" s="1193"/>
      <c r="O253" s="1193"/>
      <c r="P253" s="1193"/>
      <c r="Q253" s="1193"/>
      <c r="R253" s="1193"/>
      <c r="S253" s="1193"/>
      <c r="T253" s="1193"/>
      <c r="U253" s="1193"/>
      <c r="V253" s="1193"/>
      <c r="W253" s="1193"/>
      <c r="X253" s="1193"/>
      <c r="Y253" s="1193"/>
      <c r="Z253" s="1193"/>
      <c r="AA253" s="1193"/>
      <c r="AB253" s="1193"/>
      <c r="AC253" s="1193"/>
    </row>
    <row r="254" spans="1:29" x14ac:dyDescent="0.3">
      <c r="A254" s="681"/>
      <c r="B254" s="1193"/>
      <c r="C254" s="1193"/>
      <c r="D254" s="119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c r="AA254" s="1193"/>
      <c r="AB254" s="1193"/>
      <c r="AC254" s="1193"/>
    </row>
    <row r="255" spans="1:29" x14ac:dyDescent="0.3">
      <c r="A255" s="681"/>
      <c r="B255" s="1193"/>
      <c r="C255" s="1193"/>
      <c r="D255" s="1193"/>
      <c r="E255" s="1193"/>
      <c r="F255" s="1193"/>
      <c r="G255" s="1193"/>
      <c r="H255" s="1193"/>
      <c r="I255" s="1193"/>
      <c r="J255" s="1193"/>
      <c r="K255" s="1193"/>
      <c r="L255" s="1193"/>
      <c r="M255" s="1193"/>
      <c r="N255" s="1193"/>
      <c r="O255" s="1193"/>
      <c r="P255" s="1193"/>
      <c r="Q255" s="1193"/>
      <c r="R255" s="1193"/>
      <c r="S255" s="1193"/>
      <c r="T255" s="1193"/>
      <c r="U255" s="1193"/>
      <c r="V255" s="1193"/>
      <c r="W255" s="1193"/>
      <c r="X255" s="1193"/>
      <c r="Y255" s="1193"/>
      <c r="Z255" s="1193"/>
      <c r="AA255" s="1193"/>
      <c r="AB255" s="1193"/>
      <c r="AC255" s="1193"/>
    </row>
    <row r="256" spans="1:29" x14ac:dyDescent="0.3">
      <c r="A256" s="681"/>
      <c r="B256" s="1193"/>
      <c r="C256" s="1193"/>
      <c r="D256" s="1193"/>
      <c r="E256" s="1193"/>
      <c r="F256" s="1193"/>
      <c r="G256" s="1193"/>
      <c r="H256" s="1193"/>
      <c r="I256" s="1193"/>
      <c r="J256" s="1193"/>
      <c r="K256" s="1193"/>
      <c r="L256" s="1193"/>
      <c r="M256" s="1193"/>
      <c r="N256" s="1193"/>
      <c r="O256" s="1193"/>
      <c r="P256" s="1193"/>
      <c r="Q256" s="1193"/>
      <c r="R256" s="1193"/>
      <c r="S256" s="1193"/>
      <c r="T256" s="1193"/>
      <c r="U256" s="1193"/>
      <c r="V256" s="1193"/>
      <c r="W256" s="1193"/>
      <c r="X256" s="1193"/>
      <c r="Y256" s="1193"/>
      <c r="Z256" s="1193"/>
      <c r="AA256" s="1193"/>
      <c r="AB256" s="1193"/>
      <c r="AC256" s="1193"/>
    </row>
    <row r="257" spans="1:29" x14ac:dyDescent="0.3">
      <c r="A257" s="681"/>
      <c r="B257" s="1193"/>
      <c r="C257" s="1193"/>
      <c r="D257" s="1193"/>
      <c r="E257" s="1193"/>
      <c r="F257" s="1193"/>
      <c r="G257" s="1193"/>
      <c r="H257" s="1193"/>
      <c r="I257" s="1193"/>
      <c r="J257" s="1193"/>
      <c r="K257" s="1193"/>
      <c r="L257" s="1193"/>
      <c r="M257" s="1193"/>
      <c r="N257" s="1193"/>
      <c r="O257" s="1193"/>
      <c r="P257" s="1193"/>
      <c r="Q257" s="1193"/>
      <c r="R257" s="1193"/>
      <c r="S257" s="1193"/>
      <c r="T257" s="1193"/>
      <c r="U257" s="1193"/>
      <c r="V257" s="1193"/>
      <c r="W257" s="1193"/>
      <c r="X257" s="1193"/>
      <c r="Y257" s="1193"/>
      <c r="Z257" s="1193"/>
      <c r="AA257" s="1193"/>
      <c r="AB257" s="1193"/>
      <c r="AC257" s="1193"/>
    </row>
    <row r="258" spans="1:29" x14ac:dyDescent="0.3">
      <c r="A258" s="681"/>
      <c r="B258" s="1193"/>
      <c r="C258" s="1193"/>
      <c r="D258" s="1193"/>
      <c r="E258" s="1193"/>
      <c r="F258" s="1193"/>
      <c r="G258" s="1193"/>
      <c r="H258" s="1193"/>
      <c r="I258" s="1193"/>
      <c r="J258" s="1193"/>
      <c r="K258" s="1193"/>
      <c r="L258" s="1193"/>
      <c r="M258" s="1193"/>
      <c r="N258" s="1193"/>
      <c r="O258" s="1193"/>
      <c r="P258" s="1193"/>
      <c r="Q258" s="1193"/>
      <c r="R258" s="1193"/>
      <c r="S258" s="1193"/>
      <c r="T258" s="1193"/>
      <c r="U258" s="1193"/>
      <c r="V258" s="1193"/>
      <c r="W258" s="1193"/>
      <c r="X258" s="1193"/>
      <c r="Y258" s="1193"/>
      <c r="Z258" s="1193"/>
      <c r="AA258" s="1193"/>
      <c r="AB258" s="1193"/>
      <c r="AC258" s="1193"/>
    </row>
    <row r="259" spans="1:29" x14ac:dyDescent="0.3">
      <c r="A259" s="681"/>
      <c r="B259" s="1193"/>
      <c r="C259" s="1193"/>
      <c r="D259" s="1193"/>
      <c r="E259" s="1193"/>
      <c r="F259" s="1193"/>
      <c r="G259" s="1193"/>
      <c r="H259" s="1193"/>
      <c r="I259" s="1193"/>
      <c r="J259" s="1193"/>
      <c r="K259" s="1193"/>
      <c r="L259" s="1193"/>
      <c r="M259" s="1193"/>
      <c r="N259" s="1193"/>
      <c r="O259" s="1193"/>
      <c r="P259" s="1193"/>
      <c r="Q259" s="1193"/>
      <c r="R259" s="1193"/>
      <c r="S259" s="1193"/>
      <c r="T259" s="1193"/>
      <c r="U259" s="1193"/>
      <c r="V259" s="1193"/>
      <c r="W259" s="1193"/>
      <c r="X259" s="1193"/>
      <c r="Y259" s="1193"/>
      <c r="Z259" s="1193"/>
      <c r="AA259" s="1193"/>
      <c r="AB259" s="1193"/>
      <c r="AC259" s="1193"/>
    </row>
    <row r="260" spans="1:29" x14ac:dyDescent="0.3">
      <c r="A260" s="681"/>
      <c r="B260" s="1193"/>
      <c r="C260" s="1193"/>
      <c r="D260" s="1193"/>
      <c r="E260" s="1193"/>
      <c r="F260" s="1193"/>
      <c r="G260" s="1193"/>
      <c r="H260" s="1193"/>
      <c r="I260" s="1193"/>
      <c r="J260" s="1193"/>
      <c r="K260" s="1193"/>
      <c r="L260" s="1193"/>
      <c r="M260" s="1193"/>
      <c r="N260" s="1193"/>
      <c r="O260" s="1193"/>
      <c r="P260" s="1193"/>
      <c r="Q260" s="1193"/>
      <c r="R260" s="1193"/>
      <c r="S260" s="1193"/>
      <c r="T260" s="1193"/>
      <c r="U260" s="1193"/>
      <c r="V260" s="1193"/>
      <c r="W260" s="1193"/>
      <c r="X260" s="1193"/>
      <c r="Y260" s="1193"/>
      <c r="Z260" s="1193"/>
      <c r="AA260" s="1193"/>
      <c r="AB260" s="1193"/>
      <c r="AC260" s="1193"/>
    </row>
    <row r="261" spans="1:29" x14ac:dyDescent="0.3">
      <c r="A261" s="681"/>
      <c r="B261" s="1193"/>
      <c r="C261" s="1193"/>
      <c r="D261" s="1193"/>
      <c r="E261" s="1193"/>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93"/>
      <c r="AB261" s="1193"/>
      <c r="AC261" s="1193"/>
    </row>
    <row r="262" spans="1:29" x14ac:dyDescent="0.3">
      <c r="A262" s="681"/>
      <c r="B262" s="1193"/>
      <c r="C262" s="1193"/>
      <c r="D262" s="1193"/>
      <c r="E262" s="1193"/>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93"/>
      <c r="AB262" s="1193"/>
      <c r="AC262" s="1193"/>
    </row>
    <row r="263" spans="1:29" x14ac:dyDescent="0.3">
      <c r="A263" s="681"/>
      <c r="B263" s="1193"/>
      <c r="C263" s="1193"/>
      <c r="D263" s="119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c r="AA263" s="1193"/>
      <c r="AB263" s="1193"/>
      <c r="AC263" s="1193"/>
    </row>
    <row r="264" spans="1:29" x14ac:dyDescent="0.3">
      <c r="A264" s="681"/>
      <c r="B264" s="1193"/>
      <c r="C264" s="1193"/>
      <c r="D264" s="1193"/>
      <c r="E264" s="1193"/>
      <c r="F264" s="1193"/>
      <c r="G264" s="1193"/>
      <c r="H264" s="1193"/>
      <c r="I264" s="1193"/>
      <c r="J264" s="1193"/>
      <c r="K264" s="1193"/>
      <c r="L264" s="1193"/>
      <c r="M264" s="1193"/>
      <c r="N264" s="1193"/>
      <c r="O264" s="1193"/>
      <c r="P264" s="1193"/>
      <c r="Q264" s="1193"/>
      <c r="R264" s="1193"/>
      <c r="S264" s="1193"/>
      <c r="T264" s="1193"/>
      <c r="U264" s="1193"/>
      <c r="V264" s="1193"/>
      <c r="W264" s="1193"/>
      <c r="X264" s="1193"/>
      <c r="Y264" s="1193"/>
      <c r="Z264" s="1193"/>
      <c r="AA264" s="1193"/>
      <c r="AB264" s="1193"/>
      <c r="AC264" s="1193"/>
    </row>
    <row r="265" spans="1:29" x14ac:dyDescent="0.3">
      <c r="A265" s="681"/>
      <c r="B265" s="1193"/>
      <c r="C265" s="1193"/>
      <c r="D265" s="1193"/>
      <c r="E265" s="1193"/>
      <c r="F265" s="1193"/>
      <c r="G265" s="1193"/>
      <c r="H265" s="1193"/>
      <c r="I265" s="1193"/>
      <c r="J265" s="1193"/>
      <c r="K265" s="1193"/>
      <c r="L265" s="1193"/>
      <c r="M265" s="1193"/>
      <c r="N265" s="1193"/>
      <c r="O265" s="1193"/>
      <c r="P265" s="1193"/>
      <c r="Q265" s="1193"/>
      <c r="R265" s="1193"/>
      <c r="S265" s="1193"/>
      <c r="T265" s="1193"/>
      <c r="U265" s="1193"/>
      <c r="V265" s="1193"/>
      <c r="W265" s="1193"/>
      <c r="X265" s="1193"/>
      <c r="Y265" s="1193"/>
      <c r="Z265" s="1193"/>
      <c r="AA265" s="1193"/>
      <c r="AB265" s="1193"/>
      <c r="AC265" s="1193"/>
    </row>
    <row r="266" spans="1:29" x14ac:dyDescent="0.3">
      <c r="A266" s="681"/>
      <c r="B266" s="1193"/>
      <c r="C266" s="1193"/>
      <c r="D266" s="1193"/>
      <c r="E266" s="1193"/>
      <c r="F266" s="1193"/>
      <c r="G266" s="1193"/>
      <c r="H266" s="1193"/>
      <c r="I266" s="1193"/>
      <c r="J266" s="1193"/>
      <c r="K266" s="1193"/>
      <c r="L266" s="1193"/>
      <c r="M266" s="1193"/>
      <c r="N266" s="1193"/>
      <c r="O266" s="1193"/>
      <c r="P266" s="1193"/>
      <c r="Q266" s="1193"/>
      <c r="R266" s="1193"/>
      <c r="S266" s="1193"/>
      <c r="T266" s="1193"/>
      <c r="U266" s="1193"/>
      <c r="V266" s="1193"/>
      <c r="W266" s="1193"/>
      <c r="X266" s="1193"/>
      <c r="Y266" s="1193"/>
      <c r="Z266" s="1193"/>
      <c r="AA266" s="1193"/>
      <c r="AB266" s="1193"/>
      <c r="AC266" s="1193"/>
    </row>
    <row r="267" spans="1:29" x14ac:dyDescent="0.3">
      <c r="A267" s="681"/>
      <c r="B267" s="1193"/>
      <c r="C267" s="1193"/>
      <c r="D267" s="1193"/>
      <c r="E267" s="1193"/>
      <c r="F267" s="1193"/>
      <c r="G267" s="1193"/>
      <c r="H267" s="1193"/>
      <c r="I267" s="1193"/>
      <c r="J267" s="1193"/>
      <c r="K267" s="1193"/>
      <c r="L267" s="1193"/>
      <c r="M267" s="1193"/>
      <c r="N267" s="1193"/>
      <c r="O267" s="1193"/>
      <c r="P267" s="1193"/>
      <c r="Q267" s="1193"/>
      <c r="R267" s="1193"/>
      <c r="S267" s="1193"/>
      <c r="T267" s="1193"/>
      <c r="U267" s="1193"/>
      <c r="V267" s="1193"/>
      <c r="W267" s="1193"/>
      <c r="X267" s="1193"/>
      <c r="Y267" s="1193"/>
      <c r="Z267" s="1193"/>
      <c r="AA267" s="1193"/>
      <c r="AB267" s="1193"/>
      <c r="AC267" s="1193"/>
    </row>
    <row r="268" spans="1:29" x14ac:dyDescent="0.3">
      <c r="A268" s="681"/>
      <c r="B268" s="1193"/>
      <c r="C268" s="1193"/>
      <c r="D268" s="1193"/>
      <c r="E268" s="1193"/>
      <c r="F268" s="1193"/>
      <c r="G268" s="1193"/>
      <c r="H268" s="1193"/>
      <c r="I268" s="1193"/>
      <c r="J268" s="1193"/>
      <c r="K268" s="1193"/>
      <c r="L268" s="1193"/>
      <c r="M268" s="1193"/>
      <c r="N268" s="1193"/>
      <c r="O268" s="1193"/>
      <c r="P268" s="1193"/>
      <c r="Q268" s="1193"/>
      <c r="R268" s="1193"/>
      <c r="S268" s="1193"/>
      <c r="T268" s="1193"/>
      <c r="U268" s="1193"/>
      <c r="V268" s="1193"/>
      <c r="W268" s="1193"/>
      <c r="X268" s="1193"/>
      <c r="Y268" s="1193"/>
      <c r="Z268" s="1193"/>
      <c r="AA268" s="1193"/>
      <c r="AB268" s="1193"/>
      <c r="AC268" s="1193"/>
    </row>
    <row r="269" spans="1:29" x14ac:dyDescent="0.3">
      <c r="A269" s="681"/>
      <c r="B269" s="1193"/>
      <c r="C269" s="1193"/>
      <c r="D269" s="1193"/>
      <c r="E269" s="1193"/>
      <c r="F269" s="1193"/>
      <c r="G269" s="1193"/>
      <c r="H269" s="1193"/>
      <c r="I269" s="1193"/>
      <c r="J269" s="1193"/>
      <c r="K269" s="1193"/>
      <c r="L269" s="1193"/>
      <c r="M269" s="1193"/>
      <c r="N269" s="1193"/>
      <c r="O269" s="1193"/>
      <c r="P269" s="1193"/>
      <c r="Q269" s="1193"/>
      <c r="R269" s="1193"/>
      <c r="S269" s="1193"/>
      <c r="T269" s="1193"/>
      <c r="U269" s="1193"/>
      <c r="V269" s="1193"/>
      <c r="W269" s="1193"/>
      <c r="X269" s="1193"/>
      <c r="Y269" s="1193"/>
      <c r="Z269" s="1193"/>
      <c r="AA269" s="1193"/>
      <c r="AB269" s="1193"/>
      <c r="AC269" s="1193"/>
    </row>
    <row r="270" spans="1:29" x14ac:dyDescent="0.3">
      <c r="A270" s="681"/>
      <c r="B270" s="1193"/>
      <c r="C270" s="1193"/>
      <c r="D270" s="1193"/>
      <c r="E270" s="1193"/>
      <c r="F270" s="1193"/>
      <c r="G270" s="1193"/>
      <c r="H270" s="1193"/>
      <c r="I270" s="1193"/>
      <c r="J270" s="1193"/>
      <c r="K270" s="1193"/>
      <c r="L270" s="1193"/>
      <c r="M270" s="1193"/>
      <c r="N270" s="1193"/>
      <c r="O270" s="1193"/>
      <c r="P270" s="1193"/>
      <c r="Q270" s="1193"/>
      <c r="R270" s="1193"/>
      <c r="S270" s="1193"/>
      <c r="T270" s="1193"/>
      <c r="U270" s="1193"/>
      <c r="V270" s="1193"/>
      <c r="W270" s="1193"/>
      <c r="X270" s="1193"/>
      <c r="Y270" s="1193"/>
      <c r="Z270" s="1193"/>
      <c r="AA270" s="1193"/>
      <c r="AB270" s="1193"/>
      <c r="AC270" s="1193"/>
    </row>
    <row r="271" spans="1:29" x14ac:dyDescent="0.3">
      <c r="A271" s="681"/>
      <c r="B271" s="1193"/>
      <c r="C271" s="1193"/>
      <c r="D271" s="1193"/>
      <c r="E271" s="1193"/>
      <c r="F271" s="1193"/>
      <c r="G271" s="1193"/>
      <c r="H271" s="1193"/>
      <c r="I271" s="1193"/>
      <c r="J271" s="1193"/>
      <c r="K271" s="1193"/>
      <c r="L271" s="1193"/>
      <c r="M271" s="1193"/>
      <c r="N271" s="1193"/>
      <c r="O271" s="1193"/>
      <c r="P271" s="1193"/>
      <c r="Q271" s="1193"/>
      <c r="R271" s="1193"/>
      <c r="S271" s="1193"/>
      <c r="T271" s="1193"/>
      <c r="U271" s="1193"/>
      <c r="V271" s="1193"/>
      <c r="W271" s="1193"/>
      <c r="X271" s="1193"/>
      <c r="Y271" s="1193"/>
      <c r="Z271" s="1193"/>
      <c r="AA271" s="1193"/>
      <c r="AB271" s="1193"/>
      <c r="AC271" s="1193"/>
    </row>
    <row r="272" spans="1:29" x14ac:dyDescent="0.3">
      <c r="A272" s="681"/>
      <c r="B272" s="1193"/>
      <c r="C272" s="1193"/>
      <c r="D272" s="1193"/>
      <c r="E272" s="1193"/>
      <c r="F272" s="1193"/>
      <c r="G272" s="1193"/>
      <c r="H272" s="1193"/>
      <c r="I272" s="1193"/>
      <c r="J272" s="1193"/>
      <c r="K272" s="1193"/>
      <c r="L272" s="1193"/>
      <c r="M272" s="1193"/>
      <c r="N272" s="1193"/>
      <c r="O272" s="1193"/>
      <c r="P272" s="1193"/>
      <c r="Q272" s="1193"/>
      <c r="R272" s="1193"/>
      <c r="S272" s="1193"/>
      <c r="T272" s="1193"/>
      <c r="U272" s="1193"/>
      <c r="V272" s="1193"/>
      <c r="W272" s="1193"/>
      <c r="X272" s="1193"/>
      <c r="Y272" s="1193"/>
      <c r="Z272" s="1193"/>
      <c r="AA272" s="1193"/>
      <c r="AB272" s="1193"/>
      <c r="AC272" s="1193"/>
    </row>
    <row r="273" spans="1:29" x14ac:dyDescent="0.3">
      <c r="A273" s="681"/>
      <c r="B273" s="1193"/>
      <c r="C273" s="1193"/>
      <c r="D273" s="1193"/>
      <c r="E273" s="1193"/>
      <c r="F273" s="1193"/>
      <c r="G273" s="1193"/>
      <c r="H273" s="1193"/>
      <c r="I273" s="1193"/>
      <c r="J273" s="1193"/>
      <c r="K273" s="1193"/>
      <c r="L273" s="1193"/>
      <c r="M273" s="1193"/>
      <c r="N273" s="1193"/>
      <c r="O273" s="1193"/>
      <c r="P273" s="1193"/>
      <c r="Q273" s="1193"/>
      <c r="R273" s="1193"/>
      <c r="S273" s="1193"/>
      <c r="T273" s="1193"/>
      <c r="U273" s="1193"/>
      <c r="V273" s="1193"/>
      <c r="W273" s="1193"/>
      <c r="X273" s="1193"/>
      <c r="Y273" s="1193"/>
      <c r="Z273" s="1193"/>
      <c r="AA273" s="1193"/>
      <c r="AB273" s="1193"/>
      <c r="AC273" s="1193"/>
    </row>
    <row r="274" spans="1:29" x14ac:dyDescent="0.3">
      <c r="A274" s="681"/>
      <c r="B274" s="1193"/>
      <c r="C274" s="1193"/>
      <c r="D274" s="1193"/>
      <c r="E274" s="1193"/>
      <c r="F274" s="1193"/>
      <c r="G274" s="1193"/>
      <c r="H274" s="1193"/>
      <c r="I274" s="1193"/>
      <c r="J274" s="1193"/>
      <c r="K274" s="1193"/>
      <c r="L274" s="1193"/>
      <c r="M274" s="1193"/>
      <c r="N274" s="1193"/>
      <c r="O274" s="1193"/>
      <c r="P274" s="1193"/>
      <c r="Q274" s="1193"/>
      <c r="R274" s="1193"/>
      <c r="S274" s="1193"/>
      <c r="T274" s="1193"/>
      <c r="U274" s="1193"/>
      <c r="V274" s="1193"/>
      <c r="W274" s="1193"/>
      <c r="X274" s="1193"/>
      <c r="Y274" s="1193"/>
      <c r="Z274" s="1193"/>
      <c r="AA274" s="1193"/>
      <c r="AB274" s="1193"/>
      <c r="AC274" s="1193"/>
    </row>
    <row r="275" spans="1:29" x14ac:dyDescent="0.3">
      <c r="A275" s="681"/>
      <c r="B275" s="1193"/>
      <c r="C275" s="1193"/>
      <c r="D275" s="1193"/>
      <c r="E275" s="1193"/>
      <c r="F275" s="1193"/>
      <c r="G275" s="1193"/>
      <c r="H275" s="1193"/>
      <c r="I275" s="1193"/>
      <c r="J275" s="1193"/>
      <c r="K275" s="1193"/>
      <c r="L275" s="1193"/>
      <c r="M275" s="1193"/>
      <c r="N275" s="1193"/>
      <c r="O275" s="1193"/>
      <c r="P275" s="1193"/>
      <c r="Q275" s="1193"/>
      <c r="R275" s="1193"/>
      <c r="S275" s="1193"/>
      <c r="T275" s="1193"/>
      <c r="U275" s="1193"/>
      <c r="V275" s="1193"/>
      <c r="W275" s="1193"/>
      <c r="X275" s="1193"/>
      <c r="Y275" s="1193"/>
      <c r="Z275" s="1193"/>
      <c r="AA275" s="1193"/>
      <c r="AB275" s="1193"/>
      <c r="AC275" s="1193"/>
    </row>
    <row r="276" spans="1:29" x14ac:dyDescent="0.3">
      <c r="A276" s="681"/>
      <c r="B276" s="1193"/>
      <c r="C276" s="1193"/>
      <c r="D276" s="1193"/>
      <c r="E276" s="1193"/>
      <c r="F276" s="1193"/>
      <c r="G276" s="1193"/>
      <c r="H276" s="1193"/>
      <c r="I276" s="1193"/>
      <c r="J276" s="1193"/>
      <c r="K276" s="1193"/>
      <c r="L276" s="1193"/>
      <c r="M276" s="1193"/>
      <c r="N276" s="1193"/>
      <c r="O276" s="1193"/>
      <c r="P276" s="1193"/>
      <c r="Q276" s="1193"/>
      <c r="R276" s="1193"/>
      <c r="S276" s="1193"/>
      <c r="T276" s="1193"/>
      <c r="U276" s="1193"/>
      <c r="V276" s="1193"/>
      <c r="W276" s="1193"/>
      <c r="X276" s="1193"/>
      <c r="Y276" s="1193"/>
      <c r="Z276" s="1193"/>
      <c r="AA276" s="1193"/>
      <c r="AB276" s="1193"/>
      <c r="AC276" s="1193"/>
    </row>
    <row r="277" spans="1:29" x14ac:dyDescent="0.3">
      <c r="A277" s="681"/>
      <c r="B277" s="1193"/>
      <c r="C277" s="1193"/>
      <c r="D277" s="1193"/>
      <c r="E277" s="1193"/>
      <c r="F277" s="1193"/>
      <c r="G277" s="1193"/>
      <c r="H277" s="1193"/>
      <c r="I277" s="1193"/>
      <c r="J277" s="1193"/>
      <c r="K277" s="1193"/>
      <c r="L277" s="1193"/>
      <c r="M277" s="1193"/>
      <c r="N277" s="1193"/>
      <c r="O277" s="1193"/>
      <c r="P277" s="1193"/>
      <c r="Q277" s="1193"/>
      <c r="R277" s="1193"/>
      <c r="S277" s="1193"/>
      <c r="T277" s="1193"/>
      <c r="U277" s="1193"/>
      <c r="V277" s="1193"/>
      <c r="W277" s="1193"/>
      <c r="X277" s="1193"/>
      <c r="Y277" s="1193"/>
      <c r="Z277" s="1193"/>
      <c r="AA277" s="1193"/>
      <c r="AB277" s="1193"/>
      <c r="AC277" s="1193"/>
    </row>
    <row r="278" spans="1:29" x14ac:dyDescent="0.3">
      <c r="A278" s="681"/>
      <c r="B278" s="1193"/>
      <c r="C278" s="1193"/>
      <c r="D278" s="1193"/>
      <c r="E278" s="1193"/>
      <c r="F278" s="1193"/>
      <c r="G278" s="1193"/>
      <c r="H278" s="1193"/>
      <c r="I278" s="1193"/>
      <c r="J278" s="1193"/>
      <c r="K278" s="1193"/>
      <c r="L278" s="1193"/>
      <c r="M278" s="1193"/>
      <c r="N278" s="1193"/>
      <c r="O278" s="1193"/>
      <c r="P278" s="1193"/>
      <c r="Q278" s="1193"/>
      <c r="R278" s="1193"/>
      <c r="S278" s="1193"/>
      <c r="T278" s="1193"/>
      <c r="U278" s="1193"/>
      <c r="V278" s="1193"/>
      <c r="W278" s="1193"/>
      <c r="X278" s="1193"/>
      <c r="Y278" s="1193"/>
      <c r="Z278" s="1193"/>
      <c r="AA278" s="1193"/>
      <c r="AB278" s="1193"/>
      <c r="AC278" s="1193"/>
    </row>
    <row r="279" spans="1:29" x14ac:dyDescent="0.3">
      <c r="A279" s="681"/>
      <c r="B279" s="1193"/>
      <c r="C279" s="1193"/>
      <c r="D279" s="1193"/>
      <c r="E279" s="1193"/>
      <c r="F279" s="1193"/>
      <c r="G279" s="1193"/>
      <c r="H279" s="1193"/>
      <c r="I279" s="1193"/>
      <c r="J279" s="1193"/>
      <c r="K279" s="1193"/>
      <c r="L279" s="1193"/>
      <c r="M279" s="1193"/>
      <c r="N279" s="1193"/>
      <c r="O279" s="1193"/>
      <c r="P279" s="1193"/>
      <c r="Q279" s="1193"/>
      <c r="R279" s="1193"/>
      <c r="S279" s="1193"/>
      <c r="T279" s="1193"/>
      <c r="U279" s="1193"/>
      <c r="V279" s="1193"/>
      <c r="W279" s="1193"/>
      <c r="X279" s="1193"/>
      <c r="Y279" s="1193"/>
      <c r="Z279" s="1193"/>
      <c r="AA279" s="1193"/>
      <c r="AB279" s="1193"/>
      <c r="AC279" s="1193"/>
    </row>
    <row r="280" spans="1:29" x14ac:dyDescent="0.3">
      <c r="A280" s="681"/>
      <c r="B280" s="1193"/>
      <c r="C280" s="1193"/>
      <c r="D280" s="119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c r="AA280" s="1193"/>
      <c r="AB280" s="1193"/>
      <c r="AC280" s="1193"/>
    </row>
    <row r="281" spans="1:29" x14ac:dyDescent="0.3">
      <c r="A281" s="681"/>
      <c r="B281" s="1193"/>
      <c r="C281" s="1193"/>
      <c r="D281" s="119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c r="AA281" s="1193"/>
      <c r="AB281" s="1193"/>
      <c r="AC281" s="1193"/>
    </row>
    <row r="282" spans="1:29" x14ac:dyDescent="0.3">
      <c r="A282" s="681"/>
      <c r="B282" s="1193"/>
      <c r="C282" s="1193"/>
      <c r="D282" s="1193"/>
      <c r="E282" s="1193"/>
      <c r="F282" s="1193"/>
      <c r="G282" s="1193"/>
      <c r="H282" s="1193"/>
      <c r="I282" s="1193"/>
      <c r="J282" s="1193"/>
      <c r="K282" s="1193"/>
      <c r="L282" s="1193"/>
      <c r="M282" s="1193"/>
      <c r="N282" s="1193"/>
      <c r="O282" s="1193"/>
      <c r="P282" s="1193"/>
      <c r="Q282" s="1193"/>
      <c r="R282" s="1193"/>
      <c r="S282" s="1193"/>
      <c r="T282" s="1193"/>
      <c r="U282" s="1193"/>
      <c r="V282" s="1193"/>
      <c r="W282" s="1193"/>
      <c r="X282" s="1193"/>
      <c r="Y282" s="1193"/>
      <c r="Z282" s="1193"/>
      <c r="AA282" s="1193"/>
      <c r="AB282" s="1193"/>
      <c r="AC282" s="1193"/>
    </row>
    <row r="283" spans="1:29" x14ac:dyDescent="0.3">
      <c r="A283" s="681"/>
      <c r="B283" s="1193"/>
      <c r="C283" s="1193"/>
      <c r="D283" s="1193"/>
      <c r="E283" s="1193"/>
      <c r="F283" s="1193"/>
      <c r="G283" s="1193"/>
      <c r="H283" s="1193"/>
      <c r="I283" s="1193"/>
      <c r="J283" s="1193"/>
      <c r="K283" s="1193"/>
      <c r="L283" s="1193"/>
      <c r="M283" s="1193"/>
      <c r="N283" s="1193"/>
      <c r="O283" s="1193"/>
      <c r="P283" s="1193"/>
      <c r="Q283" s="1193"/>
      <c r="R283" s="1193"/>
      <c r="S283" s="1193"/>
      <c r="T283" s="1193"/>
      <c r="U283" s="1193"/>
      <c r="V283" s="1193"/>
      <c r="W283" s="1193"/>
      <c r="X283" s="1193"/>
      <c r="Y283" s="1193"/>
      <c r="Z283" s="1193"/>
      <c r="AA283" s="1193"/>
      <c r="AB283" s="1193"/>
      <c r="AC283" s="1193"/>
    </row>
    <row r="284" spans="1:29" x14ac:dyDescent="0.3">
      <c r="A284" s="681"/>
      <c r="B284" s="1193"/>
      <c r="C284" s="1193"/>
      <c r="D284" s="1193"/>
      <c r="E284" s="1193"/>
      <c r="F284" s="1193"/>
      <c r="G284" s="1193"/>
      <c r="H284" s="1193"/>
      <c r="I284" s="1193"/>
      <c r="J284" s="1193"/>
      <c r="K284" s="1193"/>
      <c r="L284" s="1193"/>
      <c r="M284" s="1193"/>
      <c r="N284" s="1193"/>
      <c r="O284" s="1193"/>
      <c r="P284" s="1193"/>
      <c r="Q284" s="1193"/>
      <c r="R284" s="1193"/>
      <c r="S284" s="1193"/>
      <c r="T284" s="1193"/>
      <c r="U284" s="1193"/>
      <c r="V284" s="1193"/>
      <c r="W284" s="1193"/>
      <c r="X284" s="1193"/>
      <c r="Y284" s="1193"/>
      <c r="Z284" s="1193"/>
      <c r="AA284" s="1193"/>
      <c r="AB284" s="1193"/>
      <c r="AC284" s="1193"/>
    </row>
    <row r="285" spans="1:29" x14ac:dyDescent="0.3">
      <c r="A285" s="681"/>
      <c r="B285" s="1193"/>
      <c r="C285" s="1193"/>
      <c r="D285" s="1193"/>
      <c r="E285" s="1193"/>
      <c r="F285" s="1193"/>
      <c r="G285" s="1193"/>
      <c r="H285" s="1193"/>
      <c r="I285" s="1193"/>
      <c r="J285" s="1193"/>
      <c r="K285" s="1193"/>
      <c r="L285" s="1193"/>
      <c r="M285" s="1193"/>
      <c r="N285" s="1193"/>
      <c r="O285" s="1193"/>
      <c r="P285" s="1193"/>
      <c r="Q285" s="1193"/>
      <c r="R285" s="1193"/>
      <c r="S285" s="1193"/>
      <c r="T285" s="1193"/>
      <c r="U285" s="1193"/>
      <c r="V285" s="1193"/>
      <c r="W285" s="1193"/>
      <c r="X285" s="1193"/>
      <c r="Y285" s="1193"/>
      <c r="Z285" s="1193"/>
      <c r="AA285" s="1193"/>
      <c r="AB285" s="1193"/>
      <c r="AC285" s="1193"/>
    </row>
    <row r="286" spans="1:29" x14ac:dyDescent="0.3">
      <c r="A286" s="681"/>
      <c r="B286" s="1193"/>
      <c r="C286" s="1193"/>
      <c r="D286" s="1193"/>
      <c r="E286" s="1193"/>
      <c r="F286" s="1193"/>
      <c r="G286" s="1193"/>
      <c r="H286" s="1193"/>
      <c r="I286" s="1193"/>
      <c r="J286" s="1193"/>
      <c r="K286" s="1193"/>
      <c r="L286" s="1193"/>
      <c r="M286" s="1193"/>
      <c r="N286" s="1193"/>
      <c r="O286" s="1193"/>
      <c r="P286" s="1193"/>
      <c r="Q286" s="1193"/>
      <c r="R286" s="1193"/>
      <c r="S286" s="1193"/>
      <c r="T286" s="1193"/>
      <c r="U286" s="1193"/>
      <c r="V286" s="1193"/>
      <c r="W286" s="1193"/>
      <c r="X286" s="1193"/>
      <c r="Y286" s="1193"/>
      <c r="Z286" s="1193"/>
      <c r="AA286" s="1193"/>
      <c r="AB286" s="1193"/>
      <c r="AC286" s="1193"/>
    </row>
    <row r="287" spans="1:29" x14ac:dyDescent="0.3">
      <c r="A287" s="681"/>
      <c r="B287" s="1193"/>
      <c r="C287" s="1193"/>
      <c r="D287" s="1193"/>
      <c r="E287" s="1193"/>
      <c r="F287" s="1193"/>
      <c r="G287" s="1193"/>
      <c r="H287" s="1193"/>
      <c r="I287" s="1193"/>
      <c r="J287" s="1193"/>
      <c r="K287" s="1193"/>
      <c r="L287" s="1193"/>
      <c r="M287" s="1193"/>
      <c r="N287" s="1193"/>
      <c r="O287" s="1193"/>
      <c r="P287" s="1193"/>
      <c r="Q287" s="1193"/>
      <c r="R287" s="1193"/>
      <c r="S287" s="1193"/>
      <c r="T287" s="1193"/>
      <c r="U287" s="1193"/>
      <c r="V287" s="1193"/>
      <c r="W287" s="1193"/>
      <c r="X287" s="1193"/>
      <c r="Y287" s="1193"/>
      <c r="Z287" s="1193"/>
      <c r="AA287" s="1193"/>
      <c r="AB287" s="1193"/>
      <c r="AC287" s="1193"/>
    </row>
    <row r="288" spans="1:29" x14ac:dyDescent="0.3">
      <c r="A288" s="681"/>
      <c r="B288" s="1193"/>
      <c r="C288" s="1193"/>
      <c r="D288" s="1193"/>
      <c r="E288" s="1193"/>
      <c r="F288" s="1193"/>
      <c r="G288" s="1193"/>
      <c r="H288" s="1193"/>
      <c r="I288" s="1193"/>
      <c r="J288" s="1193"/>
      <c r="K288" s="1193"/>
      <c r="L288" s="1193"/>
      <c r="M288" s="1193"/>
      <c r="N288" s="1193"/>
      <c r="O288" s="1193"/>
      <c r="P288" s="1193"/>
      <c r="Q288" s="1193"/>
      <c r="R288" s="1193"/>
      <c r="S288" s="1193"/>
      <c r="T288" s="1193"/>
      <c r="U288" s="1193"/>
      <c r="V288" s="1193"/>
      <c r="W288" s="1193"/>
      <c r="X288" s="1193"/>
      <c r="Y288" s="1193"/>
      <c r="Z288" s="1193"/>
      <c r="AA288" s="1193"/>
      <c r="AB288" s="1193"/>
      <c r="AC288" s="1193"/>
    </row>
    <row r="289" spans="1:29" x14ac:dyDescent="0.3">
      <c r="A289" s="681"/>
      <c r="B289" s="1193"/>
      <c r="C289" s="1193"/>
      <c r="D289" s="1193"/>
      <c r="E289" s="1193"/>
      <c r="F289" s="1193"/>
      <c r="G289" s="1193"/>
      <c r="H289" s="1193"/>
      <c r="I289" s="1193"/>
      <c r="J289" s="1193"/>
      <c r="K289" s="1193"/>
      <c r="L289" s="1193"/>
      <c r="M289" s="1193"/>
      <c r="N289" s="1193"/>
      <c r="O289" s="1193"/>
      <c r="P289" s="1193"/>
      <c r="Q289" s="1193"/>
      <c r="R289" s="1193"/>
      <c r="S289" s="1193"/>
      <c r="T289" s="1193"/>
      <c r="U289" s="1193"/>
      <c r="V289" s="1193"/>
      <c r="W289" s="1193"/>
      <c r="X289" s="1193"/>
      <c r="Y289" s="1193"/>
      <c r="Z289" s="1193"/>
      <c r="AA289" s="1193"/>
      <c r="AB289" s="1193"/>
      <c r="AC289" s="1193"/>
    </row>
    <row r="290" spans="1:29" x14ac:dyDescent="0.3">
      <c r="A290" s="681"/>
      <c r="B290" s="1193"/>
      <c r="C290" s="1193"/>
      <c r="D290" s="1193"/>
      <c r="E290" s="1193"/>
      <c r="F290" s="1193"/>
      <c r="G290" s="1193"/>
      <c r="H290" s="1193"/>
      <c r="I290" s="1193"/>
      <c r="J290" s="1193"/>
      <c r="K290" s="1193"/>
      <c r="L290" s="1193"/>
      <c r="M290" s="1193"/>
      <c r="N290" s="1193"/>
      <c r="O290" s="1193"/>
      <c r="P290" s="1193"/>
      <c r="Q290" s="1193"/>
      <c r="R290" s="1193"/>
      <c r="S290" s="1193"/>
      <c r="T290" s="1193"/>
      <c r="U290" s="1193"/>
      <c r="V290" s="1193"/>
      <c r="W290" s="1193"/>
      <c r="X290" s="1193"/>
      <c r="Y290" s="1193"/>
      <c r="Z290" s="1193"/>
      <c r="AA290" s="1193"/>
      <c r="AB290" s="1193"/>
      <c r="AC290" s="1193"/>
    </row>
    <row r="291" spans="1:29" x14ac:dyDescent="0.3">
      <c r="A291" s="681"/>
      <c r="B291" s="1193"/>
      <c r="C291" s="1193"/>
      <c r="D291" s="1193"/>
      <c r="E291" s="1193"/>
      <c r="F291" s="1193"/>
      <c r="G291" s="1193"/>
      <c r="H291" s="1193"/>
      <c r="I291" s="1193"/>
      <c r="J291" s="1193"/>
      <c r="K291" s="1193"/>
      <c r="L291" s="1193"/>
      <c r="M291" s="1193"/>
      <c r="N291" s="1193"/>
      <c r="O291" s="1193"/>
      <c r="P291" s="1193"/>
      <c r="Q291" s="1193"/>
      <c r="R291" s="1193"/>
      <c r="S291" s="1193"/>
      <c r="T291" s="1193"/>
      <c r="U291" s="1193"/>
      <c r="V291" s="1193"/>
      <c r="W291" s="1193"/>
      <c r="X291" s="1193"/>
      <c r="Y291" s="1193"/>
      <c r="Z291" s="1193"/>
      <c r="AA291" s="1193"/>
      <c r="AB291" s="1193"/>
      <c r="AC291" s="1193"/>
    </row>
    <row r="292" spans="1:29" x14ac:dyDescent="0.3">
      <c r="A292" s="681"/>
      <c r="B292" s="1193"/>
      <c r="C292" s="1193"/>
      <c r="D292" s="1193"/>
      <c r="E292" s="1193"/>
      <c r="F292" s="1193"/>
      <c r="G292" s="1193"/>
      <c r="H292" s="1193"/>
      <c r="I292" s="1193"/>
      <c r="J292" s="1193"/>
      <c r="K292" s="1193"/>
      <c r="L292" s="1193"/>
      <c r="M292" s="1193"/>
      <c r="N292" s="1193"/>
      <c r="O292" s="1193"/>
      <c r="P292" s="1193"/>
      <c r="Q292" s="1193"/>
      <c r="R292" s="1193"/>
      <c r="S292" s="1193"/>
      <c r="T292" s="1193"/>
      <c r="U292" s="1193"/>
      <c r="V292" s="1193"/>
      <c r="W292" s="1193"/>
      <c r="X292" s="1193"/>
      <c r="Y292" s="1193"/>
      <c r="Z292" s="1193"/>
      <c r="AA292" s="1193"/>
      <c r="AB292" s="1193"/>
      <c r="AC292" s="1193"/>
    </row>
    <row r="293" spans="1:29" x14ac:dyDescent="0.3">
      <c r="A293" s="681"/>
      <c r="B293" s="1193"/>
      <c r="C293" s="1193"/>
      <c r="D293" s="1193"/>
      <c r="E293" s="1193"/>
      <c r="F293" s="1193"/>
      <c r="G293" s="1193"/>
      <c r="H293" s="1193"/>
      <c r="I293" s="1193"/>
      <c r="J293" s="1193"/>
      <c r="K293" s="1193"/>
      <c r="L293" s="1193"/>
      <c r="M293" s="1193"/>
      <c r="N293" s="1193"/>
      <c r="O293" s="1193"/>
      <c r="P293" s="1193"/>
      <c r="Q293" s="1193"/>
      <c r="R293" s="1193"/>
      <c r="S293" s="1193"/>
      <c r="T293" s="1193"/>
      <c r="U293" s="1193"/>
      <c r="V293" s="1193"/>
      <c r="W293" s="1193"/>
      <c r="X293" s="1193"/>
      <c r="Y293" s="1193"/>
      <c r="Z293" s="1193"/>
      <c r="AA293" s="1193"/>
      <c r="AB293" s="1193"/>
      <c r="AC293" s="1193"/>
    </row>
    <row r="294" spans="1:29" x14ac:dyDescent="0.3">
      <c r="A294" s="681"/>
      <c r="B294" s="1193"/>
      <c r="C294" s="1193"/>
      <c r="D294" s="1193"/>
      <c r="E294" s="1193"/>
      <c r="F294" s="1193"/>
      <c r="G294" s="1193"/>
      <c r="H294" s="1193"/>
      <c r="I294" s="1193"/>
      <c r="J294" s="1193"/>
      <c r="K294" s="1193"/>
      <c r="L294" s="1193"/>
      <c r="M294" s="1193"/>
      <c r="N294" s="1193"/>
      <c r="O294" s="1193"/>
      <c r="P294" s="1193"/>
      <c r="Q294" s="1193"/>
      <c r="R294" s="1193"/>
      <c r="S294" s="1193"/>
      <c r="T294" s="1193"/>
      <c r="U294" s="1193"/>
      <c r="V294" s="1193"/>
      <c r="W294" s="1193"/>
      <c r="X294" s="1193"/>
      <c r="Y294" s="1193"/>
      <c r="Z294" s="1193"/>
      <c r="AA294" s="1193"/>
      <c r="AB294" s="1193"/>
      <c r="AC294" s="1193"/>
    </row>
    <row r="295" spans="1:29" x14ac:dyDescent="0.3">
      <c r="A295" s="681"/>
      <c r="B295" s="1193"/>
      <c r="C295" s="1193"/>
      <c r="D295" s="1193"/>
      <c r="E295" s="1193"/>
      <c r="F295" s="1193"/>
      <c r="G295" s="1193"/>
      <c r="H295" s="1193"/>
      <c r="I295" s="1193"/>
      <c r="J295" s="1193"/>
      <c r="K295" s="1193"/>
      <c r="L295" s="1193"/>
      <c r="M295" s="1193"/>
      <c r="N295" s="1193"/>
      <c r="O295" s="1193"/>
      <c r="P295" s="1193"/>
      <c r="Q295" s="1193"/>
      <c r="R295" s="1193"/>
      <c r="S295" s="1193"/>
      <c r="T295" s="1193"/>
      <c r="U295" s="1193"/>
      <c r="V295" s="1193"/>
      <c r="W295" s="1193"/>
      <c r="X295" s="1193"/>
      <c r="Y295" s="1193"/>
      <c r="Z295" s="1193"/>
      <c r="AA295" s="1193"/>
      <c r="AB295" s="1193"/>
      <c r="AC295" s="1193"/>
    </row>
    <row r="296" spans="1:29" x14ac:dyDescent="0.3">
      <c r="A296" s="681"/>
      <c r="B296" s="1193"/>
      <c r="C296" s="1193"/>
      <c r="D296" s="1193"/>
      <c r="E296" s="1193"/>
      <c r="F296" s="1193"/>
      <c r="G296" s="1193"/>
      <c r="H296" s="1193"/>
      <c r="I296" s="1193"/>
      <c r="J296" s="1193"/>
      <c r="K296" s="1193"/>
      <c r="L296" s="1193"/>
      <c r="M296" s="1193"/>
      <c r="N296" s="1193"/>
      <c r="O296" s="1193"/>
      <c r="P296" s="1193"/>
      <c r="Q296" s="1193"/>
      <c r="R296" s="1193"/>
      <c r="S296" s="1193"/>
      <c r="T296" s="1193"/>
      <c r="U296" s="1193"/>
      <c r="V296" s="1193"/>
      <c r="W296" s="1193"/>
      <c r="X296" s="1193"/>
      <c r="Y296" s="1193"/>
      <c r="Z296" s="1193"/>
      <c r="AA296" s="1193"/>
      <c r="AB296" s="1193"/>
      <c r="AC296" s="1193"/>
    </row>
    <row r="297" spans="1:29" x14ac:dyDescent="0.3">
      <c r="A297" s="681"/>
      <c r="B297" s="1193"/>
      <c r="C297" s="1193"/>
      <c r="D297" s="1193"/>
      <c r="E297" s="1193"/>
      <c r="F297" s="1193"/>
      <c r="G297" s="1193"/>
      <c r="H297" s="1193"/>
      <c r="I297" s="1193"/>
      <c r="J297" s="1193"/>
      <c r="K297" s="1193"/>
      <c r="L297" s="1193"/>
      <c r="M297" s="1193"/>
      <c r="N297" s="1193"/>
      <c r="O297" s="1193"/>
      <c r="P297" s="1193"/>
      <c r="Q297" s="1193"/>
      <c r="R297" s="1193"/>
      <c r="S297" s="1193"/>
      <c r="T297" s="1193"/>
      <c r="U297" s="1193"/>
      <c r="V297" s="1193"/>
      <c r="W297" s="1193"/>
      <c r="X297" s="1193"/>
      <c r="Y297" s="1193"/>
      <c r="Z297" s="1193"/>
      <c r="AA297" s="1193"/>
      <c r="AB297" s="1193"/>
      <c r="AC297" s="1193"/>
    </row>
    <row r="298" spans="1:29" x14ac:dyDescent="0.3">
      <c r="A298" s="681"/>
      <c r="B298" s="1193"/>
      <c r="C298" s="1193"/>
      <c r="D298" s="1193"/>
      <c r="E298" s="1193"/>
      <c r="F298" s="1193"/>
      <c r="G298" s="1193"/>
      <c r="H298" s="1193"/>
      <c r="I298" s="1193"/>
      <c r="J298" s="1193"/>
      <c r="K298" s="1193"/>
      <c r="L298" s="1193"/>
      <c r="M298" s="1193"/>
      <c r="N298" s="1193"/>
      <c r="O298" s="1193"/>
      <c r="P298" s="1193"/>
      <c r="Q298" s="1193"/>
      <c r="R298" s="1193"/>
      <c r="S298" s="1193"/>
      <c r="T298" s="1193"/>
      <c r="U298" s="1193"/>
      <c r="V298" s="1193"/>
      <c r="W298" s="1193"/>
      <c r="X298" s="1193"/>
      <c r="Y298" s="1193"/>
      <c r="Z298" s="1193"/>
      <c r="AA298" s="1193"/>
      <c r="AB298" s="1193"/>
      <c r="AC298" s="1193"/>
    </row>
    <row r="299" spans="1:29" x14ac:dyDescent="0.3">
      <c r="A299" s="681"/>
      <c r="B299" s="1193"/>
      <c r="C299" s="1193"/>
      <c r="D299" s="1193"/>
      <c r="E299" s="1193"/>
      <c r="F299" s="1193"/>
      <c r="G299" s="1193"/>
      <c r="H299" s="1193"/>
      <c r="I299" s="1193"/>
      <c r="J299" s="1193"/>
      <c r="K299" s="1193"/>
      <c r="L299" s="1193"/>
      <c r="M299" s="1193"/>
      <c r="N299" s="1193"/>
      <c r="O299" s="1193"/>
      <c r="P299" s="1193"/>
      <c r="Q299" s="1193"/>
      <c r="R299" s="1193"/>
      <c r="S299" s="1193"/>
      <c r="T299" s="1193"/>
      <c r="U299" s="1193"/>
      <c r="V299" s="1193"/>
      <c r="W299" s="1193"/>
      <c r="X299" s="1193"/>
      <c r="Y299" s="1193"/>
      <c r="Z299" s="1193"/>
      <c r="AA299" s="1193"/>
      <c r="AB299" s="1193"/>
      <c r="AC299" s="1193"/>
    </row>
    <row r="300" spans="1:29" x14ac:dyDescent="0.3">
      <c r="A300" s="681"/>
      <c r="B300" s="1193"/>
      <c r="C300" s="1193"/>
      <c r="D300" s="1193"/>
      <c r="E300" s="1193"/>
      <c r="F300" s="1193"/>
      <c r="G300" s="1193"/>
      <c r="H300" s="1193"/>
      <c r="I300" s="1193"/>
      <c r="J300" s="1193"/>
      <c r="K300" s="1193"/>
      <c r="L300" s="1193"/>
      <c r="M300" s="1193"/>
      <c r="N300" s="1193"/>
      <c r="O300" s="1193"/>
      <c r="P300" s="1193"/>
      <c r="Q300" s="1193"/>
      <c r="R300" s="1193"/>
      <c r="S300" s="1193"/>
      <c r="T300" s="1193"/>
      <c r="U300" s="1193"/>
      <c r="V300" s="1193"/>
      <c r="W300" s="1193"/>
      <c r="X300" s="1193"/>
      <c r="Y300" s="1193"/>
      <c r="Z300" s="1193"/>
      <c r="AA300" s="1193"/>
      <c r="AB300" s="1193"/>
      <c r="AC300" s="1193"/>
    </row>
    <row r="301" spans="1:29" x14ac:dyDescent="0.3">
      <c r="A301" s="681"/>
      <c r="B301" s="1193"/>
      <c r="C301" s="1193"/>
      <c r="D301" s="1193"/>
      <c r="E301" s="1193"/>
      <c r="F301" s="1193"/>
      <c r="G301" s="1193"/>
      <c r="H301" s="1193"/>
      <c r="I301" s="1193"/>
      <c r="J301" s="1193"/>
      <c r="K301" s="1193"/>
      <c r="L301" s="1193"/>
      <c r="M301" s="1193"/>
      <c r="N301" s="1193"/>
      <c r="O301" s="1193"/>
      <c r="P301" s="1193"/>
      <c r="Q301" s="1193"/>
      <c r="R301" s="1193"/>
      <c r="S301" s="1193"/>
      <c r="T301" s="1193"/>
      <c r="U301" s="1193"/>
      <c r="V301" s="1193"/>
      <c r="W301" s="1193"/>
      <c r="X301" s="1193"/>
      <c r="Y301" s="1193"/>
      <c r="Z301" s="1193"/>
      <c r="AA301" s="1193"/>
      <c r="AB301" s="1193"/>
      <c r="AC301" s="1193"/>
    </row>
    <row r="302" spans="1:29" x14ac:dyDescent="0.3">
      <c r="A302" s="681"/>
      <c r="B302" s="1193"/>
      <c r="C302" s="1193"/>
      <c r="D302" s="1193"/>
      <c r="E302" s="1193"/>
      <c r="F302" s="1193"/>
      <c r="G302" s="1193"/>
      <c r="H302" s="1193"/>
      <c r="I302" s="1193"/>
      <c r="J302" s="1193"/>
      <c r="K302" s="1193"/>
      <c r="L302" s="1193"/>
      <c r="M302" s="1193"/>
      <c r="N302" s="1193"/>
      <c r="O302" s="1193"/>
      <c r="P302" s="1193"/>
      <c r="Q302" s="1193"/>
      <c r="R302" s="1193"/>
      <c r="S302" s="1193"/>
      <c r="T302" s="1193"/>
      <c r="U302" s="1193"/>
      <c r="V302" s="1193"/>
      <c r="W302" s="1193"/>
      <c r="X302" s="1193"/>
      <c r="Y302" s="1193"/>
      <c r="Z302" s="1193"/>
      <c r="AA302" s="1193"/>
      <c r="AB302" s="1193"/>
      <c r="AC302" s="1193"/>
    </row>
    <row r="303" spans="1:29" x14ac:dyDescent="0.3">
      <c r="A303" s="681"/>
      <c r="B303" s="1193"/>
      <c r="C303" s="1193"/>
      <c r="D303" s="1193"/>
      <c r="E303" s="1193"/>
      <c r="F303" s="1193"/>
      <c r="G303" s="1193"/>
      <c r="H303" s="1193"/>
      <c r="I303" s="1193"/>
      <c r="J303" s="1193"/>
      <c r="K303" s="1193"/>
      <c r="L303" s="1193"/>
      <c r="M303" s="1193"/>
      <c r="N303" s="1193"/>
      <c r="O303" s="1193"/>
      <c r="P303" s="1193"/>
      <c r="Q303" s="1193"/>
      <c r="R303" s="1193"/>
      <c r="S303" s="1193"/>
      <c r="T303" s="1193"/>
      <c r="U303" s="1193"/>
      <c r="V303" s="1193"/>
      <c r="W303" s="1193"/>
      <c r="X303" s="1193"/>
      <c r="Y303" s="1193"/>
      <c r="Z303" s="1193"/>
      <c r="AA303" s="1193"/>
      <c r="AB303" s="1193"/>
      <c r="AC303" s="1193"/>
    </row>
    <row r="304" spans="1:29" x14ac:dyDescent="0.3">
      <c r="A304" s="681"/>
      <c r="B304" s="1193"/>
      <c r="C304" s="1193"/>
      <c r="D304" s="1193"/>
      <c r="E304" s="1193"/>
      <c r="F304" s="1193"/>
      <c r="G304" s="1193"/>
      <c r="H304" s="1193"/>
      <c r="I304" s="1193"/>
      <c r="J304" s="1193"/>
      <c r="K304" s="1193"/>
      <c r="L304" s="1193"/>
      <c r="M304" s="1193"/>
      <c r="N304" s="1193"/>
      <c r="O304" s="1193"/>
      <c r="P304" s="1193"/>
      <c r="Q304" s="1193"/>
      <c r="R304" s="1193"/>
      <c r="S304" s="1193"/>
      <c r="T304" s="1193"/>
      <c r="U304" s="1193"/>
      <c r="V304" s="1193"/>
      <c r="W304" s="1193"/>
      <c r="X304" s="1193"/>
      <c r="Y304" s="1193"/>
      <c r="Z304" s="1193"/>
      <c r="AA304" s="1193"/>
      <c r="AB304" s="1193"/>
      <c r="AC304" s="1193"/>
    </row>
    <row r="305" spans="1:29" x14ac:dyDescent="0.3">
      <c r="A305" s="681"/>
      <c r="B305" s="1193"/>
      <c r="C305" s="1193"/>
      <c r="D305" s="1193"/>
      <c r="E305" s="1193"/>
      <c r="F305" s="1193"/>
      <c r="G305" s="1193"/>
      <c r="H305" s="1193"/>
      <c r="I305" s="1193"/>
      <c r="J305" s="1193"/>
      <c r="K305" s="1193"/>
      <c r="L305" s="1193"/>
      <c r="M305" s="1193"/>
      <c r="N305" s="1193"/>
      <c r="O305" s="1193"/>
      <c r="P305" s="1193"/>
      <c r="Q305" s="1193"/>
      <c r="R305" s="1193"/>
      <c r="S305" s="1193"/>
      <c r="T305" s="1193"/>
      <c r="U305" s="1193"/>
      <c r="V305" s="1193"/>
      <c r="W305" s="1193"/>
      <c r="X305" s="1193"/>
      <c r="Y305" s="1193"/>
      <c r="Z305" s="1193"/>
      <c r="AA305" s="1193"/>
      <c r="AB305" s="1193"/>
      <c r="AC305" s="1193"/>
    </row>
    <row r="306" spans="1:29" x14ac:dyDescent="0.3">
      <c r="A306" s="681"/>
      <c r="B306" s="1193"/>
      <c r="C306" s="1193"/>
      <c r="D306" s="1193"/>
      <c r="E306" s="1193"/>
      <c r="F306" s="1193"/>
      <c r="G306" s="1193"/>
      <c r="H306" s="1193"/>
      <c r="I306" s="1193"/>
      <c r="J306" s="1193"/>
      <c r="K306" s="1193"/>
      <c r="L306" s="1193"/>
      <c r="M306" s="1193"/>
      <c r="N306" s="1193"/>
      <c r="O306" s="1193"/>
      <c r="P306" s="1193"/>
      <c r="Q306" s="1193"/>
      <c r="R306" s="1193"/>
      <c r="S306" s="1193"/>
      <c r="T306" s="1193"/>
      <c r="U306" s="1193"/>
      <c r="V306" s="1193"/>
      <c r="W306" s="1193"/>
      <c r="X306" s="1193"/>
      <c r="Y306" s="1193"/>
      <c r="Z306" s="1193"/>
      <c r="AA306" s="1193"/>
      <c r="AB306" s="1193"/>
      <c r="AC306" s="1193"/>
    </row>
    <row r="307" spans="1:29" x14ac:dyDescent="0.3">
      <c r="A307" s="681"/>
      <c r="B307" s="1193"/>
      <c r="C307" s="1193"/>
      <c r="D307" s="1193"/>
      <c r="E307" s="1193"/>
      <c r="F307" s="1193"/>
      <c r="G307" s="1193"/>
      <c r="H307" s="1193"/>
      <c r="I307" s="1193"/>
      <c r="J307" s="1193"/>
      <c r="K307" s="1193"/>
      <c r="L307" s="1193"/>
      <c r="M307" s="1193"/>
      <c r="N307" s="1193"/>
      <c r="O307" s="1193"/>
      <c r="P307" s="1193"/>
      <c r="Q307" s="1193"/>
      <c r="R307" s="1193"/>
      <c r="S307" s="1193"/>
      <c r="T307" s="1193"/>
      <c r="U307" s="1193"/>
      <c r="V307" s="1193"/>
      <c r="W307" s="1193"/>
      <c r="X307" s="1193"/>
      <c r="Y307" s="1193"/>
      <c r="Z307" s="1193"/>
      <c r="AA307" s="1193"/>
      <c r="AB307" s="1193"/>
      <c r="AC307" s="1193"/>
    </row>
    <row r="308" spans="1:29" x14ac:dyDescent="0.3">
      <c r="A308" s="681"/>
      <c r="B308" s="1193"/>
      <c r="C308" s="1193"/>
      <c r="D308" s="1193"/>
      <c r="E308" s="1193"/>
      <c r="F308" s="1193"/>
      <c r="G308" s="1193"/>
      <c r="H308" s="1193"/>
      <c r="I308" s="1193"/>
      <c r="J308" s="1193"/>
      <c r="K308" s="1193"/>
      <c r="L308" s="1193"/>
      <c r="M308" s="1193"/>
      <c r="N308" s="1193"/>
      <c r="O308" s="1193"/>
      <c r="P308" s="1193"/>
      <c r="Q308" s="1193"/>
      <c r="R308" s="1193"/>
      <c r="S308" s="1193"/>
      <c r="T308" s="1193"/>
      <c r="U308" s="1193"/>
      <c r="V308" s="1193"/>
      <c r="W308" s="1193"/>
      <c r="X308" s="1193"/>
      <c r="Y308" s="1193"/>
      <c r="Z308" s="1193"/>
      <c r="AA308" s="1193"/>
      <c r="AB308" s="1193"/>
      <c r="AC308" s="1193"/>
    </row>
    <row r="309" spans="1:29" x14ac:dyDescent="0.3">
      <c r="A309" s="681"/>
      <c r="B309" s="1193"/>
      <c r="C309" s="1193"/>
      <c r="D309" s="1193"/>
      <c r="E309" s="1193"/>
      <c r="F309" s="1193"/>
      <c r="G309" s="1193"/>
      <c r="H309" s="1193"/>
      <c r="I309" s="1193"/>
      <c r="J309" s="1193"/>
      <c r="K309" s="1193"/>
      <c r="L309" s="1193"/>
      <c r="M309" s="1193"/>
      <c r="N309" s="1193"/>
      <c r="O309" s="1193"/>
      <c r="P309" s="1193"/>
      <c r="Q309" s="1193"/>
      <c r="R309" s="1193"/>
      <c r="S309" s="1193"/>
      <c r="T309" s="1193"/>
      <c r="U309" s="1193"/>
      <c r="V309" s="1193"/>
      <c r="W309" s="1193"/>
      <c r="X309" s="1193"/>
      <c r="Y309" s="1193"/>
      <c r="Z309" s="1193"/>
      <c r="AA309" s="1193"/>
      <c r="AB309" s="1193"/>
      <c r="AC309" s="1193"/>
    </row>
    <row r="310" spans="1:29" x14ac:dyDescent="0.3">
      <c r="A310" s="681"/>
      <c r="B310" s="1193"/>
      <c r="C310" s="1193"/>
      <c r="D310" s="1193"/>
      <c r="E310" s="1193"/>
      <c r="F310" s="1193"/>
      <c r="G310" s="1193"/>
      <c r="H310" s="1193"/>
      <c r="I310" s="1193"/>
      <c r="J310" s="1193"/>
      <c r="K310" s="1193"/>
      <c r="L310" s="1193"/>
      <c r="M310" s="1193"/>
      <c r="N310" s="1193"/>
      <c r="O310" s="1193"/>
      <c r="P310" s="1193"/>
      <c r="Q310" s="1193"/>
      <c r="R310" s="1193"/>
      <c r="S310" s="1193"/>
      <c r="T310" s="1193"/>
      <c r="U310" s="1193"/>
      <c r="V310" s="1193"/>
      <c r="W310" s="1193"/>
      <c r="X310" s="1193"/>
      <c r="Y310" s="1193"/>
      <c r="Z310" s="1193"/>
      <c r="AA310" s="1193"/>
      <c r="AB310" s="1193"/>
      <c r="AC310" s="1193"/>
    </row>
    <row r="311" spans="1:29" x14ac:dyDescent="0.3">
      <c r="A311" s="681"/>
      <c r="B311" s="1193"/>
      <c r="C311" s="1193"/>
      <c r="D311" s="1193"/>
      <c r="E311" s="1193"/>
      <c r="F311" s="1193"/>
      <c r="G311" s="1193"/>
      <c r="H311" s="1193"/>
      <c r="I311" s="1193"/>
      <c r="J311" s="1193"/>
      <c r="K311" s="1193"/>
      <c r="L311" s="1193"/>
      <c r="M311" s="1193"/>
      <c r="N311" s="1193"/>
      <c r="O311" s="1193"/>
      <c r="P311" s="1193"/>
      <c r="Q311" s="1193"/>
      <c r="R311" s="1193"/>
      <c r="S311" s="1193"/>
      <c r="T311" s="1193"/>
      <c r="U311" s="1193"/>
      <c r="V311" s="1193"/>
      <c r="W311" s="1193"/>
      <c r="X311" s="1193"/>
      <c r="Y311" s="1193"/>
      <c r="Z311" s="1193"/>
      <c r="AA311" s="1193"/>
      <c r="AB311" s="1193"/>
      <c r="AC311" s="1193"/>
    </row>
    <row r="312" spans="1:29" x14ac:dyDescent="0.3">
      <c r="A312" s="681"/>
      <c r="B312" s="1193"/>
      <c r="C312" s="1193"/>
      <c r="D312" s="1193"/>
      <c r="E312" s="1193"/>
      <c r="F312" s="1193"/>
      <c r="G312" s="1193"/>
      <c r="H312" s="1193"/>
      <c r="I312" s="1193"/>
      <c r="J312" s="1193"/>
      <c r="K312" s="1193"/>
      <c r="L312" s="1193"/>
      <c r="M312" s="1193"/>
      <c r="N312" s="1193"/>
      <c r="O312" s="1193"/>
      <c r="P312" s="1193"/>
      <c r="Q312" s="1193"/>
      <c r="R312" s="1193"/>
      <c r="S312" s="1193"/>
      <c r="T312" s="1193"/>
      <c r="U312" s="1193"/>
      <c r="V312" s="1193"/>
      <c r="W312" s="1193"/>
      <c r="X312" s="1193"/>
      <c r="Y312" s="1193"/>
      <c r="Z312" s="1193"/>
      <c r="AA312" s="1193"/>
      <c r="AB312" s="1193"/>
      <c r="AC312" s="1193"/>
    </row>
    <row r="313" spans="1:29" x14ac:dyDescent="0.3">
      <c r="A313" s="681"/>
      <c r="B313" s="1193"/>
      <c r="C313" s="1193"/>
      <c r="D313" s="1193"/>
      <c r="E313" s="1193"/>
      <c r="F313" s="1193"/>
      <c r="G313" s="1193"/>
      <c r="H313" s="1193"/>
      <c r="I313" s="1193"/>
      <c r="J313" s="1193"/>
      <c r="K313" s="1193"/>
      <c r="L313" s="1193"/>
      <c r="M313" s="1193"/>
      <c r="N313" s="1193"/>
      <c r="O313" s="1193"/>
      <c r="P313" s="1193"/>
      <c r="Q313" s="1193"/>
      <c r="R313" s="1193"/>
      <c r="S313" s="1193"/>
      <c r="T313" s="1193"/>
      <c r="U313" s="1193"/>
      <c r="V313" s="1193"/>
      <c r="W313" s="1193"/>
      <c r="X313" s="1193"/>
      <c r="Y313" s="1193"/>
      <c r="Z313" s="1193"/>
      <c r="AA313" s="1193"/>
      <c r="AB313" s="1193"/>
      <c r="AC313" s="1193"/>
    </row>
    <row r="314" spans="1:29" x14ac:dyDescent="0.3">
      <c r="A314" s="681"/>
      <c r="B314" s="1193"/>
      <c r="C314" s="1193"/>
      <c r="D314" s="1193"/>
      <c r="E314" s="1193"/>
      <c r="F314" s="1193"/>
      <c r="G314" s="1193"/>
      <c r="H314" s="1193"/>
      <c r="I314" s="1193"/>
      <c r="J314" s="1193"/>
      <c r="K314" s="1193"/>
      <c r="L314" s="1193"/>
      <c r="M314" s="1193"/>
      <c r="N314" s="1193"/>
      <c r="O314" s="1193"/>
      <c r="P314" s="1193"/>
      <c r="Q314" s="1193"/>
      <c r="R314" s="1193"/>
      <c r="S314" s="1193"/>
      <c r="T314" s="1193"/>
      <c r="U314" s="1193"/>
      <c r="V314" s="1193"/>
      <c r="W314" s="1193"/>
      <c r="X314" s="1193"/>
      <c r="Y314" s="1193"/>
      <c r="Z314" s="1193"/>
      <c r="AA314" s="1193"/>
      <c r="AB314" s="1193"/>
      <c r="AC314" s="1193"/>
    </row>
    <row r="315" spans="1:29" x14ac:dyDescent="0.3">
      <c r="A315" s="681"/>
      <c r="B315" s="1193"/>
      <c r="C315" s="1193"/>
      <c r="D315" s="1193"/>
      <c r="E315" s="1193"/>
      <c r="F315" s="1193"/>
      <c r="G315" s="1193"/>
      <c r="H315" s="1193"/>
      <c r="I315" s="1193"/>
      <c r="J315" s="1193"/>
      <c r="K315" s="1193"/>
      <c r="L315" s="1193"/>
      <c r="M315" s="1193"/>
      <c r="N315" s="1193"/>
      <c r="O315" s="1193"/>
      <c r="P315" s="1193"/>
      <c r="Q315" s="1193"/>
      <c r="R315" s="1193"/>
      <c r="S315" s="1193"/>
      <c r="T315" s="1193"/>
      <c r="U315" s="1193"/>
      <c r="V315" s="1193"/>
      <c r="W315" s="1193"/>
      <c r="X315" s="1193"/>
      <c r="Y315" s="1193"/>
      <c r="Z315" s="1193"/>
      <c r="AA315" s="1193"/>
      <c r="AB315" s="1193"/>
      <c r="AC315" s="1193"/>
    </row>
    <row r="316" spans="1:29" x14ac:dyDescent="0.3">
      <c r="A316" s="681"/>
      <c r="B316" s="1193"/>
      <c r="C316" s="1193"/>
      <c r="D316" s="1193"/>
      <c r="E316" s="1193"/>
      <c r="F316" s="1193"/>
      <c r="G316" s="1193"/>
      <c r="H316" s="1193"/>
      <c r="I316" s="1193"/>
      <c r="J316" s="1193"/>
      <c r="K316" s="1193"/>
      <c r="L316" s="1193"/>
      <c r="M316" s="1193"/>
      <c r="N316" s="1193"/>
      <c r="O316" s="1193"/>
      <c r="P316" s="1193"/>
      <c r="Q316" s="1193"/>
      <c r="R316" s="1193"/>
      <c r="S316" s="1193"/>
      <c r="T316" s="1193"/>
      <c r="U316" s="1193"/>
      <c r="V316" s="1193"/>
      <c r="W316" s="1193"/>
      <c r="X316" s="1193"/>
      <c r="Y316" s="1193"/>
      <c r="Z316" s="1193"/>
      <c r="AA316" s="1193"/>
      <c r="AB316" s="1193"/>
      <c r="AC316" s="1193"/>
    </row>
    <row r="317" spans="1:29" x14ac:dyDescent="0.3">
      <c r="A317" s="681"/>
      <c r="B317" s="1193"/>
      <c r="C317" s="1193"/>
      <c r="D317" s="1193"/>
      <c r="E317" s="1193"/>
      <c r="F317" s="1193"/>
      <c r="G317" s="1193"/>
      <c r="H317" s="1193"/>
      <c r="I317" s="1193"/>
      <c r="J317" s="1193"/>
      <c r="K317" s="1193"/>
      <c r="L317" s="1193"/>
      <c r="M317" s="1193"/>
      <c r="N317" s="1193"/>
      <c r="O317" s="1193"/>
      <c r="P317" s="1193"/>
      <c r="Q317" s="1193"/>
      <c r="R317" s="1193"/>
      <c r="S317" s="1193"/>
      <c r="T317" s="1193"/>
      <c r="U317" s="1193"/>
      <c r="V317" s="1193"/>
      <c r="W317" s="1193"/>
      <c r="X317" s="1193"/>
      <c r="Y317" s="1193"/>
      <c r="Z317" s="1193"/>
      <c r="AA317" s="1193"/>
      <c r="AB317" s="1193"/>
      <c r="AC317" s="1193"/>
    </row>
    <row r="318" spans="1:29" x14ac:dyDescent="0.3">
      <c r="A318" s="681"/>
      <c r="B318" s="1193"/>
      <c r="C318" s="1193"/>
      <c r="D318" s="1193"/>
      <c r="E318" s="1193"/>
      <c r="F318" s="1193"/>
      <c r="G318" s="1193"/>
      <c r="H318" s="1193"/>
      <c r="I318" s="1193"/>
      <c r="J318" s="1193"/>
      <c r="K318" s="1193"/>
      <c r="L318" s="1193"/>
      <c r="M318" s="1193"/>
      <c r="N318" s="1193"/>
      <c r="O318" s="1193"/>
      <c r="P318" s="1193"/>
      <c r="Q318" s="1193"/>
      <c r="R318" s="1193"/>
      <c r="S318" s="1193"/>
      <c r="T318" s="1193"/>
      <c r="U318" s="1193"/>
      <c r="V318" s="1193"/>
      <c r="W318" s="1193"/>
      <c r="X318" s="1193"/>
      <c r="Y318" s="1193"/>
      <c r="Z318" s="1193"/>
      <c r="AA318" s="1193"/>
      <c r="AB318" s="1193"/>
      <c r="AC318" s="1193"/>
    </row>
    <row r="319" spans="1:29" x14ac:dyDescent="0.3">
      <c r="A319" s="681"/>
      <c r="B319" s="1193"/>
      <c r="C319" s="1193"/>
      <c r="D319" s="1193"/>
      <c r="E319" s="1193"/>
      <c r="F319" s="1193"/>
      <c r="G319" s="1193"/>
      <c r="H319" s="1193"/>
      <c r="I319" s="1193"/>
      <c r="J319" s="1193"/>
      <c r="K319" s="1193"/>
      <c r="L319" s="1193"/>
      <c r="M319" s="1193"/>
      <c r="N319" s="1193"/>
      <c r="O319" s="1193"/>
      <c r="P319" s="1193"/>
      <c r="Q319" s="1193"/>
      <c r="R319" s="1193"/>
      <c r="S319" s="1193"/>
      <c r="T319" s="1193"/>
      <c r="U319" s="1193"/>
      <c r="V319" s="1193"/>
      <c r="W319" s="1193"/>
      <c r="X319" s="1193"/>
      <c r="Y319" s="1193"/>
      <c r="Z319" s="1193"/>
      <c r="AA319" s="1193"/>
      <c r="AB319" s="1193"/>
      <c r="AC319" s="1193"/>
    </row>
    <row r="320" spans="1:29" x14ac:dyDescent="0.3">
      <c r="A320" s="681"/>
      <c r="B320" s="1193"/>
      <c r="C320" s="1193"/>
      <c r="D320" s="1193"/>
      <c r="E320" s="1193"/>
      <c r="F320" s="1193"/>
      <c r="G320" s="1193"/>
      <c r="H320" s="1193"/>
      <c r="I320" s="1193"/>
      <c r="J320" s="1193"/>
      <c r="K320" s="1193"/>
      <c r="L320" s="1193"/>
      <c r="M320" s="1193"/>
      <c r="N320" s="1193"/>
      <c r="O320" s="1193"/>
      <c r="P320" s="1193"/>
      <c r="Q320" s="1193"/>
      <c r="R320" s="1193"/>
      <c r="S320" s="1193"/>
      <c r="T320" s="1193"/>
      <c r="U320" s="1193"/>
      <c r="V320" s="1193"/>
      <c r="W320" s="1193"/>
      <c r="X320" s="1193"/>
      <c r="Y320" s="1193"/>
      <c r="Z320" s="1193"/>
      <c r="AA320" s="1193"/>
      <c r="AB320" s="1193"/>
      <c r="AC320" s="1193"/>
    </row>
    <row r="321" spans="1:29" x14ac:dyDescent="0.3">
      <c r="A321" s="681"/>
      <c r="B321" s="1193"/>
      <c r="C321" s="1193"/>
      <c r="D321" s="1193"/>
      <c r="E321" s="1193"/>
      <c r="F321" s="1193"/>
      <c r="G321" s="1193"/>
      <c r="H321" s="1193"/>
      <c r="I321" s="1193"/>
      <c r="J321" s="1193"/>
      <c r="K321" s="1193"/>
      <c r="L321" s="1193"/>
      <c r="M321" s="1193"/>
      <c r="N321" s="1193"/>
      <c r="O321" s="1193"/>
      <c r="P321" s="1193"/>
      <c r="Q321" s="1193"/>
      <c r="R321" s="1193"/>
      <c r="S321" s="1193"/>
      <c r="T321" s="1193"/>
      <c r="U321" s="1193"/>
      <c r="V321" s="1193"/>
      <c r="W321" s="1193"/>
      <c r="X321" s="1193"/>
      <c r="Y321" s="1193"/>
      <c r="Z321" s="1193"/>
      <c r="AA321" s="1193"/>
      <c r="AB321" s="1193"/>
      <c r="AC321" s="1193"/>
    </row>
    <row r="322" spans="1:29" x14ac:dyDescent="0.3">
      <c r="A322" s="681"/>
      <c r="B322" s="1193"/>
      <c r="C322" s="1193"/>
      <c r="D322" s="1193"/>
      <c r="E322" s="1193"/>
      <c r="F322" s="1193"/>
      <c r="G322" s="1193"/>
      <c r="H322" s="1193"/>
      <c r="I322" s="1193"/>
      <c r="J322" s="1193"/>
      <c r="K322" s="1193"/>
      <c r="L322" s="1193"/>
      <c r="M322" s="1193"/>
      <c r="N322" s="1193"/>
      <c r="O322" s="1193"/>
      <c r="P322" s="1193"/>
      <c r="Q322" s="1193"/>
      <c r="R322" s="1193"/>
      <c r="S322" s="1193"/>
      <c r="T322" s="1193"/>
      <c r="U322" s="1193"/>
      <c r="V322" s="1193"/>
      <c r="W322" s="1193"/>
      <c r="X322" s="1193"/>
      <c r="Y322" s="1193"/>
      <c r="Z322" s="1193"/>
      <c r="AA322" s="1193"/>
      <c r="AB322" s="1193"/>
      <c r="AC322" s="1193"/>
    </row>
    <row r="323" spans="1:29" x14ac:dyDescent="0.3">
      <c r="A323" s="681"/>
      <c r="B323" s="1193"/>
      <c r="C323" s="1193"/>
      <c r="D323" s="1193"/>
      <c r="E323" s="1193"/>
      <c r="F323" s="1193"/>
      <c r="G323" s="1193"/>
      <c r="H323" s="1193"/>
      <c r="I323" s="1193"/>
      <c r="J323" s="1193"/>
      <c r="K323" s="1193"/>
      <c r="L323" s="1193"/>
      <c r="M323" s="1193"/>
      <c r="N323" s="1193"/>
      <c r="O323" s="1193"/>
      <c r="P323" s="1193"/>
      <c r="Q323" s="1193"/>
      <c r="R323" s="1193"/>
      <c r="S323" s="1193"/>
      <c r="T323" s="1193"/>
      <c r="U323" s="1193"/>
      <c r="V323" s="1193"/>
      <c r="W323" s="1193"/>
      <c r="X323" s="1193"/>
      <c r="Y323" s="1193"/>
      <c r="Z323" s="1193"/>
      <c r="AA323" s="1193"/>
      <c r="AB323" s="1193"/>
      <c r="AC323" s="1193"/>
    </row>
    <row r="324" spans="1:29" x14ac:dyDescent="0.3">
      <c r="A324" s="681"/>
      <c r="B324" s="1193"/>
      <c r="C324" s="1193"/>
      <c r="D324" s="1193"/>
      <c r="E324" s="1193"/>
      <c r="F324" s="1193"/>
      <c r="G324" s="1193"/>
      <c r="H324" s="1193"/>
      <c r="I324" s="1193"/>
      <c r="J324" s="1193"/>
      <c r="K324" s="1193"/>
      <c r="L324" s="1193"/>
      <c r="M324" s="1193"/>
      <c r="N324" s="1193"/>
      <c r="O324" s="1193"/>
      <c r="P324" s="1193"/>
      <c r="Q324" s="1193"/>
      <c r="R324" s="1193"/>
      <c r="S324" s="1193"/>
      <c r="T324" s="1193"/>
      <c r="U324" s="1193"/>
      <c r="V324" s="1193"/>
      <c r="W324" s="1193"/>
      <c r="X324" s="1193"/>
      <c r="Y324" s="1193"/>
      <c r="Z324" s="1193"/>
      <c r="AA324" s="1193"/>
      <c r="AB324" s="1193"/>
      <c r="AC324" s="1193"/>
    </row>
    <row r="325" spans="1:29" x14ac:dyDescent="0.3">
      <c r="A325" s="681"/>
      <c r="B325" s="1193"/>
      <c r="C325" s="1193"/>
      <c r="D325" s="1193"/>
      <c r="E325" s="1193"/>
      <c r="F325" s="1193"/>
      <c r="G325" s="1193"/>
      <c r="H325" s="1193"/>
      <c r="I325" s="1193"/>
      <c r="J325" s="1193"/>
      <c r="K325" s="1193"/>
      <c r="L325" s="1193"/>
      <c r="M325" s="1193"/>
      <c r="N325" s="1193"/>
      <c r="O325" s="1193"/>
      <c r="P325" s="1193"/>
      <c r="Q325" s="1193"/>
      <c r="R325" s="1193"/>
      <c r="S325" s="1193"/>
      <c r="T325" s="1193"/>
      <c r="U325" s="1193"/>
      <c r="V325" s="1193"/>
      <c r="W325" s="1193"/>
      <c r="X325" s="1193"/>
      <c r="Y325" s="1193"/>
      <c r="Z325" s="1193"/>
      <c r="AA325" s="1193"/>
      <c r="AB325" s="1193"/>
      <c r="AC325" s="1193"/>
    </row>
    <row r="326" spans="1:29" x14ac:dyDescent="0.3">
      <c r="A326" s="681"/>
      <c r="B326" s="1193"/>
      <c r="C326" s="1193"/>
      <c r="D326" s="1193"/>
      <c r="E326" s="1193"/>
      <c r="F326" s="1193"/>
      <c r="G326" s="1193"/>
      <c r="H326" s="1193"/>
      <c r="I326" s="1193"/>
      <c r="J326" s="1193"/>
      <c r="K326" s="1193"/>
      <c r="L326" s="1193"/>
      <c r="M326" s="1193"/>
      <c r="N326" s="1193"/>
      <c r="O326" s="1193"/>
      <c r="P326" s="1193"/>
      <c r="Q326" s="1193"/>
      <c r="R326" s="1193"/>
      <c r="S326" s="1193"/>
      <c r="T326" s="1193"/>
      <c r="U326" s="1193"/>
      <c r="V326" s="1193"/>
      <c r="W326" s="1193"/>
      <c r="X326" s="1193"/>
      <c r="Y326" s="1193"/>
      <c r="Z326" s="1193"/>
      <c r="AA326" s="1193"/>
      <c r="AB326" s="1193"/>
      <c r="AC326" s="1193"/>
    </row>
    <row r="327" spans="1:29" x14ac:dyDescent="0.3">
      <c r="A327" s="681"/>
      <c r="B327" s="1193"/>
      <c r="C327" s="1193"/>
      <c r="D327" s="1193"/>
      <c r="E327" s="1193"/>
      <c r="F327" s="1193"/>
      <c r="G327" s="1193"/>
      <c r="H327" s="1193"/>
      <c r="I327" s="1193"/>
      <c r="J327" s="1193"/>
      <c r="K327" s="1193"/>
      <c r="L327" s="1193"/>
      <c r="M327" s="1193"/>
      <c r="N327" s="1193"/>
      <c r="O327" s="1193"/>
      <c r="P327" s="1193"/>
      <c r="Q327" s="1193"/>
      <c r="R327" s="1193"/>
      <c r="S327" s="1193"/>
      <c r="T327" s="1193"/>
      <c r="U327" s="1193"/>
      <c r="V327" s="1193"/>
      <c r="W327" s="1193"/>
      <c r="X327" s="1193"/>
      <c r="Y327" s="1193"/>
      <c r="Z327" s="1193"/>
      <c r="AA327" s="1193"/>
      <c r="AB327" s="1193"/>
      <c r="AC327" s="1193"/>
    </row>
    <row r="328" spans="1:29" x14ac:dyDescent="0.3">
      <c r="A328" s="681"/>
      <c r="B328" s="1193"/>
      <c r="C328" s="1193"/>
      <c r="D328" s="1193"/>
      <c r="E328" s="1193"/>
      <c r="F328" s="1193"/>
      <c r="G328" s="1193"/>
      <c r="H328" s="1193"/>
      <c r="I328" s="1193"/>
      <c r="J328" s="1193"/>
      <c r="K328" s="1193"/>
      <c r="L328" s="1193"/>
      <c r="M328" s="1193"/>
      <c r="N328" s="1193"/>
      <c r="O328" s="1193"/>
      <c r="P328" s="1193"/>
      <c r="Q328" s="1193"/>
      <c r="R328" s="1193"/>
      <c r="S328" s="1193"/>
      <c r="T328" s="1193"/>
      <c r="U328" s="1193"/>
      <c r="V328" s="1193"/>
      <c r="W328" s="1193"/>
      <c r="X328" s="1193"/>
      <c r="Y328" s="1193"/>
      <c r="Z328" s="1193"/>
      <c r="AA328" s="1193"/>
      <c r="AB328" s="1193"/>
      <c r="AC328" s="1193"/>
    </row>
    <row r="329" spans="1:29" x14ac:dyDescent="0.3">
      <c r="A329" s="681"/>
      <c r="B329" s="1193"/>
      <c r="C329" s="1193"/>
      <c r="D329" s="1193"/>
      <c r="E329" s="1193"/>
      <c r="F329" s="1193"/>
      <c r="G329" s="1193"/>
      <c r="H329" s="1193"/>
      <c r="I329" s="1193"/>
      <c r="J329" s="1193"/>
      <c r="K329" s="1193"/>
      <c r="L329" s="1193"/>
      <c r="M329" s="1193"/>
      <c r="N329" s="1193"/>
      <c r="O329" s="1193"/>
      <c r="P329" s="1193"/>
      <c r="Q329" s="1193"/>
      <c r="R329" s="1193"/>
      <c r="S329" s="1193"/>
      <c r="T329" s="1193"/>
      <c r="U329" s="1193"/>
      <c r="V329" s="1193"/>
      <c r="W329" s="1193"/>
      <c r="X329" s="1193"/>
      <c r="Y329" s="1193"/>
      <c r="Z329" s="1193"/>
      <c r="AA329" s="1193"/>
      <c r="AB329" s="1193"/>
      <c r="AC329" s="1193"/>
    </row>
    <row r="330" spans="1:29" x14ac:dyDescent="0.3">
      <c r="A330" s="681"/>
      <c r="B330" s="1193"/>
      <c r="C330" s="1193"/>
      <c r="D330" s="1193"/>
      <c r="E330" s="1193"/>
      <c r="F330" s="1193"/>
      <c r="G330" s="1193"/>
      <c r="H330" s="1193"/>
      <c r="I330" s="1193"/>
      <c r="J330" s="1193"/>
      <c r="K330" s="1193"/>
      <c r="L330" s="1193"/>
      <c r="M330" s="1193"/>
      <c r="N330" s="1193"/>
      <c r="O330" s="1193"/>
      <c r="P330" s="1193"/>
      <c r="Q330" s="1193"/>
      <c r="R330" s="1193"/>
      <c r="S330" s="1193"/>
      <c r="T330" s="1193"/>
      <c r="U330" s="1193"/>
      <c r="V330" s="1193"/>
      <c r="W330" s="1193"/>
      <c r="X330" s="1193"/>
      <c r="Y330" s="1193"/>
      <c r="Z330" s="1193"/>
      <c r="AA330" s="1193"/>
      <c r="AB330" s="1193"/>
      <c r="AC330" s="1193"/>
    </row>
    <row r="331" spans="1:29" x14ac:dyDescent="0.3">
      <c r="A331" s="681"/>
      <c r="B331" s="1193"/>
      <c r="C331" s="1193"/>
      <c r="D331" s="1193"/>
      <c r="E331" s="1193"/>
      <c r="F331" s="1193"/>
      <c r="G331" s="1193"/>
      <c r="H331" s="1193"/>
      <c r="I331" s="1193"/>
      <c r="J331" s="1193"/>
      <c r="K331" s="1193"/>
      <c r="L331" s="1193"/>
      <c r="M331" s="1193"/>
      <c r="N331" s="1193"/>
      <c r="O331" s="1193"/>
      <c r="P331" s="1193"/>
      <c r="Q331" s="1193"/>
      <c r="R331" s="1193"/>
      <c r="S331" s="1193"/>
      <c r="T331" s="1193"/>
      <c r="U331" s="1193"/>
      <c r="V331" s="1193"/>
      <c r="W331" s="1193"/>
      <c r="X331" s="1193"/>
      <c r="Y331" s="1193"/>
      <c r="Z331" s="1193"/>
      <c r="AA331" s="1193"/>
      <c r="AB331" s="1193"/>
      <c r="AC331" s="1193"/>
    </row>
    <row r="332" spans="1:29" x14ac:dyDescent="0.3">
      <c r="A332" s="681"/>
      <c r="B332" s="1193"/>
      <c r="C332" s="1193"/>
      <c r="D332" s="1193"/>
      <c r="E332" s="1193"/>
      <c r="F332" s="1193"/>
      <c r="G332" s="1193"/>
      <c r="H332" s="1193"/>
      <c r="I332" s="1193"/>
      <c r="J332" s="1193"/>
      <c r="K332" s="1193"/>
      <c r="L332" s="1193"/>
      <c r="M332" s="1193"/>
      <c r="N332" s="1193"/>
      <c r="O332" s="1193"/>
      <c r="P332" s="1193"/>
      <c r="Q332" s="1193"/>
      <c r="R332" s="1193"/>
      <c r="S332" s="1193"/>
      <c r="T332" s="1193"/>
      <c r="U332" s="1193"/>
      <c r="V332" s="1193"/>
      <c r="W332" s="1193"/>
      <c r="X332" s="1193"/>
      <c r="Y332" s="1193"/>
      <c r="Z332" s="1193"/>
      <c r="AA332" s="1193"/>
      <c r="AB332" s="1193"/>
      <c r="AC332" s="1193"/>
    </row>
    <row r="333" spans="1:29" x14ac:dyDescent="0.3">
      <c r="A333" s="681"/>
      <c r="B333" s="1193"/>
      <c r="C333" s="1193"/>
      <c r="D333" s="1193"/>
      <c r="E333" s="1193"/>
      <c r="F333" s="1193"/>
      <c r="G333" s="1193"/>
      <c r="H333" s="1193"/>
      <c r="I333" s="1193"/>
      <c r="J333" s="1193"/>
      <c r="K333" s="1193"/>
      <c r="L333" s="1193"/>
      <c r="M333" s="1193"/>
      <c r="N333" s="1193"/>
      <c r="O333" s="1193"/>
      <c r="P333" s="1193"/>
      <c r="Q333" s="1193"/>
      <c r="R333" s="1193"/>
      <c r="S333" s="1193"/>
      <c r="T333" s="1193"/>
      <c r="U333" s="1193"/>
      <c r="V333" s="1193"/>
      <c r="W333" s="1193"/>
      <c r="X333" s="1193"/>
      <c r="Y333" s="1193"/>
      <c r="Z333" s="1193"/>
      <c r="AA333" s="1193"/>
      <c r="AB333" s="1193"/>
      <c r="AC333" s="1193"/>
    </row>
    <row r="334" spans="1:29" x14ac:dyDescent="0.3">
      <c r="A334" s="681"/>
      <c r="B334" s="1193"/>
      <c r="C334" s="1193"/>
      <c r="D334" s="1193"/>
      <c r="E334" s="1193"/>
      <c r="F334" s="1193"/>
      <c r="G334" s="1193"/>
      <c r="H334" s="1193"/>
      <c r="I334" s="1193"/>
      <c r="J334" s="1193"/>
      <c r="K334" s="1193"/>
      <c r="L334" s="1193"/>
      <c r="M334" s="1193"/>
      <c r="N334" s="1193"/>
      <c r="O334" s="1193"/>
      <c r="P334" s="1193"/>
      <c r="Q334" s="1193"/>
      <c r="R334" s="1193"/>
      <c r="S334" s="1193"/>
      <c r="T334" s="1193"/>
      <c r="U334" s="1193"/>
      <c r="V334" s="1193"/>
      <c r="W334" s="1193"/>
      <c r="X334" s="1193"/>
      <c r="Y334" s="1193"/>
      <c r="Z334" s="1193"/>
      <c r="AA334" s="1193"/>
      <c r="AB334" s="1193"/>
      <c r="AC334" s="1193"/>
    </row>
    <row r="335" spans="1:29" x14ac:dyDescent="0.3">
      <c r="A335" s="681"/>
      <c r="B335" s="1193"/>
      <c r="C335" s="1193"/>
      <c r="D335" s="1193"/>
      <c r="E335" s="1193"/>
      <c r="F335" s="1193"/>
      <c r="G335" s="1193"/>
      <c r="H335" s="1193"/>
      <c r="I335" s="1193"/>
      <c r="J335" s="1193"/>
      <c r="K335" s="1193"/>
      <c r="L335" s="1193"/>
      <c r="M335" s="1193"/>
      <c r="N335" s="1193"/>
      <c r="O335" s="1193"/>
      <c r="P335" s="1193"/>
      <c r="Q335" s="1193"/>
      <c r="R335" s="1193"/>
      <c r="S335" s="1193"/>
      <c r="T335" s="1193"/>
      <c r="U335" s="1193"/>
      <c r="V335" s="1193"/>
      <c r="W335" s="1193"/>
      <c r="X335" s="1193"/>
      <c r="Y335" s="1193"/>
      <c r="Z335" s="1193"/>
      <c r="AA335" s="1193"/>
      <c r="AB335" s="1193"/>
      <c r="AC335" s="1193"/>
    </row>
    <row r="336" spans="1:29" x14ac:dyDescent="0.3">
      <c r="A336" s="681"/>
      <c r="B336" s="1193"/>
      <c r="C336" s="1193"/>
      <c r="D336" s="1193"/>
      <c r="E336" s="1193"/>
      <c r="F336" s="1193"/>
      <c r="G336" s="1193"/>
      <c r="H336" s="1193"/>
      <c r="I336" s="1193"/>
      <c r="J336" s="1193"/>
      <c r="K336" s="1193"/>
      <c r="L336" s="1193"/>
      <c r="M336" s="1193"/>
      <c r="N336" s="1193"/>
      <c r="O336" s="1193"/>
      <c r="P336" s="1193"/>
      <c r="Q336" s="1193"/>
      <c r="R336" s="1193"/>
      <c r="S336" s="1193"/>
      <c r="T336" s="1193"/>
      <c r="U336" s="1193"/>
      <c r="V336" s="1193"/>
      <c r="W336" s="1193"/>
      <c r="X336" s="1193"/>
      <c r="Y336" s="1193"/>
      <c r="Z336" s="1193"/>
      <c r="AA336" s="1193"/>
      <c r="AB336" s="1193"/>
      <c r="AC336" s="1193"/>
    </row>
    <row r="337" spans="1:29" x14ac:dyDescent="0.3">
      <c r="A337" s="681"/>
      <c r="B337" s="1193"/>
      <c r="C337" s="1193"/>
      <c r="D337" s="1193"/>
      <c r="E337" s="1193"/>
      <c r="F337" s="1193"/>
      <c r="G337" s="1193"/>
      <c r="H337" s="1193"/>
      <c r="I337" s="1193"/>
      <c r="J337" s="1193"/>
      <c r="K337" s="1193"/>
      <c r="L337" s="1193"/>
      <c r="M337" s="1193"/>
      <c r="N337" s="1193"/>
      <c r="O337" s="1193"/>
      <c r="P337" s="1193"/>
      <c r="Q337" s="1193"/>
      <c r="R337" s="1193"/>
      <c r="S337" s="1193"/>
      <c r="T337" s="1193"/>
      <c r="U337" s="1193"/>
      <c r="V337" s="1193"/>
      <c r="W337" s="1193"/>
      <c r="X337" s="1193"/>
      <c r="Y337" s="1193"/>
      <c r="Z337" s="1193"/>
      <c r="AA337" s="1193"/>
      <c r="AB337" s="1193"/>
      <c r="AC337" s="1193"/>
    </row>
    <row r="338" spans="1:29" x14ac:dyDescent="0.3">
      <c r="A338" s="681"/>
      <c r="B338" s="1193"/>
      <c r="C338" s="1193"/>
      <c r="D338" s="1193"/>
      <c r="E338" s="1193"/>
      <c r="F338" s="1193"/>
      <c r="G338" s="1193"/>
      <c r="H338" s="1193"/>
      <c r="I338" s="1193"/>
      <c r="J338" s="1193"/>
      <c r="K338" s="1193"/>
      <c r="L338" s="1193"/>
      <c r="M338" s="1193"/>
      <c r="N338" s="1193"/>
      <c r="O338" s="1193"/>
      <c r="P338" s="1193"/>
      <c r="Q338" s="1193"/>
      <c r="R338" s="1193"/>
      <c r="S338" s="1193"/>
      <c r="T338" s="1193"/>
      <c r="U338" s="1193"/>
      <c r="V338" s="1193"/>
      <c r="W338" s="1193"/>
      <c r="X338" s="1193"/>
      <c r="Y338" s="1193"/>
      <c r="Z338" s="1193"/>
      <c r="AA338" s="1193"/>
      <c r="AB338" s="1193"/>
      <c r="AC338" s="1193"/>
    </row>
    <row r="339" spans="1:29" x14ac:dyDescent="0.3">
      <c r="A339" s="681"/>
      <c r="B339" s="1193"/>
      <c r="C339" s="1193"/>
      <c r="D339" s="1193"/>
      <c r="E339" s="1193"/>
      <c r="F339" s="1193"/>
      <c r="G339" s="1193"/>
      <c r="H339" s="1193"/>
      <c r="I339" s="1193"/>
      <c r="J339" s="1193"/>
      <c r="K339" s="1193"/>
      <c r="L339" s="1193"/>
      <c r="M339" s="1193"/>
      <c r="N339" s="1193"/>
      <c r="O339" s="1193"/>
      <c r="P339" s="1193"/>
      <c r="Q339" s="1193"/>
      <c r="R339" s="1193"/>
      <c r="S339" s="1193"/>
      <c r="T339" s="1193"/>
      <c r="U339" s="1193"/>
      <c r="V339" s="1193"/>
      <c r="W339" s="1193"/>
      <c r="X339" s="1193"/>
      <c r="Y339" s="1193"/>
      <c r="Z339" s="1193"/>
      <c r="AA339" s="1193"/>
      <c r="AB339" s="1193"/>
      <c r="AC339" s="1193"/>
    </row>
    <row r="340" spans="1:29" x14ac:dyDescent="0.3">
      <c r="A340" s="681"/>
      <c r="B340" s="1193"/>
      <c r="C340" s="1193"/>
      <c r="D340" s="1193"/>
      <c r="E340" s="1193"/>
      <c r="F340" s="1193"/>
      <c r="G340" s="1193"/>
      <c r="H340" s="1193"/>
      <c r="I340" s="1193"/>
      <c r="J340" s="1193"/>
      <c r="K340" s="1193"/>
      <c r="L340" s="1193"/>
      <c r="M340" s="1193"/>
      <c r="N340" s="1193"/>
      <c r="O340" s="1193"/>
      <c r="P340" s="1193"/>
      <c r="Q340" s="1193"/>
      <c r="R340" s="1193"/>
      <c r="S340" s="1193"/>
      <c r="T340" s="1193"/>
      <c r="U340" s="1193"/>
      <c r="V340" s="1193"/>
      <c r="W340" s="1193"/>
      <c r="X340" s="1193"/>
      <c r="Y340" s="1193"/>
      <c r="Z340" s="1193"/>
      <c r="AA340" s="1193"/>
      <c r="AB340" s="1193"/>
      <c r="AC340" s="1193"/>
    </row>
    <row r="341" spans="1:29" x14ac:dyDescent="0.3">
      <c r="A341" s="681"/>
      <c r="B341" s="1193"/>
      <c r="C341" s="1193"/>
      <c r="D341" s="1193"/>
      <c r="E341" s="1193"/>
      <c r="F341" s="1193"/>
      <c r="G341" s="1193"/>
      <c r="H341" s="1193"/>
      <c r="I341" s="1193"/>
      <c r="J341" s="1193"/>
      <c r="K341" s="1193"/>
      <c r="L341" s="1193"/>
      <c r="M341" s="1193"/>
      <c r="N341" s="1193"/>
      <c r="O341" s="1193"/>
      <c r="P341" s="1193"/>
      <c r="Q341" s="1193"/>
      <c r="R341" s="1193"/>
      <c r="S341" s="1193"/>
      <c r="T341" s="1193"/>
      <c r="U341" s="1193"/>
      <c r="V341" s="1193"/>
      <c r="W341" s="1193"/>
      <c r="X341" s="1193"/>
      <c r="Y341" s="1193"/>
      <c r="Z341" s="1193"/>
      <c r="AA341" s="1193"/>
      <c r="AB341" s="1193"/>
      <c r="AC341" s="1193"/>
    </row>
    <row r="342" spans="1:29" x14ac:dyDescent="0.3">
      <c r="A342" s="681"/>
      <c r="B342" s="1193"/>
      <c r="C342" s="1193"/>
      <c r="D342" s="1193"/>
      <c r="E342" s="1193"/>
      <c r="F342" s="1193"/>
      <c r="G342" s="1193"/>
      <c r="H342" s="1193"/>
      <c r="I342" s="1193"/>
      <c r="J342" s="1193"/>
      <c r="K342" s="1193"/>
      <c r="L342" s="1193"/>
      <c r="M342" s="1193"/>
      <c r="N342" s="1193"/>
      <c r="O342" s="1193"/>
      <c r="P342" s="1193"/>
      <c r="Q342" s="1193"/>
      <c r="R342" s="1193"/>
      <c r="S342" s="1193"/>
      <c r="T342" s="1193"/>
      <c r="U342" s="1193"/>
      <c r="V342" s="1193"/>
      <c r="W342" s="1193"/>
      <c r="X342" s="1193"/>
      <c r="Y342" s="1193"/>
      <c r="Z342" s="1193"/>
      <c r="AA342" s="1193"/>
      <c r="AB342" s="1193"/>
      <c r="AC342" s="1193"/>
    </row>
    <row r="343" spans="1:29" x14ac:dyDescent="0.3">
      <c r="A343" s="681"/>
      <c r="B343" s="1193"/>
      <c r="C343" s="1193"/>
      <c r="D343" s="1193"/>
      <c r="E343" s="1193"/>
      <c r="F343" s="1193"/>
      <c r="G343" s="1193"/>
      <c r="H343" s="1193"/>
      <c r="I343" s="1193"/>
      <c r="J343" s="1193"/>
      <c r="K343" s="1193"/>
      <c r="L343" s="1193"/>
      <c r="M343" s="1193"/>
      <c r="N343" s="1193"/>
      <c r="O343" s="1193"/>
      <c r="P343" s="1193"/>
      <c r="Q343" s="1193"/>
      <c r="R343" s="1193"/>
      <c r="S343" s="1193"/>
      <c r="T343" s="1193"/>
      <c r="U343" s="1193"/>
      <c r="V343" s="1193"/>
      <c r="W343" s="1193"/>
      <c r="X343" s="1193"/>
      <c r="Y343" s="1193"/>
      <c r="Z343" s="1193"/>
      <c r="AA343" s="1193"/>
      <c r="AB343" s="1193"/>
      <c r="AC343" s="1193"/>
    </row>
    <row r="344" spans="1:29" x14ac:dyDescent="0.3">
      <c r="A344" s="681"/>
      <c r="B344" s="1193"/>
      <c r="C344" s="1193"/>
      <c r="D344" s="1193"/>
      <c r="E344" s="1193"/>
      <c r="F344" s="1193"/>
      <c r="G344" s="1193"/>
      <c r="H344" s="1193"/>
      <c r="I344" s="1193"/>
      <c r="J344" s="1193"/>
      <c r="K344" s="1193"/>
      <c r="L344" s="1193"/>
      <c r="M344" s="1193"/>
      <c r="N344" s="1193"/>
      <c r="O344" s="1193"/>
      <c r="P344" s="1193"/>
      <c r="Q344" s="1193"/>
      <c r="R344" s="1193"/>
      <c r="S344" s="1193"/>
      <c r="T344" s="1193"/>
      <c r="U344" s="1193"/>
      <c r="V344" s="1193"/>
      <c r="W344" s="1193"/>
      <c r="X344" s="1193"/>
      <c r="Y344" s="1193"/>
      <c r="Z344" s="1193"/>
      <c r="AA344" s="1193"/>
      <c r="AB344" s="1193"/>
      <c r="AC344" s="1193"/>
    </row>
    <row r="345" spans="1:29" x14ac:dyDescent="0.3">
      <c r="A345" s="681"/>
      <c r="B345" s="1193"/>
      <c r="C345" s="1193"/>
      <c r="D345" s="1193"/>
      <c r="E345" s="1193"/>
      <c r="F345" s="1193"/>
      <c r="G345" s="1193"/>
      <c r="H345" s="1193"/>
      <c r="I345" s="1193"/>
      <c r="J345" s="1193"/>
      <c r="K345" s="1193"/>
      <c r="L345" s="1193"/>
      <c r="M345" s="1193"/>
      <c r="N345" s="1193"/>
      <c r="O345" s="1193"/>
      <c r="P345" s="1193"/>
      <c r="Q345" s="1193"/>
      <c r="R345" s="1193"/>
      <c r="S345" s="1193"/>
      <c r="T345" s="1193"/>
      <c r="U345" s="1193"/>
      <c r="V345" s="1193"/>
      <c r="W345" s="1193"/>
      <c r="X345" s="1193"/>
      <c r="Y345" s="1193"/>
      <c r="Z345" s="1193"/>
      <c r="AA345" s="1193"/>
      <c r="AB345" s="1193"/>
      <c r="AC345" s="1193"/>
    </row>
    <row r="346" spans="1:29" x14ac:dyDescent="0.3">
      <c r="A346" s="681"/>
      <c r="B346" s="1193"/>
      <c r="C346" s="1193"/>
      <c r="D346" s="1193"/>
      <c r="E346" s="1193"/>
      <c r="F346" s="1193"/>
      <c r="G346" s="1193"/>
      <c r="H346" s="1193"/>
      <c r="I346" s="1193"/>
      <c r="J346" s="1193"/>
      <c r="K346" s="1193"/>
      <c r="L346" s="1193"/>
      <c r="M346" s="1193"/>
      <c r="N346" s="1193"/>
      <c r="O346" s="1193"/>
      <c r="P346" s="1193"/>
      <c r="Q346" s="1193"/>
      <c r="R346" s="1193"/>
      <c r="S346" s="1193"/>
      <c r="T346" s="1193"/>
      <c r="U346" s="1193"/>
      <c r="V346" s="1193"/>
      <c r="W346" s="1193"/>
      <c r="X346" s="1193"/>
      <c r="Y346" s="1193"/>
      <c r="Z346" s="1193"/>
      <c r="AA346" s="1193"/>
      <c r="AB346" s="1193"/>
      <c r="AC346" s="1193"/>
    </row>
    <row r="347" spans="1:29" x14ac:dyDescent="0.3">
      <c r="A347" s="681"/>
      <c r="B347" s="1193"/>
      <c r="C347" s="1193"/>
      <c r="D347" s="1193"/>
      <c r="E347" s="1193"/>
      <c r="F347" s="1193"/>
      <c r="G347" s="1193"/>
      <c r="H347" s="1193"/>
      <c r="I347" s="1193"/>
      <c r="J347" s="1193"/>
      <c r="K347" s="1193"/>
      <c r="L347" s="1193"/>
      <c r="M347" s="1193"/>
      <c r="N347" s="1193"/>
      <c r="O347" s="1193"/>
      <c r="P347" s="1193"/>
      <c r="Q347" s="1193"/>
      <c r="R347" s="1193"/>
      <c r="S347" s="1193"/>
      <c r="T347" s="1193"/>
      <c r="U347" s="1193"/>
      <c r="V347" s="1193"/>
      <c r="W347" s="1193"/>
      <c r="X347" s="1193"/>
      <c r="Y347" s="1193"/>
      <c r="Z347" s="1193"/>
      <c r="AA347" s="1193"/>
      <c r="AB347" s="1193"/>
      <c r="AC347" s="1193"/>
    </row>
    <row r="348" spans="1:29" x14ac:dyDescent="0.3">
      <c r="A348" s="681"/>
      <c r="B348" s="1193"/>
      <c r="C348" s="1193"/>
      <c r="D348" s="1193"/>
      <c r="E348" s="1193"/>
      <c r="F348" s="1193"/>
      <c r="G348" s="1193"/>
      <c r="H348" s="1193"/>
      <c r="I348" s="1193"/>
      <c r="J348" s="1193"/>
      <c r="K348" s="1193"/>
      <c r="L348" s="1193"/>
      <c r="M348" s="1193"/>
      <c r="N348" s="1193"/>
      <c r="O348" s="1193"/>
      <c r="P348" s="1193"/>
      <c r="Q348" s="1193"/>
      <c r="R348" s="1193"/>
      <c r="S348" s="1193"/>
      <c r="T348" s="1193"/>
      <c r="U348" s="1193"/>
      <c r="V348" s="1193"/>
      <c r="W348" s="1193"/>
      <c r="X348" s="1193"/>
      <c r="Y348" s="1193"/>
      <c r="Z348" s="1193"/>
      <c r="AA348" s="1193"/>
      <c r="AB348" s="1193"/>
      <c r="AC348" s="1193"/>
    </row>
    <row r="349" spans="1:29" x14ac:dyDescent="0.3">
      <c r="A349" s="681"/>
      <c r="B349" s="1193"/>
      <c r="C349" s="1193"/>
      <c r="D349" s="1193"/>
      <c r="E349" s="1193"/>
      <c r="F349" s="1193"/>
      <c r="G349" s="1193"/>
      <c r="H349" s="1193"/>
      <c r="I349" s="1193"/>
      <c r="J349" s="1193"/>
      <c r="K349" s="1193"/>
      <c r="L349" s="1193"/>
      <c r="M349" s="1193"/>
      <c r="N349" s="1193"/>
      <c r="O349" s="1193"/>
      <c r="P349" s="1193"/>
      <c r="Q349" s="1193"/>
      <c r="R349" s="1193"/>
      <c r="S349" s="1193"/>
      <c r="T349" s="1193"/>
      <c r="U349" s="1193"/>
      <c r="V349" s="1193"/>
      <c r="W349" s="1193"/>
      <c r="X349" s="1193"/>
      <c r="Y349" s="1193"/>
      <c r="Z349" s="1193"/>
      <c r="AA349" s="1193"/>
      <c r="AB349" s="1193"/>
      <c r="AC349" s="1193"/>
    </row>
    <row r="350" spans="1:29" x14ac:dyDescent="0.3">
      <c r="A350" s="681"/>
      <c r="B350" s="1193"/>
      <c r="C350" s="1193"/>
      <c r="D350" s="1193"/>
      <c r="E350" s="1193"/>
      <c r="F350" s="1193"/>
      <c r="G350" s="1193"/>
      <c r="H350" s="1193"/>
      <c r="I350" s="1193"/>
      <c r="J350" s="1193"/>
      <c r="K350" s="1193"/>
      <c r="L350" s="1193"/>
      <c r="M350" s="1193"/>
      <c r="N350" s="1193"/>
      <c r="O350" s="1193"/>
      <c r="P350" s="1193"/>
      <c r="Q350" s="1193"/>
      <c r="R350" s="1193"/>
      <c r="S350" s="1193"/>
      <c r="T350" s="1193"/>
      <c r="U350" s="1193"/>
      <c r="V350" s="1193"/>
      <c r="W350" s="1193"/>
      <c r="X350" s="1193"/>
      <c r="Y350" s="1193"/>
      <c r="Z350" s="1193"/>
      <c r="AA350" s="1193"/>
      <c r="AB350" s="1193"/>
      <c r="AC350" s="1193"/>
    </row>
    <row r="351" spans="1:29" x14ac:dyDescent="0.3">
      <c r="A351" s="681"/>
      <c r="B351" s="1193"/>
      <c r="C351" s="1193"/>
      <c r="D351" s="1193"/>
      <c r="E351" s="1193"/>
      <c r="F351" s="1193"/>
      <c r="G351" s="1193"/>
      <c r="H351" s="1193"/>
      <c r="I351" s="1193"/>
      <c r="J351" s="1193"/>
      <c r="K351" s="1193"/>
      <c r="L351" s="1193"/>
      <c r="M351" s="1193"/>
      <c r="N351" s="1193"/>
      <c r="O351" s="1193"/>
      <c r="P351" s="1193"/>
      <c r="Q351" s="1193"/>
      <c r="R351" s="1193"/>
      <c r="S351" s="1193"/>
      <c r="T351" s="1193"/>
      <c r="U351" s="1193"/>
      <c r="V351" s="1193"/>
      <c r="W351" s="1193"/>
      <c r="X351" s="1193"/>
      <c r="Y351" s="1193"/>
      <c r="Z351" s="1193"/>
      <c r="AA351" s="1193"/>
      <c r="AB351" s="1193"/>
      <c r="AC351" s="1193"/>
    </row>
    <row r="352" spans="1:29" x14ac:dyDescent="0.3">
      <c r="A352" s="681"/>
      <c r="B352" s="1193"/>
      <c r="C352" s="1193"/>
      <c r="D352" s="1193"/>
      <c r="E352" s="1193"/>
      <c r="F352" s="1193"/>
      <c r="G352" s="1193"/>
      <c r="H352" s="1193"/>
      <c r="I352" s="1193"/>
      <c r="J352" s="1193"/>
      <c r="K352" s="1193"/>
      <c r="L352" s="1193"/>
      <c r="M352" s="1193"/>
      <c r="N352" s="1193"/>
      <c r="O352" s="1193"/>
      <c r="P352" s="1193"/>
      <c r="Q352" s="1193"/>
      <c r="R352" s="1193"/>
      <c r="S352" s="1193"/>
      <c r="T352" s="1193"/>
      <c r="U352" s="1193"/>
      <c r="V352" s="1193"/>
      <c r="W352" s="1193"/>
      <c r="X352" s="1193"/>
      <c r="Y352" s="1193"/>
      <c r="Z352" s="1193"/>
      <c r="AA352" s="1193"/>
      <c r="AB352" s="1193"/>
      <c r="AC352" s="1193"/>
    </row>
    <row r="353" spans="1:29" x14ac:dyDescent="0.3">
      <c r="A353" s="681"/>
      <c r="B353" s="1193"/>
      <c r="C353" s="1193"/>
      <c r="D353" s="1193"/>
      <c r="E353" s="1193"/>
      <c r="F353" s="1193"/>
      <c r="G353" s="1193"/>
      <c r="H353" s="1193"/>
      <c r="I353" s="1193"/>
      <c r="J353" s="1193"/>
      <c r="K353" s="1193"/>
      <c r="L353" s="1193"/>
      <c r="M353" s="1193"/>
      <c r="N353" s="1193"/>
      <c r="O353" s="1193"/>
      <c r="P353" s="1193"/>
      <c r="Q353" s="1193"/>
      <c r="R353" s="1193"/>
      <c r="S353" s="1193"/>
      <c r="T353" s="1193"/>
      <c r="U353" s="1193"/>
      <c r="V353" s="1193"/>
      <c r="W353" s="1193"/>
      <c r="X353" s="1193"/>
      <c r="Y353" s="1193"/>
      <c r="Z353" s="1193"/>
      <c r="AA353" s="1193"/>
      <c r="AB353" s="1193"/>
      <c r="AC353" s="1193"/>
    </row>
    <row r="354" spans="1:29" x14ac:dyDescent="0.3">
      <c r="A354" s="681"/>
      <c r="B354" s="1193"/>
      <c r="C354" s="1193"/>
      <c r="D354" s="1193"/>
      <c r="E354" s="1193"/>
      <c r="F354" s="1193"/>
      <c r="G354" s="1193"/>
      <c r="H354" s="1193"/>
      <c r="I354" s="1193"/>
      <c r="J354" s="1193"/>
      <c r="K354" s="1193"/>
      <c r="L354" s="1193"/>
      <c r="M354" s="1193"/>
      <c r="N354" s="1193"/>
      <c r="O354" s="1193"/>
      <c r="P354" s="1193"/>
      <c r="Q354" s="1193"/>
      <c r="R354" s="1193"/>
      <c r="S354" s="1193"/>
      <c r="T354" s="1193"/>
      <c r="U354" s="1193"/>
      <c r="V354" s="1193"/>
      <c r="W354" s="1193"/>
      <c r="X354" s="1193"/>
      <c r="Y354" s="1193"/>
      <c r="Z354" s="1193"/>
      <c r="AA354" s="1193"/>
      <c r="AB354" s="1193"/>
      <c r="AC354" s="1193"/>
    </row>
    <row r="355" spans="1:29" x14ac:dyDescent="0.3">
      <c r="A355" s="681"/>
      <c r="B355" s="1193"/>
      <c r="C355" s="1193"/>
      <c r="D355" s="1193"/>
      <c r="E355" s="1193"/>
      <c r="F355" s="1193"/>
      <c r="G355" s="1193"/>
      <c r="H355" s="1193"/>
      <c r="I355" s="1193"/>
      <c r="J355" s="1193"/>
      <c r="K355" s="1193"/>
      <c r="L355" s="1193"/>
      <c r="M355" s="1193"/>
      <c r="N355" s="1193"/>
      <c r="O355" s="1193"/>
      <c r="P355" s="1193"/>
      <c r="Q355" s="1193"/>
      <c r="R355" s="1193"/>
      <c r="S355" s="1193"/>
      <c r="T355" s="1193"/>
      <c r="U355" s="1193"/>
      <c r="V355" s="1193"/>
      <c r="W355" s="1193"/>
      <c r="X355" s="1193"/>
      <c r="Y355" s="1193"/>
      <c r="Z355" s="1193"/>
      <c r="AA355" s="1193"/>
      <c r="AB355" s="1193"/>
      <c r="AC355" s="1193"/>
    </row>
    <row r="356" spans="1:29" x14ac:dyDescent="0.3">
      <c r="A356" s="681"/>
      <c r="B356" s="1193"/>
      <c r="C356" s="1193"/>
      <c r="D356" s="1193"/>
      <c r="E356" s="1193"/>
      <c r="F356" s="1193"/>
      <c r="G356" s="1193"/>
      <c r="H356" s="1193"/>
      <c r="I356" s="1193"/>
      <c r="J356" s="1193"/>
      <c r="K356" s="1193"/>
      <c r="L356" s="1193"/>
      <c r="M356" s="1193"/>
      <c r="N356" s="1193"/>
      <c r="O356" s="1193"/>
      <c r="P356" s="1193"/>
      <c r="Q356" s="1193"/>
      <c r="R356" s="1193"/>
      <c r="S356" s="1193"/>
      <c r="T356" s="1193"/>
      <c r="U356" s="1193"/>
      <c r="V356" s="1193"/>
      <c r="W356" s="1193"/>
      <c r="X356" s="1193"/>
      <c r="Y356" s="1193"/>
      <c r="Z356" s="1193"/>
      <c r="AA356" s="1193"/>
      <c r="AB356" s="1193"/>
      <c r="AC356" s="1193"/>
    </row>
    <row r="357" spans="1:29" x14ac:dyDescent="0.3">
      <c r="A357" s="681"/>
      <c r="B357" s="1193"/>
      <c r="C357" s="1193"/>
      <c r="D357" s="1193"/>
      <c r="E357" s="1193"/>
      <c r="F357" s="1193"/>
      <c r="G357" s="1193"/>
      <c r="H357" s="1193"/>
      <c r="I357" s="1193"/>
      <c r="J357" s="1193"/>
      <c r="K357" s="1193"/>
      <c r="L357" s="1193"/>
      <c r="M357" s="1193"/>
      <c r="N357" s="1193"/>
      <c r="O357" s="1193"/>
      <c r="P357" s="1193"/>
      <c r="Q357" s="1193"/>
      <c r="R357" s="1193"/>
      <c r="S357" s="1193"/>
      <c r="T357" s="1193"/>
      <c r="U357" s="1193"/>
      <c r="V357" s="1193"/>
      <c r="W357" s="1193"/>
      <c r="X357" s="1193"/>
      <c r="Y357" s="1193"/>
      <c r="Z357" s="1193"/>
      <c r="AA357" s="1193"/>
      <c r="AB357" s="1193"/>
      <c r="AC357" s="1193"/>
    </row>
    <row r="358" spans="1:29" x14ac:dyDescent="0.3">
      <c r="A358" s="681"/>
      <c r="B358" s="1193"/>
      <c r="C358" s="1193"/>
      <c r="D358" s="1193"/>
      <c r="E358" s="1193"/>
      <c r="F358" s="1193"/>
      <c r="G358" s="1193"/>
      <c r="H358" s="1193"/>
      <c r="I358" s="1193"/>
      <c r="J358" s="1193"/>
      <c r="K358" s="1193"/>
      <c r="L358" s="1193"/>
      <c r="M358" s="1193"/>
      <c r="N358" s="1193"/>
      <c r="O358" s="1193"/>
      <c r="P358" s="1193"/>
      <c r="Q358" s="1193"/>
      <c r="R358" s="1193"/>
      <c r="S358" s="1193"/>
      <c r="T358" s="1193"/>
      <c r="U358" s="1193"/>
      <c r="V358" s="1193"/>
      <c r="W358" s="1193"/>
      <c r="X358" s="1193"/>
      <c r="Y358" s="1193"/>
      <c r="Z358" s="1193"/>
      <c r="AA358" s="1193"/>
      <c r="AB358" s="1193"/>
      <c r="AC358" s="1193"/>
    </row>
    <row r="359" spans="1:29" x14ac:dyDescent="0.3">
      <c r="A359" s="681"/>
      <c r="B359" s="1193"/>
      <c r="C359" s="1193"/>
      <c r="D359" s="1193"/>
      <c r="E359" s="1193"/>
      <c r="F359" s="1193"/>
      <c r="G359" s="1193"/>
      <c r="H359" s="1193"/>
      <c r="I359" s="1193"/>
      <c r="J359" s="1193"/>
      <c r="K359" s="1193"/>
      <c r="L359" s="1193"/>
      <c r="M359" s="1193"/>
      <c r="N359" s="1193"/>
      <c r="O359" s="1193"/>
      <c r="P359" s="1193"/>
      <c r="Q359" s="1193"/>
      <c r="R359" s="1193"/>
      <c r="S359" s="1193"/>
      <c r="T359" s="1193"/>
      <c r="U359" s="1193"/>
      <c r="V359" s="1193"/>
      <c r="W359" s="1193"/>
      <c r="X359" s="1193"/>
      <c r="Y359" s="1193"/>
      <c r="Z359" s="1193"/>
      <c r="AA359" s="1193"/>
      <c r="AB359" s="1193"/>
      <c r="AC359" s="1193"/>
    </row>
    <row r="360" spans="1:29" x14ac:dyDescent="0.3">
      <c r="A360" s="681"/>
      <c r="B360" s="1193"/>
      <c r="C360" s="1193"/>
      <c r="D360" s="1193"/>
      <c r="E360" s="1193"/>
      <c r="F360" s="1193"/>
      <c r="G360" s="1193"/>
      <c r="H360" s="1193"/>
      <c r="I360" s="1193"/>
      <c r="J360" s="1193"/>
      <c r="K360" s="1193"/>
      <c r="L360" s="1193"/>
      <c r="M360" s="1193"/>
      <c r="N360" s="1193"/>
      <c r="O360" s="1193"/>
      <c r="P360" s="1193"/>
      <c r="Q360" s="1193"/>
      <c r="R360" s="1193"/>
      <c r="S360" s="1193"/>
      <c r="T360" s="1193"/>
      <c r="U360" s="1193"/>
      <c r="V360" s="1193"/>
      <c r="W360" s="1193"/>
      <c r="X360" s="1193"/>
      <c r="Y360" s="1193"/>
      <c r="Z360" s="1193"/>
      <c r="AA360" s="1193"/>
      <c r="AB360" s="1193"/>
      <c r="AC360" s="1193"/>
    </row>
    <row r="361" spans="1:29" x14ac:dyDescent="0.3">
      <c r="A361" s="681"/>
      <c r="B361" s="1193"/>
      <c r="C361" s="1193"/>
      <c r="D361" s="1193"/>
      <c r="E361" s="1193"/>
      <c r="F361" s="1193"/>
      <c r="G361" s="1193"/>
      <c r="H361" s="1193"/>
      <c r="I361" s="1193"/>
      <c r="J361" s="1193"/>
      <c r="K361" s="1193"/>
      <c r="L361" s="1193"/>
      <c r="M361" s="1193"/>
      <c r="N361" s="1193"/>
      <c r="O361" s="1193"/>
      <c r="P361" s="1193"/>
      <c r="Q361" s="1193"/>
      <c r="R361" s="1193"/>
      <c r="S361" s="1193"/>
      <c r="T361" s="1193"/>
      <c r="U361" s="1193"/>
      <c r="V361" s="1193"/>
      <c r="W361" s="1193"/>
      <c r="X361" s="1193"/>
      <c r="Y361" s="1193"/>
      <c r="Z361" s="1193"/>
      <c r="AA361" s="1193"/>
      <c r="AB361" s="1193"/>
      <c r="AC361" s="1193"/>
    </row>
    <row r="362" spans="1:29" x14ac:dyDescent="0.3">
      <c r="A362" s="681"/>
      <c r="B362" s="1193"/>
      <c r="C362" s="1193"/>
      <c r="D362" s="1193"/>
      <c r="E362" s="1193"/>
      <c r="F362" s="1193"/>
      <c r="G362" s="1193"/>
      <c r="H362" s="1193"/>
      <c r="I362" s="1193"/>
      <c r="J362" s="1193"/>
      <c r="K362" s="1193"/>
      <c r="L362" s="1193"/>
      <c r="M362" s="1193"/>
      <c r="N362" s="1193"/>
      <c r="O362" s="1193"/>
      <c r="P362" s="1193"/>
      <c r="Q362" s="1193"/>
      <c r="R362" s="1193"/>
      <c r="S362" s="1193"/>
      <c r="T362" s="1193"/>
      <c r="U362" s="1193"/>
      <c r="V362" s="1193"/>
      <c r="W362" s="1193"/>
      <c r="X362" s="1193"/>
      <c r="Y362" s="1193"/>
      <c r="Z362" s="1193"/>
      <c r="AA362" s="1193"/>
      <c r="AB362" s="1193"/>
      <c r="AC362" s="1193"/>
    </row>
    <row r="363" spans="1:29" x14ac:dyDescent="0.3">
      <c r="A363" s="681"/>
      <c r="B363" s="1193"/>
      <c r="C363" s="1193"/>
      <c r="D363" s="1193"/>
      <c r="E363" s="1193"/>
      <c r="F363" s="1193"/>
      <c r="G363" s="1193"/>
      <c r="H363" s="1193"/>
      <c r="I363" s="1193"/>
      <c r="J363" s="1193"/>
      <c r="K363" s="1193"/>
      <c r="L363" s="1193"/>
      <c r="M363" s="1193"/>
      <c r="N363" s="1193"/>
      <c r="O363" s="1193"/>
      <c r="P363" s="1193"/>
      <c r="Q363" s="1193"/>
      <c r="R363" s="1193"/>
      <c r="S363" s="1193"/>
      <c r="T363" s="1193"/>
      <c r="U363" s="1193"/>
      <c r="V363" s="1193"/>
      <c r="W363" s="1193"/>
      <c r="X363" s="1193"/>
      <c r="Y363" s="1193"/>
      <c r="Z363" s="1193"/>
      <c r="AA363" s="1193"/>
      <c r="AB363" s="1193"/>
      <c r="AC363" s="1193"/>
    </row>
    <row r="364" spans="1:29" x14ac:dyDescent="0.3">
      <c r="A364" s="681"/>
      <c r="B364" s="1193"/>
      <c r="C364" s="1193"/>
      <c r="D364" s="1193"/>
      <c r="E364" s="1193"/>
      <c r="F364" s="1193"/>
      <c r="G364" s="1193"/>
      <c r="H364" s="1193"/>
      <c r="I364" s="1193"/>
      <c r="J364" s="1193"/>
      <c r="K364" s="1193"/>
      <c r="L364" s="1193"/>
      <c r="M364" s="1193"/>
      <c r="N364" s="1193"/>
      <c r="O364" s="1193"/>
      <c r="P364" s="1193"/>
      <c r="Q364" s="1193"/>
      <c r="R364" s="1193"/>
      <c r="S364" s="1193"/>
      <c r="T364" s="1193"/>
      <c r="U364" s="1193"/>
      <c r="V364" s="1193"/>
      <c r="W364" s="1193"/>
      <c r="X364" s="1193"/>
      <c r="Y364" s="1193"/>
      <c r="Z364" s="1193"/>
      <c r="AA364" s="1193"/>
      <c r="AB364" s="1193"/>
      <c r="AC364" s="1193"/>
    </row>
    <row r="365" spans="1:29" x14ac:dyDescent="0.3">
      <c r="A365" s="681"/>
      <c r="B365" s="1193"/>
      <c r="C365" s="1193"/>
      <c r="D365" s="1193"/>
      <c r="E365" s="1193"/>
      <c r="F365" s="1193"/>
      <c r="G365" s="1193"/>
      <c r="H365" s="1193"/>
      <c r="I365" s="1193"/>
      <c r="J365" s="1193"/>
      <c r="K365" s="1193"/>
      <c r="L365" s="1193"/>
      <c r="M365" s="1193"/>
      <c r="N365" s="1193"/>
      <c r="O365" s="1193"/>
      <c r="P365" s="1193"/>
      <c r="Q365" s="1193"/>
      <c r="R365" s="1193"/>
      <c r="S365" s="1193"/>
      <c r="T365" s="1193"/>
      <c r="U365" s="1193"/>
      <c r="V365" s="1193"/>
      <c r="W365" s="1193"/>
      <c r="X365" s="1193"/>
      <c r="Y365" s="1193"/>
      <c r="Z365" s="1193"/>
      <c r="AA365" s="1193"/>
      <c r="AB365" s="1193"/>
      <c r="AC365" s="1193"/>
    </row>
    <row r="366" spans="1:29" x14ac:dyDescent="0.3">
      <c r="A366" s="681"/>
      <c r="B366" s="1193"/>
      <c r="C366" s="1193"/>
      <c r="D366" s="1193"/>
      <c r="E366" s="1193"/>
      <c r="F366" s="1193"/>
      <c r="G366" s="1193"/>
      <c r="H366" s="1193"/>
      <c r="I366" s="1193"/>
      <c r="J366" s="1193"/>
      <c r="K366" s="1193"/>
      <c r="L366" s="1193"/>
      <c r="M366" s="1193"/>
      <c r="N366" s="1193"/>
      <c r="O366" s="1193"/>
      <c r="P366" s="1193"/>
      <c r="Q366" s="1193"/>
      <c r="R366" s="1193"/>
      <c r="S366" s="1193"/>
      <c r="T366" s="1193"/>
      <c r="U366" s="1193"/>
      <c r="V366" s="1193"/>
      <c r="W366" s="1193"/>
      <c r="X366" s="1193"/>
      <c r="Y366" s="1193"/>
      <c r="Z366" s="1193"/>
      <c r="AA366" s="1193"/>
      <c r="AB366" s="1193"/>
      <c r="AC366" s="1193"/>
    </row>
    <row r="367" spans="1:29" x14ac:dyDescent="0.3">
      <c r="A367" s="681"/>
      <c r="B367" s="1193"/>
      <c r="C367" s="1193"/>
      <c r="D367" s="1193"/>
      <c r="E367" s="1193"/>
      <c r="F367" s="1193"/>
      <c r="G367" s="1193"/>
      <c r="H367" s="1193"/>
      <c r="I367" s="1193"/>
      <c r="J367" s="1193"/>
      <c r="K367" s="1193"/>
      <c r="L367" s="1193"/>
      <c r="M367" s="1193"/>
      <c r="N367" s="1193"/>
      <c r="O367" s="1193"/>
      <c r="P367" s="1193"/>
      <c r="Q367" s="1193"/>
      <c r="R367" s="1193"/>
      <c r="S367" s="1193"/>
      <c r="T367" s="1193"/>
      <c r="U367" s="1193"/>
      <c r="V367" s="1193"/>
      <c r="W367" s="1193"/>
      <c r="X367" s="1193"/>
      <c r="Y367" s="1193"/>
      <c r="Z367" s="1193"/>
      <c r="AA367" s="1193"/>
      <c r="AB367" s="1193"/>
      <c r="AC367" s="1193"/>
    </row>
    <row r="368" spans="1:29" x14ac:dyDescent="0.3">
      <c r="A368" s="681"/>
      <c r="B368" s="1193"/>
      <c r="C368" s="1193"/>
      <c r="D368" s="1193"/>
      <c r="E368" s="1193"/>
      <c r="F368" s="1193"/>
      <c r="G368" s="1193"/>
      <c r="H368" s="1193"/>
      <c r="I368" s="1193"/>
      <c r="J368" s="1193"/>
      <c r="K368" s="1193"/>
      <c r="L368" s="1193"/>
      <c r="M368" s="1193"/>
      <c r="N368" s="1193"/>
      <c r="O368" s="1193"/>
      <c r="P368" s="1193"/>
      <c r="Q368" s="1193"/>
      <c r="R368" s="1193"/>
      <c r="S368" s="1193"/>
      <c r="T368" s="1193"/>
      <c r="U368" s="1193"/>
      <c r="V368" s="1193"/>
      <c r="W368" s="1193"/>
      <c r="X368" s="1193"/>
      <c r="Y368" s="1193"/>
      <c r="Z368" s="1193"/>
      <c r="AA368" s="1193"/>
      <c r="AB368" s="1193"/>
      <c r="AC368" s="1193"/>
    </row>
    <row r="369" spans="1:29" x14ac:dyDescent="0.3">
      <c r="A369" s="681"/>
      <c r="B369" s="1193"/>
      <c r="C369" s="1193"/>
      <c r="D369" s="1193"/>
      <c r="E369" s="1193"/>
      <c r="F369" s="1193"/>
      <c r="G369" s="1193"/>
      <c r="H369" s="1193"/>
      <c r="I369" s="1193"/>
      <c r="J369" s="1193"/>
      <c r="K369" s="1193"/>
      <c r="L369" s="1193"/>
      <c r="M369" s="1193"/>
      <c r="N369" s="1193"/>
      <c r="O369" s="1193"/>
      <c r="P369" s="1193"/>
      <c r="Q369" s="1193"/>
      <c r="R369" s="1193"/>
      <c r="S369" s="1193"/>
      <c r="T369" s="1193"/>
      <c r="U369" s="1193"/>
      <c r="V369" s="1193"/>
      <c r="W369" s="1193"/>
      <c r="X369" s="1193"/>
      <c r="Y369" s="1193"/>
      <c r="Z369" s="1193"/>
      <c r="AA369" s="1193"/>
      <c r="AB369" s="1193"/>
      <c r="AC369" s="1193"/>
    </row>
    <row r="370" spans="1:29" x14ac:dyDescent="0.3">
      <c r="A370" s="681"/>
      <c r="B370" s="1193"/>
      <c r="C370" s="1193"/>
      <c r="D370" s="1193"/>
      <c r="E370" s="1193"/>
      <c r="F370" s="1193"/>
      <c r="G370" s="1193"/>
      <c r="H370" s="1193"/>
      <c r="I370" s="1193"/>
      <c r="J370" s="1193"/>
      <c r="K370" s="1193"/>
      <c r="L370" s="1193"/>
      <c r="M370" s="1193"/>
      <c r="N370" s="1193"/>
      <c r="O370" s="1193"/>
      <c r="P370" s="1193"/>
      <c r="Q370" s="1193"/>
      <c r="R370" s="1193"/>
      <c r="S370" s="1193"/>
      <c r="T370" s="1193"/>
      <c r="U370" s="1193"/>
      <c r="V370" s="1193"/>
      <c r="W370" s="1193"/>
      <c r="X370" s="1193"/>
      <c r="Y370" s="1193"/>
      <c r="Z370" s="1193"/>
      <c r="AA370" s="1193"/>
      <c r="AB370" s="1193"/>
      <c r="AC370" s="1193"/>
    </row>
    <row r="371" spans="1:29" x14ac:dyDescent="0.3">
      <c r="A371" s="681"/>
      <c r="B371" s="1193"/>
      <c r="C371" s="1193"/>
      <c r="D371" s="1193"/>
      <c r="E371" s="1193"/>
      <c r="F371" s="1193"/>
      <c r="G371" s="1193"/>
      <c r="H371" s="1193"/>
      <c r="I371" s="1193"/>
      <c r="J371" s="1193"/>
      <c r="K371" s="1193"/>
      <c r="L371" s="1193"/>
      <c r="M371" s="1193"/>
      <c r="N371" s="1193"/>
      <c r="O371" s="1193"/>
      <c r="P371" s="1193"/>
      <c r="Q371" s="1193"/>
      <c r="R371" s="1193"/>
      <c r="S371" s="1193"/>
      <c r="T371" s="1193"/>
      <c r="U371" s="1193"/>
      <c r="V371" s="1193"/>
      <c r="W371" s="1193"/>
      <c r="X371" s="1193"/>
      <c r="Y371" s="1193"/>
      <c r="Z371" s="1193"/>
      <c r="AA371" s="1193"/>
      <c r="AB371" s="1193"/>
      <c r="AC371" s="1193"/>
    </row>
    <row r="372" spans="1:29" x14ac:dyDescent="0.3">
      <c r="A372" s="681"/>
      <c r="B372" s="1193"/>
      <c r="C372" s="1193"/>
      <c r="D372" s="1193"/>
      <c r="E372" s="1193"/>
      <c r="F372" s="1193"/>
      <c r="G372" s="1193"/>
      <c r="H372" s="1193"/>
      <c r="I372" s="1193"/>
      <c r="J372" s="1193"/>
      <c r="K372" s="1193"/>
      <c r="L372" s="1193"/>
      <c r="M372" s="1193"/>
      <c r="N372" s="1193"/>
      <c r="O372" s="1193"/>
      <c r="P372" s="1193"/>
      <c r="Q372" s="1193"/>
      <c r="R372" s="1193"/>
      <c r="S372" s="1193"/>
      <c r="T372" s="1193"/>
      <c r="U372" s="1193"/>
      <c r="V372" s="1193"/>
      <c r="W372" s="1193"/>
      <c r="X372" s="1193"/>
      <c r="Y372" s="1193"/>
      <c r="Z372" s="1193"/>
      <c r="AA372" s="1193"/>
      <c r="AB372" s="1193"/>
      <c r="AC372" s="1193"/>
    </row>
    <row r="373" spans="1:29" x14ac:dyDescent="0.3">
      <c r="A373" s="681"/>
      <c r="B373" s="1193"/>
      <c r="C373" s="1193"/>
      <c r="D373" s="1193"/>
      <c r="E373" s="1193"/>
      <c r="F373" s="1193"/>
      <c r="G373" s="1193"/>
      <c r="H373" s="1193"/>
      <c r="I373" s="1193"/>
      <c r="J373" s="1193"/>
      <c r="K373" s="1193"/>
      <c r="L373" s="1193"/>
      <c r="M373" s="1193"/>
      <c r="N373" s="1193"/>
      <c r="O373" s="1193"/>
      <c r="P373" s="1193"/>
      <c r="Q373" s="1193"/>
      <c r="R373" s="1193"/>
      <c r="S373" s="1193"/>
      <c r="T373" s="1193"/>
      <c r="U373" s="1193"/>
      <c r="V373" s="1193"/>
      <c r="W373" s="1193"/>
      <c r="X373" s="1193"/>
      <c r="Y373" s="1193"/>
      <c r="Z373" s="1193"/>
      <c r="AA373" s="1193"/>
      <c r="AB373" s="1193"/>
      <c r="AC373" s="1193"/>
    </row>
    <row r="374" spans="1:29" x14ac:dyDescent="0.3">
      <c r="A374" s="681"/>
      <c r="B374" s="1193"/>
      <c r="C374" s="1193"/>
      <c r="D374" s="1193"/>
      <c r="E374" s="1193"/>
      <c r="F374" s="1193"/>
      <c r="G374" s="1193"/>
      <c r="H374" s="1193"/>
      <c r="I374" s="1193"/>
      <c r="J374" s="1193"/>
      <c r="K374" s="1193"/>
      <c r="L374" s="1193"/>
      <c r="M374" s="1193"/>
      <c r="N374" s="1193"/>
      <c r="O374" s="1193"/>
      <c r="P374" s="1193"/>
      <c r="Q374" s="1193"/>
      <c r="R374" s="1193"/>
      <c r="S374" s="1193"/>
      <c r="T374" s="1193"/>
      <c r="U374" s="1193"/>
      <c r="V374" s="1193"/>
      <c r="W374" s="1193"/>
      <c r="X374" s="1193"/>
      <c r="Y374" s="1193"/>
      <c r="Z374" s="1193"/>
      <c r="AA374" s="1193"/>
      <c r="AB374" s="1193"/>
      <c r="AC374" s="1193"/>
    </row>
    <row r="375" spans="1:29" x14ac:dyDescent="0.3">
      <c r="A375" s="681"/>
      <c r="B375" s="1193"/>
      <c r="C375" s="1193"/>
      <c r="D375" s="1193"/>
      <c r="E375" s="1193"/>
      <c r="F375" s="1193"/>
      <c r="G375" s="1193"/>
      <c r="H375" s="1193"/>
      <c r="I375" s="1193"/>
      <c r="J375" s="1193"/>
      <c r="K375" s="1193"/>
      <c r="L375" s="1193"/>
      <c r="M375" s="1193"/>
      <c r="N375" s="1193"/>
      <c r="O375" s="1193"/>
      <c r="P375" s="1193"/>
      <c r="Q375" s="1193"/>
      <c r="R375" s="1193"/>
      <c r="S375" s="1193"/>
      <c r="T375" s="1193"/>
      <c r="U375" s="1193"/>
      <c r="V375" s="1193"/>
      <c r="W375" s="1193"/>
      <c r="X375" s="1193"/>
      <c r="Y375" s="1193"/>
      <c r="Z375" s="1193"/>
      <c r="AA375" s="1193"/>
      <c r="AB375" s="1193"/>
      <c r="AC375" s="1193"/>
    </row>
    <row r="376" spans="1:29" x14ac:dyDescent="0.3">
      <c r="A376" s="681"/>
      <c r="B376" s="1193"/>
      <c r="C376" s="1193"/>
      <c r="D376" s="1193"/>
      <c r="E376" s="1193"/>
      <c r="F376" s="1193"/>
      <c r="G376" s="1193"/>
      <c r="H376" s="1193"/>
      <c r="I376" s="1193"/>
      <c r="J376" s="1193"/>
      <c r="K376" s="1193"/>
      <c r="L376" s="1193"/>
      <c r="M376" s="1193"/>
      <c r="N376" s="1193"/>
      <c r="O376" s="1193"/>
      <c r="P376" s="1193"/>
      <c r="Q376" s="1193"/>
      <c r="R376" s="1193"/>
      <c r="S376" s="1193"/>
      <c r="T376" s="1193"/>
      <c r="U376" s="1193"/>
      <c r="V376" s="1193"/>
      <c r="W376" s="1193"/>
      <c r="X376" s="1193"/>
      <c r="Y376" s="1193"/>
      <c r="Z376" s="1193"/>
      <c r="AA376" s="1193"/>
      <c r="AB376" s="1193"/>
      <c r="AC376" s="1193"/>
    </row>
    <row r="377" spans="1:29" x14ac:dyDescent="0.3">
      <c r="A377" s="681"/>
      <c r="B377" s="1193"/>
      <c r="C377" s="1193"/>
      <c r="D377" s="1193"/>
      <c r="E377" s="1193"/>
      <c r="F377" s="1193"/>
      <c r="G377" s="1193"/>
      <c r="H377" s="1193"/>
      <c r="I377" s="1193"/>
      <c r="J377" s="1193"/>
      <c r="K377" s="1193"/>
      <c r="L377" s="1193"/>
      <c r="M377" s="1193"/>
      <c r="N377" s="1193"/>
      <c r="O377" s="1193"/>
      <c r="P377" s="1193"/>
      <c r="Q377" s="1193"/>
      <c r="R377" s="1193"/>
      <c r="S377" s="1193"/>
      <c r="T377" s="1193"/>
      <c r="U377" s="1193"/>
      <c r="V377" s="1193"/>
      <c r="W377" s="1193"/>
      <c r="X377" s="1193"/>
      <c r="Y377" s="1193"/>
      <c r="Z377" s="1193"/>
      <c r="AA377" s="1193"/>
      <c r="AB377" s="1193"/>
      <c r="AC377" s="1193"/>
    </row>
    <row r="378" spans="1:29" x14ac:dyDescent="0.3">
      <c r="A378" s="681"/>
      <c r="B378" s="1193"/>
      <c r="C378" s="1193"/>
      <c r="D378" s="1193"/>
      <c r="E378" s="1193"/>
      <c r="F378" s="1193"/>
      <c r="G378" s="1193"/>
      <c r="H378" s="1193"/>
      <c r="I378" s="1193"/>
      <c r="J378" s="1193"/>
      <c r="K378" s="1193"/>
      <c r="L378" s="1193"/>
      <c r="M378" s="1193"/>
      <c r="N378" s="1193"/>
      <c r="O378" s="1193"/>
      <c r="P378" s="1193"/>
      <c r="Q378" s="1193"/>
      <c r="R378" s="1193"/>
      <c r="S378" s="1193"/>
      <c r="T378" s="1193"/>
      <c r="U378" s="1193"/>
      <c r="V378" s="1193"/>
      <c r="W378" s="1193"/>
      <c r="X378" s="1193"/>
      <c r="Y378" s="1193"/>
      <c r="Z378" s="1193"/>
      <c r="AA378" s="1193"/>
      <c r="AB378" s="1193"/>
      <c r="AC378" s="1193"/>
    </row>
    <row r="379" spans="1:29" x14ac:dyDescent="0.3">
      <c r="A379" s="681"/>
      <c r="B379" s="1193"/>
      <c r="C379" s="1193"/>
      <c r="D379" s="1193"/>
      <c r="E379" s="1193"/>
      <c r="F379" s="1193"/>
      <c r="G379" s="1193"/>
      <c r="H379" s="1193"/>
      <c r="I379" s="1193"/>
      <c r="J379" s="1193"/>
      <c r="K379" s="1193"/>
      <c r="L379" s="1193"/>
      <c r="M379" s="1193"/>
      <c r="N379" s="1193"/>
      <c r="O379" s="1193"/>
      <c r="P379" s="1193"/>
      <c r="Q379" s="1193"/>
      <c r="R379" s="1193"/>
      <c r="S379" s="1193"/>
      <c r="T379" s="1193"/>
      <c r="U379" s="1193"/>
      <c r="V379" s="1193"/>
      <c r="W379" s="1193"/>
      <c r="X379" s="1193"/>
      <c r="Y379" s="1193"/>
      <c r="Z379" s="1193"/>
      <c r="AA379" s="1193"/>
      <c r="AB379" s="1193"/>
      <c r="AC379" s="1193"/>
    </row>
    <row r="380" spans="1:29" x14ac:dyDescent="0.3">
      <c r="A380" s="681"/>
      <c r="B380" s="1193"/>
      <c r="C380" s="1193"/>
      <c r="D380" s="1193"/>
      <c r="E380" s="1193"/>
      <c r="F380" s="1193"/>
      <c r="G380" s="1193"/>
      <c r="H380" s="1193"/>
      <c r="I380" s="1193"/>
      <c r="J380" s="1193"/>
      <c r="K380" s="1193"/>
      <c r="L380" s="1193"/>
      <c r="M380" s="1193"/>
      <c r="N380" s="1193"/>
      <c r="O380" s="1193"/>
      <c r="P380" s="1193"/>
      <c r="Q380" s="1193"/>
      <c r="R380" s="1193"/>
      <c r="S380" s="1193"/>
      <c r="T380" s="1193"/>
      <c r="U380" s="1193"/>
      <c r="V380" s="1193"/>
      <c r="W380" s="1193"/>
      <c r="X380" s="1193"/>
      <c r="Y380" s="1193"/>
      <c r="Z380" s="1193"/>
      <c r="AA380" s="1193"/>
      <c r="AB380" s="1193"/>
      <c r="AC380" s="1193"/>
    </row>
    <row r="381" spans="1:29" x14ac:dyDescent="0.3">
      <c r="A381" s="681"/>
      <c r="B381" s="1193"/>
      <c r="C381" s="1193"/>
      <c r="D381" s="1193"/>
      <c r="E381" s="1193"/>
      <c r="F381" s="1193"/>
      <c r="G381" s="1193"/>
      <c r="H381" s="1193"/>
      <c r="I381" s="1193"/>
      <c r="J381" s="1193"/>
      <c r="K381" s="1193"/>
      <c r="L381" s="1193"/>
      <c r="M381" s="1193"/>
      <c r="N381" s="1193"/>
      <c r="O381" s="1193"/>
      <c r="P381" s="1193"/>
      <c r="Q381" s="1193"/>
      <c r="R381" s="1193"/>
      <c r="S381" s="1193"/>
      <c r="T381" s="1193"/>
      <c r="U381" s="1193"/>
      <c r="V381" s="1193"/>
      <c r="W381" s="1193"/>
      <c r="X381" s="1193"/>
      <c r="Y381" s="1193"/>
      <c r="Z381" s="1193"/>
      <c r="AA381" s="1193"/>
      <c r="AB381" s="1193"/>
      <c r="AC381" s="1193"/>
    </row>
    <row r="382" spans="1:29" x14ac:dyDescent="0.3">
      <c r="A382" s="681"/>
      <c r="B382" s="1193"/>
      <c r="C382" s="1193"/>
      <c r="D382" s="1193"/>
      <c r="E382" s="1193"/>
      <c r="F382" s="1193"/>
      <c r="G382" s="1193"/>
      <c r="H382" s="1193"/>
      <c r="I382" s="1193"/>
      <c r="J382" s="1193"/>
      <c r="K382" s="1193"/>
      <c r="L382" s="1193"/>
      <c r="M382" s="1193"/>
      <c r="N382" s="1193"/>
      <c r="O382" s="1193"/>
      <c r="P382" s="1193"/>
      <c r="Q382" s="1193"/>
      <c r="R382" s="1193"/>
      <c r="S382" s="1193"/>
      <c r="T382" s="1193"/>
      <c r="U382" s="1193"/>
      <c r="V382" s="1193"/>
      <c r="W382" s="1193"/>
      <c r="X382" s="1193"/>
      <c r="Y382" s="1193"/>
      <c r="Z382" s="1193"/>
      <c r="AA382" s="1193"/>
      <c r="AB382" s="1193"/>
      <c r="AC382" s="1193"/>
    </row>
    <row r="383" spans="1:29" x14ac:dyDescent="0.3">
      <c r="A383" s="681"/>
      <c r="B383" s="1193"/>
      <c r="C383" s="1193"/>
      <c r="D383" s="1193"/>
      <c r="E383" s="1193"/>
      <c r="F383" s="1193"/>
      <c r="G383" s="1193"/>
      <c r="H383" s="1193"/>
      <c r="I383" s="1193"/>
      <c r="J383" s="1193"/>
      <c r="K383" s="1193"/>
      <c r="L383" s="1193"/>
      <c r="M383" s="1193"/>
      <c r="N383" s="1193"/>
      <c r="O383" s="1193"/>
      <c r="P383" s="1193"/>
      <c r="Q383" s="1193"/>
      <c r="R383" s="1193"/>
      <c r="S383" s="1193"/>
      <c r="T383" s="1193"/>
      <c r="U383" s="1193"/>
      <c r="V383" s="1193"/>
      <c r="W383" s="1193"/>
      <c r="X383" s="1193"/>
      <c r="Y383" s="1193"/>
      <c r="Z383" s="1193"/>
      <c r="AA383" s="1193"/>
      <c r="AB383" s="1193"/>
      <c r="AC383" s="1193"/>
    </row>
    <row r="384" spans="1:29" x14ac:dyDescent="0.3">
      <c r="A384" s="681"/>
      <c r="B384" s="1193"/>
      <c r="C384" s="1193"/>
      <c r="D384" s="1193"/>
      <c r="E384" s="1193"/>
      <c r="F384" s="1193"/>
      <c r="G384" s="1193"/>
      <c r="H384" s="1193"/>
      <c r="I384" s="1193"/>
      <c r="J384" s="1193"/>
      <c r="K384" s="1193"/>
      <c r="L384" s="1193"/>
      <c r="M384" s="1193"/>
      <c r="N384" s="1193"/>
      <c r="O384" s="1193"/>
      <c r="P384" s="1193"/>
      <c r="Q384" s="1193"/>
      <c r="R384" s="1193"/>
      <c r="S384" s="1193"/>
      <c r="T384" s="1193"/>
      <c r="U384" s="1193"/>
      <c r="V384" s="1193"/>
      <c r="W384" s="1193"/>
      <c r="X384" s="1193"/>
      <c r="Y384" s="1193"/>
      <c r="Z384" s="1193"/>
      <c r="AA384" s="1193"/>
      <c r="AB384" s="1193"/>
      <c r="AC384" s="1193"/>
    </row>
    <row r="385" spans="1:29" x14ac:dyDescent="0.3">
      <c r="A385" s="681"/>
      <c r="B385" s="1193"/>
      <c r="C385" s="1193"/>
      <c r="D385" s="1193"/>
      <c r="E385" s="1193"/>
      <c r="F385" s="1193"/>
      <c r="G385" s="1193"/>
      <c r="H385" s="1193"/>
      <c r="I385" s="1193"/>
      <c r="J385" s="1193"/>
      <c r="K385" s="1193"/>
      <c r="L385" s="1193"/>
      <c r="M385" s="1193"/>
      <c r="N385" s="1193"/>
      <c r="O385" s="1193"/>
      <c r="P385" s="1193"/>
      <c r="Q385" s="1193"/>
      <c r="R385" s="1193"/>
      <c r="S385" s="1193"/>
      <c r="T385" s="1193"/>
      <c r="U385" s="1193"/>
      <c r="V385" s="1193"/>
      <c r="W385" s="1193"/>
      <c r="X385" s="1193"/>
      <c r="Y385" s="1193"/>
      <c r="Z385" s="1193"/>
      <c r="AA385" s="1193"/>
      <c r="AB385" s="1193"/>
      <c r="AC385" s="1193"/>
    </row>
    <row r="386" spans="1:29" x14ac:dyDescent="0.3">
      <c r="A386" s="681"/>
      <c r="B386" s="1193"/>
      <c r="C386" s="1193"/>
      <c r="D386" s="1193"/>
      <c r="E386" s="1193"/>
      <c r="F386" s="1193"/>
      <c r="G386" s="1193"/>
      <c r="H386" s="1193"/>
      <c r="I386" s="1193"/>
      <c r="J386" s="1193"/>
      <c r="K386" s="1193"/>
      <c r="L386" s="1193"/>
      <c r="M386" s="1193"/>
      <c r="N386" s="1193"/>
      <c r="O386" s="1193"/>
      <c r="P386" s="1193"/>
      <c r="Q386" s="1193"/>
      <c r="R386" s="1193"/>
      <c r="S386" s="1193"/>
      <c r="T386" s="1193"/>
      <c r="U386" s="1193"/>
      <c r="V386" s="1193"/>
      <c r="W386" s="1193"/>
      <c r="X386" s="1193"/>
      <c r="Y386" s="1193"/>
      <c r="Z386" s="1193"/>
      <c r="AA386" s="1193"/>
      <c r="AB386" s="1193"/>
      <c r="AC386" s="1193"/>
    </row>
    <row r="387" spans="1:29" x14ac:dyDescent="0.3">
      <c r="A387" s="681"/>
      <c r="B387" s="1193"/>
      <c r="C387" s="1193"/>
      <c r="D387" s="1193"/>
      <c r="E387" s="1193"/>
      <c r="F387" s="1193"/>
      <c r="G387" s="1193"/>
      <c r="H387" s="1193"/>
      <c r="I387" s="1193"/>
      <c r="J387" s="1193"/>
      <c r="K387" s="1193"/>
      <c r="L387" s="1193"/>
      <c r="M387" s="1193"/>
      <c r="N387" s="1193"/>
      <c r="O387" s="1193"/>
      <c r="P387" s="1193"/>
      <c r="Q387" s="1193"/>
      <c r="R387" s="1193"/>
      <c r="S387" s="1193"/>
      <c r="T387" s="1193"/>
      <c r="U387" s="1193"/>
      <c r="V387" s="1193"/>
      <c r="W387" s="1193"/>
      <c r="X387" s="1193"/>
      <c r="Y387" s="1193"/>
      <c r="Z387" s="1193"/>
      <c r="AA387" s="1193"/>
      <c r="AB387" s="1193"/>
      <c r="AC387" s="1193"/>
    </row>
    <row r="388" spans="1:29" x14ac:dyDescent="0.3">
      <c r="A388" s="681"/>
      <c r="B388" s="1193"/>
      <c r="C388" s="1193"/>
      <c r="D388" s="1193"/>
      <c r="E388" s="1193"/>
      <c r="F388" s="1193"/>
      <c r="G388" s="1193"/>
      <c r="H388" s="1193"/>
      <c r="I388" s="1193"/>
      <c r="J388" s="1193"/>
      <c r="K388" s="1193"/>
      <c r="L388" s="1193"/>
      <c r="M388" s="1193"/>
      <c r="N388" s="1193"/>
      <c r="O388" s="1193"/>
      <c r="P388" s="1193"/>
      <c r="Q388" s="1193"/>
      <c r="R388" s="1193"/>
      <c r="S388" s="1193"/>
      <c r="T388" s="1193"/>
      <c r="U388" s="1193"/>
      <c r="V388" s="1193"/>
      <c r="W388" s="1193"/>
      <c r="X388" s="1193"/>
      <c r="Y388" s="1193"/>
      <c r="Z388" s="1193"/>
      <c r="AA388" s="1193"/>
      <c r="AB388" s="1193"/>
      <c r="AC388" s="1193"/>
    </row>
    <row r="389" spans="1:29" x14ac:dyDescent="0.3">
      <c r="A389" s="681"/>
      <c r="B389" s="1193"/>
      <c r="C389" s="1193"/>
      <c r="D389" s="1193"/>
      <c r="E389" s="1193"/>
      <c r="F389" s="1193"/>
      <c r="G389" s="1193"/>
      <c r="H389" s="1193"/>
      <c r="I389" s="1193"/>
      <c r="J389" s="1193"/>
      <c r="K389" s="1193"/>
      <c r="L389" s="1193"/>
      <c r="M389" s="1193"/>
      <c r="N389" s="1193"/>
      <c r="O389" s="1193"/>
      <c r="P389" s="1193"/>
      <c r="Q389" s="1193"/>
      <c r="R389" s="1193"/>
      <c r="S389" s="1193"/>
      <c r="T389" s="1193"/>
      <c r="U389" s="1193"/>
      <c r="V389" s="1193"/>
      <c r="W389" s="1193"/>
      <c r="X389" s="1193"/>
      <c r="Y389" s="1193"/>
      <c r="Z389" s="1193"/>
      <c r="AA389" s="1193"/>
      <c r="AB389" s="1193"/>
      <c r="AC389" s="1193"/>
    </row>
    <row r="390" spans="1:29" x14ac:dyDescent="0.3">
      <c r="A390" s="681"/>
      <c r="B390" s="1193"/>
      <c r="C390" s="1193"/>
      <c r="D390" s="1193"/>
      <c r="E390" s="1193"/>
      <c r="F390" s="1193"/>
      <c r="G390" s="1193"/>
      <c r="H390" s="1193"/>
      <c r="I390" s="1193"/>
      <c r="J390" s="1193"/>
      <c r="K390" s="1193"/>
      <c r="L390" s="1193"/>
      <c r="M390" s="1193"/>
      <c r="N390" s="1193"/>
      <c r="O390" s="1193"/>
      <c r="P390" s="1193"/>
      <c r="Q390" s="1193"/>
      <c r="R390" s="1193"/>
      <c r="S390" s="1193"/>
      <c r="T390" s="1193"/>
      <c r="U390" s="1193"/>
      <c r="V390" s="1193"/>
      <c r="W390" s="1193"/>
      <c r="X390" s="1193"/>
      <c r="Y390" s="1193"/>
      <c r="Z390" s="1193"/>
      <c r="AA390" s="1193"/>
      <c r="AB390" s="1193"/>
      <c r="AC390" s="1193"/>
    </row>
    <row r="391" spans="1:29" x14ac:dyDescent="0.3">
      <c r="A391" s="681"/>
      <c r="B391" s="1193"/>
      <c r="C391" s="1193"/>
      <c r="D391" s="1193"/>
      <c r="E391" s="1193"/>
      <c r="F391" s="1193"/>
      <c r="G391" s="1193"/>
      <c r="H391" s="1193"/>
      <c r="I391" s="1193"/>
      <c r="J391" s="1193"/>
      <c r="K391" s="1193"/>
      <c r="L391" s="1193"/>
      <c r="M391" s="1193"/>
      <c r="N391" s="1193"/>
      <c r="O391" s="1193"/>
      <c r="P391" s="1193"/>
      <c r="Q391" s="1193"/>
      <c r="R391" s="1193"/>
      <c r="S391" s="1193"/>
      <c r="T391" s="1193"/>
      <c r="U391" s="1193"/>
      <c r="V391" s="1193"/>
      <c r="W391" s="1193"/>
      <c r="X391" s="1193"/>
      <c r="Y391" s="1193"/>
      <c r="Z391" s="1193"/>
      <c r="AA391" s="1193"/>
      <c r="AB391" s="1193"/>
      <c r="AC391" s="1193"/>
    </row>
    <row r="392" spans="1:29" x14ac:dyDescent="0.3">
      <c r="A392" s="681"/>
      <c r="B392" s="1193"/>
      <c r="C392" s="1193"/>
      <c r="D392" s="1193"/>
      <c r="E392" s="1193"/>
      <c r="F392" s="1193"/>
      <c r="G392" s="1193"/>
      <c r="H392" s="1193"/>
      <c r="I392" s="1193"/>
      <c r="J392" s="1193"/>
      <c r="K392" s="1193"/>
      <c r="L392" s="1193"/>
      <c r="M392" s="1193"/>
      <c r="N392" s="1193"/>
      <c r="O392" s="1193"/>
      <c r="P392" s="1193"/>
      <c r="Q392" s="1193"/>
      <c r="R392" s="1193"/>
      <c r="S392" s="1193"/>
      <c r="T392" s="1193"/>
      <c r="U392" s="1193"/>
      <c r="V392" s="1193"/>
      <c r="W392" s="1193"/>
      <c r="X392" s="1193"/>
      <c r="Y392" s="1193"/>
      <c r="Z392" s="1193"/>
      <c r="AA392" s="1193"/>
      <c r="AB392" s="1193"/>
      <c r="AC392" s="1193"/>
    </row>
    <row r="393" spans="1:29" x14ac:dyDescent="0.3">
      <c r="A393" s="681"/>
      <c r="B393" s="1193"/>
      <c r="C393" s="1193"/>
      <c r="D393" s="1193"/>
      <c r="E393" s="1193"/>
      <c r="F393" s="1193"/>
      <c r="G393" s="1193"/>
      <c r="H393" s="1193"/>
      <c r="I393" s="1193"/>
      <c r="J393" s="1193"/>
      <c r="K393" s="1193"/>
      <c r="L393" s="1193"/>
      <c r="M393" s="1193"/>
      <c r="N393" s="1193"/>
      <c r="O393" s="1193"/>
      <c r="P393" s="1193"/>
      <c r="Q393" s="1193"/>
      <c r="R393" s="1193"/>
      <c r="S393" s="1193"/>
      <c r="T393" s="1193"/>
      <c r="U393" s="1193"/>
      <c r="V393" s="1193"/>
      <c r="W393" s="1193"/>
      <c r="X393" s="1193"/>
      <c r="Y393" s="1193"/>
      <c r="Z393" s="1193"/>
      <c r="AA393" s="1193"/>
      <c r="AB393" s="1193"/>
      <c r="AC393" s="1193"/>
    </row>
    <row r="394" spans="1:29" x14ac:dyDescent="0.3">
      <c r="A394" s="681"/>
      <c r="B394" s="1193"/>
      <c r="C394" s="1193"/>
      <c r="D394" s="1193"/>
      <c r="E394" s="1193"/>
      <c r="F394" s="1193"/>
      <c r="G394" s="1193"/>
      <c r="H394" s="1193"/>
      <c r="I394" s="1193"/>
      <c r="J394" s="1193"/>
      <c r="K394" s="1193"/>
      <c r="L394" s="1193"/>
      <c r="M394" s="1193"/>
      <c r="N394" s="1193"/>
      <c r="O394" s="1193"/>
      <c r="P394" s="1193"/>
      <c r="Q394" s="1193"/>
      <c r="R394" s="1193"/>
      <c r="S394" s="1193"/>
      <c r="T394" s="1193"/>
      <c r="U394" s="1193"/>
      <c r="V394" s="1193"/>
      <c r="W394" s="1193"/>
      <c r="X394" s="1193"/>
      <c r="Y394" s="1193"/>
      <c r="Z394" s="1193"/>
      <c r="AA394" s="1193"/>
      <c r="AB394" s="1193"/>
      <c r="AC394" s="1193"/>
    </row>
    <row r="395" spans="1:29" x14ac:dyDescent="0.3">
      <c r="A395" s="681"/>
      <c r="B395" s="1193"/>
      <c r="C395" s="1193"/>
      <c r="D395" s="1193"/>
      <c r="E395" s="1193"/>
      <c r="F395" s="1193"/>
      <c r="G395" s="1193"/>
      <c r="H395" s="1193"/>
      <c r="I395" s="1193"/>
      <c r="J395" s="1193"/>
      <c r="K395" s="1193"/>
      <c r="L395" s="1193"/>
      <c r="M395" s="1193"/>
      <c r="N395" s="1193"/>
      <c r="O395" s="1193"/>
      <c r="P395" s="1193"/>
      <c r="Q395" s="1193"/>
      <c r="R395" s="1193"/>
      <c r="S395" s="1193"/>
      <c r="T395" s="1193"/>
      <c r="U395" s="1193"/>
      <c r="V395" s="1193"/>
      <c r="W395" s="1193"/>
      <c r="X395" s="1193"/>
      <c r="Y395" s="1193"/>
      <c r="Z395" s="1193"/>
      <c r="AA395" s="1193"/>
      <c r="AB395" s="1193"/>
      <c r="AC395" s="1193"/>
    </row>
    <row r="396" spans="1:29" x14ac:dyDescent="0.3">
      <c r="A396" s="681"/>
      <c r="B396" s="1193"/>
      <c r="C396" s="1193"/>
      <c r="D396" s="1193"/>
      <c r="E396" s="1193"/>
      <c r="F396" s="1193"/>
      <c r="G396" s="1193"/>
      <c r="H396" s="1193"/>
      <c r="I396" s="1193"/>
      <c r="J396" s="1193"/>
      <c r="K396" s="1193"/>
      <c r="L396" s="1193"/>
      <c r="M396" s="1193"/>
      <c r="N396" s="1193"/>
      <c r="O396" s="1193"/>
      <c r="P396" s="1193"/>
      <c r="Q396" s="1193"/>
      <c r="R396" s="1193"/>
      <c r="S396" s="1193"/>
      <c r="T396" s="1193"/>
      <c r="U396" s="1193"/>
      <c r="V396" s="1193"/>
      <c r="W396" s="1193"/>
      <c r="X396" s="1193"/>
      <c r="Y396" s="1193"/>
      <c r="Z396" s="1193"/>
      <c r="AA396" s="1193"/>
      <c r="AB396" s="1193"/>
      <c r="AC396" s="1193"/>
    </row>
    <row r="397" spans="1:29" x14ac:dyDescent="0.3">
      <c r="A397" s="681"/>
      <c r="B397" s="1193"/>
      <c r="C397" s="1193"/>
      <c r="D397" s="1193"/>
      <c r="E397" s="1193"/>
      <c r="F397" s="1193"/>
      <c r="G397" s="1193"/>
      <c r="H397" s="1193"/>
      <c r="I397" s="1193"/>
      <c r="J397" s="1193"/>
      <c r="K397" s="1193"/>
      <c r="L397" s="1193"/>
      <c r="M397" s="1193"/>
      <c r="N397" s="1193"/>
      <c r="O397" s="1193"/>
      <c r="P397" s="1193"/>
      <c r="Q397" s="1193"/>
      <c r="R397" s="1193"/>
      <c r="S397" s="1193"/>
      <c r="T397" s="1193"/>
      <c r="U397" s="1193"/>
      <c r="V397" s="1193"/>
      <c r="W397" s="1193"/>
      <c r="X397" s="1193"/>
      <c r="Y397" s="1193"/>
      <c r="Z397" s="1193"/>
      <c r="AA397" s="1193"/>
      <c r="AB397" s="1193"/>
      <c r="AC397" s="1193"/>
    </row>
    <row r="398" spans="1:29" x14ac:dyDescent="0.3">
      <c r="A398" s="681"/>
      <c r="B398" s="1193"/>
      <c r="C398" s="1193"/>
      <c r="D398" s="1193"/>
      <c r="E398" s="1193"/>
      <c r="F398" s="1193"/>
      <c r="G398" s="1193"/>
      <c r="H398" s="1193"/>
      <c r="I398" s="1193"/>
      <c r="J398" s="1193"/>
      <c r="K398" s="1193"/>
      <c r="L398" s="1193"/>
      <c r="M398" s="1193"/>
      <c r="N398" s="1193"/>
      <c r="O398" s="1193"/>
      <c r="P398" s="1193"/>
      <c r="Q398" s="1193"/>
      <c r="R398" s="1193"/>
      <c r="S398" s="1193"/>
      <c r="T398" s="1193"/>
      <c r="U398" s="1193"/>
      <c r="V398" s="1193"/>
      <c r="W398" s="1193"/>
      <c r="X398" s="1193"/>
      <c r="Y398" s="1193"/>
      <c r="Z398" s="1193"/>
      <c r="AA398" s="1193"/>
      <c r="AB398" s="1193"/>
      <c r="AC398" s="1193"/>
    </row>
    <row r="399" spans="1:29" x14ac:dyDescent="0.3">
      <c r="A399" s="681"/>
      <c r="B399" s="1193"/>
      <c r="C399" s="1193"/>
      <c r="D399" s="1193"/>
      <c r="E399" s="1193"/>
      <c r="F399" s="1193"/>
      <c r="G399" s="1193"/>
      <c r="H399" s="1193"/>
      <c r="I399" s="1193"/>
      <c r="J399" s="1193"/>
      <c r="K399" s="1193"/>
      <c r="L399" s="1193"/>
      <c r="M399" s="1193"/>
      <c r="N399" s="1193"/>
      <c r="O399" s="1193"/>
      <c r="P399" s="1193"/>
      <c r="Q399" s="1193"/>
      <c r="R399" s="1193"/>
      <c r="S399" s="1193"/>
      <c r="T399" s="1193"/>
      <c r="U399" s="1193"/>
      <c r="V399" s="1193"/>
      <c r="W399" s="1193"/>
      <c r="X399" s="1193"/>
      <c r="Y399" s="1193"/>
      <c r="Z399" s="1193"/>
      <c r="AA399" s="1193"/>
      <c r="AB399" s="1193"/>
      <c r="AC399" s="1193"/>
    </row>
    <row r="400" spans="1:29" x14ac:dyDescent="0.3">
      <c r="A400" s="681"/>
      <c r="B400" s="1193"/>
      <c r="C400" s="1193"/>
      <c r="D400" s="1193"/>
      <c r="E400" s="1193"/>
      <c r="F400" s="1193"/>
      <c r="G400" s="1193"/>
      <c r="H400" s="1193"/>
      <c r="I400" s="1193"/>
      <c r="J400" s="1193"/>
      <c r="K400" s="1193"/>
      <c r="L400" s="1193"/>
      <c r="M400" s="1193"/>
      <c r="N400" s="1193"/>
      <c r="O400" s="1193"/>
      <c r="P400" s="1193"/>
      <c r="Q400" s="1193"/>
      <c r="R400" s="1193"/>
      <c r="S400" s="1193"/>
      <c r="T400" s="1193"/>
      <c r="U400" s="1193"/>
      <c r="V400" s="1193"/>
      <c r="W400" s="1193"/>
      <c r="X400" s="1193"/>
      <c r="Y400" s="1193"/>
      <c r="Z400" s="1193"/>
      <c r="AA400" s="1193"/>
      <c r="AB400" s="1193"/>
      <c r="AC400" s="1193"/>
    </row>
    <row r="401" spans="1:29" x14ac:dyDescent="0.3">
      <c r="A401" s="681"/>
      <c r="B401" s="1193"/>
      <c r="C401" s="1193"/>
      <c r="D401" s="1193"/>
      <c r="E401" s="1193"/>
      <c r="F401" s="1193"/>
      <c r="G401" s="1193"/>
      <c r="H401" s="1193"/>
      <c r="I401" s="1193"/>
      <c r="J401" s="1193"/>
      <c r="K401" s="1193"/>
      <c r="L401" s="1193"/>
      <c r="M401" s="1193"/>
      <c r="N401" s="1193"/>
      <c r="O401" s="1193"/>
      <c r="P401" s="1193"/>
      <c r="Q401" s="1193"/>
      <c r="R401" s="1193"/>
      <c r="S401" s="1193"/>
      <c r="T401" s="1193"/>
      <c r="U401" s="1193"/>
      <c r="V401" s="1193"/>
      <c r="W401" s="1193"/>
      <c r="X401" s="1193"/>
      <c r="Y401" s="1193"/>
      <c r="Z401" s="1193"/>
      <c r="AA401" s="1193"/>
      <c r="AB401" s="1193"/>
      <c r="AC401" s="1193"/>
    </row>
    <row r="402" spans="1:29" x14ac:dyDescent="0.3">
      <c r="A402" s="681"/>
      <c r="B402" s="1193"/>
      <c r="C402" s="1193"/>
      <c r="D402" s="1193"/>
      <c r="E402" s="1193"/>
      <c r="F402" s="1193"/>
      <c r="G402" s="1193"/>
      <c r="H402" s="1193"/>
      <c r="I402" s="1193"/>
      <c r="J402" s="1193"/>
      <c r="K402" s="1193"/>
      <c r="L402" s="1193"/>
      <c r="M402" s="1193"/>
      <c r="N402" s="1193"/>
      <c r="O402" s="1193"/>
      <c r="P402" s="1193"/>
      <c r="Q402" s="1193"/>
      <c r="R402" s="1193"/>
      <c r="S402" s="1193"/>
      <c r="T402" s="1193"/>
      <c r="U402" s="1193"/>
      <c r="V402" s="1193"/>
      <c r="W402" s="1193"/>
      <c r="X402" s="1193"/>
      <c r="Y402" s="1193"/>
      <c r="Z402" s="1193"/>
      <c r="AA402" s="1193"/>
      <c r="AB402" s="1193"/>
      <c r="AC402" s="1193"/>
    </row>
    <row r="403" spans="1:29" x14ac:dyDescent="0.3">
      <c r="A403" s="681"/>
      <c r="B403" s="1193"/>
      <c r="C403" s="1193"/>
      <c r="D403" s="1193"/>
      <c r="E403" s="1193"/>
      <c r="F403" s="1193"/>
      <c r="G403" s="1193"/>
      <c r="H403" s="1193"/>
      <c r="I403" s="1193"/>
      <c r="J403" s="1193"/>
      <c r="K403" s="1193"/>
      <c r="L403" s="1193"/>
      <c r="M403" s="1193"/>
      <c r="N403" s="1193"/>
      <c r="O403" s="1193"/>
      <c r="P403" s="1193"/>
      <c r="Q403" s="1193"/>
      <c r="R403" s="1193"/>
      <c r="S403" s="1193"/>
      <c r="T403" s="1193"/>
      <c r="U403" s="1193"/>
      <c r="V403" s="1193"/>
      <c r="W403" s="1193"/>
      <c r="X403" s="1193"/>
      <c r="Y403" s="1193"/>
      <c r="Z403" s="1193"/>
      <c r="AA403" s="1193"/>
      <c r="AB403" s="1193"/>
      <c r="AC403" s="1193"/>
    </row>
    <row r="404" spans="1:29" x14ac:dyDescent="0.3">
      <c r="A404" s="681"/>
      <c r="B404" s="1193"/>
      <c r="C404" s="1193"/>
      <c r="D404" s="1193"/>
      <c r="E404" s="1193"/>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row>
    <row r="405" spans="1:29" x14ac:dyDescent="0.3">
      <c r="A405" s="681"/>
      <c r="B405" s="1193"/>
      <c r="C405" s="1193"/>
      <c r="D405" s="1193"/>
      <c r="E405" s="1193"/>
      <c r="F405" s="1193"/>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row>
    <row r="406" spans="1:29" x14ac:dyDescent="0.3">
      <c r="A406" s="681"/>
      <c r="B406" s="1193"/>
      <c r="C406" s="1193"/>
      <c r="D406" s="1193"/>
      <c r="E406" s="1193"/>
      <c r="F406" s="1193"/>
      <c r="G406" s="1193"/>
      <c r="H406" s="1193"/>
      <c r="I406" s="1193"/>
      <c r="J406" s="1193"/>
      <c r="K406" s="1193"/>
      <c r="L406" s="1193"/>
      <c r="M406" s="1193"/>
      <c r="N406" s="1193"/>
      <c r="O406" s="1193"/>
      <c r="P406" s="1193"/>
      <c r="Q406" s="1193"/>
      <c r="R406" s="1193"/>
      <c r="S406" s="1193"/>
      <c r="T406" s="1193"/>
      <c r="U406" s="1193"/>
      <c r="V406" s="1193"/>
      <c r="W406" s="1193"/>
      <c r="X406" s="1193"/>
      <c r="Y406" s="1193"/>
      <c r="Z406" s="1193"/>
      <c r="AA406" s="1193"/>
      <c r="AB406" s="1193"/>
      <c r="AC406" s="1193"/>
    </row>
    <row r="407" spans="1:29" x14ac:dyDescent="0.3">
      <c r="A407" s="681"/>
      <c r="B407" s="1193"/>
      <c r="C407" s="1193"/>
      <c r="D407" s="1193"/>
      <c r="E407" s="1193"/>
      <c r="F407" s="1193"/>
      <c r="G407" s="1193"/>
      <c r="H407" s="1193"/>
      <c r="I407" s="1193"/>
      <c r="J407" s="1193"/>
      <c r="K407" s="1193"/>
      <c r="L407" s="1193"/>
      <c r="M407" s="1193"/>
      <c r="N407" s="1193"/>
      <c r="O407" s="1193"/>
      <c r="P407" s="1193"/>
      <c r="Q407" s="1193"/>
      <c r="R407" s="1193"/>
      <c r="S407" s="1193"/>
      <c r="T407" s="1193"/>
      <c r="U407" s="1193"/>
      <c r="V407" s="1193"/>
      <c r="W407" s="1193"/>
      <c r="X407" s="1193"/>
      <c r="Y407" s="1193"/>
      <c r="Z407" s="1193"/>
      <c r="AA407" s="1193"/>
      <c r="AB407" s="1193"/>
      <c r="AC407" s="1193"/>
    </row>
    <row r="408" spans="1:29" x14ac:dyDescent="0.3">
      <c r="A408" s="681"/>
      <c r="B408" s="1193"/>
      <c r="C408" s="1193"/>
      <c r="D408" s="1193"/>
      <c r="E408" s="1193"/>
      <c r="F408" s="1193"/>
      <c r="G408" s="1193"/>
      <c r="H408" s="1193"/>
      <c r="I408" s="1193"/>
      <c r="J408" s="1193"/>
      <c r="K408" s="1193"/>
      <c r="L408" s="1193"/>
      <c r="M408" s="1193"/>
      <c r="N408" s="1193"/>
      <c r="O408" s="1193"/>
      <c r="P408" s="1193"/>
      <c r="Q408" s="1193"/>
      <c r="R408" s="1193"/>
      <c r="S408" s="1193"/>
      <c r="T408" s="1193"/>
      <c r="U408" s="1193"/>
      <c r="V408" s="1193"/>
      <c r="W408" s="1193"/>
      <c r="X408" s="1193"/>
      <c r="Y408" s="1193"/>
      <c r="Z408" s="1193"/>
      <c r="AA408" s="1193"/>
      <c r="AB408" s="1193"/>
      <c r="AC408" s="1193"/>
    </row>
    <row r="409" spans="1:29" x14ac:dyDescent="0.3">
      <c r="A409" s="681"/>
      <c r="B409" s="1193"/>
      <c r="C409" s="1193"/>
      <c r="D409" s="1193"/>
      <c r="E409" s="1193"/>
      <c r="F409" s="1193"/>
      <c r="G409" s="1193"/>
      <c r="H409" s="1193"/>
      <c r="I409" s="1193"/>
      <c r="J409" s="1193"/>
      <c r="K409" s="1193"/>
      <c r="L409" s="1193"/>
      <c r="M409" s="1193"/>
      <c r="N409" s="1193"/>
      <c r="O409" s="1193"/>
      <c r="P409" s="1193"/>
      <c r="Q409" s="1193"/>
      <c r="R409" s="1193"/>
      <c r="S409" s="1193"/>
      <c r="T409" s="1193"/>
      <c r="U409" s="1193"/>
      <c r="V409" s="1193"/>
      <c r="W409" s="1193"/>
      <c r="X409" s="1193"/>
      <c r="Y409" s="1193"/>
      <c r="Z409" s="1193"/>
      <c r="AA409" s="1193"/>
      <c r="AB409" s="1193"/>
      <c r="AC409" s="1193"/>
    </row>
    <row r="410" spans="1:29" x14ac:dyDescent="0.3">
      <c r="A410" s="681"/>
      <c r="B410" s="1193"/>
      <c r="C410" s="1193"/>
      <c r="D410" s="1193"/>
      <c r="E410" s="1193"/>
      <c r="F410" s="1193"/>
      <c r="G410" s="1193"/>
      <c r="H410" s="1193"/>
      <c r="I410" s="1193"/>
      <c r="J410" s="1193"/>
      <c r="K410" s="1193"/>
      <c r="L410" s="1193"/>
      <c r="M410" s="1193"/>
      <c r="N410" s="1193"/>
      <c r="O410" s="1193"/>
      <c r="P410" s="1193"/>
      <c r="Q410" s="1193"/>
      <c r="R410" s="1193"/>
      <c r="S410" s="1193"/>
      <c r="T410" s="1193"/>
      <c r="U410" s="1193"/>
      <c r="V410" s="1193"/>
      <c r="W410" s="1193"/>
      <c r="X410" s="1193"/>
      <c r="Y410" s="1193"/>
      <c r="Z410" s="1193"/>
      <c r="AA410" s="1193"/>
      <c r="AB410" s="1193"/>
      <c r="AC410" s="1193"/>
    </row>
    <row r="411" spans="1:29" x14ac:dyDescent="0.3">
      <c r="A411" s="681"/>
      <c r="B411" s="1193"/>
      <c r="C411" s="1193"/>
      <c r="D411" s="1193"/>
      <c r="E411" s="1193"/>
      <c r="F411" s="1193"/>
      <c r="G411" s="1193"/>
      <c r="H411" s="1193"/>
      <c r="I411" s="1193"/>
      <c r="J411" s="1193"/>
      <c r="K411" s="1193"/>
      <c r="L411" s="1193"/>
      <c r="M411" s="1193"/>
      <c r="N411" s="1193"/>
      <c r="O411" s="1193"/>
      <c r="P411" s="1193"/>
      <c r="Q411" s="1193"/>
      <c r="R411" s="1193"/>
      <c r="S411" s="1193"/>
      <c r="T411" s="1193"/>
      <c r="U411" s="1193"/>
      <c r="V411" s="1193"/>
      <c r="W411" s="1193"/>
      <c r="X411" s="1193"/>
      <c r="Y411" s="1193"/>
      <c r="Z411" s="1193"/>
      <c r="AA411" s="1193"/>
      <c r="AB411" s="1193"/>
      <c r="AC411" s="1193"/>
    </row>
    <row r="412" spans="1:29" x14ac:dyDescent="0.3">
      <c r="A412" s="681"/>
      <c r="B412" s="1193"/>
      <c r="C412" s="1193"/>
      <c r="D412" s="1193"/>
      <c r="E412" s="1193"/>
      <c r="F412" s="1193"/>
      <c r="G412" s="1193"/>
      <c r="H412" s="1193"/>
      <c r="I412" s="1193"/>
      <c r="J412" s="1193"/>
      <c r="K412" s="1193"/>
      <c r="L412" s="1193"/>
      <c r="M412" s="1193"/>
      <c r="N412" s="1193"/>
      <c r="O412" s="1193"/>
      <c r="P412" s="1193"/>
      <c r="Q412" s="1193"/>
      <c r="R412" s="1193"/>
      <c r="S412" s="1193"/>
      <c r="T412" s="1193"/>
      <c r="U412" s="1193"/>
      <c r="V412" s="1193"/>
      <c r="W412" s="1193"/>
      <c r="X412" s="1193"/>
      <c r="Y412" s="1193"/>
      <c r="Z412" s="1193"/>
      <c r="AA412" s="1193"/>
      <c r="AB412" s="1193"/>
      <c r="AC412" s="1193"/>
    </row>
    <row r="413" spans="1:29" x14ac:dyDescent="0.3">
      <c r="A413" s="681"/>
      <c r="B413" s="1193"/>
      <c r="C413" s="1193"/>
      <c r="D413" s="1193"/>
      <c r="E413" s="1193"/>
      <c r="F413" s="1193"/>
      <c r="G413" s="1193"/>
      <c r="H413" s="1193"/>
      <c r="I413" s="1193"/>
      <c r="J413" s="1193"/>
      <c r="K413" s="1193"/>
      <c r="L413" s="1193"/>
      <c r="M413" s="1193"/>
      <c r="N413" s="1193"/>
      <c r="O413" s="1193"/>
      <c r="P413" s="1193"/>
      <c r="Q413" s="1193"/>
      <c r="R413" s="1193"/>
      <c r="S413" s="1193"/>
      <c r="T413" s="1193"/>
      <c r="U413" s="1193"/>
      <c r="V413" s="1193"/>
      <c r="W413" s="1193"/>
      <c r="X413" s="1193"/>
      <c r="Y413" s="1193"/>
      <c r="Z413" s="1193"/>
      <c r="AA413" s="1193"/>
      <c r="AB413" s="1193"/>
      <c r="AC413" s="1193"/>
    </row>
    <row r="414" spans="1:29" x14ac:dyDescent="0.3">
      <c r="A414" s="681"/>
      <c r="B414" s="1193"/>
      <c r="C414" s="1193"/>
      <c r="D414" s="1193"/>
      <c r="E414" s="1193"/>
      <c r="F414" s="1193"/>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row>
    <row r="415" spans="1:29" x14ac:dyDescent="0.3">
      <c r="A415" s="681"/>
      <c r="B415" s="1193"/>
      <c r="C415" s="1193"/>
      <c r="D415" s="1193"/>
      <c r="E415" s="1193"/>
      <c r="F415" s="1193"/>
      <c r="G415" s="1193"/>
      <c r="H415" s="1193"/>
      <c r="I415" s="1193"/>
      <c r="J415" s="1193"/>
      <c r="K415" s="1193"/>
      <c r="L415" s="1193"/>
      <c r="M415" s="1193"/>
      <c r="N415" s="1193"/>
      <c r="O415" s="1193"/>
      <c r="P415" s="1193"/>
      <c r="Q415" s="1193"/>
      <c r="R415" s="1193"/>
      <c r="S415" s="1193"/>
      <c r="T415" s="1193"/>
      <c r="U415" s="1193"/>
      <c r="V415" s="1193"/>
      <c r="W415" s="1193"/>
      <c r="X415" s="1193"/>
      <c r="Y415" s="1193"/>
      <c r="Z415" s="1193"/>
      <c r="AA415" s="1193"/>
      <c r="AB415" s="1193"/>
      <c r="AC415" s="1193"/>
    </row>
    <row r="416" spans="1:29" x14ac:dyDescent="0.3">
      <c r="A416" s="681"/>
      <c r="B416" s="1193"/>
      <c r="C416" s="1193"/>
      <c r="D416" s="1193"/>
      <c r="E416" s="1193"/>
      <c r="F416" s="1193"/>
      <c r="G416" s="1193"/>
      <c r="H416" s="1193"/>
      <c r="I416" s="1193"/>
      <c r="J416" s="1193"/>
      <c r="K416" s="1193"/>
      <c r="L416" s="1193"/>
      <c r="M416" s="1193"/>
      <c r="N416" s="1193"/>
      <c r="O416" s="1193"/>
      <c r="P416" s="1193"/>
      <c r="Q416" s="1193"/>
      <c r="R416" s="1193"/>
      <c r="S416" s="1193"/>
      <c r="T416" s="1193"/>
      <c r="U416" s="1193"/>
      <c r="V416" s="1193"/>
      <c r="W416" s="1193"/>
      <c r="X416" s="1193"/>
      <c r="Y416" s="1193"/>
      <c r="Z416" s="1193"/>
      <c r="AA416" s="1193"/>
      <c r="AB416" s="1193"/>
      <c r="AC416" s="1193"/>
    </row>
    <row r="417" spans="1:29" x14ac:dyDescent="0.3">
      <c r="A417" s="681"/>
      <c r="B417" s="1193"/>
      <c r="C417" s="1193"/>
      <c r="D417" s="1193"/>
      <c r="E417" s="1193"/>
      <c r="F417" s="1193"/>
      <c r="G417" s="1193"/>
      <c r="H417" s="1193"/>
      <c r="I417" s="1193"/>
      <c r="J417" s="1193"/>
      <c r="K417" s="1193"/>
      <c r="L417" s="1193"/>
      <c r="M417" s="1193"/>
      <c r="N417" s="1193"/>
      <c r="O417" s="1193"/>
      <c r="P417" s="1193"/>
      <c r="Q417" s="1193"/>
      <c r="R417" s="1193"/>
      <c r="S417" s="1193"/>
      <c r="T417" s="1193"/>
      <c r="U417" s="1193"/>
      <c r="V417" s="1193"/>
      <c r="W417" s="1193"/>
      <c r="X417" s="1193"/>
      <c r="Y417" s="1193"/>
      <c r="Z417" s="1193"/>
      <c r="AA417" s="1193"/>
      <c r="AB417" s="1193"/>
      <c r="AC417" s="1193"/>
    </row>
    <row r="418" spans="1:29" x14ac:dyDescent="0.3">
      <c r="A418" s="681"/>
      <c r="B418" s="1193"/>
      <c r="C418" s="1193"/>
      <c r="D418" s="1193"/>
      <c r="E418" s="1193"/>
      <c r="F418" s="1193"/>
      <c r="G418" s="1193"/>
      <c r="H418" s="1193"/>
      <c r="I418" s="1193"/>
      <c r="J418" s="1193"/>
      <c r="K418" s="1193"/>
      <c r="L418" s="1193"/>
      <c r="M418" s="1193"/>
      <c r="N418" s="1193"/>
      <c r="O418" s="1193"/>
      <c r="P418" s="1193"/>
      <c r="Q418" s="1193"/>
      <c r="R418" s="1193"/>
      <c r="S418" s="1193"/>
      <c r="T418" s="1193"/>
      <c r="U418" s="1193"/>
      <c r="V418" s="1193"/>
      <c r="W418" s="1193"/>
      <c r="X418" s="1193"/>
      <c r="Y418" s="1193"/>
      <c r="Z418" s="1193"/>
      <c r="AA418" s="1193"/>
      <c r="AB418" s="1193"/>
      <c r="AC418" s="1193"/>
    </row>
    <row r="419" spans="1:29" x14ac:dyDescent="0.3">
      <c r="A419" s="681"/>
      <c r="B419" s="1193"/>
      <c r="C419" s="1193"/>
      <c r="D419" s="1193"/>
      <c r="E419" s="1193"/>
      <c r="F419" s="1193"/>
      <c r="G419" s="1193"/>
      <c r="H419" s="1193"/>
      <c r="I419" s="1193"/>
      <c r="J419" s="1193"/>
      <c r="K419" s="1193"/>
      <c r="L419" s="1193"/>
      <c r="M419" s="1193"/>
      <c r="N419" s="1193"/>
      <c r="O419" s="1193"/>
      <c r="P419" s="1193"/>
      <c r="Q419" s="1193"/>
      <c r="R419" s="1193"/>
      <c r="S419" s="1193"/>
      <c r="T419" s="1193"/>
      <c r="U419" s="1193"/>
      <c r="V419" s="1193"/>
      <c r="W419" s="1193"/>
      <c r="X419" s="1193"/>
      <c r="Y419" s="1193"/>
      <c r="Z419" s="1193"/>
      <c r="AA419" s="1193"/>
      <c r="AB419" s="1193"/>
      <c r="AC419" s="1193"/>
    </row>
    <row r="420" spans="1:29" x14ac:dyDescent="0.3">
      <c r="A420" s="681"/>
      <c r="B420" s="1193"/>
      <c r="C420" s="1193"/>
      <c r="D420" s="1193"/>
      <c r="E420" s="1193"/>
      <c r="F420" s="1193"/>
      <c r="G420" s="1193"/>
      <c r="H420" s="1193"/>
      <c r="I420" s="1193"/>
      <c r="J420" s="1193"/>
      <c r="K420" s="1193"/>
      <c r="L420" s="1193"/>
      <c r="M420" s="1193"/>
      <c r="N420" s="1193"/>
      <c r="O420" s="1193"/>
      <c r="P420" s="1193"/>
      <c r="Q420" s="1193"/>
      <c r="R420" s="1193"/>
      <c r="S420" s="1193"/>
      <c r="T420" s="1193"/>
      <c r="U420" s="1193"/>
      <c r="V420" s="1193"/>
      <c r="W420" s="1193"/>
      <c r="X420" s="1193"/>
      <c r="Y420" s="1193"/>
      <c r="Z420" s="1193"/>
      <c r="AA420" s="1193"/>
      <c r="AB420" s="1193"/>
      <c r="AC420" s="1193"/>
    </row>
    <row r="421" spans="1:29" x14ac:dyDescent="0.3">
      <c r="A421" s="681"/>
      <c r="B421" s="1193"/>
      <c r="C421" s="1193"/>
      <c r="D421" s="1193"/>
      <c r="E421" s="1193"/>
      <c r="F421" s="1193"/>
      <c r="G421" s="1193"/>
      <c r="H421" s="1193"/>
      <c r="I421" s="1193"/>
      <c r="J421" s="1193"/>
      <c r="K421" s="1193"/>
      <c r="L421" s="1193"/>
      <c r="M421" s="1193"/>
      <c r="N421" s="1193"/>
      <c r="O421" s="1193"/>
      <c r="P421" s="1193"/>
      <c r="Q421" s="1193"/>
      <c r="R421" s="1193"/>
      <c r="S421" s="1193"/>
      <c r="T421" s="1193"/>
      <c r="U421" s="1193"/>
      <c r="V421" s="1193"/>
      <c r="W421" s="1193"/>
      <c r="X421" s="1193"/>
      <c r="Y421" s="1193"/>
      <c r="Z421" s="1193"/>
      <c r="AA421" s="1193"/>
      <c r="AB421" s="1193"/>
      <c r="AC421" s="1193"/>
    </row>
    <row r="422" spans="1:29" x14ac:dyDescent="0.3">
      <c r="A422" s="681"/>
      <c r="B422" s="1193"/>
      <c r="C422" s="1193"/>
      <c r="D422" s="1193"/>
      <c r="E422" s="1193"/>
      <c r="F422" s="1193"/>
      <c r="G422" s="1193"/>
      <c r="H422" s="1193"/>
      <c r="I422" s="1193"/>
      <c r="J422" s="1193"/>
      <c r="K422" s="1193"/>
      <c r="L422" s="1193"/>
      <c r="M422" s="1193"/>
      <c r="N422" s="1193"/>
      <c r="O422" s="1193"/>
      <c r="P422" s="1193"/>
      <c r="Q422" s="1193"/>
      <c r="R422" s="1193"/>
      <c r="S422" s="1193"/>
      <c r="T422" s="1193"/>
      <c r="U422" s="1193"/>
      <c r="V422" s="1193"/>
      <c r="W422" s="1193"/>
      <c r="X422" s="1193"/>
      <c r="Y422" s="1193"/>
      <c r="Z422" s="1193"/>
      <c r="AA422" s="1193"/>
      <c r="AB422" s="1193"/>
      <c r="AC422" s="1193"/>
    </row>
    <row r="423" spans="1:29" x14ac:dyDescent="0.3">
      <c r="A423" s="681"/>
      <c r="B423" s="1193"/>
      <c r="C423" s="1193"/>
      <c r="D423" s="1193"/>
      <c r="E423" s="1193"/>
      <c r="F423" s="1193"/>
      <c r="G423" s="1193"/>
      <c r="H423" s="1193"/>
      <c r="I423" s="1193"/>
      <c r="J423" s="1193"/>
      <c r="K423" s="1193"/>
      <c r="L423" s="1193"/>
      <c r="M423" s="1193"/>
      <c r="N423" s="1193"/>
      <c r="O423" s="1193"/>
      <c r="P423" s="1193"/>
      <c r="Q423" s="1193"/>
      <c r="R423" s="1193"/>
      <c r="S423" s="1193"/>
      <c r="T423" s="1193"/>
      <c r="U423" s="1193"/>
      <c r="V423" s="1193"/>
      <c r="W423" s="1193"/>
      <c r="X423" s="1193"/>
      <c r="Y423" s="1193"/>
      <c r="Z423" s="1193"/>
      <c r="AA423" s="1193"/>
      <c r="AB423" s="1193"/>
      <c r="AC423" s="1193"/>
    </row>
    <row r="424" spans="1:29" x14ac:dyDescent="0.3">
      <c r="A424" s="681"/>
      <c r="B424" s="1193"/>
      <c r="C424" s="1193"/>
      <c r="D424" s="1193"/>
      <c r="E424" s="1193"/>
      <c r="F424" s="1193"/>
      <c r="G424" s="1193"/>
      <c r="H424" s="1193"/>
      <c r="I424" s="1193"/>
      <c r="J424" s="1193"/>
      <c r="K424" s="1193"/>
      <c r="L424" s="1193"/>
      <c r="M424" s="1193"/>
      <c r="N424" s="1193"/>
      <c r="O424" s="1193"/>
      <c r="P424" s="1193"/>
      <c r="Q424" s="1193"/>
      <c r="R424" s="1193"/>
      <c r="S424" s="1193"/>
      <c r="T424" s="1193"/>
      <c r="U424" s="1193"/>
      <c r="V424" s="1193"/>
      <c r="W424" s="1193"/>
      <c r="X424" s="1193"/>
      <c r="Y424" s="1193"/>
      <c r="Z424" s="1193"/>
      <c r="AA424" s="1193"/>
      <c r="AB424" s="1193"/>
      <c r="AC424" s="1193"/>
    </row>
    <row r="425" spans="1:29" x14ac:dyDescent="0.3">
      <c r="A425" s="681"/>
      <c r="B425" s="1193"/>
      <c r="C425" s="1193"/>
      <c r="D425" s="1193"/>
      <c r="E425" s="1193"/>
      <c r="F425" s="1193"/>
      <c r="G425" s="1193"/>
      <c r="H425" s="1193"/>
      <c r="I425" s="1193"/>
      <c r="J425" s="1193"/>
      <c r="K425" s="1193"/>
      <c r="L425" s="1193"/>
      <c r="M425" s="1193"/>
      <c r="N425" s="1193"/>
      <c r="O425" s="1193"/>
      <c r="P425" s="1193"/>
      <c r="Q425" s="1193"/>
      <c r="R425" s="1193"/>
      <c r="S425" s="1193"/>
      <c r="T425" s="1193"/>
      <c r="U425" s="1193"/>
      <c r="V425" s="1193"/>
      <c r="W425" s="1193"/>
      <c r="X425" s="1193"/>
      <c r="Y425" s="1193"/>
      <c r="Z425" s="1193"/>
      <c r="AA425" s="1193"/>
      <c r="AB425" s="1193"/>
      <c r="AC425" s="1193"/>
    </row>
    <row r="426" spans="1:29" x14ac:dyDescent="0.3">
      <c r="A426" s="681"/>
      <c r="B426" s="1193"/>
      <c r="C426" s="1193"/>
      <c r="D426" s="1193"/>
      <c r="E426" s="1193"/>
      <c r="F426" s="1193"/>
      <c r="G426" s="1193"/>
      <c r="H426" s="1193"/>
      <c r="I426" s="1193"/>
      <c r="J426" s="1193"/>
      <c r="K426" s="1193"/>
      <c r="L426" s="1193"/>
      <c r="M426" s="1193"/>
      <c r="N426" s="1193"/>
      <c r="O426" s="1193"/>
      <c r="P426" s="1193"/>
      <c r="Q426" s="1193"/>
      <c r="R426" s="1193"/>
      <c r="S426" s="1193"/>
      <c r="T426" s="1193"/>
      <c r="U426" s="1193"/>
      <c r="V426" s="1193"/>
      <c r="W426" s="1193"/>
      <c r="X426" s="1193"/>
      <c r="Y426" s="1193"/>
      <c r="Z426" s="1193"/>
      <c r="AA426" s="1193"/>
      <c r="AB426" s="1193"/>
      <c r="AC426" s="1193"/>
    </row>
    <row r="427" spans="1:29" x14ac:dyDescent="0.3">
      <c r="A427" s="681"/>
      <c r="B427" s="1193"/>
      <c r="C427" s="1193"/>
      <c r="D427" s="1193"/>
      <c r="E427" s="1193"/>
      <c r="F427" s="1193"/>
      <c r="G427" s="1193"/>
      <c r="H427" s="1193"/>
      <c r="I427" s="1193"/>
      <c r="J427" s="1193"/>
      <c r="K427" s="1193"/>
      <c r="L427" s="1193"/>
      <c r="M427" s="1193"/>
      <c r="N427" s="1193"/>
      <c r="O427" s="1193"/>
      <c r="P427" s="1193"/>
      <c r="Q427" s="1193"/>
      <c r="R427" s="1193"/>
      <c r="S427" s="1193"/>
      <c r="T427" s="1193"/>
      <c r="U427" s="1193"/>
      <c r="V427" s="1193"/>
      <c r="W427" s="1193"/>
      <c r="X427" s="1193"/>
      <c r="Y427" s="1193"/>
      <c r="Z427" s="1193"/>
      <c r="AA427" s="1193"/>
      <c r="AB427" s="1193"/>
      <c r="AC427" s="1193"/>
    </row>
    <row r="428" spans="1:29" x14ac:dyDescent="0.3">
      <c r="A428" s="681"/>
      <c r="B428" s="1193"/>
      <c r="C428" s="1193"/>
      <c r="D428" s="1193"/>
      <c r="E428" s="1193"/>
      <c r="F428" s="1193"/>
      <c r="G428" s="1193"/>
      <c r="H428" s="1193"/>
      <c r="I428" s="1193"/>
      <c r="J428" s="1193"/>
      <c r="K428" s="1193"/>
      <c r="L428" s="1193"/>
      <c r="M428" s="1193"/>
      <c r="N428" s="1193"/>
      <c r="O428" s="1193"/>
      <c r="P428" s="1193"/>
      <c r="Q428" s="1193"/>
      <c r="R428" s="1193"/>
      <c r="S428" s="1193"/>
      <c r="T428" s="1193"/>
      <c r="U428" s="1193"/>
      <c r="V428" s="1193"/>
      <c r="W428" s="1193"/>
      <c r="X428" s="1193"/>
      <c r="Y428" s="1193"/>
      <c r="Z428" s="1193"/>
      <c r="AA428" s="1193"/>
      <c r="AB428" s="1193"/>
      <c r="AC428" s="1193"/>
    </row>
    <row r="429" spans="1:29" x14ac:dyDescent="0.3">
      <c r="A429" s="681"/>
      <c r="B429" s="1193"/>
      <c r="C429" s="1193"/>
      <c r="D429" s="1193"/>
      <c r="E429" s="1193"/>
      <c r="F429" s="1193"/>
      <c r="G429" s="1193"/>
      <c r="H429" s="1193"/>
      <c r="I429" s="1193"/>
      <c r="J429" s="1193"/>
      <c r="K429" s="1193"/>
      <c r="L429" s="1193"/>
      <c r="M429" s="1193"/>
      <c r="N429" s="1193"/>
      <c r="O429" s="1193"/>
      <c r="P429" s="1193"/>
      <c r="Q429" s="1193"/>
      <c r="R429" s="1193"/>
      <c r="S429" s="1193"/>
      <c r="T429" s="1193"/>
      <c r="U429" s="1193"/>
      <c r="V429" s="1193"/>
      <c r="W429" s="1193"/>
      <c r="X429" s="1193"/>
      <c r="Y429" s="1193"/>
      <c r="Z429" s="1193"/>
      <c r="AA429" s="1193"/>
      <c r="AB429" s="1193"/>
      <c r="AC429" s="1193"/>
    </row>
    <row r="430" spans="1:29" x14ac:dyDescent="0.3">
      <c r="A430" s="681"/>
      <c r="B430" s="1193"/>
      <c r="C430" s="1193"/>
      <c r="D430" s="1193"/>
      <c r="E430" s="1193"/>
      <c r="F430" s="1193"/>
      <c r="G430" s="1193"/>
      <c r="H430" s="1193"/>
      <c r="I430" s="1193"/>
      <c r="J430" s="1193"/>
      <c r="K430" s="1193"/>
      <c r="L430" s="1193"/>
      <c r="M430" s="1193"/>
      <c r="N430" s="1193"/>
      <c r="O430" s="1193"/>
      <c r="P430" s="1193"/>
      <c r="Q430" s="1193"/>
      <c r="R430" s="1193"/>
      <c r="S430" s="1193"/>
      <c r="T430" s="1193"/>
      <c r="U430" s="1193"/>
      <c r="V430" s="1193"/>
      <c r="W430" s="1193"/>
      <c r="X430" s="1193"/>
      <c r="Y430" s="1193"/>
      <c r="Z430" s="1193"/>
      <c r="AA430" s="1193"/>
      <c r="AB430" s="1193"/>
      <c r="AC430" s="1193"/>
    </row>
    <row r="431" spans="1:29" x14ac:dyDescent="0.3">
      <c r="A431" s="681"/>
      <c r="B431" s="1193"/>
      <c r="C431" s="1193"/>
      <c r="D431" s="1193"/>
      <c r="E431" s="1193"/>
      <c r="F431" s="1193"/>
      <c r="G431" s="1193"/>
      <c r="H431" s="1193"/>
      <c r="I431" s="1193"/>
      <c r="J431" s="1193"/>
      <c r="K431" s="1193"/>
      <c r="L431" s="1193"/>
      <c r="M431" s="1193"/>
      <c r="N431" s="1193"/>
      <c r="O431" s="1193"/>
      <c r="P431" s="1193"/>
      <c r="Q431" s="1193"/>
      <c r="R431" s="1193"/>
      <c r="S431" s="1193"/>
      <c r="T431" s="1193"/>
      <c r="U431" s="1193"/>
      <c r="V431" s="1193"/>
      <c r="W431" s="1193"/>
      <c r="X431" s="1193"/>
      <c r="Y431" s="1193"/>
      <c r="Z431" s="1193"/>
      <c r="AA431" s="1193"/>
      <c r="AB431" s="1193"/>
      <c r="AC431" s="1193"/>
    </row>
    <row r="432" spans="1:29" x14ac:dyDescent="0.3">
      <c r="A432" s="681"/>
      <c r="B432" s="1193"/>
      <c r="C432" s="1193"/>
      <c r="D432" s="1193"/>
      <c r="E432" s="1193"/>
      <c r="F432" s="1193"/>
      <c r="G432" s="1193"/>
      <c r="H432" s="1193"/>
      <c r="I432" s="1193"/>
      <c r="J432" s="1193"/>
      <c r="K432" s="1193"/>
      <c r="L432" s="1193"/>
      <c r="M432" s="1193"/>
      <c r="N432" s="1193"/>
      <c r="O432" s="1193"/>
      <c r="P432" s="1193"/>
      <c r="Q432" s="1193"/>
      <c r="R432" s="1193"/>
      <c r="S432" s="1193"/>
      <c r="T432" s="1193"/>
      <c r="U432" s="1193"/>
      <c r="V432" s="1193"/>
      <c r="W432" s="1193"/>
      <c r="X432" s="1193"/>
      <c r="Y432" s="1193"/>
      <c r="Z432" s="1193"/>
      <c r="AA432" s="1193"/>
      <c r="AB432" s="1193"/>
      <c r="AC432" s="1193"/>
    </row>
    <row r="433" spans="1:29" x14ac:dyDescent="0.3">
      <c r="A433" s="681"/>
      <c r="B433" s="1193"/>
      <c r="C433" s="1193"/>
      <c r="D433" s="1193"/>
      <c r="E433" s="1193"/>
      <c r="F433" s="1193"/>
      <c r="G433" s="1193"/>
      <c r="H433" s="1193"/>
      <c r="I433" s="1193"/>
      <c r="J433" s="1193"/>
      <c r="K433" s="1193"/>
      <c r="L433" s="1193"/>
      <c r="M433" s="1193"/>
      <c r="N433" s="1193"/>
      <c r="O433" s="1193"/>
      <c r="P433" s="1193"/>
      <c r="Q433" s="1193"/>
      <c r="R433" s="1193"/>
      <c r="S433" s="1193"/>
      <c r="T433" s="1193"/>
      <c r="U433" s="1193"/>
      <c r="V433" s="1193"/>
      <c r="W433" s="1193"/>
      <c r="X433" s="1193"/>
      <c r="Y433" s="1193"/>
      <c r="Z433" s="1193"/>
      <c r="AA433" s="1193"/>
      <c r="AB433" s="1193"/>
      <c r="AC433" s="1193"/>
    </row>
    <row r="434" spans="1:29" x14ac:dyDescent="0.3">
      <c r="A434" s="681"/>
      <c r="B434" s="1193"/>
      <c r="C434" s="1193"/>
      <c r="D434" s="1193"/>
      <c r="E434" s="1193"/>
      <c r="F434" s="1193"/>
      <c r="G434" s="1193"/>
      <c r="H434" s="1193"/>
      <c r="I434" s="1193"/>
      <c r="J434" s="1193"/>
      <c r="K434" s="1193"/>
      <c r="L434" s="1193"/>
      <c r="M434" s="1193"/>
      <c r="N434" s="1193"/>
      <c r="O434" s="1193"/>
      <c r="P434" s="1193"/>
      <c r="Q434" s="1193"/>
      <c r="R434" s="1193"/>
      <c r="S434" s="1193"/>
      <c r="T434" s="1193"/>
      <c r="U434" s="1193"/>
      <c r="V434" s="1193"/>
      <c r="W434" s="1193"/>
      <c r="X434" s="1193"/>
      <c r="Y434" s="1193"/>
      <c r="Z434" s="1193"/>
      <c r="AA434" s="1193"/>
      <c r="AB434" s="1193"/>
      <c r="AC434" s="1193"/>
    </row>
    <row r="435" spans="1:29" x14ac:dyDescent="0.3">
      <c r="A435" s="681"/>
      <c r="B435" s="1193"/>
      <c r="C435" s="1193"/>
      <c r="D435" s="1193"/>
      <c r="E435" s="1193"/>
      <c r="F435" s="1193"/>
      <c r="G435" s="1193"/>
      <c r="H435" s="1193"/>
      <c r="I435" s="1193"/>
      <c r="J435" s="1193"/>
      <c r="K435" s="1193"/>
      <c r="L435" s="1193"/>
      <c r="M435" s="1193"/>
      <c r="N435" s="1193"/>
      <c r="O435" s="1193"/>
      <c r="P435" s="1193"/>
      <c r="Q435" s="1193"/>
      <c r="R435" s="1193"/>
      <c r="S435" s="1193"/>
      <c r="T435" s="1193"/>
      <c r="U435" s="1193"/>
      <c r="V435" s="1193"/>
      <c r="W435" s="1193"/>
      <c r="X435" s="1193"/>
      <c r="Y435" s="1193"/>
      <c r="Z435" s="1193"/>
      <c r="AA435" s="1193"/>
      <c r="AB435" s="1193"/>
      <c r="AC435" s="1193"/>
    </row>
    <row r="436" spans="1:29" x14ac:dyDescent="0.3">
      <c r="A436" s="681"/>
      <c r="B436" s="1193"/>
      <c r="C436" s="1193"/>
      <c r="D436" s="1193"/>
      <c r="E436" s="1193"/>
      <c r="F436" s="1193"/>
      <c r="G436" s="1193"/>
      <c r="H436" s="1193"/>
      <c r="I436" s="1193"/>
      <c r="J436" s="1193"/>
      <c r="K436" s="1193"/>
      <c r="L436" s="1193"/>
      <c r="M436" s="1193"/>
      <c r="N436" s="1193"/>
      <c r="O436" s="1193"/>
      <c r="P436" s="1193"/>
      <c r="Q436" s="1193"/>
      <c r="R436" s="1193"/>
      <c r="S436" s="1193"/>
      <c r="T436" s="1193"/>
      <c r="U436" s="1193"/>
      <c r="V436" s="1193"/>
      <c r="W436" s="1193"/>
      <c r="X436" s="1193"/>
      <c r="Y436" s="1193"/>
      <c r="Z436" s="1193"/>
      <c r="AA436" s="1193"/>
      <c r="AB436" s="1193"/>
      <c r="AC436" s="1193"/>
    </row>
    <row r="437" spans="1:29" x14ac:dyDescent="0.3">
      <c r="A437" s="681"/>
      <c r="B437" s="1193"/>
      <c r="C437" s="1193"/>
      <c r="D437" s="1193"/>
      <c r="E437" s="1193"/>
      <c r="F437" s="1193"/>
      <c r="G437" s="1193"/>
      <c r="H437" s="1193"/>
      <c r="I437" s="1193"/>
      <c r="J437" s="1193"/>
      <c r="K437" s="1193"/>
      <c r="L437" s="1193"/>
      <c r="M437" s="1193"/>
      <c r="N437" s="1193"/>
      <c r="O437" s="1193"/>
      <c r="P437" s="1193"/>
      <c r="Q437" s="1193"/>
      <c r="R437" s="1193"/>
      <c r="S437" s="1193"/>
      <c r="T437" s="1193"/>
      <c r="U437" s="1193"/>
      <c r="V437" s="1193"/>
      <c r="W437" s="1193"/>
      <c r="X437" s="1193"/>
      <c r="Y437" s="1193"/>
      <c r="Z437" s="1193"/>
      <c r="AA437" s="1193"/>
      <c r="AB437" s="1193"/>
      <c r="AC437" s="1193"/>
    </row>
    <row r="438" spans="1:29" x14ac:dyDescent="0.3">
      <c r="A438" s="681"/>
      <c r="B438" s="1193"/>
      <c r="C438" s="1193"/>
      <c r="D438" s="1193"/>
      <c r="E438" s="1193"/>
      <c r="F438" s="1193"/>
      <c r="G438" s="1193"/>
      <c r="H438" s="1193"/>
      <c r="I438" s="1193"/>
      <c r="J438" s="1193"/>
      <c r="K438" s="1193"/>
      <c r="L438" s="1193"/>
      <c r="M438" s="1193"/>
      <c r="N438" s="1193"/>
      <c r="O438" s="1193"/>
      <c r="P438" s="1193"/>
      <c r="Q438" s="1193"/>
      <c r="R438" s="1193"/>
      <c r="S438" s="1193"/>
      <c r="T438" s="1193"/>
      <c r="U438" s="1193"/>
      <c r="V438" s="1193"/>
      <c r="W438" s="1193"/>
      <c r="X438" s="1193"/>
      <c r="Y438" s="1193"/>
      <c r="Z438" s="1193"/>
      <c r="AA438" s="1193"/>
      <c r="AB438" s="1193"/>
      <c r="AC438" s="1193"/>
    </row>
    <row r="439" spans="1:29" x14ac:dyDescent="0.3">
      <c r="A439" s="681"/>
      <c r="B439" s="1193"/>
      <c r="C439" s="1193"/>
      <c r="D439" s="1193"/>
      <c r="E439" s="1193"/>
      <c r="F439" s="1193"/>
      <c r="G439" s="1193"/>
      <c r="H439" s="1193"/>
      <c r="I439" s="1193"/>
      <c r="J439" s="1193"/>
      <c r="K439" s="1193"/>
      <c r="L439" s="1193"/>
      <c r="M439" s="1193"/>
      <c r="N439" s="1193"/>
      <c r="O439" s="1193"/>
      <c r="P439" s="1193"/>
      <c r="Q439" s="1193"/>
      <c r="R439" s="1193"/>
      <c r="S439" s="1193"/>
      <c r="T439" s="1193"/>
      <c r="U439" s="1193"/>
      <c r="V439" s="1193"/>
      <c r="W439" s="1193"/>
      <c r="X439" s="1193"/>
      <c r="Y439" s="1193"/>
      <c r="Z439" s="1193"/>
      <c r="AA439" s="1193"/>
      <c r="AB439" s="1193"/>
      <c r="AC439" s="1193"/>
    </row>
    <row r="440" spans="1:29" x14ac:dyDescent="0.3">
      <c r="A440" s="681"/>
      <c r="B440" s="1193"/>
      <c r="C440" s="1193"/>
      <c r="D440" s="1193"/>
      <c r="E440" s="1193"/>
      <c r="F440" s="1193"/>
      <c r="G440" s="1193"/>
      <c r="H440" s="1193"/>
      <c r="I440" s="1193"/>
      <c r="J440" s="1193"/>
      <c r="K440" s="1193"/>
      <c r="L440" s="1193"/>
      <c r="M440" s="1193"/>
      <c r="N440" s="1193"/>
      <c r="O440" s="1193"/>
      <c r="P440" s="1193"/>
      <c r="Q440" s="1193"/>
      <c r="R440" s="1193"/>
      <c r="S440" s="1193"/>
      <c r="T440" s="1193"/>
      <c r="U440" s="1193"/>
      <c r="V440" s="1193"/>
      <c r="W440" s="1193"/>
      <c r="X440" s="1193"/>
      <c r="Y440" s="1193"/>
      <c r="Z440" s="1193"/>
      <c r="AA440" s="1193"/>
      <c r="AB440" s="1193"/>
      <c r="AC440" s="1193"/>
    </row>
    <row r="441" spans="1:29" x14ac:dyDescent="0.3">
      <c r="A441" s="681"/>
      <c r="B441" s="1193"/>
      <c r="C441" s="1193"/>
      <c r="D441" s="1193"/>
      <c r="E441" s="1193"/>
      <c r="F441" s="1193"/>
      <c r="G441" s="1193"/>
      <c r="H441" s="1193"/>
      <c r="I441" s="1193"/>
      <c r="J441" s="1193"/>
      <c r="K441" s="1193"/>
      <c r="L441" s="1193"/>
      <c r="M441" s="1193"/>
      <c r="N441" s="1193"/>
      <c r="O441" s="1193"/>
      <c r="P441" s="1193"/>
      <c r="Q441" s="1193"/>
      <c r="R441" s="1193"/>
      <c r="S441" s="1193"/>
      <c r="T441" s="1193"/>
      <c r="U441" s="1193"/>
      <c r="V441" s="1193"/>
      <c r="W441" s="1193"/>
      <c r="X441" s="1193"/>
      <c r="Y441" s="1193"/>
      <c r="Z441" s="1193"/>
      <c r="AA441" s="1193"/>
      <c r="AB441" s="1193"/>
      <c r="AC441" s="1193"/>
    </row>
    <row r="442" spans="1:29" x14ac:dyDescent="0.3">
      <c r="A442" s="681"/>
      <c r="B442" s="1193"/>
      <c r="C442" s="1193"/>
      <c r="D442" s="1193"/>
      <c r="E442" s="1193"/>
      <c r="F442" s="1193"/>
      <c r="G442" s="1193"/>
      <c r="H442" s="1193"/>
      <c r="I442" s="1193"/>
      <c r="J442" s="1193"/>
      <c r="K442" s="1193"/>
      <c r="L442" s="1193"/>
      <c r="M442" s="1193"/>
      <c r="N442" s="1193"/>
      <c r="O442" s="1193"/>
      <c r="P442" s="1193"/>
      <c r="Q442" s="1193"/>
      <c r="R442" s="1193"/>
      <c r="S442" s="1193"/>
      <c r="T442" s="1193"/>
      <c r="U442" s="1193"/>
      <c r="V442" s="1193"/>
      <c r="W442" s="1193"/>
      <c r="X442" s="1193"/>
      <c r="Y442" s="1193"/>
      <c r="Z442" s="1193"/>
      <c r="AA442" s="1193"/>
      <c r="AB442" s="1193"/>
      <c r="AC442" s="1193"/>
    </row>
    <row r="443" spans="1:29" x14ac:dyDescent="0.3">
      <c r="A443" s="681"/>
      <c r="B443" s="1193"/>
      <c r="C443" s="1193"/>
      <c r="D443" s="1193"/>
      <c r="E443" s="1193"/>
      <c r="F443" s="1193"/>
      <c r="G443" s="1193"/>
      <c r="H443" s="1193"/>
      <c r="I443" s="1193"/>
      <c r="J443" s="1193"/>
      <c r="K443" s="1193"/>
      <c r="L443" s="1193"/>
      <c r="M443" s="1193"/>
      <c r="N443" s="1193"/>
      <c r="O443" s="1193"/>
      <c r="P443" s="1193"/>
      <c r="Q443" s="1193"/>
      <c r="R443" s="1193"/>
      <c r="S443" s="1193"/>
      <c r="T443" s="1193"/>
      <c r="U443" s="1193"/>
      <c r="V443" s="1193"/>
      <c r="W443" s="1193"/>
      <c r="X443" s="1193"/>
      <c r="Y443" s="1193"/>
      <c r="Z443" s="1193"/>
      <c r="AA443" s="1193"/>
      <c r="AB443" s="1193"/>
      <c r="AC443" s="1193"/>
    </row>
    <row r="444" spans="1:29" x14ac:dyDescent="0.3">
      <c r="A444" s="681"/>
      <c r="B444" s="1193"/>
      <c r="C444" s="1193"/>
      <c r="D444" s="1193"/>
      <c r="E444" s="1193"/>
      <c r="F444" s="1193"/>
      <c r="G444" s="1193"/>
      <c r="H444" s="1193"/>
      <c r="I444" s="1193"/>
      <c r="J444" s="1193"/>
      <c r="K444" s="1193"/>
      <c r="L444" s="1193"/>
      <c r="M444" s="1193"/>
      <c r="N444" s="1193"/>
      <c r="O444" s="1193"/>
      <c r="P444" s="1193"/>
      <c r="Q444" s="1193"/>
      <c r="R444" s="1193"/>
      <c r="S444" s="1193"/>
      <c r="T444" s="1193"/>
      <c r="U444" s="1193"/>
      <c r="V444" s="1193"/>
      <c r="W444" s="1193"/>
      <c r="X444" s="1193"/>
      <c r="Y444" s="1193"/>
      <c r="Z444" s="1193"/>
      <c r="AA444" s="1193"/>
      <c r="AB444" s="1193"/>
      <c r="AC444" s="1193"/>
    </row>
    <row r="445" spans="1:29" x14ac:dyDescent="0.3">
      <c r="A445" s="681"/>
      <c r="B445" s="1193"/>
      <c r="C445" s="1193"/>
      <c r="D445" s="1193"/>
      <c r="E445" s="1193"/>
      <c r="F445" s="1193"/>
      <c r="G445" s="1193"/>
      <c r="H445" s="1193"/>
      <c r="I445" s="1193"/>
      <c r="J445" s="1193"/>
      <c r="K445" s="1193"/>
      <c r="L445" s="1193"/>
      <c r="M445" s="1193"/>
      <c r="N445" s="1193"/>
      <c r="O445" s="1193"/>
      <c r="P445" s="1193"/>
      <c r="Q445" s="1193"/>
      <c r="R445" s="1193"/>
      <c r="S445" s="1193"/>
      <c r="T445" s="1193"/>
      <c r="U445" s="1193"/>
      <c r="V445" s="1193"/>
      <c r="W445" s="1193"/>
      <c r="X445" s="1193"/>
      <c r="Y445" s="1193"/>
      <c r="Z445" s="1193"/>
      <c r="AA445" s="1193"/>
      <c r="AB445" s="1193"/>
      <c r="AC445" s="1193"/>
    </row>
    <row r="446" spans="1:29" x14ac:dyDescent="0.3">
      <c r="A446" s="681"/>
      <c r="B446" s="1193"/>
      <c r="C446" s="1193"/>
      <c r="D446" s="1193"/>
      <c r="E446" s="1193"/>
      <c r="F446" s="1193"/>
      <c r="G446" s="1193"/>
      <c r="H446" s="1193"/>
      <c r="I446" s="1193"/>
      <c r="J446" s="1193"/>
      <c r="K446" s="1193"/>
      <c r="L446" s="1193"/>
      <c r="M446" s="1193"/>
      <c r="N446" s="1193"/>
      <c r="O446" s="1193"/>
      <c r="P446" s="1193"/>
      <c r="Q446" s="1193"/>
      <c r="R446" s="1193"/>
      <c r="S446" s="1193"/>
      <c r="T446" s="1193"/>
      <c r="U446" s="1193"/>
      <c r="V446" s="1193"/>
      <c r="W446" s="1193"/>
      <c r="X446" s="1193"/>
      <c r="Y446" s="1193"/>
      <c r="Z446" s="1193"/>
      <c r="AA446" s="1193"/>
      <c r="AB446" s="1193"/>
      <c r="AC446" s="1193"/>
    </row>
    <row r="447" spans="1:29" x14ac:dyDescent="0.3">
      <c r="A447" s="681"/>
      <c r="B447" s="1193"/>
      <c r="C447" s="1193"/>
      <c r="D447" s="1193"/>
      <c r="E447" s="1193"/>
      <c r="F447" s="1193"/>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row>
    <row r="448" spans="1:29" x14ac:dyDescent="0.3">
      <c r="A448" s="681"/>
      <c r="B448" s="1193"/>
      <c r="C448" s="1193"/>
      <c r="D448" s="1193"/>
      <c r="E448" s="1193"/>
      <c r="F448" s="1193"/>
      <c r="G448" s="1193"/>
      <c r="H448" s="1193"/>
      <c r="I448" s="1193"/>
      <c r="J448" s="1193"/>
      <c r="K448" s="1193"/>
      <c r="L448" s="1193"/>
      <c r="M448" s="1193"/>
      <c r="N448" s="1193"/>
      <c r="O448" s="1193"/>
      <c r="P448" s="1193"/>
      <c r="Q448" s="1193"/>
      <c r="R448" s="1193"/>
      <c r="S448" s="1193"/>
      <c r="T448" s="1193"/>
      <c r="U448" s="1193"/>
      <c r="V448" s="1193"/>
      <c r="W448" s="1193"/>
      <c r="X448" s="1193"/>
      <c r="Y448" s="1193"/>
      <c r="Z448" s="1193"/>
      <c r="AA448" s="1193"/>
      <c r="AB448" s="1193"/>
      <c r="AC448" s="1193"/>
    </row>
    <row r="449" spans="1:29" x14ac:dyDescent="0.3">
      <c r="A449" s="681"/>
      <c r="B449" s="1193"/>
      <c r="C449" s="1193"/>
      <c r="D449" s="1193"/>
      <c r="E449" s="1193"/>
      <c r="F449" s="1193"/>
      <c r="G449" s="1193"/>
      <c r="H449" s="1193"/>
      <c r="I449" s="1193"/>
      <c r="J449" s="1193"/>
      <c r="K449" s="1193"/>
      <c r="L449" s="1193"/>
      <c r="M449" s="1193"/>
      <c r="N449" s="1193"/>
      <c r="O449" s="1193"/>
      <c r="P449" s="1193"/>
      <c r="Q449" s="1193"/>
      <c r="R449" s="1193"/>
      <c r="S449" s="1193"/>
      <c r="T449" s="1193"/>
      <c r="U449" s="1193"/>
      <c r="V449" s="1193"/>
      <c r="W449" s="1193"/>
      <c r="X449" s="1193"/>
      <c r="Y449" s="1193"/>
      <c r="Z449" s="1193"/>
      <c r="AA449" s="1193"/>
      <c r="AB449" s="1193"/>
      <c r="AC449" s="1193"/>
    </row>
    <row r="450" spans="1:29" x14ac:dyDescent="0.3">
      <c r="A450" s="681"/>
      <c r="B450" s="1193"/>
      <c r="C450" s="1193"/>
      <c r="D450" s="1193"/>
      <c r="E450" s="1193"/>
      <c r="F450" s="1193"/>
      <c r="G450" s="1193"/>
      <c r="H450" s="1193"/>
      <c r="I450" s="1193"/>
      <c r="J450" s="1193"/>
      <c r="K450" s="1193"/>
      <c r="L450" s="1193"/>
      <c r="M450" s="1193"/>
      <c r="N450" s="1193"/>
      <c r="O450" s="1193"/>
      <c r="P450" s="1193"/>
      <c r="Q450" s="1193"/>
      <c r="R450" s="1193"/>
      <c r="S450" s="1193"/>
      <c r="T450" s="1193"/>
      <c r="U450" s="1193"/>
      <c r="V450" s="1193"/>
      <c r="W450" s="1193"/>
      <c r="X450" s="1193"/>
      <c r="Y450" s="1193"/>
      <c r="Z450" s="1193"/>
      <c r="AA450" s="1193"/>
      <c r="AB450" s="1193"/>
      <c r="AC450" s="1193"/>
    </row>
    <row r="451" spans="1:29" x14ac:dyDescent="0.3">
      <c r="A451" s="681"/>
      <c r="B451" s="1193"/>
      <c r="C451" s="1193"/>
      <c r="D451" s="1193"/>
      <c r="E451" s="1193"/>
      <c r="F451" s="1193"/>
      <c r="G451" s="1193"/>
      <c r="H451" s="1193"/>
      <c r="I451" s="1193"/>
      <c r="J451" s="1193"/>
      <c r="K451" s="1193"/>
      <c r="L451" s="1193"/>
      <c r="M451" s="1193"/>
      <c r="N451" s="1193"/>
      <c r="O451" s="1193"/>
      <c r="P451" s="1193"/>
      <c r="Q451" s="1193"/>
      <c r="R451" s="1193"/>
      <c r="S451" s="1193"/>
      <c r="T451" s="1193"/>
      <c r="U451" s="1193"/>
      <c r="V451" s="1193"/>
      <c r="W451" s="1193"/>
      <c r="X451" s="1193"/>
      <c r="Y451" s="1193"/>
      <c r="Z451" s="1193"/>
      <c r="AA451" s="1193"/>
      <c r="AB451" s="1193"/>
      <c r="AC451" s="1193"/>
    </row>
    <row r="452" spans="1:29" x14ac:dyDescent="0.3">
      <c r="A452" s="681"/>
      <c r="B452" s="1193"/>
      <c r="C452" s="1193"/>
      <c r="D452" s="1193"/>
      <c r="E452" s="1193"/>
      <c r="F452" s="1193"/>
      <c r="G452" s="1193"/>
      <c r="H452" s="1193"/>
      <c r="I452" s="1193"/>
      <c r="J452" s="1193"/>
      <c r="K452" s="1193"/>
      <c r="L452" s="1193"/>
      <c r="M452" s="1193"/>
      <c r="N452" s="1193"/>
      <c r="O452" s="1193"/>
      <c r="P452" s="1193"/>
      <c r="Q452" s="1193"/>
      <c r="R452" s="1193"/>
      <c r="S452" s="1193"/>
      <c r="T452" s="1193"/>
      <c r="U452" s="1193"/>
      <c r="V452" s="1193"/>
      <c r="W452" s="1193"/>
      <c r="X452" s="1193"/>
      <c r="Y452" s="1193"/>
      <c r="Z452" s="1193"/>
      <c r="AA452" s="1193"/>
      <c r="AB452" s="1193"/>
      <c r="AC452" s="1193"/>
    </row>
    <row r="453" spans="1:29" x14ac:dyDescent="0.3">
      <c r="A453" s="681"/>
      <c r="B453" s="1193"/>
      <c r="C453" s="1193"/>
      <c r="D453" s="1193"/>
      <c r="E453" s="1193"/>
      <c r="F453" s="1193"/>
      <c r="G453" s="1193"/>
      <c r="H453" s="1193"/>
      <c r="I453" s="1193"/>
      <c r="J453" s="1193"/>
      <c r="K453" s="1193"/>
      <c r="L453" s="1193"/>
      <c r="M453" s="1193"/>
      <c r="N453" s="1193"/>
      <c r="O453" s="1193"/>
      <c r="P453" s="1193"/>
      <c r="Q453" s="1193"/>
      <c r="R453" s="1193"/>
      <c r="S453" s="1193"/>
      <c r="T453" s="1193"/>
      <c r="U453" s="1193"/>
      <c r="V453" s="1193"/>
      <c r="W453" s="1193"/>
      <c r="X453" s="1193"/>
      <c r="Y453" s="1193"/>
      <c r="Z453" s="1193"/>
      <c r="AA453" s="1193"/>
      <c r="AB453" s="1193"/>
      <c r="AC453" s="1193"/>
    </row>
    <row r="454" spans="1:29" x14ac:dyDescent="0.3">
      <c r="A454" s="681"/>
      <c r="B454" s="1193"/>
      <c r="C454" s="1193"/>
      <c r="D454" s="1193"/>
      <c r="E454" s="1193"/>
      <c r="F454" s="1193"/>
      <c r="G454" s="1193"/>
      <c r="H454" s="1193"/>
      <c r="I454" s="1193"/>
      <c r="J454" s="1193"/>
      <c r="K454" s="1193"/>
      <c r="L454" s="1193"/>
      <c r="M454" s="1193"/>
      <c r="N454" s="1193"/>
      <c r="O454" s="1193"/>
      <c r="P454" s="1193"/>
      <c r="Q454" s="1193"/>
      <c r="R454" s="1193"/>
      <c r="S454" s="1193"/>
      <c r="T454" s="1193"/>
      <c r="U454" s="1193"/>
      <c r="V454" s="1193"/>
      <c r="W454" s="1193"/>
      <c r="X454" s="1193"/>
      <c r="Y454" s="1193"/>
      <c r="Z454" s="1193"/>
      <c r="AA454" s="1193"/>
      <c r="AB454" s="1193"/>
      <c r="AC454" s="1193"/>
    </row>
    <row r="455" spans="1:29" x14ac:dyDescent="0.3">
      <c r="A455" s="681"/>
      <c r="B455" s="1193"/>
      <c r="C455" s="1193"/>
      <c r="D455" s="1193"/>
      <c r="E455" s="1193"/>
      <c r="F455" s="1193"/>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row>
    <row r="456" spans="1:29" x14ac:dyDescent="0.3">
      <c r="A456" s="681"/>
      <c r="B456" s="1193"/>
      <c r="C456" s="1193"/>
      <c r="D456" s="1193"/>
      <c r="E456" s="1193"/>
      <c r="F456" s="1193"/>
      <c r="G456" s="1193"/>
      <c r="H456" s="1193"/>
      <c r="I456" s="1193"/>
      <c r="J456" s="1193"/>
      <c r="K456" s="1193"/>
      <c r="L456" s="1193"/>
      <c r="M456" s="1193"/>
      <c r="N456" s="1193"/>
      <c r="O456" s="1193"/>
      <c r="P456" s="1193"/>
      <c r="Q456" s="1193"/>
      <c r="R456" s="1193"/>
      <c r="S456" s="1193"/>
      <c r="T456" s="1193"/>
      <c r="U456" s="1193"/>
      <c r="V456" s="1193"/>
      <c r="W456" s="1193"/>
      <c r="X456" s="1193"/>
      <c r="Y456" s="1193"/>
      <c r="Z456" s="1193"/>
      <c r="AA456" s="1193"/>
      <c r="AB456" s="1193"/>
      <c r="AC456" s="1193"/>
    </row>
    <row r="457" spans="1:29" x14ac:dyDescent="0.3">
      <c r="A457" s="681"/>
      <c r="B457" s="1193"/>
      <c r="C457" s="1193"/>
      <c r="D457" s="1193"/>
      <c r="E457" s="1193"/>
      <c r="F457" s="1193"/>
      <c r="G457" s="1193"/>
      <c r="H457" s="1193"/>
      <c r="I457" s="1193"/>
      <c r="J457" s="1193"/>
      <c r="K457" s="1193"/>
      <c r="L457" s="1193"/>
      <c r="M457" s="1193"/>
      <c r="N457" s="1193"/>
      <c r="O457" s="1193"/>
      <c r="P457" s="1193"/>
      <c r="Q457" s="1193"/>
      <c r="R457" s="1193"/>
      <c r="S457" s="1193"/>
      <c r="T457" s="1193"/>
      <c r="U457" s="1193"/>
      <c r="V457" s="1193"/>
      <c r="W457" s="1193"/>
      <c r="X457" s="1193"/>
      <c r="Y457" s="1193"/>
      <c r="Z457" s="1193"/>
      <c r="AA457" s="1193"/>
      <c r="AB457" s="1193"/>
      <c r="AC457" s="1193"/>
    </row>
    <row r="458" spans="1:29" x14ac:dyDescent="0.3">
      <c r="A458" s="681"/>
      <c r="B458" s="1193"/>
      <c r="C458" s="1193"/>
      <c r="D458" s="1193"/>
      <c r="E458" s="1193"/>
      <c r="F458" s="1193"/>
      <c r="G458" s="1193"/>
      <c r="H458" s="1193"/>
      <c r="I458" s="1193"/>
      <c r="J458" s="1193"/>
      <c r="K458" s="1193"/>
      <c r="L458" s="1193"/>
      <c r="M458" s="1193"/>
      <c r="N458" s="1193"/>
      <c r="O458" s="1193"/>
      <c r="P458" s="1193"/>
      <c r="Q458" s="1193"/>
      <c r="R458" s="1193"/>
      <c r="S458" s="1193"/>
      <c r="T458" s="1193"/>
      <c r="U458" s="1193"/>
      <c r="V458" s="1193"/>
      <c r="W458" s="1193"/>
      <c r="X458" s="1193"/>
      <c r="Y458" s="1193"/>
      <c r="Z458" s="1193"/>
      <c r="AA458" s="1193"/>
      <c r="AB458" s="1193"/>
      <c r="AC458" s="1193"/>
    </row>
    <row r="459" spans="1:29" x14ac:dyDescent="0.3">
      <c r="A459" s="681"/>
      <c r="B459" s="1193"/>
      <c r="C459" s="1193"/>
      <c r="D459" s="1193"/>
      <c r="E459" s="1193"/>
      <c r="F459" s="1193"/>
      <c r="G459" s="1193"/>
      <c r="H459" s="1193"/>
      <c r="I459" s="1193"/>
      <c r="J459" s="1193"/>
      <c r="K459" s="1193"/>
      <c r="L459" s="1193"/>
      <c r="M459" s="1193"/>
      <c r="N459" s="1193"/>
      <c r="O459" s="1193"/>
      <c r="P459" s="1193"/>
      <c r="Q459" s="1193"/>
      <c r="R459" s="1193"/>
      <c r="S459" s="1193"/>
      <c r="T459" s="1193"/>
      <c r="U459" s="1193"/>
      <c r="V459" s="1193"/>
      <c r="W459" s="1193"/>
      <c r="X459" s="1193"/>
      <c r="Y459" s="1193"/>
      <c r="Z459" s="1193"/>
      <c r="AA459" s="1193"/>
      <c r="AB459" s="1193"/>
      <c r="AC459" s="1193"/>
    </row>
    <row r="460" spans="1:29" x14ac:dyDescent="0.3">
      <c r="A460" s="681"/>
      <c r="B460" s="1193"/>
      <c r="C460" s="1193"/>
      <c r="D460" s="1193"/>
      <c r="E460" s="1193"/>
      <c r="F460" s="1193"/>
      <c r="G460" s="1193"/>
      <c r="H460" s="1193"/>
      <c r="I460" s="1193"/>
      <c r="J460" s="1193"/>
      <c r="K460" s="1193"/>
      <c r="L460" s="1193"/>
      <c r="M460" s="1193"/>
      <c r="N460" s="1193"/>
      <c r="O460" s="1193"/>
      <c r="P460" s="1193"/>
      <c r="Q460" s="1193"/>
      <c r="R460" s="1193"/>
      <c r="S460" s="1193"/>
      <c r="T460" s="1193"/>
      <c r="U460" s="1193"/>
      <c r="V460" s="1193"/>
      <c r="W460" s="1193"/>
      <c r="X460" s="1193"/>
      <c r="Y460" s="1193"/>
      <c r="Z460" s="1193"/>
      <c r="AA460" s="1193"/>
      <c r="AB460" s="1193"/>
      <c r="AC460" s="1193"/>
    </row>
    <row r="461" spans="1:29" x14ac:dyDescent="0.3">
      <c r="A461" s="681"/>
      <c r="B461" s="1193"/>
      <c r="C461" s="1193"/>
      <c r="D461" s="1193"/>
      <c r="E461" s="1193"/>
      <c r="F461" s="1193"/>
      <c r="G461" s="1193"/>
      <c r="H461" s="1193"/>
      <c r="I461" s="1193"/>
      <c r="J461" s="1193"/>
      <c r="K461" s="1193"/>
      <c r="L461" s="1193"/>
      <c r="M461" s="1193"/>
      <c r="N461" s="1193"/>
      <c r="O461" s="1193"/>
      <c r="P461" s="1193"/>
      <c r="Q461" s="1193"/>
      <c r="R461" s="1193"/>
      <c r="S461" s="1193"/>
      <c r="T461" s="1193"/>
      <c r="U461" s="1193"/>
      <c r="V461" s="1193"/>
      <c r="W461" s="1193"/>
      <c r="X461" s="1193"/>
      <c r="Y461" s="1193"/>
      <c r="Z461" s="1193"/>
      <c r="AA461" s="1193"/>
      <c r="AB461" s="1193"/>
      <c r="AC461" s="1193"/>
    </row>
    <row r="462" spans="1:29" x14ac:dyDescent="0.3">
      <c r="A462" s="681"/>
      <c r="B462" s="1193"/>
      <c r="C462" s="1193"/>
      <c r="D462" s="1193"/>
      <c r="E462" s="1193"/>
      <c r="F462" s="1193"/>
      <c r="G462" s="1193"/>
      <c r="H462" s="1193"/>
      <c r="I462" s="1193"/>
      <c r="J462" s="1193"/>
      <c r="K462" s="1193"/>
      <c r="L462" s="1193"/>
      <c r="M462" s="1193"/>
      <c r="N462" s="1193"/>
      <c r="O462" s="1193"/>
      <c r="P462" s="1193"/>
      <c r="Q462" s="1193"/>
      <c r="R462" s="1193"/>
      <c r="S462" s="1193"/>
      <c r="T462" s="1193"/>
      <c r="U462" s="1193"/>
      <c r="V462" s="1193"/>
      <c r="W462" s="1193"/>
      <c r="X462" s="1193"/>
      <c r="Y462" s="1193"/>
      <c r="Z462" s="1193"/>
      <c r="AA462" s="1193"/>
      <c r="AB462" s="1193"/>
      <c r="AC462" s="1193"/>
    </row>
    <row r="463" spans="1:29" x14ac:dyDescent="0.3">
      <c r="A463" s="681"/>
      <c r="B463" s="1193"/>
      <c r="C463" s="1193"/>
      <c r="D463" s="1193"/>
      <c r="E463" s="1193"/>
      <c r="F463" s="1193"/>
      <c r="G463" s="1193"/>
      <c r="H463" s="1193"/>
      <c r="I463" s="1193"/>
      <c r="J463" s="1193"/>
      <c r="K463" s="1193"/>
      <c r="L463" s="1193"/>
      <c r="M463" s="1193"/>
      <c r="N463" s="1193"/>
      <c r="O463" s="1193"/>
      <c r="P463" s="1193"/>
      <c r="Q463" s="1193"/>
      <c r="R463" s="1193"/>
      <c r="S463" s="1193"/>
      <c r="T463" s="1193"/>
      <c r="U463" s="1193"/>
      <c r="V463" s="1193"/>
      <c r="W463" s="1193"/>
      <c r="X463" s="1193"/>
      <c r="Y463" s="1193"/>
      <c r="Z463" s="1193"/>
      <c r="AA463" s="1193"/>
      <c r="AB463" s="1193"/>
      <c r="AC463" s="1193"/>
    </row>
    <row r="464" spans="1:29" x14ac:dyDescent="0.3">
      <c r="A464" s="681"/>
      <c r="B464" s="1193"/>
      <c r="C464" s="1193"/>
      <c r="D464" s="1193"/>
      <c r="E464" s="1193"/>
      <c r="F464" s="1193"/>
      <c r="G464" s="1193"/>
      <c r="H464" s="1193"/>
      <c r="I464" s="1193"/>
      <c r="J464" s="1193"/>
      <c r="K464" s="1193"/>
      <c r="L464" s="1193"/>
      <c r="M464" s="1193"/>
      <c r="N464" s="1193"/>
      <c r="O464" s="1193"/>
      <c r="P464" s="1193"/>
      <c r="Q464" s="1193"/>
      <c r="R464" s="1193"/>
      <c r="S464" s="1193"/>
      <c r="T464" s="1193"/>
      <c r="U464" s="1193"/>
      <c r="V464" s="1193"/>
      <c r="W464" s="1193"/>
      <c r="X464" s="1193"/>
      <c r="Y464" s="1193"/>
      <c r="Z464" s="1193"/>
      <c r="AA464" s="1193"/>
      <c r="AB464" s="1193"/>
      <c r="AC464" s="1193"/>
    </row>
    <row r="465" spans="1:29" x14ac:dyDescent="0.3">
      <c r="A465" s="681"/>
      <c r="B465" s="1193"/>
      <c r="C465" s="1193"/>
      <c r="D465" s="1193"/>
      <c r="E465" s="1193"/>
      <c r="F465" s="1193"/>
      <c r="G465" s="1193"/>
      <c r="H465" s="1193"/>
      <c r="I465" s="1193"/>
      <c r="J465" s="1193"/>
      <c r="K465" s="1193"/>
      <c r="L465" s="1193"/>
      <c r="M465" s="1193"/>
      <c r="N465" s="1193"/>
      <c r="O465" s="1193"/>
      <c r="P465" s="1193"/>
      <c r="Q465" s="1193"/>
      <c r="R465" s="1193"/>
      <c r="S465" s="1193"/>
      <c r="T465" s="1193"/>
      <c r="U465" s="1193"/>
      <c r="V465" s="1193"/>
      <c r="W465" s="1193"/>
      <c r="X465" s="1193"/>
      <c r="Y465" s="1193"/>
      <c r="Z465" s="1193"/>
      <c r="AA465" s="1193"/>
      <c r="AB465" s="1193"/>
      <c r="AC465" s="1193"/>
    </row>
    <row r="466" spans="1:29" x14ac:dyDescent="0.3">
      <c r="A466" s="681"/>
      <c r="B466" s="1193"/>
      <c r="C466" s="1193"/>
      <c r="D466" s="1193"/>
      <c r="E466" s="1193"/>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1193"/>
    </row>
    <row r="467" spans="1:29" x14ac:dyDescent="0.3">
      <c r="A467" s="681"/>
      <c r="B467" s="1193"/>
      <c r="C467" s="1193"/>
      <c r="D467" s="1193"/>
      <c r="E467" s="1193"/>
      <c r="F467" s="1193"/>
      <c r="G467" s="1193"/>
      <c r="H467" s="1193"/>
      <c r="I467" s="1193"/>
      <c r="J467" s="1193"/>
      <c r="K467" s="1193"/>
      <c r="L467" s="1193"/>
      <c r="M467" s="1193"/>
      <c r="N467" s="1193"/>
      <c r="O467" s="1193"/>
      <c r="P467" s="1193"/>
      <c r="Q467" s="1193"/>
      <c r="R467" s="1193"/>
      <c r="S467" s="1193"/>
      <c r="T467" s="1193"/>
      <c r="U467" s="1193"/>
      <c r="V467" s="1193"/>
      <c r="W467" s="1193"/>
      <c r="X467" s="1193"/>
      <c r="Y467" s="1193"/>
      <c r="Z467" s="1193"/>
      <c r="AA467" s="1193"/>
      <c r="AB467" s="1193"/>
      <c r="AC467" s="1193"/>
    </row>
    <row r="468" spans="1:29" x14ac:dyDescent="0.3">
      <c r="A468" s="681"/>
      <c r="B468" s="1193"/>
      <c r="C468" s="1193"/>
      <c r="D468" s="1193"/>
      <c r="E468" s="1193"/>
      <c r="F468" s="1193"/>
      <c r="G468" s="1193"/>
      <c r="H468" s="1193"/>
      <c r="I468" s="1193"/>
      <c r="J468" s="1193"/>
      <c r="K468" s="1193"/>
      <c r="L468" s="1193"/>
      <c r="M468" s="1193"/>
      <c r="N468" s="1193"/>
      <c r="O468" s="1193"/>
      <c r="P468" s="1193"/>
      <c r="Q468" s="1193"/>
      <c r="R468" s="1193"/>
      <c r="S468" s="1193"/>
      <c r="T468" s="1193"/>
      <c r="U468" s="1193"/>
      <c r="V468" s="1193"/>
      <c r="W468" s="1193"/>
      <c r="X468" s="1193"/>
      <c r="Y468" s="1193"/>
      <c r="Z468" s="1193"/>
      <c r="AA468" s="1193"/>
      <c r="AB468" s="1193"/>
      <c r="AC468" s="1193"/>
    </row>
    <row r="469" spans="1:29" x14ac:dyDescent="0.3">
      <c r="A469" s="681"/>
      <c r="B469" s="1193"/>
      <c r="C469" s="1193"/>
      <c r="D469" s="1193"/>
      <c r="E469" s="1193"/>
      <c r="F469" s="1193"/>
      <c r="G469" s="1193"/>
      <c r="H469" s="1193"/>
      <c r="I469" s="1193"/>
      <c r="J469" s="1193"/>
      <c r="K469" s="1193"/>
      <c r="L469" s="1193"/>
      <c r="M469" s="1193"/>
      <c r="N469" s="1193"/>
      <c r="O469" s="1193"/>
      <c r="P469" s="1193"/>
      <c r="Q469" s="1193"/>
      <c r="R469" s="1193"/>
      <c r="S469" s="1193"/>
      <c r="T469" s="1193"/>
      <c r="U469" s="1193"/>
      <c r="V469" s="1193"/>
      <c r="W469" s="1193"/>
      <c r="X469" s="1193"/>
      <c r="Y469" s="1193"/>
      <c r="Z469" s="1193"/>
      <c r="AA469" s="1193"/>
      <c r="AB469" s="1193"/>
      <c r="AC469" s="1193"/>
    </row>
    <row r="470" spans="1:29" x14ac:dyDescent="0.3">
      <c r="A470" s="681"/>
      <c r="B470" s="1193"/>
      <c r="C470" s="1193"/>
      <c r="D470" s="1193"/>
      <c r="E470" s="1193"/>
      <c r="F470" s="1193"/>
      <c r="G470" s="1193"/>
      <c r="H470" s="1193"/>
      <c r="I470" s="1193"/>
      <c r="J470" s="1193"/>
      <c r="K470" s="1193"/>
      <c r="L470" s="1193"/>
      <c r="M470" s="1193"/>
      <c r="N470" s="1193"/>
      <c r="O470" s="1193"/>
      <c r="P470" s="1193"/>
      <c r="Q470" s="1193"/>
      <c r="R470" s="1193"/>
      <c r="S470" s="1193"/>
      <c r="T470" s="1193"/>
      <c r="U470" s="1193"/>
      <c r="V470" s="1193"/>
      <c r="W470" s="1193"/>
      <c r="X470" s="1193"/>
      <c r="Y470" s="1193"/>
      <c r="Z470" s="1193"/>
      <c r="AA470" s="1193"/>
      <c r="AB470" s="1193"/>
      <c r="AC470" s="1193"/>
    </row>
    <row r="471" spans="1:29" x14ac:dyDescent="0.3">
      <c r="A471" s="681"/>
      <c r="B471" s="1193"/>
      <c r="C471" s="1193"/>
      <c r="D471" s="1193"/>
      <c r="E471" s="1193"/>
      <c r="F471" s="1193"/>
      <c r="G471" s="1193"/>
      <c r="H471" s="1193"/>
      <c r="I471" s="1193"/>
      <c r="J471" s="1193"/>
      <c r="K471" s="1193"/>
      <c r="L471" s="1193"/>
      <c r="M471" s="1193"/>
      <c r="N471" s="1193"/>
      <c r="O471" s="1193"/>
      <c r="P471" s="1193"/>
      <c r="Q471" s="1193"/>
      <c r="R471" s="1193"/>
      <c r="S471" s="1193"/>
      <c r="T471" s="1193"/>
      <c r="U471" s="1193"/>
      <c r="V471" s="1193"/>
      <c r="W471" s="1193"/>
      <c r="X471" s="1193"/>
      <c r="Y471" s="1193"/>
      <c r="Z471" s="1193"/>
      <c r="AA471" s="1193"/>
      <c r="AB471" s="1193"/>
      <c r="AC471" s="1193"/>
    </row>
    <row r="472" spans="1:29" x14ac:dyDescent="0.3">
      <c r="A472" s="681"/>
      <c r="B472" s="1193"/>
      <c r="C472" s="1193"/>
      <c r="D472" s="1193"/>
      <c r="E472" s="1193"/>
      <c r="F472" s="1193"/>
      <c r="G472" s="1193"/>
      <c r="H472" s="1193"/>
      <c r="I472" s="1193"/>
      <c r="J472" s="1193"/>
      <c r="K472" s="1193"/>
      <c r="L472" s="1193"/>
      <c r="M472" s="1193"/>
      <c r="N472" s="1193"/>
      <c r="O472" s="1193"/>
      <c r="P472" s="1193"/>
      <c r="Q472" s="1193"/>
      <c r="R472" s="1193"/>
      <c r="S472" s="1193"/>
      <c r="T472" s="1193"/>
      <c r="U472" s="1193"/>
      <c r="V472" s="1193"/>
      <c r="W472" s="1193"/>
      <c r="X472" s="1193"/>
      <c r="Y472" s="1193"/>
      <c r="Z472" s="1193"/>
      <c r="AA472" s="1193"/>
      <c r="AB472" s="1193"/>
      <c r="AC472" s="1193"/>
    </row>
    <row r="473" spans="1:29" x14ac:dyDescent="0.3">
      <c r="A473" s="681"/>
      <c r="B473" s="1193"/>
      <c r="C473" s="1193"/>
      <c r="D473" s="1193"/>
      <c r="E473" s="1193"/>
      <c r="F473" s="1193"/>
      <c r="G473" s="1193"/>
      <c r="H473" s="1193"/>
      <c r="I473" s="1193"/>
      <c r="J473" s="1193"/>
      <c r="K473" s="1193"/>
      <c r="L473" s="1193"/>
      <c r="M473" s="1193"/>
      <c r="N473" s="1193"/>
      <c r="O473" s="1193"/>
      <c r="P473" s="1193"/>
      <c r="Q473" s="1193"/>
      <c r="R473" s="1193"/>
      <c r="S473" s="1193"/>
      <c r="T473" s="1193"/>
      <c r="U473" s="1193"/>
      <c r="V473" s="1193"/>
      <c r="W473" s="1193"/>
      <c r="X473" s="1193"/>
      <c r="Y473" s="1193"/>
      <c r="Z473" s="1193"/>
      <c r="AA473" s="1193"/>
      <c r="AB473" s="1193"/>
      <c r="AC473" s="1193"/>
    </row>
    <row r="474" spans="1:29" x14ac:dyDescent="0.3">
      <c r="A474" s="681"/>
      <c r="B474" s="1193"/>
      <c r="C474" s="1193"/>
      <c r="D474" s="1193"/>
      <c r="E474" s="1193"/>
      <c r="F474" s="1193"/>
      <c r="G474" s="1193"/>
      <c r="H474" s="1193"/>
      <c r="I474" s="1193"/>
      <c r="J474" s="1193"/>
      <c r="K474" s="1193"/>
      <c r="L474" s="1193"/>
      <c r="M474" s="1193"/>
      <c r="N474" s="1193"/>
      <c r="O474" s="1193"/>
      <c r="P474" s="1193"/>
      <c r="Q474" s="1193"/>
      <c r="R474" s="1193"/>
      <c r="S474" s="1193"/>
      <c r="T474" s="1193"/>
      <c r="U474" s="1193"/>
      <c r="V474" s="1193"/>
      <c r="W474" s="1193"/>
      <c r="X474" s="1193"/>
      <c r="Y474" s="1193"/>
      <c r="Z474" s="1193"/>
      <c r="AA474" s="1193"/>
      <c r="AB474" s="1193"/>
      <c r="AC474" s="1193"/>
    </row>
    <row r="475" spans="1:29" x14ac:dyDescent="0.3">
      <c r="A475" s="681"/>
      <c r="B475" s="1193"/>
      <c r="C475" s="1193"/>
      <c r="D475" s="1193"/>
      <c r="E475" s="1193"/>
      <c r="F475" s="1193"/>
      <c r="G475" s="1193"/>
      <c r="H475" s="1193"/>
      <c r="I475" s="1193"/>
      <c r="J475" s="1193"/>
      <c r="K475" s="1193"/>
      <c r="L475" s="1193"/>
      <c r="M475" s="1193"/>
      <c r="N475" s="1193"/>
      <c r="O475" s="1193"/>
      <c r="P475" s="1193"/>
      <c r="Q475" s="1193"/>
      <c r="R475" s="1193"/>
      <c r="S475" s="1193"/>
      <c r="T475" s="1193"/>
      <c r="U475" s="1193"/>
      <c r="V475" s="1193"/>
      <c r="W475" s="1193"/>
      <c r="X475" s="1193"/>
      <c r="Y475" s="1193"/>
      <c r="Z475" s="1193"/>
      <c r="AA475" s="1193"/>
      <c r="AB475" s="1193"/>
      <c r="AC475" s="1193"/>
    </row>
    <row r="476" spans="1:29" x14ac:dyDescent="0.3">
      <c r="A476" s="681"/>
      <c r="B476" s="1193"/>
      <c r="C476" s="1193"/>
      <c r="D476" s="1193"/>
      <c r="E476" s="1193"/>
      <c r="F476" s="1193"/>
      <c r="G476" s="1193"/>
      <c r="H476" s="1193"/>
      <c r="I476" s="1193"/>
      <c r="J476" s="1193"/>
      <c r="K476" s="1193"/>
      <c r="L476" s="1193"/>
      <c r="M476" s="1193"/>
      <c r="N476" s="1193"/>
      <c r="O476" s="1193"/>
      <c r="P476" s="1193"/>
      <c r="Q476" s="1193"/>
      <c r="R476" s="1193"/>
      <c r="S476" s="1193"/>
      <c r="T476" s="1193"/>
      <c r="U476" s="1193"/>
      <c r="V476" s="1193"/>
      <c r="W476" s="1193"/>
      <c r="X476" s="1193"/>
      <c r="Y476" s="1193"/>
      <c r="Z476" s="1193"/>
      <c r="AA476" s="1193"/>
      <c r="AB476" s="1193"/>
      <c r="AC476" s="1193"/>
    </row>
    <row r="477" spans="1:29" x14ac:dyDescent="0.3">
      <c r="A477" s="681"/>
      <c r="B477" s="1193"/>
      <c r="C477" s="1193"/>
      <c r="D477" s="1193"/>
      <c r="E477" s="1193"/>
      <c r="F477" s="1193"/>
      <c r="G477" s="1193"/>
      <c r="H477" s="1193"/>
      <c r="I477" s="1193"/>
      <c r="J477" s="1193"/>
      <c r="K477" s="1193"/>
      <c r="L477" s="1193"/>
      <c r="M477" s="1193"/>
      <c r="N477" s="1193"/>
      <c r="O477" s="1193"/>
      <c r="P477" s="1193"/>
      <c r="Q477" s="1193"/>
      <c r="R477" s="1193"/>
      <c r="S477" s="1193"/>
      <c r="T477" s="1193"/>
      <c r="U477" s="1193"/>
      <c r="V477" s="1193"/>
      <c r="W477" s="1193"/>
      <c r="X477" s="1193"/>
      <c r="Y477" s="1193"/>
      <c r="Z477" s="1193"/>
      <c r="AA477" s="1193"/>
      <c r="AB477" s="1193"/>
      <c r="AC477" s="1193"/>
    </row>
    <row r="478" spans="1:29" x14ac:dyDescent="0.3">
      <c r="A478" s="681"/>
      <c r="B478" s="1193"/>
      <c r="C478" s="1193"/>
      <c r="D478" s="1193"/>
      <c r="E478" s="1193"/>
      <c r="F478" s="1193"/>
      <c r="G478" s="1193"/>
      <c r="H478" s="1193"/>
      <c r="I478" s="1193"/>
      <c r="J478" s="1193"/>
      <c r="K478" s="1193"/>
      <c r="L478" s="1193"/>
      <c r="M478" s="1193"/>
      <c r="N478" s="1193"/>
      <c r="O478" s="1193"/>
      <c r="P478" s="1193"/>
      <c r="Q478" s="1193"/>
      <c r="R478" s="1193"/>
      <c r="S478" s="1193"/>
      <c r="T478" s="1193"/>
      <c r="U478" s="1193"/>
      <c r="V478" s="1193"/>
      <c r="W478" s="1193"/>
      <c r="X478" s="1193"/>
      <c r="Y478" s="1193"/>
      <c r="Z478" s="1193"/>
      <c r="AA478" s="1193"/>
      <c r="AB478" s="1193"/>
      <c r="AC478" s="1193"/>
    </row>
    <row r="479" spans="1:29" x14ac:dyDescent="0.3">
      <c r="A479" s="681"/>
      <c r="B479" s="1193"/>
      <c r="C479" s="1193"/>
      <c r="D479" s="1193"/>
      <c r="E479" s="1193"/>
      <c r="F479" s="1193"/>
      <c r="G479" s="1193"/>
      <c r="H479" s="1193"/>
      <c r="I479" s="1193"/>
      <c r="J479" s="1193"/>
      <c r="K479" s="1193"/>
      <c r="L479" s="1193"/>
      <c r="M479" s="1193"/>
      <c r="N479" s="1193"/>
      <c r="O479" s="1193"/>
      <c r="P479" s="1193"/>
      <c r="Q479" s="1193"/>
      <c r="R479" s="1193"/>
      <c r="S479" s="1193"/>
      <c r="T479" s="1193"/>
      <c r="U479" s="1193"/>
      <c r="V479" s="1193"/>
      <c r="W479" s="1193"/>
      <c r="X479" s="1193"/>
      <c r="Y479" s="1193"/>
      <c r="Z479" s="1193"/>
      <c r="AA479" s="1193"/>
      <c r="AB479" s="1193"/>
      <c r="AC479" s="1193"/>
    </row>
    <row r="480" spans="1:29" x14ac:dyDescent="0.3">
      <c r="A480" s="681"/>
      <c r="B480" s="1193"/>
      <c r="C480" s="1193"/>
      <c r="D480" s="1193"/>
      <c r="E480" s="1193"/>
      <c r="F480" s="1193"/>
      <c r="G480" s="1193"/>
      <c r="H480" s="1193"/>
      <c r="I480" s="1193"/>
      <c r="J480" s="1193"/>
      <c r="K480" s="1193"/>
      <c r="L480" s="1193"/>
      <c r="M480" s="1193"/>
      <c r="N480" s="1193"/>
      <c r="O480" s="1193"/>
      <c r="P480" s="1193"/>
      <c r="Q480" s="1193"/>
      <c r="R480" s="1193"/>
      <c r="S480" s="1193"/>
      <c r="T480" s="1193"/>
      <c r="U480" s="1193"/>
      <c r="V480" s="1193"/>
      <c r="W480" s="1193"/>
      <c r="X480" s="1193"/>
      <c r="Y480" s="1193"/>
      <c r="Z480" s="1193"/>
      <c r="AA480" s="1193"/>
      <c r="AB480" s="1193"/>
      <c r="AC480" s="1193"/>
    </row>
    <row r="481" spans="1:29" x14ac:dyDescent="0.3">
      <c r="A481" s="681"/>
      <c r="B481" s="1193"/>
      <c r="C481" s="1193"/>
      <c r="D481" s="1193"/>
      <c r="E481" s="1193"/>
      <c r="F481" s="1193"/>
      <c r="G481" s="1193"/>
      <c r="H481" s="1193"/>
      <c r="I481" s="1193"/>
      <c r="J481" s="1193"/>
      <c r="K481" s="1193"/>
      <c r="L481" s="1193"/>
      <c r="M481" s="1193"/>
      <c r="N481" s="1193"/>
      <c r="O481" s="1193"/>
      <c r="P481" s="1193"/>
      <c r="Q481" s="1193"/>
      <c r="R481" s="1193"/>
      <c r="S481" s="1193"/>
      <c r="T481" s="1193"/>
      <c r="U481" s="1193"/>
      <c r="V481" s="1193"/>
      <c r="W481" s="1193"/>
      <c r="X481" s="1193"/>
      <c r="Y481" s="1193"/>
      <c r="Z481" s="1193"/>
      <c r="AA481" s="1193"/>
      <c r="AB481" s="1193"/>
      <c r="AC481" s="1193"/>
    </row>
    <row r="482" spans="1:29" x14ac:dyDescent="0.3">
      <c r="A482" s="681"/>
      <c r="B482" s="1193"/>
      <c r="C482" s="1193"/>
      <c r="D482" s="1193"/>
      <c r="E482" s="1193"/>
      <c r="F482" s="1193"/>
      <c r="G482" s="1193"/>
      <c r="H482" s="1193"/>
      <c r="I482" s="1193"/>
      <c r="J482" s="1193"/>
      <c r="K482" s="1193"/>
      <c r="L482" s="1193"/>
      <c r="M482" s="1193"/>
      <c r="N482" s="1193"/>
      <c r="O482" s="1193"/>
      <c r="P482" s="1193"/>
      <c r="Q482" s="1193"/>
      <c r="R482" s="1193"/>
      <c r="S482" s="1193"/>
      <c r="T482" s="1193"/>
      <c r="U482" s="1193"/>
      <c r="V482" s="1193"/>
      <c r="W482" s="1193"/>
      <c r="X482" s="1193"/>
      <c r="Y482" s="1193"/>
      <c r="Z482" s="1193"/>
      <c r="AA482" s="1193"/>
      <c r="AB482" s="1193"/>
      <c r="AC482" s="1193"/>
    </row>
    <row r="483" spans="1:29" x14ac:dyDescent="0.3">
      <c r="A483" s="681"/>
      <c r="B483" s="1193"/>
      <c r="C483" s="1193"/>
      <c r="D483" s="1193"/>
      <c r="E483" s="1193"/>
      <c r="F483" s="1193"/>
      <c r="G483" s="1193"/>
      <c r="H483" s="1193"/>
      <c r="I483" s="1193"/>
      <c r="J483" s="1193"/>
      <c r="K483" s="1193"/>
      <c r="L483" s="1193"/>
      <c r="M483" s="1193"/>
      <c r="N483" s="1193"/>
      <c r="O483" s="1193"/>
      <c r="P483" s="1193"/>
      <c r="Q483" s="1193"/>
      <c r="R483" s="1193"/>
      <c r="S483" s="1193"/>
      <c r="T483" s="1193"/>
      <c r="U483" s="1193"/>
      <c r="V483" s="1193"/>
      <c r="W483" s="1193"/>
      <c r="X483" s="1193"/>
      <c r="Y483" s="1193"/>
      <c r="Z483" s="1193"/>
      <c r="AA483" s="1193"/>
      <c r="AB483" s="1193"/>
      <c r="AC483" s="1193"/>
    </row>
    <row r="484" spans="1:29" x14ac:dyDescent="0.3">
      <c r="A484" s="681"/>
      <c r="B484" s="1193"/>
      <c r="C484" s="1193"/>
      <c r="D484" s="1193"/>
      <c r="E484" s="1193"/>
      <c r="F484" s="1193"/>
      <c r="G484" s="1193"/>
      <c r="H484" s="1193"/>
      <c r="I484" s="1193"/>
      <c r="J484" s="1193"/>
      <c r="K484" s="1193"/>
      <c r="L484" s="1193"/>
      <c r="M484" s="1193"/>
      <c r="N484" s="1193"/>
      <c r="O484" s="1193"/>
      <c r="P484" s="1193"/>
      <c r="Q484" s="1193"/>
      <c r="R484" s="1193"/>
      <c r="S484" s="1193"/>
      <c r="T484" s="1193"/>
      <c r="U484" s="1193"/>
      <c r="V484" s="1193"/>
      <c r="W484" s="1193"/>
      <c r="X484" s="1193"/>
      <c r="Y484" s="1193"/>
      <c r="Z484" s="1193"/>
      <c r="AA484" s="1193"/>
      <c r="AB484" s="1193"/>
      <c r="AC484" s="1193"/>
    </row>
    <row r="485" spans="1:29" x14ac:dyDescent="0.3">
      <c r="A485" s="681"/>
      <c r="B485" s="1193"/>
      <c r="C485" s="1193"/>
      <c r="D485" s="1193"/>
      <c r="E485" s="1193"/>
      <c r="F485" s="1193"/>
      <c r="G485" s="1193"/>
      <c r="H485" s="1193"/>
      <c r="I485" s="1193"/>
      <c r="J485" s="1193"/>
      <c r="K485" s="1193"/>
      <c r="L485" s="1193"/>
      <c r="M485" s="1193"/>
      <c r="N485" s="1193"/>
      <c r="O485" s="1193"/>
      <c r="P485" s="1193"/>
      <c r="Q485" s="1193"/>
      <c r="R485" s="1193"/>
      <c r="S485" s="1193"/>
      <c r="T485" s="1193"/>
      <c r="U485" s="1193"/>
      <c r="V485" s="1193"/>
      <c r="W485" s="1193"/>
      <c r="X485" s="1193"/>
      <c r="Y485" s="1193"/>
      <c r="Z485" s="1193"/>
      <c r="AA485" s="1193"/>
      <c r="AB485" s="1193"/>
      <c r="AC485" s="1193"/>
    </row>
    <row r="486" spans="1:29" x14ac:dyDescent="0.3">
      <c r="A486" s="681"/>
      <c r="B486" s="1193"/>
      <c r="C486" s="1193"/>
      <c r="D486" s="1193"/>
      <c r="E486" s="1193"/>
      <c r="F486" s="1193"/>
      <c r="G486" s="1193"/>
      <c r="H486" s="1193"/>
      <c r="I486" s="1193"/>
      <c r="J486" s="1193"/>
      <c r="K486" s="1193"/>
      <c r="L486" s="1193"/>
      <c r="M486" s="1193"/>
      <c r="N486" s="1193"/>
      <c r="O486" s="1193"/>
      <c r="P486" s="1193"/>
      <c r="Q486" s="1193"/>
      <c r="R486" s="1193"/>
      <c r="S486" s="1193"/>
      <c r="T486" s="1193"/>
      <c r="U486" s="1193"/>
      <c r="V486" s="1193"/>
      <c r="W486" s="1193"/>
      <c r="X486" s="1193"/>
      <c r="Y486" s="1193"/>
      <c r="Z486" s="1193"/>
      <c r="AA486" s="1193"/>
      <c r="AB486" s="1193"/>
      <c r="AC486" s="1193"/>
    </row>
    <row r="487" spans="1:29" x14ac:dyDescent="0.3">
      <c r="A487" s="681"/>
      <c r="B487" s="1193"/>
      <c r="C487" s="1193"/>
      <c r="D487" s="1193"/>
      <c r="E487" s="1193"/>
      <c r="F487" s="1193"/>
      <c r="G487" s="1193"/>
      <c r="H487" s="1193"/>
      <c r="I487" s="1193"/>
      <c r="J487" s="1193"/>
      <c r="K487" s="1193"/>
      <c r="L487" s="1193"/>
      <c r="M487" s="1193"/>
      <c r="N487" s="1193"/>
      <c r="O487" s="1193"/>
      <c r="P487" s="1193"/>
      <c r="Q487" s="1193"/>
      <c r="R487" s="1193"/>
      <c r="S487" s="1193"/>
      <c r="T487" s="1193"/>
      <c r="U487" s="1193"/>
      <c r="V487" s="1193"/>
      <c r="W487" s="1193"/>
      <c r="X487" s="1193"/>
      <c r="Y487" s="1193"/>
      <c r="Z487" s="1193"/>
      <c r="AA487" s="1193"/>
      <c r="AB487" s="1193"/>
      <c r="AC487" s="1193"/>
    </row>
    <row r="488" spans="1:29" x14ac:dyDescent="0.3">
      <c r="A488" s="681"/>
      <c r="B488" s="1193"/>
      <c r="C488" s="1193"/>
      <c r="D488" s="1193"/>
      <c r="E488" s="1193"/>
      <c r="F488" s="1193"/>
      <c r="G488" s="1193"/>
      <c r="H488" s="1193"/>
      <c r="I488" s="1193"/>
      <c r="J488" s="1193"/>
      <c r="K488" s="1193"/>
      <c r="L488" s="1193"/>
      <c r="M488" s="1193"/>
      <c r="N488" s="1193"/>
      <c r="O488" s="1193"/>
      <c r="P488" s="1193"/>
      <c r="Q488" s="1193"/>
      <c r="R488" s="1193"/>
      <c r="S488" s="1193"/>
      <c r="T488" s="1193"/>
      <c r="U488" s="1193"/>
      <c r="V488" s="1193"/>
      <c r="W488" s="1193"/>
      <c r="X488" s="1193"/>
      <c r="Y488" s="1193"/>
      <c r="Z488" s="1193"/>
      <c r="AA488" s="1193"/>
      <c r="AB488" s="1193"/>
      <c r="AC488" s="1193"/>
    </row>
    <row r="489" spans="1:29" x14ac:dyDescent="0.3">
      <c r="A489" s="681"/>
      <c r="B489" s="1193"/>
      <c r="C489" s="1193"/>
      <c r="D489" s="1193"/>
      <c r="E489" s="1193"/>
      <c r="F489" s="1193"/>
      <c r="G489" s="1193"/>
      <c r="H489" s="1193"/>
      <c r="I489" s="1193"/>
      <c r="J489" s="1193"/>
      <c r="K489" s="1193"/>
      <c r="L489" s="1193"/>
      <c r="M489" s="1193"/>
      <c r="N489" s="1193"/>
      <c r="O489" s="1193"/>
      <c r="P489" s="1193"/>
      <c r="Q489" s="1193"/>
      <c r="R489" s="1193"/>
      <c r="S489" s="1193"/>
      <c r="T489" s="1193"/>
      <c r="U489" s="1193"/>
      <c r="V489" s="1193"/>
      <c r="W489" s="1193"/>
      <c r="X489" s="1193"/>
      <c r="Y489" s="1193"/>
      <c r="Z489" s="1193"/>
      <c r="AA489" s="1193"/>
      <c r="AB489" s="1193"/>
      <c r="AC489" s="1193"/>
    </row>
    <row r="490" spans="1:29" x14ac:dyDescent="0.3">
      <c r="A490" s="681"/>
      <c r="B490" s="1193"/>
      <c r="C490" s="1193"/>
      <c r="D490" s="1193"/>
      <c r="E490" s="1193"/>
      <c r="F490" s="1193"/>
      <c r="G490" s="1193"/>
      <c r="H490" s="1193"/>
      <c r="I490" s="1193"/>
      <c r="J490" s="1193"/>
      <c r="K490" s="1193"/>
      <c r="L490" s="1193"/>
      <c r="M490" s="1193"/>
      <c r="N490" s="1193"/>
      <c r="O490" s="1193"/>
      <c r="P490" s="1193"/>
      <c r="Q490" s="1193"/>
      <c r="R490" s="1193"/>
      <c r="S490" s="1193"/>
      <c r="T490" s="1193"/>
      <c r="U490" s="1193"/>
      <c r="V490" s="1193"/>
      <c r="W490" s="1193"/>
      <c r="X490" s="1193"/>
      <c r="Y490" s="1193"/>
      <c r="Z490" s="1193"/>
      <c r="AA490" s="1193"/>
      <c r="AB490" s="1193"/>
      <c r="AC490" s="1193"/>
    </row>
    <row r="491" spans="1:29" x14ac:dyDescent="0.3">
      <c r="A491" s="681"/>
      <c r="B491" s="1193"/>
      <c r="C491" s="1193"/>
      <c r="D491" s="1193"/>
      <c r="E491" s="1193"/>
      <c r="F491" s="1193"/>
      <c r="G491" s="1193"/>
      <c r="H491" s="1193"/>
      <c r="I491" s="1193"/>
      <c r="J491" s="1193"/>
      <c r="K491" s="1193"/>
      <c r="L491" s="1193"/>
      <c r="M491" s="1193"/>
      <c r="N491" s="1193"/>
      <c r="O491" s="1193"/>
      <c r="P491" s="1193"/>
      <c r="Q491" s="1193"/>
      <c r="R491" s="1193"/>
      <c r="S491" s="1193"/>
      <c r="T491" s="1193"/>
      <c r="U491" s="1193"/>
      <c r="V491" s="1193"/>
      <c r="W491" s="1193"/>
      <c r="X491" s="1193"/>
      <c r="Y491" s="1193"/>
      <c r="Z491" s="1193"/>
      <c r="AA491" s="1193"/>
      <c r="AB491" s="1193"/>
      <c r="AC491" s="1193"/>
    </row>
    <row r="492" spans="1:29" x14ac:dyDescent="0.3">
      <c r="A492" s="681"/>
      <c r="B492" s="1193"/>
      <c r="C492" s="1193"/>
      <c r="D492" s="1193"/>
      <c r="E492" s="1193"/>
      <c r="F492" s="1193"/>
      <c r="G492" s="1193"/>
      <c r="H492" s="1193"/>
      <c r="I492" s="1193"/>
      <c r="J492" s="1193"/>
      <c r="K492" s="1193"/>
      <c r="L492" s="1193"/>
      <c r="M492" s="1193"/>
      <c r="N492" s="1193"/>
      <c r="O492" s="1193"/>
      <c r="P492" s="1193"/>
      <c r="Q492" s="1193"/>
      <c r="R492" s="1193"/>
      <c r="S492" s="1193"/>
      <c r="T492" s="1193"/>
      <c r="U492" s="1193"/>
      <c r="V492" s="1193"/>
      <c r="W492" s="1193"/>
      <c r="X492" s="1193"/>
      <c r="Y492" s="1193"/>
      <c r="Z492" s="1193"/>
      <c r="AA492" s="1193"/>
      <c r="AB492" s="1193"/>
      <c r="AC492" s="1193"/>
    </row>
    <row r="493" spans="1:29" x14ac:dyDescent="0.3">
      <c r="A493" s="681"/>
      <c r="B493" s="1193"/>
      <c r="C493" s="1193"/>
      <c r="D493" s="1193"/>
      <c r="E493" s="1193"/>
      <c r="F493" s="1193"/>
      <c r="G493" s="1193"/>
      <c r="H493" s="1193"/>
      <c r="I493" s="1193"/>
      <c r="J493" s="1193"/>
      <c r="K493" s="1193"/>
      <c r="L493" s="1193"/>
      <c r="M493" s="1193"/>
      <c r="N493" s="1193"/>
      <c r="O493" s="1193"/>
      <c r="P493" s="1193"/>
      <c r="Q493" s="1193"/>
      <c r="R493" s="1193"/>
      <c r="S493" s="1193"/>
      <c r="T493" s="1193"/>
      <c r="U493" s="1193"/>
      <c r="V493" s="1193"/>
      <c r="W493" s="1193"/>
      <c r="X493" s="1193"/>
      <c r="Y493" s="1193"/>
      <c r="Z493" s="1193"/>
      <c r="AA493" s="1193"/>
      <c r="AB493" s="1193"/>
      <c r="AC493" s="1193"/>
    </row>
    <row r="494" spans="1:29" x14ac:dyDescent="0.3">
      <c r="A494" s="681"/>
      <c r="B494" s="1193"/>
      <c r="C494" s="1193"/>
      <c r="D494" s="1193"/>
      <c r="E494" s="1193"/>
      <c r="F494" s="1193"/>
      <c r="G494" s="1193"/>
      <c r="H494" s="1193"/>
      <c r="I494" s="1193"/>
      <c r="J494" s="1193"/>
      <c r="K494" s="1193"/>
      <c r="L494" s="1193"/>
      <c r="M494" s="1193"/>
      <c r="N494" s="1193"/>
      <c r="O494" s="1193"/>
      <c r="P494" s="1193"/>
      <c r="Q494" s="1193"/>
      <c r="R494" s="1193"/>
      <c r="S494" s="1193"/>
      <c r="T494" s="1193"/>
      <c r="U494" s="1193"/>
      <c r="V494" s="1193"/>
      <c r="W494" s="1193"/>
      <c r="X494" s="1193"/>
      <c r="Y494" s="1193"/>
      <c r="Z494" s="1193"/>
      <c r="AA494" s="1193"/>
      <c r="AB494" s="1193"/>
      <c r="AC494" s="1193"/>
    </row>
    <row r="495" spans="1:29" x14ac:dyDescent="0.3">
      <c r="A495" s="681"/>
      <c r="B495" s="1193"/>
      <c r="C495" s="1193"/>
      <c r="D495" s="1193"/>
      <c r="E495" s="1193"/>
      <c r="F495" s="1193"/>
      <c r="G495" s="1193"/>
      <c r="H495" s="1193"/>
      <c r="I495" s="1193"/>
      <c r="J495" s="1193"/>
      <c r="K495" s="1193"/>
      <c r="L495" s="1193"/>
      <c r="M495" s="1193"/>
      <c r="N495" s="1193"/>
      <c r="O495" s="1193"/>
      <c r="P495" s="1193"/>
      <c r="Q495" s="1193"/>
      <c r="R495" s="1193"/>
      <c r="S495" s="1193"/>
      <c r="T495" s="1193"/>
      <c r="U495" s="1193"/>
      <c r="V495" s="1193"/>
      <c r="W495" s="1193"/>
      <c r="X495" s="1193"/>
      <c r="Y495" s="1193"/>
      <c r="Z495" s="1193"/>
      <c r="AA495" s="1193"/>
      <c r="AB495" s="1193"/>
      <c r="AC495" s="1193"/>
    </row>
    <row r="496" spans="1:29" x14ac:dyDescent="0.3">
      <c r="A496" s="681"/>
      <c r="B496" s="1193"/>
      <c r="C496" s="1193"/>
      <c r="D496" s="1193"/>
      <c r="E496" s="1193"/>
      <c r="F496" s="1193"/>
      <c r="G496" s="1193"/>
      <c r="H496" s="1193"/>
      <c r="I496" s="1193"/>
      <c r="J496" s="1193"/>
      <c r="K496" s="1193"/>
      <c r="L496" s="1193"/>
      <c r="M496" s="1193"/>
      <c r="N496" s="1193"/>
      <c r="O496" s="1193"/>
      <c r="P496" s="1193"/>
      <c r="Q496" s="1193"/>
      <c r="R496" s="1193"/>
      <c r="S496" s="1193"/>
      <c r="T496" s="1193"/>
      <c r="U496" s="1193"/>
      <c r="V496" s="1193"/>
      <c r="W496" s="1193"/>
      <c r="X496" s="1193"/>
      <c r="Y496" s="1193"/>
      <c r="Z496" s="1193"/>
      <c r="AA496" s="1193"/>
      <c r="AB496" s="1193"/>
      <c r="AC496" s="1193"/>
    </row>
    <row r="497" spans="1:29" x14ac:dyDescent="0.3">
      <c r="A497" s="681"/>
      <c r="B497" s="1193"/>
      <c r="C497" s="1193"/>
      <c r="D497" s="1193"/>
      <c r="E497" s="1193"/>
      <c r="F497" s="1193"/>
      <c r="G497" s="1193"/>
      <c r="H497" s="1193"/>
      <c r="I497" s="1193"/>
      <c r="J497" s="1193"/>
      <c r="K497" s="1193"/>
      <c r="L497" s="1193"/>
      <c r="M497" s="1193"/>
      <c r="N497" s="1193"/>
      <c r="O497" s="1193"/>
      <c r="P497" s="1193"/>
      <c r="Q497" s="1193"/>
      <c r="R497" s="1193"/>
      <c r="S497" s="1193"/>
      <c r="T497" s="1193"/>
      <c r="U497" s="1193"/>
      <c r="V497" s="1193"/>
      <c r="W497" s="1193"/>
      <c r="X497" s="1193"/>
      <c r="Y497" s="1193"/>
      <c r="Z497" s="1193"/>
      <c r="AA497" s="1193"/>
      <c r="AB497" s="1193"/>
      <c r="AC497" s="1193"/>
    </row>
    <row r="498" spans="1:29" x14ac:dyDescent="0.3">
      <c r="A498" s="681"/>
      <c r="B498" s="1193"/>
      <c r="C498" s="1193"/>
      <c r="D498" s="1193"/>
      <c r="E498" s="1193"/>
      <c r="F498" s="1193"/>
      <c r="G498" s="1193"/>
      <c r="H498" s="1193"/>
      <c r="I498" s="1193"/>
      <c r="J498" s="1193"/>
      <c r="K498" s="1193"/>
      <c r="L498" s="1193"/>
      <c r="M498" s="1193"/>
      <c r="N498" s="1193"/>
      <c r="O498" s="1193"/>
      <c r="P498" s="1193"/>
      <c r="Q498" s="1193"/>
      <c r="R498" s="1193"/>
      <c r="S498" s="1193"/>
      <c r="T498" s="1193"/>
      <c r="U498" s="1193"/>
      <c r="V498" s="1193"/>
      <c r="W498" s="1193"/>
      <c r="X498" s="1193"/>
      <c r="Y498" s="1193"/>
      <c r="Z498" s="1193"/>
      <c r="AA498" s="1193"/>
      <c r="AB498" s="1193"/>
      <c r="AC498" s="1193"/>
    </row>
    <row r="499" spans="1:29" x14ac:dyDescent="0.3">
      <c r="A499" s="681"/>
      <c r="B499" s="1193"/>
      <c r="C499" s="1193"/>
      <c r="D499" s="1193"/>
      <c r="E499" s="1193"/>
      <c r="F499" s="1193"/>
      <c r="G499" s="1193"/>
      <c r="H499" s="1193"/>
      <c r="I499" s="1193"/>
      <c r="J499" s="1193"/>
      <c r="K499" s="1193"/>
      <c r="L499" s="1193"/>
      <c r="M499" s="1193"/>
      <c r="N499" s="1193"/>
      <c r="O499" s="1193"/>
      <c r="P499" s="1193"/>
      <c r="Q499" s="1193"/>
      <c r="R499" s="1193"/>
      <c r="S499" s="1193"/>
      <c r="T499" s="1193"/>
      <c r="U499" s="1193"/>
      <c r="V499" s="1193"/>
      <c r="W499" s="1193"/>
      <c r="X499" s="1193"/>
      <c r="Y499" s="1193"/>
      <c r="Z499" s="1193"/>
      <c r="AA499" s="1193"/>
      <c r="AB499" s="1193"/>
      <c r="AC499" s="1193"/>
    </row>
    <row r="500" spans="1:29" x14ac:dyDescent="0.3">
      <c r="A500" s="681"/>
      <c r="B500" s="1193"/>
      <c r="C500" s="1193"/>
      <c r="D500" s="1193"/>
      <c r="E500" s="1193"/>
      <c r="F500" s="1193"/>
      <c r="G500" s="1193"/>
      <c r="H500" s="1193"/>
      <c r="I500" s="1193"/>
      <c r="J500" s="1193"/>
      <c r="K500" s="1193"/>
      <c r="L500" s="1193"/>
      <c r="M500" s="1193"/>
      <c r="N500" s="1193"/>
      <c r="O500" s="1193"/>
      <c r="P500" s="1193"/>
      <c r="Q500" s="1193"/>
      <c r="R500" s="1193"/>
      <c r="S500" s="1193"/>
      <c r="T500" s="1193"/>
      <c r="U500" s="1193"/>
      <c r="V500" s="1193"/>
      <c r="W500" s="1193"/>
      <c r="X500" s="1193"/>
      <c r="Y500" s="1193"/>
      <c r="Z500" s="1193"/>
      <c r="AA500" s="1193"/>
      <c r="AB500" s="1193"/>
      <c r="AC500" s="1193"/>
    </row>
    <row r="501" spans="1:29" x14ac:dyDescent="0.3">
      <c r="A501" s="681"/>
      <c r="B501" s="1193"/>
      <c r="C501" s="1193"/>
      <c r="D501" s="1193"/>
      <c r="E501" s="1193"/>
      <c r="F501" s="1193"/>
      <c r="G501" s="1193"/>
      <c r="H501" s="1193"/>
      <c r="I501" s="1193"/>
      <c r="J501" s="1193"/>
      <c r="K501" s="1193"/>
      <c r="L501" s="1193"/>
      <c r="M501" s="1193"/>
      <c r="N501" s="1193"/>
      <c r="O501" s="1193"/>
      <c r="P501" s="1193"/>
      <c r="Q501" s="1193"/>
      <c r="R501" s="1193"/>
      <c r="S501" s="1193"/>
      <c r="T501" s="1193"/>
      <c r="U501" s="1193"/>
      <c r="V501" s="1193"/>
      <c r="W501" s="1193"/>
      <c r="X501" s="1193"/>
      <c r="Y501" s="1193"/>
      <c r="Z501" s="1193"/>
      <c r="AA501" s="1193"/>
      <c r="AB501" s="1193"/>
      <c r="AC501" s="1193"/>
    </row>
    <row r="502" spans="1:29" x14ac:dyDescent="0.3">
      <c r="A502" s="681"/>
      <c r="B502" s="1193"/>
      <c r="C502" s="1193"/>
      <c r="D502" s="1193"/>
      <c r="E502" s="1193"/>
      <c r="F502" s="1193"/>
      <c r="G502" s="1193"/>
      <c r="H502" s="1193"/>
      <c r="I502" s="1193"/>
      <c r="J502" s="1193"/>
      <c r="K502" s="1193"/>
      <c r="L502" s="1193"/>
      <c r="M502" s="1193"/>
      <c r="N502" s="1193"/>
      <c r="O502" s="1193"/>
      <c r="P502" s="1193"/>
      <c r="Q502" s="1193"/>
      <c r="R502" s="1193"/>
      <c r="S502" s="1193"/>
      <c r="T502" s="1193"/>
      <c r="U502" s="1193"/>
      <c r="V502" s="1193"/>
      <c r="W502" s="1193"/>
      <c r="X502" s="1193"/>
      <c r="Y502" s="1193"/>
      <c r="Z502" s="1193"/>
      <c r="AA502" s="1193"/>
      <c r="AB502" s="1193"/>
      <c r="AC502" s="1193"/>
    </row>
    <row r="503" spans="1:29" x14ac:dyDescent="0.3">
      <c r="A503" s="681"/>
      <c r="B503" s="1193"/>
      <c r="C503" s="1193"/>
      <c r="D503" s="1193"/>
      <c r="E503" s="1193"/>
      <c r="F503" s="1193"/>
      <c r="G503" s="1193"/>
      <c r="H503" s="1193"/>
      <c r="I503" s="1193"/>
      <c r="J503" s="1193"/>
      <c r="K503" s="1193"/>
      <c r="L503" s="1193"/>
      <c r="M503" s="1193"/>
      <c r="N503" s="1193"/>
      <c r="O503" s="1193"/>
      <c r="P503" s="1193"/>
      <c r="Q503" s="1193"/>
      <c r="R503" s="1193"/>
      <c r="S503" s="1193"/>
      <c r="T503" s="1193"/>
      <c r="U503" s="1193"/>
      <c r="V503" s="1193"/>
      <c r="W503" s="1193"/>
      <c r="X503" s="1193"/>
      <c r="Y503" s="1193"/>
      <c r="Z503" s="1193"/>
      <c r="AA503" s="1193"/>
      <c r="AB503" s="1193"/>
      <c r="AC503" s="1193"/>
    </row>
    <row r="504" spans="1:29" x14ac:dyDescent="0.3">
      <c r="A504" s="681"/>
      <c r="B504" s="1193"/>
      <c r="C504" s="1193"/>
      <c r="D504" s="1193"/>
      <c r="E504" s="1193"/>
      <c r="F504" s="1193"/>
      <c r="G504" s="1193"/>
      <c r="H504" s="1193"/>
      <c r="I504" s="1193"/>
      <c r="J504" s="1193"/>
      <c r="K504" s="1193"/>
      <c r="L504" s="1193"/>
      <c r="M504" s="1193"/>
      <c r="N504" s="1193"/>
      <c r="O504" s="1193"/>
      <c r="P504" s="1193"/>
      <c r="Q504" s="1193"/>
      <c r="R504" s="1193"/>
      <c r="S504" s="1193"/>
      <c r="T504" s="1193"/>
      <c r="U504" s="1193"/>
      <c r="V504" s="1193"/>
      <c r="W504" s="1193"/>
      <c r="X504" s="1193"/>
      <c r="Y504" s="1193"/>
      <c r="Z504" s="1193"/>
      <c r="AA504" s="1193"/>
      <c r="AB504" s="1193"/>
      <c r="AC504" s="1193"/>
    </row>
    <row r="505" spans="1:29" x14ac:dyDescent="0.3">
      <c r="A505" s="681"/>
      <c r="B505" s="1193"/>
      <c r="C505" s="1193"/>
      <c r="D505" s="1193"/>
      <c r="E505" s="1193"/>
      <c r="F505" s="1193"/>
      <c r="G505" s="1193"/>
      <c r="H505" s="1193"/>
      <c r="I505" s="1193"/>
      <c r="J505" s="1193"/>
      <c r="K505" s="1193"/>
      <c r="L505" s="1193"/>
      <c r="M505" s="1193"/>
      <c r="N505" s="1193"/>
      <c r="O505" s="1193"/>
      <c r="P505" s="1193"/>
      <c r="Q505" s="1193"/>
      <c r="R505" s="1193"/>
      <c r="S505" s="1193"/>
      <c r="T505" s="1193"/>
      <c r="U505" s="1193"/>
      <c r="V505" s="1193"/>
      <c r="W505" s="1193"/>
      <c r="X505" s="1193"/>
      <c r="Y505" s="1193"/>
      <c r="Z505" s="1193"/>
      <c r="AA505" s="1193"/>
      <c r="AB505" s="1193"/>
      <c r="AC505" s="1193"/>
    </row>
    <row r="506" spans="1:29" x14ac:dyDescent="0.3">
      <c r="A506" s="681"/>
      <c r="B506" s="1193"/>
      <c r="C506" s="1193"/>
      <c r="D506" s="1193"/>
      <c r="E506" s="1193"/>
      <c r="F506" s="1193"/>
      <c r="G506" s="1193"/>
      <c r="H506" s="1193"/>
      <c r="I506" s="1193"/>
      <c r="J506" s="1193"/>
      <c r="K506" s="1193"/>
      <c r="L506" s="1193"/>
      <c r="M506" s="1193"/>
      <c r="N506" s="1193"/>
      <c r="O506" s="1193"/>
      <c r="P506" s="1193"/>
      <c r="Q506" s="1193"/>
      <c r="R506" s="1193"/>
      <c r="S506" s="1193"/>
      <c r="T506" s="1193"/>
      <c r="U506" s="1193"/>
      <c r="V506" s="1193"/>
      <c r="W506" s="1193"/>
      <c r="X506" s="1193"/>
      <c r="Y506" s="1193"/>
      <c r="Z506" s="1193"/>
      <c r="AA506" s="1193"/>
      <c r="AB506" s="1193"/>
      <c r="AC506" s="1193"/>
    </row>
    <row r="507" spans="1:29" x14ac:dyDescent="0.3">
      <c r="A507" s="681"/>
      <c r="B507" s="1193"/>
      <c r="C507" s="1193"/>
      <c r="D507" s="1193"/>
      <c r="E507" s="1193"/>
      <c r="F507" s="1193"/>
      <c r="G507" s="1193"/>
      <c r="H507" s="1193"/>
      <c r="I507" s="1193"/>
      <c r="J507" s="1193"/>
      <c r="K507" s="1193"/>
      <c r="L507" s="1193"/>
      <c r="M507" s="1193"/>
      <c r="N507" s="1193"/>
      <c r="O507" s="1193"/>
      <c r="P507" s="1193"/>
      <c r="Q507" s="1193"/>
      <c r="R507" s="1193"/>
      <c r="S507" s="1193"/>
      <c r="T507" s="1193"/>
      <c r="U507" s="1193"/>
      <c r="V507" s="1193"/>
      <c r="W507" s="1193"/>
      <c r="X507" s="1193"/>
      <c r="Y507" s="1193"/>
      <c r="Z507" s="1193"/>
      <c r="AA507" s="1193"/>
      <c r="AB507" s="1193"/>
      <c r="AC507" s="1193"/>
    </row>
    <row r="508" spans="1:29" x14ac:dyDescent="0.3">
      <c r="A508" s="681"/>
      <c r="B508" s="1193"/>
      <c r="C508" s="1193"/>
      <c r="D508" s="1193"/>
      <c r="E508" s="1193"/>
      <c r="F508" s="1193"/>
      <c r="G508" s="1193"/>
      <c r="H508" s="1193"/>
      <c r="I508" s="1193"/>
      <c r="J508" s="1193"/>
      <c r="K508" s="1193"/>
      <c r="L508" s="1193"/>
      <c r="M508" s="1193"/>
      <c r="N508" s="1193"/>
      <c r="O508" s="1193"/>
      <c r="P508" s="1193"/>
      <c r="Q508" s="1193"/>
      <c r="R508" s="1193"/>
      <c r="S508" s="1193"/>
      <c r="T508" s="1193"/>
      <c r="U508" s="1193"/>
      <c r="V508" s="1193"/>
      <c r="W508" s="1193"/>
      <c r="X508" s="1193"/>
      <c r="Y508" s="1193"/>
      <c r="Z508" s="1193"/>
      <c r="AA508" s="1193"/>
      <c r="AB508" s="1193"/>
      <c r="AC508" s="1193"/>
    </row>
    <row r="509" spans="1:29" x14ac:dyDescent="0.3">
      <c r="A509" s="681"/>
      <c r="B509" s="1193"/>
      <c r="C509" s="1193"/>
      <c r="D509" s="1193"/>
      <c r="E509" s="1193"/>
      <c r="F509" s="1193"/>
      <c r="G509" s="1193"/>
      <c r="H509" s="1193"/>
      <c r="I509" s="1193"/>
      <c r="J509" s="1193"/>
      <c r="K509" s="1193"/>
      <c r="L509" s="1193"/>
      <c r="M509" s="1193"/>
      <c r="N509" s="1193"/>
      <c r="O509" s="1193"/>
      <c r="P509" s="1193"/>
      <c r="Q509" s="1193"/>
      <c r="R509" s="1193"/>
      <c r="S509" s="1193"/>
      <c r="T509" s="1193"/>
      <c r="U509" s="1193"/>
      <c r="V509" s="1193"/>
      <c r="W509" s="1193"/>
      <c r="X509" s="1193"/>
      <c r="Y509" s="1193"/>
      <c r="Z509" s="1193"/>
      <c r="AA509" s="1193"/>
      <c r="AB509" s="1193"/>
      <c r="AC509" s="1193"/>
    </row>
    <row r="510" spans="1:29" x14ac:dyDescent="0.3">
      <c r="A510" s="681"/>
      <c r="B510" s="1193"/>
      <c r="C510" s="1193"/>
      <c r="D510" s="1193"/>
      <c r="E510" s="1193"/>
      <c r="F510" s="1193"/>
      <c r="G510" s="1193"/>
      <c r="H510" s="1193"/>
      <c r="I510" s="1193"/>
      <c r="J510" s="1193"/>
      <c r="K510" s="1193"/>
      <c r="L510" s="1193"/>
      <c r="M510" s="1193"/>
      <c r="N510" s="1193"/>
      <c r="O510" s="1193"/>
      <c r="P510" s="1193"/>
      <c r="Q510" s="1193"/>
      <c r="R510" s="1193"/>
      <c r="S510" s="1193"/>
      <c r="T510" s="1193"/>
      <c r="U510" s="1193"/>
      <c r="V510" s="1193"/>
      <c r="W510" s="1193"/>
      <c r="X510" s="1193"/>
      <c r="Y510" s="1193"/>
      <c r="Z510" s="1193"/>
      <c r="AA510" s="1193"/>
      <c r="AB510" s="1193"/>
      <c r="AC510" s="1193"/>
    </row>
    <row r="511" spans="1:29" x14ac:dyDescent="0.3">
      <c r="A511" s="681"/>
      <c r="B511" s="1193"/>
      <c r="C511" s="1193"/>
      <c r="D511" s="1193"/>
      <c r="E511" s="1193"/>
      <c r="F511" s="1193"/>
      <c r="G511" s="1193"/>
      <c r="H511" s="1193"/>
      <c r="I511" s="1193"/>
      <c r="J511" s="1193"/>
      <c r="K511" s="1193"/>
      <c r="L511" s="1193"/>
      <c r="M511" s="1193"/>
      <c r="N511" s="1193"/>
      <c r="O511" s="1193"/>
      <c r="P511" s="1193"/>
      <c r="Q511" s="1193"/>
      <c r="R511" s="1193"/>
      <c r="S511" s="1193"/>
      <c r="T511" s="1193"/>
      <c r="U511" s="1193"/>
      <c r="V511" s="1193"/>
      <c r="W511" s="1193"/>
      <c r="X511" s="1193"/>
      <c r="Y511" s="1193"/>
      <c r="Z511" s="1193"/>
      <c r="AA511" s="1193"/>
      <c r="AB511" s="1193"/>
      <c r="AC511" s="1193"/>
    </row>
    <row r="512" spans="1:29" x14ac:dyDescent="0.3">
      <c r="A512" s="681"/>
      <c r="B512" s="1193"/>
      <c r="C512" s="1193"/>
      <c r="D512" s="1193"/>
      <c r="E512" s="1193"/>
      <c r="F512" s="1193"/>
      <c r="G512" s="1193"/>
      <c r="H512" s="1193"/>
      <c r="I512" s="1193"/>
      <c r="J512" s="1193"/>
      <c r="K512" s="1193"/>
      <c r="L512" s="1193"/>
      <c r="M512" s="1193"/>
      <c r="N512" s="1193"/>
      <c r="O512" s="1193"/>
      <c r="P512" s="1193"/>
      <c r="Q512" s="1193"/>
      <c r="R512" s="1193"/>
      <c r="S512" s="1193"/>
      <c r="T512" s="1193"/>
      <c r="U512" s="1193"/>
      <c r="V512" s="1193"/>
      <c r="W512" s="1193"/>
      <c r="X512" s="1193"/>
      <c r="Y512" s="1193"/>
      <c r="Z512" s="1193"/>
      <c r="AA512" s="1193"/>
      <c r="AB512" s="1193"/>
      <c r="AC512" s="1193"/>
    </row>
    <row r="513" spans="1:29" x14ac:dyDescent="0.3">
      <c r="A513" s="681"/>
      <c r="B513" s="1193"/>
      <c r="C513" s="1193"/>
      <c r="D513" s="1193"/>
      <c r="E513" s="1193"/>
      <c r="F513" s="1193"/>
      <c r="G513" s="1193"/>
      <c r="H513" s="1193"/>
      <c r="I513" s="1193"/>
      <c r="J513" s="1193"/>
      <c r="K513" s="1193"/>
      <c r="L513" s="1193"/>
      <c r="M513" s="1193"/>
      <c r="N513" s="1193"/>
      <c r="O513" s="1193"/>
      <c r="P513" s="1193"/>
      <c r="Q513" s="1193"/>
      <c r="R513" s="1193"/>
      <c r="S513" s="1193"/>
      <c r="T513" s="1193"/>
      <c r="U513" s="1193"/>
      <c r="V513" s="1193"/>
      <c r="W513" s="1193"/>
      <c r="X513" s="1193"/>
      <c r="Y513" s="1193"/>
      <c r="Z513" s="1193"/>
      <c r="AA513" s="1193"/>
      <c r="AB513" s="1193"/>
      <c r="AC513" s="1193"/>
    </row>
    <row r="514" spans="1:29" x14ac:dyDescent="0.3">
      <c r="A514" s="681"/>
      <c r="B514" s="1193"/>
      <c r="C514" s="1193"/>
      <c r="D514" s="1193"/>
      <c r="E514" s="1193"/>
      <c r="F514" s="1193"/>
      <c r="G514" s="1193"/>
      <c r="H514" s="1193"/>
      <c r="I514" s="1193"/>
      <c r="J514" s="1193"/>
      <c r="K514" s="1193"/>
      <c r="L514" s="1193"/>
      <c r="M514" s="1193"/>
      <c r="N514" s="1193"/>
      <c r="O514" s="1193"/>
      <c r="P514" s="1193"/>
      <c r="Q514" s="1193"/>
      <c r="R514" s="1193"/>
      <c r="S514" s="1193"/>
      <c r="T514" s="1193"/>
      <c r="U514" s="1193"/>
      <c r="V514" s="1193"/>
      <c r="W514" s="1193"/>
      <c r="X514" s="1193"/>
      <c r="Y514" s="1193"/>
      <c r="Z514" s="1193"/>
      <c r="AA514" s="1193"/>
      <c r="AB514" s="1193"/>
      <c r="AC514" s="1193"/>
    </row>
    <row r="515" spans="1:29" x14ac:dyDescent="0.3">
      <c r="A515" s="681"/>
      <c r="B515" s="1193"/>
      <c r="C515" s="1193"/>
      <c r="D515" s="1193"/>
      <c r="E515" s="1193"/>
      <c r="F515" s="1193"/>
      <c r="G515" s="1193"/>
      <c r="H515" s="1193"/>
      <c r="I515" s="1193"/>
      <c r="J515" s="1193"/>
      <c r="K515" s="1193"/>
      <c r="L515" s="1193"/>
      <c r="M515" s="1193"/>
      <c r="N515" s="1193"/>
      <c r="O515" s="1193"/>
      <c r="P515" s="1193"/>
      <c r="Q515" s="1193"/>
      <c r="R515" s="1193"/>
      <c r="S515" s="1193"/>
      <c r="T515" s="1193"/>
      <c r="U515" s="1193"/>
      <c r="V515" s="1193"/>
      <c r="W515" s="1193"/>
      <c r="X515" s="1193"/>
      <c r="Y515" s="1193"/>
      <c r="Z515" s="1193"/>
      <c r="AA515" s="1193"/>
      <c r="AB515" s="1193"/>
      <c r="AC515" s="1193"/>
    </row>
    <row r="516" spans="1:29" x14ac:dyDescent="0.3">
      <c r="A516" s="681"/>
      <c r="B516" s="1193"/>
      <c r="C516" s="1193"/>
      <c r="D516" s="1193"/>
      <c r="E516" s="1193"/>
      <c r="F516" s="1193"/>
      <c r="G516" s="1193"/>
      <c r="H516" s="1193"/>
      <c r="I516" s="1193"/>
      <c r="J516" s="1193"/>
      <c r="K516" s="1193"/>
      <c r="L516" s="1193"/>
      <c r="M516" s="1193"/>
      <c r="N516" s="1193"/>
      <c r="O516" s="1193"/>
      <c r="P516" s="1193"/>
      <c r="Q516" s="1193"/>
      <c r="R516" s="1193"/>
      <c r="S516" s="1193"/>
      <c r="T516" s="1193"/>
      <c r="U516" s="1193"/>
      <c r="V516" s="1193"/>
      <c r="W516" s="1193"/>
      <c r="X516" s="1193"/>
      <c r="Y516" s="1193"/>
      <c r="Z516" s="1193"/>
      <c r="AA516" s="1193"/>
      <c r="AB516" s="1193"/>
      <c r="AC516" s="1193"/>
    </row>
    <row r="517" spans="1:29" x14ac:dyDescent="0.3">
      <c r="A517" s="681"/>
      <c r="B517" s="1193"/>
      <c r="C517" s="1193"/>
      <c r="D517" s="1193"/>
      <c r="E517" s="1193"/>
      <c r="F517" s="1193"/>
      <c r="G517" s="1193"/>
      <c r="H517" s="1193"/>
      <c r="I517" s="1193"/>
      <c r="J517" s="1193"/>
      <c r="K517" s="1193"/>
      <c r="L517" s="1193"/>
      <c r="M517" s="1193"/>
      <c r="N517" s="1193"/>
      <c r="O517" s="1193"/>
      <c r="P517" s="1193"/>
      <c r="Q517" s="1193"/>
      <c r="R517" s="1193"/>
      <c r="S517" s="1193"/>
      <c r="T517" s="1193"/>
      <c r="U517" s="1193"/>
      <c r="V517" s="1193"/>
      <c r="W517" s="1193"/>
      <c r="X517" s="1193"/>
      <c r="Y517" s="1193"/>
      <c r="Z517" s="1193"/>
      <c r="AA517" s="1193"/>
      <c r="AB517" s="1193"/>
      <c r="AC517" s="1193"/>
    </row>
    <row r="518" spans="1:29" x14ac:dyDescent="0.3">
      <c r="A518" s="681"/>
      <c r="B518" s="1193"/>
      <c r="C518" s="1193"/>
      <c r="D518" s="1193"/>
      <c r="E518" s="1193"/>
      <c r="F518" s="1193"/>
      <c r="G518" s="1193"/>
      <c r="H518" s="1193"/>
      <c r="I518" s="1193"/>
      <c r="J518" s="1193"/>
      <c r="K518" s="1193"/>
      <c r="L518" s="1193"/>
      <c r="M518" s="1193"/>
      <c r="N518" s="1193"/>
      <c r="O518" s="1193"/>
      <c r="P518" s="1193"/>
      <c r="Q518" s="1193"/>
      <c r="R518" s="1193"/>
      <c r="S518" s="1193"/>
      <c r="T518" s="1193"/>
      <c r="U518" s="1193"/>
      <c r="V518" s="1193"/>
      <c r="W518" s="1193"/>
      <c r="X518" s="1193"/>
      <c r="Y518" s="1193"/>
      <c r="Z518" s="1193"/>
      <c r="AA518" s="1193"/>
      <c r="AB518" s="1193"/>
      <c r="AC518" s="1193"/>
    </row>
    <row r="519" spans="1:29" x14ac:dyDescent="0.3">
      <c r="A519" s="681"/>
      <c r="B519" s="1193"/>
      <c r="C519" s="1193"/>
      <c r="D519" s="1193"/>
      <c r="E519" s="1193"/>
      <c r="F519" s="1193"/>
      <c r="G519" s="1193"/>
      <c r="H519" s="1193"/>
      <c r="I519" s="1193"/>
      <c r="J519" s="1193"/>
      <c r="K519" s="1193"/>
      <c r="L519" s="1193"/>
      <c r="M519" s="1193"/>
      <c r="N519" s="1193"/>
      <c r="O519" s="1193"/>
      <c r="P519" s="1193"/>
      <c r="Q519" s="1193"/>
      <c r="R519" s="1193"/>
      <c r="S519" s="1193"/>
      <c r="T519" s="1193"/>
      <c r="U519" s="1193"/>
      <c r="V519" s="1193"/>
      <c r="W519" s="1193"/>
      <c r="X519" s="1193"/>
      <c r="Y519" s="1193"/>
      <c r="Z519" s="1193"/>
      <c r="AA519" s="1193"/>
      <c r="AB519" s="1193"/>
      <c r="AC519" s="1193"/>
    </row>
    <row r="520" spans="1:29" x14ac:dyDescent="0.3">
      <c r="A520" s="681"/>
      <c r="B520" s="1193"/>
      <c r="C520" s="1193"/>
      <c r="D520" s="1193"/>
      <c r="E520" s="1193"/>
      <c r="F520" s="1193"/>
      <c r="G520" s="1193"/>
      <c r="H520" s="1193"/>
      <c r="I520" s="1193"/>
      <c r="J520" s="1193"/>
      <c r="K520" s="1193"/>
      <c r="L520" s="1193"/>
      <c r="M520" s="1193"/>
      <c r="N520" s="1193"/>
      <c r="O520" s="1193"/>
      <c r="P520" s="1193"/>
      <c r="Q520" s="1193"/>
      <c r="R520" s="1193"/>
      <c r="S520" s="1193"/>
      <c r="T520" s="1193"/>
      <c r="U520" s="1193"/>
      <c r="V520" s="1193"/>
      <c r="W520" s="1193"/>
      <c r="X520" s="1193"/>
      <c r="Y520" s="1193"/>
      <c r="Z520" s="1193"/>
      <c r="AA520" s="1193"/>
      <c r="AB520" s="1193"/>
      <c r="AC520" s="1193"/>
    </row>
    <row r="521" spans="1:29" x14ac:dyDescent="0.3">
      <c r="A521" s="681"/>
      <c r="B521" s="1193"/>
      <c r="C521" s="1193"/>
      <c r="D521" s="1193"/>
      <c r="E521" s="1193"/>
      <c r="F521" s="1193"/>
      <c r="G521" s="1193"/>
      <c r="H521" s="1193"/>
      <c r="I521" s="1193"/>
      <c r="J521" s="1193"/>
      <c r="K521" s="1193"/>
      <c r="L521" s="1193"/>
      <c r="M521" s="1193"/>
      <c r="N521" s="1193"/>
      <c r="O521" s="1193"/>
      <c r="P521" s="1193"/>
      <c r="Q521" s="1193"/>
      <c r="R521" s="1193"/>
      <c r="S521" s="1193"/>
      <c r="T521" s="1193"/>
      <c r="U521" s="1193"/>
      <c r="V521" s="1193"/>
      <c r="W521" s="1193"/>
      <c r="X521" s="1193"/>
      <c r="Y521" s="1193"/>
      <c r="Z521" s="1193"/>
      <c r="AA521" s="1193"/>
      <c r="AB521" s="1193"/>
      <c r="AC521" s="1193"/>
    </row>
    <row r="522" spans="1:29" x14ac:dyDescent="0.3">
      <c r="A522" s="681"/>
      <c r="B522" s="1193"/>
      <c r="C522" s="1193"/>
      <c r="D522" s="1193"/>
      <c r="E522" s="1193"/>
      <c r="F522" s="1193"/>
      <c r="G522" s="1193"/>
      <c r="H522" s="1193"/>
      <c r="I522" s="1193"/>
      <c r="J522" s="1193"/>
      <c r="K522" s="1193"/>
      <c r="L522" s="1193"/>
      <c r="M522" s="1193"/>
      <c r="N522" s="1193"/>
      <c r="O522" s="1193"/>
      <c r="P522" s="1193"/>
      <c r="Q522" s="1193"/>
      <c r="R522" s="1193"/>
      <c r="S522" s="1193"/>
      <c r="T522" s="1193"/>
      <c r="U522" s="1193"/>
      <c r="V522" s="1193"/>
      <c r="W522" s="1193"/>
      <c r="X522" s="1193"/>
      <c r="Y522" s="1193"/>
      <c r="Z522" s="1193"/>
      <c r="AA522" s="1193"/>
      <c r="AB522" s="1193"/>
      <c r="AC522" s="1193"/>
    </row>
    <row r="523" spans="1:29" x14ac:dyDescent="0.3">
      <c r="A523" s="681"/>
      <c r="B523" s="1193"/>
      <c r="C523" s="1193"/>
      <c r="D523" s="1193"/>
      <c r="E523" s="1193"/>
      <c r="F523" s="1193"/>
      <c r="G523" s="1193"/>
      <c r="H523" s="1193"/>
      <c r="I523" s="1193"/>
      <c r="J523" s="1193"/>
      <c r="K523" s="1193"/>
      <c r="L523" s="1193"/>
      <c r="M523" s="1193"/>
      <c r="N523" s="1193"/>
      <c r="O523" s="1193"/>
      <c r="P523" s="1193"/>
      <c r="Q523" s="1193"/>
      <c r="R523" s="1193"/>
      <c r="S523" s="1193"/>
      <c r="T523" s="1193"/>
      <c r="U523" s="1193"/>
      <c r="V523" s="1193"/>
      <c r="W523" s="1193"/>
      <c r="X523" s="1193"/>
      <c r="Y523" s="1193"/>
      <c r="Z523" s="1193"/>
      <c r="AA523" s="1193"/>
      <c r="AB523" s="1193"/>
      <c r="AC523" s="1193"/>
    </row>
    <row r="524" spans="1:29" x14ac:dyDescent="0.3">
      <c r="A524" s="681"/>
      <c r="B524" s="1193"/>
      <c r="C524" s="1193"/>
      <c r="D524" s="1193"/>
      <c r="E524" s="1193"/>
      <c r="F524" s="1193"/>
      <c r="G524" s="1193"/>
      <c r="H524" s="1193"/>
      <c r="I524" s="1193"/>
      <c r="J524" s="1193"/>
      <c r="K524" s="1193"/>
      <c r="L524" s="1193"/>
      <c r="M524" s="1193"/>
      <c r="N524" s="1193"/>
      <c r="O524" s="1193"/>
      <c r="P524" s="1193"/>
      <c r="Q524" s="1193"/>
      <c r="R524" s="1193"/>
      <c r="S524" s="1193"/>
      <c r="T524" s="1193"/>
      <c r="U524" s="1193"/>
      <c r="V524" s="1193"/>
      <c r="W524" s="1193"/>
      <c r="X524" s="1193"/>
      <c r="Y524" s="1193"/>
      <c r="Z524" s="1193"/>
      <c r="AA524" s="1193"/>
      <c r="AB524" s="1193"/>
      <c r="AC524" s="1193"/>
    </row>
    <row r="525" spans="1:29" x14ac:dyDescent="0.3">
      <c r="A525" s="681"/>
      <c r="B525" s="1193"/>
      <c r="C525" s="1193"/>
      <c r="D525" s="1193"/>
      <c r="E525" s="1193"/>
      <c r="F525" s="1193"/>
      <c r="G525" s="1193"/>
      <c r="H525" s="1193"/>
      <c r="I525" s="1193"/>
      <c r="J525" s="1193"/>
      <c r="K525" s="1193"/>
      <c r="L525" s="1193"/>
      <c r="M525" s="1193"/>
      <c r="N525" s="1193"/>
      <c r="O525" s="1193"/>
      <c r="P525" s="1193"/>
      <c r="Q525" s="1193"/>
      <c r="R525" s="1193"/>
      <c r="S525" s="1193"/>
      <c r="T525" s="1193"/>
      <c r="U525" s="1193"/>
      <c r="V525" s="1193"/>
      <c r="W525" s="1193"/>
      <c r="X525" s="1193"/>
      <c r="Y525" s="1193"/>
      <c r="Z525" s="1193"/>
      <c r="AA525" s="1193"/>
      <c r="AB525" s="1193"/>
      <c r="AC525" s="1193"/>
    </row>
    <row r="526" spans="1:29" x14ac:dyDescent="0.3">
      <c r="A526" s="681"/>
      <c r="B526" s="1193"/>
      <c r="C526" s="1193"/>
      <c r="D526" s="1193"/>
      <c r="E526" s="1193"/>
      <c r="F526" s="1193"/>
      <c r="G526" s="1193"/>
      <c r="H526" s="1193"/>
      <c r="I526" s="1193"/>
      <c r="J526" s="1193"/>
      <c r="K526" s="1193"/>
      <c r="L526" s="1193"/>
      <c r="M526" s="1193"/>
      <c r="N526" s="1193"/>
      <c r="O526" s="1193"/>
      <c r="P526" s="1193"/>
      <c r="Q526" s="1193"/>
      <c r="R526" s="1193"/>
      <c r="S526" s="1193"/>
      <c r="T526" s="1193"/>
      <c r="U526" s="1193"/>
      <c r="V526" s="1193"/>
      <c r="W526" s="1193"/>
      <c r="X526" s="1193"/>
      <c r="Y526" s="1193"/>
      <c r="Z526" s="1193"/>
      <c r="AA526" s="1193"/>
      <c r="AB526" s="1193"/>
      <c r="AC526" s="1193"/>
    </row>
    <row r="527" spans="1:29" x14ac:dyDescent="0.3">
      <c r="A527" s="681"/>
      <c r="B527" s="1193"/>
      <c r="C527" s="1193"/>
      <c r="D527" s="1193"/>
      <c r="E527" s="1193"/>
      <c r="F527" s="1193"/>
      <c r="G527" s="1193"/>
      <c r="H527" s="1193"/>
      <c r="I527" s="1193"/>
      <c r="J527" s="1193"/>
      <c r="K527" s="1193"/>
      <c r="L527" s="1193"/>
      <c r="M527" s="1193"/>
      <c r="N527" s="1193"/>
      <c r="O527" s="1193"/>
      <c r="P527" s="1193"/>
      <c r="Q527" s="1193"/>
      <c r="R527" s="1193"/>
      <c r="S527" s="1193"/>
      <c r="T527" s="1193"/>
      <c r="U527" s="1193"/>
      <c r="V527" s="1193"/>
      <c r="W527" s="1193"/>
      <c r="X527" s="1193"/>
      <c r="Y527" s="1193"/>
      <c r="Z527" s="1193"/>
      <c r="AA527" s="1193"/>
      <c r="AB527" s="1193"/>
      <c r="AC527" s="1193"/>
    </row>
    <row r="528" spans="1:29" x14ac:dyDescent="0.3">
      <c r="A528" s="681"/>
      <c r="B528" s="1193"/>
      <c r="C528" s="1193"/>
      <c r="D528" s="1193"/>
      <c r="E528" s="1193"/>
      <c r="F528" s="1193"/>
      <c r="G528" s="1193"/>
      <c r="H528" s="1193"/>
      <c r="I528" s="1193"/>
      <c r="J528" s="1193"/>
      <c r="K528" s="1193"/>
      <c r="L528" s="1193"/>
      <c r="M528" s="1193"/>
      <c r="N528" s="1193"/>
      <c r="O528" s="1193"/>
      <c r="P528" s="1193"/>
      <c r="Q528" s="1193"/>
      <c r="R528" s="1193"/>
      <c r="S528" s="1193"/>
      <c r="T528" s="1193"/>
      <c r="U528" s="1193"/>
      <c r="V528" s="1193"/>
      <c r="W528" s="1193"/>
      <c r="X528" s="1193"/>
      <c r="Y528" s="1193"/>
      <c r="Z528" s="1193"/>
      <c r="AA528" s="1193"/>
      <c r="AB528" s="1193"/>
      <c r="AC528" s="1193"/>
    </row>
    <row r="529" spans="1:29" x14ac:dyDescent="0.3">
      <c r="A529" s="681"/>
      <c r="B529" s="1193"/>
      <c r="C529" s="1193"/>
      <c r="D529" s="1193"/>
      <c r="E529" s="1193"/>
      <c r="F529" s="1193"/>
      <c r="G529" s="1193"/>
      <c r="H529" s="1193"/>
      <c r="I529" s="1193"/>
      <c r="J529" s="1193"/>
      <c r="K529" s="1193"/>
      <c r="L529" s="1193"/>
      <c r="M529" s="1193"/>
      <c r="N529" s="1193"/>
      <c r="O529" s="1193"/>
      <c r="P529" s="1193"/>
      <c r="Q529" s="1193"/>
      <c r="R529" s="1193"/>
      <c r="S529" s="1193"/>
      <c r="T529" s="1193"/>
      <c r="U529" s="1193"/>
      <c r="V529" s="1193"/>
      <c r="W529" s="1193"/>
      <c r="X529" s="1193"/>
      <c r="Y529" s="1193"/>
      <c r="Z529" s="1193"/>
      <c r="AA529" s="1193"/>
      <c r="AB529" s="1193"/>
      <c r="AC529" s="1193"/>
    </row>
    <row r="530" spans="1:29" x14ac:dyDescent="0.3">
      <c r="A530" s="681"/>
      <c r="B530" s="1193"/>
      <c r="C530" s="1193"/>
      <c r="D530" s="1193"/>
      <c r="E530" s="1193"/>
      <c r="F530" s="1193"/>
      <c r="G530" s="1193"/>
      <c r="H530" s="1193"/>
      <c r="I530" s="1193"/>
      <c r="J530" s="1193"/>
      <c r="K530" s="1193"/>
      <c r="L530" s="1193"/>
      <c r="M530" s="1193"/>
      <c r="N530" s="1193"/>
      <c r="O530" s="1193"/>
      <c r="P530" s="1193"/>
      <c r="Q530" s="1193"/>
      <c r="R530" s="1193"/>
      <c r="S530" s="1193"/>
      <c r="T530" s="1193"/>
      <c r="U530" s="1193"/>
      <c r="V530" s="1193"/>
      <c r="W530" s="1193"/>
      <c r="X530" s="1193"/>
      <c r="Y530" s="1193"/>
      <c r="Z530" s="1193"/>
      <c r="AA530" s="1193"/>
      <c r="AB530" s="1193"/>
      <c r="AC530" s="1193"/>
    </row>
    <row r="531" spans="1:29" x14ac:dyDescent="0.3">
      <c r="A531" s="681"/>
      <c r="B531" s="1193"/>
      <c r="C531" s="1193"/>
      <c r="D531" s="1193"/>
      <c r="E531" s="1193"/>
      <c r="F531" s="1193"/>
      <c r="G531" s="1193"/>
      <c r="H531" s="1193"/>
      <c r="I531" s="1193"/>
      <c r="J531" s="1193"/>
      <c r="K531" s="1193"/>
      <c r="L531" s="1193"/>
      <c r="M531" s="1193"/>
      <c r="N531" s="1193"/>
      <c r="O531" s="1193"/>
      <c r="P531" s="1193"/>
      <c r="Q531" s="1193"/>
      <c r="R531" s="1193"/>
      <c r="S531" s="1193"/>
      <c r="T531" s="1193"/>
      <c r="U531" s="1193"/>
      <c r="V531" s="1193"/>
      <c r="W531" s="1193"/>
      <c r="X531" s="1193"/>
      <c r="Y531" s="1193"/>
      <c r="Z531" s="1193"/>
      <c r="AA531" s="1193"/>
      <c r="AB531" s="1193"/>
      <c r="AC531" s="1193"/>
    </row>
    <row r="532" spans="1:29" x14ac:dyDescent="0.3">
      <c r="A532" s="681"/>
      <c r="B532" s="1193"/>
      <c r="C532" s="1193"/>
      <c r="D532" s="1193"/>
      <c r="E532" s="1193"/>
      <c r="F532" s="1193"/>
      <c r="G532" s="1193"/>
      <c r="H532" s="1193"/>
      <c r="I532" s="1193"/>
      <c r="J532" s="1193"/>
      <c r="K532" s="1193"/>
      <c r="L532" s="1193"/>
      <c r="M532" s="1193"/>
      <c r="N532" s="1193"/>
      <c r="O532" s="1193"/>
      <c r="P532" s="1193"/>
      <c r="Q532" s="1193"/>
      <c r="R532" s="1193"/>
      <c r="S532" s="1193"/>
      <c r="T532" s="1193"/>
      <c r="U532" s="1193"/>
      <c r="V532" s="1193"/>
      <c r="W532" s="1193"/>
      <c r="X532" s="1193"/>
      <c r="Y532" s="1193"/>
      <c r="Z532" s="1193"/>
      <c r="AA532" s="1193"/>
      <c r="AB532" s="1193"/>
      <c r="AC532" s="1193"/>
    </row>
    <row r="533" spans="1:29" x14ac:dyDescent="0.3">
      <c r="A533" s="681"/>
      <c r="B533" s="1193"/>
      <c r="C533" s="1193"/>
      <c r="D533" s="1193"/>
      <c r="E533" s="1193"/>
      <c r="F533" s="1193"/>
      <c r="G533" s="1193"/>
      <c r="H533" s="1193"/>
      <c r="I533" s="1193"/>
      <c r="J533" s="1193"/>
      <c r="K533" s="1193"/>
      <c r="L533" s="1193"/>
      <c r="M533" s="1193"/>
      <c r="N533" s="1193"/>
      <c r="O533" s="1193"/>
      <c r="P533" s="1193"/>
      <c r="Q533" s="1193"/>
      <c r="R533" s="1193"/>
      <c r="S533" s="1193"/>
      <c r="T533" s="1193"/>
      <c r="U533" s="1193"/>
      <c r="V533" s="1193"/>
      <c r="W533" s="1193"/>
      <c r="X533" s="1193"/>
      <c r="Y533" s="1193"/>
      <c r="Z533" s="1193"/>
      <c r="AA533" s="1193"/>
      <c r="AB533" s="1193"/>
      <c r="AC533" s="1193"/>
    </row>
    <row r="534" spans="1:29" x14ac:dyDescent="0.3">
      <c r="A534" s="681"/>
      <c r="B534" s="1193"/>
      <c r="C534" s="1193"/>
      <c r="D534" s="1193"/>
      <c r="E534" s="1193"/>
      <c r="F534" s="1193"/>
      <c r="G534" s="1193"/>
      <c r="H534" s="1193"/>
      <c r="I534" s="1193"/>
      <c r="J534" s="1193"/>
      <c r="K534" s="1193"/>
      <c r="L534" s="1193"/>
      <c r="M534" s="1193"/>
      <c r="N534" s="1193"/>
      <c r="O534" s="1193"/>
      <c r="P534" s="1193"/>
      <c r="Q534" s="1193"/>
      <c r="R534" s="1193"/>
      <c r="S534" s="1193"/>
      <c r="T534" s="1193"/>
      <c r="U534" s="1193"/>
      <c r="V534" s="1193"/>
      <c r="W534" s="1193"/>
      <c r="X534" s="1193"/>
      <c r="Y534" s="1193"/>
      <c r="Z534" s="1193"/>
      <c r="AA534" s="1193"/>
      <c r="AB534" s="1193"/>
      <c r="AC534" s="1193"/>
    </row>
    <row r="535" spans="1:29" x14ac:dyDescent="0.3">
      <c r="A535" s="681"/>
      <c r="B535" s="1193"/>
      <c r="C535" s="1193"/>
      <c r="D535" s="1193"/>
      <c r="E535" s="1193"/>
      <c r="F535" s="1193"/>
      <c r="G535" s="1193"/>
      <c r="H535" s="1193"/>
      <c r="I535" s="1193"/>
      <c r="J535" s="1193"/>
      <c r="K535" s="1193"/>
      <c r="L535" s="1193"/>
      <c r="M535" s="1193"/>
      <c r="N535" s="1193"/>
      <c r="O535" s="1193"/>
      <c r="P535" s="1193"/>
      <c r="Q535" s="1193"/>
      <c r="R535" s="1193"/>
      <c r="S535" s="1193"/>
      <c r="T535" s="1193"/>
      <c r="U535" s="1193"/>
      <c r="V535" s="1193"/>
      <c r="W535" s="1193"/>
      <c r="X535" s="1193"/>
      <c r="Y535" s="1193"/>
      <c r="Z535" s="1193"/>
      <c r="AA535" s="1193"/>
      <c r="AB535" s="1193"/>
      <c r="AC535" s="1193"/>
    </row>
    <row r="536" spans="1:29" x14ac:dyDescent="0.3">
      <c r="A536" s="681"/>
      <c r="B536" s="1193"/>
      <c r="C536" s="1193"/>
      <c r="D536" s="1193"/>
      <c r="E536" s="1193"/>
      <c r="F536" s="1193"/>
      <c r="G536" s="1193"/>
      <c r="H536" s="1193"/>
      <c r="I536" s="1193"/>
      <c r="J536" s="1193"/>
      <c r="K536" s="1193"/>
      <c r="L536" s="1193"/>
      <c r="M536" s="1193"/>
      <c r="N536" s="1193"/>
      <c r="O536" s="1193"/>
      <c r="P536" s="1193"/>
      <c r="Q536" s="1193"/>
      <c r="R536" s="1193"/>
      <c r="S536" s="1193"/>
      <c r="T536" s="1193"/>
      <c r="U536" s="1193"/>
      <c r="V536" s="1193"/>
      <c r="W536" s="1193"/>
      <c r="X536" s="1193"/>
      <c r="Y536" s="1193"/>
      <c r="Z536" s="1193"/>
      <c r="AA536" s="1193"/>
      <c r="AB536" s="1193"/>
      <c r="AC536" s="1193"/>
    </row>
    <row r="537" spans="1:29" x14ac:dyDescent="0.3">
      <c r="A537" s="681"/>
      <c r="B537" s="1193"/>
      <c r="C537" s="1193"/>
      <c r="D537" s="1193"/>
      <c r="E537" s="1193"/>
      <c r="F537" s="1193"/>
      <c r="G537" s="1193"/>
      <c r="H537" s="1193"/>
      <c r="I537" s="1193"/>
      <c r="J537" s="1193"/>
      <c r="K537" s="1193"/>
      <c r="L537" s="1193"/>
      <c r="M537" s="1193"/>
      <c r="N537" s="1193"/>
      <c r="O537" s="1193"/>
      <c r="P537" s="1193"/>
      <c r="Q537" s="1193"/>
      <c r="R537" s="1193"/>
      <c r="S537" s="1193"/>
      <c r="T537" s="1193"/>
      <c r="U537" s="1193"/>
      <c r="V537" s="1193"/>
      <c r="W537" s="1193"/>
      <c r="X537" s="1193"/>
      <c r="Y537" s="1193"/>
      <c r="Z537" s="1193"/>
      <c r="AA537" s="1193"/>
      <c r="AB537" s="1193"/>
      <c r="AC537" s="1193"/>
    </row>
    <row r="538" spans="1:29" x14ac:dyDescent="0.3">
      <c r="A538" s="681"/>
      <c r="B538" s="1193"/>
      <c r="C538" s="1193"/>
      <c r="D538" s="1193"/>
      <c r="E538" s="1193"/>
      <c r="F538" s="1193"/>
      <c r="G538" s="1193"/>
      <c r="H538" s="1193"/>
      <c r="I538" s="1193"/>
      <c r="J538" s="1193"/>
      <c r="K538" s="1193"/>
      <c r="L538" s="1193"/>
      <c r="M538" s="1193"/>
      <c r="N538" s="1193"/>
      <c r="O538" s="1193"/>
      <c r="P538" s="1193"/>
      <c r="Q538" s="1193"/>
      <c r="R538" s="1193"/>
      <c r="S538" s="1193"/>
      <c r="T538" s="1193"/>
      <c r="U538" s="1193"/>
      <c r="V538" s="1193"/>
      <c r="W538" s="1193"/>
      <c r="X538" s="1193"/>
      <c r="Y538" s="1193"/>
      <c r="Z538" s="1193"/>
      <c r="AA538" s="1193"/>
      <c r="AB538" s="1193"/>
      <c r="AC538" s="1193"/>
    </row>
    <row r="539" spans="1:29" x14ac:dyDescent="0.3">
      <c r="A539" s="681"/>
      <c r="B539" s="1193"/>
      <c r="C539" s="1193"/>
      <c r="D539" s="1193"/>
      <c r="E539" s="1193"/>
      <c r="F539" s="1193"/>
      <c r="G539" s="1193"/>
      <c r="H539" s="1193"/>
      <c r="I539" s="1193"/>
      <c r="J539" s="1193"/>
      <c r="K539" s="1193"/>
      <c r="L539" s="1193"/>
      <c r="M539" s="1193"/>
      <c r="N539" s="1193"/>
      <c r="O539" s="1193"/>
      <c r="P539" s="1193"/>
      <c r="Q539" s="1193"/>
      <c r="R539" s="1193"/>
      <c r="S539" s="1193"/>
      <c r="T539" s="1193"/>
      <c r="U539" s="1193"/>
      <c r="V539" s="1193"/>
      <c r="W539" s="1193"/>
      <c r="X539" s="1193"/>
      <c r="Y539" s="1193"/>
      <c r="Z539" s="1193"/>
      <c r="AA539" s="1193"/>
      <c r="AB539" s="1193"/>
      <c r="AC539" s="1193"/>
    </row>
    <row r="540" spans="1:29" x14ac:dyDescent="0.3">
      <c r="A540" s="681"/>
      <c r="B540" s="1193"/>
      <c r="C540" s="1193"/>
      <c r="D540" s="1193"/>
      <c r="E540" s="1193"/>
      <c r="F540" s="1193"/>
      <c r="G540" s="1193"/>
      <c r="H540" s="1193"/>
      <c r="I540" s="1193"/>
      <c r="J540" s="1193"/>
      <c r="K540" s="1193"/>
      <c r="L540" s="1193"/>
      <c r="M540" s="1193"/>
      <c r="N540" s="1193"/>
      <c r="O540" s="1193"/>
      <c r="P540" s="1193"/>
      <c r="Q540" s="1193"/>
      <c r="R540" s="1193"/>
      <c r="S540" s="1193"/>
      <c r="T540" s="1193"/>
      <c r="U540" s="1193"/>
      <c r="V540" s="1193"/>
      <c r="W540" s="1193"/>
      <c r="X540" s="1193"/>
      <c r="Y540" s="1193"/>
      <c r="Z540" s="1193"/>
      <c r="AA540" s="1193"/>
      <c r="AB540" s="1193"/>
      <c r="AC540" s="1193"/>
    </row>
    <row r="541" spans="1:29" x14ac:dyDescent="0.3">
      <c r="A541" s="681"/>
      <c r="B541" s="1193"/>
      <c r="C541" s="1193"/>
      <c r="D541" s="1193"/>
      <c r="E541" s="1193"/>
      <c r="F541" s="1193"/>
      <c r="G541" s="1193"/>
      <c r="H541" s="1193"/>
      <c r="I541" s="1193"/>
      <c r="J541" s="1193"/>
      <c r="K541" s="1193"/>
      <c r="L541" s="1193"/>
      <c r="M541" s="1193"/>
      <c r="N541" s="1193"/>
      <c r="O541" s="1193"/>
      <c r="P541" s="1193"/>
      <c r="Q541" s="1193"/>
      <c r="R541" s="1193"/>
      <c r="S541" s="1193"/>
      <c r="T541" s="1193"/>
      <c r="U541" s="1193"/>
      <c r="V541" s="1193"/>
      <c r="W541" s="1193"/>
      <c r="X541" s="1193"/>
      <c r="Y541" s="1193"/>
      <c r="Z541" s="1193"/>
      <c r="AA541" s="1193"/>
      <c r="AB541" s="1193"/>
      <c r="AC541" s="1193"/>
    </row>
    <row r="542" spans="1:29" x14ac:dyDescent="0.3">
      <c r="A542" s="681"/>
      <c r="B542" s="1193"/>
      <c r="C542" s="1193"/>
      <c r="D542" s="1193"/>
      <c r="E542" s="1193"/>
      <c r="F542" s="1193"/>
      <c r="G542" s="1193"/>
      <c r="H542" s="1193"/>
      <c r="I542" s="1193"/>
      <c r="J542" s="1193"/>
      <c r="K542" s="1193"/>
      <c r="L542" s="1193"/>
      <c r="M542" s="1193"/>
      <c r="N542" s="1193"/>
      <c r="O542" s="1193"/>
      <c r="P542" s="1193"/>
      <c r="Q542" s="1193"/>
      <c r="R542" s="1193"/>
      <c r="S542" s="1193"/>
      <c r="T542" s="1193"/>
      <c r="U542" s="1193"/>
      <c r="V542" s="1193"/>
      <c r="W542" s="1193"/>
      <c r="X542" s="1193"/>
      <c r="Y542" s="1193"/>
      <c r="Z542" s="1193"/>
      <c r="AA542" s="1193"/>
      <c r="AB542" s="1193"/>
      <c r="AC542" s="1193"/>
    </row>
    <row r="543" spans="1:29" x14ac:dyDescent="0.3">
      <c r="A543" s="681"/>
      <c r="B543" s="1193"/>
      <c r="C543" s="1193"/>
      <c r="D543" s="1193"/>
      <c r="E543" s="1193"/>
      <c r="F543" s="1193"/>
      <c r="G543" s="1193"/>
      <c r="H543" s="1193"/>
      <c r="I543" s="1193"/>
      <c r="J543" s="1193"/>
      <c r="K543" s="1193"/>
      <c r="L543" s="1193"/>
      <c r="M543" s="1193"/>
      <c r="N543" s="1193"/>
      <c r="O543" s="1193"/>
      <c r="P543" s="1193"/>
      <c r="Q543" s="1193"/>
      <c r="R543" s="1193"/>
      <c r="S543" s="1193"/>
      <c r="T543" s="1193"/>
      <c r="U543" s="1193"/>
      <c r="V543" s="1193"/>
      <c r="W543" s="1193"/>
      <c r="X543" s="1193"/>
      <c r="Y543" s="1193"/>
      <c r="Z543" s="1193"/>
      <c r="AA543" s="1193"/>
      <c r="AB543" s="1193"/>
      <c r="AC543" s="1193"/>
    </row>
    <row r="544" spans="1:29" x14ac:dyDescent="0.3">
      <c r="A544" s="681"/>
      <c r="B544" s="1193"/>
      <c r="C544" s="1193"/>
      <c r="D544" s="1193"/>
      <c r="E544" s="1193"/>
      <c r="F544" s="1193"/>
      <c r="G544" s="1193"/>
      <c r="H544" s="1193"/>
      <c r="I544" s="1193"/>
      <c r="J544" s="1193"/>
      <c r="K544" s="1193"/>
      <c r="L544" s="1193"/>
      <c r="M544" s="1193"/>
      <c r="N544" s="1193"/>
      <c r="O544" s="1193"/>
      <c r="P544" s="1193"/>
      <c r="Q544" s="1193"/>
      <c r="R544" s="1193"/>
      <c r="S544" s="1193"/>
      <c r="T544" s="1193"/>
      <c r="U544" s="1193"/>
      <c r="V544" s="1193"/>
      <c r="W544" s="1193"/>
      <c r="X544" s="1193"/>
      <c r="Y544" s="1193"/>
      <c r="Z544" s="1193"/>
      <c r="AA544" s="1193"/>
      <c r="AB544" s="1193"/>
      <c r="AC544" s="1193"/>
    </row>
    <row r="545" spans="1:29" x14ac:dyDescent="0.3">
      <c r="A545" s="681"/>
      <c r="B545" s="1193"/>
      <c r="C545" s="1193"/>
      <c r="D545" s="1193"/>
      <c r="E545" s="1193"/>
      <c r="F545" s="1193"/>
      <c r="G545" s="1193"/>
      <c r="H545" s="1193"/>
      <c r="I545" s="1193"/>
      <c r="J545" s="1193"/>
      <c r="K545" s="1193"/>
      <c r="L545" s="1193"/>
      <c r="M545" s="1193"/>
      <c r="N545" s="1193"/>
      <c r="O545" s="1193"/>
      <c r="P545" s="1193"/>
      <c r="Q545" s="1193"/>
      <c r="R545" s="1193"/>
      <c r="S545" s="1193"/>
      <c r="T545" s="1193"/>
      <c r="U545" s="1193"/>
      <c r="V545" s="1193"/>
      <c r="W545" s="1193"/>
      <c r="X545" s="1193"/>
      <c r="Y545" s="1193"/>
      <c r="Z545" s="1193"/>
      <c r="AA545" s="1193"/>
      <c r="AB545" s="1193"/>
      <c r="AC545" s="1193"/>
    </row>
    <row r="546" spans="1:29" x14ac:dyDescent="0.3">
      <c r="A546" s="681"/>
      <c r="B546" s="1193"/>
      <c r="C546" s="1193"/>
      <c r="D546" s="1193"/>
      <c r="E546" s="1193"/>
      <c r="F546" s="1193"/>
      <c r="G546" s="1193"/>
      <c r="H546" s="1193"/>
      <c r="I546" s="1193"/>
      <c r="J546" s="1193"/>
      <c r="K546" s="1193"/>
      <c r="L546" s="1193"/>
      <c r="M546" s="1193"/>
      <c r="N546" s="1193"/>
      <c r="O546" s="1193"/>
      <c r="P546" s="1193"/>
      <c r="Q546" s="1193"/>
      <c r="R546" s="1193"/>
      <c r="S546" s="1193"/>
      <c r="T546" s="1193"/>
      <c r="U546" s="1193"/>
      <c r="V546" s="1193"/>
      <c r="W546" s="1193"/>
      <c r="X546" s="1193"/>
      <c r="Y546" s="1193"/>
      <c r="Z546" s="1193"/>
      <c r="AA546" s="1193"/>
      <c r="AB546" s="1193"/>
      <c r="AC546" s="1193"/>
    </row>
    <row r="547" spans="1:29" x14ac:dyDescent="0.3">
      <c r="A547" s="681"/>
      <c r="B547" s="1193"/>
      <c r="C547" s="1193"/>
      <c r="D547" s="1193"/>
      <c r="E547" s="1193"/>
      <c r="F547" s="1193"/>
      <c r="G547" s="1193"/>
      <c r="H547" s="1193"/>
      <c r="I547" s="1193"/>
      <c r="J547" s="1193"/>
      <c r="K547" s="1193"/>
      <c r="L547" s="1193"/>
      <c r="M547" s="1193"/>
      <c r="N547" s="1193"/>
      <c r="O547" s="1193"/>
      <c r="P547" s="1193"/>
      <c r="Q547" s="1193"/>
      <c r="R547" s="1193"/>
      <c r="S547" s="1193"/>
      <c r="T547" s="1193"/>
      <c r="U547" s="1193"/>
      <c r="V547" s="1193"/>
      <c r="W547" s="1193"/>
      <c r="X547" s="1193"/>
      <c r="Y547" s="1193"/>
      <c r="Z547" s="1193"/>
      <c r="AA547" s="1193"/>
      <c r="AB547" s="1193"/>
      <c r="AC547" s="1193"/>
    </row>
    <row r="548" spans="1:29" x14ac:dyDescent="0.3">
      <c r="A548" s="681"/>
      <c r="B548" s="1193"/>
      <c r="C548" s="1193"/>
      <c r="D548" s="1193"/>
      <c r="E548" s="1193"/>
      <c r="F548" s="1193"/>
      <c r="G548" s="1193"/>
      <c r="H548" s="1193"/>
      <c r="I548" s="1193"/>
      <c r="J548" s="1193"/>
      <c r="K548" s="1193"/>
      <c r="L548" s="1193"/>
      <c r="M548" s="1193"/>
      <c r="N548" s="1193"/>
      <c r="O548" s="1193"/>
      <c r="P548" s="1193"/>
      <c r="Q548" s="1193"/>
      <c r="R548" s="1193"/>
      <c r="S548" s="1193"/>
      <c r="T548" s="1193"/>
      <c r="U548" s="1193"/>
      <c r="V548" s="1193"/>
      <c r="W548" s="1193"/>
      <c r="X548" s="1193"/>
      <c r="Y548" s="1193"/>
      <c r="Z548" s="1193"/>
      <c r="AA548" s="1193"/>
      <c r="AB548" s="1193"/>
      <c r="AC548" s="1193"/>
    </row>
    <row r="549" spans="1:29" x14ac:dyDescent="0.3">
      <c r="A549" s="681"/>
      <c r="B549" s="1193"/>
      <c r="C549" s="1193"/>
      <c r="D549" s="1193"/>
      <c r="E549" s="1193"/>
      <c r="F549" s="1193"/>
      <c r="G549" s="1193"/>
      <c r="H549" s="1193"/>
      <c r="I549" s="1193"/>
      <c r="J549" s="1193"/>
      <c r="K549" s="1193"/>
      <c r="L549" s="1193"/>
      <c r="M549" s="1193"/>
      <c r="N549" s="1193"/>
      <c r="O549" s="1193"/>
      <c r="P549" s="1193"/>
      <c r="Q549" s="1193"/>
      <c r="R549" s="1193"/>
      <c r="S549" s="1193"/>
      <c r="T549" s="1193"/>
      <c r="U549" s="1193"/>
      <c r="V549" s="1193"/>
      <c r="W549" s="1193"/>
      <c r="X549" s="1193"/>
      <c r="Y549" s="1193"/>
      <c r="Z549" s="1193"/>
      <c r="AA549" s="1193"/>
      <c r="AB549" s="1193"/>
      <c r="AC549" s="1193"/>
    </row>
    <row r="550" spans="1:29" x14ac:dyDescent="0.3">
      <c r="A550" s="681"/>
      <c r="B550" s="1193"/>
      <c r="C550" s="1193"/>
      <c r="D550" s="1193"/>
      <c r="E550" s="1193"/>
      <c r="F550" s="1193"/>
      <c r="G550" s="1193"/>
      <c r="H550" s="1193"/>
      <c r="I550" s="1193"/>
      <c r="J550" s="1193"/>
      <c r="K550" s="1193"/>
      <c r="L550" s="1193"/>
      <c r="M550" s="1193"/>
      <c r="N550" s="1193"/>
      <c r="O550" s="1193"/>
      <c r="P550" s="1193"/>
      <c r="Q550" s="1193"/>
      <c r="R550" s="1193"/>
      <c r="S550" s="1193"/>
      <c r="T550" s="1193"/>
      <c r="U550" s="1193"/>
      <c r="V550" s="1193"/>
      <c r="W550" s="1193"/>
      <c r="X550" s="1193"/>
      <c r="Y550" s="1193"/>
      <c r="Z550" s="1193"/>
      <c r="AA550" s="1193"/>
      <c r="AB550" s="1193"/>
      <c r="AC550" s="1193"/>
    </row>
    <row r="551" spans="1:29" x14ac:dyDescent="0.3">
      <c r="A551" s="681"/>
      <c r="B551" s="1193"/>
      <c r="C551" s="1193"/>
      <c r="D551" s="1193"/>
      <c r="E551" s="1193"/>
      <c r="F551" s="1193"/>
      <c r="G551" s="1193"/>
      <c r="H551" s="1193"/>
      <c r="I551" s="1193"/>
      <c r="J551" s="1193"/>
      <c r="K551" s="1193"/>
      <c r="L551" s="1193"/>
      <c r="M551" s="1193"/>
      <c r="N551" s="1193"/>
      <c r="O551" s="1193"/>
      <c r="P551" s="1193"/>
      <c r="Q551" s="1193"/>
      <c r="R551" s="1193"/>
      <c r="S551" s="1193"/>
      <c r="T551" s="1193"/>
      <c r="U551" s="1193"/>
      <c r="V551" s="1193"/>
      <c r="W551" s="1193"/>
      <c r="X551" s="1193"/>
      <c r="Y551" s="1193"/>
      <c r="Z551" s="1193"/>
      <c r="AA551" s="1193"/>
      <c r="AB551" s="1193"/>
      <c r="AC551" s="1193"/>
    </row>
    <row r="552" spans="1:29" x14ac:dyDescent="0.3">
      <c r="A552" s="681"/>
      <c r="B552" s="1193"/>
      <c r="C552" s="1193"/>
      <c r="D552" s="1193"/>
      <c r="E552" s="1193"/>
      <c r="F552" s="1193"/>
      <c r="G552" s="1193"/>
      <c r="H552" s="1193"/>
      <c r="I552" s="1193"/>
      <c r="J552" s="1193"/>
      <c r="K552" s="1193"/>
      <c r="L552" s="1193"/>
      <c r="M552" s="1193"/>
      <c r="N552" s="1193"/>
      <c r="O552" s="1193"/>
      <c r="P552" s="1193"/>
      <c r="Q552" s="1193"/>
      <c r="R552" s="1193"/>
      <c r="S552" s="1193"/>
      <c r="T552" s="1193"/>
      <c r="U552" s="1193"/>
      <c r="V552" s="1193"/>
      <c r="W552" s="1193"/>
      <c r="X552" s="1193"/>
      <c r="Y552" s="1193"/>
      <c r="Z552" s="1193"/>
      <c r="AA552" s="1193"/>
      <c r="AB552" s="1193"/>
      <c r="AC552" s="1193"/>
    </row>
    <row r="553" spans="1:29" x14ac:dyDescent="0.3">
      <c r="A553" s="681"/>
      <c r="B553" s="1193"/>
      <c r="C553" s="1193"/>
      <c r="D553" s="1193"/>
      <c r="E553" s="1193"/>
      <c r="F553" s="1193"/>
      <c r="G553" s="1193"/>
      <c r="H553" s="1193"/>
      <c r="I553" s="1193"/>
      <c r="J553" s="1193"/>
      <c r="K553" s="1193"/>
      <c r="L553" s="1193"/>
      <c r="M553" s="1193"/>
      <c r="N553" s="1193"/>
      <c r="O553" s="1193"/>
      <c r="P553" s="1193"/>
      <c r="Q553" s="1193"/>
      <c r="R553" s="1193"/>
      <c r="S553" s="1193"/>
      <c r="T553" s="1193"/>
      <c r="U553" s="1193"/>
      <c r="V553" s="1193"/>
      <c r="W553" s="1193"/>
      <c r="X553" s="1193"/>
      <c r="Y553" s="1193"/>
      <c r="Z553" s="1193"/>
      <c r="AA553" s="1193"/>
      <c r="AB553" s="1193"/>
      <c r="AC553" s="1193"/>
    </row>
    <row r="554" spans="1:29" x14ac:dyDescent="0.3">
      <c r="A554" s="681"/>
      <c r="B554" s="1193"/>
      <c r="C554" s="1193"/>
      <c r="D554" s="1193"/>
      <c r="E554" s="1193"/>
      <c r="F554" s="1193"/>
      <c r="G554" s="1193"/>
      <c r="H554" s="1193"/>
      <c r="I554" s="1193"/>
      <c r="J554" s="1193"/>
      <c r="K554" s="1193"/>
      <c r="L554" s="1193"/>
      <c r="M554" s="1193"/>
      <c r="N554" s="1193"/>
      <c r="O554" s="1193"/>
      <c r="P554" s="1193"/>
      <c r="Q554" s="1193"/>
      <c r="R554" s="1193"/>
      <c r="S554" s="1193"/>
      <c r="T554" s="1193"/>
      <c r="U554" s="1193"/>
      <c r="V554" s="1193"/>
      <c r="W554" s="1193"/>
      <c r="X554" s="1193"/>
      <c r="Y554" s="1193"/>
      <c r="Z554" s="1193"/>
      <c r="AA554" s="1193"/>
      <c r="AB554" s="1193"/>
      <c r="AC554" s="1193"/>
    </row>
    <row r="555" spans="1:29" x14ac:dyDescent="0.3">
      <c r="A555" s="681"/>
      <c r="B555" s="1193"/>
      <c r="C555" s="1193"/>
      <c r="D555" s="1193"/>
      <c r="E555" s="1193"/>
      <c r="F555" s="1193"/>
      <c r="G555" s="1193"/>
      <c r="H555" s="1193"/>
      <c r="I555" s="1193"/>
      <c r="J555" s="1193"/>
      <c r="K555" s="1193"/>
      <c r="L555" s="1193"/>
      <c r="M555" s="1193"/>
      <c r="N555" s="1193"/>
      <c r="O555" s="1193"/>
      <c r="P555" s="1193"/>
      <c r="Q555" s="1193"/>
      <c r="R555" s="1193"/>
      <c r="S555" s="1193"/>
      <c r="T555" s="1193"/>
      <c r="U555" s="1193"/>
      <c r="V555" s="1193"/>
      <c r="W555" s="1193"/>
      <c r="X555" s="1193"/>
      <c r="Y555" s="1193"/>
      <c r="Z555" s="1193"/>
      <c r="AA555" s="1193"/>
      <c r="AB555" s="1193"/>
      <c r="AC555" s="1193"/>
    </row>
    <row r="556" spans="1:29" x14ac:dyDescent="0.3">
      <c r="A556" s="681"/>
      <c r="B556" s="1193"/>
      <c r="C556" s="1193"/>
      <c r="D556" s="1193"/>
      <c r="E556" s="1193"/>
      <c r="F556" s="1193"/>
      <c r="G556" s="1193"/>
      <c r="H556" s="1193"/>
      <c r="I556" s="1193"/>
      <c r="J556" s="1193"/>
      <c r="K556" s="1193"/>
      <c r="L556" s="1193"/>
      <c r="M556" s="1193"/>
      <c r="N556" s="1193"/>
      <c r="O556" s="1193"/>
      <c r="P556" s="1193"/>
      <c r="Q556" s="1193"/>
      <c r="R556" s="1193"/>
      <c r="S556" s="1193"/>
      <c r="T556" s="1193"/>
      <c r="U556" s="1193"/>
      <c r="V556" s="1193"/>
      <c r="W556" s="1193"/>
      <c r="X556" s="1193"/>
      <c r="Y556" s="1193"/>
      <c r="Z556" s="1193"/>
      <c r="AA556" s="1193"/>
      <c r="AB556" s="1193"/>
      <c r="AC556" s="1193"/>
    </row>
    <row r="557" spans="1:29" x14ac:dyDescent="0.3">
      <c r="A557" s="681"/>
      <c r="B557" s="1193"/>
      <c r="C557" s="1193"/>
      <c r="D557" s="1193"/>
      <c r="E557" s="1193"/>
      <c r="F557" s="1193"/>
      <c r="G557" s="1193"/>
      <c r="H557" s="1193"/>
      <c r="I557" s="1193"/>
      <c r="J557" s="1193"/>
      <c r="K557" s="1193"/>
      <c r="L557" s="1193"/>
      <c r="M557" s="1193"/>
      <c r="N557" s="1193"/>
      <c r="O557" s="1193"/>
      <c r="P557" s="1193"/>
      <c r="Q557" s="1193"/>
      <c r="R557" s="1193"/>
      <c r="S557" s="1193"/>
      <c r="T557" s="1193"/>
      <c r="U557" s="1193"/>
      <c r="V557" s="1193"/>
      <c r="W557" s="1193"/>
      <c r="X557" s="1193"/>
      <c r="Y557" s="1193"/>
      <c r="Z557" s="1193"/>
      <c r="AA557" s="1193"/>
      <c r="AB557" s="1193"/>
      <c r="AC557" s="1193"/>
    </row>
    <row r="558" spans="1:29" x14ac:dyDescent="0.3">
      <c r="A558" s="681"/>
      <c r="B558" s="1193"/>
      <c r="C558" s="1193"/>
      <c r="D558" s="1193"/>
      <c r="E558" s="1193"/>
      <c r="F558" s="1193"/>
      <c r="G558" s="1193"/>
      <c r="H558" s="1193"/>
      <c r="I558" s="1193"/>
      <c r="J558" s="1193"/>
      <c r="K558" s="1193"/>
      <c r="L558" s="1193"/>
      <c r="M558" s="1193"/>
      <c r="N558" s="1193"/>
      <c r="O558" s="1193"/>
      <c r="P558" s="1193"/>
      <c r="Q558" s="1193"/>
      <c r="R558" s="1193"/>
      <c r="S558" s="1193"/>
      <c r="T558" s="1193"/>
      <c r="U558" s="1193"/>
      <c r="V558" s="1193"/>
      <c r="W558" s="1193"/>
      <c r="X558" s="1193"/>
      <c r="Y558" s="1193"/>
      <c r="Z558" s="1193"/>
      <c r="AA558" s="1193"/>
      <c r="AB558" s="1193"/>
      <c r="AC558" s="1193"/>
    </row>
    <row r="559" spans="1:29" x14ac:dyDescent="0.3">
      <c r="A559" s="681"/>
      <c r="B559" s="1193"/>
      <c r="C559" s="1193"/>
      <c r="D559" s="1193"/>
      <c r="E559" s="1193"/>
      <c r="F559" s="1193"/>
      <c r="G559" s="1193"/>
      <c r="H559" s="1193"/>
      <c r="I559" s="1193"/>
      <c r="J559" s="1193"/>
      <c r="K559" s="1193"/>
      <c r="L559" s="1193"/>
      <c r="M559" s="1193"/>
      <c r="N559" s="1193"/>
      <c r="O559" s="1193"/>
      <c r="P559" s="1193"/>
      <c r="Q559" s="1193"/>
      <c r="R559" s="1193"/>
      <c r="S559" s="1193"/>
      <c r="T559" s="1193"/>
      <c r="U559" s="1193"/>
      <c r="V559" s="1193"/>
      <c r="W559" s="1193"/>
      <c r="X559" s="1193"/>
      <c r="Y559" s="1193"/>
      <c r="Z559" s="1193"/>
      <c r="AA559" s="1193"/>
      <c r="AB559" s="1193"/>
      <c r="AC559" s="1193"/>
    </row>
    <row r="560" spans="1:29" x14ac:dyDescent="0.3">
      <c r="A560" s="681"/>
      <c r="B560" s="1193"/>
      <c r="C560" s="1193"/>
      <c r="D560" s="1193"/>
      <c r="E560" s="1193"/>
      <c r="F560" s="1193"/>
      <c r="G560" s="1193"/>
      <c r="H560" s="1193"/>
      <c r="I560" s="1193"/>
      <c r="J560" s="1193"/>
      <c r="K560" s="1193"/>
      <c r="L560" s="1193"/>
      <c r="M560" s="1193"/>
      <c r="N560" s="1193"/>
      <c r="O560" s="1193"/>
      <c r="P560" s="1193"/>
      <c r="Q560" s="1193"/>
      <c r="R560" s="1193"/>
      <c r="S560" s="1193"/>
      <c r="T560" s="1193"/>
      <c r="U560" s="1193"/>
      <c r="V560" s="1193"/>
      <c r="W560" s="1193"/>
      <c r="X560" s="1193"/>
      <c r="Y560" s="1193"/>
      <c r="Z560" s="1193"/>
      <c r="AA560" s="1193"/>
      <c r="AB560" s="1193"/>
      <c r="AC560" s="1193"/>
    </row>
    <row r="561" spans="1:29" x14ac:dyDescent="0.3">
      <c r="A561" s="681"/>
      <c r="B561" s="1193"/>
      <c r="C561" s="1193"/>
      <c r="D561" s="1193"/>
      <c r="E561" s="1193"/>
      <c r="F561" s="1193"/>
      <c r="G561" s="1193"/>
      <c r="H561" s="1193"/>
      <c r="I561" s="1193"/>
      <c r="J561" s="1193"/>
      <c r="K561" s="1193"/>
      <c r="L561" s="1193"/>
      <c r="M561" s="1193"/>
      <c r="N561" s="1193"/>
      <c r="O561" s="1193"/>
      <c r="P561" s="1193"/>
      <c r="Q561" s="1193"/>
      <c r="R561" s="1193"/>
      <c r="S561" s="1193"/>
      <c r="T561" s="1193"/>
      <c r="U561" s="1193"/>
      <c r="V561" s="1193"/>
      <c r="W561" s="1193"/>
      <c r="X561" s="1193"/>
      <c r="Y561" s="1193"/>
      <c r="Z561" s="1193"/>
      <c r="AA561" s="1193"/>
      <c r="AB561" s="1193"/>
      <c r="AC561" s="1193"/>
    </row>
    <row r="562" spans="1:29" x14ac:dyDescent="0.3">
      <c r="A562" s="681"/>
      <c r="B562" s="1193"/>
      <c r="C562" s="1193"/>
      <c r="D562" s="1193"/>
      <c r="E562" s="1193"/>
      <c r="F562" s="1193"/>
      <c r="G562" s="1193"/>
      <c r="H562" s="1193"/>
      <c r="I562" s="1193"/>
      <c r="J562" s="1193"/>
      <c r="K562" s="1193"/>
      <c r="L562" s="1193"/>
      <c r="M562" s="1193"/>
      <c r="N562" s="1193"/>
      <c r="O562" s="1193"/>
      <c r="P562" s="1193"/>
      <c r="Q562" s="1193"/>
      <c r="R562" s="1193"/>
      <c r="S562" s="1193"/>
      <c r="T562" s="1193"/>
      <c r="U562" s="1193"/>
      <c r="V562" s="1193"/>
      <c r="W562" s="1193"/>
      <c r="X562" s="1193"/>
      <c r="Y562" s="1193"/>
      <c r="Z562" s="1193"/>
      <c r="AA562" s="1193"/>
      <c r="AB562" s="1193"/>
      <c r="AC562" s="1193"/>
    </row>
    <row r="563" spans="1:29" x14ac:dyDescent="0.3">
      <c r="A563" s="681"/>
      <c r="B563" s="1193"/>
      <c r="C563" s="1193"/>
      <c r="D563" s="1193"/>
      <c r="E563" s="1193"/>
      <c r="F563" s="1193"/>
      <c r="G563" s="1193"/>
      <c r="H563" s="1193"/>
      <c r="I563" s="1193"/>
      <c r="J563" s="1193"/>
      <c r="K563" s="1193"/>
      <c r="L563" s="1193"/>
      <c r="M563" s="1193"/>
      <c r="N563" s="1193"/>
      <c r="O563" s="1193"/>
      <c r="P563" s="1193"/>
      <c r="Q563" s="1193"/>
      <c r="R563" s="1193"/>
      <c r="S563" s="1193"/>
      <c r="T563" s="1193"/>
      <c r="U563" s="1193"/>
      <c r="V563" s="1193"/>
      <c r="W563" s="1193"/>
      <c r="X563" s="1193"/>
      <c r="Y563" s="1193"/>
      <c r="Z563" s="1193"/>
      <c r="AA563" s="1193"/>
      <c r="AB563" s="1193"/>
      <c r="AC563" s="1193"/>
    </row>
    <row r="564" spans="1:29" x14ac:dyDescent="0.3">
      <c r="A564" s="681"/>
      <c r="B564" s="1193"/>
      <c r="C564" s="1193"/>
      <c r="D564" s="1193"/>
      <c r="E564" s="1193"/>
      <c r="F564" s="1193"/>
      <c r="G564" s="1193"/>
      <c r="H564" s="1193"/>
      <c r="I564" s="1193"/>
      <c r="J564" s="1193"/>
      <c r="K564" s="1193"/>
      <c r="L564" s="1193"/>
      <c r="M564" s="1193"/>
      <c r="N564" s="1193"/>
      <c r="O564" s="1193"/>
      <c r="P564" s="1193"/>
      <c r="Q564" s="1193"/>
      <c r="R564" s="1193"/>
      <c r="S564" s="1193"/>
      <c r="T564" s="1193"/>
      <c r="U564" s="1193"/>
      <c r="V564" s="1193"/>
      <c r="W564" s="1193"/>
      <c r="X564" s="1193"/>
      <c r="Y564" s="1193"/>
      <c r="Z564" s="1193"/>
      <c r="AA564" s="1193"/>
      <c r="AB564" s="1193"/>
      <c r="AC564" s="1193"/>
    </row>
    <row r="565" spans="1:29" x14ac:dyDescent="0.3">
      <c r="A565" s="681"/>
      <c r="B565" s="1193"/>
      <c r="C565" s="1193"/>
      <c r="D565" s="1193"/>
      <c r="E565" s="1193"/>
      <c r="F565" s="1193"/>
      <c r="G565" s="1193"/>
      <c r="H565" s="1193"/>
      <c r="I565" s="1193"/>
      <c r="J565" s="1193"/>
      <c r="K565" s="1193"/>
      <c r="L565" s="1193"/>
      <c r="M565" s="1193"/>
      <c r="N565" s="1193"/>
      <c r="O565" s="1193"/>
      <c r="P565" s="1193"/>
      <c r="Q565" s="1193"/>
      <c r="R565" s="1193"/>
      <c r="S565" s="1193"/>
      <c r="T565" s="1193"/>
      <c r="U565" s="1193"/>
      <c r="V565" s="1193"/>
      <c r="W565" s="1193"/>
      <c r="X565" s="1193"/>
      <c r="Y565" s="1193"/>
      <c r="Z565" s="1193"/>
      <c r="AA565" s="1193"/>
      <c r="AB565" s="1193"/>
      <c r="AC565" s="1193"/>
    </row>
    <row r="566" spans="1:29" x14ac:dyDescent="0.3">
      <c r="A566" s="681"/>
      <c r="B566" s="1193"/>
      <c r="C566" s="1193"/>
      <c r="D566" s="1193"/>
      <c r="E566" s="1193"/>
      <c r="F566" s="1193"/>
      <c r="G566" s="1193"/>
      <c r="H566" s="1193"/>
      <c r="I566" s="1193"/>
      <c r="J566" s="1193"/>
      <c r="K566" s="1193"/>
      <c r="L566" s="1193"/>
      <c r="M566" s="1193"/>
      <c r="N566" s="1193"/>
      <c r="O566" s="1193"/>
      <c r="P566" s="1193"/>
      <c r="Q566" s="1193"/>
      <c r="R566" s="1193"/>
      <c r="S566" s="1193"/>
      <c r="T566" s="1193"/>
      <c r="U566" s="1193"/>
      <c r="V566" s="1193"/>
      <c r="W566" s="1193"/>
      <c r="X566" s="1193"/>
      <c r="Y566" s="1193"/>
      <c r="Z566" s="1193"/>
      <c r="AA566" s="1193"/>
      <c r="AB566" s="1193"/>
      <c r="AC566" s="1193"/>
    </row>
    <row r="567" spans="1:29" x14ac:dyDescent="0.3">
      <c r="A567" s="681"/>
      <c r="B567" s="1193"/>
      <c r="C567" s="1193"/>
      <c r="D567" s="1193"/>
      <c r="E567" s="1193"/>
      <c r="F567" s="1193"/>
      <c r="G567" s="1193"/>
      <c r="H567" s="1193"/>
      <c r="I567" s="1193"/>
      <c r="J567" s="1193"/>
      <c r="K567" s="1193"/>
      <c r="L567" s="1193"/>
      <c r="M567" s="1193"/>
      <c r="N567" s="1193"/>
      <c r="O567" s="1193"/>
      <c r="P567" s="1193"/>
      <c r="Q567" s="1193"/>
      <c r="R567" s="1193"/>
      <c r="S567" s="1193"/>
      <c r="T567" s="1193"/>
      <c r="U567" s="1193"/>
      <c r="V567" s="1193"/>
      <c r="W567" s="1193"/>
      <c r="X567" s="1193"/>
      <c r="Y567" s="1193"/>
      <c r="Z567" s="1193"/>
      <c r="AA567" s="1193"/>
      <c r="AB567" s="1193"/>
      <c r="AC567" s="1193"/>
    </row>
    <row r="568" spans="1:29" x14ac:dyDescent="0.3">
      <c r="A568" s="681"/>
      <c r="B568" s="1193"/>
      <c r="C568" s="1193"/>
      <c r="D568" s="1193"/>
      <c r="E568" s="1193"/>
      <c r="F568" s="1193"/>
      <c r="G568" s="1193"/>
      <c r="H568" s="1193"/>
      <c r="I568" s="1193"/>
      <c r="J568" s="1193"/>
      <c r="K568" s="1193"/>
      <c r="L568" s="1193"/>
      <c r="M568" s="1193"/>
      <c r="N568" s="1193"/>
      <c r="O568" s="1193"/>
      <c r="P568" s="1193"/>
      <c r="Q568" s="1193"/>
      <c r="R568" s="1193"/>
      <c r="S568" s="1193"/>
      <c r="T568" s="1193"/>
      <c r="U568" s="1193"/>
      <c r="V568" s="1193"/>
      <c r="W568" s="1193"/>
      <c r="X568" s="1193"/>
      <c r="Y568" s="1193"/>
      <c r="Z568" s="1193"/>
      <c r="AA568" s="1193"/>
      <c r="AB568" s="1193"/>
      <c r="AC568" s="1193"/>
    </row>
    <row r="569" spans="1:29" x14ac:dyDescent="0.3">
      <c r="A569" s="681"/>
      <c r="B569" s="1193"/>
      <c r="C569" s="1193"/>
      <c r="D569" s="1193"/>
      <c r="E569" s="1193"/>
      <c r="F569" s="1193"/>
      <c r="G569" s="1193"/>
      <c r="H569" s="1193"/>
      <c r="I569" s="1193"/>
      <c r="J569" s="1193"/>
      <c r="K569" s="1193"/>
      <c r="L569" s="1193"/>
      <c r="M569" s="1193"/>
      <c r="N569" s="1193"/>
      <c r="O569" s="1193"/>
      <c r="P569" s="1193"/>
      <c r="Q569" s="1193"/>
      <c r="R569" s="1193"/>
      <c r="S569" s="1193"/>
      <c r="T569" s="1193"/>
      <c r="U569" s="1193"/>
      <c r="V569" s="1193"/>
      <c r="W569" s="1193"/>
      <c r="X569" s="1193"/>
      <c r="Y569" s="1193"/>
      <c r="Z569" s="1193"/>
      <c r="AA569" s="1193"/>
      <c r="AB569" s="1193"/>
      <c r="AC569" s="1193"/>
    </row>
    <row r="570" spans="1:29" x14ac:dyDescent="0.3">
      <c r="A570" s="681"/>
      <c r="B570" s="1193"/>
      <c r="C570" s="1193"/>
      <c r="D570" s="1193"/>
      <c r="E570" s="1193"/>
      <c r="F570" s="1193"/>
      <c r="G570" s="1193"/>
      <c r="H570" s="1193"/>
      <c r="I570" s="1193"/>
      <c r="J570" s="1193"/>
      <c r="K570" s="1193"/>
      <c r="L570" s="1193"/>
      <c r="M570" s="1193"/>
      <c r="N570" s="1193"/>
      <c r="O570" s="1193"/>
      <c r="P570" s="1193"/>
      <c r="Q570" s="1193"/>
      <c r="R570" s="1193"/>
      <c r="S570" s="1193"/>
      <c r="T570" s="1193"/>
      <c r="U570" s="1193"/>
      <c r="V570" s="1193"/>
      <c r="W570" s="1193"/>
      <c r="X570" s="1193"/>
      <c r="Y570" s="1193"/>
      <c r="Z570" s="1193"/>
      <c r="AA570" s="1193"/>
      <c r="AB570" s="1193"/>
      <c r="AC570" s="1193"/>
    </row>
    <row r="571" spans="1:29" x14ac:dyDescent="0.3">
      <c r="A571" s="681"/>
      <c r="B571" s="1193"/>
      <c r="C571" s="1193"/>
      <c r="D571" s="1193"/>
      <c r="E571" s="1193"/>
      <c r="F571" s="1193"/>
      <c r="G571" s="1193"/>
      <c r="H571" s="1193"/>
      <c r="I571" s="1193"/>
      <c r="J571" s="1193"/>
      <c r="K571" s="1193"/>
      <c r="L571" s="1193"/>
      <c r="M571" s="1193"/>
      <c r="N571" s="1193"/>
      <c r="O571" s="1193"/>
      <c r="P571" s="1193"/>
      <c r="Q571" s="1193"/>
      <c r="R571" s="1193"/>
      <c r="S571" s="1193"/>
      <c r="T571" s="1193"/>
      <c r="U571" s="1193"/>
      <c r="V571" s="1193"/>
      <c r="W571" s="1193"/>
      <c r="X571" s="1193"/>
      <c r="Y571" s="1193"/>
      <c r="Z571" s="1193"/>
      <c r="AA571" s="1193"/>
      <c r="AB571" s="1193"/>
      <c r="AC571" s="1193"/>
    </row>
    <row r="572" spans="1:29" x14ac:dyDescent="0.3">
      <c r="A572" s="681"/>
      <c r="B572" s="1193"/>
      <c r="C572" s="1193"/>
      <c r="D572" s="1193"/>
      <c r="E572" s="1193"/>
      <c r="F572" s="1193"/>
      <c r="G572" s="1193"/>
      <c r="H572" s="1193"/>
      <c r="I572" s="1193"/>
      <c r="J572" s="1193"/>
      <c r="K572" s="1193"/>
      <c r="L572" s="1193"/>
      <c r="M572" s="1193"/>
      <c r="N572" s="1193"/>
      <c r="O572" s="1193"/>
      <c r="P572" s="1193"/>
      <c r="Q572" s="1193"/>
      <c r="R572" s="1193"/>
      <c r="S572" s="1193"/>
      <c r="T572" s="1193"/>
      <c r="U572" s="1193"/>
      <c r="V572" s="1193"/>
      <c r="W572" s="1193"/>
      <c r="X572" s="1193"/>
      <c r="Y572" s="1193"/>
      <c r="Z572" s="1193"/>
      <c r="AA572" s="1193"/>
      <c r="AB572" s="1193"/>
      <c r="AC572" s="1193"/>
    </row>
    <row r="573" spans="1:29" x14ac:dyDescent="0.3">
      <c r="A573" s="681"/>
      <c r="B573" s="1193"/>
      <c r="C573" s="1193"/>
      <c r="D573" s="1193"/>
      <c r="E573" s="1193"/>
      <c r="F573" s="1193"/>
      <c r="G573" s="1193"/>
      <c r="H573" s="1193"/>
      <c r="I573" s="1193"/>
      <c r="J573" s="1193"/>
      <c r="K573" s="1193"/>
      <c r="L573" s="1193"/>
      <c r="M573" s="1193"/>
      <c r="N573" s="1193"/>
      <c r="O573" s="1193"/>
      <c r="P573" s="1193"/>
      <c r="Q573" s="1193"/>
      <c r="R573" s="1193"/>
      <c r="S573" s="1193"/>
      <c r="T573" s="1193"/>
      <c r="U573" s="1193"/>
      <c r="V573" s="1193"/>
      <c r="W573" s="1193"/>
      <c r="X573" s="1193"/>
      <c r="Y573" s="1193"/>
      <c r="Z573" s="1193"/>
      <c r="AA573" s="1193"/>
      <c r="AB573" s="1193"/>
      <c r="AC573" s="1193"/>
    </row>
    <row r="574" spans="1:29" x14ac:dyDescent="0.3">
      <c r="A574" s="681"/>
      <c r="B574" s="1193"/>
      <c r="C574" s="1193"/>
      <c r="D574" s="1193"/>
      <c r="E574" s="1193"/>
      <c r="F574" s="1193"/>
      <c r="G574" s="1193"/>
      <c r="H574" s="1193"/>
      <c r="I574" s="1193"/>
      <c r="J574" s="1193"/>
      <c r="K574" s="1193"/>
      <c r="L574" s="1193"/>
      <c r="M574" s="1193"/>
      <c r="N574" s="1193"/>
      <c r="O574" s="1193"/>
      <c r="P574" s="1193"/>
      <c r="Q574" s="1193"/>
      <c r="R574" s="1193"/>
      <c r="S574" s="1193"/>
      <c r="T574" s="1193"/>
      <c r="U574" s="1193"/>
      <c r="V574" s="1193"/>
      <c r="W574" s="1193"/>
      <c r="X574" s="1193"/>
      <c r="Y574" s="1193"/>
      <c r="Z574" s="1193"/>
      <c r="AA574" s="1193"/>
      <c r="AB574" s="1193"/>
      <c r="AC574" s="1193"/>
    </row>
    <row r="575" spans="1:29" x14ac:dyDescent="0.3">
      <c r="A575" s="681"/>
      <c r="B575" s="1193"/>
      <c r="C575" s="1193"/>
      <c r="D575" s="1193"/>
      <c r="E575" s="1193"/>
      <c r="F575" s="1193"/>
      <c r="G575" s="1193"/>
      <c r="H575" s="1193"/>
      <c r="I575" s="1193"/>
      <c r="J575" s="1193"/>
      <c r="K575" s="1193"/>
      <c r="L575" s="1193"/>
      <c r="M575" s="1193"/>
      <c r="N575" s="1193"/>
      <c r="O575" s="1193"/>
      <c r="P575" s="1193"/>
      <c r="Q575" s="1193"/>
      <c r="R575" s="1193"/>
      <c r="S575" s="1193"/>
      <c r="T575" s="1193"/>
      <c r="U575" s="1193"/>
      <c r="V575" s="1193"/>
      <c r="W575" s="1193"/>
      <c r="X575" s="1193"/>
      <c r="Y575" s="1193"/>
      <c r="Z575" s="1193"/>
      <c r="AA575" s="1193"/>
      <c r="AB575" s="1193"/>
      <c r="AC575" s="1193"/>
    </row>
    <row r="576" spans="1:29" x14ac:dyDescent="0.3">
      <c r="A576" s="681"/>
      <c r="B576" s="1193"/>
      <c r="C576" s="1193"/>
      <c r="D576" s="1193"/>
      <c r="E576" s="1193"/>
      <c r="F576" s="1193"/>
      <c r="G576" s="1193"/>
      <c r="H576" s="1193"/>
      <c r="I576" s="1193"/>
      <c r="J576" s="1193"/>
      <c r="K576" s="1193"/>
      <c r="L576" s="1193"/>
      <c r="M576" s="1193"/>
      <c r="N576" s="1193"/>
      <c r="O576" s="1193"/>
      <c r="P576" s="1193"/>
      <c r="Q576" s="1193"/>
      <c r="R576" s="1193"/>
      <c r="S576" s="1193"/>
      <c r="T576" s="1193"/>
      <c r="U576" s="1193"/>
      <c r="V576" s="1193"/>
      <c r="W576" s="1193"/>
      <c r="X576" s="1193"/>
      <c r="Y576" s="1193"/>
      <c r="Z576" s="1193"/>
      <c r="AA576" s="1193"/>
      <c r="AB576" s="1193"/>
      <c r="AC576" s="1193"/>
    </row>
    <row r="577" spans="1:29" x14ac:dyDescent="0.3">
      <c r="A577" s="681"/>
      <c r="B577" s="1193"/>
      <c r="C577" s="1193"/>
      <c r="D577" s="1193"/>
      <c r="E577" s="1193"/>
      <c r="F577" s="1193"/>
      <c r="G577" s="1193"/>
      <c r="H577" s="1193"/>
      <c r="I577" s="1193"/>
      <c r="J577" s="1193"/>
      <c r="K577" s="1193"/>
      <c r="L577" s="1193"/>
      <c r="M577" s="1193"/>
      <c r="N577" s="1193"/>
      <c r="O577" s="1193"/>
      <c r="P577" s="1193"/>
      <c r="Q577" s="1193"/>
      <c r="R577" s="1193"/>
      <c r="S577" s="1193"/>
      <c r="T577" s="1193"/>
      <c r="U577" s="1193"/>
      <c r="V577" s="1193"/>
      <c r="W577" s="1193"/>
      <c r="X577" s="1193"/>
      <c r="Y577" s="1193"/>
      <c r="Z577" s="1193"/>
      <c r="AA577" s="1193"/>
      <c r="AB577" s="1193"/>
      <c r="AC577" s="1193"/>
    </row>
    <row r="578" spans="1:29" x14ac:dyDescent="0.3">
      <c r="A578" s="681"/>
      <c r="B578" s="1193"/>
      <c r="C578" s="1193"/>
      <c r="D578" s="1193"/>
      <c r="E578" s="1193"/>
      <c r="F578" s="1193"/>
      <c r="G578" s="1193"/>
      <c r="H578" s="1193"/>
      <c r="I578" s="1193"/>
      <c r="J578" s="1193"/>
      <c r="K578" s="1193"/>
      <c r="L578" s="1193"/>
      <c r="M578" s="1193"/>
      <c r="N578" s="1193"/>
      <c r="O578" s="1193"/>
      <c r="P578" s="1193"/>
      <c r="Q578" s="1193"/>
      <c r="R578" s="1193"/>
      <c r="S578" s="1193"/>
      <c r="T578" s="1193"/>
      <c r="U578" s="1193"/>
      <c r="V578" s="1193"/>
      <c r="W578" s="1193"/>
      <c r="X578" s="1193"/>
      <c r="Y578" s="1193"/>
      <c r="Z578" s="1193"/>
      <c r="AA578" s="1193"/>
      <c r="AB578" s="1193"/>
      <c r="AC578" s="1193"/>
    </row>
    <row r="579" spans="1:29" x14ac:dyDescent="0.3">
      <c r="A579" s="681"/>
      <c r="B579" s="1193"/>
      <c r="C579" s="1193"/>
      <c r="D579" s="1193"/>
      <c r="E579" s="1193"/>
      <c r="F579" s="1193"/>
      <c r="G579" s="1193"/>
      <c r="H579" s="1193"/>
      <c r="I579" s="1193"/>
      <c r="J579" s="1193"/>
      <c r="K579" s="1193"/>
      <c r="L579" s="1193"/>
      <c r="M579" s="1193"/>
      <c r="N579" s="1193"/>
      <c r="O579" s="1193"/>
      <c r="P579" s="1193"/>
      <c r="Q579" s="1193"/>
      <c r="R579" s="1193"/>
      <c r="S579" s="1193"/>
      <c r="T579" s="1193"/>
      <c r="U579" s="1193"/>
      <c r="V579" s="1193"/>
      <c r="W579" s="1193"/>
      <c r="X579" s="1193"/>
      <c r="Y579" s="1193"/>
      <c r="Z579" s="1193"/>
      <c r="AA579" s="1193"/>
      <c r="AB579" s="1193"/>
      <c r="AC579" s="1193"/>
    </row>
    <row r="580" spans="1:29" x14ac:dyDescent="0.3">
      <c r="A580" s="681"/>
      <c r="B580" s="1193"/>
      <c r="C580" s="1193"/>
      <c r="D580" s="1193"/>
      <c r="E580" s="1193"/>
      <c r="F580" s="1193"/>
      <c r="G580" s="1193"/>
      <c r="H580" s="1193"/>
      <c r="I580" s="1193"/>
      <c r="J580" s="1193"/>
      <c r="K580" s="1193"/>
      <c r="L580" s="1193"/>
      <c r="M580" s="1193"/>
      <c r="N580" s="1193"/>
      <c r="O580" s="1193"/>
      <c r="P580" s="1193"/>
      <c r="Q580" s="1193"/>
      <c r="R580" s="1193"/>
      <c r="S580" s="1193"/>
      <c r="T580" s="1193"/>
      <c r="U580" s="1193"/>
      <c r="V580" s="1193"/>
      <c r="W580" s="1193"/>
      <c r="X580" s="1193"/>
      <c r="Y580" s="1193"/>
      <c r="Z580" s="1193"/>
      <c r="AA580" s="1193"/>
      <c r="AB580" s="1193"/>
      <c r="AC580" s="1193"/>
    </row>
    <row r="581" spans="1:29" x14ac:dyDescent="0.3">
      <c r="A581" s="681"/>
      <c r="B581" s="1193"/>
      <c r="C581" s="1193"/>
      <c r="D581" s="1193"/>
      <c r="E581" s="1193"/>
      <c r="F581" s="1193"/>
      <c r="G581" s="1193"/>
      <c r="H581" s="1193"/>
      <c r="I581" s="1193"/>
      <c r="J581" s="1193"/>
      <c r="K581" s="1193"/>
      <c r="L581" s="1193"/>
      <c r="M581" s="1193"/>
      <c r="N581" s="1193"/>
      <c r="O581" s="1193"/>
      <c r="P581" s="1193"/>
      <c r="Q581" s="1193"/>
      <c r="R581" s="1193"/>
      <c r="S581" s="1193"/>
      <c r="T581" s="1193"/>
      <c r="U581" s="1193"/>
      <c r="V581" s="1193"/>
      <c r="W581" s="1193"/>
      <c r="X581" s="1193"/>
      <c r="Y581" s="1193"/>
      <c r="Z581" s="1193"/>
      <c r="AA581" s="1193"/>
      <c r="AB581" s="1193"/>
      <c r="AC581" s="1193"/>
    </row>
    <row r="582" spans="1:29" x14ac:dyDescent="0.3">
      <c r="A582" s="681"/>
      <c r="B582" s="1193"/>
      <c r="C582" s="1193"/>
      <c r="D582" s="1193"/>
      <c r="E582" s="1193"/>
      <c r="F582" s="1193"/>
      <c r="G582" s="1193"/>
      <c r="H582" s="1193"/>
      <c r="I582" s="1193"/>
      <c r="J582" s="1193"/>
      <c r="K582" s="1193"/>
      <c r="L582" s="1193"/>
      <c r="M582" s="1193"/>
      <c r="N582" s="1193"/>
      <c r="O582" s="1193"/>
      <c r="P582" s="1193"/>
      <c r="Q582" s="1193"/>
      <c r="R582" s="1193"/>
      <c r="S582" s="1193"/>
      <c r="T582" s="1193"/>
      <c r="U582" s="1193"/>
      <c r="V582" s="1193"/>
      <c r="W582" s="1193"/>
      <c r="X582" s="1193"/>
      <c r="Y582" s="1193"/>
      <c r="Z582" s="1193"/>
      <c r="AA582" s="1193"/>
      <c r="AB582" s="1193"/>
      <c r="AC582" s="1193"/>
    </row>
    <row r="583" spans="1:29" x14ac:dyDescent="0.3">
      <c r="A583" s="681"/>
      <c r="B583" s="1193"/>
      <c r="C583" s="1193"/>
      <c r="D583" s="1193"/>
      <c r="E583" s="1193"/>
      <c r="F583" s="1193"/>
      <c r="G583" s="1193"/>
      <c r="H583" s="1193"/>
      <c r="I583" s="1193"/>
      <c r="J583" s="1193"/>
      <c r="K583" s="1193"/>
      <c r="L583" s="1193"/>
      <c r="M583" s="1193"/>
      <c r="N583" s="1193"/>
      <c r="O583" s="1193"/>
      <c r="P583" s="1193"/>
      <c r="Q583" s="1193"/>
      <c r="R583" s="1193"/>
      <c r="S583" s="1193"/>
      <c r="T583" s="1193"/>
      <c r="U583" s="1193"/>
      <c r="V583" s="1193"/>
      <c r="W583" s="1193"/>
      <c r="X583" s="1193"/>
      <c r="Y583" s="1193"/>
      <c r="Z583" s="1193"/>
      <c r="AA583" s="1193"/>
      <c r="AB583" s="1193"/>
      <c r="AC583" s="1193"/>
    </row>
    <row r="584" spans="1:29" x14ac:dyDescent="0.3">
      <c r="A584" s="681"/>
      <c r="B584" s="1193"/>
      <c r="C584" s="1193"/>
      <c r="D584" s="1193"/>
      <c r="E584" s="1193"/>
      <c r="F584" s="1193"/>
      <c r="G584" s="1193"/>
      <c r="H584" s="1193"/>
      <c r="I584" s="1193"/>
      <c r="J584" s="1193"/>
      <c r="K584" s="1193"/>
      <c r="L584" s="1193"/>
      <c r="M584" s="1193"/>
      <c r="N584" s="1193"/>
      <c r="O584" s="1193"/>
      <c r="P584" s="1193"/>
      <c r="Q584" s="1193"/>
      <c r="R584" s="1193"/>
      <c r="S584" s="1193"/>
      <c r="T584" s="1193"/>
      <c r="U584" s="1193"/>
      <c r="V584" s="1193"/>
      <c r="W584" s="1193"/>
      <c r="X584" s="1193"/>
      <c r="Y584" s="1193"/>
      <c r="Z584" s="1193"/>
      <c r="AA584" s="1193"/>
      <c r="AB584" s="1193"/>
      <c r="AC584" s="1193"/>
    </row>
    <row r="585" spans="1:29" x14ac:dyDescent="0.3">
      <c r="A585" s="681"/>
      <c r="B585" s="1193"/>
      <c r="C585" s="1193"/>
      <c r="D585" s="1193"/>
      <c r="E585" s="1193"/>
      <c r="F585" s="1193"/>
      <c r="G585" s="1193"/>
      <c r="H585" s="1193"/>
      <c r="I585" s="1193"/>
      <c r="J585" s="1193"/>
      <c r="K585" s="1193"/>
      <c r="L585" s="1193"/>
      <c r="M585" s="1193"/>
      <c r="N585" s="1193"/>
      <c r="O585" s="1193"/>
      <c r="P585" s="1193"/>
      <c r="Q585" s="1193"/>
      <c r="R585" s="1193"/>
      <c r="S585" s="1193"/>
      <c r="T585" s="1193"/>
      <c r="U585" s="1193"/>
      <c r="V585" s="1193"/>
      <c r="W585" s="1193"/>
      <c r="X585" s="1193"/>
      <c r="Y585" s="1193"/>
      <c r="Z585" s="1193"/>
      <c r="AA585" s="1193"/>
      <c r="AB585" s="1193"/>
      <c r="AC585" s="1193"/>
    </row>
    <row r="586" spans="1:29" x14ac:dyDescent="0.3">
      <c r="A586" s="681"/>
      <c r="B586" s="1193"/>
      <c r="C586" s="1193"/>
      <c r="D586" s="1193"/>
      <c r="E586" s="1193"/>
      <c r="F586" s="1193"/>
      <c r="G586" s="1193"/>
      <c r="H586" s="1193"/>
      <c r="I586" s="1193"/>
      <c r="J586" s="1193"/>
      <c r="K586" s="1193"/>
      <c r="L586" s="1193"/>
      <c r="M586" s="1193"/>
      <c r="N586" s="1193"/>
      <c r="O586" s="1193"/>
      <c r="P586" s="1193"/>
      <c r="Q586" s="1193"/>
      <c r="R586" s="1193"/>
      <c r="S586" s="1193"/>
      <c r="T586" s="1193"/>
      <c r="U586" s="1193"/>
      <c r="V586" s="1193"/>
      <c r="W586" s="1193"/>
      <c r="X586" s="1193"/>
      <c r="Y586" s="1193"/>
      <c r="Z586" s="1193"/>
      <c r="AA586" s="1193"/>
      <c r="AB586" s="1193"/>
      <c r="AC586" s="1193"/>
    </row>
    <row r="587" spans="1:29" x14ac:dyDescent="0.3">
      <c r="A587" s="681"/>
      <c r="B587" s="1193"/>
      <c r="C587" s="1193"/>
      <c r="D587" s="1193"/>
      <c r="E587" s="1193"/>
      <c r="F587" s="1193"/>
      <c r="G587" s="1193"/>
      <c r="H587" s="1193"/>
      <c r="I587" s="1193"/>
      <c r="J587" s="1193"/>
      <c r="K587" s="1193"/>
      <c r="L587" s="1193"/>
      <c r="M587" s="1193"/>
      <c r="N587" s="1193"/>
      <c r="O587" s="1193"/>
      <c r="P587" s="1193"/>
      <c r="Q587" s="1193"/>
      <c r="R587" s="1193"/>
      <c r="S587" s="1193"/>
      <c r="T587" s="1193"/>
      <c r="U587" s="1193"/>
      <c r="V587" s="1193"/>
      <c r="W587" s="1193"/>
      <c r="X587" s="1193"/>
      <c r="Y587" s="1193"/>
      <c r="Z587" s="1193"/>
      <c r="AA587" s="1193"/>
      <c r="AB587" s="1193"/>
      <c r="AC587" s="1193"/>
    </row>
    <row r="588" spans="1:29" x14ac:dyDescent="0.3">
      <c r="A588" s="681"/>
      <c r="B588" s="1193"/>
      <c r="C588" s="1193"/>
      <c r="D588" s="1193"/>
      <c r="E588" s="1193"/>
      <c r="F588" s="1193"/>
      <c r="G588" s="1193"/>
      <c r="H588" s="1193"/>
      <c r="I588" s="1193"/>
      <c r="J588" s="1193"/>
      <c r="K588" s="1193"/>
      <c r="L588" s="1193"/>
      <c r="M588" s="1193"/>
      <c r="N588" s="1193"/>
      <c r="O588" s="1193"/>
      <c r="P588" s="1193"/>
      <c r="Q588" s="1193"/>
      <c r="R588" s="1193"/>
      <c r="S588" s="1193"/>
      <c r="T588" s="1193"/>
      <c r="U588" s="1193"/>
      <c r="V588" s="1193"/>
      <c r="W588" s="1193"/>
      <c r="X588" s="1193"/>
      <c r="Y588" s="1193"/>
      <c r="Z588" s="1193"/>
      <c r="AA588" s="1193"/>
      <c r="AB588" s="1193"/>
      <c r="AC588" s="1193"/>
    </row>
    <row r="589" spans="1:29" x14ac:dyDescent="0.3">
      <c r="A589" s="681"/>
      <c r="B589" s="1193"/>
      <c r="C589" s="1193"/>
      <c r="D589" s="1193"/>
      <c r="E589" s="1193"/>
      <c r="F589" s="1193"/>
      <c r="G589" s="1193"/>
      <c r="H589" s="1193"/>
      <c r="I589" s="1193"/>
      <c r="J589" s="1193"/>
      <c r="K589" s="1193"/>
      <c r="L589" s="1193"/>
      <c r="M589" s="1193"/>
      <c r="N589" s="1193"/>
      <c r="O589" s="1193"/>
      <c r="P589" s="1193"/>
      <c r="Q589" s="1193"/>
      <c r="R589" s="1193"/>
      <c r="S589" s="1193"/>
      <c r="T589" s="1193"/>
      <c r="U589" s="1193"/>
      <c r="V589" s="1193"/>
      <c r="W589" s="1193"/>
      <c r="X589" s="1193"/>
      <c r="Y589" s="1193"/>
      <c r="Z589" s="1193"/>
      <c r="AA589" s="1193"/>
      <c r="AB589" s="1193"/>
      <c r="AC589" s="1193"/>
    </row>
    <row r="590" spans="1:29" x14ac:dyDescent="0.3">
      <c r="A590" s="681"/>
      <c r="B590" s="1193"/>
      <c r="C590" s="1193"/>
      <c r="D590" s="1193"/>
      <c r="E590" s="1193"/>
      <c r="F590" s="1193"/>
      <c r="G590" s="1193"/>
      <c r="H590" s="1193"/>
      <c r="I590" s="1193"/>
      <c r="J590" s="1193"/>
      <c r="K590" s="1193"/>
      <c r="L590" s="1193"/>
      <c r="M590" s="1193"/>
      <c r="N590" s="1193"/>
      <c r="O590" s="1193"/>
      <c r="P590" s="1193"/>
      <c r="Q590" s="1193"/>
      <c r="R590" s="1193"/>
      <c r="S590" s="1193"/>
      <c r="T590" s="1193"/>
      <c r="U590" s="1193"/>
      <c r="V590" s="1193"/>
      <c r="W590" s="1193"/>
      <c r="X590" s="1193"/>
      <c r="Y590" s="1193"/>
      <c r="Z590" s="1193"/>
      <c r="AA590" s="1193"/>
      <c r="AB590" s="1193"/>
      <c r="AC590" s="1193"/>
    </row>
    <row r="591" spans="1:29" x14ac:dyDescent="0.3">
      <c r="A591" s="681"/>
      <c r="B591" s="1193"/>
      <c r="C591" s="1193"/>
      <c r="D591" s="1193"/>
      <c r="E591" s="1193"/>
      <c r="F591" s="1193"/>
      <c r="G591" s="1193"/>
      <c r="H591" s="1193"/>
      <c r="I591" s="1193"/>
      <c r="J591" s="1193"/>
      <c r="K591" s="1193"/>
      <c r="L591" s="1193"/>
      <c r="M591" s="1193"/>
      <c r="N591" s="1193"/>
      <c r="O591" s="1193"/>
      <c r="P591" s="1193"/>
      <c r="Q591" s="1193"/>
      <c r="R591" s="1193"/>
      <c r="S591" s="1193"/>
      <c r="T591" s="1193"/>
      <c r="U591" s="1193"/>
      <c r="V591" s="1193"/>
      <c r="W591" s="1193"/>
      <c r="X591" s="1193"/>
      <c r="Y591" s="1193"/>
      <c r="Z591" s="1193"/>
      <c r="AA591" s="1193"/>
      <c r="AB591" s="1193"/>
      <c r="AC591" s="1193"/>
    </row>
    <row r="592" spans="1:29" x14ac:dyDescent="0.3">
      <c r="A592" s="681"/>
      <c r="B592" s="1193"/>
      <c r="C592" s="1193"/>
      <c r="D592" s="1193"/>
      <c r="E592" s="1193"/>
      <c r="F592" s="1193"/>
      <c r="G592" s="1193"/>
      <c r="H592" s="1193"/>
      <c r="I592" s="1193"/>
      <c r="J592" s="1193"/>
      <c r="K592" s="1193"/>
      <c r="L592" s="1193"/>
      <c r="M592" s="1193"/>
      <c r="N592" s="1193"/>
      <c r="O592" s="1193"/>
      <c r="P592" s="1193"/>
      <c r="Q592" s="1193"/>
      <c r="R592" s="1193"/>
      <c r="S592" s="1193"/>
      <c r="T592" s="1193"/>
      <c r="U592" s="1193"/>
      <c r="V592" s="1193"/>
      <c r="W592" s="1193"/>
      <c r="X592" s="1193"/>
      <c r="Y592" s="1193"/>
      <c r="Z592" s="1193"/>
      <c r="AA592" s="1193"/>
      <c r="AB592" s="1193"/>
      <c r="AC592" s="1193"/>
    </row>
    <row r="593" spans="1:29" x14ac:dyDescent="0.3">
      <c r="A593" s="681"/>
      <c r="B593" s="1193"/>
      <c r="C593" s="1193"/>
      <c r="D593" s="1193"/>
      <c r="E593" s="1193"/>
      <c r="F593" s="1193"/>
      <c r="G593" s="1193"/>
      <c r="H593" s="1193"/>
      <c r="I593" s="1193"/>
      <c r="J593" s="1193"/>
      <c r="K593" s="1193"/>
      <c r="L593" s="1193"/>
      <c r="M593" s="1193"/>
      <c r="N593" s="1193"/>
      <c r="O593" s="1193"/>
      <c r="P593" s="1193"/>
      <c r="Q593" s="1193"/>
      <c r="R593" s="1193"/>
      <c r="S593" s="1193"/>
      <c r="T593" s="1193"/>
      <c r="U593" s="1193"/>
      <c r="V593" s="1193"/>
      <c r="W593" s="1193"/>
      <c r="X593" s="1193"/>
      <c r="Y593" s="1193"/>
      <c r="Z593" s="1193"/>
      <c r="AA593" s="1193"/>
      <c r="AB593" s="1193"/>
      <c r="AC593" s="1193"/>
    </row>
    <row r="594" spans="1:29" x14ac:dyDescent="0.3">
      <c r="A594" s="681"/>
      <c r="B594" s="1193"/>
      <c r="C594" s="1193"/>
      <c r="D594" s="1193"/>
      <c r="E594" s="1193"/>
      <c r="F594" s="1193"/>
      <c r="G594" s="1193"/>
      <c r="H594" s="1193"/>
      <c r="I594" s="1193"/>
      <c r="J594" s="1193"/>
      <c r="K594" s="1193"/>
      <c r="L594" s="1193"/>
      <c r="M594" s="1193"/>
      <c r="N594" s="1193"/>
      <c r="O594" s="1193"/>
      <c r="P594" s="1193"/>
      <c r="Q594" s="1193"/>
      <c r="R594" s="1193"/>
      <c r="S594" s="1193"/>
      <c r="T594" s="1193"/>
      <c r="U594" s="1193"/>
      <c r="V594" s="1193"/>
      <c r="W594" s="1193"/>
      <c r="X594" s="1193"/>
      <c r="Y594" s="1193"/>
      <c r="Z594" s="1193"/>
      <c r="AA594" s="1193"/>
      <c r="AB594" s="1193"/>
      <c r="AC594" s="1193"/>
    </row>
    <row r="595" spans="1:29" x14ac:dyDescent="0.3">
      <c r="A595" s="681"/>
      <c r="B595" s="1193"/>
      <c r="C595" s="1193"/>
      <c r="D595" s="1193"/>
      <c r="E595" s="1193"/>
      <c r="F595" s="1193"/>
      <c r="G595" s="1193"/>
      <c r="H595" s="1193"/>
      <c r="I595" s="1193"/>
      <c r="J595" s="1193"/>
      <c r="K595" s="1193"/>
      <c r="L595" s="1193"/>
      <c r="M595" s="1193"/>
      <c r="N595" s="1193"/>
      <c r="O595" s="1193"/>
      <c r="P595" s="1193"/>
      <c r="Q595" s="1193"/>
      <c r="R595" s="1193"/>
      <c r="S595" s="1193"/>
      <c r="T595" s="1193"/>
      <c r="U595" s="1193"/>
      <c r="V595" s="1193"/>
      <c r="W595" s="1193"/>
      <c r="X595" s="1193"/>
      <c r="Y595" s="1193"/>
      <c r="Z595" s="1193"/>
      <c r="AA595" s="1193"/>
      <c r="AB595" s="1193"/>
      <c r="AC595" s="1193"/>
    </row>
    <row r="596" spans="1:29" x14ac:dyDescent="0.3">
      <c r="A596" s="681"/>
      <c r="B596" s="1193"/>
      <c r="C596" s="1193"/>
      <c r="D596" s="1193"/>
      <c r="E596" s="1193"/>
      <c r="F596" s="1193"/>
      <c r="G596" s="1193"/>
      <c r="H596" s="1193"/>
      <c r="I596" s="1193"/>
      <c r="J596" s="1193"/>
      <c r="K596" s="1193"/>
      <c r="L596" s="1193"/>
      <c r="M596" s="1193"/>
      <c r="N596" s="1193"/>
      <c r="O596" s="1193"/>
      <c r="P596" s="1193"/>
      <c r="Q596" s="1193"/>
      <c r="R596" s="1193"/>
      <c r="S596" s="1193"/>
      <c r="T596" s="1193"/>
      <c r="U596" s="1193"/>
      <c r="V596" s="1193"/>
      <c r="W596" s="1193"/>
      <c r="X596" s="1193"/>
      <c r="Y596" s="1193"/>
      <c r="Z596" s="1193"/>
      <c r="AA596" s="1193"/>
      <c r="AB596" s="1193"/>
      <c r="AC596" s="1193"/>
    </row>
    <row r="597" spans="1:29" x14ac:dyDescent="0.3">
      <c r="A597" s="681"/>
      <c r="B597" s="1193"/>
      <c r="C597" s="1193"/>
      <c r="D597" s="1193"/>
      <c r="E597" s="1193"/>
      <c r="F597" s="1193"/>
      <c r="G597" s="1193"/>
      <c r="H597" s="1193"/>
      <c r="I597" s="1193"/>
      <c r="J597" s="1193"/>
      <c r="K597" s="1193"/>
      <c r="L597" s="1193"/>
      <c r="M597" s="1193"/>
      <c r="N597" s="1193"/>
      <c r="O597" s="1193"/>
      <c r="P597" s="1193"/>
      <c r="Q597" s="1193"/>
      <c r="R597" s="1193"/>
      <c r="S597" s="1193"/>
      <c r="T597" s="1193"/>
      <c r="U597" s="1193"/>
      <c r="V597" s="1193"/>
      <c r="W597" s="1193"/>
      <c r="X597" s="1193"/>
      <c r="Y597" s="1193"/>
      <c r="Z597" s="1193"/>
      <c r="AA597" s="1193"/>
      <c r="AB597" s="1193"/>
      <c r="AC597" s="1193"/>
    </row>
    <row r="598" spans="1:29" x14ac:dyDescent="0.3">
      <c r="A598" s="681"/>
      <c r="B598" s="1193"/>
      <c r="C598" s="1193"/>
      <c r="D598" s="1193"/>
      <c r="E598" s="1193"/>
      <c r="F598" s="1193"/>
      <c r="G598" s="1193"/>
      <c r="H598" s="1193"/>
      <c r="I598" s="1193"/>
      <c r="J598" s="1193"/>
      <c r="K598" s="1193"/>
      <c r="L598" s="1193"/>
      <c r="M598" s="1193"/>
      <c r="N598" s="1193"/>
      <c r="O598" s="1193"/>
      <c r="P598" s="1193"/>
      <c r="Q598" s="1193"/>
      <c r="R598" s="1193"/>
      <c r="S598" s="1193"/>
      <c r="T598" s="1193"/>
      <c r="U598" s="1193"/>
      <c r="V598" s="1193"/>
      <c r="W598" s="1193"/>
      <c r="X598" s="1193"/>
      <c r="Y598" s="1193"/>
      <c r="Z598" s="1193"/>
      <c r="AA598" s="1193"/>
      <c r="AB598" s="1193"/>
      <c r="AC598" s="1193"/>
    </row>
    <row r="599" spans="1:29" x14ac:dyDescent="0.3">
      <c r="A599" s="681"/>
      <c r="B599" s="1193"/>
      <c r="C599" s="1193"/>
      <c r="D599" s="1193"/>
      <c r="E599" s="1193"/>
      <c r="F599" s="1193"/>
      <c r="G599" s="1193"/>
      <c r="H599" s="1193"/>
      <c r="I599" s="1193"/>
      <c r="J599" s="1193"/>
      <c r="K599" s="1193"/>
      <c r="L599" s="1193"/>
      <c r="M599" s="1193"/>
      <c r="N599" s="1193"/>
      <c r="O599" s="1193"/>
      <c r="P599" s="1193"/>
      <c r="Q599" s="1193"/>
      <c r="R599" s="1193"/>
      <c r="S599" s="1193"/>
      <c r="T599" s="1193"/>
      <c r="U599" s="1193"/>
      <c r="V599" s="1193"/>
      <c r="W599" s="1193"/>
      <c r="X599" s="1193"/>
      <c r="Y599" s="1193"/>
      <c r="Z599" s="1193"/>
      <c r="AA599" s="1193"/>
      <c r="AB599" s="1193"/>
      <c r="AC599" s="1193"/>
    </row>
    <row r="600" spans="1:29" x14ac:dyDescent="0.3">
      <c r="A600" s="681"/>
      <c r="B600" s="1193"/>
      <c r="C600" s="1193"/>
      <c r="D600" s="1193"/>
      <c r="E600" s="1193"/>
      <c r="F600" s="1193"/>
      <c r="G600" s="1193"/>
      <c r="H600" s="1193"/>
      <c r="I600" s="1193"/>
      <c r="J600" s="1193"/>
      <c r="K600" s="1193"/>
      <c r="L600" s="1193"/>
      <c r="M600" s="1193"/>
      <c r="N600" s="1193"/>
      <c r="O600" s="1193"/>
      <c r="P600" s="1193"/>
      <c r="Q600" s="1193"/>
      <c r="R600" s="1193"/>
      <c r="S600" s="1193"/>
      <c r="T600" s="1193"/>
      <c r="U600" s="1193"/>
      <c r="V600" s="1193"/>
      <c r="W600" s="1193"/>
      <c r="X600" s="1193"/>
      <c r="Y600" s="1193"/>
      <c r="Z600" s="1193"/>
      <c r="AA600" s="1193"/>
      <c r="AB600" s="1193"/>
      <c r="AC600" s="1193"/>
    </row>
    <row r="601" spans="1:29" x14ac:dyDescent="0.3">
      <c r="A601" s="681"/>
      <c r="B601" s="1193"/>
      <c r="C601" s="1193"/>
      <c r="D601" s="1193"/>
      <c r="E601" s="1193"/>
      <c r="F601" s="1193"/>
      <c r="G601" s="1193"/>
      <c r="H601" s="1193"/>
      <c r="I601" s="1193"/>
      <c r="J601" s="1193"/>
      <c r="K601" s="1193"/>
      <c r="L601" s="1193"/>
      <c r="M601" s="1193"/>
      <c r="N601" s="1193"/>
      <c r="O601" s="1193"/>
      <c r="P601" s="1193"/>
      <c r="Q601" s="1193"/>
      <c r="R601" s="1193"/>
      <c r="S601" s="1193"/>
      <c r="T601" s="1193"/>
      <c r="U601" s="1193"/>
      <c r="V601" s="1193"/>
      <c r="W601" s="1193"/>
      <c r="X601" s="1193"/>
      <c r="Y601" s="1193"/>
      <c r="Z601" s="1193"/>
      <c r="AA601" s="1193"/>
      <c r="AB601" s="1193"/>
      <c r="AC601" s="1193"/>
    </row>
    <row r="602" spans="1:29" x14ac:dyDescent="0.3">
      <c r="A602" s="681"/>
      <c r="B602" s="1193"/>
      <c r="C602" s="1193"/>
      <c r="D602" s="1193"/>
      <c r="E602" s="1193"/>
      <c r="F602" s="1193"/>
      <c r="G602" s="1193"/>
      <c r="H602" s="1193"/>
      <c r="I602" s="1193"/>
      <c r="J602" s="1193"/>
      <c r="K602" s="1193"/>
      <c r="L602" s="1193"/>
      <c r="M602" s="1193"/>
      <c r="N602" s="1193"/>
      <c r="O602" s="1193"/>
      <c r="P602" s="1193"/>
      <c r="Q602" s="1193"/>
      <c r="R602" s="1193"/>
      <c r="S602" s="1193"/>
      <c r="T602" s="1193"/>
      <c r="U602" s="1193"/>
      <c r="V602" s="1193"/>
      <c r="W602" s="1193"/>
      <c r="X602" s="1193"/>
      <c r="Y602" s="1193"/>
      <c r="Z602" s="1193"/>
      <c r="AA602" s="1193"/>
      <c r="AB602" s="1193"/>
      <c r="AC602" s="1193"/>
    </row>
    <row r="603" spans="1:29" x14ac:dyDescent="0.3">
      <c r="A603" s="681"/>
      <c r="B603" s="1193"/>
      <c r="C603" s="1193"/>
      <c r="D603" s="1193"/>
      <c r="E603" s="1193"/>
      <c r="F603" s="1193"/>
      <c r="G603" s="1193"/>
      <c r="H603" s="1193"/>
      <c r="I603" s="1193"/>
      <c r="J603" s="1193"/>
      <c r="K603" s="1193"/>
      <c r="L603" s="1193"/>
      <c r="M603" s="1193"/>
      <c r="N603" s="1193"/>
      <c r="O603" s="1193"/>
      <c r="P603" s="1193"/>
      <c r="Q603" s="1193"/>
      <c r="R603" s="1193"/>
      <c r="S603" s="1193"/>
      <c r="T603" s="1193"/>
      <c r="U603" s="1193"/>
      <c r="V603" s="1193"/>
      <c r="W603" s="1193"/>
      <c r="X603" s="1193"/>
      <c r="Y603" s="1193"/>
      <c r="Z603" s="1193"/>
      <c r="AA603" s="1193"/>
      <c r="AB603" s="1193"/>
      <c r="AC603" s="1193"/>
    </row>
    <row r="604" spans="1:29" x14ac:dyDescent="0.3">
      <c r="A604" s="681"/>
      <c r="B604" s="1193"/>
      <c r="C604" s="1193"/>
      <c r="D604" s="1193"/>
      <c r="E604" s="1193"/>
      <c r="F604" s="1193"/>
      <c r="G604" s="1193"/>
      <c r="H604" s="1193"/>
      <c r="I604" s="1193"/>
      <c r="J604" s="1193"/>
      <c r="K604" s="1193"/>
      <c r="L604" s="1193"/>
      <c r="M604" s="1193"/>
      <c r="N604" s="1193"/>
      <c r="O604" s="1193"/>
      <c r="P604" s="1193"/>
      <c r="Q604" s="1193"/>
      <c r="R604" s="1193"/>
      <c r="S604" s="1193"/>
      <c r="T604" s="1193"/>
      <c r="U604" s="1193"/>
      <c r="V604" s="1193"/>
      <c r="W604" s="1193"/>
      <c r="X604" s="1193"/>
      <c r="Y604" s="1193"/>
      <c r="Z604" s="1193"/>
      <c r="AA604" s="1193"/>
      <c r="AB604" s="1193"/>
      <c r="AC604" s="1193"/>
    </row>
    <row r="605" spans="1:29" x14ac:dyDescent="0.3">
      <c r="A605" s="681"/>
      <c r="B605" s="1193"/>
      <c r="C605" s="1193"/>
      <c r="D605" s="1193"/>
      <c r="E605" s="1193"/>
      <c r="F605" s="1193"/>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row>
    <row r="606" spans="1:29" x14ac:dyDescent="0.3">
      <c r="A606" s="681"/>
      <c r="B606" s="1193"/>
      <c r="C606" s="1193"/>
      <c r="D606" s="1193"/>
      <c r="E606" s="1193"/>
      <c r="F606" s="1193"/>
      <c r="G606" s="1193"/>
      <c r="H606" s="1193"/>
      <c r="I606" s="1193"/>
      <c r="J606" s="1193"/>
      <c r="K606" s="1193"/>
      <c r="L606" s="1193"/>
      <c r="M606" s="1193"/>
      <c r="N606" s="1193"/>
      <c r="O606" s="1193"/>
      <c r="P606" s="1193"/>
      <c r="Q606" s="1193"/>
      <c r="R606" s="1193"/>
      <c r="S606" s="1193"/>
      <c r="T606" s="1193"/>
      <c r="U606" s="1193"/>
      <c r="V606" s="1193"/>
      <c r="W606" s="1193"/>
      <c r="X606" s="1193"/>
      <c r="Y606" s="1193"/>
      <c r="Z606" s="1193"/>
      <c r="AA606" s="1193"/>
      <c r="AB606" s="1193"/>
      <c r="AC606" s="1193"/>
    </row>
    <row r="607" spans="1:29" x14ac:dyDescent="0.3">
      <c r="A607" s="681"/>
      <c r="B607" s="1193"/>
      <c r="C607" s="1193"/>
      <c r="D607" s="1193"/>
      <c r="E607" s="1193"/>
      <c r="F607" s="1193"/>
      <c r="G607" s="1193"/>
      <c r="H607" s="1193"/>
      <c r="I607" s="1193"/>
      <c r="J607" s="1193"/>
      <c r="K607" s="1193"/>
      <c r="L607" s="1193"/>
      <c r="M607" s="1193"/>
      <c r="N607" s="1193"/>
      <c r="O607" s="1193"/>
      <c r="P607" s="1193"/>
      <c r="Q607" s="1193"/>
      <c r="R607" s="1193"/>
      <c r="S607" s="1193"/>
      <c r="T607" s="1193"/>
      <c r="U607" s="1193"/>
      <c r="V607" s="1193"/>
      <c r="W607" s="1193"/>
      <c r="X607" s="1193"/>
      <c r="Y607" s="1193"/>
      <c r="Z607" s="1193"/>
      <c r="AA607" s="1193"/>
      <c r="AB607" s="1193"/>
      <c r="AC607" s="1193"/>
    </row>
    <row r="608" spans="1:29" x14ac:dyDescent="0.3">
      <c r="A608" s="681"/>
      <c r="B608" s="1193"/>
      <c r="C608" s="1193"/>
      <c r="D608" s="1193"/>
      <c r="E608" s="1193"/>
      <c r="F608" s="1193"/>
      <c r="G608" s="1193"/>
      <c r="H608" s="1193"/>
      <c r="I608" s="1193"/>
      <c r="J608" s="1193"/>
      <c r="K608" s="1193"/>
      <c r="L608" s="1193"/>
      <c r="M608" s="1193"/>
      <c r="N608" s="1193"/>
      <c r="O608" s="1193"/>
      <c r="P608" s="1193"/>
      <c r="Q608" s="1193"/>
      <c r="R608" s="1193"/>
      <c r="S608" s="1193"/>
      <c r="T608" s="1193"/>
      <c r="U608" s="1193"/>
      <c r="V608" s="1193"/>
      <c r="W608" s="1193"/>
      <c r="X608" s="1193"/>
      <c r="Y608" s="1193"/>
      <c r="Z608" s="1193"/>
      <c r="AA608" s="1193"/>
      <c r="AB608" s="1193"/>
      <c r="AC608" s="1193"/>
    </row>
    <row r="609" spans="1:29" x14ac:dyDescent="0.3">
      <c r="A609" s="681"/>
      <c r="B609" s="1193"/>
      <c r="C609" s="1193"/>
      <c r="D609" s="1193"/>
      <c r="E609" s="1193"/>
      <c r="F609" s="1193"/>
      <c r="G609" s="1193"/>
      <c r="H609" s="1193"/>
      <c r="I609" s="1193"/>
      <c r="J609" s="1193"/>
      <c r="K609" s="1193"/>
      <c r="L609" s="1193"/>
      <c r="M609" s="1193"/>
      <c r="N609" s="1193"/>
      <c r="O609" s="1193"/>
      <c r="P609" s="1193"/>
      <c r="Q609" s="1193"/>
      <c r="R609" s="1193"/>
      <c r="S609" s="1193"/>
      <c r="T609" s="1193"/>
      <c r="U609" s="1193"/>
      <c r="V609" s="1193"/>
      <c r="W609" s="1193"/>
      <c r="X609" s="1193"/>
      <c r="Y609" s="1193"/>
      <c r="Z609" s="1193"/>
      <c r="AA609" s="1193"/>
      <c r="AB609" s="1193"/>
      <c r="AC609" s="1193"/>
    </row>
    <row r="610" spans="1:29" x14ac:dyDescent="0.3">
      <c r="A610" s="681"/>
      <c r="B610" s="1193"/>
      <c r="C610" s="1193"/>
      <c r="D610" s="1193"/>
      <c r="E610" s="1193"/>
      <c r="F610" s="1193"/>
      <c r="G610" s="1193"/>
      <c r="H610" s="1193"/>
      <c r="I610" s="1193"/>
      <c r="J610" s="1193"/>
      <c r="K610" s="1193"/>
      <c r="L610" s="1193"/>
      <c r="M610" s="1193"/>
      <c r="N610" s="1193"/>
      <c r="O610" s="1193"/>
      <c r="P610" s="1193"/>
      <c r="Q610" s="1193"/>
      <c r="R610" s="1193"/>
      <c r="S610" s="1193"/>
      <c r="T610" s="1193"/>
      <c r="U610" s="1193"/>
      <c r="V610" s="1193"/>
      <c r="W610" s="1193"/>
      <c r="X610" s="1193"/>
      <c r="Y610" s="1193"/>
      <c r="Z610" s="1193"/>
      <c r="AA610" s="1193"/>
      <c r="AB610" s="1193"/>
      <c r="AC610" s="1193"/>
    </row>
    <row r="611" spans="1:29" x14ac:dyDescent="0.3">
      <c r="A611" s="681"/>
      <c r="B611" s="1193"/>
      <c r="C611" s="1193"/>
      <c r="D611" s="1193"/>
      <c r="E611" s="1193"/>
      <c r="F611" s="1193"/>
      <c r="G611" s="1193"/>
      <c r="H611" s="1193"/>
      <c r="I611" s="1193"/>
      <c r="J611" s="1193"/>
      <c r="K611" s="1193"/>
      <c r="L611" s="1193"/>
      <c r="M611" s="1193"/>
      <c r="N611" s="1193"/>
      <c r="O611" s="1193"/>
      <c r="P611" s="1193"/>
      <c r="Q611" s="1193"/>
      <c r="R611" s="1193"/>
      <c r="S611" s="1193"/>
      <c r="T611" s="1193"/>
      <c r="U611" s="1193"/>
      <c r="V611" s="1193"/>
      <c r="W611" s="1193"/>
      <c r="X611" s="1193"/>
      <c r="Y611" s="1193"/>
      <c r="Z611" s="1193"/>
      <c r="AA611" s="1193"/>
      <c r="AB611" s="1193"/>
      <c r="AC611" s="1193"/>
    </row>
    <row r="612" spans="1:29" x14ac:dyDescent="0.3">
      <c r="A612" s="681"/>
      <c r="B612" s="1193"/>
      <c r="C612" s="1193"/>
      <c r="D612" s="1193"/>
      <c r="E612" s="1193"/>
      <c r="F612" s="1193"/>
      <c r="G612" s="1193"/>
      <c r="H612" s="1193"/>
      <c r="I612" s="1193"/>
      <c r="J612" s="1193"/>
      <c r="K612" s="1193"/>
      <c r="L612" s="1193"/>
      <c r="M612" s="1193"/>
      <c r="N612" s="1193"/>
      <c r="O612" s="1193"/>
      <c r="P612" s="1193"/>
      <c r="Q612" s="1193"/>
      <c r="R612" s="1193"/>
      <c r="S612" s="1193"/>
      <c r="T612" s="1193"/>
      <c r="U612" s="1193"/>
      <c r="V612" s="1193"/>
      <c r="W612" s="1193"/>
      <c r="X612" s="1193"/>
      <c r="Y612" s="1193"/>
      <c r="Z612" s="1193"/>
      <c r="AA612" s="1193"/>
      <c r="AB612" s="1193"/>
      <c r="AC612" s="1193"/>
    </row>
    <row r="613" spans="1:29" x14ac:dyDescent="0.3">
      <c r="A613" s="681"/>
      <c r="B613" s="1193"/>
      <c r="C613" s="1193"/>
      <c r="D613" s="1193"/>
      <c r="E613" s="1193"/>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1193"/>
    </row>
    <row r="614" spans="1:29" x14ac:dyDescent="0.3">
      <c r="A614" s="681"/>
      <c r="B614" s="1193"/>
      <c r="C614" s="1193"/>
      <c r="D614" s="1193"/>
      <c r="E614" s="1193"/>
      <c r="F614" s="1193"/>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c r="AA614" s="1193"/>
      <c r="AB614" s="1193"/>
      <c r="AC614" s="1193"/>
    </row>
    <row r="615" spans="1:29" x14ac:dyDescent="0.3">
      <c r="A615" s="681"/>
      <c r="B615" s="1193"/>
      <c r="C615" s="1193"/>
      <c r="D615" s="1193"/>
      <c r="E615" s="1193"/>
      <c r="F615" s="1193"/>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c r="AA615" s="1193"/>
      <c r="AB615" s="1193"/>
      <c r="AC615" s="1193"/>
    </row>
    <row r="616" spans="1:29" x14ac:dyDescent="0.3">
      <c r="A616" s="681"/>
      <c r="B616" s="1193"/>
      <c r="C616" s="1193"/>
      <c r="D616" s="1193"/>
      <c r="E616" s="1193"/>
      <c r="F616" s="1193"/>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row>
    <row r="617" spans="1:29" x14ac:dyDescent="0.3">
      <c r="A617" s="681"/>
      <c r="B617" s="1193"/>
      <c r="C617" s="1193"/>
      <c r="D617" s="1193"/>
      <c r="E617" s="1193"/>
      <c r="F617" s="1193"/>
      <c r="G617" s="1193"/>
      <c r="H617" s="1193"/>
      <c r="I617" s="1193"/>
      <c r="J617" s="1193"/>
      <c r="K617" s="1193"/>
      <c r="L617" s="1193"/>
      <c r="M617" s="1193"/>
      <c r="N617" s="1193"/>
      <c r="O617" s="1193"/>
      <c r="P617" s="1193"/>
      <c r="Q617" s="1193"/>
      <c r="R617" s="1193"/>
      <c r="S617" s="1193"/>
      <c r="T617" s="1193"/>
      <c r="U617" s="1193"/>
      <c r="V617" s="1193"/>
      <c r="W617" s="1193"/>
      <c r="X617" s="1193"/>
      <c r="Y617" s="1193"/>
      <c r="Z617" s="1193"/>
      <c r="AA617" s="1193"/>
      <c r="AB617" s="1193"/>
      <c r="AC617" s="1193"/>
    </row>
    <row r="618" spans="1:29" x14ac:dyDescent="0.3">
      <c r="A618" s="681"/>
      <c r="B618" s="1193"/>
      <c r="C618" s="1193"/>
      <c r="D618" s="1193"/>
      <c r="E618" s="1193"/>
      <c r="F618" s="1193"/>
      <c r="G618" s="1193"/>
      <c r="H618" s="1193"/>
      <c r="I618" s="1193"/>
      <c r="J618" s="1193"/>
      <c r="K618" s="1193"/>
      <c r="L618" s="1193"/>
      <c r="M618" s="1193"/>
      <c r="N618" s="1193"/>
      <c r="O618" s="1193"/>
      <c r="P618" s="1193"/>
      <c r="Q618" s="1193"/>
      <c r="R618" s="1193"/>
      <c r="S618" s="1193"/>
      <c r="T618" s="1193"/>
      <c r="U618" s="1193"/>
      <c r="V618" s="1193"/>
      <c r="W618" s="1193"/>
      <c r="X618" s="1193"/>
      <c r="Y618" s="1193"/>
      <c r="Z618" s="1193"/>
      <c r="AA618" s="1193"/>
      <c r="AB618" s="1193"/>
      <c r="AC618" s="1193"/>
    </row>
    <row r="619" spans="1:29" x14ac:dyDescent="0.3">
      <c r="A619" s="681"/>
      <c r="B619" s="1193"/>
      <c r="C619" s="1193"/>
      <c r="D619" s="1193"/>
      <c r="E619" s="1193"/>
      <c r="F619" s="1193"/>
      <c r="G619" s="1193"/>
      <c r="H619" s="1193"/>
      <c r="I619" s="1193"/>
      <c r="J619" s="1193"/>
      <c r="K619" s="1193"/>
      <c r="L619" s="1193"/>
      <c r="M619" s="1193"/>
      <c r="N619" s="1193"/>
      <c r="O619" s="1193"/>
      <c r="P619" s="1193"/>
      <c r="Q619" s="1193"/>
      <c r="R619" s="1193"/>
      <c r="S619" s="1193"/>
      <c r="T619" s="1193"/>
      <c r="U619" s="1193"/>
      <c r="V619" s="1193"/>
      <c r="W619" s="1193"/>
      <c r="X619" s="1193"/>
      <c r="Y619" s="1193"/>
      <c r="Z619" s="1193"/>
      <c r="AA619" s="1193"/>
      <c r="AB619" s="1193"/>
      <c r="AC619" s="1193"/>
    </row>
    <row r="620" spans="1:29" x14ac:dyDescent="0.3">
      <c r="A620" s="681"/>
      <c r="B620" s="1193"/>
      <c r="C620" s="1193"/>
      <c r="D620" s="1193"/>
      <c r="E620" s="1193"/>
      <c r="F620" s="1193"/>
      <c r="G620" s="1193"/>
      <c r="H620" s="1193"/>
      <c r="I620" s="1193"/>
      <c r="J620" s="1193"/>
      <c r="K620" s="1193"/>
      <c r="L620" s="1193"/>
      <c r="M620" s="1193"/>
      <c r="N620" s="1193"/>
      <c r="O620" s="1193"/>
      <c r="P620" s="1193"/>
      <c r="Q620" s="1193"/>
      <c r="R620" s="1193"/>
      <c r="S620" s="1193"/>
      <c r="T620" s="1193"/>
      <c r="U620" s="1193"/>
      <c r="V620" s="1193"/>
      <c r="W620" s="1193"/>
      <c r="X620" s="1193"/>
      <c r="Y620" s="1193"/>
      <c r="Z620" s="1193"/>
      <c r="AA620" s="1193"/>
      <c r="AB620" s="1193"/>
      <c r="AC620" s="1193"/>
    </row>
    <row r="621" spans="1:29" x14ac:dyDescent="0.3">
      <c r="A621" s="681"/>
      <c r="B621" s="1193"/>
      <c r="C621" s="1193"/>
      <c r="D621" s="1193"/>
      <c r="E621" s="1193"/>
      <c r="F621" s="1193"/>
      <c r="G621" s="1193"/>
      <c r="H621" s="1193"/>
      <c r="I621" s="1193"/>
      <c r="J621" s="1193"/>
      <c r="K621" s="1193"/>
      <c r="L621" s="1193"/>
      <c r="M621" s="1193"/>
      <c r="N621" s="1193"/>
      <c r="O621" s="1193"/>
      <c r="P621" s="1193"/>
      <c r="Q621" s="1193"/>
      <c r="R621" s="1193"/>
      <c r="S621" s="1193"/>
      <c r="T621" s="1193"/>
      <c r="U621" s="1193"/>
      <c r="V621" s="1193"/>
      <c r="W621" s="1193"/>
      <c r="X621" s="1193"/>
      <c r="Y621" s="1193"/>
      <c r="Z621" s="1193"/>
      <c r="AA621" s="1193"/>
      <c r="AB621" s="1193"/>
      <c r="AC621" s="1193"/>
    </row>
    <row r="622" spans="1:29" x14ac:dyDescent="0.3">
      <c r="A622" s="681"/>
      <c r="B622" s="1193"/>
      <c r="C622" s="1193"/>
      <c r="D622" s="1193"/>
      <c r="E622" s="1193"/>
      <c r="F622" s="1193"/>
      <c r="G622" s="1193"/>
      <c r="H622" s="1193"/>
      <c r="I622" s="1193"/>
      <c r="J622" s="1193"/>
      <c r="K622" s="1193"/>
      <c r="L622" s="1193"/>
      <c r="M622" s="1193"/>
      <c r="N622" s="1193"/>
      <c r="O622" s="1193"/>
      <c r="P622" s="1193"/>
      <c r="Q622" s="1193"/>
      <c r="R622" s="1193"/>
      <c r="S622" s="1193"/>
      <c r="T622" s="1193"/>
      <c r="U622" s="1193"/>
      <c r="V622" s="1193"/>
      <c r="W622" s="1193"/>
      <c r="X622" s="1193"/>
      <c r="Y622" s="1193"/>
      <c r="Z622" s="1193"/>
      <c r="AA622" s="1193"/>
      <c r="AB622" s="1193"/>
      <c r="AC622" s="1193"/>
    </row>
    <row r="623" spans="1:29" x14ac:dyDescent="0.3">
      <c r="A623" s="681"/>
      <c r="B623" s="1193"/>
      <c r="C623" s="1193"/>
      <c r="D623" s="1193"/>
      <c r="E623" s="1193"/>
      <c r="F623" s="1193"/>
      <c r="G623" s="1193"/>
      <c r="H623" s="1193"/>
      <c r="I623" s="1193"/>
      <c r="J623" s="1193"/>
      <c r="K623" s="1193"/>
      <c r="L623" s="1193"/>
      <c r="M623" s="1193"/>
      <c r="N623" s="1193"/>
      <c r="O623" s="1193"/>
      <c r="P623" s="1193"/>
      <c r="Q623" s="1193"/>
      <c r="R623" s="1193"/>
      <c r="S623" s="1193"/>
      <c r="T623" s="1193"/>
      <c r="U623" s="1193"/>
      <c r="V623" s="1193"/>
      <c r="W623" s="1193"/>
      <c r="X623" s="1193"/>
      <c r="Y623" s="1193"/>
      <c r="Z623" s="1193"/>
      <c r="AA623" s="1193"/>
      <c r="AB623" s="1193"/>
      <c r="AC623" s="1193"/>
    </row>
    <row r="624" spans="1:29" x14ac:dyDescent="0.3">
      <c r="A624" s="681"/>
      <c r="B624" s="1193"/>
      <c r="C624" s="1193"/>
      <c r="D624" s="1193"/>
      <c r="E624" s="1193"/>
      <c r="F624" s="1193"/>
      <c r="G624" s="1193"/>
      <c r="H624" s="1193"/>
      <c r="I624" s="1193"/>
      <c r="J624" s="1193"/>
      <c r="K624" s="1193"/>
      <c r="L624" s="1193"/>
      <c r="M624" s="1193"/>
      <c r="N624" s="1193"/>
      <c r="O624" s="1193"/>
      <c r="P624" s="1193"/>
      <c r="Q624" s="1193"/>
      <c r="R624" s="1193"/>
      <c r="S624" s="1193"/>
      <c r="T624" s="1193"/>
      <c r="U624" s="1193"/>
      <c r="V624" s="1193"/>
      <c r="W624" s="1193"/>
      <c r="X624" s="1193"/>
      <c r="Y624" s="1193"/>
      <c r="Z624" s="1193"/>
      <c r="AA624" s="1193"/>
      <c r="AB624" s="1193"/>
      <c r="AC624" s="1193"/>
    </row>
    <row r="625" spans="1:29" x14ac:dyDescent="0.3">
      <c r="A625" s="681"/>
      <c r="B625" s="1193"/>
      <c r="C625" s="1193"/>
      <c r="D625" s="1193"/>
      <c r="E625" s="1193"/>
      <c r="F625" s="1193"/>
      <c r="G625" s="1193"/>
      <c r="H625" s="1193"/>
      <c r="I625" s="1193"/>
      <c r="J625" s="1193"/>
      <c r="K625" s="1193"/>
      <c r="L625" s="1193"/>
      <c r="M625" s="1193"/>
      <c r="N625" s="1193"/>
      <c r="O625" s="1193"/>
      <c r="P625" s="1193"/>
      <c r="Q625" s="1193"/>
      <c r="R625" s="1193"/>
      <c r="S625" s="1193"/>
      <c r="T625" s="1193"/>
      <c r="U625" s="1193"/>
      <c r="V625" s="1193"/>
      <c r="W625" s="1193"/>
      <c r="X625" s="1193"/>
      <c r="Y625" s="1193"/>
      <c r="Z625" s="1193"/>
      <c r="AA625" s="1193"/>
      <c r="AB625" s="1193"/>
      <c r="AC625" s="1193"/>
    </row>
    <row r="626" spans="1:29" x14ac:dyDescent="0.3">
      <c r="A626" s="681"/>
      <c r="B626" s="1193"/>
      <c r="C626" s="1193"/>
      <c r="D626" s="1193"/>
      <c r="E626" s="1193"/>
      <c r="F626" s="1193"/>
      <c r="G626" s="1193"/>
      <c r="H626" s="1193"/>
      <c r="I626" s="1193"/>
      <c r="J626" s="1193"/>
      <c r="K626" s="1193"/>
      <c r="L626" s="1193"/>
      <c r="M626" s="1193"/>
      <c r="N626" s="1193"/>
      <c r="O626" s="1193"/>
      <c r="P626" s="1193"/>
      <c r="Q626" s="1193"/>
      <c r="R626" s="1193"/>
      <c r="S626" s="1193"/>
      <c r="T626" s="1193"/>
      <c r="U626" s="1193"/>
      <c r="V626" s="1193"/>
      <c r="W626" s="1193"/>
      <c r="X626" s="1193"/>
      <c r="Y626" s="1193"/>
      <c r="Z626" s="1193"/>
      <c r="AA626" s="1193"/>
      <c r="AB626" s="1193"/>
      <c r="AC626" s="1193"/>
    </row>
    <row r="627" spans="1:29" x14ac:dyDescent="0.3">
      <c r="A627" s="681"/>
      <c r="B627" s="1193"/>
      <c r="C627" s="1193"/>
      <c r="D627" s="1193"/>
      <c r="E627" s="1193"/>
      <c r="F627" s="1193"/>
      <c r="G627" s="1193"/>
      <c r="H627" s="1193"/>
      <c r="I627" s="1193"/>
      <c r="J627" s="1193"/>
      <c r="K627" s="1193"/>
      <c r="L627" s="1193"/>
      <c r="M627" s="1193"/>
      <c r="N627" s="1193"/>
      <c r="O627" s="1193"/>
      <c r="P627" s="1193"/>
      <c r="Q627" s="1193"/>
      <c r="R627" s="1193"/>
      <c r="S627" s="1193"/>
      <c r="T627" s="1193"/>
      <c r="U627" s="1193"/>
      <c r="V627" s="1193"/>
      <c r="W627" s="1193"/>
      <c r="X627" s="1193"/>
      <c r="Y627" s="1193"/>
      <c r="Z627" s="1193"/>
      <c r="AA627" s="1193"/>
      <c r="AB627" s="1193"/>
      <c r="AC627" s="1193"/>
    </row>
    <row r="628" spans="1:29" x14ac:dyDescent="0.3">
      <c r="A628" s="681"/>
      <c r="B628" s="1193"/>
      <c r="C628" s="1193"/>
      <c r="D628" s="1193"/>
      <c r="E628" s="1193"/>
      <c r="F628" s="1193"/>
      <c r="G628" s="1193"/>
      <c r="H628" s="1193"/>
      <c r="I628" s="1193"/>
      <c r="J628" s="1193"/>
      <c r="K628" s="1193"/>
      <c r="L628" s="1193"/>
      <c r="M628" s="1193"/>
      <c r="N628" s="1193"/>
      <c r="O628" s="1193"/>
      <c r="P628" s="1193"/>
      <c r="Q628" s="1193"/>
      <c r="R628" s="1193"/>
      <c r="S628" s="1193"/>
      <c r="T628" s="1193"/>
      <c r="U628" s="1193"/>
      <c r="V628" s="1193"/>
      <c r="W628" s="1193"/>
      <c r="X628" s="1193"/>
      <c r="Y628" s="1193"/>
      <c r="Z628" s="1193"/>
      <c r="AA628" s="1193"/>
      <c r="AB628" s="1193"/>
      <c r="AC628" s="1193"/>
    </row>
    <row r="629" spans="1:29" x14ac:dyDescent="0.3">
      <c r="A629" s="681"/>
      <c r="B629" s="1193"/>
      <c r="C629" s="1193"/>
      <c r="D629" s="1193"/>
      <c r="E629" s="1193"/>
      <c r="F629" s="1193"/>
      <c r="G629" s="1193"/>
      <c r="H629" s="1193"/>
      <c r="I629" s="1193"/>
      <c r="J629" s="1193"/>
      <c r="K629" s="1193"/>
      <c r="L629" s="1193"/>
      <c r="M629" s="1193"/>
      <c r="N629" s="1193"/>
      <c r="O629" s="1193"/>
      <c r="P629" s="1193"/>
      <c r="Q629" s="1193"/>
      <c r="R629" s="1193"/>
      <c r="S629" s="1193"/>
      <c r="T629" s="1193"/>
      <c r="U629" s="1193"/>
      <c r="V629" s="1193"/>
      <c r="W629" s="1193"/>
      <c r="X629" s="1193"/>
      <c r="Y629" s="1193"/>
      <c r="Z629" s="1193"/>
      <c r="AA629" s="1193"/>
      <c r="AB629" s="1193"/>
      <c r="AC629" s="1193"/>
    </row>
    <row r="630" spans="1:29" x14ac:dyDescent="0.3">
      <c r="A630" s="681"/>
      <c r="B630" s="1193"/>
      <c r="C630" s="1193"/>
      <c r="D630" s="1193"/>
      <c r="E630" s="1193"/>
      <c r="F630" s="1193"/>
      <c r="G630" s="1193"/>
      <c r="H630" s="1193"/>
      <c r="I630" s="1193"/>
      <c r="J630" s="1193"/>
      <c r="K630" s="1193"/>
      <c r="L630" s="1193"/>
      <c r="M630" s="1193"/>
      <c r="N630" s="1193"/>
      <c r="O630" s="1193"/>
      <c r="P630" s="1193"/>
      <c r="Q630" s="1193"/>
      <c r="R630" s="1193"/>
      <c r="S630" s="1193"/>
      <c r="T630" s="1193"/>
      <c r="U630" s="1193"/>
      <c r="V630" s="1193"/>
      <c r="W630" s="1193"/>
      <c r="X630" s="1193"/>
      <c r="Y630" s="1193"/>
      <c r="Z630" s="1193"/>
      <c r="AA630" s="1193"/>
      <c r="AB630" s="1193"/>
      <c r="AC630" s="1193"/>
    </row>
    <row r="631" spans="1:29" x14ac:dyDescent="0.3">
      <c r="A631" s="681"/>
      <c r="B631" s="1193"/>
      <c r="C631" s="1193"/>
      <c r="D631" s="1193"/>
      <c r="E631" s="1193"/>
      <c r="F631" s="1193"/>
      <c r="G631" s="1193"/>
      <c r="H631" s="1193"/>
      <c r="I631" s="1193"/>
      <c r="J631" s="1193"/>
      <c r="K631" s="1193"/>
      <c r="L631" s="1193"/>
      <c r="M631" s="1193"/>
      <c r="N631" s="1193"/>
      <c r="O631" s="1193"/>
      <c r="P631" s="1193"/>
      <c r="Q631" s="1193"/>
      <c r="R631" s="1193"/>
      <c r="S631" s="1193"/>
      <c r="T631" s="1193"/>
      <c r="U631" s="1193"/>
      <c r="V631" s="1193"/>
      <c r="W631" s="1193"/>
      <c r="X631" s="1193"/>
      <c r="Y631" s="1193"/>
      <c r="Z631" s="1193"/>
      <c r="AA631" s="1193"/>
      <c r="AB631" s="1193"/>
      <c r="AC631" s="1193"/>
    </row>
    <row r="632" spans="1:29" x14ac:dyDescent="0.3">
      <c r="A632" s="681"/>
      <c r="B632" s="1193"/>
      <c r="C632" s="1193"/>
      <c r="D632" s="1193"/>
      <c r="E632" s="1193"/>
      <c r="F632" s="1193"/>
      <c r="G632" s="1193"/>
      <c r="H632" s="1193"/>
      <c r="I632" s="1193"/>
      <c r="J632" s="1193"/>
      <c r="K632" s="1193"/>
      <c r="L632" s="1193"/>
      <c r="M632" s="1193"/>
      <c r="N632" s="1193"/>
      <c r="O632" s="1193"/>
      <c r="P632" s="1193"/>
      <c r="Q632" s="1193"/>
      <c r="R632" s="1193"/>
      <c r="S632" s="1193"/>
      <c r="T632" s="1193"/>
      <c r="U632" s="1193"/>
      <c r="V632" s="1193"/>
      <c r="W632" s="1193"/>
      <c r="X632" s="1193"/>
      <c r="Y632" s="1193"/>
      <c r="Z632" s="1193"/>
      <c r="AA632" s="1193"/>
      <c r="AB632" s="1193"/>
      <c r="AC632" s="1193"/>
    </row>
    <row r="633" spans="1:29" x14ac:dyDescent="0.3">
      <c r="A633" s="681"/>
      <c r="B633" s="1193"/>
      <c r="C633" s="1193"/>
      <c r="D633" s="1193"/>
      <c r="E633" s="1193"/>
      <c r="F633" s="1193"/>
      <c r="G633" s="1193"/>
      <c r="H633" s="1193"/>
      <c r="I633" s="1193"/>
      <c r="J633" s="1193"/>
      <c r="K633" s="1193"/>
      <c r="L633" s="1193"/>
      <c r="M633" s="1193"/>
      <c r="N633" s="1193"/>
      <c r="O633" s="1193"/>
      <c r="P633" s="1193"/>
      <c r="Q633" s="1193"/>
      <c r="R633" s="1193"/>
      <c r="S633" s="1193"/>
      <c r="T633" s="1193"/>
      <c r="U633" s="1193"/>
      <c r="V633" s="1193"/>
      <c r="W633" s="1193"/>
      <c r="X633" s="1193"/>
      <c r="Y633" s="1193"/>
      <c r="Z633" s="1193"/>
      <c r="AA633" s="1193"/>
      <c r="AB633" s="1193"/>
      <c r="AC633" s="1193"/>
    </row>
    <row r="634" spans="1:29" x14ac:dyDescent="0.3">
      <c r="A634" s="681"/>
      <c r="B634" s="1193"/>
      <c r="C634" s="1193"/>
      <c r="D634" s="1193"/>
      <c r="E634" s="1193"/>
      <c r="F634" s="1193"/>
      <c r="G634" s="1193"/>
      <c r="H634" s="1193"/>
      <c r="I634" s="1193"/>
      <c r="J634" s="1193"/>
      <c r="K634" s="1193"/>
      <c r="L634" s="1193"/>
      <c r="M634" s="1193"/>
      <c r="N634" s="1193"/>
      <c r="O634" s="1193"/>
      <c r="P634" s="1193"/>
      <c r="Q634" s="1193"/>
      <c r="R634" s="1193"/>
      <c r="S634" s="1193"/>
      <c r="T634" s="1193"/>
      <c r="U634" s="1193"/>
      <c r="V634" s="1193"/>
      <c r="W634" s="1193"/>
      <c r="X634" s="1193"/>
      <c r="Y634" s="1193"/>
      <c r="Z634" s="1193"/>
      <c r="AA634" s="1193"/>
      <c r="AB634" s="1193"/>
      <c r="AC634" s="1193"/>
    </row>
    <row r="635" spans="1:29" x14ac:dyDescent="0.3">
      <c r="A635" s="681"/>
      <c r="B635" s="1193"/>
      <c r="C635" s="1193"/>
      <c r="D635" s="1193"/>
      <c r="E635" s="1193"/>
      <c r="F635" s="1193"/>
      <c r="G635" s="1193"/>
      <c r="H635" s="1193"/>
      <c r="I635" s="1193"/>
      <c r="J635" s="1193"/>
      <c r="K635" s="1193"/>
      <c r="L635" s="1193"/>
      <c r="M635" s="1193"/>
      <c r="N635" s="1193"/>
      <c r="O635" s="1193"/>
      <c r="P635" s="1193"/>
      <c r="Q635" s="1193"/>
      <c r="R635" s="1193"/>
      <c r="S635" s="1193"/>
      <c r="T635" s="1193"/>
      <c r="U635" s="1193"/>
      <c r="V635" s="1193"/>
      <c r="W635" s="1193"/>
      <c r="X635" s="1193"/>
      <c r="Y635" s="1193"/>
      <c r="Z635" s="1193"/>
      <c r="AA635" s="1193"/>
      <c r="AB635" s="1193"/>
      <c r="AC635" s="1193"/>
    </row>
    <row r="636" spans="1:29" x14ac:dyDescent="0.3">
      <c r="A636" s="681"/>
      <c r="B636" s="1193"/>
      <c r="C636" s="1193"/>
      <c r="D636" s="1193"/>
      <c r="E636" s="1193"/>
      <c r="F636" s="1193"/>
      <c r="G636" s="1193"/>
      <c r="H636" s="1193"/>
      <c r="I636" s="1193"/>
      <c r="J636" s="1193"/>
      <c r="K636" s="1193"/>
      <c r="L636" s="1193"/>
      <c r="M636" s="1193"/>
      <c r="N636" s="1193"/>
      <c r="O636" s="1193"/>
      <c r="P636" s="1193"/>
      <c r="Q636" s="1193"/>
      <c r="R636" s="1193"/>
      <c r="S636" s="1193"/>
      <c r="T636" s="1193"/>
      <c r="U636" s="1193"/>
      <c r="V636" s="1193"/>
      <c r="W636" s="1193"/>
      <c r="X636" s="1193"/>
      <c r="Y636" s="1193"/>
      <c r="Z636" s="1193"/>
      <c r="AA636" s="1193"/>
      <c r="AB636" s="1193"/>
      <c r="AC636" s="1193"/>
    </row>
    <row r="637" spans="1:29" x14ac:dyDescent="0.3">
      <c r="A637" s="681"/>
      <c r="B637" s="1193"/>
      <c r="C637" s="1193"/>
      <c r="D637" s="1193"/>
      <c r="E637" s="1193"/>
      <c r="F637" s="1193"/>
      <c r="G637" s="1193"/>
      <c r="H637" s="1193"/>
      <c r="I637" s="1193"/>
      <c r="J637" s="1193"/>
      <c r="K637" s="1193"/>
      <c r="L637" s="1193"/>
      <c r="M637" s="1193"/>
      <c r="N637" s="1193"/>
      <c r="O637" s="1193"/>
      <c r="P637" s="1193"/>
      <c r="Q637" s="1193"/>
      <c r="R637" s="1193"/>
      <c r="S637" s="1193"/>
      <c r="T637" s="1193"/>
      <c r="U637" s="1193"/>
      <c r="V637" s="1193"/>
      <c r="W637" s="1193"/>
      <c r="X637" s="1193"/>
      <c r="Y637" s="1193"/>
      <c r="Z637" s="1193"/>
      <c r="AA637" s="1193"/>
      <c r="AB637" s="1193"/>
      <c r="AC637" s="1193"/>
    </row>
    <row r="638" spans="1:29" x14ac:dyDescent="0.3">
      <c r="A638" s="681"/>
      <c r="B638" s="1193"/>
      <c r="C638" s="1193"/>
      <c r="D638" s="1193"/>
      <c r="E638" s="1193"/>
      <c r="F638" s="1193"/>
      <c r="G638" s="1193"/>
      <c r="H638" s="1193"/>
      <c r="I638" s="1193"/>
      <c r="J638" s="1193"/>
      <c r="K638" s="1193"/>
      <c r="L638" s="1193"/>
      <c r="M638" s="1193"/>
      <c r="N638" s="1193"/>
      <c r="O638" s="1193"/>
      <c r="P638" s="1193"/>
      <c r="Q638" s="1193"/>
      <c r="R638" s="1193"/>
      <c r="S638" s="1193"/>
      <c r="T638" s="1193"/>
      <c r="U638" s="1193"/>
      <c r="V638" s="1193"/>
      <c r="W638" s="1193"/>
      <c r="X638" s="1193"/>
      <c r="Y638" s="1193"/>
      <c r="Z638" s="1193"/>
      <c r="AA638" s="1193"/>
      <c r="AB638" s="1193"/>
      <c r="AC638" s="1193"/>
    </row>
    <row r="639" spans="1:29" x14ac:dyDescent="0.3">
      <c r="A639" s="681"/>
      <c r="B639" s="1193"/>
      <c r="C639" s="1193"/>
      <c r="D639" s="1193"/>
      <c r="E639" s="1193"/>
      <c r="F639" s="1193"/>
      <c r="G639" s="1193"/>
      <c r="H639" s="1193"/>
      <c r="I639" s="1193"/>
      <c r="J639" s="1193"/>
      <c r="K639" s="1193"/>
      <c r="L639" s="1193"/>
      <c r="M639" s="1193"/>
      <c r="N639" s="1193"/>
      <c r="O639" s="1193"/>
      <c r="P639" s="1193"/>
      <c r="Q639" s="1193"/>
      <c r="R639" s="1193"/>
      <c r="S639" s="1193"/>
      <c r="T639" s="1193"/>
      <c r="U639" s="1193"/>
      <c r="V639" s="1193"/>
      <c r="W639" s="1193"/>
      <c r="X639" s="1193"/>
      <c r="Y639" s="1193"/>
      <c r="Z639" s="1193"/>
      <c r="AA639" s="1193"/>
      <c r="AB639" s="1193"/>
      <c r="AC639" s="1193"/>
    </row>
    <row r="640" spans="1:29" x14ac:dyDescent="0.3">
      <c r="A640" s="681"/>
      <c r="B640" s="1193"/>
      <c r="C640" s="1193"/>
      <c r="D640" s="1193"/>
      <c r="E640" s="1193"/>
      <c r="F640" s="1193"/>
      <c r="G640" s="1193"/>
      <c r="H640" s="1193"/>
      <c r="I640" s="1193"/>
      <c r="J640" s="1193"/>
      <c r="K640" s="1193"/>
      <c r="L640" s="1193"/>
      <c r="M640" s="1193"/>
      <c r="N640" s="1193"/>
      <c r="O640" s="1193"/>
      <c r="P640" s="1193"/>
      <c r="Q640" s="1193"/>
      <c r="R640" s="1193"/>
      <c r="S640" s="1193"/>
      <c r="T640" s="1193"/>
      <c r="U640" s="1193"/>
      <c r="V640" s="1193"/>
      <c r="W640" s="1193"/>
      <c r="X640" s="1193"/>
      <c r="Y640" s="1193"/>
      <c r="Z640" s="1193"/>
      <c r="AA640" s="1193"/>
      <c r="AB640" s="1193"/>
      <c r="AC640" s="1193"/>
    </row>
    <row r="641" spans="1:29" x14ac:dyDescent="0.3">
      <c r="A641" s="681"/>
      <c r="B641" s="1193"/>
      <c r="C641" s="1193"/>
      <c r="D641" s="1193"/>
      <c r="E641" s="1193"/>
      <c r="F641" s="1193"/>
      <c r="G641" s="1193"/>
      <c r="H641" s="1193"/>
      <c r="I641" s="1193"/>
      <c r="J641" s="1193"/>
      <c r="K641" s="1193"/>
      <c r="L641" s="1193"/>
      <c r="M641" s="1193"/>
      <c r="N641" s="1193"/>
      <c r="O641" s="1193"/>
      <c r="P641" s="1193"/>
      <c r="Q641" s="1193"/>
      <c r="R641" s="1193"/>
      <c r="S641" s="1193"/>
      <c r="T641" s="1193"/>
      <c r="U641" s="1193"/>
      <c r="V641" s="1193"/>
      <c r="W641" s="1193"/>
      <c r="X641" s="1193"/>
      <c r="Y641" s="1193"/>
      <c r="Z641" s="1193"/>
      <c r="AA641" s="1193"/>
      <c r="AB641" s="1193"/>
      <c r="AC641" s="1193"/>
    </row>
    <row r="642" spans="1:29" x14ac:dyDescent="0.3">
      <c r="A642" s="681"/>
      <c r="B642" s="1193"/>
      <c r="C642" s="1193"/>
      <c r="D642" s="1193"/>
      <c r="E642" s="1193"/>
      <c r="F642" s="1193"/>
      <c r="G642" s="1193"/>
      <c r="H642" s="1193"/>
      <c r="I642" s="1193"/>
      <c r="J642" s="1193"/>
      <c r="K642" s="1193"/>
      <c r="L642" s="1193"/>
      <c r="M642" s="1193"/>
      <c r="N642" s="1193"/>
      <c r="O642" s="1193"/>
      <c r="P642" s="1193"/>
      <c r="Q642" s="1193"/>
      <c r="R642" s="1193"/>
      <c r="S642" s="1193"/>
      <c r="T642" s="1193"/>
      <c r="U642" s="1193"/>
      <c r="V642" s="1193"/>
      <c r="W642" s="1193"/>
      <c r="X642" s="1193"/>
      <c r="Y642" s="1193"/>
      <c r="Z642" s="1193"/>
      <c r="AA642" s="1193"/>
      <c r="AB642" s="1193"/>
      <c r="AC642" s="1193"/>
    </row>
    <row r="643" spans="1:29" x14ac:dyDescent="0.3">
      <c r="A643" s="681"/>
      <c r="B643" s="1193"/>
      <c r="C643" s="1193"/>
      <c r="D643" s="1193"/>
      <c r="E643" s="1193"/>
      <c r="F643" s="1193"/>
      <c r="G643" s="1193"/>
      <c r="H643" s="1193"/>
      <c r="I643" s="1193"/>
      <c r="J643" s="1193"/>
      <c r="K643" s="1193"/>
      <c r="L643" s="1193"/>
      <c r="M643" s="1193"/>
      <c r="N643" s="1193"/>
      <c r="O643" s="1193"/>
      <c r="P643" s="1193"/>
      <c r="Q643" s="1193"/>
      <c r="R643" s="1193"/>
      <c r="S643" s="1193"/>
      <c r="T643" s="1193"/>
      <c r="U643" s="1193"/>
      <c r="V643" s="1193"/>
      <c r="W643" s="1193"/>
      <c r="X643" s="1193"/>
      <c r="Y643" s="1193"/>
      <c r="Z643" s="1193"/>
      <c r="AA643" s="1193"/>
      <c r="AB643" s="1193"/>
      <c r="AC643" s="1193"/>
    </row>
    <row r="644" spans="1:29" x14ac:dyDescent="0.3">
      <c r="A644" s="681"/>
      <c r="B644" s="1193"/>
      <c r="C644" s="1193"/>
      <c r="D644" s="1193"/>
      <c r="E644" s="1193"/>
      <c r="F644" s="1193"/>
      <c r="G644" s="1193"/>
      <c r="H644" s="1193"/>
      <c r="I644" s="1193"/>
      <c r="J644" s="1193"/>
      <c r="K644" s="1193"/>
      <c r="L644" s="1193"/>
      <c r="M644" s="1193"/>
      <c r="N644" s="1193"/>
      <c r="O644" s="1193"/>
      <c r="P644" s="1193"/>
      <c r="Q644" s="1193"/>
      <c r="R644" s="1193"/>
      <c r="S644" s="1193"/>
      <c r="T644" s="1193"/>
      <c r="U644" s="1193"/>
      <c r="V644" s="1193"/>
      <c r="W644" s="1193"/>
      <c r="X644" s="1193"/>
      <c r="Y644" s="1193"/>
      <c r="Z644" s="1193"/>
      <c r="AA644" s="1193"/>
      <c r="AB644" s="1193"/>
      <c r="AC644" s="1193"/>
    </row>
    <row r="645" spans="1:29" x14ac:dyDescent="0.3">
      <c r="A645" s="681"/>
      <c r="B645" s="1193"/>
      <c r="C645" s="1193"/>
      <c r="D645" s="1193"/>
      <c r="E645" s="1193"/>
      <c r="F645" s="1193"/>
      <c r="G645" s="1193"/>
      <c r="H645" s="1193"/>
      <c r="I645" s="1193"/>
      <c r="J645" s="1193"/>
      <c r="K645" s="1193"/>
      <c r="L645" s="1193"/>
      <c r="M645" s="1193"/>
      <c r="N645" s="1193"/>
      <c r="O645" s="1193"/>
      <c r="P645" s="1193"/>
      <c r="Q645" s="1193"/>
      <c r="R645" s="1193"/>
      <c r="S645" s="1193"/>
      <c r="T645" s="1193"/>
      <c r="U645" s="1193"/>
      <c r="V645" s="1193"/>
      <c r="W645" s="1193"/>
      <c r="X645" s="1193"/>
      <c r="Y645" s="1193"/>
      <c r="Z645" s="1193"/>
      <c r="AA645" s="1193"/>
      <c r="AB645" s="1193"/>
      <c r="AC645" s="1193"/>
    </row>
    <row r="646" spans="1:29" x14ac:dyDescent="0.3">
      <c r="A646" s="681"/>
      <c r="B646" s="1193"/>
      <c r="C646" s="1193"/>
      <c r="D646" s="1193"/>
      <c r="E646" s="1193"/>
      <c r="F646" s="1193"/>
      <c r="G646" s="1193"/>
      <c r="H646" s="1193"/>
      <c r="I646" s="1193"/>
      <c r="J646" s="1193"/>
      <c r="K646" s="1193"/>
      <c r="L646" s="1193"/>
      <c r="M646" s="1193"/>
      <c r="N646" s="1193"/>
      <c r="O646" s="1193"/>
      <c r="P646" s="1193"/>
      <c r="Q646" s="1193"/>
      <c r="R646" s="1193"/>
      <c r="S646" s="1193"/>
      <c r="T646" s="1193"/>
      <c r="U646" s="1193"/>
      <c r="V646" s="1193"/>
      <c r="W646" s="1193"/>
      <c r="X646" s="1193"/>
      <c r="Y646" s="1193"/>
      <c r="Z646" s="1193"/>
      <c r="AA646" s="1193"/>
      <c r="AB646" s="1193"/>
      <c r="AC646" s="1193"/>
    </row>
    <row r="647" spans="1:29" x14ac:dyDescent="0.3">
      <c r="A647" s="681"/>
      <c r="B647" s="1193"/>
      <c r="C647" s="1193"/>
      <c r="D647" s="1193"/>
      <c r="E647" s="1193"/>
      <c r="F647" s="1193"/>
      <c r="G647" s="1193"/>
      <c r="H647" s="1193"/>
      <c r="I647" s="1193"/>
      <c r="J647" s="1193"/>
      <c r="K647" s="1193"/>
      <c r="L647" s="1193"/>
      <c r="M647" s="1193"/>
      <c r="N647" s="1193"/>
      <c r="O647" s="1193"/>
      <c r="P647" s="1193"/>
      <c r="Q647" s="1193"/>
      <c r="R647" s="1193"/>
      <c r="S647" s="1193"/>
      <c r="T647" s="1193"/>
      <c r="U647" s="1193"/>
      <c r="V647" s="1193"/>
      <c r="W647" s="1193"/>
      <c r="X647" s="1193"/>
      <c r="Y647" s="1193"/>
      <c r="Z647" s="1193"/>
      <c r="AA647" s="1193"/>
      <c r="AB647" s="1193"/>
      <c r="AC647" s="1193"/>
    </row>
    <row r="648" spans="1:29" x14ac:dyDescent="0.3">
      <c r="A648" s="681"/>
      <c r="B648" s="1193"/>
      <c r="C648" s="1193"/>
      <c r="D648" s="1193"/>
      <c r="E648" s="1193"/>
      <c r="F648" s="1193"/>
      <c r="G648" s="1193"/>
      <c r="H648" s="1193"/>
      <c r="I648" s="1193"/>
      <c r="J648" s="1193"/>
      <c r="K648" s="1193"/>
      <c r="L648" s="1193"/>
      <c r="M648" s="1193"/>
      <c r="N648" s="1193"/>
      <c r="O648" s="1193"/>
      <c r="P648" s="1193"/>
      <c r="Q648" s="1193"/>
      <c r="R648" s="1193"/>
      <c r="S648" s="1193"/>
      <c r="T648" s="1193"/>
      <c r="U648" s="1193"/>
      <c r="V648" s="1193"/>
      <c r="W648" s="1193"/>
      <c r="X648" s="1193"/>
      <c r="Y648" s="1193"/>
      <c r="Z648" s="1193"/>
      <c r="AA648" s="1193"/>
      <c r="AB648" s="1193"/>
      <c r="AC648" s="1193"/>
    </row>
    <row r="649" spans="1:29" x14ac:dyDescent="0.3">
      <c r="A649" s="681"/>
      <c r="B649" s="1193"/>
      <c r="C649" s="1193"/>
      <c r="D649" s="1193"/>
      <c r="E649" s="1193"/>
      <c r="F649" s="1193"/>
      <c r="G649" s="1193"/>
      <c r="H649" s="1193"/>
      <c r="I649" s="1193"/>
      <c r="J649" s="1193"/>
      <c r="K649" s="1193"/>
      <c r="L649" s="1193"/>
      <c r="M649" s="1193"/>
      <c r="N649" s="1193"/>
      <c r="O649" s="1193"/>
      <c r="P649" s="1193"/>
      <c r="Q649" s="1193"/>
      <c r="R649" s="1193"/>
      <c r="S649" s="1193"/>
      <c r="T649" s="1193"/>
      <c r="U649" s="1193"/>
      <c r="V649" s="1193"/>
      <c r="W649" s="1193"/>
      <c r="X649" s="1193"/>
      <c r="Y649" s="1193"/>
      <c r="Z649" s="1193"/>
      <c r="AA649" s="1193"/>
      <c r="AB649" s="1193"/>
      <c r="AC649" s="1193"/>
    </row>
    <row r="650" spans="1:29" x14ac:dyDescent="0.3">
      <c r="A650" s="681"/>
      <c r="B650" s="1193"/>
      <c r="C650" s="1193"/>
      <c r="D650" s="1193"/>
      <c r="E650" s="1193"/>
      <c r="F650" s="1193"/>
      <c r="G650" s="1193"/>
      <c r="H650" s="1193"/>
      <c r="I650" s="1193"/>
      <c r="J650" s="1193"/>
      <c r="K650" s="1193"/>
      <c r="L650" s="1193"/>
      <c r="M650" s="1193"/>
      <c r="N650" s="1193"/>
      <c r="O650" s="1193"/>
      <c r="P650" s="1193"/>
      <c r="Q650" s="1193"/>
      <c r="R650" s="1193"/>
      <c r="S650" s="1193"/>
      <c r="T650" s="1193"/>
      <c r="U650" s="1193"/>
      <c r="V650" s="1193"/>
      <c r="W650" s="1193"/>
      <c r="X650" s="1193"/>
      <c r="Y650" s="1193"/>
      <c r="Z650" s="1193"/>
      <c r="AA650" s="1193"/>
      <c r="AB650" s="1193"/>
      <c r="AC650" s="1193"/>
    </row>
    <row r="651" spans="1:29" x14ac:dyDescent="0.3">
      <c r="A651" s="681"/>
      <c r="B651" s="1193"/>
      <c r="C651" s="1193"/>
      <c r="D651" s="1193"/>
      <c r="E651" s="1193"/>
      <c r="F651" s="1193"/>
      <c r="G651" s="1193"/>
      <c r="H651" s="1193"/>
      <c r="I651" s="1193"/>
      <c r="J651" s="1193"/>
      <c r="K651" s="1193"/>
      <c r="L651" s="1193"/>
      <c r="M651" s="1193"/>
      <c r="N651" s="1193"/>
      <c r="O651" s="1193"/>
      <c r="P651" s="1193"/>
      <c r="Q651" s="1193"/>
      <c r="R651" s="1193"/>
      <c r="S651" s="1193"/>
      <c r="T651" s="1193"/>
      <c r="U651" s="1193"/>
      <c r="V651" s="1193"/>
      <c r="W651" s="1193"/>
      <c r="X651" s="1193"/>
      <c r="Y651" s="1193"/>
      <c r="Z651" s="1193"/>
      <c r="AA651" s="1193"/>
      <c r="AB651" s="1193"/>
      <c r="AC651" s="1193"/>
    </row>
    <row r="652" spans="1:29" x14ac:dyDescent="0.3">
      <c r="A652" s="681"/>
      <c r="B652" s="1193"/>
      <c r="C652" s="1193"/>
      <c r="D652" s="1193"/>
      <c r="E652" s="1193"/>
      <c r="F652" s="1193"/>
      <c r="G652" s="1193"/>
      <c r="H652" s="1193"/>
      <c r="I652" s="1193"/>
      <c r="J652" s="1193"/>
      <c r="K652" s="1193"/>
      <c r="L652" s="1193"/>
      <c r="M652" s="1193"/>
      <c r="N652" s="1193"/>
      <c r="O652" s="1193"/>
      <c r="P652" s="1193"/>
      <c r="Q652" s="1193"/>
      <c r="R652" s="1193"/>
      <c r="S652" s="1193"/>
      <c r="T652" s="1193"/>
      <c r="U652" s="1193"/>
      <c r="V652" s="1193"/>
      <c r="W652" s="1193"/>
      <c r="X652" s="1193"/>
      <c r="Y652" s="1193"/>
      <c r="Z652" s="1193"/>
      <c r="AA652" s="1193"/>
      <c r="AB652" s="1193"/>
      <c r="AC652" s="1193"/>
    </row>
    <row r="653" spans="1:29" x14ac:dyDescent="0.3">
      <c r="A653" s="681"/>
      <c r="B653" s="1193"/>
      <c r="C653" s="1193"/>
      <c r="D653" s="1193"/>
      <c r="E653" s="1193"/>
      <c r="F653" s="1193"/>
      <c r="G653" s="1193"/>
      <c r="H653" s="1193"/>
      <c r="I653" s="1193"/>
      <c r="J653" s="1193"/>
      <c r="K653" s="1193"/>
      <c r="L653" s="1193"/>
      <c r="M653" s="1193"/>
      <c r="N653" s="1193"/>
      <c r="O653" s="1193"/>
      <c r="P653" s="1193"/>
      <c r="Q653" s="1193"/>
      <c r="R653" s="1193"/>
      <c r="S653" s="1193"/>
      <c r="T653" s="1193"/>
      <c r="U653" s="1193"/>
      <c r="V653" s="1193"/>
      <c r="W653" s="1193"/>
      <c r="X653" s="1193"/>
      <c r="Y653" s="1193"/>
      <c r="Z653" s="1193"/>
      <c r="AA653" s="1193"/>
      <c r="AB653" s="1193"/>
      <c r="AC653" s="1193"/>
    </row>
    <row r="654" spans="1:29" x14ac:dyDescent="0.3">
      <c r="A654" s="681"/>
      <c r="B654" s="1193"/>
      <c r="C654" s="1193"/>
      <c r="D654" s="1193"/>
      <c r="E654" s="1193"/>
      <c r="F654" s="1193"/>
      <c r="G654" s="1193"/>
      <c r="H654" s="1193"/>
      <c r="I654" s="1193"/>
      <c r="J654" s="1193"/>
      <c r="K654" s="1193"/>
      <c r="L654" s="1193"/>
      <c r="M654" s="1193"/>
      <c r="N654" s="1193"/>
      <c r="O654" s="1193"/>
      <c r="P654" s="1193"/>
      <c r="Q654" s="1193"/>
      <c r="R654" s="1193"/>
      <c r="S654" s="1193"/>
      <c r="T654" s="1193"/>
      <c r="U654" s="1193"/>
      <c r="V654" s="1193"/>
      <c r="W654" s="1193"/>
      <c r="X654" s="1193"/>
      <c r="Y654" s="1193"/>
      <c r="Z654" s="1193"/>
      <c r="AA654" s="1193"/>
      <c r="AB654" s="1193"/>
      <c r="AC654" s="1193"/>
    </row>
    <row r="655" spans="1:29" x14ac:dyDescent="0.3">
      <c r="A655" s="681"/>
      <c r="B655" s="1193"/>
      <c r="C655" s="1193"/>
      <c r="D655" s="1193"/>
      <c r="E655" s="1193"/>
      <c r="F655" s="1193"/>
      <c r="G655" s="1193"/>
      <c r="H655" s="1193"/>
      <c r="I655" s="1193"/>
      <c r="J655" s="1193"/>
      <c r="K655" s="1193"/>
      <c r="L655" s="1193"/>
      <c r="M655" s="1193"/>
      <c r="N655" s="1193"/>
      <c r="O655" s="1193"/>
      <c r="P655" s="1193"/>
      <c r="Q655" s="1193"/>
      <c r="R655" s="1193"/>
      <c r="S655" s="1193"/>
      <c r="T655" s="1193"/>
      <c r="U655" s="1193"/>
      <c r="V655" s="1193"/>
      <c r="W655" s="1193"/>
      <c r="X655" s="1193"/>
      <c r="Y655" s="1193"/>
      <c r="Z655" s="1193"/>
      <c r="AA655" s="1193"/>
      <c r="AB655" s="1193"/>
      <c r="AC655" s="1193"/>
    </row>
    <row r="656" spans="1:29" x14ac:dyDescent="0.3">
      <c r="A656" s="681"/>
      <c r="B656" s="1193"/>
      <c r="C656" s="1193"/>
      <c r="D656" s="1193"/>
      <c r="E656" s="1193"/>
      <c r="F656" s="1193"/>
      <c r="G656" s="1193"/>
      <c r="H656" s="1193"/>
      <c r="I656" s="1193"/>
      <c r="J656" s="1193"/>
      <c r="K656" s="1193"/>
      <c r="L656" s="1193"/>
      <c r="M656" s="1193"/>
      <c r="N656" s="1193"/>
      <c r="O656" s="1193"/>
      <c r="P656" s="1193"/>
      <c r="Q656" s="1193"/>
      <c r="R656" s="1193"/>
      <c r="S656" s="1193"/>
      <c r="T656" s="1193"/>
      <c r="U656" s="1193"/>
      <c r="V656" s="1193"/>
      <c r="W656" s="1193"/>
      <c r="X656" s="1193"/>
      <c r="Y656" s="1193"/>
      <c r="Z656" s="1193"/>
      <c r="AA656" s="1193"/>
      <c r="AB656" s="1193"/>
      <c r="AC656" s="1193"/>
    </row>
    <row r="657" spans="1:29" x14ac:dyDescent="0.3">
      <c r="A657" s="681"/>
      <c r="B657" s="1193"/>
      <c r="C657" s="1193"/>
      <c r="D657" s="1193"/>
      <c r="E657" s="1193"/>
      <c r="F657" s="1193"/>
      <c r="G657" s="1193"/>
      <c r="H657" s="1193"/>
      <c r="I657" s="1193"/>
      <c r="J657" s="1193"/>
      <c r="K657" s="1193"/>
      <c r="L657" s="1193"/>
      <c r="M657" s="1193"/>
      <c r="N657" s="1193"/>
      <c r="O657" s="1193"/>
      <c r="P657" s="1193"/>
      <c r="Q657" s="1193"/>
      <c r="R657" s="1193"/>
      <c r="S657" s="1193"/>
      <c r="T657" s="1193"/>
      <c r="U657" s="1193"/>
      <c r="V657" s="1193"/>
      <c r="W657" s="1193"/>
      <c r="X657" s="1193"/>
      <c r="Y657" s="1193"/>
      <c r="Z657" s="1193"/>
      <c r="AA657" s="1193"/>
      <c r="AB657" s="1193"/>
      <c r="AC657" s="1193"/>
    </row>
    <row r="658" spans="1:29" x14ac:dyDescent="0.3">
      <c r="A658" s="681"/>
      <c r="B658" s="1193"/>
      <c r="C658" s="1193"/>
      <c r="D658" s="1193"/>
      <c r="E658" s="1193"/>
      <c r="F658" s="1193"/>
      <c r="G658" s="1193"/>
      <c r="H658" s="1193"/>
      <c r="I658" s="1193"/>
      <c r="J658" s="1193"/>
      <c r="K658" s="1193"/>
      <c r="L658" s="1193"/>
      <c r="M658" s="1193"/>
      <c r="N658" s="1193"/>
      <c r="O658" s="1193"/>
      <c r="P658" s="1193"/>
      <c r="Q658" s="1193"/>
      <c r="R658" s="1193"/>
      <c r="S658" s="1193"/>
      <c r="T658" s="1193"/>
      <c r="U658" s="1193"/>
      <c r="V658" s="1193"/>
      <c r="W658" s="1193"/>
      <c r="X658" s="1193"/>
      <c r="Y658" s="1193"/>
      <c r="Z658" s="1193"/>
      <c r="AA658" s="1193"/>
      <c r="AB658" s="1193"/>
      <c r="AC658" s="1193"/>
    </row>
    <row r="659" spans="1:29" x14ac:dyDescent="0.3">
      <c r="A659" s="681"/>
      <c r="B659" s="1193"/>
      <c r="C659" s="1193"/>
      <c r="D659" s="1193"/>
      <c r="E659" s="1193"/>
      <c r="F659" s="1193"/>
      <c r="G659" s="1193"/>
      <c r="H659" s="1193"/>
      <c r="I659" s="1193"/>
      <c r="J659" s="1193"/>
      <c r="K659" s="1193"/>
      <c r="L659" s="1193"/>
      <c r="M659" s="1193"/>
      <c r="N659" s="1193"/>
      <c r="O659" s="1193"/>
      <c r="P659" s="1193"/>
      <c r="Q659" s="1193"/>
      <c r="R659" s="1193"/>
      <c r="S659" s="1193"/>
      <c r="T659" s="1193"/>
      <c r="U659" s="1193"/>
      <c r="V659" s="1193"/>
      <c r="W659" s="1193"/>
      <c r="X659" s="1193"/>
      <c r="Y659" s="1193"/>
      <c r="Z659" s="1193"/>
      <c r="AA659" s="1193"/>
      <c r="AB659" s="1193"/>
      <c r="AC659" s="1193"/>
    </row>
    <row r="660" spans="1:29" x14ac:dyDescent="0.3">
      <c r="A660" s="681"/>
      <c r="B660" s="1193"/>
      <c r="C660" s="1193"/>
      <c r="D660" s="1193"/>
      <c r="E660" s="1193"/>
      <c r="F660" s="1193"/>
      <c r="G660" s="1193"/>
      <c r="H660" s="1193"/>
      <c r="I660" s="1193"/>
      <c r="J660" s="1193"/>
      <c r="K660" s="1193"/>
      <c r="L660" s="1193"/>
      <c r="M660" s="1193"/>
      <c r="N660" s="1193"/>
      <c r="O660" s="1193"/>
      <c r="P660" s="1193"/>
      <c r="Q660" s="1193"/>
      <c r="R660" s="1193"/>
      <c r="S660" s="1193"/>
      <c r="T660" s="1193"/>
      <c r="U660" s="1193"/>
      <c r="V660" s="1193"/>
      <c r="W660" s="1193"/>
      <c r="X660" s="1193"/>
      <c r="Y660" s="1193"/>
      <c r="Z660" s="1193"/>
      <c r="AA660" s="1193"/>
      <c r="AB660" s="1193"/>
      <c r="AC660" s="1193"/>
    </row>
    <row r="661" spans="1:29" x14ac:dyDescent="0.3">
      <c r="A661" s="681"/>
      <c r="B661" s="1193"/>
      <c r="C661" s="1193"/>
      <c r="D661" s="1193"/>
      <c r="E661" s="1193"/>
      <c r="F661" s="1193"/>
      <c r="G661" s="1193"/>
      <c r="H661" s="1193"/>
      <c r="I661" s="1193"/>
      <c r="J661" s="1193"/>
      <c r="K661" s="1193"/>
      <c r="L661" s="1193"/>
      <c r="M661" s="1193"/>
      <c r="N661" s="1193"/>
      <c r="O661" s="1193"/>
      <c r="P661" s="1193"/>
      <c r="Q661" s="1193"/>
      <c r="R661" s="1193"/>
      <c r="S661" s="1193"/>
      <c r="T661" s="1193"/>
      <c r="U661" s="1193"/>
      <c r="V661" s="1193"/>
      <c r="W661" s="1193"/>
      <c r="X661" s="1193"/>
      <c r="Y661" s="1193"/>
      <c r="Z661" s="1193"/>
      <c r="AA661" s="1193"/>
      <c r="AB661" s="1193"/>
      <c r="AC661" s="1193"/>
    </row>
    <row r="662" spans="1:29" x14ac:dyDescent="0.3">
      <c r="A662" s="681"/>
      <c r="B662" s="1193"/>
      <c r="C662" s="1193"/>
      <c r="D662" s="1193"/>
      <c r="E662" s="1193"/>
      <c r="F662" s="1193"/>
      <c r="G662" s="1193"/>
      <c r="H662" s="1193"/>
      <c r="I662" s="1193"/>
      <c r="J662" s="1193"/>
      <c r="K662" s="1193"/>
      <c r="L662" s="1193"/>
      <c r="M662" s="1193"/>
      <c r="N662" s="1193"/>
      <c r="O662" s="1193"/>
      <c r="P662" s="1193"/>
      <c r="Q662" s="1193"/>
      <c r="R662" s="1193"/>
      <c r="S662" s="1193"/>
      <c r="T662" s="1193"/>
      <c r="U662" s="1193"/>
      <c r="V662" s="1193"/>
      <c r="W662" s="1193"/>
      <c r="X662" s="1193"/>
      <c r="Y662" s="1193"/>
      <c r="Z662" s="1193"/>
      <c r="AA662" s="1193"/>
      <c r="AB662" s="1193"/>
      <c r="AC662" s="1193"/>
    </row>
    <row r="663" spans="1:29" x14ac:dyDescent="0.3">
      <c r="A663" s="681"/>
      <c r="B663" s="1193"/>
      <c r="C663" s="1193"/>
      <c r="D663" s="1193"/>
      <c r="E663" s="1193"/>
      <c r="F663" s="1193"/>
      <c r="G663" s="1193"/>
      <c r="H663" s="1193"/>
      <c r="I663" s="1193"/>
      <c r="J663" s="1193"/>
      <c r="K663" s="1193"/>
      <c r="L663" s="1193"/>
      <c r="M663" s="1193"/>
      <c r="N663" s="1193"/>
      <c r="O663" s="1193"/>
      <c r="P663" s="1193"/>
      <c r="Q663" s="1193"/>
      <c r="R663" s="1193"/>
      <c r="S663" s="1193"/>
      <c r="T663" s="1193"/>
      <c r="U663" s="1193"/>
      <c r="V663" s="1193"/>
      <c r="W663" s="1193"/>
      <c r="X663" s="1193"/>
      <c r="Y663" s="1193"/>
      <c r="Z663" s="1193"/>
      <c r="AA663" s="1193"/>
      <c r="AB663" s="1193"/>
      <c r="AC663" s="1193"/>
    </row>
    <row r="664" spans="1:29" x14ac:dyDescent="0.3">
      <c r="A664" s="681"/>
      <c r="B664" s="1193"/>
      <c r="C664" s="1193"/>
      <c r="D664" s="1193"/>
      <c r="E664" s="1193"/>
      <c r="F664" s="1193"/>
      <c r="G664" s="1193"/>
      <c r="H664" s="1193"/>
      <c r="I664" s="1193"/>
      <c r="J664" s="1193"/>
      <c r="K664" s="1193"/>
      <c r="L664" s="1193"/>
      <c r="M664" s="1193"/>
      <c r="N664" s="1193"/>
      <c r="O664" s="1193"/>
      <c r="P664" s="1193"/>
      <c r="Q664" s="1193"/>
      <c r="R664" s="1193"/>
      <c r="S664" s="1193"/>
      <c r="T664" s="1193"/>
      <c r="U664" s="1193"/>
      <c r="V664" s="1193"/>
      <c r="W664" s="1193"/>
      <c r="X664" s="1193"/>
      <c r="Y664" s="1193"/>
      <c r="Z664" s="1193"/>
      <c r="AA664" s="1193"/>
      <c r="AB664" s="1193"/>
      <c r="AC664" s="1193"/>
    </row>
    <row r="665" spans="1:29" x14ac:dyDescent="0.3">
      <c r="A665" s="681"/>
      <c r="B665" s="1193"/>
      <c r="C665" s="1193"/>
      <c r="D665" s="1193"/>
      <c r="E665" s="1193"/>
      <c r="F665" s="1193"/>
      <c r="G665" s="1193"/>
      <c r="H665" s="1193"/>
      <c r="I665" s="1193"/>
      <c r="J665" s="1193"/>
      <c r="K665" s="1193"/>
      <c r="L665" s="1193"/>
      <c r="M665" s="1193"/>
      <c r="N665" s="1193"/>
      <c r="O665" s="1193"/>
      <c r="P665" s="1193"/>
      <c r="Q665" s="1193"/>
      <c r="R665" s="1193"/>
      <c r="S665" s="1193"/>
      <c r="T665" s="1193"/>
      <c r="U665" s="1193"/>
      <c r="V665" s="1193"/>
      <c r="W665" s="1193"/>
      <c r="X665" s="1193"/>
      <c r="Y665" s="1193"/>
      <c r="Z665" s="1193"/>
      <c r="AA665" s="1193"/>
      <c r="AB665" s="1193"/>
      <c r="AC665" s="1193"/>
    </row>
    <row r="666" spans="1:29" x14ac:dyDescent="0.3">
      <c r="A666" s="681"/>
      <c r="B666" s="1193"/>
      <c r="C666" s="1193"/>
      <c r="D666" s="1193"/>
      <c r="E666" s="1193"/>
      <c r="F666" s="1193"/>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row>
    <row r="667" spans="1:29" x14ac:dyDescent="0.3">
      <c r="A667" s="681"/>
      <c r="B667" s="1193"/>
      <c r="C667" s="1193"/>
      <c r="D667" s="1193"/>
      <c r="E667" s="1193"/>
      <c r="F667" s="1193"/>
      <c r="G667" s="1193"/>
      <c r="H667" s="1193"/>
      <c r="I667" s="1193"/>
      <c r="J667" s="1193"/>
      <c r="K667" s="1193"/>
      <c r="L667" s="1193"/>
      <c r="M667" s="1193"/>
      <c r="N667" s="1193"/>
      <c r="O667" s="1193"/>
      <c r="P667" s="1193"/>
      <c r="Q667" s="1193"/>
      <c r="R667" s="1193"/>
      <c r="S667" s="1193"/>
      <c r="T667" s="1193"/>
      <c r="U667" s="1193"/>
      <c r="V667" s="1193"/>
      <c r="W667" s="1193"/>
      <c r="X667" s="1193"/>
      <c r="Y667" s="1193"/>
      <c r="Z667" s="1193"/>
      <c r="AA667" s="1193"/>
      <c r="AB667" s="1193"/>
      <c r="AC667" s="1193"/>
    </row>
    <row r="668" spans="1:29" x14ac:dyDescent="0.3">
      <c r="A668" s="681"/>
      <c r="B668" s="1193"/>
      <c r="C668" s="1193"/>
      <c r="D668" s="1193"/>
      <c r="E668" s="1193"/>
      <c r="F668" s="1193"/>
      <c r="G668" s="1193"/>
      <c r="H668" s="1193"/>
      <c r="I668" s="1193"/>
      <c r="J668" s="1193"/>
      <c r="K668" s="1193"/>
      <c r="L668" s="1193"/>
      <c r="M668" s="1193"/>
      <c r="N668" s="1193"/>
      <c r="O668" s="1193"/>
      <c r="P668" s="1193"/>
      <c r="Q668" s="1193"/>
      <c r="R668" s="1193"/>
      <c r="S668" s="1193"/>
      <c r="T668" s="1193"/>
      <c r="U668" s="1193"/>
      <c r="V668" s="1193"/>
      <c r="W668" s="1193"/>
      <c r="X668" s="1193"/>
      <c r="Y668" s="1193"/>
      <c r="Z668" s="1193"/>
      <c r="AA668" s="1193"/>
      <c r="AB668" s="1193"/>
      <c r="AC668" s="1193"/>
    </row>
    <row r="669" spans="1:29" x14ac:dyDescent="0.3">
      <c r="A669" s="681"/>
      <c r="B669" s="1193"/>
      <c r="C669" s="1193"/>
      <c r="D669" s="1193"/>
      <c r="E669" s="1193"/>
      <c r="F669" s="1193"/>
      <c r="G669" s="1193"/>
      <c r="H669" s="1193"/>
      <c r="I669" s="1193"/>
      <c r="J669" s="1193"/>
      <c r="K669" s="1193"/>
      <c r="L669" s="1193"/>
      <c r="M669" s="1193"/>
      <c r="N669" s="1193"/>
      <c r="O669" s="1193"/>
      <c r="P669" s="1193"/>
      <c r="Q669" s="1193"/>
      <c r="R669" s="1193"/>
      <c r="S669" s="1193"/>
      <c r="T669" s="1193"/>
      <c r="U669" s="1193"/>
      <c r="V669" s="1193"/>
      <c r="W669" s="1193"/>
      <c r="X669" s="1193"/>
      <c r="Y669" s="1193"/>
      <c r="Z669" s="1193"/>
      <c r="AA669" s="1193"/>
      <c r="AB669" s="1193"/>
      <c r="AC669" s="1193"/>
    </row>
    <row r="670" spans="1:29" x14ac:dyDescent="0.3">
      <c r="A670" s="681"/>
      <c r="B670" s="1193"/>
      <c r="C670" s="1193"/>
      <c r="D670" s="1193"/>
      <c r="E670" s="1193"/>
      <c r="F670" s="1193"/>
      <c r="G670" s="1193"/>
      <c r="H670" s="1193"/>
      <c r="I670" s="1193"/>
      <c r="J670" s="1193"/>
      <c r="K670" s="1193"/>
      <c r="L670" s="1193"/>
      <c r="M670" s="1193"/>
      <c r="N670" s="1193"/>
      <c r="O670" s="1193"/>
      <c r="P670" s="1193"/>
      <c r="Q670" s="1193"/>
      <c r="R670" s="1193"/>
      <c r="S670" s="1193"/>
      <c r="T670" s="1193"/>
      <c r="U670" s="1193"/>
      <c r="V670" s="1193"/>
      <c r="W670" s="1193"/>
      <c r="X670" s="1193"/>
      <c r="Y670" s="1193"/>
      <c r="Z670" s="1193"/>
      <c r="AA670" s="1193"/>
      <c r="AB670" s="1193"/>
      <c r="AC670" s="1193"/>
    </row>
    <row r="671" spans="1:29" x14ac:dyDescent="0.3">
      <c r="A671" s="681"/>
      <c r="B671" s="1193"/>
      <c r="C671" s="1193"/>
      <c r="D671" s="1193"/>
      <c r="E671" s="1193"/>
      <c r="F671" s="1193"/>
      <c r="G671" s="1193"/>
      <c r="H671" s="1193"/>
      <c r="I671" s="1193"/>
      <c r="J671" s="1193"/>
      <c r="K671" s="1193"/>
      <c r="L671" s="1193"/>
      <c r="M671" s="1193"/>
      <c r="N671" s="1193"/>
      <c r="O671" s="1193"/>
      <c r="P671" s="1193"/>
      <c r="Q671" s="1193"/>
      <c r="R671" s="1193"/>
      <c r="S671" s="1193"/>
      <c r="T671" s="1193"/>
      <c r="U671" s="1193"/>
      <c r="V671" s="1193"/>
      <c r="W671" s="1193"/>
      <c r="X671" s="1193"/>
      <c r="Y671" s="1193"/>
      <c r="Z671" s="1193"/>
      <c r="AA671" s="1193"/>
      <c r="AB671" s="1193"/>
      <c r="AC671" s="1193"/>
    </row>
    <row r="672" spans="1:29" x14ac:dyDescent="0.3">
      <c r="A672" s="681"/>
      <c r="B672" s="1193"/>
      <c r="C672" s="1193"/>
      <c r="D672" s="1193"/>
      <c r="E672" s="1193"/>
      <c r="F672" s="1193"/>
      <c r="G672" s="1193"/>
      <c r="H672" s="1193"/>
      <c r="I672" s="1193"/>
      <c r="J672" s="1193"/>
      <c r="K672" s="1193"/>
      <c r="L672" s="1193"/>
      <c r="M672" s="1193"/>
      <c r="N672" s="1193"/>
      <c r="O672" s="1193"/>
      <c r="P672" s="1193"/>
      <c r="Q672" s="1193"/>
      <c r="R672" s="1193"/>
      <c r="S672" s="1193"/>
      <c r="T672" s="1193"/>
      <c r="U672" s="1193"/>
      <c r="V672" s="1193"/>
      <c r="W672" s="1193"/>
      <c r="X672" s="1193"/>
      <c r="Y672" s="1193"/>
      <c r="Z672" s="1193"/>
      <c r="AA672" s="1193"/>
      <c r="AB672" s="1193"/>
      <c r="AC672" s="1193"/>
    </row>
    <row r="673" spans="1:29" x14ac:dyDescent="0.3">
      <c r="A673" s="681"/>
      <c r="B673" s="1193"/>
      <c r="C673" s="1193"/>
      <c r="D673" s="1193"/>
      <c r="E673" s="1193"/>
      <c r="F673" s="1193"/>
      <c r="G673" s="1193"/>
      <c r="H673" s="1193"/>
      <c r="I673" s="1193"/>
      <c r="J673" s="1193"/>
      <c r="K673" s="1193"/>
      <c r="L673" s="1193"/>
      <c r="M673" s="1193"/>
      <c r="N673" s="1193"/>
      <c r="O673" s="1193"/>
      <c r="P673" s="1193"/>
      <c r="Q673" s="1193"/>
      <c r="R673" s="1193"/>
      <c r="S673" s="1193"/>
      <c r="T673" s="1193"/>
      <c r="U673" s="1193"/>
      <c r="V673" s="1193"/>
      <c r="W673" s="1193"/>
      <c r="X673" s="1193"/>
      <c r="Y673" s="1193"/>
      <c r="Z673" s="1193"/>
      <c r="AA673" s="1193"/>
      <c r="AB673" s="1193"/>
      <c r="AC673" s="1193"/>
    </row>
    <row r="674" spans="1:29" x14ac:dyDescent="0.3">
      <c r="A674" s="681"/>
      <c r="B674" s="1193"/>
      <c r="C674" s="1193"/>
      <c r="D674" s="1193"/>
      <c r="E674" s="1193"/>
      <c r="F674" s="1193"/>
      <c r="G674" s="1193"/>
      <c r="H674" s="1193"/>
      <c r="I674" s="1193"/>
      <c r="J674" s="1193"/>
      <c r="K674" s="1193"/>
      <c r="L674" s="1193"/>
      <c r="M674" s="1193"/>
      <c r="N674" s="1193"/>
      <c r="O674" s="1193"/>
      <c r="P674" s="1193"/>
      <c r="Q674" s="1193"/>
      <c r="R674" s="1193"/>
      <c r="S674" s="1193"/>
      <c r="T674" s="1193"/>
      <c r="U674" s="1193"/>
      <c r="V674" s="1193"/>
      <c r="W674" s="1193"/>
      <c r="X674" s="1193"/>
      <c r="Y674" s="1193"/>
      <c r="Z674" s="1193"/>
      <c r="AA674" s="1193"/>
      <c r="AB674" s="1193"/>
      <c r="AC674" s="1193"/>
    </row>
    <row r="675" spans="1:29" x14ac:dyDescent="0.3">
      <c r="A675" s="681"/>
      <c r="B675" s="1193"/>
      <c r="C675" s="1193"/>
      <c r="D675" s="1193"/>
      <c r="E675" s="1193"/>
      <c r="F675" s="1193"/>
      <c r="G675" s="1193"/>
      <c r="H675" s="1193"/>
      <c r="I675" s="1193"/>
      <c r="J675" s="1193"/>
      <c r="K675" s="1193"/>
      <c r="L675" s="1193"/>
      <c r="M675" s="1193"/>
      <c r="N675" s="1193"/>
      <c r="O675" s="1193"/>
      <c r="P675" s="1193"/>
      <c r="Q675" s="1193"/>
      <c r="R675" s="1193"/>
      <c r="S675" s="1193"/>
      <c r="T675" s="1193"/>
      <c r="U675" s="1193"/>
      <c r="V675" s="1193"/>
      <c r="W675" s="1193"/>
      <c r="X675" s="1193"/>
      <c r="Y675" s="1193"/>
      <c r="Z675" s="1193"/>
      <c r="AA675" s="1193"/>
      <c r="AB675" s="1193"/>
      <c r="AC675" s="1193"/>
    </row>
    <row r="676" spans="1:29" x14ac:dyDescent="0.3">
      <c r="A676" s="681"/>
      <c r="B676" s="1193"/>
      <c r="C676" s="1193"/>
      <c r="D676" s="1193"/>
      <c r="E676" s="1193"/>
      <c r="F676" s="1193"/>
      <c r="G676" s="1193"/>
      <c r="H676" s="1193"/>
      <c r="I676" s="1193"/>
      <c r="J676" s="1193"/>
      <c r="K676" s="1193"/>
      <c r="L676" s="1193"/>
      <c r="M676" s="1193"/>
      <c r="N676" s="1193"/>
      <c r="O676" s="1193"/>
      <c r="P676" s="1193"/>
      <c r="Q676" s="1193"/>
      <c r="R676" s="1193"/>
      <c r="S676" s="1193"/>
      <c r="T676" s="1193"/>
      <c r="U676" s="1193"/>
      <c r="V676" s="1193"/>
      <c r="W676" s="1193"/>
      <c r="X676" s="1193"/>
      <c r="Y676" s="1193"/>
      <c r="Z676" s="1193"/>
      <c r="AA676" s="1193"/>
      <c r="AB676" s="1193"/>
      <c r="AC676" s="1193"/>
    </row>
    <row r="677" spans="1:29" x14ac:dyDescent="0.3">
      <c r="A677" s="681"/>
      <c r="B677" s="1193"/>
      <c r="C677" s="1193"/>
      <c r="D677" s="1193"/>
      <c r="E677" s="1193"/>
      <c r="F677" s="1193"/>
      <c r="G677" s="1193"/>
      <c r="H677" s="1193"/>
      <c r="I677" s="1193"/>
      <c r="J677" s="1193"/>
      <c r="K677" s="1193"/>
      <c r="L677" s="1193"/>
      <c r="M677" s="1193"/>
      <c r="N677" s="1193"/>
      <c r="O677" s="1193"/>
      <c r="P677" s="1193"/>
      <c r="Q677" s="1193"/>
      <c r="R677" s="1193"/>
      <c r="S677" s="1193"/>
      <c r="T677" s="1193"/>
      <c r="U677" s="1193"/>
      <c r="V677" s="1193"/>
      <c r="W677" s="1193"/>
      <c r="X677" s="1193"/>
      <c r="Y677" s="1193"/>
      <c r="Z677" s="1193"/>
      <c r="AA677" s="1193"/>
      <c r="AB677" s="1193"/>
      <c r="AC677" s="1193"/>
    </row>
    <row r="678" spans="1:29" x14ac:dyDescent="0.3">
      <c r="A678" s="681"/>
      <c r="B678" s="1193"/>
      <c r="C678" s="1193"/>
      <c r="D678" s="1193"/>
      <c r="E678" s="1193"/>
      <c r="F678" s="1193"/>
      <c r="G678" s="1193"/>
      <c r="H678" s="1193"/>
      <c r="I678" s="1193"/>
      <c r="J678" s="1193"/>
      <c r="K678" s="1193"/>
      <c r="L678" s="1193"/>
      <c r="M678" s="1193"/>
      <c r="N678" s="1193"/>
      <c r="O678" s="1193"/>
      <c r="P678" s="1193"/>
      <c r="Q678" s="1193"/>
      <c r="R678" s="1193"/>
      <c r="S678" s="1193"/>
      <c r="T678" s="1193"/>
      <c r="U678" s="1193"/>
      <c r="V678" s="1193"/>
      <c r="W678" s="1193"/>
      <c r="X678" s="1193"/>
      <c r="Y678" s="1193"/>
      <c r="Z678" s="1193"/>
      <c r="AA678" s="1193"/>
      <c r="AB678" s="1193"/>
      <c r="AC678" s="1193"/>
    </row>
    <row r="679" spans="1:29" x14ac:dyDescent="0.3">
      <c r="A679" s="681"/>
      <c r="B679" s="1193"/>
      <c r="C679" s="1193"/>
      <c r="D679" s="1193"/>
      <c r="E679" s="1193"/>
      <c r="F679" s="1193"/>
      <c r="G679" s="1193"/>
      <c r="H679" s="1193"/>
      <c r="I679" s="1193"/>
      <c r="J679" s="1193"/>
      <c r="K679" s="1193"/>
      <c r="L679" s="1193"/>
      <c r="M679" s="1193"/>
      <c r="N679" s="1193"/>
      <c r="O679" s="1193"/>
      <c r="P679" s="1193"/>
      <c r="Q679" s="1193"/>
      <c r="R679" s="1193"/>
      <c r="S679" s="1193"/>
      <c r="T679" s="1193"/>
      <c r="U679" s="1193"/>
      <c r="V679" s="1193"/>
      <c r="W679" s="1193"/>
      <c r="X679" s="1193"/>
      <c r="Y679" s="1193"/>
      <c r="Z679" s="1193"/>
      <c r="AA679" s="1193"/>
      <c r="AB679" s="1193"/>
      <c r="AC679" s="1193"/>
    </row>
    <row r="680" spans="1:29" x14ac:dyDescent="0.3">
      <c r="A680" s="681"/>
      <c r="B680" s="1193"/>
      <c r="C680" s="1193"/>
      <c r="D680" s="1193"/>
      <c r="E680" s="1193"/>
      <c r="F680" s="1193"/>
      <c r="G680" s="1193"/>
      <c r="H680" s="1193"/>
      <c r="I680" s="1193"/>
      <c r="J680" s="1193"/>
      <c r="K680" s="1193"/>
      <c r="L680" s="1193"/>
      <c r="M680" s="1193"/>
      <c r="N680" s="1193"/>
      <c r="O680" s="1193"/>
      <c r="P680" s="1193"/>
      <c r="Q680" s="1193"/>
      <c r="R680" s="1193"/>
      <c r="S680" s="1193"/>
      <c r="T680" s="1193"/>
      <c r="U680" s="1193"/>
      <c r="V680" s="1193"/>
      <c r="W680" s="1193"/>
      <c r="X680" s="1193"/>
      <c r="Y680" s="1193"/>
      <c r="Z680" s="1193"/>
      <c r="AA680" s="1193"/>
      <c r="AB680" s="1193"/>
      <c r="AC680" s="1193"/>
    </row>
    <row r="681" spans="1:29" x14ac:dyDescent="0.3">
      <c r="A681" s="681"/>
      <c r="B681" s="1193"/>
      <c r="C681" s="1193"/>
      <c r="D681" s="1193"/>
      <c r="E681" s="1193"/>
      <c r="F681" s="1193"/>
      <c r="G681" s="1193"/>
      <c r="H681" s="1193"/>
      <c r="I681" s="1193"/>
      <c r="J681" s="1193"/>
      <c r="K681" s="1193"/>
      <c r="L681" s="1193"/>
      <c r="M681" s="1193"/>
      <c r="N681" s="1193"/>
      <c r="O681" s="1193"/>
      <c r="P681" s="1193"/>
      <c r="Q681" s="1193"/>
      <c r="R681" s="1193"/>
      <c r="S681" s="1193"/>
      <c r="T681" s="1193"/>
      <c r="U681" s="1193"/>
      <c r="V681" s="1193"/>
      <c r="W681" s="1193"/>
      <c r="X681" s="1193"/>
      <c r="Y681" s="1193"/>
      <c r="Z681" s="1193"/>
      <c r="AA681" s="1193"/>
      <c r="AB681" s="1193"/>
      <c r="AC681" s="1193"/>
    </row>
    <row r="682" spans="1:29" x14ac:dyDescent="0.3">
      <c r="A682" s="681"/>
      <c r="B682" s="1193"/>
      <c r="C682" s="1193"/>
      <c r="D682" s="1193"/>
      <c r="E682" s="1193"/>
      <c r="F682" s="1193"/>
      <c r="G682" s="1193"/>
      <c r="H682" s="1193"/>
      <c r="I682" s="1193"/>
      <c r="J682" s="1193"/>
      <c r="K682" s="1193"/>
      <c r="L682" s="1193"/>
      <c r="M682" s="1193"/>
      <c r="N682" s="1193"/>
      <c r="O682" s="1193"/>
      <c r="P682" s="1193"/>
      <c r="Q682" s="1193"/>
      <c r="R682" s="1193"/>
      <c r="S682" s="1193"/>
      <c r="T682" s="1193"/>
      <c r="U682" s="1193"/>
      <c r="V682" s="1193"/>
      <c r="W682" s="1193"/>
      <c r="X682" s="1193"/>
      <c r="Y682" s="1193"/>
      <c r="Z682" s="1193"/>
      <c r="AA682" s="1193"/>
      <c r="AB682" s="1193"/>
      <c r="AC682" s="1193"/>
    </row>
    <row r="683" spans="1:29" x14ac:dyDescent="0.3">
      <c r="A683" s="681"/>
      <c r="B683" s="1193"/>
      <c r="C683" s="1193"/>
      <c r="D683" s="1193"/>
      <c r="E683" s="1193"/>
      <c r="F683" s="1193"/>
      <c r="G683" s="1193"/>
      <c r="H683" s="1193"/>
      <c r="I683" s="1193"/>
      <c r="J683" s="1193"/>
      <c r="K683" s="1193"/>
      <c r="L683" s="1193"/>
      <c r="M683" s="1193"/>
      <c r="N683" s="1193"/>
      <c r="O683" s="1193"/>
      <c r="P683" s="1193"/>
      <c r="Q683" s="1193"/>
      <c r="R683" s="1193"/>
      <c r="S683" s="1193"/>
      <c r="T683" s="1193"/>
      <c r="U683" s="1193"/>
      <c r="V683" s="1193"/>
      <c r="W683" s="1193"/>
      <c r="X683" s="1193"/>
      <c r="Y683" s="1193"/>
      <c r="Z683" s="1193"/>
      <c r="AA683" s="1193"/>
      <c r="AB683" s="1193"/>
      <c r="AC683" s="1193"/>
    </row>
    <row r="684" spans="1:29" x14ac:dyDescent="0.3">
      <c r="A684" s="681"/>
      <c r="B684" s="1193"/>
      <c r="C684" s="1193"/>
      <c r="D684" s="1193"/>
      <c r="E684" s="1193"/>
      <c r="F684" s="1193"/>
      <c r="G684" s="1193"/>
      <c r="H684" s="1193"/>
      <c r="I684" s="1193"/>
      <c r="J684" s="1193"/>
      <c r="K684" s="1193"/>
      <c r="L684" s="1193"/>
      <c r="M684" s="1193"/>
      <c r="N684" s="1193"/>
      <c r="O684" s="1193"/>
      <c r="P684" s="1193"/>
      <c r="Q684" s="1193"/>
      <c r="R684" s="1193"/>
      <c r="S684" s="1193"/>
      <c r="T684" s="1193"/>
      <c r="U684" s="1193"/>
      <c r="V684" s="1193"/>
      <c r="W684" s="1193"/>
      <c r="X684" s="1193"/>
      <c r="Y684" s="1193"/>
      <c r="Z684" s="1193"/>
      <c r="AA684" s="1193"/>
      <c r="AB684" s="1193"/>
      <c r="AC684" s="1193"/>
    </row>
    <row r="685" spans="1:29" x14ac:dyDescent="0.3">
      <c r="A685" s="681"/>
      <c r="B685" s="1193"/>
      <c r="C685" s="1193"/>
      <c r="D685" s="1193"/>
      <c r="E685" s="1193"/>
      <c r="F685" s="1193"/>
      <c r="G685" s="1193"/>
      <c r="H685" s="1193"/>
      <c r="I685" s="1193"/>
      <c r="J685" s="1193"/>
      <c r="K685" s="1193"/>
      <c r="L685" s="1193"/>
      <c r="M685" s="1193"/>
      <c r="N685" s="1193"/>
      <c r="O685" s="1193"/>
      <c r="P685" s="1193"/>
      <c r="Q685" s="1193"/>
      <c r="R685" s="1193"/>
      <c r="S685" s="1193"/>
      <c r="T685" s="1193"/>
      <c r="U685" s="1193"/>
      <c r="V685" s="1193"/>
      <c r="W685" s="1193"/>
      <c r="X685" s="1193"/>
      <c r="Y685" s="1193"/>
      <c r="Z685" s="1193"/>
      <c r="AA685" s="1193"/>
      <c r="AB685" s="1193"/>
      <c r="AC685" s="1193"/>
    </row>
    <row r="686" spans="1:29" x14ac:dyDescent="0.3">
      <c r="A686" s="681"/>
      <c r="B686" s="1193"/>
      <c r="C686" s="1193"/>
      <c r="D686" s="1193"/>
      <c r="E686" s="1193"/>
      <c r="F686" s="1193"/>
      <c r="G686" s="1193"/>
      <c r="H686" s="1193"/>
      <c r="I686" s="1193"/>
      <c r="J686" s="1193"/>
      <c r="K686" s="1193"/>
      <c r="L686" s="1193"/>
      <c r="M686" s="1193"/>
      <c r="N686" s="1193"/>
      <c r="O686" s="1193"/>
      <c r="P686" s="1193"/>
      <c r="Q686" s="1193"/>
      <c r="R686" s="1193"/>
      <c r="S686" s="1193"/>
      <c r="T686" s="1193"/>
      <c r="U686" s="1193"/>
      <c r="V686" s="1193"/>
      <c r="W686" s="1193"/>
      <c r="X686" s="1193"/>
      <c r="Y686" s="1193"/>
      <c r="Z686" s="1193"/>
      <c r="AA686" s="1193"/>
      <c r="AB686" s="1193"/>
      <c r="AC686" s="1193"/>
    </row>
    <row r="687" spans="1:29" x14ac:dyDescent="0.3">
      <c r="A687" s="681"/>
      <c r="B687" s="1193"/>
      <c r="C687" s="1193"/>
      <c r="D687" s="1193"/>
      <c r="E687" s="1193"/>
      <c r="F687" s="1193"/>
      <c r="G687" s="1193"/>
      <c r="H687" s="1193"/>
      <c r="I687" s="1193"/>
      <c r="J687" s="1193"/>
      <c r="K687" s="1193"/>
      <c r="L687" s="1193"/>
      <c r="M687" s="1193"/>
      <c r="N687" s="1193"/>
      <c r="O687" s="1193"/>
      <c r="P687" s="1193"/>
      <c r="Q687" s="1193"/>
      <c r="R687" s="1193"/>
      <c r="S687" s="1193"/>
      <c r="T687" s="1193"/>
      <c r="U687" s="1193"/>
      <c r="V687" s="1193"/>
      <c r="W687" s="1193"/>
      <c r="X687" s="1193"/>
      <c r="Y687" s="1193"/>
      <c r="Z687" s="1193"/>
      <c r="AA687" s="1193"/>
      <c r="AB687" s="1193"/>
      <c r="AC687" s="1193"/>
    </row>
    <row r="688" spans="1:29" x14ac:dyDescent="0.3">
      <c r="A688" s="681"/>
      <c r="B688" s="1193"/>
      <c r="C688" s="1193"/>
      <c r="D688" s="1193"/>
      <c r="E688" s="1193"/>
      <c r="F688" s="1193"/>
      <c r="G688" s="1193"/>
      <c r="H688" s="1193"/>
      <c r="I688" s="1193"/>
      <c r="J688" s="1193"/>
      <c r="K688" s="1193"/>
      <c r="L688" s="1193"/>
      <c r="M688" s="1193"/>
      <c r="N688" s="1193"/>
      <c r="O688" s="1193"/>
      <c r="P688" s="1193"/>
      <c r="Q688" s="1193"/>
      <c r="R688" s="1193"/>
      <c r="S688" s="1193"/>
      <c r="T688" s="1193"/>
      <c r="U688" s="1193"/>
      <c r="V688" s="1193"/>
      <c r="W688" s="1193"/>
      <c r="X688" s="1193"/>
      <c r="Y688" s="1193"/>
      <c r="Z688" s="1193"/>
      <c r="AA688" s="1193"/>
      <c r="AB688" s="1193"/>
      <c r="AC688" s="1193"/>
    </row>
    <row r="689" spans="1:29" x14ac:dyDescent="0.3">
      <c r="A689" s="681"/>
      <c r="B689" s="1193"/>
      <c r="C689" s="1193"/>
      <c r="D689" s="1193"/>
      <c r="E689" s="1193"/>
      <c r="F689" s="1193"/>
      <c r="G689" s="1193"/>
      <c r="H689" s="1193"/>
      <c r="I689" s="1193"/>
      <c r="J689" s="1193"/>
      <c r="K689" s="1193"/>
      <c r="L689" s="1193"/>
      <c r="M689" s="1193"/>
      <c r="N689" s="1193"/>
      <c r="O689" s="1193"/>
      <c r="P689" s="1193"/>
      <c r="Q689" s="1193"/>
      <c r="R689" s="1193"/>
      <c r="S689" s="1193"/>
      <c r="T689" s="1193"/>
      <c r="U689" s="1193"/>
      <c r="V689" s="1193"/>
      <c r="W689" s="1193"/>
      <c r="X689" s="1193"/>
      <c r="Y689" s="1193"/>
      <c r="Z689" s="1193"/>
      <c r="AA689" s="1193"/>
      <c r="AB689" s="1193"/>
      <c r="AC689" s="1193"/>
    </row>
    <row r="690" spans="1:29" x14ac:dyDescent="0.3">
      <c r="A690" s="681"/>
      <c r="B690" s="1193"/>
      <c r="C690" s="1193"/>
      <c r="D690" s="1193"/>
      <c r="E690" s="1193"/>
      <c r="F690" s="1193"/>
      <c r="G690" s="1193"/>
      <c r="H690" s="1193"/>
      <c r="I690" s="1193"/>
      <c r="J690" s="1193"/>
      <c r="K690" s="1193"/>
      <c r="L690" s="1193"/>
      <c r="M690" s="1193"/>
      <c r="N690" s="1193"/>
      <c r="O690" s="1193"/>
      <c r="P690" s="1193"/>
      <c r="Q690" s="1193"/>
      <c r="R690" s="1193"/>
      <c r="S690" s="1193"/>
      <c r="T690" s="1193"/>
      <c r="U690" s="1193"/>
      <c r="V690" s="1193"/>
      <c r="W690" s="1193"/>
      <c r="X690" s="1193"/>
      <c r="Y690" s="1193"/>
      <c r="Z690" s="1193"/>
      <c r="AA690" s="1193"/>
      <c r="AB690" s="1193"/>
      <c r="AC690" s="1193"/>
    </row>
    <row r="691" spans="1:29" x14ac:dyDescent="0.3">
      <c r="A691" s="681"/>
      <c r="B691" s="1193"/>
      <c r="C691" s="1193"/>
      <c r="D691" s="1193"/>
      <c r="E691" s="1193"/>
      <c r="F691" s="1193"/>
      <c r="G691" s="1193"/>
      <c r="H691" s="1193"/>
      <c r="I691" s="1193"/>
      <c r="J691" s="1193"/>
      <c r="K691" s="1193"/>
      <c r="L691" s="1193"/>
      <c r="M691" s="1193"/>
      <c r="N691" s="1193"/>
      <c r="O691" s="1193"/>
      <c r="P691" s="1193"/>
      <c r="Q691" s="1193"/>
      <c r="R691" s="1193"/>
      <c r="S691" s="1193"/>
      <c r="T691" s="1193"/>
      <c r="U691" s="1193"/>
      <c r="V691" s="1193"/>
      <c r="W691" s="1193"/>
      <c r="X691" s="1193"/>
      <c r="Y691" s="1193"/>
      <c r="Z691" s="1193"/>
      <c r="AA691" s="1193"/>
      <c r="AB691" s="1193"/>
      <c r="AC691" s="1193"/>
    </row>
    <row r="692" spans="1:29" x14ac:dyDescent="0.3">
      <c r="A692" s="681"/>
      <c r="B692" s="1193"/>
      <c r="C692" s="1193"/>
      <c r="D692" s="1193"/>
      <c r="E692" s="1193"/>
      <c r="F692" s="1193"/>
      <c r="G692" s="1193"/>
      <c r="H692" s="1193"/>
      <c r="I692" s="1193"/>
      <c r="J692" s="1193"/>
      <c r="K692" s="1193"/>
      <c r="L692" s="1193"/>
      <c r="M692" s="1193"/>
      <c r="N692" s="1193"/>
      <c r="O692" s="1193"/>
      <c r="P692" s="1193"/>
      <c r="Q692" s="1193"/>
      <c r="R692" s="1193"/>
      <c r="S692" s="1193"/>
      <c r="T692" s="1193"/>
      <c r="U692" s="1193"/>
      <c r="V692" s="1193"/>
      <c r="W692" s="1193"/>
      <c r="X692" s="1193"/>
      <c r="Y692" s="1193"/>
      <c r="Z692" s="1193"/>
      <c r="AA692" s="1193"/>
      <c r="AB692" s="1193"/>
      <c r="AC692" s="1193"/>
    </row>
    <row r="693" spans="1:29" x14ac:dyDescent="0.3">
      <c r="A693" s="681"/>
      <c r="B693" s="1193"/>
      <c r="C693" s="1193"/>
      <c r="D693" s="1193"/>
      <c r="E693" s="1193"/>
      <c r="F693" s="1193"/>
      <c r="G693" s="1193"/>
      <c r="H693" s="1193"/>
      <c r="I693" s="1193"/>
      <c r="J693" s="1193"/>
      <c r="K693" s="1193"/>
      <c r="L693" s="1193"/>
      <c r="M693" s="1193"/>
      <c r="N693" s="1193"/>
      <c r="O693" s="1193"/>
      <c r="P693" s="1193"/>
      <c r="Q693" s="1193"/>
      <c r="R693" s="1193"/>
      <c r="S693" s="1193"/>
      <c r="T693" s="1193"/>
      <c r="U693" s="1193"/>
      <c r="V693" s="1193"/>
      <c r="W693" s="1193"/>
      <c r="X693" s="1193"/>
      <c r="Y693" s="1193"/>
      <c r="Z693" s="1193"/>
      <c r="AA693" s="1193"/>
      <c r="AB693" s="1193"/>
      <c r="AC693" s="1193"/>
    </row>
    <row r="694" spans="1:29" x14ac:dyDescent="0.3">
      <c r="A694" s="681"/>
      <c r="B694" s="1193"/>
      <c r="C694" s="1193"/>
      <c r="D694" s="1193"/>
      <c r="E694" s="1193"/>
      <c r="F694" s="1193"/>
      <c r="G694" s="1193"/>
      <c r="H694" s="1193"/>
      <c r="I694" s="1193"/>
      <c r="J694" s="1193"/>
      <c r="K694" s="1193"/>
      <c r="L694" s="1193"/>
      <c r="M694" s="1193"/>
      <c r="N694" s="1193"/>
      <c r="O694" s="1193"/>
      <c r="P694" s="1193"/>
      <c r="Q694" s="1193"/>
      <c r="R694" s="1193"/>
      <c r="S694" s="1193"/>
      <c r="T694" s="1193"/>
      <c r="U694" s="1193"/>
      <c r="V694" s="1193"/>
      <c r="W694" s="1193"/>
      <c r="X694" s="1193"/>
      <c r="Y694" s="1193"/>
      <c r="Z694" s="1193"/>
      <c r="AA694" s="1193"/>
      <c r="AB694" s="1193"/>
      <c r="AC694" s="1193"/>
    </row>
    <row r="695" spans="1:29" x14ac:dyDescent="0.3">
      <c r="A695" s="681"/>
      <c r="B695" s="1193"/>
      <c r="C695" s="1193"/>
      <c r="D695" s="1193"/>
      <c r="E695" s="1193"/>
      <c r="F695" s="1193"/>
      <c r="G695" s="1193"/>
      <c r="H695" s="1193"/>
      <c r="I695" s="1193"/>
      <c r="J695" s="1193"/>
      <c r="K695" s="1193"/>
      <c r="L695" s="1193"/>
      <c r="M695" s="1193"/>
      <c r="N695" s="1193"/>
      <c r="O695" s="1193"/>
      <c r="P695" s="1193"/>
      <c r="Q695" s="1193"/>
      <c r="R695" s="1193"/>
      <c r="S695" s="1193"/>
      <c r="T695" s="1193"/>
      <c r="U695" s="1193"/>
      <c r="V695" s="1193"/>
      <c r="W695" s="1193"/>
      <c r="X695" s="1193"/>
      <c r="Y695" s="1193"/>
      <c r="Z695" s="1193"/>
      <c r="AA695" s="1193"/>
      <c r="AB695" s="1193"/>
      <c r="AC695" s="1193"/>
    </row>
    <row r="696" spans="1:29" x14ac:dyDescent="0.3">
      <c r="A696" s="681"/>
      <c r="B696" s="1193"/>
      <c r="C696" s="1193"/>
      <c r="D696" s="1193"/>
      <c r="E696" s="1193"/>
      <c r="F696" s="1193"/>
      <c r="G696" s="1193"/>
      <c r="H696" s="1193"/>
      <c r="I696" s="1193"/>
      <c r="J696" s="1193"/>
      <c r="K696" s="1193"/>
      <c r="L696" s="1193"/>
      <c r="M696" s="1193"/>
      <c r="N696" s="1193"/>
      <c r="O696" s="1193"/>
      <c r="P696" s="1193"/>
      <c r="Q696" s="1193"/>
      <c r="R696" s="1193"/>
      <c r="S696" s="1193"/>
      <c r="T696" s="1193"/>
      <c r="U696" s="1193"/>
      <c r="V696" s="1193"/>
      <c r="W696" s="1193"/>
      <c r="X696" s="1193"/>
      <c r="Y696" s="1193"/>
      <c r="Z696" s="1193"/>
      <c r="AA696" s="1193"/>
      <c r="AB696" s="1193"/>
      <c r="AC696" s="1193"/>
    </row>
    <row r="697" spans="1:29" x14ac:dyDescent="0.3">
      <c r="A697" s="681"/>
      <c r="B697" s="1193"/>
      <c r="C697" s="1193"/>
      <c r="D697" s="1193"/>
      <c r="E697" s="1193"/>
      <c r="F697" s="1193"/>
      <c r="G697" s="1193"/>
      <c r="H697" s="1193"/>
      <c r="I697" s="1193"/>
      <c r="J697" s="1193"/>
      <c r="K697" s="1193"/>
      <c r="L697" s="1193"/>
      <c r="M697" s="1193"/>
      <c r="N697" s="1193"/>
      <c r="O697" s="1193"/>
      <c r="P697" s="1193"/>
      <c r="Q697" s="1193"/>
      <c r="R697" s="1193"/>
      <c r="S697" s="1193"/>
      <c r="T697" s="1193"/>
      <c r="U697" s="1193"/>
      <c r="V697" s="1193"/>
      <c r="W697" s="1193"/>
      <c r="X697" s="1193"/>
      <c r="Y697" s="1193"/>
      <c r="Z697" s="1193"/>
      <c r="AA697" s="1193"/>
      <c r="AB697" s="1193"/>
      <c r="AC697" s="1193"/>
    </row>
    <row r="698" spans="1:29" x14ac:dyDescent="0.3">
      <c r="A698" s="681"/>
      <c r="B698" s="1193"/>
      <c r="C698" s="1193"/>
      <c r="D698" s="1193"/>
      <c r="E698" s="1193"/>
      <c r="F698" s="1193"/>
      <c r="G698" s="1193"/>
      <c r="H698" s="1193"/>
      <c r="I698" s="1193"/>
      <c r="J698" s="1193"/>
      <c r="K698" s="1193"/>
      <c r="L698" s="1193"/>
      <c r="M698" s="1193"/>
      <c r="N698" s="1193"/>
      <c r="O698" s="1193"/>
      <c r="P698" s="1193"/>
      <c r="Q698" s="1193"/>
      <c r="R698" s="1193"/>
      <c r="S698" s="1193"/>
      <c r="T698" s="1193"/>
      <c r="U698" s="1193"/>
      <c r="V698" s="1193"/>
      <c r="W698" s="1193"/>
      <c r="X698" s="1193"/>
      <c r="Y698" s="1193"/>
      <c r="Z698" s="1193"/>
      <c r="AA698" s="1193"/>
      <c r="AB698" s="1193"/>
      <c r="AC698" s="1193"/>
    </row>
    <row r="699" spans="1:29" x14ac:dyDescent="0.3">
      <c r="A699" s="681"/>
      <c r="B699" s="1193"/>
      <c r="C699" s="1193"/>
      <c r="D699" s="1193"/>
      <c r="E699" s="1193"/>
      <c r="F699" s="1193"/>
      <c r="G699" s="1193"/>
      <c r="H699" s="1193"/>
      <c r="I699" s="1193"/>
      <c r="J699" s="1193"/>
      <c r="K699" s="1193"/>
      <c r="L699" s="1193"/>
      <c r="M699" s="1193"/>
      <c r="N699" s="1193"/>
      <c r="O699" s="1193"/>
      <c r="P699" s="1193"/>
      <c r="Q699" s="1193"/>
      <c r="R699" s="1193"/>
      <c r="S699" s="1193"/>
      <c r="T699" s="1193"/>
      <c r="U699" s="1193"/>
      <c r="V699" s="1193"/>
      <c r="W699" s="1193"/>
      <c r="X699" s="1193"/>
      <c r="Y699" s="1193"/>
      <c r="Z699" s="1193"/>
      <c r="AA699" s="1193"/>
      <c r="AB699" s="1193"/>
      <c r="AC699" s="1193"/>
    </row>
    <row r="700" spans="1:29" x14ac:dyDescent="0.3">
      <c r="A700" s="681"/>
      <c r="B700" s="1193"/>
      <c r="C700" s="1193"/>
      <c r="D700" s="1193"/>
      <c r="E700" s="1193"/>
      <c r="F700" s="1193"/>
      <c r="G700" s="1193"/>
      <c r="H700" s="1193"/>
      <c r="I700" s="1193"/>
      <c r="J700" s="1193"/>
      <c r="K700" s="1193"/>
      <c r="L700" s="1193"/>
      <c r="M700" s="1193"/>
      <c r="N700" s="1193"/>
      <c r="O700" s="1193"/>
      <c r="P700" s="1193"/>
      <c r="Q700" s="1193"/>
      <c r="R700" s="1193"/>
      <c r="S700" s="1193"/>
      <c r="T700" s="1193"/>
      <c r="U700" s="1193"/>
      <c r="V700" s="1193"/>
      <c r="W700" s="1193"/>
      <c r="X700" s="1193"/>
      <c r="Y700" s="1193"/>
      <c r="Z700" s="1193"/>
      <c r="AA700" s="1193"/>
      <c r="AB700" s="1193"/>
      <c r="AC700" s="1193"/>
    </row>
    <row r="701" spans="1:29" x14ac:dyDescent="0.3">
      <c r="A701" s="681"/>
      <c r="B701" s="1193"/>
      <c r="C701" s="1193"/>
      <c r="D701" s="1193"/>
      <c r="E701" s="1193"/>
      <c r="F701" s="1193"/>
      <c r="G701" s="1193"/>
      <c r="H701" s="1193"/>
      <c r="I701" s="1193"/>
      <c r="J701" s="1193"/>
      <c r="K701" s="1193"/>
      <c r="L701" s="1193"/>
      <c r="M701" s="1193"/>
      <c r="N701" s="1193"/>
      <c r="O701" s="1193"/>
      <c r="P701" s="1193"/>
      <c r="Q701" s="1193"/>
      <c r="R701" s="1193"/>
      <c r="S701" s="1193"/>
      <c r="T701" s="1193"/>
      <c r="U701" s="1193"/>
      <c r="V701" s="1193"/>
      <c r="W701" s="1193"/>
      <c r="X701" s="1193"/>
      <c r="Y701" s="1193"/>
      <c r="Z701" s="1193"/>
      <c r="AA701" s="1193"/>
      <c r="AB701" s="1193"/>
      <c r="AC701" s="1193"/>
    </row>
    <row r="702" spans="1:29" x14ac:dyDescent="0.3">
      <c r="A702" s="681"/>
      <c r="B702" s="1193"/>
      <c r="C702" s="1193"/>
      <c r="D702" s="1193"/>
      <c r="E702" s="1193"/>
      <c r="F702" s="1193"/>
      <c r="G702" s="1193"/>
      <c r="H702" s="1193"/>
      <c r="I702" s="1193"/>
      <c r="J702" s="1193"/>
      <c r="K702" s="1193"/>
      <c r="L702" s="1193"/>
      <c r="M702" s="1193"/>
      <c r="N702" s="1193"/>
      <c r="O702" s="1193"/>
      <c r="P702" s="1193"/>
      <c r="Q702" s="1193"/>
      <c r="R702" s="1193"/>
      <c r="S702" s="1193"/>
      <c r="T702" s="1193"/>
      <c r="U702" s="1193"/>
      <c r="V702" s="1193"/>
      <c r="W702" s="1193"/>
      <c r="X702" s="1193"/>
      <c r="Y702" s="1193"/>
      <c r="Z702" s="1193"/>
      <c r="AA702" s="1193"/>
      <c r="AB702" s="1193"/>
      <c r="AC702" s="1193"/>
    </row>
    <row r="703" spans="1:29" x14ac:dyDescent="0.3">
      <c r="A703" s="681"/>
      <c r="B703" s="1193"/>
      <c r="C703" s="1193"/>
      <c r="D703" s="1193"/>
      <c r="E703" s="1193"/>
      <c r="F703" s="1193"/>
      <c r="G703" s="1193"/>
      <c r="H703" s="1193"/>
      <c r="I703" s="1193"/>
      <c r="J703" s="1193"/>
      <c r="K703" s="1193"/>
      <c r="L703" s="1193"/>
      <c r="M703" s="1193"/>
      <c r="N703" s="1193"/>
      <c r="O703" s="1193"/>
      <c r="P703" s="1193"/>
      <c r="Q703" s="1193"/>
      <c r="R703" s="1193"/>
      <c r="S703" s="1193"/>
      <c r="T703" s="1193"/>
      <c r="U703" s="1193"/>
      <c r="V703" s="1193"/>
      <c r="W703" s="1193"/>
      <c r="X703" s="1193"/>
      <c r="Y703" s="1193"/>
      <c r="Z703" s="1193"/>
      <c r="AA703" s="1193"/>
      <c r="AB703" s="1193"/>
      <c r="AC703" s="1193"/>
    </row>
    <row r="704" spans="1:29" x14ac:dyDescent="0.3">
      <c r="A704" s="681"/>
      <c r="B704" s="1193"/>
      <c r="C704" s="1193"/>
      <c r="D704" s="1193"/>
      <c r="E704" s="1193"/>
      <c r="F704" s="1193"/>
      <c r="G704" s="1193"/>
      <c r="H704" s="1193"/>
      <c r="I704" s="1193"/>
      <c r="J704" s="1193"/>
      <c r="K704" s="1193"/>
      <c r="L704" s="1193"/>
      <c r="M704" s="1193"/>
      <c r="N704" s="1193"/>
      <c r="O704" s="1193"/>
      <c r="P704" s="1193"/>
      <c r="Q704" s="1193"/>
      <c r="R704" s="1193"/>
      <c r="S704" s="1193"/>
      <c r="T704" s="1193"/>
      <c r="U704" s="1193"/>
      <c r="V704" s="1193"/>
      <c r="W704" s="1193"/>
      <c r="X704" s="1193"/>
      <c r="Y704" s="1193"/>
      <c r="Z704" s="1193"/>
      <c r="AA704" s="1193"/>
      <c r="AB704" s="1193"/>
      <c r="AC704" s="1193"/>
    </row>
    <row r="705" spans="1:29" x14ac:dyDescent="0.3">
      <c r="A705" s="681"/>
      <c r="B705" s="1193"/>
      <c r="C705" s="1193"/>
      <c r="D705" s="1193"/>
      <c r="E705" s="1193"/>
      <c r="F705" s="1193"/>
      <c r="G705" s="1193"/>
      <c r="H705" s="1193"/>
      <c r="I705" s="1193"/>
      <c r="J705" s="1193"/>
      <c r="K705" s="1193"/>
      <c r="L705" s="1193"/>
      <c r="M705" s="1193"/>
      <c r="N705" s="1193"/>
      <c r="O705" s="1193"/>
      <c r="P705" s="1193"/>
      <c r="Q705" s="1193"/>
      <c r="R705" s="1193"/>
      <c r="S705" s="1193"/>
      <c r="T705" s="1193"/>
      <c r="U705" s="1193"/>
      <c r="V705" s="1193"/>
      <c r="W705" s="1193"/>
      <c r="X705" s="1193"/>
      <c r="Y705" s="1193"/>
      <c r="Z705" s="1193"/>
      <c r="AA705" s="1193"/>
      <c r="AB705" s="1193"/>
      <c r="AC705" s="1193"/>
    </row>
    <row r="706" spans="1:29" x14ac:dyDescent="0.3">
      <c r="A706" s="681"/>
      <c r="B706" s="1193"/>
      <c r="C706" s="1193"/>
      <c r="D706" s="1193"/>
      <c r="E706" s="1193"/>
      <c r="F706" s="1193"/>
      <c r="G706" s="1193"/>
      <c r="H706" s="1193"/>
      <c r="I706" s="1193"/>
      <c r="J706" s="1193"/>
      <c r="K706" s="1193"/>
      <c r="L706" s="1193"/>
      <c r="M706" s="1193"/>
      <c r="N706" s="1193"/>
      <c r="O706" s="1193"/>
      <c r="P706" s="1193"/>
      <c r="Q706" s="1193"/>
      <c r="R706" s="1193"/>
      <c r="S706" s="1193"/>
      <c r="T706" s="1193"/>
      <c r="U706" s="1193"/>
      <c r="V706" s="1193"/>
      <c r="W706" s="1193"/>
      <c r="X706" s="1193"/>
      <c r="Y706" s="1193"/>
      <c r="Z706" s="1193"/>
      <c r="AA706" s="1193"/>
      <c r="AB706" s="1193"/>
      <c r="AC706" s="1193"/>
    </row>
    <row r="707" spans="1:29" x14ac:dyDescent="0.3">
      <c r="A707" s="681"/>
      <c r="B707" s="1193"/>
      <c r="C707" s="1193"/>
      <c r="D707" s="1193"/>
      <c r="E707" s="1193"/>
      <c r="F707" s="1193"/>
      <c r="G707" s="1193"/>
      <c r="H707" s="1193"/>
      <c r="I707" s="1193"/>
      <c r="J707" s="1193"/>
      <c r="K707" s="1193"/>
      <c r="L707" s="1193"/>
      <c r="M707" s="1193"/>
      <c r="N707" s="1193"/>
      <c r="O707" s="1193"/>
      <c r="P707" s="1193"/>
      <c r="Q707" s="1193"/>
      <c r="R707" s="1193"/>
      <c r="S707" s="1193"/>
      <c r="T707" s="1193"/>
      <c r="U707" s="1193"/>
      <c r="V707" s="1193"/>
      <c r="W707" s="1193"/>
      <c r="X707" s="1193"/>
      <c r="Y707" s="1193"/>
      <c r="Z707" s="1193"/>
      <c r="AA707" s="1193"/>
      <c r="AB707" s="1193"/>
      <c r="AC707" s="1193"/>
    </row>
    <row r="708" spans="1:29" x14ac:dyDescent="0.3">
      <c r="A708" s="681"/>
      <c r="B708" s="1193"/>
      <c r="C708" s="1193"/>
      <c r="D708" s="1193"/>
      <c r="E708" s="1193"/>
      <c r="F708" s="1193"/>
      <c r="G708" s="1193"/>
      <c r="H708" s="1193"/>
      <c r="I708" s="1193"/>
      <c r="J708" s="1193"/>
      <c r="K708" s="1193"/>
      <c r="L708" s="1193"/>
      <c r="M708" s="1193"/>
      <c r="N708" s="1193"/>
      <c r="O708" s="1193"/>
      <c r="P708" s="1193"/>
      <c r="Q708" s="1193"/>
      <c r="R708" s="1193"/>
      <c r="S708" s="1193"/>
      <c r="T708" s="1193"/>
      <c r="U708" s="1193"/>
      <c r="V708" s="1193"/>
      <c r="W708" s="1193"/>
      <c r="X708" s="1193"/>
      <c r="Y708" s="1193"/>
      <c r="Z708" s="1193"/>
      <c r="AA708" s="1193"/>
      <c r="AB708" s="1193"/>
      <c r="AC708" s="1193"/>
    </row>
    <row r="709" spans="1:29" x14ac:dyDescent="0.3">
      <c r="A709" s="681"/>
      <c r="B709" s="1193"/>
      <c r="C709" s="1193"/>
      <c r="D709" s="1193"/>
      <c r="E709" s="1193"/>
      <c r="F709" s="1193"/>
      <c r="G709" s="1193"/>
      <c r="H709" s="1193"/>
      <c r="I709" s="1193"/>
      <c r="J709" s="1193"/>
      <c r="K709" s="1193"/>
      <c r="L709" s="1193"/>
      <c r="M709" s="1193"/>
      <c r="N709" s="1193"/>
      <c r="O709" s="1193"/>
      <c r="P709" s="1193"/>
      <c r="Q709" s="1193"/>
      <c r="R709" s="1193"/>
      <c r="S709" s="1193"/>
      <c r="T709" s="1193"/>
      <c r="U709" s="1193"/>
      <c r="V709" s="1193"/>
      <c r="W709" s="1193"/>
      <c r="X709" s="1193"/>
      <c r="Y709" s="1193"/>
      <c r="Z709" s="1193"/>
      <c r="AA709" s="1193"/>
      <c r="AB709" s="1193"/>
      <c r="AC709" s="1193"/>
    </row>
    <row r="710" spans="1:29" x14ac:dyDescent="0.3">
      <c r="A710" s="681"/>
      <c r="B710" s="1193"/>
      <c r="C710" s="1193"/>
      <c r="D710" s="1193"/>
      <c r="E710" s="1193"/>
      <c r="F710" s="1193"/>
      <c r="G710" s="1193"/>
      <c r="H710" s="1193"/>
      <c r="I710" s="1193"/>
      <c r="J710" s="1193"/>
      <c r="K710" s="1193"/>
      <c r="L710" s="1193"/>
      <c r="M710" s="1193"/>
      <c r="N710" s="1193"/>
      <c r="O710" s="1193"/>
      <c r="P710" s="1193"/>
      <c r="Q710" s="1193"/>
      <c r="R710" s="1193"/>
      <c r="S710" s="1193"/>
      <c r="T710" s="1193"/>
      <c r="U710" s="1193"/>
      <c r="V710" s="1193"/>
      <c r="W710" s="1193"/>
      <c r="X710" s="1193"/>
      <c r="Y710" s="1193"/>
      <c r="Z710" s="1193"/>
      <c r="AA710" s="1193"/>
      <c r="AB710" s="1193"/>
      <c r="AC710" s="1193"/>
    </row>
    <row r="711" spans="1:29" x14ac:dyDescent="0.3">
      <c r="A711" s="681"/>
      <c r="B711" s="1193"/>
      <c r="C711" s="1193"/>
      <c r="D711" s="1193"/>
      <c r="E711" s="1193"/>
      <c r="F711" s="1193"/>
      <c r="G711" s="1193"/>
      <c r="H711" s="1193"/>
      <c r="I711" s="1193"/>
      <c r="J711" s="1193"/>
      <c r="K711" s="1193"/>
      <c r="L711" s="1193"/>
      <c r="M711" s="1193"/>
      <c r="N711" s="1193"/>
      <c r="O711" s="1193"/>
      <c r="P711" s="1193"/>
      <c r="Q711" s="1193"/>
      <c r="R711" s="1193"/>
      <c r="S711" s="1193"/>
      <c r="T711" s="1193"/>
      <c r="U711" s="1193"/>
      <c r="V711" s="1193"/>
      <c r="W711" s="1193"/>
      <c r="X711" s="1193"/>
      <c r="Y711" s="1193"/>
      <c r="Z711" s="1193"/>
      <c r="AA711" s="1193"/>
      <c r="AB711" s="1193"/>
      <c r="AC711" s="1193"/>
    </row>
    <row r="712" spans="1:29" x14ac:dyDescent="0.3">
      <c r="A712" s="681"/>
      <c r="B712" s="1193"/>
      <c r="C712" s="1193"/>
      <c r="D712" s="1193"/>
      <c r="E712" s="1193"/>
      <c r="F712" s="1193"/>
      <c r="G712" s="1193"/>
      <c r="H712" s="1193"/>
      <c r="I712" s="1193"/>
      <c r="J712" s="1193"/>
      <c r="K712" s="1193"/>
      <c r="L712" s="1193"/>
      <c r="M712" s="1193"/>
      <c r="N712" s="1193"/>
      <c r="O712" s="1193"/>
      <c r="P712" s="1193"/>
      <c r="Q712" s="1193"/>
      <c r="R712" s="1193"/>
      <c r="S712" s="1193"/>
      <c r="T712" s="1193"/>
      <c r="U712" s="1193"/>
      <c r="V712" s="1193"/>
      <c r="W712" s="1193"/>
      <c r="X712" s="1193"/>
      <c r="Y712" s="1193"/>
      <c r="Z712" s="1193"/>
      <c r="AA712" s="1193"/>
      <c r="AB712" s="1193"/>
      <c r="AC712" s="1193"/>
    </row>
    <row r="713" spans="1:29" x14ac:dyDescent="0.3">
      <c r="A713" s="681"/>
      <c r="B713" s="1193"/>
      <c r="C713" s="1193"/>
      <c r="D713" s="1193"/>
      <c r="E713" s="1193"/>
      <c r="F713" s="1193"/>
      <c r="G713" s="1193"/>
      <c r="H713" s="1193"/>
      <c r="I713" s="1193"/>
      <c r="J713" s="1193"/>
      <c r="K713" s="1193"/>
      <c r="L713" s="1193"/>
      <c r="M713" s="1193"/>
      <c r="N713" s="1193"/>
      <c r="O713" s="1193"/>
      <c r="P713" s="1193"/>
      <c r="Q713" s="1193"/>
      <c r="R713" s="1193"/>
      <c r="S713" s="1193"/>
      <c r="T713" s="1193"/>
      <c r="U713" s="1193"/>
      <c r="V713" s="1193"/>
      <c r="W713" s="1193"/>
      <c r="X713" s="1193"/>
      <c r="Y713" s="1193"/>
      <c r="Z713" s="1193"/>
      <c r="AA713" s="1193"/>
      <c r="AB713" s="1193"/>
      <c r="AC713" s="1193"/>
    </row>
    <row r="714" spans="1:29" x14ac:dyDescent="0.3">
      <c r="A714" s="681"/>
      <c r="B714" s="1193"/>
      <c r="C714" s="1193"/>
      <c r="D714" s="1193"/>
      <c r="E714" s="1193"/>
      <c r="F714" s="1193"/>
      <c r="G714" s="1193"/>
      <c r="H714" s="1193"/>
      <c r="I714" s="1193"/>
      <c r="J714" s="1193"/>
      <c r="K714" s="1193"/>
      <c r="L714" s="1193"/>
      <c r="M714" s="1193"/>
      <c r="N714" s="1193"/>
      <c r="O714" s="1193"/>
      <c r="P714" s="1193"/>
      <c r="Q714" s="1193"/>
      <c r="R714" s="1193"/>
      <c r="S714" s="1193"/>
      <c r="T714" s="1193"/>
      <c r="U714" s="1193"/>
      <c r="V714" s="1193"/>
      <c r="W714" s="1193"/>
      <c r="X714" s="1193"/>
      <c r="Y714" s="1193"/>
      <c r="Z714" s="1193"/>
      <c r="AA714" s="1193"/>
      <c r="AB714" s="1193"/>
      <c r="AC714" s="1193"/>
    </row>
    <row r="715" spans="1:29" x14ac:dyDescent="0.3">
      <c r="A715" s="681"/>
      <c r="B715" s="1193"/>
      <c r="C715" s="1193"/>
      <c r="D715" s="1193"/>
      <c r="E715" s="1193"/>
      <c r="F715" s="1193"/>
      <c r="G715" s="1193"/>
      <c r="H715" s="1193"/>
      <c r="I715" s="1193"/>
      <c r="J715" s="1193"/>
      <c r="K715" s="1193"/>
      <c r="L715" s="1193"/>
      <c r="M715" s="1193"/>
      <c r="N715" s="1193"/>
      <c r="O715" s="1193"/>
      <c r="P715" s="1193"/>
      <c r="Q715" s="1193"/>
      <c r="R715" s="1193"/>
      <c r="S715" s="1193"/>
      <c r="T715" s="1193"/>
      <c r="U715" s="1193"/>
      <c r="V715" s="1193"/>
      <c r="W715" s="1193"/>
      <c r="X715" s="1193"/>
      <c r="Y715" s="1193"/>
      <c r="Z715" s="1193"/>
      <c r="AA715" s="1193"/>
      <c r="AB715" s="1193"/>
      <c r="AC715" s="1193"/>
    </row>
    <row r="716" spans="1:29" x14ac:dyDescent="0.3">
      <c r="A716" s="681"/>
      <c r="B716" s="1193"/>
      <c r="C716" s="1193"/>
      <c r="D716" s="1193"/>
      <c r="E716" s="1193"/>
      <c r="F716" s="1193"/>
      <c r="G716" s="1193"/>
      <c r="H716" s="1193"/>
      <c r="I716" s="1193"/>
      <c r="J716" s="1193"/>
      <c r="K716" s="1193"/>
      <c r="L716" s="1193"/>
      <c r="M716" s="1193"/>
      <c r="N716" s="1193"/>
      <c r="O716" s="1193"/>
      <c r="P716" s="1193"/>
      <c r="Q716" s="1193"/>
      <c r="R716" s="1193"/>
      <c r="S716" s="1193"/>
      <c r="T716" s="1193"/>
      <c r="U716" s="1193"/>
      <c r="V716" s="1193"/>
      <c r="W716" s="1193"/>
      <c r="X716" s="1193"/>
      <c r="Y716" s="1193"/>
      <c r="Z716" s="1193"/>
      <c r="AA716" s="1193"/>
      <c r="AB716" s="1193"/>
      <c r="AC716" s="1193"/>
    </row>
    <row r="717" spans="1:29" x14ac:dyDescent="0.3">
      <c r="A717" s="681"/>
      <c r="B717" s="1193"/>
      <c r="C717" s="1193"/>
      <c r="D717" s="1193"/>
      <c r="E717" s="1193"/>
      <c r="F717" s="1193"/>
      <c r="G717" s="1193"/>
      <c r="H717" s="1193"/>
      <c r="I717" s="1193"/>
      <c r="J717" s="1193"/>
      <c r="K717" s="1193"/>
      <c r="L717" s="1193"/>
      <c r="M717" s="1193"/>
      <c r="N717" s="1193"/>
      <c r="O717" s="1193"/>
      <c r="P717" s="1193"/>
      <c r="Q717" s="1193"/>
      <c r="R717" s="1193"/>
      <c r="S717" s="1193"/>
      <c r="T717" s="1193"/>
      <c r="U717" s="1193"/>
      <c r="V717" s="1193"/>
      <c r="W717" s="1193"/>
      <c r="X717" s="1193"/>
      <c r="Y717" s="1193"/>
      <c r="Z717" s="1193"/>
      <c r="AA717" s="1193"/>
      <c r="AB717" s="1193"/>
      <c r="AC717" s="1193"/>
    </row>
    <row r="718" spans="1:29" x14ac:dyDescent="0.3">
      <c r="A718" s="681"/>
      <c r="B718" s="1193"/>
      <c r="C718" s="1193"/>
      <c r="D718" s="1193"/>
      <c r="E718" s="1193"/>
      <c r="F718" s="1193"/>
      <c r="G718" s="1193"/>
      <c r="H718" s="1193"/>
      <c r="I718" s="1193"/>
      <c r="J718" s="1193"/>
      <c r="K718" s="1193"/>
      <c r="L718" s="1193"/>
      <c r="M718" s="1193"/>
      <c r="N718" s="1193"/>
      <c r="O718" s="1193"/>
      <c r="P718" s="1193"/>
      <c r="Q718" s="1193"/>
      <c r="R718" s="1193"/>
      <c r="S718" s="1193"/>
      <c r="T718" s="1193"/>
      <c r="U718" s="1193"/>
      <c r="V718" s="1193"/>
      <c r="W718" s="1193"/>
      <c r="X718" s="1193"/>
      <c r="Y718" s="1193"/>
      <c r="Z718" s="1193"/>
      <c r="AA718" s="1193"/>
      <c r="AB718" s="1193"/>
      <c r="AC718" s="1193"/>
    </row>
    <row r="719" spans="1:29" x14ac:dyDescent="0.3">
      <c r="A719" s="681"/>
      <c r="B719" s="1193"/>
      <c r="C719" s="1193"/>
      <c r="D719" s="1193"/>
      <c r="E719" s="1193"/>
      <c r="F719" s="1193"/>
      <c r="G719" s="1193"/>
      <c r="H719" s="1193"/>
      <c r="I719" s="1193"/>
      <c r="J719" s="1193"/>
      <c r="K719" s="1193"/>
      <c r="L719" s="1193"/>
      <c r="M719" s="1193"/>
      <c r="N719" s="1193"/>
      <c r="O719" s="1193"/>
      <c r="P719" s="1193"/>
      <c r="Q719" s="1193"/>
      <c r="R719" s="1193"/>
      <c r="S719" s="1193"/>
      <c r="T719" s="1193"/>
      <c r="U719" s="1193"/>
      <c r="V719" s="1193"/>
      <c r="W719" s="1193"/>
      <c r="X719" s="1193"/>
      <c r="Y719" s="1193"/>
      <c r="Z719" s="1193"/>
      <c r="AA719" s="1193"/>
      <c r="AB719" s="1193"/>
      <c r="AC719" s="1193"/>
    </row>
    <row r="720" spans="1:29" x14ac:dyDescent="0.3">
      <c r="A720" s="681"/>
      <c r="B720" s="1193"/>
      <c r="C720" s="1193"/>
      <c r="D720" s="1193"/>
      <c r="E720" s="1193"/>
      <c r="F720" s="1193"/>
      <c r="G720" s="1193"/>
      <c r="H720" s="1193"/>
      <c r="I720" s="1193"/>
      <c r="J720" s="1193"/>
      <c r="K720" s="1193"/>
      <c r="L720" s="1193"/>
      <c r="M720" s="1193"/>
      <c r="N720" s="1193"/>
      <c r="O720" s="1193"/>
      <c r="P720" s="1193"/>
      <c r="Q720" s="1193"/>
      <c r="R720" s="1193"/>
      <c r="S720" s="1193"/>
      <c r="T720" s="1193"/>
      <c r="U720" s="1193"/>
      <c r="V720" s="1193"/>
      <c r="W720" s="1193"/>
      <c r="X720" s="1193"/>
      <c r="Y720" s="1193"/>
      <c r="Z720" s="1193"/>
      <c r="AA720" s="1193"/>
      <c r="AB720" s="1193"/>
      <c r="AC720" s="1193"/>
    </row>
    <row r="721" spans="1:29" x14ac:dyDescent="0.3">
      <c r="A721" s="681"/>
      <c r="B721" s="1193"/>
      <c r="C721" s="1193"/>
      <c r="D721" s="1193"/>
      <c r="E721" s="1193"/>
      <c r="F721" s="1193"/>
      <c r="G721" s="1193"/>
      <c r="H721" s="1193"/>
      <c r="I721" s="1193"/>
      <c r="J721" s="1193"/>
      <c r="K721" s="1193"/>
      <c r="L721" s="1193"/>
      <c r="M721" s="1193"/>
      <c r="N721" s="1193"/>
      <c r="O721" s="1193"/>
      <c r="P721" s="1193"/>
      <c r="Q721" s="1193"/>
      <c r="R721" s="1193"/>
      <c r="S721" s="1193"/>
      <c r="T721" s="1193"/>
      <c r="U721" s="1193"/>
      <c r="V721" s="1193"/>
      <c r="W721" s="1193"/>
      <c r="X721" s="1193"/>
      <c r="Y721" s="1193"/>
      <c r="Z721" s="1193"/>
      <c r="AA721" s="1193"/>
      <c r="AB721" s="1193"/>
      <c r="AC721" s="1193"/>
    </row>
    <row r="722" spans="1:29" x14ac:dyDescent="0.3">
      <c r="A722" s="681"/>
      <c r="B722" s="1193"/>
      <c r="C722" s="1193"/>
      <c r="D722" s="1193"/>
      <c r="E722" s="1193"/>
      <c r="F722" s="1193"/>
      <c r="G722" s="1193"/>
      <c r="H722" s="1193"/>
      <c r="I722" s="1193"/>
      <c r="J722" s="1193"/>
      <c r="K722" s="1193"/>
      <c r="L722" s="1193"/>
      <c r="M722" s="1193"/>
      <c r="N722" s="1193"/>
      <c r="O722" s="1193"/>
      <c r="P722" s="1193"/>
      <c r="Q722" s="1193"/>
      <c r="R722" s="1193"/>
      <c r="S722" s="1193"/>
      <c r="T722" s="1193"/>
      <c r="U722" s="1193"/>
      <c r="V722" s="1193"/>
      <c r="W722" s="1193"/>
      <c r="X722" s="1193"/>
      <c r="Y722" s="1193"/>
      <c r="Z722" s="1193"/>
      <c r="AA722" s="1193"/>
      <c r="AB722" s="1193"/>
      <c r="AC722" s="1193"/>
    </row>
    <row r="723" spans="1:29" x14ac:dyDescent="0.3">
      <c r="A723" s="681"/>
      <c r="B723" s="1193"/>
      <c r="C723" s="1193"/>
      <c r="D723" s="1193"/>
      <c r="E723" s="1193"/>
      <c r="F723" s="1193"/>
      <c r="G723" s="1193"/>
      <c r="H723" s="1193"/>
      <c r="I723" s="1193"/>
      <c r="J723" s="1193"/>
      <c r="K723" s="1193"/>
      <c r="L723" s="1193"/>
      <c r="M723" s="1193"/>
      <c r="N723" s="1193"/>
      <c r="O723" s="1193"/>
      <c r="P723" s="1193"/>
      <c r="Q723" s="1193"/>
      <c r="R723" s="1193"/>
      <c r="S723" s="1193"/>
      <c r="T723" s="1193"/>
      <c r="U723" s="1193"/>
      <c r="V723" s="1193"/>
      <c r="W723" s="1193"/>
      <c r="X723" s="1193"/>
      <c r="Y723" s="1193"/>
      <c r="Z723" s="1193"/>
      <c r="AA723" s="1193"/>
      <c r="AB723" s="1193"/>
      <c r="AC723" s="1193"/>
    </row>
    <row r="724" spans="1:29" x14ac:dyDescent="0.3">
      <c r="A724" s="681"/>
      <c r="B724" s="1193"/>
      <c r="C724" s="1193"/>
      <c r="D724" s="1193"/>
      <c r="E724" s="1193"/>
      <c r="F724" s="1193"/>
      <c r="G724" s="1193"/>
      <c r="H724" s="1193"/>
      <c r="I724" s="1193"/>
      <c r="J724" s="1193"/>
      <c r="K724" s="1193"/>
      <c r="L724" s="1193"/>
      <c r="M724" s="1193"/>
      <c r="N724" s="1193"/>
      <c r="O724" s="1193"/>
      <c r="P724" s="1193"/>
      <c r="Q724" s="1193"/>
      <c r="R724" s="1193"/>
      <c r="S724" s="1193"/>
      <c r="T724" s="1193"/>
      <c r="U724" s="1193"/>
      <c r="V724" s="1193"/>
      <c r="W724" s="1193"/>
      <c r="X724" s="1193"/>
      <c r="Y724" s="1193"/>
      <c r="Z724" s="1193"/>
      <c r="AA724" s="1193"/>
      <c r="AB724" s="1193"/>
      <c r="AC724" s="1193"/>
    </row>
    <row r="725" spans="1:29" x14ac:dyDescent="0.3">
      <c r="A725" s="681"/>
      <c r="B725" s="1193"/>
      <c r="C725" s="1193"/>
      <c r="D725" s="1193"/>
      <c r="E725" s="1193"/>
      <c r="F725" s="1193"/>
      <c r="G725" s="1193"/>
      <c r="H725" s="1193"/>
      <c r="I725" s="1193"/>
      <c r="J725" s="1193"/>
      <c r="K725" s="1193"/>
      <c r="L725" s="1193"/>
      <c r="M725" s="1193"/>
      <c r="N725" s="1193"/>
      <c r="O725" s="1193"/>
      <c r="P725" s="1193"/>
      <c r="Q725" s="1193"/>
      <c r="R725" s="1193"/>
      <c r="S725" s="1193"/>
      <c r="T725" s="1193"/>
      <c r="U725" s="1193"/>
      <c r="V725" s="1193"/>
      <c r="W725" s="1193"/>
      <c r="X725" s="1193"/>
      <c r="Y725" s="1193"/>
      <c r="Z725" s="1193"/>
      <c r="AA725" s="1193"/>
      <c r="AB725" s="1193"/>
      <c r="AC725" s="1193"/>
    </row>
    <row r="726" spans="1:29" x14ac:dyDescent="0.3">
      <c r="A726" s="681"/>
      <c r="B726" s="1193"/>
      <c r="C726" s="1193"/>
      <c r="D726" s="1193"/>
      <c r="E726" s="1193"/>
      <c r="F726" s="1193"/>
      <c r="G726" s="1193"/>
      <c r="H726" s="1193"/>
      <c r="I726" s="1193"/>
      <c r="J726" s="1193"/>
      <c r="K726" s="1193"/>
      <c r="L726" s="1193"/>
      <c r="M726" s="1193"/>
      <c r="N726" s="1193"/>
      <c r="O726" s="1193"/>
      <c r="P726" s="1193"/>
      <c r="Q726" s="1193"/>
      <c r="R726" s="1193"/>
      <c r="S726" s="1193"/>
      <c r="T726" s="1193"/>
      <c r="U726" s="1193"/>
      <c r="V726" s="1193"/>
      <c r="W726" s="1193"/>
      <c r="X726" s="1193"/>
      <c r="Y726" s="1193"/>
      <c r="Z726" s="1193"/>
      <c r="AA726" s="1193"/>
      <c r="AB726" s="1193"/>
      <c r="AC726" s="1193"/>
    </row>
    <row r="727" spans="1:29" x14ac:dyDescent="0.3">
      <c r="A727" s="681"/>
      <c r="B727" s="1193"/>
      <c r="C727" s="1193"/>
      <c r="D727" s="1193"/>
      <c r="E727" s="1193"/>
      <c r="F727" s="1193"/>
      <c r="G727" s="1193"/>
      <c r="H727" s="1193"/>
      <c r="I727" s="1193"/>
      <c r="J727" s="1193"/>
      <c r="K727" s="1193"/>
      <c r="L727" s="1193"/>
      <c r="M727" s="1193"/>
      <c r="N727" s="1193"/>
      <c r="O727" s="1193"/>
      <c r="P727" s="1193"/>
      <c r="Q727" s="1193"/>
      <c r="R727" s="1193"/>
      <c r="S727" s="1193"/>
      <c r="T727" s="1193"/>
      <c r="U727" s="1193"/>
      <c r="V727" s="1193"/>
      <c r="W727" s="1193"/>
      <c r="X727" s="1193"/>
      <c r="Y727" s="1193"/>
      <c r="Z727" s="1193"/>
      <c r="AA727" s="1193"/>
      <c r="AB727" s="1193"/>
      <c r="AC727" s="1193"/>
    </row>
    <row r="728" spans="1:29" x14ac:dyDescent="0.3">
      <c r="A728" s="681"/>
      <c r="B728" s="1193"/>
      <c r="C728" s="1193"/>
      <c r="D728" s="1193"/>
      <c r="E728" s="1193"/>
      <c r="F728" s="1193"/>
      <c r="G728" s="1193"/>
      <c r="H728" s="1193"/>
      <c r="I728" s="1193"/>
      <c r="J728" s="1193"/>
      <c r="K728" s="1193"/>
      <c r="L728" s="1193"/>
      <c r="M728" s="1193"/>
      <c r="N728" s="1193"/>
      <c r="O728" s="1193"/>
      <c r="P728" s="1193"/>
      <c r="Q728" s="1193"/>
      <c r="R728" s="1193"/>
      <c r="S728" s="1193"/>
      <c r="T728" s="1193"/>
      <c r="U728" s="1193"/>
      <c r="V728" s="1193"/>
      <c r="W728" s="1193"/>
      <c r="X728" s="1193"/>
      <c r="Y728" s="1193"/>
      <c r="Z728" s="1193"/>
      <c r="AA728" s="1193"/>
      <c r="AB728" s="1193"/>
      <c r="AC728" s="1193"/>
    </row>
    <row r="729" spans="1:29" x14ac:dyDescent="0.3">
      <c r="A729" s="681"/>
      <c r="B729" s="1193"/>
      <c r="C729" s="1193"/>
      <c r="D729" s="1193"/>
      <c r="E729" s="1193"/>
      <c r="F729" s="1193"/>
      <c r="G729" s="1193"/>
      <c r="H729" s="1193"/>
      <c r="I729" s="1193"/>
      <c r="J729" s="1193"/>
      <c r="K729" s="1193"/>
      <c r="L729" s="1193"/>
      <c r="M729" s="1193"/>
      <c r="N729" s="1193"/>
      <c r="O729" s="1193"/>
      <c r="P729" s="1193"/>
      <c r="Q729" s="1193"/>
      <c r="R729" s="1193"/>
      <c r="S729" s="1193"/>
      <c r="T729" s="1193"/>
      <c r="U729" s="1193"/>
      <c r="V729" s="1193"/>
      <c r="W729" s="1193"/>
      <c r="X729" s="1193"/>
      <c r="Y729" s="1193"/>
      <c r="Z729" s="1193"/>
      <c r="AA729" s="1193"/>
      <c r="AB729" s="1193"/>
      <c r="AC729" s="1193"/>
    </row>
    <row r="730" spans="1:29" x14ac:dyDescent="0.3">
      <c r="A730" s="681"/>
      <c r="B730" s="1193"/>
      <c r="C730" s="1193"/>
      <c r="D730" s="1193"/>
      <c r="E730" s="1193"/>
      <c r="F730" s="1193"/>
      <c r="G730" s="1193"/>
      <c r="H730" s="1193"/>
      <c r="I730" s="1193"/>
      <c r="J730" s="1193"/>
      <c r="K730" s="1193"/>
      <c r="L730" s="1193"/>
      <c r="M730" s="1193"/>
      <c r="N730" s="1193"/>
      <c r="O730" s="1193"/>
      <c r="P730" s="1193"/>
      <c r="Q730" s="1193"/>
      <c r="R730" s="1193"/>
      <c r="S730" s="1193"/>
      <c r="T730" s="1193"/>
      <c r="U730" s="1193"/>
      <c r="V730" s="1193"/>
      <c r="W730" s="1193"/>
      <c r="X730" s="1193"/>
      <c r="Y730" s="1193"/>
      <c r="Z730" s="1193"/>
      <c r="AA730" s="1193"/>
      <c r="AB730" s="1193"/>
      <c r="AC730" s="1193"/>
    </row>
    <row r="731" spans="1:29" x14ac:dyDescent="0.3">
      <c r="A731" s="681"/>
      <c r="B731" s="1193"/>
      <c r="C731" s="1193"/>
      <c r="D731" s="1193"/>
      <c r="E731" s="1193"/>
      <c r="F731" s="1193"/>
      <c r="G731" s="1193"/>
      <c r="H731" s="1193"/>
      <c r="I731" s="1193"/>
      <c r="J731" s="1193"/>
      <c r="K731" s="1193"/>
      <c r="L731" s="1193"/>
      <c r="M731" s="1193"/>
      <c r="N731" s="1193"/>
      <c r="O731" s="1193"/>
      <c r="P731" s="1193"/>
      <c r="Q731" s="1193"/>
      <c r="R731" s="1193"/>
      <c r="S731" s="1193"/>
      <c r="T731" s="1193"/>
      <c r="U731" s="1193"/>
      <c r="V731" s="1193"/>
      <c r="W731" s="1193"/>
      <c r="X731" s="1193"/>
      <c r="Y731" s="1193"/>
      <c r="Z731" s="1193"/>
      <c r="AA731" s="1193"/>
      <c r="AB731" s="1193"/>
      <c r="AC731" s="1193"/>
    </row>
    <row r="732" spans="1:29" x14ac:dyDescent="0.3">
      <c r="A732" s="681"/>
      <c r="B732" s="1193"/>
      <c r="C732" s="1193"/>
      <c r="D732" s="1193"/>
      <c r="E732" s="1193"/>
      <c r="F732" s="1193"/>
      <c r="G732" s="1193"/>
      <c r="H732" s="1193"/>
      <c r="I732" s="1193"/>
      <c r="J732" s="1193"/>
      <c r="K732" s="1193"/>
      <c r="L732" s="1193"/>
      <c r="M732" s="1193"/>
      <c r="N732" s="1193"/>
      <c r="O732" s="1193"/>
      <c r="P732" s="1193"/>
      <c r="Q732" s="1193"/>
      <c r="R732" s="1193"/>
      <c r="S732" s="1193"/>
      <c r="T732" s="1193"/>
      <c r="U732" s="1193"/>
      <c r="V732" s="1193"/>
      <c r="W732" s="1193"/>
      <c r="X732" s="1193"/>
      <c r="Y732" s="1193"/>
      <c r="Z732" s="1193"/>
      <c r="AA732" s="1193"/>
      <c r="AB732" s="1193"/>
      <c r="AC732" s="1193"/>
    </row>
    <row r="733" spans="1:29" x14ac:dyDescent="0.3">
      <c r="A733" s="681"/>
      <c r="B733" s="1193"/>
      <c r="C733" s="1193"/>
      <c r="D733" s="1193"/>
      <c r="E733" s="1193"/>
      <c r="F733" s="1193"/>
      <c r="G733" s="1193"/>
      <c r="H733" s="1193"/>
      <c r="I733" s="1193"/>
      <c r="J733" s="1193"/>
      <c r="K733" s="1193"/>
      <c r="L733" s="1193"/>
      <c r="M733" s="1193"/>
      <c r="N733" s="1193"/>
      <c r="O733" s="1193"/>
      <c r="P733" s="1193"/>
      <c r="Q733" s="1193"/>
      <c r="R733" s="1193"/>
      <c r="S733" s="1193"/>
      <c r="T733" s="1193"/>
      <c r="U733" s="1193"/>
      <c r="V733" s="1193"/>
      <c r="W733" s="1193"/>
      <c r="X733" s="1193"/>
      <c r="Y733" s="1193"/>
      <c r="Z733" s="1193"/>
      <c r="AA733" s="1193"/>
      <c r="AB733" s="1193"/>
      <c r="AC733" s="1193"/>
    </row>
    <row r="734" spans="1:29" x14ac:dyDescent="0.3">
      <c r="A734" s="681"/>
      <c r="B734" s="1193"/>
      <c r="C734" s="1193"/>
      <c r="D734" s="1193"/>
      <c r="E734" s="1193"/>
      <c r="F734" s="1193"/>
      <c r="G734" s="1193"/>
      <c r="H734" s="1193"/>
      <c r="I734" s="1193"/>
      <c r="J734" s="1193"/>
      <c r="K734" s="1193"/>
      <c r="L734" s="1193"/>
      <c r="M734" s="1193"/>
      <c r="N734" s="1193"/>
      <c r="O734" s="1193"/>
      <c r="P734" s="1193"/>
      <c r="Q734" s="1193"/>
      <c r="R734" s="1193"/>
      <c r="S734" s="1193"/>
      <c r="T734" s="1193"/>
      <c r="U734" s="1193"/>
      <c r="V734" s="1193"/>
      <c r="W734" s="1193"/>
      <c r="X734" s="1193"/>
      <c r="Y734" s="1193"/>
      <c r="Z734" s="1193"/>
      <c r="AA734" s="1193"/>
      <c r="AB734" s="1193"/>
      <c r="AC734" s="1193"/>
    </row>
    <row r="735" spans="1:29" x14ac:dyDescent="0.3">
      <c r="A735" s="681"/>
      <c r="B735" s="1193"/>
      <c r="C735" s="1193"/>
      <c r="D735" s="1193"/>
      <c r="E735" s="1193"/>
      <c r="F735" s="1193"/>
      <c r="G735" s="1193"/>
      <c r="H735" s="1193"/>
      <c r="I735" s="1193"/>
      <c r="J735" s="1193"/>
      <c r="K735" s="1193"/>
      <c r="L735" s="1193"/>
      <c r="M735" s="1193"/>
      <c r="N735" s="1193"/>
      <c r="O735" s="1193"/>
      <c r="P735" s="1193"/>
      <c r="Q735" s="1193"/>
      <c r="R735" s="1193"/>
      <c r="S735" s="1193"/>
      <c r="T735" s="1193"/>
      <c r="U735" s="1193"/>
      <c r="V735" s="1193"/>
      <c r="W735" s="1193"/>
      <c r="X735" s="1193"/>
      <c r="Y735" s="1193"/>
      <c r="Z735" s="1193"/>
      <c r="AA735" s="1193"/>
      <c r="AB735" s="1193"/>
      <c r="AC735" s="1193"/>
    </row>
    <row r="736" spans="1:29" x14ac:dyDescent="0.3">
      <c r="A736" s="681"/>
      <c r="B736" s="1193"/>
      <c r="C736" s="1193"/>
      <c r="D736" s="1193"/>
      <c r="E736" s="1193"/>
      <c r="F736" s="1193"/>
      <c r="G736" s="1193"/>
      <c r="H736" s="1193"/>
      <c r="I736" s="1193"/>
      <c r="J736" s="1193"/>
      <c r="K736" s="1193"/>
      <c r="L736" s="1193"/>
      <c r="M736" s="1193"/>
      <c r="N736" s="1193"/>
      <c r="O736" s="1193"/>
      <c r="P736" s="1193"/>
      <c r="Q736" s="1193"/>
      <c r="R736" s="1193"/>
      <c r="S736" s="1193"/>
      <c r="T736" s="1193"/>
      <c r="U736" s="1193"/>
      <c r="V736" s="1193"/>
      <c r="W736" s="1193"/>
      <c r="X736" s="1193"/>
      <c r="Y736" s="1193"/>
      <c r="Z736" s="1193"/>
      <c r="AA736" s="1193"/>
      <c r="AB736" s="1193"/>
      <c r="AC736" s="1193"/>
    </row>
    <row r="737" spans="1:29" x14ac:dyDescent="0.3">
      <c r="A737" s="681"/>
      <c r="B737" s="1193"/>
      <c r="C737" s="1193"/>
      <c r="D737" s="1193"/>
      <c r="E737" s="1193"/>
      <c r="F737" s="1193"/>
      <c r="G737" s="1193"/>
      <c r="H737" s="1193"/>
      <c r="I737" s="1193"/>
      <c r="J737" s="1193"/>
      <c r="K737" s="1193"/>
      <c r="L737" s="1193"/>
      <c r="M737" s="1193"/>
      <c r="N737" s="1193"/>
      <c r="O737" s="1193"/>
      <c r="P737" s="1193"/>
      <c r="Q737" s="1193"/>
      <c r="R737" s="1193"/>
      <c r="S737" s="1193"/>
      <c r="T737" s="1193"/>
      <c r="U737" s="1193"/>
      <c r="V737" s="1193"/>
      <c r="W737" s="1193"/>
      <c r="X737" s="1193"/>
      <c r="Y737" s="1193"/>
      <c r="Z737" s="1193"/>
      <c r="AA737" s="1193"/>
      <c r="AB737" s="1193"/>
      <c r="AC737" s="1193"/>
    </row>
    <row r="738" spans="1:29" x14ac:dyDescent="0.3">
      <c r="A738" s="681"/>
      <c r="B738" s="1193"/>
      <c r="C738" s="1193"/>
      <c r="D738" s="1193"/>
      <c r="E738" s="1193"/>
      <c r="F738" s="1193"/>
      <c r="G738" s="1193"/>
      <c r="H738" s="1193"/>
      <c r="I738" s="1193"/>
      <c r="J738" s="1193"/>
      <c r="K738" s="1193"/>
      <c r="L738" s="1193"/>
      <c r="M738" s="1193"/>
      <c r="N738" s="1193"/>
      <c r="O738" s="1193"/>
      <c r="P738" s="1193"/>
      <c r="Q738" s="1193"/>
      <c r="R738" s="1193"/>
      <c r="S738" s="1193"/>
      <c r="T738" s="1193"/>
      <c r="U738" s="1193"/>
      <c r="V738" s="1193"/>
      <c r="W738" s="1193"/>
      <c r="X738" s="1193"/>
      <c r="Y738" s="1193"/>
      <c r="Z738" s="1193"/>
      <c r="AA738" s="1193"/>
      <c r="AB738" s="1193"/>
      <c r="AC738" s="1193"/>
    </row>
    <row r="739" spans="1:29" x14ac:dyDescent="0.3">
      <c r="A739" s="681"/>
      <c r="B739" s="1193"/>
      <c r="C739" s="1193"/>
      <c r="D739" s="1193"/>
      <c r="E739" s="1193"/>
      <c r="F739" s="1193"/>
      <c r="G739" s="1193"/>
      <c r="H739" s="1193"/>
      <c r="I739" s="1193"/>
      <c r="J739" s="1193"/>
      <c r="K739" s="1193"/>
      <c r="L739" s="1193"/>
      <c r="M739" s="1193"/>
      <c r="N739" s="1193"/>
      <c r="O739" s="1193"/>
      <c r="P739" s="1193"/>
      <c r="Q739" s="1193"/>
      <c r="R739" s="1193"/>
      <c r="S739" s="1193"/>
      <c r="T739" s="1193"/>
      <c r="U739" s="1193"/>
      <c r="V739" s="1193"/>
      <c r="W739" s="1193"/>
      <c r="X739" s="1193"/>
      <c r="Y739" s="1193"/>
      <c r="Z739" s="1193"/>
      <c r="AA739" s="1193"/>
      <c r="AB739" s="1193"/>
      <c r="AC739" s="1193"/>
    </row>
    <row r="740" spans="1:29" x14ac:dyDescent="0.3">
      <c r="A740" s="681"/>
      <c r="B740" s="1193"/>
      <c r="C740" s="1193"/>
      <c r="D740" s="1193"/>
      <c r="E740" s="1193"/>
      <c r="F740" s="1193"/>
      <c r="G740" s="1193"/>
      <c r="H740" s="1193"/>
      <c r="I740" s="1193"/>
      <c r="J740" s="1193"/>
      <c r="K740" s="1193"/>
      <c r="L740" s="1193"/>
      <c r="M740" s="1193"/>
      <c r="N740" s="1193"/>
      <c r="O740" s="1193"/>
      <c r="P740" s="1193"/>
      <c r="Q740" s="1193"/>
      <c r="R740" s="1193"/>
      <c r="S740" s="1193"/>
      <c r="T740" s="1193"/>
      <c r="U740" s="1193"/>
      <c r="V740" s="1193"/>
      <c r="W740" s="1193"/>
      <c r="X740" s="1193"/>
      <c r="Y740" s="1193"/>
      <c r="Z740" s="1193"/>
      <c r="AA740" s="1193"/>
      <c r="AB740" s="1193"/>
      <c r="AC740" s="1193"/>
    </row>
    <row r="741" spans="1:29" x14ac:dyDescent="0.3">
      <c r="A741" s="681"/>
      <c r="B741" s="1193"/>
      <c r="C741" s="1193"/>
      <c r="D741" s="1193"/>
      <c r="E741" s="1193"/>
      <c r="F741" s="1193"/>
      <c r="G741" s="1193"/>
      <c r="H741" s="1193"/>
      <c r="I741" s="1193"/>
      <c r="J741" s="1193"/>
      <c r="K741" s="1193"/>
      <c r="L741" s="1193"/>
      <c r="M741" s="1193"/>
      <c r="N741" s="1193"/>
      <c r="O741" s="1193"/>
      <c r="P741" s="1193"/>
      <c r="Q741" s="1193"/>
      <c r="R741" s="1193"/>
      <c r="S741" s="1193"/>
      <c r="T741" s="1193"/>
      <c r="U741" s="1193"/>
      <c r="V741" s="1193"/>
      <c r="W741" s="1193"/>
      <c r="X741" s="1193"/>
      <c r="Y741" s="1193"/>
      <c r="Z741" s="1193"/>
      <c r="AA741" s="1193"/>
      <c r="AB741" s="1193"/>
      <c r="AC741" s="1193"/>
    </row>
    <row r="742" spans="1:29" x14ac:dyDescent="0.3">
      <c r="A742" s="681"/>
      <c r="B742" s="1193"/>
      <c r="C742" s="1193"/>
      <c r="D742" s="1193"/>
      <c r="E742" s="1193"/>
      <c r="F742" s="1193"/>
      <c r="G742" s="1193"/>
      <c r="H742" s="1193"/>
      <c r="I742" s="1193"/>
      <c r="J742" s="1193"/>
      <c r="K742" s="1193"/>
      <c r="L742" s="1193"/>
      <c r="M742" s="1193"/>
      <c r="N742" s="1193"/>
      <c r="O742" s="1193"/>
      <c r="P742" s="1193"/>
      <c r="Q742" s="1193"/>
      <c r="R742" s="1193"/>
      <c r="S742" s="1193"/>
      <c r="T742" s="1193"/>
      <c r="U742" s="1193"/>
      <c r="V742" s="1193"/>
      <c r="W742" s="1193"/>
      <c r="X742" s="1193"/>
      <c r="Y742" s="1193"/>
      <c r="Z742" s="1193"/>
      <c r="AA742" s="1193"/>
      <c r="AB742" s="1193"/>
      <c r="AC742" s="1193"/>
    </row>
    <row r="743" spans="1:29" x14ac:dyDescent="0.3">
      <c r="A743" s="681"/>
      <c r="B743" s="1193"/>
      <c r="C743" s="1193"/>
      <c r="D743" s="1193"/>
      <c r="E743" s="1193"/>
      <c r="F743" s="1193"/>
      <c r="G743" s="1193"/>
      <c r="H743" s="1193"/>
      <c r="I743" s="1193"/>
      <c r="J743" s="1193"/>
      <c r="K743" s="1193"/>
      <c r="L743" s="1193"/>
      <c r="M743" s="1193"/>
      <c r="N743" s="1193"/>
      <c r="O743" s="1193"/>
      <c r="P743" s="1193"/>
      <c r="Q743" s="1193"/>
      <c r="R743" s="1193"/>
      <c r="S743" s="1193"/>
      <c r="T743" s="1193"/>
      <c r="U743" s="1193"/>
      <c r="V743" s="1193"/>
      <c r="W743" s="1193"/>
      <c r="X743" s="1193"/>
      <c r="Y743" s="1193"/>
      <c r="Z743" s="1193"/>
      <c r="AA743" s="1193"/>
      <c r="AB743" s="1193"/>
      <c r="AC743" s="1193"/>
    </row>
    <row r="744" spans="1:29" x14ac:dyDescent="0.3">
      <c r="A744" s="681"/>
      <c r="B744" s="1193"/>
      <c r="C744" s="1193"/>
      <c r="D744" s="1193"/>
      <c r="E744" s="1193"/>
      <c r="F744" s="1193"/>
      <c r="G744" s="1193"/>
      <c r="H744" s="1193"/>
      <c r="I744" s="1193"/>
      <c r="J744" s="1193"/>
      <c r="K744" s="1193"/>
      <c r="L744" s="1193"/>
      <c r="M744" s="1193"/>
      <c r="N744" s="1193"/>
      <c r="O744" s="1193"/>
      <c r="P744" s="1193"/>
      <c r="Q744" s="1193"/>
      <c r="R744" s="1193"/>
      <c r="S744" s="1193"/>
      <c r="T744" s="1193"/>
      <c r="U744" s="1193"/>
      <c r="V744" s="1193"/>
      <c r="W744" s="1193"/>
      <c r="X744" s="1193"/>
      <c r="Y744" s="1193"/>
      <c r="Z744" s="1193"/>
      <c r="AA744" s="1193"/>
      <c r="AB744" s="1193"/>
      <c r="AC744" s="1193"/>
    </row>
    <row r="745" spans="1:29" x14ac:dyDescent="0.3">
      <c r="A745" s="681"/>
      <c r="B745" s="1193"/>
      <c r="C745" s="1193"/>
      <c r="D745" s="1193"/>
      <c r="E745" s="1193"/>
      <c r="F745" s="1193"/>
      <c r="G745" s="1193"/>
      <c r="H745" s="1193"/>
      <c r="I745" s="1193"/>
      <c r="J745" s="1193"/>
      <c r="K745" s="1193"/>
      <c r="L745" s="1193"/>
      <c r="M745" s="1193"/>
      <c r="N745" s="1193"/>
      <c r="O745" s="1193"/>
      <c r="P745" s="1193"/>
      <c r="Q745" s="1193"/>
      <c r="R745" s="1193"/>
      <c r="S745" s="1193"/>
      <c r="T745" s="1193"/>
      <c r="U745" s="1193"/>
      <c r="V745" s="1193"/>
      <c r="W745" s="1193"/>
      <c r="X745" s="1193"/>
      <c r="Y745" s="1193"/>
      <c r="Z745" s="1193"/>
      <c r="AA745" s="1193"/>
      <c r="AB745" s="1193"/>
      <c r="AC745" s="1193"/>
    </row>
    <row r="746" spans="1:29" x14ac:dyDescent="0.3">
      <c r="A746" s="681"/>
      <c r="B746" s="1193"/>
      <c r="C746" s="1193"/>
      <c r="D746" s="1193"/>
      <c r="E746" s="1193"/>
      <c r="F746" s="1193"/>
      <c r="G746" s="1193"/>
      <c r="H746" s="1193"/>
      <c r="I746" s="1193"/>
      <c r="J746" s="1193"/>
      <c r="K746" s="1193"/>
      <c r="L746" s="1193"/>
      <c r="M746" s="1193"/>
      <c r="N746" s="1193"/>
      <c r="O746" s="1193"/>
      <c r="P746" s="1193"/>
      <c r="Q746" s="1193"/>
      <c r="R746" s="1193"/>
      <c r="S746" s="1193"/>
      <c r="T746" s="1193"/>
      <c r="U746" s="1193"/>
      <c r="V746" s="1193"/>
      <c r="W746" s="1193"/>
      <c r="X746" s="1193"/>
      <c r="Y746" s="1193"/>
      <c r="Z746" s="1193"/>
      <c r="AA746" s="1193"/>
      <c r="AB746" s="1193"/>
      <c r="AC746" s="1193"/>
    </row>
    <row r="747" spans="1:29" x14ac:dyDescent="0.3">
      <c r="A747" s="681"/>
      <c r="B747" s="1193"/>
      <c r="C747" s="1193"/>
      <c r="D747" s="1193"/>
      <c r="E747" s="1193"/>
      <c r="F747" s="1193"/>
      <c r="G747" s="1193"/>
      <c r="H747" s="1193"/>
      <c r="I747" s="1193"/>
      <c r="J747" s="1193"/>
      <c r="K747" s="1193"/>
      <c r="L747" s="1193"/>
      <c r="M747" s="1193"/>
      <c r="N747" s="1193"/>
      <c r="O747" s="1193"/>
      <c r="P747" s="1193"/>
      <c r="Q747" s="1193"/>
      <c r="R747" s="1193"/>
      <c r="S747" s="1193"/>
      <c r="T747" s="1193"/>
      <c r="U747" s="1193"/>
      <c r="V747" s="1193"/>
      <c r="W747" s="1193"/>
      <c r="X747" s="1193"/>
      <c r="Y747" s="1193"/>
      <c r="Z747" s="1193"/>
      <c r="AA747" s="1193"/>
      <c r="AB747" s="1193"/>
      <c r="AC747" s="1193"/>
    </row>
    <row r="748" spans="1:29" x14ac:dyDescent="0.3">
      <c r="A748" s="681"/>
      <c r="B748" s="1193"/>
      <c r="C748" s="1193"/>
      <c r="D748" s="1193"/>
      <c r="E748" s="1193"/>
      <c r="F748" s="1193"/>
      <c r="G748" s="1193"/>
      <c r="H748" s="1193"/>
      <c r="I748" s="1193"/>
      <c r="J748" s="1193"/>
      <c r="K748" s="1193"/>
      <c r="L748" s="1193"/>
      <c r="M748" s="1193"/>
      <c r="N748" s="1193"/>
      <c r="O748" s="1193"/>
      <c r="P748" s="1193"/>
      <c r="Q748" s="1193"/>
      <c r="R748" s="1193"/>
      <c r="S748" s="1193"/>
      <c r="T748" s="1193"/>
      <c r="U748" s="1193"/>
      <c r="V748" s="1193"/>
      <c r="W748" s="1193"/>
      <c r="X748" s="1193"/>
      <c r="Y748" s="1193"/>
      <c r="Z748" s="1193"/>
      <c r="AA748" s="1193"/>
      <c r="AB748" s="1193"/>
      <c r="AC748" s="1193"/>
    </row>
    <row r="749" spans="1:29" x14ac:dyDescent="0.3">
      <c r="A749" s="681"/>
      <c r="B749" s="1193"/>
      <c r="C749" s="1193"/>
      <c r="D749" s="1193"/>
      <c r="E749" s="1193"/>
      <c r="F749" s="1193"/>
      <c r="G749" s="1193"/>
      <c r="H749" s="1193"/>
      <c r="I749" s="1193"/>
      <c r="J749" s="1193"/>
      <c r="K749" s="1193"/>
      <c r="L749" s="1193"/>
      <c r="M749" s="1193"/>
      <c r="N749" s="1193"/>
      <c r="O749" s="1193"/>
      <c r="P749" s="1193"/>
      <c r="Q749" s="1193"/>
      <c r="R749" s="1193"/>
      <c r="S749" s="1193"/>
      <c r="T749" s="1193"/>
      <c r="U749" s="1193"/>
      <c r="V749" s="1193"/>
      <c r="W749" s="1193"/>
      <c r="X749" s="1193"/>
      <c r="Y749" s="1193"/>
      <c r="Z749" s="1193"/>
      <c r="AA749" s="1193"/>
      <c r="AB749" s="1193"/>
      <c r="AC749" s="1193"/>
    </row>
    <row r="750" spans="1:29" x14ac:dyDescent="0.3">
      <c r="A750" s="681"/>
      <c r="B750" s="1193"/>
      <c r="C750" s="1193"/>
      <c r="D750" s="1193"/>
      <c r="E750" s="1193"/>
      <c r="F750" s="1193"/>
      <c r="G750" s="1193"/>
      <c r="H750" s="1193"/>
      <c r="I750" s="1193"/>
      <c r="J750" s="1193"/>
      <c r="K750" s="1193"/>
      <c r="L750" s="1193"/>
      <c r="M750" s="1193"/>
      <c r="N750" s="1193"/>
      <c r="O750" s="1193"/>
      <c r="P750" s="1193"/>
      <c r="Q750" s="1193"/>
      <c r="R750" s="1193"/>
      <c r="S750" s="1193"/>
      <c r="T750" s="1193"/>
      <c r="U750" s="1193"/>
      <c r="V750" s="1193"/>
      <c r="W750" s="1193"/>
      <c r="X750" s="1193"/>
      <c r="Y750" s="1193"/>
      <c r="Z750" s="1193"/>
      <c r="AA750" s="1193"/>
      <c r="AB750" s="1193"/>
      <c r="AC750" s="1193"/>
    </row>
    <row r="751" spans="1:29" x14ac:dyDescent="0.3">
      <c r="A751" s="681"/>
      <c r="B751" s="1193"/>
      <c r="C751" s="1193"/>
      <c r="D751" s="1193"/>
      <c r="E751" s="1193"/>
      <c r="F751" s="1193"/>
      <c r="G751" s="1193"/>
      <c r="H751" s="1193"/>
      <c r="I751" s="1193"/>
      <c r="J751" s="1193"/>
      <c r="K751" s="1193"/>
      <c r="L751" s="1193"/>
      <c r="M751" s="1193"/>
      <c r="N751" s="1193"/>
      <c r="O751" s="1193"/>
      <c r="P751" s="1193"/>
      <c r="Q751" s="1193"/>
      <c r="R751" s="1193"/>
      <c r="S751" s="1193"/>
      <c r="T751" s="1193"/>
      <c r="U751" s="1193"/>
      <c r="V751" s="1193"/>
      <c r="W751" s="1193"/>
      <c r="X751" s="1193"/>
      <c r="Y751" s="1193"/>
      <c r="Z751" s="1193"/>
      <c r="AA751" s="1193"/>
      <c r="AB751" s="1193"/>
      <c r="AC751" s="1193"/>
    </row>
    <row r="752" spans="1:29" x14ac:dyDescent="0.3">
      <c r="A752" s="681"/>
      <c r="B752" s="1193"/>
      <c r="C752" s="1193"/>
      <c r="D752" s="1193"/>
      <c r="E752" s="1193"/>
      <c r="F752" s="1193"/>
      <c r="G752" s="1193"/>
      <c r="H752" s="1193"/>
      <c r="I752" s="1193"/>
      <c r="J752" s="1193"/>
      <c r="K752" s="1193"/>
      <c r="L752" s="1193"/>
      <c r="M752" s="1193"/>
      <c r="N752" s="1193"/>
      <c r="O752" s="1193"/>
      <c r="P752" s="1193"/>
      <c r="Q752" s="1193"/>
      <c r="R752" s="1193"/>
      <c r="S752" s="1193"/>
      <c r="T752" s="1193"/>
      <c r="U752" s="1193"/>
      <c r="V752" s="1193"/>
      <c r="W752" s="1193"/>
      <c r="X752" s="1193"/>
      <c r="Y752" s="1193"/>
      <c r="Z752" s="1193"/>
      <c r="AA752" s="1193"/>
      <c r="AB752" s="1193"/>
      <c r="AC752" s="1193"/>
    </row>
    <row r="753" spans="1:29" x14ac:dyDescent="0.3">
      <c r="A753" s="681"/>
      <c r="B753" s="1193"/>
      <c r="C753" s="1193"/>
      <c r="D753" s="1193"/>
      <c r="E753" s="1193"/>
      <c r="F753" s="1193"/>
      <c r="G753" s="1193"/>
      <c r="H753" s="1193"/>
      <c r="I753" s="1193"/>
      <c r="J753" s="1193"/>
      <c r="K753" s="1193"/>
      <c r="L753" s="1193"/>
      <c r="M753" s="1193"/>
      <c r="N753" s="1193"/>
      <c r="O753" s="1193"/>
      <c r="P753" s="1193"/>
      <c r="Q753" s="1193"/>
      <c r="R753" s="1193"/>
      <c r="S753" s="1193"/>
      <c r="T753" s="1193"/>
      <c r="U753" s="1193"/>
      <c r="V753" s="1193"/>
      <c r="W753" s="1193"/>
      <c r="X753" s="1193"/>
      <c r="Y753" s="1193"/>
      <c r="Z753" s="1193"/>
      <c r="AA753" s="1193"/>
      <c r="AB753" s="1193"/>
      <c r="AC753" s="1193"/>
    </row>
    <row r="754" spans="1:29" x14ac:dyDescent="0.3">
      <c r="A754" s="681"/>
      <c r="B754" s="1193"/>
      <c r="C754" s="1193"/>
      <c r="D754" s="1193"/>
      <c r="E754" s="1193"/>
      <c r="F754" s="1193"/>
      <c r="G754" s="1193"/>
      <c r="H754" s="1193"/>
      <c r="I754" s="1193"/>
      <c r="J754" s="1193"/>
      <c r="K754" s="1193"/>
      <c r="L754" s="1193"/>
      <c r="M754" s="1193"/>
      <c r="N754" s="1193"/>
      <c r="O754" s="1193"/>
      <c r="P754" s="1193"/>
      <c r="Q754" s="1193"/>
      <c r="R754" s="1193"/>
      <c r="S754" s="1193"/>
      <c r="T754" s="1193"/>
      <c r="U754" s="1193"/>
      <c r="V754" s="1193"/>
      <c r="W754" s="1193"/>
      <c r="X754" s="1193"/>
      <c r="Y754" s="1193"/>
      <c r="Z754" s="1193"/>
      <c r="AA754" s="1193"/>
      <c r="AB754" s="1193"/>
      <c r="AC754" s="1193"/>
    </row>
    <row r="755" spans="1:29" x14ac:dyDescent="0.3">
      <c r="A755" s="681"/>
      <c r="B755" s="1193"/>
      <c r="C755" s="1193"/>
      <c r="D755" s="1193"/>
      <c r="E755" s="1193"/>
      <c r="F755" s="1193"/>
      <c r="G755" s="1193"/>
      <c r="H755" s="1193"/>
      <c r="I755" s="1193"/>
      <c r="J755" s="1193"/>
      <c r="K755" s="1193"/>
      <c r="L755" s="1193"/>
      <c r="M755" s="1193"/>
      <c r="N755" s="1193"/>
      <c r="O755" s="1193"/>
      <c r="P755" s="1193"/>
      <c r="Q755" s="1193"/>
      <c r="R755" s="1193"/>
      <c r="S755" s="1193"/>
      <c r="T755" s="1193"/>
      <c r="U755" s="1193"/>
      <c r="V755" s="1193"/>
      <c r="W755" s="1193"/>
      <c r="X755" s="1193"/>
      <c r="Y755" s="1193"/>
      <c r="Z755" s="1193"/>
      <c r="AA755" s="1193"/>
      <c r="AB755" s="1193"/>
      <c r="AC755" s="1193"/>
    </row>
    <row r="756" spans="1:29" x14ac:dyDescent="0.3">
      <c r="A756" s="681"/>
      <c r="B756" s="1193"/>
      <c r="C756" s="1193"/>
      <c r="D756" s="1193"/>
      <c r="E756" s="1193"/>
      <c r="F756" s="1193"/>
      <c r="G756" s="1193"/>
      <c r="H756" s="1193"/>
      <c r="I756" s="1193"/>
      <c r="J756" s="1193"/>
      <c r="K756" s="1193"/>
      <c r="L756" s="1193"/>
      <c r="M756" s="1193"/>
      <c r="N756" s="1193"/>
      <c r="O756" s="1193"/>
      <c r="P756" s="1193"/>
      <c r="Q756" s="1193"/>
      <c r="R756" s="1193"/>
      <c r="S756" s="1193"/>
      <c r="T756" s="1193"/>
      <c r="U756" s="1193"/>
      <c r="V756" s="1193"/>
      <c r="W756" s="1193"/>
      <c r="X756" s="1193"/>
      <c r="Y756" s="1193"/>
      <c r="Z756" s="1193"/>
      <c r="AA756" s="1193"/>
      <c r="AB756" s="1193"/>
      <c r="AC756" s="1193"/>
    </row>
    <row r="757" spans="1:29" x14ac:dyDescent="0.3">
      <c r="A757" s="681"/>
      <c r="B757" s="1193"/>
      <c r="C757" s="1193"/>
      <c r="D757" s="1193"/>
      <c r="E757" s="1193"/>
      <c r="F757" s="1193"/>
      <c r="G757" s="1193"/>
      <c r="H757" s="1193"/>
      <c r="I757" s="1193"/>
      <c r="J757" s="1193"/>
      <c r="K757" s="1193"/>
      <c r="L757" s="1193"/>
      <c r="M757" s="1193"/>
      <c r="N757" s="1193"/>
      <c r="O757" s="1193"/>
      <c r="P757" s="1193"/>
      <c r="Q757" s="1193"/>
      <c r="R757" s="1193"/>
      <c r="S757" s="1193"/>
      <c r="T757" s="1193"/>
      <c r="U757" s="1193"/>
      <c r="V757" s="1193"/>
      <c r="W757" s="1193"/>
      <c r="X757" s="1193"/>
      <c r="Y757" s="1193"/>
      <c r="Z757" s="1193"/>
      <c r="AA757" s="1193"/>
      <c r="AB757" s="1193"/>
      <c r="AC757" s="1193"/>
    </row>
    <row r="758" spans="1:29" x14ac:dyDescent="0.3">
      <c r="A758" s="681"/>
      <c r="B758" s="1193"/>
      <c r="C758" s="1193"/>
      <c r="D758" s="1193"/>
      <c r="E758" s="1193"/>
      <c r="F758" s="1193"/>
      <c r="G758" s="1193"/>
      <c r="H758" s="1193"/>
      <c r="I758" s="1193"/>
      <c r="J758" s="1193"/>
      <c r="K758" s="1193"/>
      <c r="L758" s="1193"/>
      <c r="M758" s="1193"/>
      <c r="N758" s="1193"/>
      <c r="O758" s="1193"/>
      <c r="P758" s="1193"/>
      <c r="Q758" s="1193"/>
      <c r="R758" s="1193"/>
      <c r="S758" s="1193"/>
      <c r="T758" s="1193"/>
      <c r="U758" s="1193"/>
      <c r="V758" s="1193"/>
      <c r="W758" s="1193"/>
      <c r="X758" s="1193"/>
      <c r="Y758" s="1193"/>
      <c r="Z758" s="1193"/>
      <c r="AA758" s="1193"/>
      <c r="AB758" s="1193"/>
      <c r="AC758" s="1193"/>
    </row>
    <row r="759" spans="1:29" x14ac:dyDescent="0.3">
      <c r="A759" s="681"/>
      <c r="B759" s="1193"/>
      <c r="C759" s="1193"/>
      <c r="D759" s="1193"/>
      <c r="E759" s="1193"/>
      <c r="F759" s="1193"/>
      <c r="G759" s="1193"/>
      <c r="H759" s="1193"/>
      <c r="I759" s="1193"/>
      <c r="J759" s="1193"/>
      <c r="K759" s="1193"/>
      <c r="L759" s="1193"/>
      <c r="M759" s="1193"/>
      <c r="N759" s="1193"/>
      <c r="O759" s="1193"/>
      <c r="P759" s="1193"/>
      <c r="Q759" s="1193"/>
      <c r="R759" s="1193"/>
      <c r="S759" s="1193"/>
      <c r="T759" s="1193"/>
      <c r="U759" s="1193"/>
      <c r="V759" s="1193"/>
      <c r="W759" s="1193"/>
      <c r="X759" s="1193"/>
      <c r="Y759" s="1193"/>
      <c r="Z759" s="1193"/>
      <c r="AA759" s="1193"/>
      <c r="AB759" s="1193"/>
      <c r="AC759" s="1193"/>
    </row>
    <row r="760" spans="1:29" x14ac:dyDescent="0.3">
      <c r="A760" s="681"/>
      <c r="B760" s="1193"/>
      <c r="C760" s="1193"/>
      <c r="D760" s="1193"/>
      <c r="E760" s="1193"/>
      <c r="F760" s="1193"/>
      <c r="G760" s="1193"/>
      <c r="H760" s="1193"/>
      <c r="I760" s="1193"/>
      <c r="J760" s="1193"/>
      <c r="K760" s="1193"/>
      <c r="L760" s="1193"/>
      <c r="M760" s="1193"/>
      <c r="N760" s="1193"/>
      <c r="O760" s="1193"/>
      <c r="P760" s="1193"/>
      <c r="Q760" s="1193"/>
      <c r="R760" s="1193"/>
      <c r="S760" s="1193"/>
      <c r="T760" s="1193"/>
      <c r="U760" s="1193"/>
      <c r="V760" s="1193"/>
      <c r="W760" s="1193"/>
      <c r="X760" s="1193"/>
      <c r="Y760" s="1193"/>
      <c r="Z760" s="1193"/>
      <c r="AA760" s="1193"/>
      <c r="AB760" s="1193"/>
      <c r="AC760" s="1193"/>
    </row>
    <row r="761" spans="1:29" x14ac:dyDescent="0.3">
      <c r="A761" s="681"/>
      <c r="B761" s="1193"/>
      <c r="C761" s="1193"/>
      <c r="D761" s="1193"/>
      <c r="E761" s="1193"/>
      <c r="F761" s="1193"/>
      <c r="G761" s="1193"/>
      <c r="H761" s="1193"/>
      <c r="I761" s="1193"/>
      <c r="J761" s="1193"/>
      <c r="K761" s="1193"/>
      <c r="L761" s="1193"/>
      <c r="M761" s="1193"/>
      <c r="N761" s="1193"/>
      <c r="O761" s="1193"/>
      <c r="P761" s="1193"/>
      <c r="Q761" s="1193"/>
      <c r="R761" s="1193"/>
      <c r="S761" s="1193"/>
      <c r="T761" s="1193"/>
      <c r="U761" s="1193"/>
      <c r="V761" s="1193"/>
      <c r="W761" s="1193"/>
      <c r="X761" s="1193"/>
      <c r="Y761" s="1193"/>
      <c r="Z761" s="1193"/>
      <c r="AA761" s="1193"/>
      <c r="AB761" s="1193"/>
      <c r="AC761" s="1193"/>
    </row>
    <row r="762" spans="1:29" x14ac:dyDescent="0.3">
      <c r="A762" s="681"/>
      <c r="B762" s="1193"/>
      <c r="C762" s="1193"/>
      <c r="D762" s="1193"/>
      <c r="E762" s="1193"/>
      <c r="F762" s="1193"/>
      <c r="G762" s="1193"/>
      <c r="H762" s="1193"/>
      <c r="I762" s="1193"/>
      <c r="J762" s="1193"/>
      <c r="K762" s="1193"/>
      <c r="L762" s="1193"/>
      <c r="M762" s="1193"/>
      <c r="N762" s="1193"/>
      <c r="O762" s="1193"/>
      <c r="P762" s="1193"/>
      <c r="Q762" s="1193"/>
      <c r="R762" s="1193"/>
      <c r="S762" s="1193"/>
      <c r="T762" s="1193"/>
      <c r="U762" s="1193"/>
      <c r="V762" s="1193"/>
      <c r="W762" s="1193"/>
      <c r="X762" s="1193"/>
      <c r="Y762" s="1193"/>
      <c r="Z762" s="1193"/>
      <c r="AA762" s="1193"/>
      <c r="AB762" s="1193"/>
      <c r="AC762" s="1193"/>
    </row>
    <row r="763" spans="1:29" x14ac:dyDescent="0.3">
      <c r="A763" s="681"/>
      <c r="B763" s="1193"/>
      <c r="C763" s="1193"/>
      <c r="D763" s="1193"/>
      <c r="E763" s="1193"/>
      <c r="F763" s="1193"/>
      <c r="G763" s="1193"/>
      <c r="H763" s="1193"/>
      <c r="I763" s="1193"/>
      <c r="J763" s="1193"/>
      <c r="K763" s="1193"/>
      <c r="L763" s="1193"/>
      <c r="M763" s="1193"/>
      <c r="N763" s="1193"/>
      <c r="O763" s="1193"/>
      <c r="P763" s="1193"/>
      <c r="Q763" s="1193"/>
      <c r="R763" s="1193"/>
      <c r="S763" s="1193"/>
      <c r="T763" s="1193"/>
      <c r="U763" s="1193"/>
      <c r="V763" s="1193"/>
      <c r="W763" s="1193"/>
      <c r="X763" s="1193"/>
      <c r="Y763" s="1193"/>
      <c r="Z763" s="1193"/>
      <c r="AA763" s="1193"/>
      <c r="AB763" s="1193"/>
      <c r="AC763" s="1193"/>
    </row>
    <row r="764" spans="1:29" x14ac:dyDescent="0.3">
      <c r="A764" s="681"/>
      <c r="B764" s="1193"/>
      <c r="C764" s="1193"/>
      <c r="D764" s="1193"/>
      <c r="E764" s="1193"/>
      <c r="F764" s="1193"/>
      <c r="G764" s="1193"/>
      <c r="H764" s="1193"/>
      <c r="I764" s="1193"/>
      <c r="J764" s="1193"/>
      <c r="K764" s="1193"/>
      <c r="L764" s="1193"/>
      <c r="M764" s="1193"/>
      <c r="N764" s="1193"/>
      <c r="O764" s="1193"/>
      <c r="P764" s="1193"/>
      <c r="Q764" s="1193"/>
      <c r="R764" s="1193"/>
      <c r="S764" s="1193"/>
      <c r="T764" s="1193"/>
      <c r="U764" s="1193"/>
      <c r="V764" s="1193"/>
      <c r="W764" s="1193"/>
      <c r="X764" s="1193"/>
      <c r="Y764" s="1193"/>
      <c r="Z764" s="1193"/>
      <c r="AA764" s="1193"/>
      <c r="AB764" s="1193"/>
      <c r="AC764" s="1193"/>
    </row>
    <row r="765" spans="1:29" x14ac:dyDescent="0.3">
      <c r="A765" s="681"/>
      <c r="B765" s="1193"/>
      <c r="C765" s="1193"/>
      <c r="D765" s="1193"/>
      <c r="E765" s="1193"/>
      <c r="F765" s="1193"/>
      <c r="G765" s="1193"/>
      <c r="H765" s="1193"/>
      <c r="I765" s="1193"/>
      <c r="J765" s="1193"/>
      <c r="K765" s="1193"/>
      <c r="L765" s="1193"/>
      <c r="M765" s="1193"/>
      <c r="N765" s="1193"/>
      <c r="O765" s="1193"/>
      <c r="P765" s="1193"/>
      <c r="Q765" s="1193"/>
      <c r="R765" s="1193"/>
      <c r="S765" s="1193"/>
      <c r="T765" s="1193"/>
      <c r="U765" s="1193"/>
      <c r="V765" s="1193"/>
      <c r="W765" s="1193"/>
      <c r="X765" s="1193"/>
      <c r="Y765" s="1193"/>
      <c r="Z765" s="1193"/>
      <c r="AA765" s="1193"/>
      <c r="AB765" s="1193"/>
      <c r="AC765" s="1193"/>
    </row>
    <row r="766" spans="1:29" x14ac:dyDescent="0.3">
      <c r="A766" s="681"/>
      <c r="B766" s="1193"/>
      <c r="C766" s="1193"/>
      <c r="D766" s="1193"/>
      <c r="E766" s="1193"/>
      <c r="F766" s="1193"/>
      <c r="G766" s="1193"/>
      <c r="H766" s="1193"/>
      <c r="I766" s="1193"/>
      <c r="J766" s="1193"/>
      <c r="K766" s="1193"/>
      <c r="L766" s="1193"/>
      <c r="M766" s="1193"/>
      <c r="N766" s="1193"/>
      <c r="O766" s="1193"/>
      <c r="P766" s="1193"/>
      <c r="Q766" s="1193"/>
      <c r="R766" s="1193"/>
      <c r="S766" s="1193"/>
      <c r="T766" s="1193"/>
      <c r="U766" s="1193"/>
      <c r="V766" s="1193"/>
      <c r="W766" s="1193"/>
      <c r="X766" s="1193"/>
      <c r="Y766" s="1193"/>
      <c r="Z766" s="1193"/>
      <c r="AA766" s="1193"/>
      <c r="AB766" s="1193"/>
      <c r="AC766" s="1193"/>
    </row>
    <row r="767" spans="1:29" x14ac:dyDescent="0.3">
      <c r="A767" s="681"/>
      <c r="B767" s="1193"/>
      <c r="C767" s="1193"/>
      <c r="D767" s="1193"/>
      <c r="E767" s="1193"/>
      <c r="F767" s="1193"/>
      <c r="G767" s="1193"/>
      <c r="H767" s="1193"/>
      <c r="I767" s="1193"/>
      <c r="J767" s="1193"/>
      <c r="K767" s="1193"/>
      <c r="L767" s="1193"/>
      <c r="M767" s="1193"/>
      <c r="N767" s="1193"/>
      <c r="O767" s="1193"/>
      <c r="P767" s="1193"/>
      <c r="Q767" s="1193"/>
      <c r="R767" s="1193"/>
      <c r="S767" s="1193"/>
      <c r="T767" s="1193"/>
      <c r="U767" s="1193"/>
      <c r="V767" s="1193"/>
      <c r="W767" s="1193"/>
      <c r="X767" s="1193"/>
      <c r="Y767" s="1193"/>
      <c r="Z767" s="1193"/>
      <c r="AA767" s="1193"/>
      <c r="AB767" s="1193"/>
      <c r="AC767" s="1193"/>
    </row>
    <row r="768" spans="1:29" x14ac:dyDescent="0.3">
      <c r="A768" s="681"/>
      <c r="B768" s="1193"/>
      <c r="C768" s="1193"/>
      <c r="D768" s="1193"/>
      <c r="E768" s="1193"/>
      <c r="F768" s="1193"/>
      <c r="G768" s="1193"/>
      <c r="H768" s="1193"/>
      <c r="I768" s="1193"/>
      <c r="J768" s="1193"/>
      <c r="K768" s="1193"/>
      <c r="L768" s="1193"/>
      <c r="M768" s="1193"/>
      <c r="N768" s="1193"/>
      <c r="O768" s="1193"/>
      <c r="P768" s="1193"/>
      <c r="Q768" s="1193"/>
      <c r="R768" s="1193"/>
      <c r="S768" s="1193"/>
      <c r="T768" s="1193"/>
      <c r="U768" s="1193"/>
      <c r="V768" s="1193"/>
      <c r="W768" s="1193"/>
      <c r="X768" s="1193"/>
      <c r="Y768" s="1193"/>
      <c r="Z768" s="1193"/>
      <c r="AA768" s="1193"/>
      <c r="AB768" s="1193"/>
      <c r="AC768" s="1193"/>
    </row>
    <row r="769" spans="1:29" x14ac:dyDescent="0.3">
      <c r="A769" s="681"/>
      <c r="B769" s="1193"/>
      <c r="C769" s="1193"/>
      <c r="D769" s="1193"/>
      <c r="E769" s="1193"/>
      <c r="F769" s="1193"/>
      <c r="G769" s="1193"/>
      <c r="H769" s="1193"/>
      <c r="I769" s="1193"/>
      <c r="J769" s="1193"/>
      <c r="K769" s="1193"/>
      <c r="L769" s="1193"/>
      <c r="M769" s="1193"/>
      <c r="N769" s="1193"/>
      <c r="O769" s="1193"/>
      <c r="P769" s="1193"/>
      <c r="Q769" s="1193"/>
      <c r="R769" s="1193"/>
      <c r="S769" s="1193"/>
      <c r="T769" s="1193"/>
      <c r="U769" s="1193"/>
      <c r="V769" s="1193"/>
      <c r="W769" s="1193"/>
      <c r="X769" s="1193"/>
      <c r="Y769" s="1193"/>
      <c r="Z769" s="1193"/>
      <c r="AA769" s="1193"/>
      <c r="AB769" s="1193"/>
      <c r="AC769" s="1193"/>
    </row>
    <row r="770" spans="1:29" x14ac:dyDescent="0.3">
      <c r="A770" s="681"/>
      <c r="B770" s="1193"/>
      <c r="C770" s="1193"/>
      <c r="D770" s="1193"/>
      <c r="E770" s="1193"/>
      <c r="F770" s="1193"/>
      <c r="G770" s="1193"/>
      <c r="H770" s="1193"/>
      <c r="I770" s="1193"/>
      <c r="J770" s="1193"/>
      <c r="K770" s="1193"/>
      <c r="L770" s="1193"/>
      <c r="M770" s="1193"/>
      <c r="N770" s="1193"/>
      <c r="O770" s="1193"/>
      <c r="P770" s="1193"/>
      <c r="Q770" s="1193"/>
      <c r="R770" s="1193"/>
      <c r="S770" s="1193"/>
      <c r="T770" s="1193"/>
      <c r="U770" s="1193"/>
      <c r="V770" s="1193"/>
      <c r="W770" s="1193"/>
      <c r="X770" s="1193"/>
      <c r="Y770" s="1193"/>
      <c r="Z770" s="1193"/>
      <c r="AA770" s="1193"/>
      <c r="AB770" s="1193"/>
      <c r="AC770" s="1193"/>
    </row>
    <row r="771" spans="1:29" x14ac:dyDescent="0.3">
      <c r="A771" s="681"/>
      <c r="B771" s="1193"/>
      <c r="C771" s="1193"/>
      <c r="D771" s="1193"/>
      <c r="E771" s="1193"/>
      <c r="F771" s="1193"/>
      <c r="G771" s="1193"/>
      <c r="H771" s="1193"/>
      <c r="I771" s="1193"/>
      <c r="J771" s="1193"/>
      <c r="K771" s="1193"/>
      <c r="L771" s="1193"/>
      <c r="M771" s="1193"/>
      <c r="N771" s="1193"/>
      <c r="O771" s="1193"/>
      <c r="P771" s="1193"/>
      <c r="Q771" s="1193"/>
      <c r="R771" s="1193"/>
      <c r="S771" s="1193"/>
      <c r="T771" s="1193"/>
      <c r="U771" s="1193"/>
      <c r="V771" s="1193"/>
      <c r="W771" s="1193"/>
      <c r="X771" s="1193"/>
      <c r="Y771" s="1193"/>
      <c r="Z771" s="1193"/>
      <c r="AA771" s="1193"/>
      <c r="AB771" s="1193"/>
      <c r="AC771" s="1193"/>
    </row>
    <row r="772" spans="1:29" x14ac:dyDescent="0.3">
      <c r="A772" s="681"/>
      <c r="B772" s="1193"/>
      <c r="C772" s="1193"/>
      <c r="D772" s="1193"/>
      <c r="E772" s="1193"/>
      <c r="F772" s="1193"/>
      <c r="G772" s="1193"/>
      <c r="H772" s="1193"/>
      <c r="I772" s="1193"/>
      <c r="J772" s="1193"/>
      <c r="K772" s="1193"/>
      <c r="L772" s="1193"/>
      <c r="M772" s="1193"/>
      <c r="N772" s="1193"/>
      <c r="O772" s="1193"/>
      <c r="P772" s="1193"/>
      <c r="Q772" s="1193"/>
      <c r="R772" s="1193"/>
      <c r="S772" s="1193"/>
      <c r="T772" s="1193"/>
      <c r="U772" s="1193"/>
      <c r="V772" s="1193"/>
      <c r="W772" s="1193"/>
      <c r="X772" s="1193"/>
      <c r="Y772" s="1193"/>
      <c r="Z772" s="1193"/>
      <c r="AA772" s="1193"/>
      <c r="AB772" s="1193"/>
      <c r="AC772" s="1193"/>
    </row>
    <row r="773" spans="1:29" x14ac:dyDescent="0.3">
      <c r="A773" s="681"/>
      <c r="B773" s="1193"/>
      <c r="C773" s="1193"/>
      <c r="D773" s="1193"/>
      <c r="E773" s="1193"/>
      <c r="F773" s="1193"/>
      <c r="G773" s="1193"/>
      <c r="H773" s="1193"/>
      <c r="I773" s="1193"/>
      <c r="J773" s="1193"/>
      <c r="K773" s="1193"/>
      <c r="L773" s="1193"/>
      <c r="M773" s="1193"/>
      <c r="N773" s="1193"/>
      <c r="O773" s="1193"/>
      <c r="P773" s="1193"/>
      <c r="Q773" s="1193"/>
      <c r="R773" s="1193"/>
      <c r="S773" s="1193"/>
      <c r="T773" s="1193"/>
      <c r="U773" s="1193"/>
      <c r="V773" s="1193"/>
      <c r="W773" s="1193"/>
      <c r="X773" s="1193"/>
      <c r="Y773" s="1193"/>
      <c r="Z773" s="1193"/>
      <c r="AA773" s="1193"/>
      <c r="AB773" s="1193"/>
      <c r="AC773" s="1193"/>
    </row>
    <row r="774" spans="1:29" x14ac:dyDescent="0.3">
      <c r="A774" s="681"/>
      <c r="B774" s="1193"/>
      <c r="C774" s="1193"/>
      <c r="D774" s="1193"/>
      <c r="E774" s="1193"/>
      <c r="F774" s="1193"/>
      <c r="G774" s="1193"/>
      <c r="H774" s="1193"/>
      <c r="I774" s="1193"/>
      <c r="J774" s="1193"/>
      <c r="K774" s="1193"/>
      <c r="L774" s="1193"/>
      <c r="M774" s="1193"/>
      <c r="N774" s="1193"/>
      <c r="O774" s="1193"/>
      <c r="P774" s="1193"/>
      <c r="Q774" s="1193"/>
      <c r="R774" s="1193"/>
      <c r="S774" s="1193"/>
      <c r="T774" s="1193"/>
      <c r="U774" s="1193"/>
      <c r="V774" s="1193"/>
      <c r="W774" s="1193"/>
      <c r="X774" s="1193"/>
      <c r="Y774" s="1193"/>
      <c r="Z774" s="1193"/>
      <c r="AA774" s="1193"/>
      <c r="AB774" s="1193"/>
      <c r="AC774" s="1193"/>
    </row>
    <row r="775" spans="1:29" x14ac:dyDescent="0.3">
      <c r="A775" s="681"/>
      <c r="B775" s="1193"/>
      <c r="C775" s="1193"/>
      <c r="D775" s="1193"/>
      <c r="E775" s="1193"/>
      <c r="F775" s="1193"/>
      <c r="G775" s="1193"/>
      <c r="H775" s="1193"/>
      <c r="I775" s="1193"/>
      <c r="J775" s="1193"/>
      <c r="K775" s="1193"/>
      <c r="L775" s="1193"/>
      <c r="M775" s="1193"/>
      <c r="N775" s="1193"/>
      <c r="O775" s="1193"/>
      <c r="P775" s="1193"/>
      <c r="Q775" s="1193"/>
      <c r="R775" s="1193"/>
      <c r="S775" s="1193"/>
      <c r="T775" s="1193"/>
      <c r="U775" s="1193"/>
      <c r="V775" s="1193"/>
      <c r="W775" s="1193"/>
      <c r="X775" s="1193"/>
      <c r="Y775" s="1193"/>
      <c r="Z775" s="1193"/>
      <c r="AA775" s="1193"/>
      <c r="AB775" s="1193"/>
      <c r="AC775" s="1193"/>
    </row>
    <row r="776" spans="1:29" x14ac:dyDescent="0.3">
      <c r="A776" s="681"/>
      <c r="B776" s="1193"/>
      <c r="C776" s="1193"/>
      <c r="D776" s="1193"/>
      <c r="E776" s="1193"/>
      <c r="F776" s="1193"/>
      <c r="G776" s="1193"/>
      <c r="H776" s="1193"/>
      <c r="I776" s="1193"/>
      <c r="J776" s="1193"/>
      <c r="K776" s="1193"/>
      <c r="L776" s="1193"/>
      <c r="M776" s="1193"/>
      <c r="N776" s="1193"/>
      <c r="O776" s="1193"/>
      <c r="P776" s="1193"/>
      <c r="Q776" s="1193"/>
      <c r="R776" s="1193"/>
      <c r="S776" s="1193"/>
      <c r="T776" s="1193"/>
      <c r="U776" s="1193"/>
      <c r="V776" s="1193"/>
      <c r="W776" s="1193"/>
      <c r="X776" s="1193"/>
      <c r="Y776" s="1193"/>
      <c r="Z776" s="1193"/>
      <c r="AA776" s="1193"/>
      <c r="AB776" s="1193"/>
      <c r="AC776" s="1193"/>
    </row>
    <row r="777" spans="1:29" x14ac:dyDescent="0.3">
      <c r="A777" s="681"/>
      <c r="B777" s="1193"/>
      <c r="C777" s="1193"/>
      <c r="D777" s="1193"/>
      <c r="E777" s="1193"/>
      <c r="F777" s="1193"/>
      <c r="G777" s="1193"/>
      <c r="H777" s="1193"/>
      <c r="I777" s="1193"/>
      <c r="J777" s="1193"/>
      <c r="K777" s="1193"/>
      <c r="L777" s="1193"/>
      <c r="M777" s="1193"/>
      <c r="N777" s="1193"/>
      <c r="O777" s="1193"/>
      <c r="P777" s="1193"/>
      <c r="Q777" s="1193"/>
      <c r="R777" s="1193"/>
      <c r="S777" s="1193"/>
      <c r="T777" s="1193"/>
      <c r="U777" s="1193"/>
      <c r="V777" s="1193"/>
      <c r="W777" s="1193"/>
      <c r="X777" s="1193"/>
      <c r="Y777" s="1193"/>
      <c r="Z777" s="1193"/>
      <c r="AA777" s="1193"/>
      <c r="AB777" s="1193"/>
      <c r="AC777" s="1193"/>
    </row>
    <row r="778" spans="1:29" x14ac:dyDescent="0.3">
      <c r="A778" s="681"/>
      <c r="B778" s="1193"/>
      <c r="C778" s="1193"/>
      <c r="D778" s="1193"/>
      <c r="E778" s="1193"/>
      <c r="F778" s="1193"/>
      <c r="G778" s="1193"/>
      <c r="H778" s="1193"/>
      <c r="I778" s="1193"/>
      <c r="J778" s="1193"/>
      <c r="K778" s="1193"/>
      <c r="L778" s="1193"/>
      <c r="M778" s="1193"/>
      <c r="N778" s="1193"/>
      <c r="O778" s="1193"/>
      <c r="P778" s="1193"/>
      <c r="Q778" s="1193"/>
      <c r="R778" s="1193"/>
      <c r="S778" s="1193"/>
      <c r="T778" s="1193"/>
      <c r="U778" s="1193"/>
      <c r="V778" s="1193"/>
      <c r="W778" s="1193"/>
      <c r="X778" s="1193"/>
      <c r="Y778" s="1193"/>
      <c r="Z778" s="1193"/>
      <c r="AA778" s="1193"/>
      <c r="AB778" s="1193"/>
      <c r="AC778" s="1193"/>
    </row>
    <row r="779" spans="1:29" x14ac:dyDescent="0.3">
      <c r="A779" s="681"/>
      <c r="B779" s="1193"/>
      <c r="C779" s="1193"/>
      <c r="D779" s="1193"/>
      <c r="E779" s="1193"/>
      <c r="F779" s="1193"/>
      <c r="G779" s="1193"/>
      <c r="H779" s="1193"/>
      <c r="I779" s="1193"/>
      <c r="J779" s="1193"/>
      <c r="K779" s="1193"/>
      <c r="L779" s="1193"/>
      <c r="M779" s="1193"/>
      <c r="N779" s="1193"/>
      <c r="O779" s="1193"/>
      <c r="P779" s="1193"/>
      <c r="Q779" s="1193"/>
      <c r="R779" s="1193"/>
      <c r="S779" s="1193"/>
      <c r="T779" s="1193"/>
      <c r="U779" s="1193"/>
      <c r="V779" s="1193"/>
      <c r="W779" s="1193"/>
      <c r="X779" s="1193"/>
      <c r="Y779" s="1193"/>
      <c r="Z779" s="1193"/>
      <c r="AA779" s="1193"/>
      <c r="AB779" s="1193"/>
      <c r="AC779" s="1193"/>
    </row>
    <row r="780" spans="1:29" x14ac:dyDescent="0.3">
      <c r="A780" s="681"/>
      <c r="B780" s="1193"/>
      <c r="C780" s="1193"/>
      <c r="D780" s="1193"/>
      <c r="E780" s="1193"/>
      <c r="F780" s="1193"/>
      <c r="G780" s="1193"/>
      <c r="H780" s="1193"/>
      <c r="I780" s="1193"/>
      <c r="J780" s="1193"/>
      <c r="K780" s="1193"/>
      <c r="L780" s="1193"/>
      <c r="M780" s="1193"/>
      <c r="N780" s="1193"/>
      <c r="O780" s="1193"/>
      <c r="P780" s="1193"/>
      <c r="Q780" s="1193"/>
      <c r="R780" s="1193"/>
      <c r="S780" s="1193"/>
      <c r="T780" s="1193"/>
      <c r="U780" s="1193"/>
      <c r="V780" s="1193"/>
      <c r="W780" s="1193"/>
      <c r="X780" s="1193"/>
      <c r="Y780" s="1193"/>
      <c r="Z780" s="1193"/>
      <c r="AA780" s="1193"/>
      <c r="AB780" s="1193"/>
      <c r="AC780" s="1193"/>
    </row>
    <row r="781" spans="1:29" x14ac:dyDescent="0.3">
      <c r="A781" s="681"/>
      <c r="B781" s="1193"/>
      <c r="C781" s="1193"/>
      <c r="D781" s="1193"/>
      <c r="E781" s="1193"/>
      <c r="F781" s="1193"/>
      <c r="G781" s="1193"/>
      <c r="H781" s="1193"/>
      <c r="I781" s="1193"/>
      <c r="J781" s="1193"/>
      <c r="K781" s="1193"/>
      <c r="L781" s="1193"/>
      <c r="M781" s="1193"/>
      <c r="N781" s="1193"/>
      <c r="O781" s="1193"/>
      <c r="P781" s="1193"/>
      <c r="Q781" s="1193"/>
      <c r="R781" s="1193"/>
      <c r="S781" s="1193"/>
      <c r="T781" s="1193"/>
      <c r="U781" s="1193"/>
      <c r="V781" s="1193"/>
      <c r="W781" s="1193"/>
      <c r="X781" s="1193"/>
      <c r="Y781" s="1193"/>
      <c r="Z781" s="1193"/>
      <c r="AA781" s="1193"/>
      <c r="AB781" s="1193"/>
      <c r="AC781" s="1193"/>
    </row>
    <row r="782" spans="1:29" x14ac:dyDescent="0.3">
      <c r="A782" s="681"/>
      <c r="B782" s="1193"/>
      <c r="C782" s="1193"/>
      <c r="D782" s="1193"/>
      <c r="E782" s="1193"/>
      <c r="F782" s="1193"/>
      <c r="G782" s="1193"/>
      <c r="H782" s="1193"/>
      <c r="I782" s="1193"/>
      <c r="J782" s="1193"/>
      <c r="K782" s="1193"/>
      <c r="L782" s="1193"/>
      <c r="M782" s="1193"/>
      <c r="N782" s="1193"/>
      <c r="O782" s="1193"/>
      <c r="P782" s="1193"/>
      <c r="Q782" s="1193"/>
      <c r="R782" s="1193"/>
      <c r="S782" s="1193"/>
      <c r="T782" s="1193"/>
      <c r="U782" s="1193"/>
      <c r="V782" s="1193"/>
      <c r="W782" s="1193"/>
      <c r="X782" s="1193"/>
      <c r="Y782" s="1193"/>
      <c r="Z782" s="1193"/>
      <c r="AA782" s="1193"/>
      <c r="AB782" s="1193"/>
      <c r="AC782" s="1193"/>
    </row>
    <row r="783" spans="1:29" x14ac:dyDescent="0.3">
      <c r="A783" s="681"/>
      <c r="B783" s="1193"/>
      <c r="C783" s="1193"/>
      <c r="D783" s="1193"/>
      <c r="E783" s="1193"/>
      <c r="F783" s="1193"/>
      <c r="G783" s="1193"/>
      <c r="H783" s="1193"/>
      <c r="I783" s="1193"/>
      <c r="J783" s="1193"/>
      <c r="K783" s="1193"/>
      <c r="L783" s="1193"/>
      <c r="M783" s="1193"/>
      <c r="N783" s="1193"/>
      <c r="O783" s="1193"/>
      <c r="P783" s="1193"/>
      <c r="Q783" s="1193"/>
      <c r="R783" s="1193"/>
      <c r="S783" s="1193"/>
      <c r="T783" s="1193"/>
      <c r="U783" s="1193"/>
      <c r="V783" s="1193"/>
      <c r="W783" s="1193"/>
      <c r="X783" s="1193"/>
      <c r="Y783" s="1193"/>
      <c r="Z783" s="1193"/>
      <c r="AA783" s="1193"/>
      <c r="AB783" s="1193"/>
      <c r="AC783" s="1193"/>
    </row>
    <row r="784" spans="1:29" x14ac:dyDescent="0.3">
      <c r="A784" s="681"/>
      <c r="B784" s="1193"/>
      <c r="C784" s="1193"/>
      <c r="D784" s="1193"/>
      <c r="E784" s="1193"/>
      <c r="F784" s="1193"/>
      <c r="G784" s="1193"/>
      <c r="H784" s="1193"/>
      <c r="I784" s="1193"/>
      <c r="J784" s="1193"/>
      <c r="K784" s="1193"/>
      <c r="L784" s="1193"/>
      <c r="M784" s="1193"/>
      <c r="N784" s="1193"/>
      <c r="O784" s="1193"/>
      <c r="P784" s="1193"/>
      <c r="Q784" s="1193"/>
      <c r="R784" s="1193"/>
      <c r="S784" s="1193"/>
      <c r="T784" s="1193"/>
      <c r="U784" s="1193"/>
      <c r="V784" s="1193"/>
      <c r="W784" s="1193"/>
      <c r="X784" s="1193"/>
      <c r="Y784" s="1193"/>
      <c r="Z784" s="1193"/>
      <c r="AA784" s="1193"/>
      <c r="AB784" s="1193"/>
      <c r="AC784" s="1193"/>
    </row>
    <row r="785" spans="1:29" x14ac:dyDescent="0.3">
      <c r="A785" s="681"/>
      <c r="B785" s="1193"/>
      <c r="C785" s="1193"/>
      <c r="D785" s="1193"/>
      <c r="E785" s="1193"/>
      <c r="F785" s="1193"/>
      <c r="G785" s="1193"/>
      <c r="H785" s="1193"/>
      <c r="I785" s="1193"/>
      <c r="J785" s="1193"/>
      <c r="K785" s="1193"/>
      <c r="L785" s="1193"/>
      <c r="M785" s="1193"/>
      <c r="N785" s="1193"/>
      <c r="O785" s="1193"/>
      <c r="P785" s="1193"/>
      <c r="Q785" s="1193"/>
      <c r="R785" s="1193"/>
      <c r="S785" s="1193"/>
      <c r="T785" s="1193"/>
      <c r="U785" s="1193"/>
      <c r="V785" s="1193"/>
      <c r="W785" s="1193"/>
      <c r="X785" s="1193"/>
      <c r="Y785" s="1193"/>
      <c r="Z785" s="1193"/>
      <c r="AA785" s="1193"/>
      <c r="AB785" s="1193"/>
      <c r="AC785" s="1193"/>
    </row>
    <row r="786" spans="1:29" x14ac:dyDescent="0.3">
      <c r="A786" s="681"/>
      <c r="B786" s="1193"/>
      <c r="C786" s="1193"/>
      <c r="D786" s="1193"/>
      <c r="E786" s="1193"/>
      <c r="F786" s="1193"/>
      <c r="G786" s="1193"/>
      <c r="H786" s="1193"/>
      <c r="I786" s="1193"/>
      <c r="J786" s="1193"/>
      <c r="K786" s="1193"/>
      <c r="L786" s="1193"/>
      <c r="M786" s="1193"/>
      <c r="N786" s="1193"/>
      <c r="O786" s="1193"/>
      <c r="P786" s="1193"/>
      <c r="Q786" s="1193"/>
      <c r="R786" s="1193"/>
      <c r="S786" s="1193"/>
      <c r="T786" s="1193"/>
      <c r="U786" s="1193"/>
      <c r="V786" s="1193"/>
      <c r="W786" s="1193"/>
      <c r="X786" s="1193"/>
      <c r="Y786" s="1193"/>
      <c r="Z786" s="1193"/>
      <c r="AA786" s="1193"/>
      <c r="AB786" s="1193"/>
      <c r="AC786" s="1193"/>
    </row>
    <row r="787" spans="1:29" x14ac:dyDescent="0.3">
      <c r="A787" s="681"/>
      <c r="B787" s="1193"/>
      <c r="C787" s="1193"/>
      <c r="D787" s="1193"/>
      <c r="E787" s="1193"/>
      <c r="F787" s="1193"/>
      <c r="G787" s="1193"/>
      <c r="H787" s="1193"/>
      <c r="I787" s="1193"/>
      <c r="J787" s="1193"/>
      <c r="K787" s="1193"/>
      <c r="L787" s="1193"/>
      <c r="M787" s="1193"/>
      <c r="N787" s="1193"/>
      <c r="O787" s="1193"/>
      <c r="P787" s="1193"/>
      <c r="Q787" s="1193"/>
      <c r="R787" s="1193"/>
      <c r="S787" s="1193"/>
      <c r="T787" s="1193"/>
      <c r="U787" s="1193"/>
      <c r="V787" s="1193"/>
      <c r="W787" s="1193"/>
      <c r="X787" s="1193"/>
      <c r="Y787" s="1193"/>
      <c r="Z787" s="1193"/>
      <c r="AA787" s="1193"/>
      <c r="AB787" s="1193"/>
      <c r="AC787" s="1193"/>
    </row>
    <row r="788" spans="1:29" x14ac:dyDescent="0.3">
      <c r="A788" s="681"/>
      <c r="B788" s="1193"/>
      <c r="C788" s="1193"/>
      <c r="D788" s="1193"/>
      <c r="E788" s="1193"/>
      <c r="F788" s="1193"/>
      <c r="G788" s="1193"/>
      <c r="H788" s="1193"/>
      <c r="I788" s="1193"/>
      <c r="J788" s="1193"/>
      <c r="K788" s="1193"/>
      <c r="L788" s="1193"/>
      <c r="M788" s="1193"/>
      <c r="N788" s="1193"/>
      <c r="O788" s="1193"/>
      <c r="P788" s="1193"/>
      <c r="Q788" s="1193"/>
      <c r="R788" s="1193"/>
      <c r="S788" s="1193"/>
      <c r="T788" s="1193"/>
      <c r="U788" s="1193"/>
      <c r="V788" s="1193"/>
      <c r="W788" s="1193"/>
      <c r="X788" s="1193"/>
      <c r="Y788" s="1193"/>
      <c r="Z788" s="1193"/>
      <c r="AA788" s="1193"/>
      <c r="AB788" s="1193"/>
      <c r="AC788" s="1193"/>
    </row>
    <row r="789" spans="1:29" x14ac:dyDescent="0.3">
      <c r="A789" s="681"/>
      <c r="B789" s="1193"/>
      <c r="C789" s="1193"/>
      <c r="D789" s="1193"/>
      <c r="E789" s="1193"/>
      <c r="F789" s="1193"/>
      <c r="G789" s="1193"/>
      <c r="H789" s="1193"/>
      <c r="I789" s="1193"/>
      <c r="J789" s="1193"/>
      <c r="K789" s="1193"/>
      <c r="L789" s="1193"/>
      <c r="M789" s="1193"/>
      <c r="N789" s="1193"/>
      <c r="O789" s="1193"/>
      <c r="P789" s="1193"/>
      <c r="Q789" s="1193"/>
      <c r="R789" s="1193"/>
      <c r="S789" s="1193"/>
      <c r="T789" s="1193"/>
      <c r="U789" s="1193"/>
      <c r="V789" s="1193"/>
      <c r="W789" s="1193"/>
      <c r="X789" s="1193"/>
      <c r="Y789" s="1193"/>
      <c r="Z789" s="1193"/>
      <c r="AA789" s="1193"/>
      <c r="AB789" s="1193"/>
      <c r="AC789" s="1193"/>
    </row>
    <row r="790" spans="1:29" x14ac:dyDescent="0.3">
      <c r="A790" s="681"/>
      <c r="B790" s="1193"/>
      <c r="C790" s="1193"/>
      <c r="D790" s="1193"/>
      <c r="E790" s="1193"/>
      <c r="F790" s="1193"/>
      <c r="G790" s="1193"/>
      <c r="H790" s="1193"/>
      <c r="I790" s="1193"/>
      <c r="J790" s="1193"/>
      <c r="K790" s="1193"/>
      <c r="L790" s="1193"/>
      <c r="M790" s="1193"/>
      <c r="N790" s="1193"/>
      <c r="O790" s="1193"/>
      <c r="P790" s="1193"/>
      <c r="Q790" s="1193"/>
      <c r="R790" s="1193"/>
      <c r="S790" s="1193"/>
      <c r="T790" s="1193"/>
      <c r="U790" s="1193"/>
      <c r="V790" s="1193"/>
      <c r="W790" s="1193"/>
      <c r="X790" s="1193"/>
      <c r="Y790" s="1193"/>
      <c r="Z790" s="1193"/>
      <c r="AA790" s="1193"/>
      <c r="AB790" s="1193"/>
      <c r="AC790" s="1193"/>
    </row>
    <row r="791" spans="1:29" x14ac:dyDescent="0.3">
      <c r="A791" s="681"/>
      <c r="B791" s="1193"/>
      <c r="C791" s="1193"/>
      <c r="D791" s="1193"/>
      <c r="E791" s="1193"/>
      <c r="F791" s="1193"/>
      <c r="G791" s="1193"/>
      <c r="H791" s="1193"/>
      <c r="I791" s="1193"/>
      <c r="J791" s="1193"/>
      <c r="K791" s="1193"/>
      <c r="L791" s="1193"/>
      <c r="M791" s="1193"/>
      <c r="N791" s="1193"/>
      <c r="O791" s="1193"/>
      <c r="P791" s="1193"/>
      <c r="Q791" s="1193"/>
      <c r="R791" s="1193"/>
      <c r="S791" s="1193"/>
      <c r="T791" s="1193"/>
      <c r="U791" s="1193"/>
      <c r="V791" s="1193"/>
      <c r="W791" s="1193"/>
      <c r="X791" s="1193"/>
      <c r="Y791" s="1193"/>
      <c r="Z791" s="1193"/>
      <c r="AA791" s="1193"/>
      <c r="AB791" s="1193"/>
      <c r="AC791" s="1193"/>
    </row>
    <row r="792" spans="1:29" x14ac:dyDescent="0.3">
      <c r="A792" s="681"/>
      <c r="B792" s="1193"/>
      <c r="C792" s="1193"/>
      <c r="D792" s="1193"/>
      <c r="E792" s="1193"/>
      <c r="F792" s="1193"/>
      <c r="G792" s="1193"/>
      <c r="H792" s="1193"/>
      <c r="I792" s="1193"/>
      <c r="J792" s="1193"/>
      <c r="K792" s="1193"/>
      <c r="L792" s="1193"/>
      <c r="M792" s="1193"/>
      <c r="N792" s="1193"/>
      <c r="O792" s="1193"/>
      <c r="P792" s="1193"/>
      <c r="Q792" s="1193"/>
      <c r="R792" s="1193"/>
      <c r="S792" s="1193"/>
      <c r="T792" s="1193"/>
      <c r="U792" s="1193"/>
      <c r="V792" s="1193"/>
      <c r="W792" s="1193"/>
      <c r="X792" s="1193"/>
      <c r="Y792" s="1193"/>
      <c r="Z792" s="1193"/>
      <c r="AA792" s="1193"/>
      <c r="AB792" s="1193"/>
      <c r="AC792" s="1193"/>
    </row>
    <row r="793" spans="1:29" x14ac:dyDescent="0.3">
      <c r="A793" s="681"/>
      <c r="B793" s="1193"/>
      <c r="C793" s="1193"/>
      <c r="D793" s="1193"/>
      <c r="E793" s="1193"/>
      <c r="F793" s="1193"/>
      <c r="G793" s="1193"/>
      <c r="H793" s="1193"/>
      <c r="I793" s="1193"/>
      <c r="J793" s="1193"/>
      <c r="K793" s="1193"/>
      <c r="L793" s="1193"/>
      <c r="M793" s="1193"/>
      <c r="N793" s="1193"/>
      <c r="O793" s="1193"/>
      <c r="P793" s="1193"/>
      <c r="Q793" s="1193"/>
      <c r="R793" s="1193"/>
      <c r="S793" s="1193"/>
      <c r="T793" s="1193"/>
      <c r="U793" s="1193"/>
      <c r="V793" s="1193"/>
      <c r="W793" s="1193"/>
      <c r="X793" s="1193"/>
      <c r="Y793" s="1193"/>
      <c r="Z793" s="1193"/>
      <c r="AA793" s="1193"/>
      <c r="AB793" s="1193"/>
      <c r="AC793" s="1193"/>
    </row>
    <row r="794" spans="1:29" x14ac:dyDescent="0.3">
      <c r="A794" s="681"/>
      <c r="B794" s="1193"/>
      <c r="C794" s="1193"/>
      <c r="D794" s="1193"/>
      <c r="E794" s="1193"/>
      <c r="F794" s="1193"/>
      <c r="G794" s="1193"/>
      <c r="H794" s="1193"/>
      <c r="I794" s="1193"/>
      <c r="J794" s="1193"/>
      <c r="K794" s="1193"/>
      <c r="L794" s="1193"/>
      <c r="M794" s="1193"/>
      <c r="N794" s="1193"/>
      <c r="O794" s="1193"/>
      <c r="P794" s="1193"/>
      <c r="Q794" s="1193"/>
      <c r="R794" s="1193"/>
      <c r="S794" s="1193"/>
      <c r="T794" s="1193"/>
      <c r="U794" s="1193"/>
      <c r="V794" s="1193"/>
      <c r="W794" s="1193"/>
      <c r="X794" s="1193"/>
      <c r="Y794" s="1193"/>
      <c r="Z794" s="1193"/>
      <c r="AA794" s="1193"/>
      <c r="AB794" s="1193"/>
      <c r="AC794" s="1193"/>
    </row>
    <row r="795" spans="1:29" x14ac:dyDescent="0.3">
      <c r="A795" s="681"/>
      <c r="B795" s="1193"/>
      <c r="C795" s="1193"/>
      <c r="D795" s="1193"/>
      <c r="E795" s="1193"/>
      <c r="F795" s="1193"/>
      <c r="G795" s="1193"/>
      <c r="H795" s="1193"/>
      <c r="I795" s="1193"/>
      <c r="J795" s="1193"/>
      <c r="K795" s="1193"/>
      <c r="L795" s="1193"/>
      <c r="M795" s="1193"/>
      <c r="N795" s="1193"/>
      <c r="O795" s="1193"/>
      <c r="P795" s="1193"/>
      <c r="Q795" s="1193"/>
      <c r="R795" s="1193"/>
      <c r="S795" s="1193"/>
      <c r="T795" s="1193"/>
      <c r="U795" s="1193"/>
      <c r="V795" s="1193"/>
      <c r="W795" s="1193"/>
      <c r="X795" s="1193"/>
      <c r="Y795" s="1193"/>
      <c r="Z795" s="1193"/>
      <c r="AA795" s="1193"/>
      <c r="AB795" s="1193"/>
      <c r="AC795" s="1193"/>
    </row>
    <row r="796" spans="1:29" x14ac:dyDescent="0.3">
      <c r="A796" s="681"/>
      <c r="B796" s="1193"/>
      <c r="C796" s="1193"/>
      <c r="D796" s="1193"/>
      <c r="E796" s="1193"/>
      <c r="F796" s="1193"/>
      <c r="G796" s="1193"/>
      <c r="H796" s="1193"/>
      <c r="I796" s="1193"/>
      <c r="J796" s="1193"/>
      <c r="K796" s="1193"/>
      <c r="L796" s="1193"/>
      <c r="M796" s="1193"/>
      <c r="N796" s="1193"/>
      <c r="O796" s="1193"/>
      <c r="P796" s="1193"/>
      <c r="Q796" s="1193"/>
      <c r="R796" s="1193"/>
      <c r="S796" s="1193"/>
      <c r="T796" s="1193"/>
      <c r="U796" s="1193"/>
      <c r="V796" s="1193"/>
      <c r="W796" s="1193"/>
      <c r="X796" s="1193"/>
      <c r="Y796" s="1193"/>
      <c r="Z796" s="1193"/>
      <c r="AA796" s="1193"/>
      <c r="AB796" s="1193"/>
      <c r="AC796" s="1193"/>
    </row>
    <row r="797" spans="1:29" x14ac:dyDescent="0.3">
      <c r="A797" s="681"/>
      <c r="B797" s="1193"/>
      <c r="C797" s="1193"/>
      <c r="D797" s="1193"/>
      <c r="E797" s="1193"/>
      <c r="F797" s="1193"/>
      <c r="G797" s="1193"/>
      <c r="H797" s="1193"/>
      <c r="I797" s="1193"/>
      <c r="J797" s="1193"/>
      <c r="K797" s="1193"/>
      <c r="L797" s="1193"/>
      <c r="M797" s="1193"/>
      <c r="N797" s="1193"/>
      <c r="O797" s="1193"/>
      <c r="P797" s="1193"/>
      <c r="Q797" s="1193"/>
      <c r="R797" s="1193"/>
      <c r="S797" s="1193"/>
      <c r="T797" s="1193"/>
      <c r="U797" s="1193"/>
      <c r="V797" s="1193"/>
      <c r="W797" s="1193"/>
      <c r="X797" s="1193"/>
      <c r="Y797" s="1193"/>
      <c r="Z797" s="1193"/>
      <c r="AA797" s="1193"/>
      <c r="AB797" s="1193"/>
      <c r="AC797" s="1193"/>
    </row>
    <row r="798" spans="1:29" x14ac:dyDescent="0.3">
      <c r="A798" s="681"/>
      <c r="B798" s="1193"/>
      <c r="C798" s="1193"/>
      <c r="D798" s="1193"/>
      <c r="E798" s="1193"/>
      <c r="F798" s="1193"/>
      <c r="G798" s="1193"/>
      <c r="H798" s="1193"/>
      <c r="I798" s="1193"/>
      <c r="J798" s="1193"/>
      <c r="K798" s="1193"/>
      <c r="L798" s="1193"/>
      <c r="M798" s="1193"/>
      <c r="N798" s="1193"/>
      <c r="O798" s="1193"/>
      <c r="P798" s="1193"/>
      <c r="Q798" s="1193"/>
      <c r="R798" s="1193"/>
      <c r="S798" s="1193"/>
      <c r="T798" s="1193"/>
      <c r="U798" s="1193"/>
      <c r="V798" s="1193"/>
      <c r="W798" s="1193"/>
      <c r="X798" s="1193"/>
      <c r="Y798" s="1193"/>
      <c r="Z798" s="1193"/>
      <c r="AA798" s="1193"/>
      <c r="AB798" s="1193"/>
      <c r="AC798" s="1193"/>
    </row>
    <row r="799" spans="1:29" x14ac:dyDescent="0.3">
      <c r="A799" s="681"/>
      <c r="B799" s="1193"/>
      <c r="C799" s="1193"/>
      <c r="D799" s="1193"/>
      <c r="E799" s="1193"/>
      <c r="F799" s="1193"/>
      <c r="G799" s="1193"/>
      <c r="H799" s="1193"/>
      <c r="I799" s="1193"/>
      <c r="J799" s="1193"/>
      <c r="K799" s="1193"/>
      <c r="L799" s="1193"/>
      <c r="M799" s="1193"/>
      <c r="N799" s="1193"/>
      <c r="O799" s="1193"/>
      <c r="P799" s="1193"/>
      <c r="Q799" s="1193"/>
      <c r="R799" s="1193"/>
      <c r="S799" s="1193"/>
      <c r="T799" s="1193"/>
      <c r="U799" s="1193"/>
      <c r="V799" s="1193"/>
      <c r="W799" s="1193"/>
      <c r="X799" s="1193"/>
      <c r="Y799" s="1193"/>
      <c r="Z799" s="1193"/>
      <c r="AA799" s="1193"/>
      <c r="AB799" s="1193"/>
      <c r="AC799" s="1193"/>
    </row>
    <row r="800" spans="1:29" x14ac:dyDescent="0.3">
      <c r="A800" s="681"/>
      <c r="B800" s="1193"/>
      <c r="C800" s="1193"/>
      <c r="D800" s="1193"/>
      <c r="E800" s="1193"/>
      <c r="F800" s="1193"/>
      <c r="G800" s="1193"/>
      <c r="H800" s="1193"/>
      <c r="I800" s="1193"/>
      <c r="J800" s="1193"/>
      <c r="K800" s="1193"/>
      <c r="L800" s="1193"/>
      <c r="M800" s="1193"/>
      <c r="N800" s="1193"/>
      <c r="O800" s="1193"/>
      <c r="P800" s="1193"/>
      <c r="Q800" s="1193"/>
      <c r="R800" s="1193"/>
      <c r="S800" s="1193"/>
      <c r="T800" s="1193"/>
      <c r="U800" s="1193"/>
      <c r="V800" s="1193"/>
      <c r="W800" s="1193"/>
      <c r="X800" s="1193"/>
      <c r="Y800" s="1193"/>
      <c r="Z800" s="1193"/>
      <c r="AA800" s="1193"/>
      <c r="AB800" s="1193"/>
      <c r="AC800" s="1193"/>
    </row>
    <row r="801" spans="1:29" x14ac:dyDescent="0.3">
      <c r="A801" s="681"/>
      <c r="B801" s="1193"/>
      <c r="C801" s="1193"/>
      <c r="D801" s="1193"/>
      <c r="E801" s="1193"/>
      <c r="F801" s="1193"/>
      <c r="G801" s="1193"/>
      <c r="H801" s="1193"/>
      <c r="I801" s="1193"/>
      <c r="J801" s="1193"/>
      <c r="K801" s="1193"/>
      <c r="L801" s="1193"/>
      <c r="M801" s="1193"/>
      <c r="N801" s="1193"/>
      <c r="O801" s="1193"/>
      <c r="P801" s="1193"/>
      <c r="Q801" s="1193"/>
      <c r="R801" s="1193"/>
      <c r="S801" s="1193"/>
      <c r="T801" s="1193"/>
      <c r="U801" s="1193"/>
      <c r="V801" s="1193"/>
      <c r="W801" s="1193"/>
      <c r="X801" s="1193"/>
      <c r="Y801" s="1193"/>
      <c r="Z801" s="1193"/>
      <c r="AA801" s="1193"/>
      <c r="AB801" s="1193"/>
      <c r="AC801" s="1193"/>
    </row>
    <row r="802" spans="1:29" x14ac:dyDescent="0.3">
      <c r="A802" s="681"/>
      <c r="B802" s="1193"/>
      <c r="C802" s="1193"/>
      <c r="D802" s="1193"/>
      <c r="E802" s="1193"/>
      <c r="F802" s="1193"/>
      <c r="G802" s="1193"/>
      <c r="H802" s="1193"/>
      <c r="I802" s="1193"/>
      <c r="J802" s="1193"/>
      <c r="K802" s="1193"/>
      <c r="L802" s="1193"/>
      <c r="M802" s="1193"/>
      <c r="N802" s="1193"/>
      <c r="O802" s="1193"/>
      <c r="P802" s="1193"/>
      <c r="Q802" s="1193"/>
      <c r="R802" s="1193"/>
      <c r="S802" s="1193"/>
      <c r="T802" s="1193"/>
      <c r="U802" s="1193"/>
      <c r="V802" s="1193"/>
      <c r="W802" s="1193"/>
      <c r="X802" s="1193"/>
      <c r="Y802" s="1193"/>
      <c r="Z802" s="1193"/>
      <c r="AA802" s="1193"/>
      <c r="AB802" s="1193"/>
      <c r="AC802" s="1193"/>
    </row>
    <row r="803" spans="1:29" x14ac:dyDescent="0.3">
      <c r="A803" s="681"/>
      <c r="B803" s="1193"/>
      <c r="C803" s="1193"/>
      <c r="D803" s="1193"/>
      <c r="E803" s="1193"/>
      <c r="F803" s="1193"/>
      <c r="G803" s="1193"/>
      <c r="H803" s="1193"/>
      <c r="I803" s="1193"/>
      <c r="J803" s="1193"/>
      <c r="K803" s="1193"/>
      <c r="L803" s="1193"/>
      <c r="M803" s="1193"/>
      <c r="N803" s="1193"/>
      <c r="O803" s="1193"/>
      <c r="P803" s="1193"/>
      <c r="Q803" s="1193"/>
      <c r="R803" s="1193"/>
      <c r="S803" s="1193"/>
      <c r="T803" s="1193"/>
      <c r="U803" s="1193"/>
      <c r="V803" s="1193"/>
      <c r="W803" s="1193"/>
      <c r="X803" s="1193"/>
      <c r="Y803" s="1193"/>
      <c r="Z803" s="1193"/>
      <c r="AA803" s="1193"/>
      <c r="AB803" s="1193"/>
      <c r="AC803" s="1193"/>
    </row>
    <row r="804" spans="1:29" x14ac:dyDescent="0.3">
      <c r="A804" s="681"/>
      <c r="B804" s="1193"/>
      <c r="C804" s="1193"/>
      <c r="D804" s="1193"/>
      <c r="E804" s="1193"/>
      <c r="F804" s="1193"/>
      <c r="G804" s="1193"/>
      <c r="H804" s="1193"/>
      <c r="I804" s="1193"/>
      <c r="J804" s="1193"/>
      <c r="K804" s="1193"/>
      <c r="L804" s="1193"/>
      <c r="M804" s="1193"/>
      <c r="N804" s="1193"/>
      <c r="O804" s="1193"/>
      <c r="P804" s="1193"/>
      <c r="Q804" s="1193"/>
      <c r="R804" s="1193"/>
      <c r="S804" s="1193"/>
      <c r="T804" s="1193"/>
      <c r="U804" s="1193"/>
      <c r="V804" s="1193"/>
      <c r="W804" s="1193"/>
      <c r="X804" s="1193"/>
      <c r="Y804" s="1193"/>
      <c r="Z804" s="1193"/>
      <c r="AA804" s="1193"/>
      <c r="AB804" s="1193"/>
      <c r="AC804" s="1193"/>
    </row>
    <row r="805" spans="1:29" x14ac:dyDescent="0.3">
      <c r="A805" s="681"/>
      <c r="B805" s="1193"/>
      <c r="C805" s="1193"/>
      <c r="D805" s="1193"/>
      <c r="E805" s="1193"/>
      <c r="F805" s="1193"/>
      <c r="G805" s="1193"/>
      <c r="H805" s="1193"/>
      <c r="I805" s="1193"/>
      <c r="J805" s="1193"/>
      <c r="K805" s="1193"/>
      <c r="L805" s="1193"/>
      <c r="M805" s="1193"/>
      <c r="N805" s="1193"/>
      <c r="O805" s="1193"/>
      <c r="P805" s="1193"/>
      <c r="Q805" s="1193"/>
      <c r="R805" s="1193"/>
      <c r="S805" s="1193"/>
      <c r="T805" s="1193"/>
      <c r="U805" s="1193"/>
      <c r="V805" s="1193"/>
      <c r="W805" s="1193"/>
      <c r="X805" s="1193"/>
      <c r="Y805" s="1193"/>
      <c r="Z805" s="1193"/>
      <c r="AA805" s="1193"/>
      <c r="AB805" s="1193"/>
      <c r="AC805" s="1193"/>
    </row>
    <row r="806" spans="1:29" x14ac:dyDescent="0.3">
      <c r="A806" s="681"/>
      <c r="B806" s="1193"/>
      <c r="C806" s="1193"/>
      <c r="D806" s="1193"/>
      <c r="E806" s="1193"/>
      <c r="F806" s="1193"/>
      <c r="G806" s="1193"/>
      <c r="H806" s="1193"/>
      <c r="I806" s="1193"/>
      <c r="J806" s="1193"/>
      <c r="K806" s="1193"/>
      <c r="L806" s="1193"/>
      <c r="M806" s="1193"/>
      <c r="N806" s="1193"/>
      <c r="O806" s="1193"/>
      <c r="P806" s="1193"/>
      <c r="Q806" s="1193"/>
      <c r="R806" s="1193"/>
      <c r="S806" s="1193"/>
      <c r="T806" s="1193"/>
      <c r="U806" s="1193"/>
      <c r="V806" s="1193"/>
      <c r="W806" s="1193"/>
      <c r="X806" s="1193"/>
      <c r="Y806" s="1193"/>
      <c r="Z806" s="1193"/>
      <c r="AA806" s="1193"/>
      <c r="AB806" s="1193"/>
      <c r="AC806" s="1193"/>
    </row>
    <row r="807" spans="1:29" x14ac:dyDescent="0.3">
      <c r="A807" s="681"/>
      <c r="B807" s="1193"/>
      <c r="C807" s="1193"/>
      <c r="D807" s="1193"/>
      <c r="E807" s="1193"/>
      <c r="F807" s="1193"/>
      <c r="G807" s="1193"/>
      <c r="H807" s="1193"/>
      <c r="I807" s="1193"/>
      <c r="J807" s="1193"/>
      <c r="K807" s="1193"/>
      <c r="L807" s="1193"/>
      <c r="M807" s="1193"/>
      <c r="N807" s="1193"/>
      <c r="O807" s="1193"/>
      <c r="P807" s="1193"/>
      <c r="Q807" s="1193"/>
      <c r="R807" s="1193"/>
      <c r="S807" s="1193"/>
      <c r="T807" s="1193"/>
      <c r="U807" s="1193"/>
      <c r="V807" s="1193"/>
      <c r="W807" s="1193"/>
      <c r="X807" s="1193"/>
      <c r="Y807" s="1193"/>
      <c r="Z807" s="1193"/>
      <c r="AA807" s="1193"/>
      <c r="AB807" s="1193"/>
      <c r="AC807" s="1193"/>
    </row>
    <row r="808" spans="1:29" x14ac:dyDescent="0.3">
      <c r="A808" s="681"/>
      <c r="B808" s="1193"/>
      <c r="C808" s="1193"/>
      <c r="D808" s="1193"/>
      <c r="E808" s="1193"/>
      <c r="F808" s="1193"/>
      <c r="G808" s="1193"/>
      <c r="H808" s="1193"/>
      <c r="I808" s="1193"/>
      <c r="J808" s="1193"/>
      <c r="K808" s="1193"/>
      <c r="L808" s="1193"/>
      <c r="M808" s="1193"/>
      <c r="N808" s="1193"/>
      <c r="O808" s="1193"/>
      <c r="P808" s="1193"/>
      <c r="Q808" s="1193"/>
      <c r="R808" s="1193"/>
      <c r="S808" s="1193"/>
      <c r="T808" s="1193"/>
      <c r="U808" s="1193"/>
      <c r="V808" s="1193"/>
      <c r="W808" s="1193"/>
      <c r="X808" s="1193"/>
      <c r="Y808" s="1193"/>
      <c r="Z808" s="1193"/>
      <c r="AA808" s="1193"/>
      <c r="AB808" s="1193"/>
      <c r="AC808" s="1193"/>
    </row>
    <row r="809" spans="1:29" x14ac:dyDescent="0.3">
      <c r="A809" s="681"/>
      <c r="B809" s="1193"/>
      <c r="C809" s="1193"/>
      <c r="D809" s="1193"/>
      <c r="E809" s="1193"/>
      <c r="F809" s="1193"/>
      <c r="G809" s="1193"/>
      <c r="H809" s="1193"/>
      <c r="I809" s="1193"/>
      <c r="J809" s="1193"/>
      <c r="K809" s="1193"/>
      <c r="L809" s="1193"/>
      <c r="M809" s="1193"/>
      <c r="N809" s="1193"/>
      <c r="O809" s="1193"/>
      <c r="P809" s="1193"/>
      <c r="Q809" s="1193"/>
      <c r="R809" s="1193"/>
      <c r="S809" s="1193"/>
      <c r="T809" s="1193"/>
      <c r="U809" s="1193"/>
      <c r="V809" s="1193"/>
      <c r="W809" s="1193"/>
      <c r="X809" s="1193"/>
      <c r="Y809" s="1193"/>
      <c r="Z809" s="1193"/>
      <c r="AA809" s="1193"/>
      <c r="AB809" s="1193"/>
      <c r="AC809" s="1193"/>
    </row>
    <row r="810" spans="1:29" x14ac:dyDescent="0.3">
      <c r="A810" s="681"/>
      <c r="B810" s="1193"/>
      <c r="C810" s="1193"/>
      <c r="D810" s="1193"/>
      <c r="E810" s="1193"/>
      <c r="F810" s="1193"/>
      <c r="G810" s="1193"/>
      <c r="H810" s="1193"/>
      <c r="I810" s="1193"/>
      <c r="J810" s="1193"/>
      <c r="K810" s="1193"/>
      <c r="L810" s="1193"/>
      <c r="M810" s="1193"/>
      <c r="N810" s="1193"/>
      <c r="O810" s="1193"/>
      <c r="P810" s="1193"/>
      <c r="Q810" s="1193"/>
      <c r="R810" s="1193"/>
      <c r="S810" s="1193"/>
      <c r="T810" s="1193"/>
      <c r="U810" s="1193"/>
      <c r="V810" s="1193"/>
      <c r="W810" s="1193"/>
      <c r="X810" s="1193"/>
      <c r="Y810" s="1193"/>
      <c r="Z810" s="1193"/>
      <c r="AA810" s="1193"/>
      <c r="AB810" s="1193"/>
      <c r="AC810" s="1193"/>
    </row>
    <row r="811" spans="1:29" x14ac:dyDescent="0.3">
      <c r="A811" s="681"/>
      <c r="B811" s="1193"/>
      <c r="C811" s="1193"/>
      <c r="D811" s="1193"/>
      <c r="E811" s="1193"/>
      <c r="F811" s="1193"/>
      <c r="G811" s="1193"/>
      <c r="H811" s="1193"/>
      <c r="I811" s="1193"/>
      <c r="J811" s="1193"/>
      <c r="K811" s="1193"/>
      <c r="L811" s="1193"/>
      <c r="M811" s="1193"/>
      <c r="N811" s="1193"/>
      <c r="O811" s="1193"/>
      <c r="P811" s="1193"/>
      <c r="Q811" s="1193"/>
      <c r="R811" s="1193"/>
      <c r="S811" s="1193"/>
      <c r="T811" s="1193"/>
      <c r="U811" s="1193"/>
      <c r="V811" s="1193"/>
      <c r="W811" s="1193"/>
      <c r="X811" s="1193"/>
      <c r="Y811" s="1193"/>
      <c r="Z811" s="1193"/>
      <c r="AA811" s="1193"/>
      <c r="AB811" s="1193"/>
      <c r="AC811" s="1193"/>
    </row>
    <row r="812" spans="1:29" x14ac:dyDescent="0.3">
      <c r="A812" s="681"/>
      <c r="B812" s="1193"/>
      <c r="C812" s="1193"/>
      <c r="D812" s="1193"/>
      <c r="E812" s="1193"/>
      <c r="F812" s="1193"/>
      <c r="G812" s="1193"/>
      <c r="H812" s="1193"/>
      <c r="I812" s="1193"/>
      <c r="J812" s="1193"/>
      <c r="K812" s="1193"/>
      <c r="L812" s="1193"/>
      <c r="M812" s="1193"/>
      <c r="N812" s="1193"/>
      <c r="O812" s="1193"/>
      <c r="P812" s="1193"/>
      <c r="Q812" s="1193"/>
      <c r="R812" s="1193"/>
      <c r="S812" s="1193"/>
      <c r="T812" s="1193"/>
      <c r="U812" s="1193"/>
      <c r="V812" s="1193"/>
      <c r="W812" s="1193"/>
      <c r="X812" s="1193"/>
      <c r="Y812" s="1193"/>
      <c r="Z812" s="1193"/>
      <c r="AA812" s="1193"/>
      <c r="AB812" s="1193"/>
      <c r="AC812" s="1193"/>
    </row>
    <row r="813" spans="1:29" x14ac:dyDescent="0.3">
      <c r="A813" s="681"/>
      <c r="B813" s="1193"/>
      <c r="C813" s="1193"/>
      <c r="D813" s="1193"/>
      <c r="E813" s="1193"/>
      <c r="F813" s="1193"/>
      <c r="G813" s="1193"/>
      <c r="H813" s="1193"/>
      <c r="I813" s="1193"/>
      <c r="J813" s="1193"/>
      <c r="K813" s="1193"/>
      <c r="L813" s="1193"/>
      <c r="M813" s="1193"/>
      <c r="N813" s="1193"/>
      <c r="O813" s="1193"/>
      <c r="P813" s="1193"/>
      <c r="Q813" s="1193"/>
      <c r="R813" s="1193"/>
      <c r="S813" s="1193"/>
      <c r="T813" s="1193"/>
      <c r="U813" s="1193"/>
      <c r="V813" s="1193"/>
      <c r="W813" s="1193"/>
      <c r="X813" s="1193"/>
      <c r="Y813" s="1193"/>
      <c r="Z813" s="1193"/>
      <c r="AA813" s="1193"/>
      <c r="AB813" s="1193"/>
      <c r="AC813" s="1193"/>
    </row>
    <row r="814" spans="1:29" x14ac:dyDescent="0.3">
      <c r="A814" s="681"/>
      <c r="B814" s="1193"/>
      <c r="C814" s="1193"/>
      <c r="D814" s="1193"/>
      <c r="E814" s="1193"/>
      <c r="F814" s="1193"/>
      <c r="G814" s="1193"/>
      <c r="H814" s="1193"/>
      <c r="I814" s="1193"/>
      <c r="J814" s="1193"/>
      <c r="K814" s="1193"/>
      <c r="L814" s="1193"/>
      <c r="M814" s="1193"/>
      <c r="N814" s="1193"/>
      <c r="O814" s="1193"/>
      <c r="P814" s="1193"/>
      <c r="Q814" s="1193"/>
      <c r="R814" s="1193"/>
      <c r="S814" s="1193"/>
      <c r="T814" s="1193"/>
      <c r="U814" s="1193"/>
      <c r="V814" s="1193"/>
      <c r="W814" s="1193"/>
      <c r="X814" s="1193"/>
      <c r="Y814" s="1193"/>
      <c r="Z814" s="1193"/>
      <c r="AA814" s="1193"/>
      <c r="AB814" s="1193"/>
      <c r="AC814" s="1193"/>
    </row>
    <row r="815" spans="1:29" x14ac:dyDescent="0.3">
      <c r="A815" s="681"/>
      <c r="B815" s="1193"/>
      <c r="C815" s="1193"/>
      <c r="D815" s="1193"/>
      <c r="E815" s="1193"/>
      <c r="F815" s="1193"/>
      <c r="G815" s="1193"/>
      <c r="H815" s="1193"/>
      <c r="I815" s="1193"/>
      <c r="J815" s="1193"/>
      <c r="K815" s="1193"/>
      <c r="L815" s="1193"/>
      <c r="M815" s="1193"/>
      <c r="N815" s="1193"/>
      <c r="O815" s="1193"/>
      <c r="P815" s="1193"/>
      <c r="Q815" s="1193"/>
      <c r="R815" s="1193"/>
      <c r="S815" s="1193"/>
      <c r="T815" s="1193"/>
      <c r="U815" s="1193"/>
      <c r="V815" s="1193"/>
      <c r="W815" s="1193"/>
      <c r="X815" s="1193"/>
      <c r="Y815" s="1193"/>
      <c r="Z815" s="1193"/>
      <c r="AA815" s="1193"/>
      <c r="AB815" s="1193"/>
      <c r="AC815" s="1193"/>
    </row>
    <row r="816" spans="1:29" x14ac:dyDescent="0.3">
      <c r="A816" s="681"/>
      <c r="B816" s="1193"/>
      <c r="C816" s="1193"/>
      <c r="D816" s="1193"/>
      <c r="E816" s="1193"/>
      <c r="F816" s="1193"/>
      <c r="G816" s="1193"/>
      <c r="H816" s="1193"/>
      <c r="I816" s="1193"/>
      <c r="J816" s="1193"/>
      <c r="K816" s="1193"/>
      <c r="L816" s="1193"/>
      <c r="M816" s="1193"/>
      <c r="N816" s="1193"/>
      <c r="O816" s="1193"/>
      <c r="P816" s="1193"/>
      <c r="Q816" s="1193"/>
      <c r="R816" s="1193"/>
      <c r="S816" s="1193"/>
      <c r="T816" s="1193"/>
      <c r="U816" s="1193"/>
      <c r="V816" s="1193"/>
      <c r="W816" s="1193"/>
      <c r="X816" s="1193"/>
      <c r="Y816" s="1193"/>
      <c r="Z816" s="1193"/>
      <c r="AA816" s="1193"/>
      <c r="AB816" s="1193"/>
      <c r="AC816" s="1193"/>
    </row>
    <row r="817" spans="1:29" x14ac:dyDescent="0.3">
      <c r="A817" s="681"/>
      <c r="B817" s="1193"/>
      <c r="C817" s="1193"/>
      <c r="D817" s="1193"/>
      <c r="E817" s="1193"/>
      <c r="F817" s="1193"/>
      <c r="G817" s="1193"/>
      <c r="H817" s="1193"/>
      <c r="I817" s="1193"/>
      <c r="J817" s="1193"/>
      <c r="K817" s="1193"/>
      <c r="L817" s="1193"/>
      <c r="M817" s="1193"/>
      <c r="N817" s="1193"/>
      <c r="O817" s="1193"/>
      <c r="P817" s="1193"/>
      <c r="Q817" s="1193"/>
      <c r="R817" s="1193"/>
      <c r="S817" s="1193"/>
      <c r="T817" s="1193"/>
      <c r="U817" s="1193"/>
      <c r="V817" s="1193"/>
      <c r="W817" s="1193"/>
      <c r="X817" s="1193"/>
      <c r="Y817" s="1193"/>
      <c r="Z817" s="1193"/>
      <c r="AA817" s="1193"/>
      <c r="AB817" s="1193"/>
      <c r="AC817" s="1193"/>
    </row>
    <row r="818" spans="1:29" x14ac:dyDescent="0.3">
      <c r="A818" s="681"/>
      <c r="B818" s="1193"/>
      <c r="C818" s="1193"/>
      <c r="D818" s="1193"/>
      <c r="E818" s="1193"/>
      <c r="F818" s="1193"/>
      <c r="G818" s="1193"/>
      <c r="H818" s="1193"/>
      <c r="I818" s="1193"/>
      <c r="J818" s="1193"/>
      <c r="K818" s="1193"/>
      <c r="L818" s="1193"/>
      <c r="M818" s="1193"/>
      <c r="N818" s="1193"/>
      <c r="O818" s="1193"/>
      <c r="P818" s="1193"/>
      <c r="Q818" s="1193"/>
      <c r="R818" s="1193"/>
      <c r="S818" s="1193"/>
      <c r="T818" s="1193"/>
      <c r="U818" s="1193"/>
      <c r="V818" s="1193"/>
      <c r="W818" s="1193"/>
      <c r="X818" s="1193"/>
      <c r="Y818" s="1193"/>
      <c r="Z818" s="1193"/>
      <c r="AA818" s="1193"/>
      <c r="AB818" s="1193"/>
      <c r="AC818" s="1193"/>
    </row>
    <row r="819" spans="1:29" x14ac:dyDescent="0.3">
      <c r="A819" s="681"/>
      <c r="B819" s="1193"/>
      <c r="C819" s="1193"/>
      <c r="D819" s="1193"/>
      <c r="E819" s="1193"/>
      <c r="F819" s="1193"/>
      <c r="G819" s="1193"/>
      <c r="H819" s="1193"/>
      <c r="I819" s="1193"/>
      <c r="J819" s="1193"/>
      <c r="K819" s="1193"/>
      <c r="L819" s="1193"/>
      <c r="M819" s="1193"/>
      <c r="N819" s="1193"/>
      <c r="O819" s="1193"/>
      <c r="P819" s="1193"/>
      <c r="Q819" s="1193"/>
      <c r="R819" s="1193"/>
      <c r="S819" s="1193"/>
      <c r="T819" s="1193"/>
      <c r="U819" s="1193"/>
      <c r="V819" s="1193"/>
      <c r="W819" s="1193"/>
      <c r="X819" s="1193"/>
      <c r="Y819" s="1193"/>
      <c r="Z819" s="1193"/>
      <c r="AA819" s="1193"/>
      <c r="AB819" s="1193"/>
      <c r="AC819" s="1193"/>
    </row>
    <row r="820" spans="1:29" x14ac:dyDescent="0.3">
      <c r="A820" s="681"/>
      <c r="B820" s="1193"/>
      <c r="C820" s="1193"/>
      <c r="D820" s="1193"/>
      <c r="E820" s="1193"/>
      <c r="F820" s="1193"/>
      <c r="G820" s="1193"/>
      <c r="H820" s="1193"/>
      <c r="I820" s="1193"/>
      <c r="J820" s="1193"/>
      <c r="K820" s="1193"/>
      <c r="L820" s="1193"/>
      <c r="M820" s="1193"/>
      <c r="N820" s="1193"/>
      <c r="O820" s="1193"/>
      <c r="P820" s="1193"/>
      <c r="Q820" s="1193"/>
      <c r="R820" s="1193"/>
      <c r="S820" s="1193"/>
      <c r="T820" s="1193"/>
      <c r="U820" s="1193"/>
      <c r="V820" s="1193"/>
      <c r="W820" s="1193"/>
      <c r="X820" s="1193"/>
      <c r="Y820" s="1193"/>
      <c r="Z820" s="1193"/>
      <c r="AA820" s="1193"/>
      <c r="AB820" s="1193"/>
      <c r="AC820" s="1193"/>
    </row>
    <row r="821" spans="1:29" x14ac:dyDescent="0.3">
      <c r="A821" s="681"/>
      <c r="B821" s="1193"/>
      <c r="C821" s="1193"/>
      <c r="D821" s="1193"/>
      <c r="E821" s="1193"/>
      <c r="F821" s="1193"/>
      <c r="G821" s="1193"/>
      <c r="H821" s="1193"/>
      <c r="I821" s="1193"/>
      <c r="J821" s="1193"/>
      <c r="K821" s="1193"/>
      <c r="L821" s="1193"/>
      <c r="M821" s="1193"/>
      <c r="N821" s="1193"/>
      <c r="O821" s="1193"/>
      <c r="P821" s="1193"/>
      <c r="Q821" s="1193"/>
      <c r="R821" s="1193"/>
      <c r="S821" s="1193"/>
      <c r="T821" s="1193"/>
      <c r="U821" s="1193"/>
      <c r="V821" s="1193"/>
      <c r="W821" s="1193"/>
      <c r="X821" s="1193"/>
      <c r="Y821" s="1193"/>
      <c r="Z821" s="1193"/>
      <c r="AA821" s="1193"/>
      <c r="AB821" s="1193"/>
      <c r="AC821" s="1193"/>
    </row>
    <row r="822" spans="1:29" x14ac:dyDescent="0.3">
      <c r="A822" s="681"/>
      <c r="B822" s="1193"/>
      <c r="C822" s="1193"/>
      <c r="D822" s="1193"/>
      <c r="E822" s="1193"/>
      <c r="F822" s="1193"/>
      <c r="G822" s="1193"/>
      <c r="H822" s="1193"/>
      <c r="I822" s="1193"/>
      <c r="J822" s="1193"/>
      <c r="K822" s="1193"/>
      <c r="L822" s="1193"/>
      <c r="M822" s="1193"/>
      <c r="N822" s="1193"/>
      <c r="O822" s="1193"/>
      <c r="P822" s="1193"/>
      <c r="Q822" s="1193"/>
      <c r="R822" s="1193"/>
      <c r="S822" s="1193"/>
      <c r="T822" s="1193"/>
      <c r="U822" s="1193"/>
      <c r="V822" s="1193"/>
      <c r="W822" s="1193"/>
      <c r="X822" s="1193"/>
      <c r="Y822" s="1193"/>
      <c r="Z822" s="1193"/>
      <c r="AA822" s="1193"/>
      <c r="AB822" s="1193"/>
      <c r="AC822" s="1193"/>
    </row>
    <row r="823" spans="1:29" x14ac:dyDescent="0.3">
      <c r="A823" s="681"/>
      <c r="B823" s="1193"/>
      <c r="C823" s="1193"/>
      <c r="D823" s="1193"/>
      <c r="E823" s="1193"/>
      <c r="F823" s="1193"/>
      <c r="G823" s="1193"/>
      <c r="H823" s="1193"/>
      <c r="I823" s="1193"/>
      <c r="J823" s="1193"/>
      <c r="K823" s="1193"/>
      <c r="L823" s="1193"/>
      <c r="M823" s="1193"/>
      <c r="N823" s="1193"/>
      <c r="O823" s="1193"/>
      <c r="P823" s="1193"/>
      <c r="Q823" s="1193"/>
      <c r="R823" s="1193"/>
      <c r="S823" s="1193"/>
      <c r="T823" s="1193"/>
      <c r="U823" s="1193"/>
      <c r="V823" s="1193"/>
      <c r="W823" s="1193"/>
      <c r="X823" s="1193"/>
      <c r="Y823" s="1193"/>
      <c r="Z823" s="1193"/>
      <c r="AA823" s="1193"/>
      <c r="AB823" s="1193"/>
      <c r="AC823" s="1193"/>
    </row>
    <row r="824" spans="1:29" x14ac:dyDescent="0.3">
      <c r="A824" s="681"/>
      <c r="B824" s="1193"/>
      <c r="C824" s="1193"/>
      <c r="D824" s="1193"/>
      <c r="E824" s="1193"/>
      <c r="F824" s="1193"/>
      <c r="G824" s="1193"/>
      <c r="H824" s="1193"/>
      <c r="I824" s="1193"/>
      <c r="J824" s="1193"/>
      <c r="K824" s="1193"/>
      <c r="L824" s="1193"/>
      <c r="M824" s="1193"/>
      <c r="N824" s="1193"/>
      <c r="O824" s="1193"/>
      <c r="P824" s="1193"/>
      <c r="Q824" s="1193"/>
      <c r="R824" s="1193"/>
      <c r="S824" s="1193"/>
      <c r="T824" s="1193"/>
      <c r="U824" s="1193"/>
      <c r="V824" s="1193"/>
      <c r="W824" s="1193"/>
      <c r="X824" s="1193"/>
      <c r="Y824" s="1193"/>
      <c r="Z824" s="1193"/>
      <c r="AA824" s="1193"/>
      <c r="AB824" s="1193"/>
      <c r="AC824" s="1193"/>
    </row>
    <row r="825" spans="1:29" x14ac:dyDescent="0.3">
      <c r="A825" s="681"/>
      <c r="B825" s="1193"/>
      <c r="C825" s="1193"/>
      <c r="D825" s="1193"/>
      <c r="E825" s="1193"/>
      <c r="F825" s="1193"/>
      <c r="G825" s="1193"/>
      <c r="H825" s="1193"/>
      <c r="I825" s="1193"/>
      <c r="J825" s="1193"/>
      <c r="K825" s="1193"/>
      <c r="L825" s="1193"/>
      <c r="M825" s="1193"/>
      <c r="N825" s="1193"/>
      <c r="O825" s="1193"/>
      <c r="P825" s="1193"/>
      <c r="Q825" s="1193"/>
      <c r="R825" s="1193"/>
      <c r="S825" s="1193"/>
      <c r="T825" s="1193"/>
      <c r="U825" s="1193"/>
      <c r="V825" s="1193"/>
      <c r="W825" s="1193"/>
      <c r="X825" s="1193"/>
      <c r="Y825" s="1193"/>
      <c r="Z825" s="1193"/>
      <c r="AA825" s="1193"/>
      <c r="AB825" s="1193"/>
      <c r="AC825" s="1193"/>
    </row>
    <row r="826" spans="1:29" x14ac:dyDescent="0.3">
      <c r="A826" s="681"/>
      <c r="B826" s="1193"/>
      <c r="C826" s="1193"/>
      <c r="D826" s="1193"/>
      <c r="E826" s="1193"/>
      <c r="F826" s="1193"/>
      <c r="G826" s="1193"/>
      <c r="H826" s="1193"/>
      <c r="I826" s="1193"/>
      <c r="J826" s="1193"/>
      <c r="K826" s="1193"/>
      <c r="L826" s="1193"/>
      <c r="M826" s="1193"/>
      <c r="N826" s="1193"/>
      <c r="O826" s="1193"/>
      <c r="P826" s="1193"/>
      <c r="Q826" s="1193"/>
      <c r="R826" s="1193"/>
      <c r="S826" s="1193"/>
      <c r="T826" s="1193"/>
      <c r="U826" s="1193"/>
      <c r="V826" s="1193"/>
      <c r="W826" s="1193"/>
      <c r="X826" s="1193"/>
      <c r="Y826" s="1193"/>
      <c r="Z826" s="1193"/>
      <c r="AA826" s="1193"/>
      <c r="AB826" s="1193"/>
      <c r="AC826" s="1193"/>
    </row>
    <row r="827" spans="1:29" x14ac:dyDescent="0.3">
      <c r="A827" s="681"/>
      <c r="B827" s="1193"/>
      <c r="C827" s="1193"/>
      <c r="D827" s="1193"/>
      <c r="E827" s="1193"/>
      <c r="F827" s="1193"/>
      <c r="G827" s="1193"/>
      <c r="H827" s="1193"/>
      <c r="I827" s="1193"/>
      <c r="J827" s="1193"/>
      <c r="K827" s="1193"/>
      <c r="L827" s="1193"/>
      <c r="M827" s="1193"/>
      <c r="N827" s="1193"/>
      <c r="O827" s="1193"/>
      <c r="P827" s="1193"/>
      <c r="Q827" s="1193"/>
      <c r="R827" s="1193"/>
      <c r="S827" s="1193"/>
      <c r="T827" s="1193"/>
      <c r="U827" s="1193"/>
      <c r="V827" s="1193"/>
      <c r="W827" s="1193"/>
      <c r="X827" s="1193"/>
      <c r="Y827" s="1193"/>
      <c r="Z827" s="1193"/>
      <c r="AA827" s="1193"/>
      <c r="AB827" s="1193"/>
      <c r="AC827" s="1193"/>
    </row>
    <row r="828" spans="1:29" x14ac:dyDescent="0.3">
      <c r="A828" s="681"/>
      <c r="B828" s="1193"/>
      <c r="C828" s="1193"/>
      <c r="D828" s="1193"/>
      <c r="E828" s="1193"/>
      <c r="F828" s="1193"/>
      <c r="G828" s="1193"/>
      <c r="H828" s="1193"/>
      <c r="I828" s="1193"/>
      <c r="J828" s="1193"/>
      <c r="K828" s="1193"/>
      <c r="L828" s="1193"/>
      <c r="M828" s="1193"/>
      <c r="N828" s="1193"/>
      <c r="O828" s="1193"/>
      <c r="P828" s="1193"/>
      <c r="Q828" s="1193"/>
      <c r="R828" s="1193"/>
      <c r="S828" s="1193"/>
      <c r="T828" s="1193"/>
      <c r="U828" s="1193"/>
      <c r="V828" s="1193"/>
      <c r="W828" s="1193"/>
      <c r="X828" s="1193"/>
      <c r="Y828" s="1193"/>
      <c r="Z828" s="1193"/>
      <c r="AA828" s="1193"/>
      <c r="AB828" s="1193"/>
      <c r="AC828" s="1193"/>
    </row>
    <row r="829" spans="1:29" x14ac:dyDescent="0.3">
      <c r="A829" s="681"/>
      <c r="B829" s="1193"/>
      <c r="C829" s="1193"/>
      <c r="D829" s="1193"/>
      <c r="E829" s="1193"/>
      <c r="F829" s="1193"/>
      <c r="G829" s="1193"/>
      <c r="H829" s="1193"/>
      <c r="I829" s="1193"/>
      <c r="J829" s="1193"/>
      <c r="K829" s="1193"/>
      <c r="L829" s="1193"/>
      <c r="M829" s="1193"/>
      <c r="N829" s="1193"/>
      <c r="O829" s="1193"/>
      <c r="P829" s="1193"/>
      <c r="Q829" s="1193"/>
      <c r="R829" s="1193"/>
      <c r="S829" s="1193"/>
      <c r="T829" s="1193"/>
      <c r="U829" s="1193"/>
      <c r="V829" s="1193"/>
      <c r="W829" s="1193"/>
      <c r="X829" s="1193"/>
      <c r="Y829" s="1193"/>
      <c r="Z829" s="1193"/>
      <c r="AA829" s="1193"/>
      <c r="AB829" s="1193"/>
      <c r="AC829" s="1193"/>
    </row>
    <row r="830" spans="1:29" x14ac:dyDescent="0.3">
      <c r="A830" s="681"/>
      <c r="B830" s="1193"/>
      <c r="C830" s="1193"/>
      <c r="D830" s="1193"/>
      <c r="E830" s="1193"/>
      <c r="F830" s="1193"/>
      <c r="G830" s="1193"/>
      <c r="H830" s="1193"/>
      <c r="I830" s="1193"/>
      <c r="J830" s="1193"/>
      <c r="K830" s="1193"/>
      <c r="L830" s="1193"/>
      <c r="M830" s="1193"/>
      <c r="N830" s="1193"/>
      <c r="O830" s="1193"/>
      <c r="P830" s="1193"/>
      <c r="Q830" s="1193"/>
      <c r="R830" s="1193"/>
      <c r="S830" s="1193"/>
      <c r="T830" s="1193"/>
      <c r="U830" s="1193"/>
      <c r="V830" s="1193"/>
      <c r="W830" s="1193"/>
      <c r="X830" s="1193"/>
      <c r="Y830" s="1193"/>
      <c r="Z830" s="1193"/>
      <c r="AA830" s="1193"/>
      <c r="AB830" s="1193"/>
      <c r="AC830" s="1193"/>
    </row>
    <row r="831" spans="1:29" x14ac:dyDescent="0.3">
      <c r="A831" s="681"/>
      <c r="B831" s="1193"/>
      <c r="C831" s="1193"/>
      <c r="D831" s="1193"/>
      <c r="E831" s="1193"/>
      <c r="F831" s="1193"/>
      <c r="G831" s="1193"/>
      <c r="H831" s="1193"/>
      <c r="I831" s="1193"/>
      <c r="J831" s="1193"/>
      <c r="K831" s="1193"/>
      <c r="L831" s="1193"/>
      <c r="M831" s="1193"/>
      <c r="N831" s="1193"/>
      <c r="O831" s="1193"/>
      <c r="P831" s="1193"/>
      <c r="Q831" s="1193"/>
      <c r="R831" s="1193"/>
      <c r="S831" s="1193"/>
      <c r="T831" s="1193"/>
      <c r="U831" s="1193"/>
      <c r="V831" s="1193"/>
      <c r="W831" s="1193"/>
      <c r="X831" s="1193"/>
      <c r="Y831" s="1193"/>
      <c r="Z831" s="1193"/>
      <c r="AA831" s="1193"/>
      <c r="AB831" s="1193"/>
      <c r="AC831" s="1193"/>
    </row>
    <row r="832" spans="1:29" x14ac:dyDescent="0.3">
      <c r="A832" s="681"/>
      <c r="B832" s="1193"/>
      <c r="C832" s="1193"/>
      <c r="D832" s="1193"/>
      <c r="E832" s="1193"/>
      <c r="F832" s="1193"/>
      <c r="G832" s="1193"/>
      <c r="H832" s="1193"/>
      <c r="I832" s="1193"/>
      <c r="J832" s="1193"/>
      <c r="K832" s="1193"/>
      <c r="L832" s="1193"/>
      <c r="M832" s="1193"/>
      <c r="N832" s="1193"/>
      <c r="O832" s="1193"/>
      <c r="P832" s="1193"/>
      <c r="Q832" s="1193"/>
      <c r="R832" s="1193"/>
      <c r="S832" s="1193"/>
      <c r="T832" s="1193"/>
      <c r="U832" s="1193"/>
      <c r="V832" s="1193"/>
      <c r="W832" s="1193"/>
      <c r="X832" s="1193"/>
      <c r="Y832" s="1193"/>
      <c r="Z832" s="1193"/>
      <c r="AA832" s="1193"/>
      <c r="AB832" s="1193"/>
      <c r="AC832" s="1193"/>
    </row>
    <row r="833" spans="1:29" x14ac:dyDescent="0.3">
      <c r="A833" s="681"/>
      <c r="B833" s="1193"/>
      <c r="C833" s="1193"/>
      <c r="D833" s="1193"/>
      <c r="E833" s="1193"/>
      <c r="F833" s="1193"/>
      <c r="G833" s="1193"/>
      <c r="H833" s="1193"/>
      <c r="I833" s="1193"/>
      <c r="J833" s="1193"/>
      <c r="K833" s="1193"/>
      <c r="L833" s="1193"/>
      <c r="M833" s="1193"/>
      <c r="N833" s="1193"/>
      <c r="O833" s="1193"/>
      <c r="P833" s="1193"/>
      <c r="Q833" s="1193"/>
      <c r="R833" s="1193"/>
      <c r="S833" s="1193"/>
      <c r="T833" s="1193"/>
      <c r="U833" s="1193"/>
      <c r="V833" s="1193"/>
      <c r="W833" s="1193"/>
      <c r="X833" s="1193"/>
      <c r="Y833" s="1193"/>
      <c r="Z833" s="1193"/>
      <c r="AA833" s="1193"/>
      <c r="AB833" s="1193"/>
      <c r="AC833" s="1193"/>
    </row>
    <row r="834" spans="1:29" x14ac:dyDescent="0.3">
      <c r="A834" s="681"/>
      <c r="B834" s="1193"/>
      <c r="C834" s="1193"/>
      <c r="D834" s="1193"/>
      <c r="E834" s="1193"/>
      <c r="F834" s="1193"/>
      <c r="G834" s="1193"/>
      <c r="H834" s="1193"/>
      <c r="I834" s="1193"/>
      <c r="J834" s="1193"/>
      <c r="K834" s="1193"/>
      <c r="L834" s="1193"/>
      <c r="M834" s="1193"/>
      <c r="N834" s="1193"/>
      <c r="O834" s="1193"/>
      <c r="P834" s="1193"/>
      <c r="Q834" s="1193"/>
      <c r="R834" s="1193"/>
      <c r="S834" s="1193"/>
      <c r="T834" s="1193"/>
      <c r="U834" s="1193"/>
      <c r="V834" s="1193"/>
      <c r="W834" s="1193"/>
      <c r="X834" s="1193"/>
      <c r="Y834" s="1193"/>
      <c r="Z834" s="1193"/>
      <c r="AA834" s="1193"/>
      <c r="AB834" s="1193"/>
      <c r="AC834" s="1193"/>
    </row>
    <row r="835" spans="1:29" x14ac:dyDescent="0.3">
      <c r="A835" s="681"/>
      <c r="B835" s="1193"/>
      <c r="C835" s="1193"/>
      <c r="D835" s="1193"/>
      <c r="E835" s="1193"/>
      <c r="F835" s="1193"/>
      <c r="G835" s="1193"/>
      <c r="H835" s="1193"/>
      <c r="I835" s="1193"/>
      <c r="J835" s="1193"/>
      <c r="K835" s="1193"/>
      <c r="L835" s="1193"/>
      <c r="M835" s="1193"/>
      <c r="N835" s="1193"/>
      <c r="O835" s="1193"/>
      <c r="P835" s="1193"/>
      <c r="Q835" s="1193"/>
      <c r="R835" s="1193"/>
      <c r="S835" s="1193"/>
      <c r="T835" s="1193"/>
      <c r="U835" s="1193"/>
      <c r="V835" s="1193"/>
      <c r="W835" s="1193"/>
      <c r="X835" s="1193"/>
      <c r="Y835" s="1193"/>
      <c r="Z835" s="1193"/>
      <c r="AA835" s="1193"/>
      <c r="AB835" s="1193"/>
      <c r="AC835" s="1193"/>
    </row>
    <row r="836" spans="1:29" x14ac:dyDescent="0.3">
      <c r="A836" s="681"/>
      <c r="B836" s="1193"/>
      <c r="C836" s="1193"/>
      <c r="D836" s="1193"/>
      <c r="E836" s="1193"/>
      <c r="F836" s="1193"/>
      <c r="G836" s="1193"/>
      <c r="H836" s="1193"/>
      <c r="I836" s="1193"/>
      <c r="J836" s="1193"/>
      <c r="K836" s="1193"/>
      <c r="L836" s="1193"/>
      <c r="M836" s="1193"/>
      <c r="N836" s="1193"/>
      <c r="O836" s="1193"/>
      <c r="P836" s="1193"/>
      <c r="Q836" s="1193"/>
      <c r="R836" s="1193"/>
      <c r="S836" s="1193"/>
      <c r="T836" s="1193"/>
      <c r="U836" s="1193"/>
      <c r="V836" s="1193"/>
      <c r="W836" s="1193"/>
      <c r="X836" s="1193"/>
      <c r="Y836" s="1193"/>
      <c r="Z836" s="1193"/>
      <c r="AA836" s="1193"/>
      <c r="AB836" s="1193"/>
      <c r="AC836" s="1193"/>
    </row>
    <row r="837" spans="1:29" x14ac:dyDescent="0.3">
      <c r="A837" s="681"/>
      <c r="B837" s="1193"/>
      <c r="C837" s="1193"/>
      <c r="D837" s="1193"/>
      <c r="E837" s="1193"/>
      <c r="F837" s="1193"/>
      <c r="G837" s="1193"/>
      <c r="H837" s="1193"/>
      <c r="I837" s="1193"/>
      <c r="J837" s="1193"/>
      <c r="K837" s="1193"/>
      <c r="L837" s="1193"/>
      <c r="M837" s="1193"/>
      <c r="N837" s="1193"/>
      <c r="O837" s="1193"/>
      <c r="P837" s="1193"/>
      <c r="Q837" s="1193"/>
      <c r="R837" s="1193"/>
      <c r="S837" s="1193"/>
      <c r="T837" s="1193"/>
      <c r="U837" s="1193"/>
      <c r="V837" s="1193"/>
      <c r="W837" s="1193"/>
      <c r="X837" s="1193"/>
      <c r="Y837" s="1193"/>
      <c r="Z837" s="1193"/>
      <c r="AA837" s="1193"/>
      <c r="AB837" s="1193"/>
      <c r="AC837" s="1193"/>
    </row>
    <row r="838" spans="1:29" x14ac:dyDescent="0.3">
      <c r="A838" s="681"/>
      <c r="B838" s="1193"/>
      <c r="C838" s="1193"/>
      <c r="D838" s="1193"/>
      <c r="E838" s="1193"/>
      <c r="F838" s="1193"/>
      <c r="G838" s="1193"/>
      <c r="H838" s="1193"/>
      <c r="I838" s="1193"/>
      <c r="J838" s="1193"/>
      <c r="K838" s="1193"/>
      <c r="L838" s="1193"/>
      <c r="M838" s="1193"/>
      <c r="N838" s="1193"/>
      <c r="O838" s="1193"/>
      <c r="P838" s="1193"/>
      <c r="Q838" s="1193"/>
      <c r="R838" s="1193"/>
      <c r="S838" s="1193"/>
      <c r="T838" s="1193"/>
      <c r="U838" s="1193"/>
      <c r="V838" s="1193"/>
      <c r="W838" s="1193"/>
      <c r="X838" s="1193"/>
      <c r="Y838" s="1193"/>
      <c r="Z838" s="1193"/>
      <c r="AA838" s="1193"/>
      <c r="AB838" s="1193"/>
      <c r="AC838" s="1193"/>
    </row>
    <row r="839" spans="1:29" x14ac:dyDescent="0.3">
      <c r="A839" s="681"/>
      <c r="B839" s="1193"/>
      <c r="C839" s="1193"/>
      <c r="D839" s="1193"/>
      <c r="E839" s="1193"/>
      <c r="F839" s="1193"/>
      <c r="G839" s="1193"/>
      <c r="H839" s="1193"/>
      <c r="I839" s="1193"/>
      <c r="J839" s="1193"/>
      <c r="K839" s="1193"/>
      <c r="L839" s="1193"/>
      <c r="M839" s="1193"/>
      <c r="N839" s="1193"/>
      <c r="O839" s="1193"/>
      <c r="P839" s="1193"/>
      <c r="Q839" s="1193"/>
      <c r="R839" s="1193"/>
      <c r="S839" s="1193"/>
      <c r="T839" s="1193"/>
      <c r="U839" s="1193"/>
      <c r="V839" s="1193"/>
      <c r="W839" s="1193"/>
      <c r="X839" s="1193"/>
      <c r="Y839" s="1193"/>
      <c r="Z839" s="1193"/>
      <c r="AA839" s="1193"/>
      <c r="AB839" s="1193"/>
      <c r="AC839" s="1193"/>
    </row>
    <row r="840" spans="1:29" x14ac:dyDescent="0.3">
      <c r="A840" s="681"/>
      <c r="B840" s="1193"/>
      <c r="C840" s="1193"/>
      <c r="D840" s="1193"/>
      <c r="E840" s="1193"/>
      <c r="F840" s="1193"/>
      <c r="G840" s="1193"/>
      <c r="H840" s="1193"/>
      <c r="I840" s="1193"/>
      <c r="J840" s="1193"/>
      <c r="K840" s="1193"/>
      <c r="L840" s="1193"/>
      <c r="M840" s="1193"/>
      <c r="N840" s="1193"/>
      <c r="O840" s="1193"/>
      <c r="P840" s="1193"/>
      <c r="Q840" s="1193"/>
      <c r="R840" s="1193"/>
      <c r="S840" s="1193"/>
      <c r="T840" s="1193"/>
      <c r="U840" s="1193"/>
      <c r="V840" s="1193"/>
      <c r="W840" s="1193"/>
      <c r="X840" s="1193"/>
      <c r="Y840" s="1193"/>
      <c r="Z840" s="1193"/>
      <c r="AA840" s="1193"/>
      <c r="AB840" s="1193"/>
      <c r="AC840" s="1193"/>
    </row>
    <row r="841" spans="1:29" x14ac:dyDescent="0.3">
      <c r="A841" s="681"/>
      <c r="B841" s="1193"/>
      <c r="C841" s="1193"/>
      <c r="D841" s="1193"/>
      <c r="E841" s="1193"/>
      <c r="F841" s="1193"/>
      <c r="G841" s="1193"/>
      <c r="H841" s="1193"/>
      <c r="I841" s="1193"/>
      <c r="J841" s="1193"/>
      <c r="K841" s="1193"/>
      <c r="L841" s="1193"/>
      <c r="M841" s="1193"/>
      <c r="N841" s="1193"/>
      <c r="O841" s="1193"/>
      <c r="P841" s="1193"/>
      <c r="Q841" s="1193"/>
      <c r="R841" s="1193"/>
      <c r="S841" s="1193"/>
      <c r="T841" s="1193"/>
      <c r="U841" s="1193"/>
      <c r="V841" s="1193"/>
      <c r="W841" s="1193"/>
      <c r="X841" s="1193"/>
      <c r="Y841" s="1193"/>
      <c r="Z841" s="1193"/>
      <c r="AA841" s="1193"/>
      <c r="AB841" s="1193"/>
      <c r="AC841" s="1193"/>
    </row>
    <row r="842" spans="1:29" x14ac:dyDescent="0.3">
      <c r="A842" s="681"/>
      <c r="B842" s="1193"/>
      <c r="C842" s="1193"/>
      <c r="D842" s="1193"/>
      <c r="E842" s="1193"/>
      <c r="F842" s="1193"/>
      <c r="G842" s="1193"/>
      <c r="H842" s="1193"/>
      <c r="I842" s="1193"/>
      <c r="J842" s="1193"/>
      <c r="K842" s="1193"/>
      <c r="L842" s="1193"/>
      <c r="M842" s="1193"/>
      <c r="N842" s="1193"/>
      <c r="O842" s="1193"/>
      <c r="P842" s="1193"/>
      <c r="Q842" s="1193"/>
      <c r="R842" s="1193"/>
      <c r="S842" s="1193"/>
      <c r="T842" s="1193"/>
      <c r="U842" s="1193"/>
      <c r="V842" s="1193"/>
      <c r="W842" s="1193"/>
      <c r="X842" s="1193"/>
      <c r="Y842" s="1193"/>
      <c r="Z842" s="1193"/>
      <c r="AA842" s="1193"/>
      <c r="AB842" s="1193"/>
      <c r="AC842" s="1193"/>
    </row>
    <row r="843" spans="1:29" x14ac:dyDescent="0.3">
      <c r="A843" s="681"/>
      <c r="B843" s="1193"/>
      <c r="C843" s="1193"/>
      <c r="D843" s="1193"/>
      <c r="E843" s="1193"/>
      <c r="F843" s="1193"/>
      <c r="G843" s="1193"/>
      <c r="H843" s="1193"/>
      <c r="I843" s="1193"/>
      <c r="J843" s="1193"/>
      <c r="K843" s="1193"/>
      <c r="L843" s="1193"/>
      <c r="M843" s="1193"/>
      <c r="N843" s="1193"/>
      <c r="O843" s="1193"/>
      <c r="P843" s="1193"/>
      <c r="Q843" s="1193"/>
      <c r="R843" s="1193"/>
      <c r="S843" s="1193"/>
      <c r="T843" s="1193"/>
      <c r="U843" s="1193"/>
      <c r="V843" s="1193"/>
      <c r="W843" s="1193"/>
      <c r="X843" s="1193"/>
      <c r="Y843" s="1193"/>
      <c r="Z843" s="1193"/>
      <c r="AA843" s="1193"/>
      <c r="AB843" s="1193"/>
      <c r="AC843" s="1193"/>
    </row>
    <row r="844" spans="1:29" x14ac:dyDescent="0.3">
      <c r="A844" s="681"/>
      <c r="B844" s="1193"/>
      <c r="C844" s="1193"/>
      <c r="D844" s="1193"/>
      <c r="E844" s="1193"/>
      <c r="F844" s="1193"/>
      <c r="G844" s="1193"/>
      <c r="H844" s="1193"/>
      <c r="I844" s="1193"/>
      <c r="J844" s="1193"/>
      <c r="K844" s="1193"/>
      <c r="L844" s="1193"/>
      <c r="M844" s="1193"/>
      <c r="N844" s="1193"/>
      <c r="O844" s="1193"/>
      <c r="P844" s="1193"/>
      <c r="Q844" s="1193"/>
      <c r="R844" s="1193"/>
      <c r="S844" s="1193"/>
      <c r="T844" s="1193"/>
      <c r="U844" s="1193"/>
      <c r="V844" s="1193"/>
      <c r="W844" s="1193"/>
      <c r="X844" s="1193"/>
      <c r="Y844" s="1193"/>
      <c r="Z844" s="1193"/>
      <c r="AA844" s="1193"/>
      <c r="AB844" s="1193"/>
      <c r="AC844" s="1193"/>
    </row>
    <row r="845" spans="1:29" x14ac:dyDescent="0.3">
      <c r="A845" s="681"/>
      <c r="B845" s="1193"/>
      <c r="C845" s="1193"/>
      <c r="D845" s="1193"/>
      <c r="E845" s="1193"/>
      <c r="F845" s="1193"/>
      <c r="G845" s="1193"/>
      <c r="H845" s="1193"/>
      <c r="I845" s="1193"/>
      <c r="J845" s="1193"/>
      <c r="K845" s="1193"/>
      <c r="L845" s="1193"/>
      <c r="M845" s="1193"/>
      <c r="N845" s="1193"/>
      <c r="O845" s="1193"/>
      <c r="P845" s="1193"/>
      <c r="Q845" s="1193"/>
      <c r="R845" s="1193"/>
      <c r="S845" s="1193"/>
      <c r="T845" s="1193"/>
      <c r="U845" s="1193"/>
      <c r="V845" s="1193"/>
      <c r="W845" s="1193"/>
      <c r="X845" s="1193"/>
      <c r="Y845" s="1193"/>
      <c r="Z845" s="1193"/>
      <c r="AA845" s="1193"/>
      <c r="AB845" s="1193"/>
      <c r="AC845" s="1193"/>
    </row>
    <row r="846" spans="1:29" x14ac:dyDescent="0.3">
      <c r="A846" s="681"/>
      <c r="B846" s="1193"/>
      <c r="C846" s="1193"/>
      <c r="D846" s="1193"/>
      <c r="E846" s="1193"/>
      <c r="F846" s="1193"/>
      <c r="G846" s="1193"/>
      <c r="H846" s="1193"/>
      <c r="I846" s="1193"/>
      <c r="J846" s="1193"/>
      <c r="K846" s="1193"/>
      <c r="L846" s="1193"/>
      <c r="M846" s="1193"/>
      <c r="N846" s="1193"/>
      <c r="O846" s="1193"/>
      <c r="P846" s="1193"/>
      <c r="Q846" s="1193"/>
      <c r="R846" s="1193"/>
      <c r="S846" s="1193"/>
      <c r="T846" s="1193"/>
      <c r="U846" s="1193"/>
      <c r="V846" s="1193"/>
      <c r="W846" s="1193"/>
      <c r="X846" s="1193"/>
      <c r="Y846" s="1193"/>
      <c r="Z846" s="1193"/>
      <c r="AA846" s="1193"/>
      <c r="AB846" s="1193"/>
      <c r="AC846" s="1193"/>
    </row>
    <row r="847" spans="1:29" x14ac:dyDescent="0.3">
      <c r="A847" s="681"/>
      <c r="B847" s="1193"/>
      <c r="C847" s="1193"/>
      <c r="D847" s="1193"/>
      <c r="E847" s="1193"/>
      <c r="F847" s="1193"/>
      <c r="G847" s="1193"/>
      <c r="H847" s="1193"/>
      <c r="I847" s="1193"/>
      <c r="J847" s="1193"/>
      <c r="K847" s="1193"/>
      <c r="L847" s="1193"/>
      <c r="M847" s="1193"/>
      <c r="N847" s="1193"/>
      <c r="O847" s="1193"/>
      <c r="P847" s="1193"/>
      <c r="Q847" s="1193"/>
      <c r="R847" s="1193"/>
      <c r="S847" s="1193"/>
      <c r="T847" s="1193"/>
      <c r="U847" s="1193"/>
      <c r="V847" s="1193"/>
      <c r="W847" s="1193"/>
      <c r="X847" s="1193"/>
      <c r="Y847" s="1193"/>
      <c r="Z847" s="1193"/>
      <c r="AA847" s="1193"/>
      <c r="AB847" s="1193"/>
      <c r="AC847" s="1193"/>
    </row>
    <row r="848" spans="1:29" x14ac:dyDescent="0.3">
      <c r="A848" s="681"/>
      <c r="B848" s="1193"/>
      <c r="C848" s="1193"/>
      <c r="D848" s="1193"/>
      <c r="E848" s="1193"/>
      <c r="F848" s="1193"/>
      <c r="G848" s="1193"/>
      <c r="H848" s="1193"/>
      <c r="I848" s="1193"/>
      <c r="J848" s="1193"/>
      <c r="K848" s="1193"/>
      <c r="L848" s="1193"/>
      <c r="M848" s="1193"/>
      <c r="N848" s="1193"/>
      <c r="O848" s="1193"/>
      <c r="P848" s="1193"/>
      <c r="Q848" s="1193"/>
      <c r="R848" s="1193"/>
      <c r="S848" s="1193"/>
      <c r="T848" s="1193"/>
      <c r="U848" s="1193"/>
      <c r="V848" s="1193"/>
      <c r="W848" s="1193"/>
      <c r="X848" s="1193"/>
      <c r="Y848" s="1193"/>
      <c r="Z848" s="1193"/>
      <c r="AA848" s="1193"/>
      <c r="AB848" s="1193"/>
      <c r="AC848" s="1193"/>
    </row>
    <row r="849" spans="1:29" x14ac:dyDescent="0.3">
      <c r="A849" s="681"/>
      <c r="B849" s="1193"/>
      <c r="C849" s="1193"/>
      <c r="D849" s="1193"/>
      <c r="E849" s="1193"/>
      <c r="F849" s="1193"/>
      <c r="G849" s="1193"/>
      <c r="H849" s="1193"/>
      <c r="I849" s="1193"/>
      <c r="J849" s="1193"/>
      <c r="K849" s="1193"/>
      <c r="L849" s="1193"/>
      <c r="M849" s="1193"/>
      <c r="N849" s="1193"/>
      <c r="O849" s="1193"/>
      <c r="P849" s="1193"/>
      <c r="Q849" s="1193"/>
      <c r="R849" s="1193"/>
      <c r="S849" s="1193"/>
      <c r="T849" s="1193"/>
      <c r="U849" s="1193"/>
      <c r="V849" s="1193"/>
      <c r="W849" s="1193"/>
      <c r="X849" s="1193"/>
      <c r="Y849" s="1193"/>
      <c r="Z849" s="1193"/>
      <c r="AA849" s="1193"/>
      <c r="AB849" s="1193"/>
      <c r="AC849" s="1193"/>
    </row>
    <row r="850" spans="1:29" x14ac:dyDescent="0.3">
      <c r="A850" s="681"/>
      <c r="B850" s="1193"/>
      <c r="C850" s="1193"/>
      <c r="D850" s="1193"/>
      <c r="E850" s="1193"/>
      <c r="F850" s="1193"/>
      <c r="G850" s="1193"/>
      <c r="H850" s="1193"/>
      <c r="I850" s="1193"/>
      <c r="J850" s="1193"/>
      <c r="K850" s="1193"/>
      <c r="L850" s="1193"/>
      <c r="M850" s="1193"/>
      <c r="N850" s="1193"/>
      <c r="O850" s="1193"/>
      <c r="P850" s="1193"/>
      <c r="Q850" s="1193"/>
      <c r="R850" s="1193"/>
      <c r="S850" s="1193"/>
      <c r="T850" s="1193"/>
      <c r="U850" s="1193"/>
      <c r="V850" s="1193"/>
      <c r="W850" s="1193"/>
      <c r="X850" s="1193"/>
      <c r="Y850" s="1193"/>
      <c r="Z850" s="1193"/>
      <c r="AA850" s="1193"/>
      <c r="AB850" s="1193"/>
      <c r="AC850" s="1193"/>
    </row>
    <row r="851" spans="1:29" x14ac:dyDescent="0.3">
      <c r="A851" s="681"/>
      <c r="B851" s="1193"/>
      <c r="C851" s="1193"/>
      <c r="D851" s="1193"/>
      <c r="E851" s="1193"/>
      <c r="F851" s="1193"/>
      <c r="G851" s="1193"/>
      <c r="H851" s="1193"/>
      <c r="I851" s="1193"/>
      <c r="J851" s="1193"/>
      <c r="K851" s="1193"/>
      <c r="L851" s="1193"/>
      <c r="M851" s="1193"/>
      <c r="N851" s="1193"/>
      <c r="O851" s="1193"/>
      <c r="P851" s="1193"/>
      <c r="Q851" s="1193"/>
      <c r="R851" s="1193"/>
      <c r="S851" s="1193"/>
      <c r="T851" s="1193"/>
      <c r="U851" s="1193"/>
      <c r="V851" s="1193"/>
      <c r="W851" s="1193"/>
      <c r="X851" s="1193"/>
      <c r="Y851" s="1193"/>
      <c r="Z851" s="1193"/>
      <c r="AA851" s="1193"/>
      <c r="AB851" s="1193"/>
      <c r="AC851" s="1193"/>
    </row>
    <row r="852" spans="1:29" x14ac:dyDescent="0.3">
      <c r="A852" s="681"/>
      <c r="B852" s="1193"/>
      <c r="C852" s="1193"/>
      <c r="D852" s="1193"/>
      <c r="E852" s="1193"/>
      <c r="F852" s="1193"/>
      <c r="G852" s="1193"/>
      <c r="H852" s="1193"/>
      <c r="I852" s="1193"/>
      <c r="J852" s="1193"/>
      <c r="K852" s="1193"/>
      <c r="L852" s="1193"/>
      <c r="M852" s="1193"/>
      <c r="N852" s="1193"/>
      <c r="O852" s="1193"/>
      <c r="P852" s="1193"/>
      <c r="Q852" s="1193"/>
      <c r="R852" s="1193"/>
      <c r="S852" s="1193"/>
      <c r="T852" s="1193"/>
      <c r="U852" s="1193"/>
      <c r="V852" s="1193"/>
      <c r="W852" s="1193"/>
      <c r="X852" s="1193"/>
      <c r="Y852" s="1193"/>
      <c r="Z852" s="1193"/>
      <c r="AA852" s="1193"/>
      <c r="AB852" s="1193"/>
      <c r="AC852" s="1193"/>
    </row>
    <row r="853" spans="1:29" x14ac:dyDescent="0.3">
      <c r="A853" s="681"/>
      <c r="B853" s="1193"/>
      <c r="C853" s="1193"/>
      <c r="D853" s="1193"/>
      <c r="E853" s="1193"/>
      <c r="F853" s="1193"/>
      <c r="G853" s="1193"/>
      <c r="H853" s="1193"/>
      <c r="I853" s="1193"/>
      <c r="J853" s="1193"/>
      <c r="K853" s="1193"/>
      <c r="L853" s="1193"/>
      <c r="M853" s="1193"/>
      <c r="N853" s="1193"/>
      <c r="O853" s="1193"/>
      <c r="P853" s="1193"/>
      <c r="Q853" s="1193"/>
      <c r="R853" s="1193"/>
      <c r="S853" s="1193"/>
      <c r="T853" s="1193"/>
      <c r="U853" s="1193"/>
      <c r="V853" s="1193"/>
      <c r="W853" s="1193"/>
      <c r="X853" s="1193"/>
      <c r="Y853" s="1193"/>
      <c r="Z853" s="1193"/>
      <c r="AA853" s="1193"/>
      <c r="AB853" s="1193"/>
      <c r="AC853" s="1193"/>
    </row>
    <row r="854" spans="1:29" x14ac:dyDescent="0.3">
      <c r="A854" s="681"/>
      <c r="B854" s="1193"/>
      <c r="C854" s="1193"/>
      <c r="D854" s="1193"/>
      <c r="E854" s="1193"/>
      <c r="F854" s="1193"/>
      <c r="G854" s="1193"/>
      <c r="H854" s="1193"/>
      <c r="I854" s="1193"/>
      <c r="J854" s="1193"/>
      <c r="K854" s="1193"/>
      <c r="L854" s="1193"/>
      <c r="M854" s="1193"/>
      <c r="N854" s="1193"/>
      <c r="O854" s="1193"/>
      <c r="P854" s="1193"/>
      <c r="Q854" s="1193"/>
      <c r="R854" s="1193"/>
      <c r="S854" s="1193"/>
      <c r="T854" s="1193"/>
      <c r="U854" s="1193"/>
      <c r="V854" s="1193"/>
      <c r="W854" s="1193"/>
      <c r="X854" s="1193"/>
      <c r="Y854" s="1193"/>
      <c r="Z854" s="1193"/>
      <c r="AA854" s="1193"/>
      <c r="AB854" s="1193"/>
      <c r="AC854" s="1193"/>
    </row>
    <row r="855" spans="1:29" x14ac:dyDescent="0.3">
      <c r="A855" s="681"/>
      <c r="B855" s="1193"/>
      <c r="C855" s="1193"/>
      <c r="D855" s="1193"/>
      <c r="E855" s="1193"/>
      <c r="F855" s="1193"/>
      <c r="G855" s="1193"/>
      <c r="H855" s="1193"/>
      <c r="I855" s="1193"/>
      <c r="J855" s="1193"/>
      <c r="K855" s="1193"/>
      <c r="L855" s="1193"/>
      <c r="M855" s="1193"/>
      <c r="N855" s="1193"/>
      <c r="O855" s="1193"/>
      <c r="P855" s="1193"/>
      <c r="Q855" s="1193"/>
      <c r="R855" s="1193"/>
      <c r="S855" s="1193"/>
      <c r="T855" s="1193"/>
      <c r="U855" s="1193"/>
      <c r="V855" s="1193"/>
      <c r="W855" s="1193"/>
      <c r="X855" s="1193"/>
      <c r="Y855" s="1193"/>
      <c r="Z855" s="1193"/>
      <c r="AA855" s="1193"/>
      <c r="AB855" s="1193"/>
      <c r="AC855" s="1193"/>
    </row>
    <row r="856" spans="1:29" x14ac:dyDescent="0.3">
      <c r="A856" s="681"/>
      <c r="B856" s="1193"/>
      <c r="C856" s="1193"/>
      <c r="D856" s="1193"/>
      <c r="E856" s="1193"/>
      <c r="F856" s="1193"/>
      <c r="G856" s="1193"/>
      <c r="H856" s="1193"/>
      <c r="I856" s="1193"/>
      <c r="J856" s="1193"/>
      <c r="K856" s="1193"/>
      <c r="L856" s="1193"/>
      <c r="M856" s="1193"/>
      <c r="N856" s="1193"/>
      <c r="O856" s="1193"/>
      <c r="P856" s="1193"/>
      <c r="Q856" s="1193"/>
      <c r="R856" s="1193"/>
      <c r="S856" s="1193"/>
      <c r="T856" s="1193"/>
      <c r="U856" s="1193"/>
      <c r="V856" s="1193"/>
      <c r="W856" s="1193"/>
      <c r="X856" s="1193"/>
      <c r="Y856" s="1193"/>
      <c r="Z856" s="1193"/>
      <c r="AA856" s="1193"/>
      <c r="AB856" s="1193"/>
      <c r="AC856" s="1193"/>
    </row>
    <row r="857" spans="1:29" x14ac:dyDescent="0.3">
      <c r="A857" s="681"/>
      <c r="B857" s="1193"/>
      <c r="C857" s="1193"/>
      <c r="D857" s="1193"/>
      <c r="E857" s="1193"/>
      <c r="F857" s="1193"/>
      <c r="G857" s="1193"/>
      <c r="H857" s="1193"/>
      <c r="I857" s="1193"/>
      <c r="J857" s="1193"/>
      <c r="K857" s="1193"/>
      <c r="L857" s="1193"/>
      <c r="M857" s="1193"/>
      <c r="N857" s="1193"/>
      <c r="O857" s="1193"/>
      <c r="P857" s="1193"/>
      <c r="Q857" s="1193"/>
      <c r="R857" s="1193"/>
      <c r="S857" s="1193"/>
      <c r="T857" s="1193"/>
      <c r="U857" s="1193"/>
      <c r="V857" s="1193"/>
      <c r="W857" s="1193"/>
      <c r="X857" s="1193"/>
      <c r="Y857" s="1193"/>
      <c r="Z857" s="1193"/>
      <c r="AA857" s="1193"/>
      <c r="AB857" s="1193"/>
      <c r="AC857" s="1193"/>
    </row>
    <row r="858" spans="1:29" x14ac:dyDescent="0.3">
      <c r="A858" s="681"/>
      <c r="B858" s="1193"/>
      <c r="C858" s="1193"/>
      <c r="D858" s="1193"/>
      <c r="E858" s="1193"/>
      <c r="F858" s="1193"/>
      <c r="G858" s="1193"/>
      <c r="H858" s="1193"/>
      <c r="I858" s="1193"/>
      <c r="J858" s="1193"/>
      <c r="K858" s="1193"/>
      <c r="L858" s="1193"/>
      <c r="M858" s="1193"/>
      <c r="N858" s="1193"/>
      <c r="O858" s="1193"/>
      <c r="P858" s="1193"/>
      <c r="Q858" s="1193"/>
      <c r="R858" s="1193"/>
      <c r="S858" s="1193"/>
      <c r="T858" s="1193"/>
      <c r="U858" s="1193"/>
      <c r="V858" s="1193"/>
      <c r="W858" s="1193"/>
      <c r="X858" s="1193"/>
      <c r="Y858" s="1193"/>
      <c r="Z858" s="1193"/>
      <c r="AA858" s="1193"/>
      <c r="AB858" s="1193"/>
      <c r="AC858" s="1193"/>
    </row>
    <row r="859" spans="1:29" x14ac:dyDescent="0.3">
      <c r="A859" s="681"/>
      <c r="B859" s="1193"/>
      <c r="C859" s="1193"/>
      <c r="D859" s="1193"/>
      <c r="E859" s="1193"/>
      <c r="F859" s="1193"/>
      <c r="G859" s="1193"/>
      <c r="H859" s="1193"/>
      <c r="I859" s="1193"/>
      <c r="J859" s="1193"/>
      <c r="K859" s="1193"/>
      <c r="L859" s="1193"/>
      <c r="M859" s="1193"/>
      <c r="N859" s="1193"/>
      <c r="O859" s="1193"/>
      <c r="P859" s="1193"/>
      <c r="Q859" s="1193"/>
      <c r="R859" s="1193"/>
      <c r="S859" s="1193"/>
      <c r="T859" s="1193"/>
      <c r="U859" s="1193"/>
      <c r="V859" s="1193"/>
      <c r="W859" s="1193"/>
      <c r="X859" s="1193"/>
      <c r="Y859" s="1193"/>
      <c r="Z859" s="1193"/>
      <c r="AA859" s="1193"/>
      <c r="AB859" s="1193"/>
      <c r="AC859" s="1193"/>
    </row>
    <row r="860" spans="1:29" x14ac:dyDescent="0.3">
      <c r="A860" s="681"/>
      <c r="B860" s="1193"/>
      <c r="C860" s="1193"/>
      <c r="D860" s="1193"/>
      <c r="E860" s="1193"/>
      <c r="F860" s="1193"/>
      <c r="G860" s="1193"/>
      <c r="H860" s="1193"/>
      <c r="I860" s="1193"/>
      <c r="J860" s="1193"/>
      <c r="K860" s="1193"/>
      <c r="L860" s="1193"/>
      <c r="M860" s="1193"/>
      <c r="N860" s="1193"/>
      <c r="O860" s="1193"/>
      <c r="P860" s="1193"/>
      <c r="Q860" s="1193"/>
      <c r="R860" s="1193"/>
      <c r="S860" s="1193"/>
      <c r="T860" s="1193"/>
      <c r="U860" s="1193"/>
      <c r="V860" s="1193"/>
      <c r="W860" s="1193"/>
      <c r="X860" s="1193"/>
      <c r="Y860" s="1193"/>
      <c r="Z860" s="1193"/>
      <c r="AA860" s="1193"/>
      <c r="AB860" s="1193"/>
      <c r="AC860" s="1193"/>
    </row>
    <row r="861" spans="1:29" x14ac:dyDescent="0.3">
      <c r="A861" s="681"/>
      <c r="B861" s="1193"/>
      <c r="C861" s="1193"/>
      <c r="D861" s="1193"/>
      <c r="E861" s="1193"/>
      <c r="F861" s="1193"/>
      <c r="G861" s="1193"/>
      <c r="H861" s="1193"/>
      <c r="I861" s="1193"/>
      <c r="J861" s="1193"/>
      <c r="K861" s="1193"/>
      <c r="L861" s="1193"/>
      <c r="M861" s="1193"/>
      <c r="N861" s="1193"/>
      <c r="O861" s="1193"/>
      <c r="P861" s="1193"/>
      <c r="Q861" s="1193"/>
      <c r="R861" s="1193"/>
      <c r="S861" s="1193"/>
      <c r="T861" s="1193"/>
      <c r="U861" s="1193"/>
      <c r="V861" s="1193"/>
      <c r="W861" s="1193"/>
      <c r="X861" s="1193"/>
      <c r="Y861" s="1193"/>
      <c r="Z861" s="1193"/>
      <c r="AA861" s="1193"/>
      <c r="AB861" s="1193"/>
      <c r="AC861" s="1193"/>
    </row>
    <row r="862" spans="1:29" x14ac:dyDescent="0.3">
      <c r="A862" s="681"/>
      <c r="B862" s="1193"/>
      <c r="C862" s="1193"/>
      <c r="D862" s="1193"/>
      <c r="E862" s="1193"/>
      <c r="F862" s="1193"/>
      <c r="G862" s="1193"/>
      <c r="H862" s="1193"/>
      <c r="I862" s="1193"/>
      <c r="J862" s="1193"/>
      <c r="K862" s="1193"/>
      <c r="L862" s="1193"/>
      <c r="M862" s="1193"/>
      <c r="N862" s="1193"/>
      <c r="O862" s="1193"/>
      <c r="P862" s="1193"/>
      <c r="Q862" s="1193"/>
      <c r="R862" s="1193"/>
      <c r="S862" s="1193"/>
      <c r="T862" s="1193"/>
      <c r="U862" s="1193"/>
      <c r="V862" s="1193"/>
      <c r="W862" s="1193"/>
      <c r="X862" s="1193"/>
      <c r="Y862" s="1193"/>
      <c r="Z862" s="1193"/>
      <c r="AA862" s="1193"/>
      <c r="AB862" s="1193"/>
      <c r="AC862" s="1193"/>
    </row>
    <row r="863" spans="1:29" x14ac:dyDescent="0.3">
      <c r="A863" s="681"/>
      <c r="B863" s="1193"/>
      <c r="C863" s="1193"/>
      <c r="D863" s="1193"/>
      <c r="E863" s="1193"/>
      <c r="F863" s="1193"/>
      <c r="G863" s="1193"/>
      <c r="H863" s="1193"/>
      <c r="I863" s="1193"/>
      <c r="J863" s="1193"/>
      <c r="K863" s="1193"/>
      <c r="L863" s="1193"/>
      <c r="M863" s="1193"/>
      <c r="N863" s="1193"/>
      <c r="O863" s="1193"/>
      <c r="P863" s="1193"/>
      <c r="Q863" s="1193"/>
      <c r="R863" s="1193"/>
      <c r="S863" s="1193"/>
      <c r="T863" s="1193"/>
      <c r="U863" s="1193"/>
      <c r="V863" s="1193"/>
      <c r="W863" s="1193"/>
      <c r="X863" s="1193"/>
      <c r="Y863" s="1193"/>
      <c r="Z863" s="1193"/>
      <c r="AA863" s="1193"/>
      <c r="AB863" s="1193"/>
      <c r="AC863" s="1193"/>
    </row>
    <row r="864" spans="1:29" x14ac:dyDescent="0.3">
      <c r="A864" s="681"/>
      <c r="B864" s="1193"/>
      <c r="C864" s="1193"/>
      <c r="D864" s="1193"/>
      <c r="E864" s="1193"/>
      <c r="F864" s="1193"/>
      <c r="G864" s="1193"/>
      <c r="H864" s="1193"/>
      <c r="I864" s="1193"/>
      <c r="J864" s="1193"/>
      <c r="K864" s="1193"/>
      <c r="L864" s="1193"/>
      <c r="M864" s="1193"/>
      <c r="N864" s="1193"/>
      <c r="O864" s="1193"/>
      <c r="P864" s="1193"/>
      <c r="Q864" s="1193"/>
      <c r="R864" s="1193"/>
      <c r="S864" s="1193"/>
      <c r="T864" s="1193"/>
      <c r="U864" s="1193"/>
      <c r="V864" s="1193"/>
      <c r="W864" s="1193"/>
      <c r="X864" s="1193"/>
      <c r="Y864" s="1193"/>
      <c r="Z864" s="1193"/>
      <c r="AA864" s="1193"/>
      <c r="AB864" s="1193"/>
      <c r="AC864" s="1193"/>
    </row>
    <row r="865" spans="1:29" x14ac:dyDescent="0.3">
      <c r="A865" s="681"/>
      <c r="B865" s="1193"/>
      <c r="C865" s="1193"/>
      <c r="D865" s="1193"/>
      <c r="E865" s="1193"/>
      <c r="F865" s="1193"/>
      <c r="G865" s="1193"/>
      <c r="H865" s="1193"/>
      <c r="I865" s="1193"/>
      <c r="J865" s="1193"/>
      <c r="K865" s="1193"/>
      <c r="L865" s="1193"/>
      <c r="M865" s="1193"/>
      <c r="N865" s="1193"/>
      <c r="O865" s="1193"/>
      <c r="P865" s="1193"/>
      <c r="Q865" s="1193"/>
      <c r="R865" s="1193"/>
      <c r="S865" s="1193"/>
      <c r="T865" s="1193"/>
      <c r="U865" s="1193"/>
      <c r="V865" s="1193"/>
      <c r="W865" s="1193"/>
      <c r="X865" s="1193"/>
      <c r="Y865" s="1193"/>
      <c r="Z865" s="1193"/>
      <c r="AA865" s="1193"/>
      <c r="AB865" s="1193"/>
      <c r="AC865" s="1193"/>
    </row>
    <row r="866" spans="1:29" x14ac:dyDescent="0.3">
      <c r="A866" s="681"/>
      <c r="B866" s="1193"/>
      <c r="C866" s="1193"/>
      <c r="D866" s="1193"/>
      <c r="E866" s="1193"/>
      <c r="F866" s="1193"/>
      <c r="G866" s="1193"/>
      <c r="H866" s="1193"/>
      <c r="I866" s="1193"/>
      <c r="J866" s="1193"/>
      <c r="K866" s="1193"/>
      <c r="L866" s="1193"/>
      <c r="M866" s="1193"/>
      <c r="N866" s="1193"/>
      <c r="O866" s="1193"/>
      <c r="P866" s="1193"/>
      <c r="Q866" s="1193"/>
      <c r="R866" s="1193"/>
      <c r="S866" s="1193"/>
      <c r="T866" s="1193"/>
      <c r="U866" s="1193"/>
      <c r="V866" s="1193"/>
      <c r="W866" s="1193"/>
      <c r="X866" s="1193"/>
      <c r="Y866" s="1193"/>
      <c r="Z866" s="1193"/>
      <c r="AA866" s="1193"/>
      <c r="AB866" s="1193"/>
      <c r="AC866" s="1193"/>
    </row>
    <row r="867" spans="1:29" x14ac:dyDescent="0.3">
      <c r="A867" s="681"/>
      <c r="B867" s="1193"/>
      <c r="C867" s="1193"/>
      <c r="D867" s="1193"/>
      <c r="E867" s="1193"/>
      <c r="F867" s="1193"/>
      <c r="G867" s="1193"/>
      <c r="H867" s="1193"/>
      <c r="I867" s="1193"/>
      <c r="J867" s="1193"/>
      <c r="K867" s="1193"/>
      <c r="L867" s="1193"/>
      <c r="M867" s="1193"/>
      <c r="N867" s="1193"/>
      <c r="O867" s="1193"/>
      <c r="P867" s="1193"/>
      <c r="Q867" s="1193"/>
      <c r="R867" s="1193"/>
      <c r="S867" s="1193"/>
      <c r="T867" s="1193"/>
      <c r="U867" s="1193"/>
      <c r="V867" s="1193"/>
      <c r="W867" s="1193"/>
      <c r="X867" s="1193"/>
      <c r="Y867" s="1193"/>
      <c r="Z867" s="1193"/>
      <c r="AA867" s="1193"/>
      <c r="AB867" s="1193"/>
      <c r="AC867" s="1193"/>
    </row>
    <row r="868" spans="1:29" x14ac:dyDescent="0.3">
      <c r="A868" s="681"/>
      <c r="B868" s="1193"/>
      <c r="C868" s="1193"/>
      <c r="D868" s="1193"/>
      <c r="E868" s="1193"/>
      <c r="F868" s="1193"/>
      <c r="G868" s="1193"/>
      <c r="H868" s="1193"/>
      <c r="I868" s="1193"/>
      <c r="J868" s="1193"/>
      <c r="K868" s="1193"/>
      <c r="L868" s="1193"/>
      <c r="M868" s="1193"/>
      <c r="N868" s="1193"/>
      <c r="O868" s="1193"/>
      <c r="P868" s="1193"/>
      <c r="Q868" s="1193"/>
      <c r="R868" s="1193"/>
      <c r="S868" s="1193"/>
      <c r="T868" s="1193"/>
      <c r="U868" s="1193"/>
      <c r="V868" s="1193"/>
      <c r="W868" s="1193"/>
      <c r="X868" s="1193"/>
      <c r="Y868" s="1193"/>
      <c r="Z868" s="1193"/>
      <c r="AA868" s="1193"/>
      <c r="AB868" s="1193"/>
      <c r="AC868" s="1193"/>
    </row>
    <row r="869" spans="1:29" x14ac:dyDescent="0.3">
      <c r="A869" s="681"/>
      <c r="B869" s="1193"/>
      <c r="C869" s="1193"/>
      <c r="D869" s="1193"/>
      <c r="E869" s="1193"/>
      <c r="F869" s="1193"/>
      <c r="G869" s="1193"/>
      <c r="H869" s="1193"/>
      <c r="I869" s="1193"/>
      <c r="J869" s="1193"/>
      <c r="K869" s="1193"/>
      <c r="L869" s="1193"/>
      <c r="M869" s="1193"/>
      <c r="N869" s="1193"/>
      <c r="O869" s="1193"/>
      <c r="P869" s="1193"/>
      <c r="Q869" s="1193"/>
      <c r="R869" s="1193"/>
      <c r="S869" s="1193"/>
      <c r="T869" s="1193"/>
      <c r="U869" s="1193"/>
      <c r="V869" s="1193"/>
      <c r="W869" s="1193"/>
      <c r="X869" s="1193"/>
      <c r="Y869" s="1193"/>
      <c r="Z869" s="1193"/>
      <c r="AA869" s="1193"/>
      <c r="AB869" s="1193"/>
      <c r="AC869" s="1193"/>
    </row>
    <row r="870" spans="1:29" x14ac:dyDescent="0.3">
      <c r="A870" s="681"/>
      <c r="B870" s="1193"/>
      <c r="C870" s="1193"/>
      <c r="D870" s="1193"/>
      <c r="E870" s="1193"/>
      <c r="F870" s="1193"/>
      <c r="G870" s="1193"/>
      <c r="H870" s="1193"/>
      <c r="I870" s="1193"/>
      <c r="J870" s="1193"/>
      <c r="K870" s="1193"/>
      <c r="L870" s="1193"/>
      <c r="M870" s="1193"/>
      <c r="N870" s="1193"/>
      <c r="O870" s="1193"/>
      <c r="P870" s="1193"/>
      <c r="Q870" s="1193"/>
      <c r="R870" s="1193"/>
      <c r="S870" s="1193"/>
      <c r="T870" s="1193"/>
      <c r="U870" s="1193"/>
      <c r="V870" s="1193"/>
      <c r="W870" s="1193"/>
      <c r="X870" s="1193"/>
      <c r="Y870" s="1193"/>
      <c r="Z870" s="1193"/>
      <c r="AA870" s="1193"/>
      <c r="AB870" s="1193"/>
      <c r="AC870" s="1193"/>
    </row>
    <row r="871" spans="1:29" x14ac:dyDescent="0.3">
      <c r="A871" s="681"/>
      <c r="B871" s="1193"/>
      <c r="C871" s="1193"/>
      <c r="D871" s="1193"/>
      <c r="E871" s="1193"/>
      <c r="F871" s="1193"/>
      <c r="G871" s="1193"/>
      <c r="H871" s="1193"/>
      <c r="I871" s="1193"/>
      <c r="J871" s="1193"/>
      <c r="K871" s="1193"/>
      <c r="L871" s="1193"/>
      <c r="M871" s="1193"/>
      <c r="N871" s="1193"/>
      <c r="O871" s="1193"/>
      <c r="P871" s="1193"/>
      <c r="Q871" s="1193"/>
      <c r="R871" s="1193"/>
      <c r="S871" s="1193"/>
      <c r="T871" s="1193"/>
      <c r="U871" s="1193"/>
      <c r="V871" s="1193"/>
      <c r="W871" s="1193"/>
      <c r="X871" s="1193"/>
      <c r="Y871" s="1193"/>
      <c r="Z871" s="1193"/>
      <c r="AA871" s="1193"/>
      <c r="AB871" s="1193"/>
      <c r="AC871" s="1193"/>
    </row>
    <row r="872" spans="1:29" x14ac:dyDescent="0.3">
      <c r="A872" s="681"/>
      <c r="B872" s="1193"/>
      <c r="C872" s="1193"/>
      <c r="D872" s="1193"/>
      <c r="E872" s="1193"/>
      <c r="F872" s="1193"/>
      <c r="G872" s="1193"/>
      <c r="H872" s="1193"/>
      <c r="I872" s="1193"/>
      <c r="J872" s="1193"/>
      <c r="K872" s="1193"/>
      <c r="L872" s="1193"/>
      <c r="M872" s="1193"/>
      <c r="N872" s="1193"/>
      <c r="O872" s="1193"/>
      <c r="P872" s="1193"/>
      <c r="Q872" s="1193"/>
      <c r="R872" s="1193"/>
      <c r="S872" s="1193"/>
      <c r="T872" s="1193"/>
      <c r="U872" s="1193"/>
      <c r="V872" s="1193"/>
      <c r="W872" s="1193"/>
      <c r="X872" s="1193"/>
      <c r="Y872" s="1193"/>
      <c r="Z872" s="1193"/>
      <c r="AA872" s="1193"/>
      <c r="AB872" s="1193"/>
      <c r="AC872" s="1193"/>
    </row>
    <row r="873" spans="1:29" x14ac:dyDescent="0.3">
      <c r="A873" s="681"/>
      <c r="B873" s="1193"/>
      <c r="C873" s="1193"/>
      <c r="D873" s="1193"/>
      <c r="E873" s="1193"/>
      <c r="F873" s="1193"/>
      <c r="G873" s="1193"/>
      <c r="H873" s="1193"/>
      <c r="I873" s="1193"/>
      <c r="J873" s="1193"/>
      <c r="K873" s="1193"/>
      <c r="L873" s="1193"/>
      <c r="M873" s="1193"/>
      <c r="N873" s="1193"/>
      <c r="O873" s="1193"/>
      <c r="P873" s="1193"/>
      <c r="Q873" s="1193"/>
      <c r="R873" s="1193"/>
      <c r="S873" s="1193"/>
      <c r="T873" s="1193"/>
      <c r="U873" s="1193"/>
      <c r="V873" s="1193"/>
      <c r="W873" s="1193"/>
      <c r="X873" s="1193"/>
      <c r="Y873" s="1193"/>
      <c r="Z873" s="1193"/>
      <c r="AA873" s="1193"/>
      <c r="AB873" s="1193"/>
      <c r="AC873" s="1193"/>
    </row>
    <row r="874" spans="1:29" x14ac:dyDescent="0.3">
      <c r="A874" s="681"/>
      <c r="B874" s="1193"/>
      <c r="C874" s="1193"/>
      <c r="D874" s="1193"/>
      <c r="E874" s="1193"/>
      <c r="F874" s="1193"/>
      <c r="G874" s="1193"/>
      <c r="H874" s="1193"/>
      <c r="I874" s="1193"/>
      <c r="J874" s="1193"/>
      <c r="K874" s="1193"/>
      <c r="L874" s="1193"/>
      <c r="M874" s="1193"/>
      <c r="N874" s="1193"/>
      <c r="O874" s="1193"/>
      <c r="P874" s="1193"/>
      <c r="Q874" s="1193"/>
      <c r="R874" s="1193"/>
      <c r="S874" s="1193"/>
      <c r="T874" s="1193"/>
      <c r="U874" s="1193"/>
      <c r="V874" s="1193"/>
      <c r="W874" s="1193"/>
      <c r="X874" s="1193"/>
      <c r="Y874" s="1193"/>
      <c r="Z874" s="1193"/>
      <c r="AA874" s="1193"/>
      <c r="AB874" s="1193"/>
      <c r="AC874" s="1193"/>
    </row>
    <row r="875" spans="1:29" x14ac:dyDescent="0.3">
      <c r="A875" s="681"/>
      <c r="B875" s="1193"/>
      <c r="C875" s="1193"/>
      <c r="D875" s="1193"/>
      <c r="E875" s="1193"/>
      <c r="F875" s="1193"/>
      <c r="G875" s="1193"/>
      <c r="H875" s="1193"/>
      <c r="I875" s="1193"/>
      <c r="J875" s="1193"/>
      <c r="K875" s="1193"/>
      <c r="L875" s="1193"/>
      <c r="M875" s="1193"/>
      <c r="N875" s="1193"/>
      <c r="O875" s="1193"/>
      <c r="P875" s="1193"/>
      <c r="Q875" s="1193"/>
      <c r="R875" s="1193"/>
      <c r="S875" s="1193"/>
      <c r="T875" s="1193"/>
      <c r="U875" s="1193"/>
      <c r="V875" s="1193"/>
      <c r="W875" s="1193"/>
      <c r="X875" s="1193"/>
      <c r="Y875" s="1193"/>
      <c r="Z875" s="1193"/>
      <c r="AA875" s="1193"/>
      <c r="AB875" s="1193"/>
      <c r="AC875" s="1193"/>
    </row>
    <row r="876" spans="1:29" x14ac:dyDescent="0.3">
      <c r="A876" s="681"/>
      <c r="B876" s="1193"/>
      <c r="C876" s="1193"/>
      <c r="D876" s="1193"/>
      <c r="E876" s="1193"/>
      <c r="F876" s="1193"/>
      <c r="G876" s="1193"/>
      <c r="H876" s="1193"/>
      <c r="I876" s="1193"/>
      <c r="J876" s="1193"/>
      <c r="K876" s="1193"/>
      <c r="L876" s="1193"/>
      <c r="M876" s="1193"/>
      <c r="N876" s="1193"/>
      <c r="O876" s="1193"/>
      <c r="P876" s="1193"/>
      <c r="Q876" s="1193"/>
      <c r="R876" s="1193"/>
      <c r="S876" s="1193"/>
      <c r="T876" s="1193"/>
      <c r="U876" s="1193"/>
      <c r="V876" s="1193"/>
      <c r="W876" s="1193"/>
      <c r="X876" s="1193"/>
      <c r="Y876" s="1193"/>
      <c r="Z876" s="1193"/>
      <c r="AA876" s="1193"/>
      <c r="AB876" s="1193"/>
      <c r="AC876" s="1193"/>
    </row>
    <row r="877" spans="1:29" x14ac:dyDescent="0.3">
      <c r="A877" s="681"/>
      <c r="B877" s="1193"/>
      <c r="C877" s="1193"/>
      <c r="D877" s="1193"/>
      <c r="E877" s="1193"/>
      <c r="F877" s="1193"/>
      <c r="G877" s="1193"/>
      <c r="H877" s="1193"/>
      <c r="I877" s="1193"/>
      <c r="J877" s="1193"/>
      <c r="K877" s="1193"/>
      <c r="L877" s="1193"/>
      <c r="M877" s="1193"/>
      <c r="N877" s="1193"/>
      <c r="O877" s="1193"/>
      <c r="P877" s="1193"/>
      <c r="Q877" s="1193"/>
      <c r="R877" s="1193"/>
      <c r="S877" s="1193"/>
      <c r="T877" s="1193"/>
      <c r="U877" s="1193"/>
      <c r="V877" s="1193"/>
      <c r="W877" s="1193"/>
      <c r="X877" s="1193"/>
      <c r="Y877" s="1193"/>
      <c r="Z877" s="1193"/>
      <c r="AA877" s="1193"/>
      <c r="AB877" s="1193"/>
      <c r="AC877" s="1193"/>
    </row>
    <row r="878" spans="1:29" x14ac:dyDescent="0.3">
      <c r="A878" s="681"/>
      <c r="B878" s="1193"/>
      <c r="C878" s="1193"/>
      <c r="D878" s="1193"/>
      <c r="E878" s="1193"/>
      <c r="F878" s="1193"/>
      <c r="G878" s="1193"/>
      <c r="H878" s="1193"/>
      <c r="I878" s="1193"/>
      <c r="J878" s="1193"/>
      <c r="K878" s="1193"/>
      <c r="L878" s="1193"/>
      <c r="M878" s="1193"/>
      <c r="N878" s="1193"/>
      <c r="O878" s="1193"/>
      <c r="P878" s="1193"/>
      <c r="Q878" s="1193"/>
      <c r="R878" s="1193"/>
      <c r="S878" s="1193"/>
      <c r="T878" s="1193"/>
      <c r="U878" s="1193"/>
      <c r="V878" s="1193"/>
      <c r="W878" s="1193"/>
      <c r="X878" s="1193"/>
      <c r="Y878" s="1193"/>
      <c r="Z878" s="1193"/>
      <c r="AA878" s="1193"/>
      <c r="AB878" s="1193"/>
      <c r="AC878" s="1193"/>
    </row>
    <row r="879" spans="1:29" x14ac:dyDescent="0.3">
      <c r="A879" s="681"/>
      <c r="B879" s="1193"/>
      <c r="C879" s="1193"/>
      <c r="D879" s="1193"/>
      <c r="E879" s="1193"/>
      <c r="F879" s="1193"/>
      <c r="G879" s="1193"/>
      <c r="H879" s="1193"/>
      <c r="I879" s="1193"/>
      <c r="J879" s="1193"/>
      <c r="K879" s="1193"/>
      <c r="L879" s="1193"/>
      <c r="M879" s="1193"/>
      <c r="N879" s="1193"/>
      <c r="O879" s="1193"/>
      <c r="P879" s="1193"/>
      <c r="Q879" s="1193"/>
      <c r="R879" s="1193"/>
      <c r="S879" s="1193"/>
      <c r="T879" s="1193"/>
      <c r="U879" s="1193"/>
      <c r="V879" s="1193"/>
      <c r="W879" s="1193"/>
      <c r="X879" s="1193"/>
      <c r="Y879" s="1193"/>
      <c r="Z879" s="1193"/>
      <c r="AA879" s="1193"/>
      <c r="AB879" s="1193"/>
      <c r="AC879" s="1193"/>
    </row>
    <row r="880" spans="1:29" x14ac:dyDescent="0.3">
      <c r="A880" s="681"/>
      <c r="B880" s="1193"/>
      <c r="C880" s="1193"/>
      <c r="D880" s="1193"/>
      <c r="E880" s="1193"/>
      <c r="F880" s="1193"/>
      <c r="G880" s="1193"/>
      <c r="H880" s="1193"/>
      <c r="I880" s="1193"/>
      <c r="J880" s="1193"/>
      <c r="K880" s="1193"/>
      <c r="L880" s="1193"/>
      <c r="M880" s="1193"/>
      <c r="N880" s="1193"/>
      <c r="O880" s="1193"/>
      <c r="P880" s="1193"/>
      <c r="Q880" s="1193"/>
      <c r="R880" s="1193"/>
      <c r="S880" s="1193"/>
      <c r="T880" s="1193"/>
      <c r="U880" s="1193"/>
      <c r="V880" s="1193"/>
      <c r="W880" s="1193"/>
      <c r="X880" s="1193"/>
      <c r="Y880" s="1193"/>
      <c r="Z880" s="1193"/>
      <c r="AA880" s="1193"/>
      <c r="AB880" s="1193"/>
      <c r="AC880" s="1193"/>
    </row>
    <row r="881" spans="1:29" x14ac:dyDescent="0.3">
      <c r="A881" s="681"/>
      <c r="B881" s="1193"/>
      <c r="C881" s="1193"/>
      <c r="D881" s="1193"/>
      <c r="E881" s="1193"/>
      <c r="F881" s="1193"/>
      <c r="G881" s="1193"/>
      <c r="H881" s="1193"/>
      <c r="I881" s="1193"/>
      <c r="J881" s="1193"/>
      <c r="K881" s="1193"/>
      <c r="L881" s="1193"/>
      <c r="M881" s="1193"/>
      <c r="N881" s="1193"/>
      <c r="O881" s="1193"/>
      <c r="P881" s="1193"/>
      <c r="Q881" s="1193"/>
      <c r="R881" s="1193"/>
      <c r="S881" s="1193"/>
      <c r="T881" s="1193"/>
      <c r="U881" s="1193"/>
      <c r="V881" s="1193"/>
      <c r="W881" s="1193"/>
      <c r="X881" s="1193"/>
      <c r="Y881" s="1193"/>
      <c r="Z881" s="1193"/>
      <c r="AA881" s="1193"/>
      <c r="AB881" s="1193"/>
      <c r="AC881" s="1193"/>
    </row>
    <row r="882" spans="1:29" x14ac:dyDescent="0.3">
      <c r="A882" s="681"/>
      <c r="B882" s="1193"/>
      <c r="C882" s="1193"/>
      <c r="D882" s="1193"/>
      <c r="E882" s="1193"/>
      <c r="F882" s="1193"/>
      <c r="G882" s="1193"/>
      <c r="H882" s="1193"/>
      <c r="I882" s="1193"/>
      <c r="J882" s="1193"/>
      <c r="K882" s="1193"/>
      <c r="L882" s="1193"/>
      <c r="M882" s="1193"/>
      <c r="N882" s="1193"/>
      <c r="O882" s="1193"/>
      <c r="P882" s="1193"/>
      <c r="Q882" s="1193"/>
      <c r="R882" s="1193"/>
      <c r="S882" s="1193"/>
      <c r="T882" s="1193"/>
      <c r="U882" s="1193"/>
      <c r="V882" s="1193"/>
      <c r="W882" s="1193"/>
      <c r="X882" s="1193"/>
      <c r="Y882" s="1193"/>
      <c r="Z882" s="1193"/>
      <c r="AA882" s="1193"/>
      <c r="AB882" s="1193"/>
      <c r="AC882" s="1193"/>
    </row>
    <row r="883" spans="1:29" x14ac:dyDescent="0.3">
      <c r="A883" s="681"/>
      <c r="B883" s="1193"/>
      <c r="C883" s="1193"/>
      <c r="D883" s="1193"/>
      <c r="E883" s="1193"/>
      <c r="F883" s="1193"/>
      <c r="G883" s="1193"/>
      <c r="H883" s="1193"/>
      <c r="I883" s="1193"/>
      <c r="J883" s="1193"/>
      <c r="K883" s="1193"/>
      <c r="L883" s="1193"/>
      <c r="M883" s="1193"/>
      <c r="N883" s="1193"/>
      <c r="O883" s="1193"/>
      <c r="P883" s="1193"/>
      <c r="Q883" s="1193"/>
      <c r="R883" s="1193"/>
      <c r="S883" s="1193"/>
      <c r="T883" s="1193"/>
      <c r="U883" s="1193"/>
      <c r="V883" s="1193"/>
      <c r="W883" s="1193"/>
      <c r="X883" s="1193"/>
      <c r="Y883" s="1193"/>
      <c r="Z883" s="1193"/>
      <c r="AA883" s="1193"/>
      <c r="AB883" s="1193"/>
      <c r="AC883" s="1193"/>
    </row>
    <row r="884" spans="1:29" x14ac:dyDescent="0.3">
      <c r="A884" s="681"/>
      <c r="B884" s="1193"/>
      <c r="C884" s="1193"/>
      <c r="D884" s="1193"/>
      <c r="E884" s="1193"/>
      <c r="F884" s="1193"/>
      <c r="G884" s="1193"/>
      <c r="H884" s="1193"/>
      <c r="I884" s="1193"/>
      <c r="J884" s="1193"/>
      <c r="K884" s="1193"/>
      <c r="L884" s="1193"/>
      <c r="M884" s="1193"/>
      <c r="N884" s="1193"/>
      <c r="O884" s="1193"/>
      <c r="P884" s="1193"/>
      <c r="Q884" s="1193"/>
      <c r="R884" s="1193"/>
      <c r="S884" s="1193"/>
      <c r="T884" s="1193"/>
      <c r="U884" s="1193"/>
      <c r="V884" s="1193"/>
      <c r="W884" s="1193"/>
      <c r="X884" s="1193"/>
      <c r="Y884" s="1193"/>
      <c r="Z884" s="1193"/>
      <c r="AA884" s="1193"/>
      <c r="AB884" s="1193"/>
      <c r="AC884" s="1193"/>
    </row>
    <row r="885" spans="1:29" x14ac:dyDescent="0.3">
      <c r="A885" s="681"/>
      <c r="B885" s="1193"/>
      <c r="C885" s="1193"/>
      <c r="D885" s="1193"/>
      <c r="E885" s="1193"/>
      <c r="F885" s="1193"/>
      <c r="G885" s="1193"/>
      <c r="H885" s="1193"/>
      <c r="I885" s="1193"/>
      <c r="J885" s="1193"/>
      <c r="K885" s="1193"/>
      <c r="L885" s="1193"/>
      <c r="M885" s="1193"/>
      <c r="N885" s="1193"/>
      <c r="O885" s="1193"/>
      <c r="P885" s="1193"/>
      <c r="Q885" s="1193"/>
      <c r="R885" s="1193"/>
      <c r="S885" s="1193"/>
      <c r="T885" s="1193"/>
      <c r="U885" s="1193"/>
      <c r="V885" s="1193"/>
      <c r="W885" s="1193"/>
      <c r="X885" s="1193"/>
      <c r="Y885" s="1193"/>
      <c r="Z885" s="1193"/>
      <c r="AA885" s="1193"/>
      <c r="AB885" s="1193"/>
      <c r="AC885" s="1193"/>
    </row>
    <row r="886" spans="1:29" x14ac:dyDescent="0.3">
      <c r="A886" s="681"/>
      <c r="B886" s="1193"/>
      <c r="C886" s="1193"/>
      <c r="D886" s="1193"/>
      <c r="E886" s="1193"/>
      <c r="F886" s="1193"/>
      <c r="G886" s="1193"/>
      <c r="H886" s="1193"/>
      <c r="I886" s="1193"/>
      <c r="J886" s="1193"/>
      <c r="K886" s="1193"/>
      <c r="L886" s="1193"/>
      <c r="M886" s="1193"/>
      <c r="N886" s="1193"/>
      <c r="O886" s="1193"/>
      <c r="P886" s="1193"/>
      <c r="Q886" s="1193"/>
      <c r="R886" s="1193"/>
      <c r="S886" s="1193"/>
      <c r="T886" s="1193"/>
      <c r="U886" s="1193"/>
      <c r="V886" s="1193"/>
      <c r="W886" s="1193"/>
      <c r="X886" s="1193"/>
      <c r="Y886" s="1193"/>
      <c r="Z886" s="1193"/>
      <c r="AA886" s="1193"/>
      <c r="AB886" s="1193"/>
      <c r="AC886" s="1193"/>
    </row>
    <row r="887" spans="1:29" x14ac:dyDescent="0.3">
      <c r="A887" s="681"/>
      <c r="B887" s="1193"/>
      <c r="C887" s="1193"/>
      <c r="D887" s="1193"/>
      <c r="E887" s="1193"/>
      <c r="F887" s="1193"/>
      <c r="G887" s="1193"/>
      <c r="H887" s="1193"/>
      <c r="I887" s="1193"/>
      <c r="J887" s="1193"/>
      <c r="K887" s="1193"/>
      <c r="L887" s="1193"/>
      <c r="M887" s="1193"/>
      <c r="N887" s="1193"/>
      <c r="O887" s="1193"/>
      <c r="P887" s="1193"/>
      <c r="Q887" s="1193"/>
      <c r="R887" s="1193"/>
      <c r="S887" s="1193"/>
      <c r="T887" s="1193"/>
      <c r="U887" s="1193"/>
      <c r="V887" s="1193"/>
      <c r="W887" s="1193"/>
      <c r="X887" s="1193"/>
      <c r="Y887" s="1193"/>
      <c r="Z887" s="1193"/>
      <c r="AA887" s="1193"/>
      <c r="AB887" s="1193"/>
      <c r="AC887" s="1193"/>
    </row>
    <row r="888" spans="1:29" x14ac:dyDescent="0.3">
      <c r="A888" s="681"/>
      <c r="B888" s="1193"/>
      <c r="C888" s="1193"/>
      <c r="D888" s="1193"/>
      <c r="E888" s="1193"/>
      <c r="F888" s="1193"/>
      <c r="G888" s="1193"/>
      <c r="H888" s="1193"/>
      <c r="I888" s="1193"/>
      <c r="J888" s="1193"/>
      <c r="K888" s="1193"/>
      <c r="L888" s="1193"/>
      <c r="M888" s="1193"/>
      <c r="N888" s="1193"/>
      <c r="O888" s="1193"/>
      <c r="P888" s="1193"/>
      <c r="Q888" s="1193"/>
      <c r="R888" s="1193"/>
      <c r="S888" s="1193"/>
      <c r="T888" s="1193"/>
      <c r="U888" s="1193"/>
      <c r="V888" s="1193"/>
      <c r="W888" s="1193"/>
      <c r="X888" s="1193"/>
      <c r="Y888" s="1193"/>
      <c r="Z888" s="1193"/>
      <c r="AA888" s="1193"/>
      <c r="AB888" s="1193"/>
      <c r="AC888" s="1193"/>
    </row>
    <row r="889" spans="1:29" x14ac:dyDescent="0.3">
      <c r="A889" s="681"/>
      <c r="B889" s="1193"/>
      <c r="C889" s="1193"/>
      <c r="D889" s="1193"/>
      <c r="E889" s="1193"/>
      <c r="F889" s="1193"/>
      <c r="G889" s="1193"/>
      <c r="H889" s="1193"/>
      <c r="I889" s="1193"/>
      <c r="J889" s="1193"/>
      <c r="K889" s="1193"/>
      <c r="L889" s="1193"/>
      <c r="M889" s="1193"/>
      <c r="N889" s="1193"/>
      <c r="O889" s="1193"/>
      <c r="P889" s="1193"/>
      <c r="Q889" s="1193"/>
      <c r="R889" s="1193"/>
      <c r="S889" s="1193"/>
      <c r="T889" s="1193"/>
      <c r="U889" s="1193"/>
      <c r="V889" s="1193"/>
      <c r="W889" s="1193"/>
      <c r="X889" s="1193"/>
      <c r="Y889" s="1193"/>
      <c r="Z889" s="1193"/>
      <c r="AA889" s="1193"/>
      <c r="AB889" s="1193"/>
      <c r="AC889" s="1193"/>
    </row>
    <row r="890" spans="1:29" x14ac:dyDescent="0.3">
      <c r="A890" s="681"/>
      <c r="B890" s="1193"/>
      <c r="C890" s="1193"/>
      <c r="D890" s="1193"/>
      <c r="E890" s="1193"/>
      <c r="F890" s="1193"/>
      <c r="G890" s="1193"/>
      <c r="H890" s="1193"/>
      <c r="I890" s="1193"/>
      <c r="J890" s="1193"/>
      <c r="K890" s="1193"/>
      <c r="L890" s="1193"/>
      <c r="M890" s="1193"/>
      <c r="N890" s="1193"/>
      <c r="O890" s="1193"/>
      <c r="P890" s="1193"/>
      <c r="Q890" s="1193"/>
      <c r="R890" s="1193"/>
      <c r="S890" s="1193"/>
      <c r="T890" s="1193"/>
      <c r="U890" s="1193"/>
      <c r="V890" s="1193"/>
      <c r="W890" s="1193"/>
      <c r="X890" s="1193"/>
      <c r="Y890" s="1193"/>
      <c r="Z890" s="1193"/>
      <c r="AA890" s="1193"/>
      <c r="AB890" s="1193"/>
      <c r="AC890" s="1193"/>
    </row>
    <row r="891" spans="1:29" x14ac:dyDescent="0.3">
      <c r="A891" s="681"/>
      <c r="B891" s="1193"/>
      <c r="C891" s="1193"/>
      <c r="D891" s="1193"/>
      <c r="E891" s="1193"/>
      <c r="F891" s="1193"/>
      <c r="G891" s="1193"/>
      <c r="H891" s="1193"/>
      <c r="I891" s="1193"/>
      <c r="J891" s="1193"/>
      <c r="K891" s="1193"/>
      <c r="L891" s="1193"/>
      <c r="M891" s="1193"/>
      <c r="N891" s="1193"/>
      <c r="O891" s="1193"/>
      <c r="P891" s="1193"/>
      <c r="Q891" s="1193"/>
      <c r="R891" s="1193"/>
      <c r="S891" s="1193"/>
      <c r="T891" s="1193"/>
      <c r="U891" s="1193"/>
      <c r="V891" s="1193"/>
      <c r="W891" s="1193"/>
      <c r="X891" s="1193"/>
      <c r="Y891" s="1193"/>
      <c r="Z891" s="1193"/>
      <c r="AA891" s="1193"/>
      <c r="AB891" s="1193"/>
      <c r="AC891" s="1193"/>
    </row>
    <row r="892" spans="1:29" x14ac:dyDescent="0.3">
      <c r="A892" s="681"/>
      <c r="B892" s="1193"/>
      <c r="C892" s="1193"/>
      <c r="D892" s="1193"/>
      <c r="E892" s="1193"/>
      <c r="F892" s="1193"/>
      <c r="G892" s="1193"/>
      <c r="H892" s="1193"/>
      <c r="I892" s="1193"/>
      <c r="J892" s="1193"/>
      <c r="K892" s="1193"/>
      <c r="L892" s="1193"/>
      <c r="M892" s="1193"/>
      <c r="N892" s="1193"/>
      <c r="O892" s="1193"/>
      <c r="P892" s="1193"/>
      <c r="Q892" s="1193"/>
      <c r="R892" s="1193"/>
      <c r="S892" s="1193"/>
      <c r="T892" s="1193"/>
      <c r="U892" s="1193"/>
      <c r="V892" s="1193"/>
      <c r="W892" s="1193"/>
      <c r="X892" s="1193"/>
      <c r="Y892" s="1193"/>
      <c r="Z892" s="1193"/>
      <c r="AA892" s="1193"/>
      <c r="AB892" s="1193"/>
      <c r="AC892" s="1193"/>
    </row>
    <row r="893" spans="1:29" x14ac:dyDescent="0.3">
      <c r="A893" s="681"/>
      <c r="B893" s="1193"/>
      <c r="C893" s="1193"/>
      <c r="D893" s="1193"/>
      <c r="E893" s="1193"/>
      <c r="F893" s="1193"/>
      <c r="G893" s="1193"/>
      <c r="H893" s="1193"/>
      <c r="I893" s="1193"/>
      <c r="J893" s="1193"/>
      <c r="K893" s="1193"/>
      <c r="L893" s="1193"/>
      <c r="M893" s="1193"/>
      <c r="N893" s="1193"/>
      <c r="O893" s="1193"/>
      <c r="P893" s="1193"/>
      <c r="Q893" s="1193"/>
      <c r="R893" s="1193"/>
      <c r="S893" s="1193"/>
      <c r="T893" s="1193"/>
      <c r="U893" s="1193"/>
      <c r="V893" s="1193"/>
      <c r="W893" s="1193"/>
      <c r="X893" s="1193"/>
      <c r="Y893" s="1193"/>
      <c r="Z893" s="1193"/>
      <c r="AA893" s="1193"/>
      <c r="AB893" s="1193"/>
      <c r="AC893" s="1193"/>
    </row>
    <row r="894" spans="1:29" x14ac:dyDescent="0.3">
      <c r="A894" s="681"/>
      <c r="B894" s="1193"/>
      <c r="C894" s="1193"/>
      <c r="D894" s="1193"/>
      <c r="E894" s="1193"/>
      <c r="F894" s="1193"/>
      <c r="G894" s="1193"/>
      <c r="H894" s="1193"/>
      <c r="I894" s="1193"/>
      <c r="J894" s="1193"/>
      <c r="K894" s="1193"/>
      <c r="L894" s="1193"/>
      <c r="M894" s="1193"/>
      <c r="N894" s="1193"/>
      <c r="O894" s="1193"/>
      <c r="P894" s="1193"/>
      <c r="Q894" s="1193"/>
      <c r="R894" s="1193"/>
      <c r="S894" s="1193"/>
      <c r="T894" s="1193"/>
      <c r="U894" s="1193"/>
      <c r="V894" s="1193"/>
      <c r="W894" s="1193"/>
      <c r="X894" s="1193"/>
      <c r="Y894" s="1193"/>
      <c r="Z894" s="1193"/>
      <c r="AA894" s="1193"/>
      <c r="AB894" s="1193"/>
      <c r="AC894" s="1193"/>
    </row>
    <row r="895" spans="1:29" x14ac:dyDescent="0.3">
      <c r="A895" s="681"/>
      <c r="B895" s="1193"/>
      <c r="C895" s="1193"/>
      <c r="D895" s="1193"/>
      <c r="E895" s="1193"/>
      <c r="F895" s="1193"/>
      <c r="G895" s="1193"/>
      <c r="H895" s="1193"/>
      <c r="I895" s="1193"/>
      <c r="J895" s="1193"/>
      <c r="K895" s="1193"/>
      <c r="L895" s="1193"/>
      <c r="M895" s="1193"/>
      <c r="N895" s="1193"/>
      <c r="O895" s="1193"/>
      <c r="P895" s="1193"/>
      <c r="Q895" s="1193"/>
      <c r="R895" s="1193"/>
      <c r="S895" s="1193"/>
      <c r="T895" s="1193"/>
      <c r="U895" s="1193"/>
      <c r="V895" s="1193"/>
      <c r="W895" s="1193"/>
      <c r="X895" s="1193"/>
      <c r="Y895" s="1193"/>
      <c r="Z895" s="1193"/>
      <c r="AA895" s="1193"/>
      <c r="AB895" s="1193"/>
      <c r="AC895" s="1193"/>
    </row>
    <row r="896" spans="1:29" x14ac:dyDescent="0.3">
      <c r="A896" s="681"/>
      <c r="B896" s="1193"/>
      <c r="C896" s="1193"/>
      <c r="D896" s="1193"/>
      <c r="E896" s="1193"/>
      <c r="F896" s="1193"/>
      <c r="G896" s="1193"/>
      <c r="H896" s="1193"/>
      <c r="I896" s="1193"/>
      <c r="J896" s="1193"/>
      <c r="K896" s="1193"/>
      <c r="L896" s="1193"/>
      <c r="M896" s="1193"/>
      <c r="N896" s="1193"/>
      <c r="O896" s="1193"/>
      <c r="P896" s="1193"/>
      <c r="Q896" s="1193"/>
      <c r="R896" s="1193"/>
      <c r="S896" s="1193"/>
      <c r="T896" s="1193"/>
      <c r="U896" s="1193"/>
      <c r="V896" s="1193"/>
      <c r="W896" s="1193"/>
      <c r="X896" s="1193"/>
      <c r="Y896" s="1193"/>
      <c r="Z896" s="1193"/>
      <c r="AA896" s="1193"/>
      <c r="AB896" s="1193"/>
      <c r="AC896" s="1193"/>
    </row>
    <row r="897" spans="1:29" x14ac:dyDescent="0.3">
      <c r="A897" s="681"/>
      <c r="B897" s="1193"/>
      <c r="C897" s="1193"/>
      <c r="D897" s="1193"/>
      <c r="E897" s="1193"/>
      <c r="F897" s="1193"/>
      <c r="G897" s="1193"/>
      <c r="H897" s="1193"/>
      <c r="I897" s="1193"/>
      <c r="J897" s="1193"/>
      <c r="K897" s="1193"/>
      <c r="L897" s="1193"/>
      <c r="M897" s="1193"/>
      <c r="N897" s="1193"/>
      <c r="O897" s="1193"/>
      <c r="P897" s="1193"/>
      <c r="Q897" s="1193"/>
      <c r="R897" s="1193"/>
      <c r="S897" s="1193"/>
      <c r="T897" s="1193"/>
      <c r="U897" s="1193"/>
      <c r="V897" s="1193"/>
      <c r="W897" s="1193"/>
      <c r="X897" s="1193"/>
      <c r="Y897" s="1193"/>
      <c r="Z897" s="1193"/>
      <c r="AA897" s="1193"/>
      <c r="AB897" s="1193"/>
      <c r="AC897" s="1193"/>
    </row>
    <row r="898" spans="1:29" x14ac:dyDescent="0.3">
      <c r="A898" s="681"/>
      <c r="B898" s="1193"/>
      <c r="C898" s="1193"/>
      <c r="D898" s="1193"/>
      <c r="E898" s="1193"/>
      <c r="F898" s="1193"/>
      <c r="G898" s="1193"/>
      <c r="H898" s="1193"/>
      <c r="I898" s="1193"/>
      <c r="J898" s="1193"/>
      <c r="K898" s="1193"/>
      <c r="L898" s="1193"/>
      <c r="M898" s="1193"/>
      <c r="N898" s="1193"/>
      <c r="O898" s="1193"/>
      <c r="P898" s="1193"/>
      <c r="Q898" s="1193"/>
      <c r="R898" s="1193"/>
      <c r="S898" s="1193"/>
      <c r="T898" s="1193"/>
      <c r="U898" s="1193"/>
      <c r="V898" s="1193"/>
      <c r="W898" s="1193"/>
      <c r="X898" s="1193"/>
      <c r="Y898" s="1193"/>
      <c r="Z898" s="1193"/>
      <c r="AA898" s="1193"/>
      <c r="AB898" s="1193"/>
      <c r="AC898" s="1193"/>
    </row>
    <row r="899" spans="1:29" x14ac:dyDescent="0.3">
      <c r="A899" s="681"/>
      <c r="B899" s="1193"/>
      <c r="C899" s="1193"/>
      <c r="D899" s="1193"/>
      <c r="E899" s="1193"/>
      <c r="F899" s="1193"/>
      <c r="G899" s="1193"/>
      <c r="H899" s="1193"/>
      <c r="I899" s="1193"/>
      <c r="J899" s="1193"/>
      <c r="K899" s="1193"/>
      <c r="L899" s="1193"/>
      <c r="M899" s="1193"/>
      <c r="N899" s="1193"/>
      <c r="O899" s="1193"/>
      <c r="P899" s="1193"/>
      <c r="Q899" s="1193"/>
      <c r="R899" s="1193"/>
      <c r="S899" s="1193"/>
      <c r="T899" s="1193"/>
      <c r="U899" s="1193"/>
      <c r="V899" s="1193"/>
      <c r="W899" s="1193"/>
      <c r="X899" s="1193"/>
      <c r="Y899" s="1193"/>
      <c r="Z899" s="1193"/>
      <c r="AA899" s="1193"/>
      <c r="AB899" s="1193"/>
      <c r="AC899" s="1193"/>
    </row>
    <row r="900" spans="1:29" x14ac:dyDescent="0.3">
      <c r="A900" s="681"/>
      <c r="B900" s="1193"/>
      <c r="C900" s="1193"/>
      <c r="D900" s="1193"/>
      <c r="E900" s="1193"/>
      <c r="F900" s="1193"/>
      <c r="G900" s="1193"/>
      <c r="H900" s="1193"/>
      <c r="I900" s="1193"/>
      <c r="J900" s="1193"/>
      <c r="K900" s="1193"/>
      <c r="L900" s="1193"/>
      <c r="M900" s="1193"/>
      <c r="N900" s="1193"/>
      <c r="O900" s="1193"/>
      <c r="P900" s="1193"/>
      <c r="Q900" s="1193"/>
      <c r="R900" s="1193"/>
      <c r="S900" s="1193"/>
      <c r="T900" s="1193"/>
      <c r="U900" s="1193"/>
      <c r="V900" s="1193"/>
      <c r="W900" s="1193"/>
      <c r="X900" s="1193"/>
      <c r="Y900" s="1193"/>
      <c r="Z900" s="1193"/>
      <c r="AA900" s="1193"/>
      <c r="AB900" s="1193"/>
      <c r="AC900" s="1193"/>
    </row>
    <row r="901" spans="1:29" x14ac:dyDescent="0.3">
      <c r="A901" s="681"/>
      <c r="B901" s="1193"/>
      <c r="C901" s="1193"/>
      <c r="D901" s="1193"/>
      <c r="E901" s="1193"/>
      <c r="F901" s="1193"/>
      <c r="G901" s="1193"/>
      <c r="H901" s="1193"/>
      <c r="I901" s="1193"/>
      <c r="J901" s="1193"/>
      <c r="K901" s="1193"/>
      <c r="L901" s="1193"/>
      <c r="M901" s="1193"/>
      <c r="N901" s="1193"/>
      <c r="O901" s="1193"/>
      <c r="P901" s="1193"/>
      <c r="Q901" s="1193"/>
      <c r="R901" s="1193"/>
      <c r="S901" s="1193"/>
      <c r="T901" s="1193"/>
      <c r="U901" s="1193"/>
      <c r="V901" s="1193"/>
      <c r="W901" s="1193"/>
      <c r="X901" s="1193"/>
      <c r="Y901" s="1193"/>
      <c r="Z901" s="1193"/>
      <c r="AA901" s="1193"/>
      <c r="AB901" s="1193"/>
      <c r="AC901" s="1193"/>
    </row>
    <row r="902" spans="1:29" x14ac:dyDescent="0.3">
      <c r="A902" s="681"/>
      <c r="B902" s="1193"/>
      <c r="C902" s="1193"/>
      <c r="D902" s="1193"/>
      <c r="E902" s="1193"/>
      <c r="F902" s="1193"/>
      <c r="G902" s="1193"/>
      <c r="H902" s="1193"/>
      <c r="I902" s="1193"/>
      <c r="J902" s="1193"/>
      <c r="K902" s="1193"/>
      <c r="L902" s="1193"/>
      <c r="M902" s="1193"/>
      <c r="N902" s="1193"/>
      <c r="O902" s="1193"/>
      <c r="P902" s="1193"/>
      <c r="Q902" s="1193"/>
      <c r="R902" s="1193"/>
      <c r="S902" s="1193"/>
      <c r="T902" s="1193"/>
      <c r="U902" s="1193"/>
      <c r="V902" s="1193"/>
      <c r="W902" s="1193"/>
      <c r="X902" s="1193"/>
      <c r="Y902" s="1193"/>
      <c r="Z902" s="1193"/>
      <c r="AA902" s="1193"/>
      <c r="AB902" s="1193"/>
      <c r="AC902" s="1193"/>
    </row>
    <row r="903" spans="1:29" x14ac:dyDescent="0.3">
      <c r="A903" s="681"/>
      <c r="B903" s="1193"/>
      <c r="C903" s="1193"/>
      <c r="D903" s="1193"/>
      <c r="E903" s="1193"/>
      <c r="F903" s="1193"/>
      <c r="G903" s="1193"/>
      <c r="H903" s="1193"/>
      <c r="I903" s="1193"/>
      <c r="J903" s="1193"/>
      <c r="K903" s="1193"/>
      <c r="L903" s="1193"/>
      <c r="M903" s="1193"/>
      <c r="N903" s="1193"/>
      <c r="O903" s="1193"/>
      <c r="P903" s="1193"/>
      <c r="Q903" s="1193"/>
      <c r="R903" s="1193"/>
      <c r="S903" s="1193"/>
      <c r="T903" s="1193"/>
      <c r="U903" s="1193"/>
      <c r="V903" s="1193"/>
      <c r="W903" s="1193"/>
      <c r="X903" s="1193"/>
      <c r="Y903" s="1193"/>
      <c r="Z903" s="1193"/>
      <c r="AA903" s="1193"/>
      <c r="AB903" s="1193"/>
      <c r="AC903" s="1193"/>
    </row>
    <row r="904" spans="1:29" x14ac:dyDescent="0.3">
      <c r="A904" s="681"/>
      <c r="B904" s="1193"/>
      <c r="C904" s="1193"/>
      <c r="D904" s="1193"/>
      <c r="E904" s="1193"/>
      <c r="F904" s="1193"/>
      <c r="G904" s="1193"/>
      <c r="H904" s="1193"/>
      <c r="I904" s="1193"/>
      <c r="J904" s="1193"/>
      <c r="K904" s="1193"/>
      <c r="L904" s="1193"/>
      <c r="M904" s="1193"/>
      <c r="N904" s="1193"/>
      <c r="O904" s="1193"/>
      <c r="P904" s="1193"/>
      <c r="Q904" s="1193"/>
      <c r="R904" s="1193"/>
      <c r="S904" s="1193"/>
      <c r="T904" s="1193"/>
      <c r="U904" s="1193"/>
      <c r="V904" s="1193"/>
      <c r="W904" s="1193"/>
      <c r="X904" s="1193"/>
      <c r="Y904" s="1193"/>
      <c r="Z904" s="1193"/>
      <c r="AA904" s="1193"/>
      <c r="AB904" s="1193"/>
      <c r="AC904" s="1193"/>
    </row>
    <row r="905" spans="1:29" x14ac:dyDescent="0.3">
      <c r="A905" s="681"/>
      <c r="B905" s="1193"/>
      <c r="C905" s="1193"/>
      <c r="D905" s="1193"/>
      <c r="E905" s="1193"/>
      <c r="F905" s="1193"/>
      <c r="G905" s="1193"/>
      <c r="H905" s="1193"/>
      <c r="I905" s="1193"/>
      <c r="J905" s="1193"/>
      <c r="K905" s="1193"/>
      <c r="L905" s="1193"/>
      <c r="M905" s="1193"/>
      <c r="N905" s="1193"/>
      <c r="O905" s="1193"/>
      <c r="P905" s="1193"/>
      <c r="Q905" s="1193"/>
      <c r="R905" s="1193"/>
      <c r="S905" s="1193"/>
      <c r="T905" s="1193"/>
      <c r="U905" s="1193"/>
      <c r="V905" s="1193"/>
      <c r="W905" s="1193"/>
      <c r="X905" s="1193"/>
      <c r="Y905" s="1193"/>
      <c r="Z905" s="1193"/>
      <c r="AA905" s="1193"/>
      <c r="AB905" s="1193"/>
      <c r="AC905" s="1193"/>
    </row>
    <row r="906" spans="1:29" x14ac:dyDescent="0.3">
      <c r="A906" s="681"/>
      <c r="B906" s="1193"/>
      <c r="C906" s="1193"/>
      <c r="D906" s="1193"/>
      <c r="E906" s="1193"/>
      <c r="F906" s="1193"/>
      <c r="G906" s="1193"/>
      <c r="H906" s="1193"/>
      <c r="I906" s="1193"/>
      <c r="J906" s="1193"/>
      <c r="K906" s="1193"/>
      <c r="L906" s="1193"/>
      <c r="M906" s="1193"/>
      <c r="N906" s="1193"/>
      <c r="O906" s="1193"/>
      <c r="P906" s="1193"/>
      <c r="Q906" s="1193"/>
      <c r="R906" s="1193"/>
      <c r="S906" s="1193"/>
      <c r="T906" s="1193"/>
      <c r="U906" s="1193"/>
      <c r="V906" s="1193"/>
      <c r="W906" s="1193"/>
      <c r="X906" s="1193"/>
      <c r="Y906" s="1193"/>
      <c r="Z906" s="1193"/>
      <c r="AA906" s="1193"/>
      <c r="AB906" s="1193"/>
      <c r="AC906" s="1193"/>
    </row>
    <row r="907" spans="1:29" x14ac:dyDescent="0.3">
      <c r="A907" s="681"/>
      <c r="B907" s="1193"/>
      <c r="C907" s="1193"/>
      <c r="D907" s="1193"/>
      <c r="E907" s="1193"/>
      <c r="F907" s="1193"/>
      <c r="G907" s="1193"/>
      <c r="H907" s="1193"/>
      <c r="I907" s="1193"/>
      <c r="J907" s="1193"/>
      <c r="K907" s="1193"/>
      <c r="L907" s="1193"/>
      <c r="M907" s="1193"/>
      <c r="N907" s="1193"/>
      <c r="O907" s="1193"/>
      <c r="P907" s="1193"/>
      <c r="Q907" s="1193"/>
      <c r="R907" s="1193"/>
      <c r="S907" s="1193"/>
      <c r="T907" s="1193"/>
      <c r="U907" s="1193"/>
      <c r="V907" s="1193"/>
      <c r="W907" s="1193"/>
      <c r="X907" s="1193"/>
      <c r="Y907" s="1193"/>
      <c r="Z907" s="1193"/>
      <c r="AA907" s="1193"/>
      <c r="AB907" s="1193"/>
      <c r="AC907" s="1193"/>
    </row>
    <row r="908" spans="1:29" x14ac:dyDescent="0.3">
      <c r="A908" s="681"/>
      <c r="B908" s="1193"/>
      <c r="C908" s="1193"/>
      <c r="D908" s="1193"/>
      <c r="E908" s="1193"/>
      <c r="F908" s="1193"/>
      <c r="G908" s="1193"/>
      <c r="H908" s="1193"/>
      <c r="I908" s="1193"/>
      <c r="J908" s="1193"/>
      <c r="K908" s="1193"/>
      <c r="L908" s="1193"/>
      <c r="M908" s="1193"/>
      <c r="N908" s="1193"/>
      <c r="O908" s="1193"/>
      <c r="P908" s="1193"/>
      <c r="Q908" s="1193"/>
      <c r="R908" s="1193"/>
      <c r="S908" s="1193"/>
      <c r="T908" s="1193"/>
      <c r="U908" s="1193"/>
      <c r="V908" s="1193"/>
      <c r="W908" s="1193"/>
      <c r="X908" s="1193"/>
      <c r="Y908" s="1193"/>
      <c r="Z908" s="1193"/>
      <c r="AA908" s="1193"/>
      <c r="AB908" s="1193"/>
      <c r="AC908" s="1193"/>
    </row>
    <row r="909" spans="1:29" x14ac:dyDescent="0.3">
      <c r="A909" s="681"/>
      <c r="B909" s="1193"/>
      <c r="C909" s="1193"/>
      <c r="D909" s="1193"/>
      <c r="E909" s="1193"/>
      <c r="F909" s="1193"/>
      <c r="G909" s="1193"/>
      <c r="H909" s="1193"/>
      <c r="I909" s="1193"/>
      <c r="J909" s="1193"/>
      <c r="K909" s="1193"/>
      <c r="L909" s="1193"/>
      <c r="M909" s="1193"/>
      <c r="N909" s="1193"/>
      <c r="O909" s="1193"/>
      <c r="P909" s="1193"/>
      <c r="Q909" s="1193"/>
      <c r="R909" s="1193"/>
      <c r="S909" s="1193"/>
      <c r="T909" s="1193"/>
      <c r="U909" s="1193"/>
      <c r="V909" s="1193"/>
      <c r="W909" s="1193"/>
      <c r="X909" s="1193"/>
      <c r="Y909" s="1193"/>
      <c r="Z909" s="1193"/>
      <c r="AA909" s="1193"/>
      <c r="AB909" s="1193"/>
      <c r="AC909" s="1193"/>
    </row>
    <row r="910" spans="1:29" x14ac:dyDescent="0.3">
      <c r="A910" s="681"/>
      <c r="B910" s="1193"/>
      <c r="C910" s="1193"/>
      <c r="D910" s="1193"/>
      <c r="E910" s="1193"/>
      <c r="F910" s="1193"/>
      <c r="G910" s="1193"/>
      <c r="H910" s="1193"/>
      <c r="I910" s="1193"/>
      <c r="J910" s="1193"/>
      <c r="K910" s="1193"/>
      <c r="L910" s="1193"/>
      <c r="M910" s="1193"/>
      <c r="N910" s="1193"/>
      <c r="O910" s="1193"/>
      <c r="P910" s="1193"/>
      <c r="Q910" s="1193"/>
      <c r="R910" s="1193"/>
      <c r="S910" s="1193"/>
      <c r="T910" s="1193"/>
      <c r="U910" s="1193"/>
      <c r="V910" s="1193"/>
      <c r="W910" s="1193"/>
      <c r="X910" s="1193"/>
      <c r="Y910" s="1193"/>
      <c r="Z910" s="1193"/>
      <c r="AA910" s="1193"/>
      <c r="AB910" s="1193"/>
      <c r="AC910" s="1193"/>
    </row>
    <row r="911" spans="1:29" x14ac:dyDescent="0.3">
      <c r="A911" s="681"/>
      <c r="B911" s="1193"/>
      <c r="C911" s="1193"/>
      <c r="D911" s="1193"/>
      <c r="E911" s="1193"/>
      <c r="F911" s="1193"/>
      <c r="G911" s="1193"/>
      <c r="H911" s="1193"/>
      <c r="I911" s="1193"/>
      <c r="J911" s="1193"/>
      <c r="K911" s="1193"/>
      <c r="L911" s="1193"/>
      <c r="M911" s="1193"/>
      <c r="N911" s="1193"/>
      <c r="O911" s="1193"/>
      <c r="P911" s="1193"/>
      <c r="Q911" s="1193"/>
      <c r="R911" s="1193"/>
      <c r="S911" s="1193"/>
      <c r="T911" s="1193"/>
      <c r="U911" s="1193"/>
      <c r="V911" s="1193"/>
      <c r="W911" s="1193"/>
      <c r="X911" s="1193"/>
      <c r="Y911" s="1193"/>
      <c r="Z911" s="1193"/>
      <c r="AA911" s="1193"/>
      <c r="AB911" s="1193"/>
      <c r="AC911" s="1193"/>
    </row>
    <row r="912" spans="1:29" x14ac:dyDescent="0.3">
      <c r="A912" s="681"/>
      <c r="B912" s="1193"/>
      <c r="C912" s="1193"/>
      <c r="D912" s="1193"/>
      <c r="E912" s="1193"/>
      <c r="F912" s="1193"/>
      <c r="G912" s="1193"/>
      <c r="H912" s="1193"/>
      <c r="I912" s="1193"/>
      <c r="J912" s="1193"/>
      <c r="K912" s="1193"/>
      <c r="L912" s="1193"/>
      <c r="M912" s="1193"/>
      <c r="N912" s="1193"/>
      <c r="O912" s="1193"/>
      <c r="P912" s="1193"/>
      <c r="Q912" s="1193"/>
      <c r="R912" s="1193"/>
      <c r="S912" s="1193"/>
      <c r="T912" s="1193"/>
      <c r="U912" s="1193"/>
      <c r="V912" s="1193"/>
      <c r="W912" s="1193"/>
      <c r="X912" s="1193"/>
      <c r="Y912" s="1193"/>
      <c r="Z912" s="1193"/>
      <c r="AA912" s="1193"/>
      <c r="AB912" s="1193"/>
      <c r="AC912" s="1193"/>
    </row>
    <row r="913" spans="1:29" x14ac:dyDescent="0.3">
      <c r="A913" s="681"/>
      <c r="B913" s="1193"/>
      <c r="C913" s="1193"/>
      <c r="D913" s="1193"/>
      <c r="E913" s="1193"/>
      <c r="F913" s="1193"/>
      <c r="G913" s="1193"/>
      <c r="H913" s="1193"/>
      <c r="I913" s="1193"/>
      <c r="J913" s="1193"/>
      <c r="K913" s="1193"/>
      <c r="L913" s="1193"/>
      <c r="M913" s="1193"/>
      <c r="N913" s="1193"/>
      <c r="O913" s="1193"/>
      <c r="P913" s="1193"/>
      <c r="Q913" s="1193"/>
      <c r="R913" s="1193"/>
      <c r="S913" s="1193"/>
      <c r="T913" s="1193"/>
      <c r="U913" s="1193"/>
      <c r="V913" s="1193"/>
      <c r="W913" s="1193"/>
      <c r="X913" s="1193"/>
      <c r="Y913" s="1193"/>
      <c r="Z913" s="1193"/>
      <c r="AA913" s="1193"/>
      <c r="AB913" s="1193"/>
      <c r="AC913" s="1193"/>
    </row>
    <row r="914" spans="1:29" x14ac:dyDescent="0.3">
      <c r="A914" s="681"/>
      <c r="B914" s="1193"/>
      <c r="C914" s="1193"/>
      <c r="D914" s="1193"/>
      <c r="E914" s="1193"/>
      <c r="F914" s="1193"/>
      <c r="G914" s="1193"/>
      <c r="H914" s="1193"/>
      <c r="I914" s="1193"/>
      <c r="J914" s="1193"/>
      <c r="K914" s="1193"/>
      <c r="L914" s="1193"/>
      <c r="M914" s="1193"/>
      <c r="N914" s="1193"/>
      <c r="O914" s="1193"/>
      <c r="P914" s="1193"/>
      <c r="Q914" s="1193"/>
      <c r="R914" s="1193"/>
      <c r="S914" s="1193"/>
      <c r="T914" s="1193"/>
      <c r="U914" s="1193"/>
      <c r="V914" s="1193"/>
      <c r="W914" s="1193"/>
      <c r="X914" s="1193"/>
      <c r="Y914" s="1193"/>
      <c r="Z914" s="1193"/>
      <c r="AA914" s="1193"/>
      <c r="AB914" s="1193"/>
      <c r="AC914" s="1193"/>
    </row>
    <row r="915" spans="1:29" x14ac:dyDescent="0.3">
      <c r="A915" s="681"/>
      <c r="B915" s="1193"/>
      <c r="C915" s="1193"/>
      <c r="D915" s="1193"/>
      <c r="E915" s="1193"/>
      <c r="F915" s="1193"/>
      <c r="G915" s="1193"/>
      <c r="H915" s="1193"/>
      <c r="I915" s="1193"/>
      <c r="J915" s="1193"/>
      <c r="K915" s="1193"/>
      <c r="L915" s="1193"/>
      <c r="M915" s="1193"/>
      <c r="N915" s="1193"/>
      <c r="O915" s="1193"/>
      <c r="P915" s="1193"/>
      <c r="Q915" s="1193"/>
      <c r="R915" s="1193"/>
      <c r="S915" s="1193"/>
      <c r="T915" s="1193"/>
      <c r="U915" s="1193"/>
      <c r="V915" s="1193"/>
      <c r="W915" s="1193"/>
      <c r="X915" s="1193"/>
      <c r="Y915" s="1193"/>
      <c r="Z915" s="1193"/>
      <c r="AA915" s="1193"/>
      <c r="AB915" s="1193"/>
      <c r="AC915" s="1193"/>
    </row>
    <row r="916" spans="1:29" x14ac:dyDescent="0.3">
      <c r="A916" s="681"/>
      <c r="B916" s="1193"/>
      <c r="C916" s="1193"/>
      <c r="D916" s="1193"/>
      <c r="E916" s="1193"/>
      <c r="F916" s="1193"/>
      <c r="G916" s="1193"/>
      <c r="H916" s="1193"/>
      <c r="I916" s="1193"/>
      <c r="J916" s="1193"/>
      <c r="K916" s="1193"/>
      <c r="L916" s="1193"/>
      <c r="M916" s="1193"/>
      <c r="N916" s="1193"/>
      <c r="O916" s="1193"/>
      <c r="P916" s="1193"/>
      <c r="Q916" s="1193"/>
      <c r="R916" s="1193"/>
      <c r="S916" s="1193"/>
      <c r="T916" s="1193"/>
      <c r="U916" s="1193"/>
      <c r="V916" s="1193"/>
      <c r="W916" s="1193"/>
      <c r="X916" s="1193"/>
      <c r="Y916" s="1193"/>
      <c r="Z916" s="1193"/>
      <c r="AA916" s="1193"/>
      <c r="AB916" s="1193"/>
      <c r="AC916" s="1193"/>
    </row>
    <row r="917" spans="1:29" x14ac:dyDescent="0.3">
      <c r="A917" s="681"/>
      <c r="B917" s="1193"/>
      <c r="C917" s="1193"/>
      <c r="D917" s="1193"/>
      <c r="E917" s="1193"/>
      <c r="F917" s="1193"/>
      <c r="G917" s="1193"/>
      <c r="H917" s="1193"/>
      <c r="I917" s="1193"/>
      <c r="J917" s="1193"/>
      <c r="K917" s="1193"/>
      <c r="L917" s="1193"/>
      <c r="M917" s="1193"/>
      <c r="N917" s="1193"/>
      <c r="O917" s="1193"/>
      <c r="P917" s="1193"/>
      <c r="Q917" s="1193"/>
      <c r="R917" s="1193"/>
      <c r="S917" s="1193"/>
      <c r="T917" s="1193"/>
      <c r="U917" s="1193"/>
      <c r="V917" s="1193"/>
      <c r="W917" s="1193"/>
      <c r="X917" s="1193"/>
      <c r="Y917" s="1193"/>
      <c r="Z917" s="1193"/>
      <c r="AA917" s="1193"/>
      <c r="AB917" s="1193"/>
      <c r="AC917" s="1193"/>
    </row>
    <row r="918" spans="1:29" x14ac:dyDescent="0.3">
      <c r="A918" s="681"/>
      <c r="B918" s="1193"/>
      <c r="C918" s="1193"/>
      <c r="D918" s="1193"/>
      <c r="E918" s="1193"/>
      <c r="F918" s="1193"/>
      <c r="G918" s="1193"/>
      <c r="H918" s="1193"/>
      <c r="I918" s="1193"/>
      <c r="J918" s="1193"/>
      <c r="K918" s="1193"/>
      <c r="L918" s="1193"/>
      <c r="M918" s="1193"/>
      <c r="N918" s="1193"/>
      <c r="O918" s="1193"/>
      <c r="P918" s="1193"/>
      <c r="Q918" s="1193"/>
      <c r="R918" s="1193"/>
      <c r="S918" s="1193"/>
      <c r="T918" s="1193"/>
      <c r="U918" s="1193"/>
      <c r="V918" s="1193"/>
      <c r="W918" s="1193"/>
      <c r="X918" s="1193"/>
      <c r="Y918" s="1193"/>
      <c r="Z918" s="1193"/>
      <c r="AA918" s="1193"/>
      <c r="AB918" s="1193"/>
      <c r="AC918" s="1193"/>
    </row>
    <row r="919" spans="1:29" x14ac:dyDescent="0.3">
      <c r="A919" s="681"/>
      <c r="B919" s="1193"/>
      <c r="C919" s="1193"/>
      <c r="D919" s="1193"/>
      <c r="E919" s="1193"/>
      <c r="F919" s="1193"/>
      <c r="G919" s="1193"/>
      <c r="H919" s="1193"/>
      <c r="I919" s="1193"/>
      <c r="J919" s="1193"/>
      <c r="K919" s="1193"/>
      <c r="L919" s="1193"/>
      <c r="M919" s="1193"/>
      <c r="N919" s="1193"/>
      <c r="O919" s="1193"/>
      <c r="P919" s="1193"/>
      <c r="Q919" s="1193"/>
      <c r="R919" s="1193"/>
      <c r="S919" s="1193"/>
      <c r="T919" s="1193"/>
      <c r="U919" s="1193"/>
      <c r="V919" s="1193"/>
      <c r="W919" s="1193"/>
      <c r="X919" s="1193"/>
      <c r="Y919" s="1193"/>
      <c r="Z919" s="1193"/>
      <c r="AA919" s="1193"/>
      <c r="AB919" s="1193"/>
      <c r="AC919" s="1193"/>
    </row>
    <row r="920" spans="1:29" x14ac:dyDescent="0.3">
      <c r="A920" s="681"/>
      <c r="B920" s="1193"/>
      <c r="C920" s="1193"/>
      <c r="D920" s="1193"/>
      <c r="E920" s="1193"/>
      <c r="F920" s="1193"/>
      <c r="G920" s="1193"/>
      <c r="H920" s="1193"/>
      <c r="I920" s="1193"/>
      <c r="J920" s="1193"/>
      <c r="K920" s="1193"/>
      <c r="L920" s="1193"/>
      <c r="M920" s="1193"/>
      <c r="N920" s="1193"/>
      <c r="O920" s="1193"/>
      <c r="P920" s="1193"/>
      <c r="Q920" s="1193"/>
      <c r="R920" s="1193"/>
      <c r="S920" s="1193"/>
      <c r="T920" s="1193"/>
      <c r="U920" s="1193"/>
      <c r="V920" s="1193"/>
      <c r="W920" s="1193"/>
      <c r="X920" s="1193"/>
      <c r="Y920" s="1193"/>
      <c r="Z920" s="1193"/>
      <c r="AA920" s="1193"/>
      <c r="AB920" s="1193"/>
      <c r="AC920" s="1193"/>
    </row>
    <row r="921" spans="1:29" x14ac:dyDescent="0.3">
      <c r="A921" s="681"/>
      <c r="B921" s="1193"/>
      <c r="C921" s="1193"/>
      <c r="D921" s="1193"/>
      <c r="E921" s="1193"/>
      <c r="F921" s="1193"/>
      <c r="G921" s="1193"/>
      <c r="H921" s="1193"/>
      <c r="I921" s="1193"/>
      <c r="J921" s="1193"/>
      <c r="K921" s="1193"/>
      <c r="L921" s="1193"/>
      <c r="M921" s="1193"/>
      <c r="N921" s="1193"/>
      <c r="O921" s="1193"/>
      <c r="P921" s="1193"/>
      <c r="Q921" s="1193"/>
      <c r="R921" s="1193"/>
      <c r="S921" s="1193"/>
      <c r="T921" s="1193"/>
      <c r="U921" s="1193"/>
      <c r="V921" s="1193"/>
      <c r="W921" s="1193"/>
      <c r="X921" s="1193"/>
      <c r="Y921" s="1193"/>
      <c r="Z921" s="1193"/>
      <c r="AA921" s="1193"/>
      <c r="AB921" s="1193"/>
      <c r="AC921" s="1193"/>
    </row>
    <row r="922" spans="1:29" x14ac:dyDescent="0.3">
      <c r="A922" s="681"/>
      <c r="B922" s="1193"/>
      <c r="C922" s="1193"/>
      <c r="D922" s="1193"/>
      <c r="E922" s="1193"/>
      <c r="F922" s="1193"/>
      <c r="G922" s="1193"/>
      <c r="H922" s="1193"/>
      <c r="I922" s="1193"/>
      <c r="J922" s="1193"/>
      <c r="K922" s="1193"/>
      <c r="L922" s="1193"/>
      <c r="M922" s="1193"/>
      <c r="N922" s="1193"/>
      <c r="O922" s="1193"/>
      <c r="P922" s="1193"/>
      <c r="Q922" s="1193"/>
      <c r="R922" s="1193"/>
      <c r="S922" s="1193"/>
      <c r="T922" s="1193"/>
      <c r="U922" s="1193"/>
      <c r="V922" s="1193"/>
      <c r="W922" s="1193"/>
      <c r="X922" s="1193"/>
      <c r="Y922" s="1193"/>
      <c r="Z922" s="1193"/>
      <c r="AA922" s="1193"/>
      <c r="AB922" s="1193"/>
      <c r="AC922" s="1193"/>
    </row>
    <row r="923" spans="1:29" x14ac:dyDescent="0.3">
      <c r="A923" s="681"/>
      <c r="B923" s="1193"/>
      <c r="C923" s="1193"/>
      <c r="D923" s="1193"/>
      <c r="E923" s="1193"/>
      <c r="F923" s="1193"/>
      <c r="G923" s="1193"/>
      <c r="H923" s="1193"/>
      <c r="I923" s="1193"/>
      <c r="J923" s="1193"/>
      <c r="K923" s="1193"/>
      <c r="L923" s="1193"/>
      <c r="M923" s="1193"/>
      <c r="N923" s="1193"/>
      <c r="O923" s="1193"/>
      <c r="P923" s="1193"/>
      <c r="Q923" s="1193"/>
      <c r="R923" s="1193"/>
      <c r="S923" s="1193"/>
      <c r="T923" s="1193"/>
      <c r="U923" s="1193"/>
      <c r="V923" s="1193"/>
      <c r="W923" s="1193"/>
      <c r="X923" s="1193"/>
      <c r="Y923" s="1193"/>
      <c r="Z923" s="1193"/>
      <c r="AA923" s="1193"/>
      <c r="AB923" s="1193"/>
      <c r="AC923" s="1193"/>
    </row>
    <row r="924" spans="1:29" x14ac:dyDescent="0.3">
      <c r="A924" s="681"/>
      <c r="B924" s="1193"/>
      <c r="C924" s="1193"/>
      <c r="D924" s="1193"/>
      <c r="E924" s="1193"/>
      <c r="F924" s="1193"/>
      <c r="G924" s="1193"/>
      <c r="H924" s="1193"/>
      <c r="I924" s="1193"/>
      <c r="J924" s="1193"/>
      <c r="K924" s="1193"/>
      <c r="L924" s="1193"/>
      <c r="M924" s="1193"/>
      <c r="N924" s="1193"/>
      <c r="O924" s="1193"/>
      <c r="P924" s="1193"/>
      <c r="Q924" s="1193"/>
      <c r="R924" s="1193"/>
      <c r="S924" s="1193"/>
      <c r="T924" s="1193"/>
      <c r="U924" s="1193"/>
      <c r="V924" s="1193"/>
      <c r="W924" s="1193"/>
      <c r="X924" s="1193"/>
      <c r="Y924" s="1193"/>
      <c r="Z924" s="1193"/>
      <c r="AA924" s="1193"/>
      <c r="AB924" s="1193"/>
      <c r="AC924" s="1193"/>
    </row>
    <row r="925" spans="1:29" x14ac:dyDescent="0.3">
      <c r="A925" s="681"/>
      <c r="B925" s="1193"/>
      <c r="C925" s="1193"/>
      <c r="D925" s="1193"/>
      <c r="E925" s="1193"/>
      <c r="F925" s="1193"/>
      <c r="G925" s="1193"/>
      <c r="H925" s="1193"/>
      <c r="I925" s="1193"/>
      <c r="J925" s="1193"/>
      <c r="K925" s="1193"/>
      <c r="L925" s="1193"/>
      <c r="M925" s="1193"/>
      <c r="N925" s="1193"/>
      <c r="O925" s="1193"/>
      <c r="P925" s="1193"/>
      <c r="Q925" s="1193"/>
      <c r="R925" s="1193"/>
      <c r="S925" s="1193"/>
      <c r="T925" s="1193"/>
      <c r="U925" s="1193"/>
      <c r="V925" s="1193"/>
      <c r="W925" s="1193"/>
      <c r="X925" s="1193"/>
      <c r="Y925" s="1193"/>
      <c r="Z925" s="1193"/>
      <c r="AA925" s="1193"/>
      <c r="AB925" s="1193"/>
      <c r="AC925" s="1193"/>
    </row>
    <row r="926" spans="1:29" x14ac:dyDescent="0.3">
      <c r="A926" s="681"/>
      <c r="B926" s="1193"/>
      <c r="C926" s="1193"/>
      <c r="D926" s="1193"/>
      <c r="E926" s="1193"/>
      <c r="F926" s="1193"/>
      <c r="G926" s="1193"/>
      <c r="H926" s="1193"/>
      <c r="I926" s="1193"/>
      <c r="J926" s="1193"/>
      <c r="K926" s="1193"/>
      <c r="L926" s="1193"/>
      <c r="M926" s="1193"/>
      <c r="N926" s="1193"/>
      <c r="O926" s="1193"/>
      <c r="P926" s="1193"/>
      <c r="Q926" s="1193"/>
      <c r="R926" s="1193"/>
      <c r="S926" s="1193"/>
      <c r="T926" s="1193"/>
      <c r="U926" s="1193"/>
      <c r="V926" s="1193"/>
      <c r="W926" s="1193"/>
      <c r="X926" s="1193"/>
      <c r="Y926" s="1193"/>
      <c r="Z926" s="1193"/>
      <c r="AA926" s="1193"/>
      <c r="AB926" s="1193"/>
      <c r="AC926" s="1193"/>
    </row>
    <row r="927" spans="1:29" x14ac:dyDescent="0.3">
      <c r="A927" s="681"/>
      <c r="B927" s="1193"/>
      <c r="C927" s="1193"/>
      <c r="D927" s="1193"/>
      <c r="E927" s="1193"/>
      <c r="F927" s="1193"/>
      <c r="G927" s="1193"/>
      <c r="H927" s="1193"/>
      <c r="I927" s="1193"/>
      <c r="J927" s="1193"/>
      <c r="K927" s="1193"/>
      <c r="L927" s="1193"/>
      <c r="M927" s="1193"/>
      <c r="N927" s="1193"/>
      <c r="O927" s="1193"/>
      <c r="P927" s="1193"/>
      <c r="Q927" s="1193"/>
      <c r="R927" s="1193"/>
      <c r="S927" s="1193"/>
      <c r="T927" s="1193"/>
      <c r="U927" s="1193"/>
      <c r="V927" s="1193"/>
      <c r="W927" s="1193"/>
      <c r="X927" s="1193"/>
      <c r="Y927" s="1193"/>
      <c r="Z927" s="1193"/>
      <c r="AA927" s="1193"/>
      <c r="AB927" s="1193"/>
      <c r="AC927" s="1193"/>
    </row>
    <row r="928" spans="1:29" x14ac:dyDescent="0.3">
      <c r="A928" s="681"/>
      <c r="B928" s="1193"/>
      <c r="C928" s="1193"/>
      <c r="D928" s="1193"/>
      <c r="E928" s="1193"/>
      <c r="F928" s="1193"/>
      <c r="G928" s="1193"/>
      <c r="H928" s="1193"/>
      <c r="I928" s="1193"/>
      <c r="J928" s="1193"/>
      <c r="K928" s="1193"/>
      <c r="L928" s="1193"/>
      <c r="M928" s="1193"/>
      <c r="N928" s="1193"/>
      <c r="O928" s="1193"/>
      <c r="P928" s="1193"/>
      <c r="Q928" s="1193"/>
      <c r="R928" s="1193"/>
      <c r="S928" s="1193"/>
      <c r="T928" s="1193"/>
      <c r="U928" s="1193"/>
      <c r="V928" s="1193"/>
      <c r="W928" s="1193"/>
      <c r="X928" s="1193"/>
      <c r="Y928" s="1193"/>
      <c r="Z928" s="1193"/>
      <c r="AA928" s="1193"/>
      <c r="AB928" s="1193"/>
      <c r="AC928" s="1193"/>
    </row>
    <row r="929" spans="1:29" x14ac:dyDescent="0.3">
      <c r="A929" s="681"/>
      <c r="B929" s="1193"/>
      <c r="C929" s="1193"/>
      <c r="D929" s="1193"/>
      <c r="E929" s="1193"/>
      <c r="F929" s="1193"/>
      <c r="G929" s="1193"/>
      <c r="H929" s="1193"/>
      <c r="I929" s="1193"/>
      <c r="J929" s="1193"/>
      <c r="K929" s="1193"/>
      <c r="L929" s="1193"/>
      <c r="M929" s="1193"/>
      <c r="N929" s="1193"/>
      <c r="O929" s="1193"/>
      <c r="P929" s="1193"/>
      <c r="Q929" s="1193"/>
      <c r="R929" s="1193"/>
      <c r="S929" s="1193"/>
      <c r="T929" s="1193"/>
      <c r="U929" s="1193"/>
      <c r="V929" s="1193"/>
      <c r="W929" s="1193"/>
      <c r="X929" s="1193"/>
      <c r="Y929" s="1193"/>
      <c r="Z929" s="1193"/>
      <c r="AA929" s="1193"/>
      <c r="AB929" s="1193"/>
      <c r="AC929" s="1193"/>
    </row>
    <row r="930" spans="1:29" x14ac:dyDescent="0.3">
      <c r="A930" s="681"/>
      <c r="B930" s="1193"/>
      <c r="C930" s="1193"/>
      <c r="D930" s="1193"/>
      <c r="E930" s="1193"/>
      <c r="F930" s="1193"/>
      <c r="G930" s="1193"/>
      <c r="H930" s="1193"/>
      <c r="I930" s="1193"/>
      <c r="J930" s="1193"/>
      <c r="K930" s="1193"/>
      <c r="L930" s="1193"/>
      <c r="M930" s="1193"/>
      <c r="N930" s="1193"/>
      <c r="O930" s="1193"/>
      <c r="P930" s="1193"/>
      <c r="Q930" s="1193"/>
      <c r="R930" s="1193"/>
      <c r="S930" s="1193"/>
      <c r="T930" s="1193"/>
      <c r="U930" s="1193"/>
      <c r="V930" s="1193"/>
      <c r="W930" s="1193"/>
      <c r="X930" s="1193"/>
      <c r="Y930" s="1193"/>
      <c r="Z930" s="1193"/>
      <c r="AA930" s="1193"/>
      <c r="AB930" s="1193"/>
      <c r="AC930" s="1193"/>
    </row>
    <row r="931" spans="1:29" x14ac:dyDescent="0.3">
      <c r="A931" s="681"/>
      <c r="B931" s="1193"/>
      <c r="C931" s="1193"/>
      <c r="D931" s="1193"/>
      <c r="E931" s="1193"/>
      <c r="F931" s="1193"/>
      <c r="G931" s="1193"/>
      <c r="H931" s="1193"/>
      <c r="I931" s="1193"/>
      <c r="J931" s="1193"/>
      <c r="K931" s="1193"/>
      <c r="L931" s="1193"/>
      <c r="M931" s="1193"/>
      <c r="N931" s="1193"/>
      <c r="O931" s="1193"/>
      <c r="P931" s="1193"/>
      <c r="Q931" s="1193"/>
      <c r="R931" s="1193"/>
      <c r="S931" s="1193"/>
      <c r="T931" s="1193"/>
      <c r="U931" s="1193"/>
      <c r="V931" s="1193"/>
      <c r="W931" s="1193"/>
      <c r="X931" s="1193"/>
      <c r="Y931" s="1193"/>
      <c r="Z931" s="1193"/>
      <c r="AA931" s="1193"/>
      <c r="AB931" s="1193"/>
      <c r="AC931" s="1193"/>
    </row>
    <row r="932" spans="1:29" x14ac:dyDescent="0.3">
      <c r="A932" s="681"/>
      <c r="B932" s="1193"/>
      <c r="C932" s="1193"/>
      <c r="D932" s="1193"/>
      <c r="E932" s="1193"/>
      <c r="F932" s="1193"/>
      <c r="G932" s="1193"/>
      <c r="H932" s="1193"/>
      <c r="I932" s="1193"/>
      <c r="J932" s="1193"/>
      <c r="K932" s="1193"/>
      <c r="L932" s="1193"/>
      <c r="M932" s="1193"/>
      <c r="N932" s="1193"/>
      <c r="O932" s="1193"/>
      <c r="P932" s="1193"/>
      <c r="Q932" s="1193"/>
      <c r="R932" s="1193"/>
      <c r="S932" s="1193"/>
      <c r="T932" s="1193"/>
      <c r="U932" s="1193"/>
      <c r="V932" s="1193"/>
      <c r="W932" s="1193"/>
      <c r="X932" s="1193"/>
      <c r="Y932" s="1193"/>
      <c r="Z932" s="1193"/>
      <c r="AA932" s="1193"/>
      <c r="AB932" s="1193"/>
      <c r="AC932" s="1193"/>
    </row>
    <row r="933" spans="1:29" x14ac:dyDescent="0.3">
      <c r="A933" s="681"/>
      <c r="B933" s="1193"/>
      <c r="C933" s="1193"/>
      <c r="D933" s="1193"/>
      <c r="E933" s="1193"/>
      <c r="F933" s="1193"/>
      <c r="G933" s="1193"/>
      <c r="H933" s="1193"/>
      <c r="I933" s="1193"/>
      <c r="J933" s="1193"/>
      <c r="K933" s="1193"/>
      <c r="L933" s="1193"/>
      <c r="M933" s="1193"/>
      <c r="N933" s="1193"/>
      <c r="O933" s="1193"/>
      <c r="P933" s="1193"/>
      <c r="Q933" s="1193"/>
      <c r="R933" s="1193"/>
      <c r="S933" s="1193"/>
      <c r="T933" s="1193"/>
      <c r="U933" s="1193"/>
      <c r="V933" s="1193"/>
      <c r="W933" s="1193"/>
      <c r="X933" s="1193"/>
      <c r="Y933" s="1193"/>
      <c r="Z933" s="1193"/>
      <c r="AA933" s="1193"/>
      <c r="AB933" s="1193"/>
      <c r="AC933" s="1193"/>
    </row>
    <row r="934" spans="1:29" x14ac:dyDescent="0.3">
      <c r="A934" s="681"/>
      <c r="B934" s="1193"/>
      <c r="C934" s="1193"/>
      <c r="D934" s="1193"/>
      <c r="E934" s="1193"/>
      <c r="F934" s="1193"/>
      <c r="G934" s="1193"/>
      <c r="H934" s="1193"/>
      <c r="I934" s="1193"/>
      <c r="J934" s="1193"/>
      <c r="K934" s="1193"/>
      <c r="L934" s="1193"/>
      <c r="M934" s="1193"/>
      <c r="N934" s="1193"/>
      <c r="O934" s="1193"/>
      <c r="P934" s="1193"/>
      <c r="Q934" s="1193"/>
      <c r="R934" s="1193"/>
      <c r="S934" s="1193"/>
      <c r="T934" s="1193"/>
      <c r="U934" s="1193"/>
      <c r="V934" s="1193"/>
      <c r="W934" s="1193"/>
      <c r="X934" s="1193"/>
      <c r="Y934" s="1193"/>
      <c r="Z934" s="1193"/>
      <c r="AA934" s="1193"/>
      <c r="AB934" s="1193"/>
      <c r="AC934" s="1193"/>
    </row>
    <row r="935" spans="1:29" x14ac:dyDescent="0.3">
      <c r="A935" s="681"/>
      <c r="B935" s="1193"/>
      <c r="C935" s="1193"/>
      <c r="D935" s="1193"/>
      <c r="E935" s="1193"/>
      <c r="F935" s="1193"/>
      <c r="G935" s="1193"/>
      <c r="H935" s="1193"/>
      <c r="I935" s="1193"/>
      <c r="J935" s="1193"/>
      <c r="K935" s="1193"/>
      <c r="L935" s="1193"/>
      <c r="M935" s="1193"/>
      <c r="N935" s="1193"/>
      <c r="O935" s="1193"/>
      <c r="P935" s="1193"/>
      <c r="Q935" s="1193"/>
      <c r="R935" s="1193"/>
      <c r="S935" s="1193"/>
      <c r="T935" s="1193"/>
      <c r="U935" s="1193"/>
      <c r="V935" s="1193"/>
      <c r="W935" s="1193"/>
      <c r="X935" s="1193"/>
      <c r="Y935" s="1193"/>
      <c r="Z935" s="1193"/>
      <c r="AA935" s="1193"/>
      <c r="AB935" s="1193"/>
      <c r="AC935" s="1193"/>
    </row>
    <row r="936" spans="1:29" x14ac:dyDescent="0.3">
      <c r="A936" s="681"/>
      <c r="B936" s="1193"/>
      <c r="C936" s="1193"/>
      <c r="D936" s="1193"/>
      <c r="E936" s="1193"/>
      <c r="F936" s="1193"/>
      <c r="G936" s="1193"/>
      <c r="H936" s="1193"/>
      <c r="I936" s="1193"/>
      <c r="J936" s="1193"/>
      <c r="K936" s="1193"/>
      <c r="L936" s="1193"/>
      <c r="M936" s="1193"/>
      <c r="N936" s="1193"/>
      <c r="O936" s="1193"/>
      <c r="P936" s="1193"/>
      <c r="Q936" s="1193"/>
      <c r="R936" s="1193"/>
      <c r="S936" s="1193"/>
      <c r="T936" s="1193"/>
      <c r="U936" s="1193"/>
      <c r="V936" s="1193"/>
      <c r="W936" s="1193"/>
      <c r="X936" s="1193"/>
      <c r="Y936" s="1193"/>
      <c r="Z936" s="1193"/>
      <c r="AA936" s="1193"/>
      <c r="AB936" s="1193"/>
      <c r="AC936" s="1193"/>
    </row>
    <row r="937" spans="1:29" x14ac:dyDescent="0.3">
      <c r="A937" s="681"/>
      <c r="B937" s="1193"/>
      <c r="C937" s="1193"/>
      <c r="D937" s="1193"/>
      <c r="E937" s="1193"/>
      <c r="F937" s="1193"/>
      <c r="G937" s="1193"/>
      <c r="H937" s="1193"/>
      <c r="I937" s="1193"/>
      <c r="J937" s="1193"/>
      <c r="K937" s="1193"/>
      <c r="L937" s="1193"/>
      <c r="M937" s="1193"/>
      <c r="N937" s="1193"/>
      <c r="O937" s="1193"/>
      <c r="P937" s="1193"/>
      <c r="Q937" s="1193"/>
      <c r="R937" s="1193"/>
      <c r="S937" s="1193"/>
      <c r="T937" s="1193"/>
      <c r="U937" s="1193"/>
      <c r="V937" s="1193"/>
      <c r="W937" s="1193"/>
      <c r="X937" s="1193"/>
      <c r="Y937" s="1193"/>
      <c r="Z937" s="1193"/>
      <c r="AA937" s="1193"/>
      <c r="AB937" s="1193"/>
      <c r="AC937" s="1193"/>
    </row>
    <row r="938" spans="1:29" x14ac:dyDescent="0.3">
      <c r="A938" s="681"/>
      <c r="B938" s="1193"/>
      <c r="C938" s="1193"/>
      <c r="D938" s="1193"/>
      <c r="E938" s="1193"/>
      <c r="F938" s="1193"/>
      <c r="G938" s="1193"/>
      <c r="H938" s="1193"/>
      <c r="I938" s="1193"/>
      <c r="J938" s="1193"/>
      <c r="K938" s="1193"/>
      <c r="L938" s="1193"/>
      <c r="M938" s="1193"/>
      <c r="N938" s="1193"/>
      <c r="O938" s="1193"/>
      <c r="P938" s="1193"/>
      <c r="Q938" s="1193"/>
      <c r="R938" s="1193"/>
      <c r="S938" s="1193"/>
      <c r="T938" s="1193"/>
      <c r="U938" s="1193"/>
      <c r="V938" s="1193"/>
      <c r="W938" s="1193"/>
      <c r="X938" s="1193"/>
      <c r="Y938" s="1193"/>
      <c r="Z938" s="1193"/>
      <c r="AA938" s="1193"/>
      <c r="AB938" s="1193"/>
      <c r="AC938" s="1193"/>
    </row>
    <row r="939" spans="1:29" x14ac:dyDescent="0.3">
      <c r="A939" s="681"/>
      <c r="B939" s="1193"/>
      <c r="C939" s="1193"/>
      <c r="D939" s="1193"/>
      <c r="E939" s="1193"/>
      <c r="F939" s="1193"/>
      <c r="G939" s="1193"/>
      <c r="H939" s="1193"/>
      <c r="I939" s="1193"/>
      <c r="J939" s="1193"/>
      <c r="K939" s="1193"/>
      <c r="L939" s="1193"/>
      <c r="M939" s="1193"/>
      <c r="N939" s="1193"/>
      <c r="O939" s="1193"/>
      <c r="P939" s="1193"/>
      <c r="Q939" s="1193"/>
      <c r="R939" s="1193"/>
      <c r="S939" s="1193"/>
      <c r="T939" s="1193"/>
      <c r="U939" s="1193"/>
      <c r="V939" s="1193"/>
      <c r="W939" s="1193"/>
      <c r="X939" s="1193"/>
      <c r="Y939" s="1193"/>
      <c r="Z939" s="1193"/>
      <c r="AA939" s="1193"/>
      <c r="AB939" s="1193"/>
      <c r="AC939" s="1193"/>
    </row>
    <row r="940" spans="1:29" x14ac:dyDescent="0.3">
      <c r="A940" s="681"/>
      <c r="B940" s="1193"/>
      <c r="C940" s="1193"/>
      <c r="D940" s="1193"/>
      <c r="E940" s="1193"/>
      <c r="F940" s="1193"/>
      <c r="G940" s="1193"/>
      <c r="H940" s="1193"/>
      <c r="I940" s="1193"/>
      <c r="J940" s="1193"/>
      <c r="K940" s="1193"/>
      <c r="L940" s="1193"/>
      <c r="M940" s="1193"/>
      <c r="N940" s="1193"/>
      <c r="O940" s="1193"/>
      <c r="P940" s="1193"/>
      <c r="Q940" s="1193"/>
      <c r="R940" s="1193"/>
      <c r="S940" s="1193"/>
      <c r="T940" s="1193"/>
      <c r="U940" s="1193"/>
      <c r="V940" s="1193"/>
      <c r="W940" s="1193"/>
      <c r="X940" s="1193"/>
      <c r="Y940" s="1193"/>
      <c r="Z940" s="1193"/>
      <c r="AA940" s="1193"/>
      <c r="AB940" s="1193"/>
      <c r="AC940" s="1193"/>
    </row>
    <row r="941" spans="1:29" x14ac:dyDescent="0.3">
      <c r="A941" s="681"/>
      <c r="B941" s="1193"/>
      <c r="C941" s="1193"/>
      <c r="D941" s="1193"/>
      <c r="E941" s="1193"/>
      <c r="F941" s="1193"/>
      <c r="G941" s="1193"/>
      <c r="H941" s="1193"/>
      <c r="I941" s="1193"/>
      <c r="J941" s="1193"/>
      <c r="K941" s="1193"/>
      <c r="L941" s="1193"/>
      <c r="M941" s="1193"/>
      <c r="N941" s="1193"/>
      <c r="O941" s="1193"/>
      <c r="P941" s="1193"/>
      <c r="Q941" s="1193"/>
      <c r="R941" s="1193"/>
      <c r="S941" s="1193"/>
      <c r="T941" s="1193"/>
      <c r="U941" s="1193"/>
      <c r="V941" s="1193"/>
      <c r="W941" s="1193"/>
      <c r="X941" s="1193"/>
      <c r="Y941" s="1193"/>
      <c r="Z941" s="1193"/>
      <c r="AA941" s="1193"/>
      <c r="AB941" s="1193"/>
      <c r="AC941" s="1193"/>
    </row>
    <row r="942" spans="1:29" x14ac:dyDescent="0.3">
      <c r="A942" s="681"/>
      <c r="B942" s="1193"/>
      <c r="C942" s="1193"/>
      <c r="D942" s="1193"/>
      <c r="E942" s="1193"/>
      <c r="F942" s="1193"/>
      <c r="G942" s="1193"/>
      <c r="H942" s="1193"/>
      <c r="I942" s="1193"/>
      <c r="J942" s="1193"/>
      <c r="K942" s="1193"/>
      <c r="L942" s="1193"/>
      <c r="M942" s="1193"/>
      <c r="N942" s="1193"/>
      <c r="O942" s="1193"/>
      <c r="P942" s="1193"/>
      <c r="Q942" s="1193"/>
      <c r="R942" s="1193"/>
      <c r="S942" s="1193"/>
      <c r="T942" s="1193"/>
      <c r="U942" s="1193"/>
      <c r="V942" s="1193"/>
      <c r="W942" s="1193"/>
      <c r="X942" s="1193"/>
      <c r="Y942" s="1193"/>
      <c r="Z942" s="1193"/>
      <c r="AA942" s="1193"/>
      <c r="AB942" s="1193"/>
      <c r="AC942" s="1193"/>
    </row>
    <row r="943" spans="1:29" x14ac:dyDescent="0.3">
      <c r="A943" s="681"/>
      <c r="B943" s="1193"/>
      <c r="C943" s="1193"/>
      <c r="D943" s="1193"/>
      <c r="E943" s="1193"/>
      <c r="F943" s="1193"/>
      <c r="G943" s="1193"/>
      <c r="H943" s="1193"/>
      <c r="I943" s="1193"/>
      <c r="J943" s="1193"/>
      <c r="K943" s="1193"/>
      <c r="L943" s="1193"/>
      <c r="M943" s="1193"/>
      <c r="N943" s="1193"/>
      <c r="O943" s="1193"/>
      <c r="P943" s="1193"/>
      <c r="Q943" s="1193"/>
      <c r="R943" s="1193"/>
      <c r="S943" s="1193"/>
      <c r="T943" s="1193"/>
      <c r="U943" s="1193"/>
      <c r="V943" s="1193"/>
      <c r="W943" s="1193"/>
      <c r="X943" s="1193"/>
      <c r="Y943" s="1193"/>
      <c r="Z943" s="1193"/>
      <c r="AA943" s="1193"/>
      <c r="AB943" s="1193"/>
      <c r="AC943" s="1193"/>
    </row>
    <row r="944" spans="1:29" x14ac:dyDescent="0.3">
      <c r="A944" s="681"/>
      <c r="B944" s="1193"/>
      <c r="C944" s="1193"/>
      <c r="D944" s="1193"/>
      <c r="E944" s="1193"/>
      <c r="F944" s="1193"/>
      <c r="G944" s="1193"/>
      <c r="H944" s="1193"/>
      <c r="I944" s="1193"/>
      <c r="J944" s="1193"/>
      <c r="K944" s="1193"/>
      <c r="L944" s="1193"/>
      <c r="M944" s="1193"/>
      <c r="N944" s="1193"/>
      <c r="O944" s="1193"/>
      <c r="P944" s="1193"/>
      <c r="Q944" s="1193"/>
      <c r="R944" s="1193"/>
      <c r="S944" s="1193"/>
      <c r="T944" s="1193"/>
      <c r="U944" s="1193"/>
      <c r="V944" s="1193"/>
      <c r="W944" s="1193"/>
      <c r="X944" s="1193"/>
      <c r="Y944" s="1193"/>
      <c r="Z944" s="1193"/>
      <c r="AA944" s="1193"/>
      <c r="AB944" s="1193"/>
      <c r="AC944" s="1193"/>
    </row>
    <row r="945" spans="1:29" x14ac:dyDescent="0.3">
      <c r="A945" s="681"/>
      <c r="B945" s="1193"/>
      <c r="C945" s="1193"/>
      <c r="D945" s="1193"/>
      <c r="E945" s="1193"/>
      <c r="F945" s="1193"/>
      <c r="G945" s="1193"/>
      <c r="H945" s="1193"/>
      <c r="I945" s="1193"/>
      <c r="J945" s="1193"/>
      <c r="K945" s="1193"/>
      <c r="L945" s="1193"/>
      <c r="M945" s="1193"/>
      <c r="N945" s="1193"/>
      <c r="O945" s="1193"/>
      <c r="P945" s="1193"/>
      <c r="Q945" s="1193"/>
      <c r="R945" s="1193"/>
      <c r="S945" s="1193"/>
      <c r="T945" s="1193"/>
      <c r="U945" s="1193"/>
      <c r="V945" s="1193"/>
      <c r="W945" s="1193"/>
      <c r="X945" s="1193"/>
      <c r="Y945" s="1193"/>
      <c r="Z945" s="1193"/>
      <c r="AA945" s="1193"/>
      <c r="AB945" s="1193"/>
      <c r="AC945" s="1193"/>
    </row>
    <row r="946" spans="1:29" x14ac:dyDescent="0.3">
      <c r="A946" s="681"/>
      <c r="B946" s="1193"/>
      <c r="C946" s="1193"/>
      <c r="D946" s="1193"/>
      <c r="E946" s="1193"/>
      <c r="F946" s="1193"/>
      <c r="G946" s="1193"/>
      <c r="H946" s="1193"/>
      <c r="I946" s="1193"/>
      <c r="J946" s="1193"/>
      <c r="K946" s="1193"/>
      <c r="L946" s="1193"/>
      <c r="M946" s="1193"/>
      <c r="N946" s="1193"/>
      <c r="O946" s="1193"/>
      <c r="P946" s="1193"/>
      <c r="Q946" s="1193"/>
      <c r="R946" s="1193"/>
      <c r="S946" s="1193"/>
      <c r="T946" s="1193"/>
      <c r="U946" s="1193"/>
      <c r="V946" s="1193"/>
      <c r="W946" s="1193"/>
      <c r="X946" s="1193"/>
      <c r="Y946" s="1193"/>
      <c r="Z946" s="1193"/>
      <c r="AA946" s="1193"/>
      <c r="AB946" s="1193"/>
      <c r="AC946" s="1193"/>
    </row>
    <row r="947" spans="1:29" x14ac:dyDescent="0.3">
      <c r="A947" s="681"/>
      <c r="B947" s="1193"/>
      <c r="C947" s="1193"/>
      <c r="D947" s="1193"/>
      <c r="E947" s="1193"/>
      <c r="F947" s="1193"/>
      <c r="G947" s="1193"/>
      <c r="H947" s="1193"/>
      <c r="I947" s="1193"/>
      <c r="J947" s="1193"/>
      <c r="K947" s="1193"/>
      <c r="L947" s="1193"/>
      <c r="M947" s="1193"/>
      <c r="N947" s="1193"/>
      <c r="O947" s="1193"/>
      <c r="P947" s="1193"/>
      <c r="Q947" s="1193"/>
      <c r="R947" s="1193"/>
      <c r="S947" s="1193"/>
      <c r="T947" s="1193"/>
      <c r="U947" s="1193"/>
      <c r="V947" s="1193"/>
      <c r="W947" s="1193"/>
      <c r="X947" s="1193"/>
      <c r="Y947" s="1193"/>
      <c r="Z947" s="1193"/>
      <c r="AA947" s="1193"/>
      <c r="AB947" s="1193"/>
      <c r="AC947" s="1193"/>
    </row>
    <row r="948" spans="1:29" x14ac:dyDescent="0.3">
      <c r="A948" s="681"/>
      <c r="B948" s="1193"/>
      <c r="C948" s="1193"/>
      <c r="D948" s="1193"/>
      <c r="E948" s="1193"/>
      <c r="F948" s="1193"/>
      <c r="G948" s="1193"/>
      <c r="H948" s="1193"/>
      <c r="I948" s="1193"/>
      <c r="J948" s="1193"/>
      <c r="K948" s="1193"/>
      <c r="L948" s="1193"/>
      <c r="M948" s="1193"/>
      <c r="N948" s="1193"/>
      <c r="O948" s="1193"/>
      <c r="P948" s="1193"/>
      <c r="Q948" s="1193"/>
      <c r="R948" s="1193"/>
      <c r="S948" s="1193"/>
      <c r="T948" s="1193"/>
      <c r="U948" s="1193"/>
      <c r="V948" s="1193"/>
      <c r="W948" s="1193"/>
      <c r="X948" s="1193"/>
      <c r="Y948" s="1193"/>
      <c r="Z948" s="1193"/>
      <c r="AA948" s="1193"/>
      <c r="AB948" s="1193"/>
      <c r="AC948" s="1193"/>
    </row>
    <row r="949" spans="1:29" x14ac:dyDescent="0.3">
      <c r="A949" s="681"/>
      <c r="B949" s="1193"/>
      <c r="C949" s="1193"/>
      <c r="D949" s="1193"/>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row>
    <row r="950" spans="1:29" x14ac:dyDescent="0.3">
      <c r="A950" s="681"/>
      <c r="B950" s="1193"/>
      <c r="C950" s="1193"/>
      <c r="D950" s="1193"/>
      <c r="E950" s="1193"/>
      <c r="F950" s="1193"/>
      <c r="G950" s="1193"/>
      <c r="H950" s="1193"/>
      <c r="I950" s="1193"/>
      <c r="J950" s="1193"/>
      <c r="K950" s="1193"/>
      <c r="L950" s="1193"/>
      <c r="M950" s="1193"/>
      <c r="N950" s="1193"/>
      <c r="O950" s="1193"/>
      <c r="P950" s="1193"/>
      <c r="Q950" s="1193"/>
      <c r="R950" s="1193"/>
      <c r="S950" s="1193"/>
      <c r="T950" s="1193"/>
      <c r="U950" s="1193"/>
      <c r="V950" s="1193"/>
      <c r="W950" s="1193"/>
      <c r="X950" s="1193"/>
      <c r="Y950" s="1193"/>
      <c r="Z950" s="1193"/>
      <c r="AA950" s="1193"/>
      <c r="AB950" s="1193"/>
      <c r="AC950" s="1193"/>
    </row>
    <row r="951" spans="1:29" x14ac:dyDescent="0.3">
      <c r="A951" s="681"/>
      <c r="B951" s="1193"/>
      <c r="C951" s="1193"/>
      <c r="D951" s="1193"/>
      <c r="E951" s="1193"/>
      <c r="F951" s="1193"/>
      <c r="G951" s="1193"/>
      <c r="H951" s="1193"/>
      <c r="I951" s="1193"/>
      <c r="J951" s="1193"/>
      <c r="K951" s="1193"/>
      <c r="L951" s="1193"/>
      <c r="M951" s="1193"/>
      <c r="N951" s="1193"/>
      <c r="O951" s="1193"/>
      <c r="P951" s="1193"/>
      <c r="Q951" s="1193"/>
      <c r="R951" s="1193"/>
      <c r="S951" s="1193"/>
      <c r="T951" s="1193"/>
      <c r="U951" s="1193"/>
      <c r="V951" s="1193"/>
      <c r="W951" s="1193"/>
      <c r="X951" s="1193"/>
      <c r="Y951" s="1193"/>
      <c r="Z951" s="1193"/>
      <c r="AA951" s="1193"/>
      <c r="AB951" s="1193"/>
      <c r="AC951" s="1193"/>
    </row>
    <row r="952" spans="1:29" x14ac:dyDescent="0.3">
      <c r="A952" s="681"/>
      <c r="B952" s="1193"/>
      <c r="C952" s="1193"/>
      <c r="D952" s="1193"/>
      <c r="E952" s="1193"/>
      <c r="F952" s="1193"/>
      <c r="G952" s="1193"/>
      <c r="H952" s="1193"/>
      <c r="I952" s="1193"/>
      <c r="J952" s="1193"/>
      <c r="K952" s="1193"/>
      <c r="L952" s="1193"/>
      <c r="M952" s="1193"/>
      <c r="N952" s="1193"/>
      <c r="O952" s="1193"/>
      <c r="P952" s="1193"/>
      <c r="Q952" s="1193"/>
      <c r="R952" s="1193"/>
      <c r="S952" s="1193"/>
      <c r="T952" s="1193"/>
      <c r="U952" s="1193"/>
      <c r="V952" s="1193"/>
      <c r="W952" s="1193"/>
      <c r="X952" s="1193"/>
      <c r="Y952" s="1193"/>
      <c r="Z952" s="1193"/>
      <c r="AA952" s="1193"/>
      <c r="AB952" s="1193"/>
      <c r="AC952" s="1193"/>
    </row>
    <row r="953" spans="1:29" x14ac:dyDescent="0.3">
      <c r="A953" s="681"/>
      <c r="B953" s="1193"/>
      <c r="C953" s="1193"/>
      <c r="D953" s="1193"/>
      <c r="E953" s="1193"/>
      <c r="F953" s="1193"/>
      <c r="G953" s="1193"/>
      <c r="H953" s="1193"/>
      <c r="I953" s="1193"/>
      <c r="J953" s="1193"/>
      <c r="K953" s="1193"/>
      <c r="L953" s="1193"/>
      <c r="M953" s="1193"/>
      <c r="N953" s="1193"/>
      <c r="O953" s="1193"/>
      <c r="P953" s="1193"/>
      <c r="Q953" s="1193"/>
      <c r="R953" s="1193"/>
      <c r="S953" s="1193"/>
      <c r="T953" s="1193"/>
      <c r="U953" s="1193"/>
      <c r="V953" s="1193"/>
      <c r="W953" s="1193"/>
      <c r="X953" s="1193"/>
      <c r="Y953" s="1193"/>
      <c r="Z953" s="1193"/>
      <c r="AA953" s="1193"/>
      <c r="AB953" s="1193"/>
      <c r="AC953" s="1193"/>
    </row>
    <row r="954" spans="1:29" x14ac:dyDescent="0.3">
      <c r="A954" s="681"/>
      <c r="B954" s="1193"/>
      <c r="C954" s="1193"/>
      <c r="D954" s="1193"/>
      <c r="E954" s="1193"/>
      <c r="F954" s="1193"/>
      <c r="G954" s="1193"/>
      <c r="H954" s="1193"/>
      <c r="I954" s="1193"/>
      <c r="J954" s="1193"/>
      <c r="K954" s="1193"/>
      <c r="L954" s="1193"/>
      <c r="M954" s="1193"/>
      <c r="N954" s="1193"/>
      <c r="O954" s="1193"/>
      <c r="P954" s="1193"/>
      <c r="Q954" s="1193"/>
      <c r="R954" s="1193"/>
      <c r="S954" s="1193"/>
      <c r="T954" s="1193"/>
      <c r="U954" s="1193"/>
      <c r="V954" s="1193"/>
      <c r="W954" s="1193"/>
      <c r="X954" s="1193"/>
      <c r="Y954" s="1193"/>
      <c r="Z954" s="1193"/>
      <c r="AA954" s="1193"/>
      <c r="AB954" s="1193"/>
      <c r="AC954" s="1193"/>
    </row>
    <row r="955" spans="1:29" x14ac:dyDescent="0.3">
      <c r="A955" s="681"/>
      <c r="B955" s="1193"/>
      <c r="C955" s="1193"/>
      <c r="D955" s="1193"/>
      <c r="E955" s="1193"/>
      <c r="F955" s="1193"/>
      <c r="G955" s="1193"/>
      <c r="H955" s="1193"/>
      <c r="I955" s="1193"/>
      <c r="J955" s="1193"/>
      <c r="K955" s="1193"/>
      <c r="L955" s="1193"/>
      <c r="M955" s="1193"/>
      <c r="N955" s="1193"/>
      <c r="O955" s="1193"/>
      <c r="P955" s="1193"/>
      <c r="Q955" s="1193"/>
      <c r="R955" s="1193"/>
      <c r="S955" s="1193"/>
      <c r="T955" s="1193"/>
      <c r="U955" s="1193"/>
      <c r="V955" s="1193"/>
      <c r="W955" s="1193"/>
      <c r="X955" s="1193"/>
      <c r="Y955" s="1193"/>
      <c r="Z955" s="1193"/>
      <c r="AA955" s="1193"/>
      <c r="AB955" s="1193"/>
      <c r="AC955" s="1193"/>
    </row>
    <row r="956" spans="1:29" x14ac:dyDescent="0.3">
      <c r="A956" s="681"/>
      <c r="B956" s="1193"/>
      <c r="C956" s="1193"/>
      <c r="D956" s="1193"/>
      <c r="E956" s="1193"/>
      <c r="F956" s="1193"/>
      <c r="G956" s="1193"/>
      <c r="H956" s="1193"/>
      <c r="I956" s="1193"/>
      <c r="J956" s="1193"/>
      <c r="K956" s="1193"/>
      <c r="L956" s="1193"/>
      <c r="M956" s="1193"/>
      <c r="N956" s="1193"/>
      <c r="O956" s="1193"/>
      <c r="P956" s="1193"/>
      <c r="Q956" s="1193"/>
      <c r="R956" s="1193"/>
      <c r="S956" s="1193"/>
      <c r="T956" s="1193"/>
      <c r="U956" s="1193"/>
      <c r="V956" s="1193"/>
      <c r="W956" s="1193"/>
      <c r="X956" s="1193"/>
      <c r="Y956" s="1193"/>
      <c r="Z956" s="1193"/>
      <c r="AA956" s="1193"/>
      <c r="AB956" s="1193"/>
      <c r="AC956" s="1193"/>
    </row>
    <row r="957" spans="1:29" x14ac:dyDescent="0.3">
      <c r="A957" s="681"/>
      <c r="B957" s="1193"/>
      <c r="C957" s="1193"/>
      <c r="D957" s="1193"/>
      <c r="E957" s="1193"/>
      <c r="F957" s="1193"/>
      <c r="G957" s="1193"/>
      <c r="H957" s="1193"/>
      <c r="I957" s="1193"/>
      <c r="J957" s="1193"/>
      <c r="K957" s="1193"/>
      <c r="L957" s="1193"/>
      <c r="M957" s="1193"/>
      <c r="N957" s="1193"/>
      <c r="O957" s="1193"/>
      <c r="P957" s="1193"/>
      <c r="Q957" s="1193"/>
      <c r="R957" s="1193"/>
      <c r="S957" s="1193"/>
      <c r="T957" s="1193"/>
      <c r="U957" s="1193"/>
      <c r="V957" s="1193"/>
      <c r="W957" s="1193"/>
      <c r="X957" s="1193"/>
      <c r="Y957" s="1193"/>
      <c r="Z957" s="1193"/>
      <c r="AA957" s="1193"/>
      <c r="AB957" s="1193"/>
      <c r="AC957" s="1193"/>
    </row>
    <row r="958" spans="1:29" x14ac:dyDescent="0.3">
      <c r="A958" s="681"/>
      <c r="B958" s="1193"/>
      <c r="C958" s="1193"/>
      <c r="D958" s="1193"/>
      <c r="E958" s="1193"/>
      <c r="F958" s="1193"/>
      <c r="G958" s="1193"/>
      <c r="H958" s="1193"/>
      <c r="I958" s="1193"/>
      <c r="J958" s="1193"/>
      <c r="K958" s="1193"/>
      <c r="L958" s="1193"/>
      <c r="M958" s="1193"/>
      <c r="N958" s="1193"/>
      <c r="O958" s="1193"/>
      <c r="P958" s="1193"/>
      <c r="Q958" s="1193"/>
      <c r="R958" s="1193"/>
      <c r="S958" s="1193"/>
      <c r="T958" s="1193"/>
      <c r="U958" s="1193"/>
      <c r="V958" s="1193"/>
      <c r="W958" s="1193"/>
      <c r="X958" s="1193"/>
      <c r="Y958" s="1193"/>
      <c r="Z958" s="1193"/>
      <c r="AA958" s="1193"/>
      <c r="AB958" s="1193"/>
      <c r="AC958" s="1193"/>
    </row>
    <row r="959" spans="1:29" x14ac:dyDescent="0.3">
      <c r="A959" s="681"/>
      <c r="B959" s="1193"/>
      <c r="C959" s="1193"/>
      <c r="D959" s="1193"/>
      <c r="E959" s="1193"/>
      <c r="F959" s="1193"/>
      <c r="G959" s="1193"/>
      <c r="H959" s="1193"/>
      <c r="I959" s="1193"/>
      <c r="J959" s="1193"/>
      <c r="K959" s="1193"/>
      <c r="L959" s="1193"/>
      <c r="M959" s="1193"/>
      <c r="N959" s="1193"/>
      <c r="O959" s="1193"/>
      <c r="P959" s="1193"/>
      <c r="Q959" s="1193"/>
      <c r="R959" s="1193"/>
      <c r="S959" s="1193"/>
      <c r="T959" s="1193"/>
      <c r="U959" s="1193"/>
      <c r="V959" s="1193"/>
      <c r="W959" s="1193"/>
      <c r="X959" s="1193"/>
      <c r="Y959" s="1193"/>
      <c r="Z959" s="1193"/>
      <c r="AA959" s="1193"/>
      <c r="AB959" s="1193"/>
      <c r="AC959" s="1193"/>
    </row>
    <row r="960" spans="1:29" x14ac:dyDescent="0.3">
      <c r="A960" s="681"/>
      <c r="B960" s="1193"/>
      <c r="C960" s="1193"/>
      <c r="D960" s="1193"/>
      <c r="E960" s="1193"/>
      <c r="F960" s="1193"/>
      <c r="G960" s="1193"/>
      <c r="H960" s="1193"/>
      <c r="I960" s="1193"/>
      <c r="J960" s="1193"/>
      <c r="K960" s="1193"/>
      <c r="L960" s="1193"/>
      <c r="M960" s="1193"/>
      <c r="N960" s="1193"/>
      <c r="O960" s="1193"/>
      <c r="P960" s="1193"/>
      <c r="Q960" s="1193"/>
      <c r="R960" s="1193"/>
      <c r="S960" s="1193"/>
      <c r="T960" s="1193"/>
      <c r="U960" s="1193"/>
      <c r="V960" s="1193"/>
      <c r="W960" s="1193"/>
      <c r="X960" s="1193"/>
      <c r="Y960" s="1193"/>
      <c r="Z960" s="1193"/>
      <c r="AA960" s="1193"/>
      <c r="AB960" s="1193"/>
      <c r="AC960" s="1193"/>
    </row>
    <row r="961" spans="1:29" x14ac:dyDescent="0.3">
      <c r="A961" s="681"/>
      <c r="B961" s="1193"/>
      <c r="C961" s="1193"/>
      <c r="D961" s="1193"/>
      <c r="E961" s="1193"/>
      <c r="F961" s="1193"/>
      <c r="G961" s="1193"/>
      <c r="H961" s="1193"/>
      <c r="I961" s="1193"/>
      <c r="J961" s="1193"/>
      <c r="K961" s="1193"/>
      <c r="L961" s="1193"/>
      <c r="M961" s="1193"/>
      <c r="N961" s="1193"/>
      <c r="O961" s="1193"/>
      <c r="P961" s="1193"/>
      <c r="Q961" s="1193"/>
      <c r="R961" s="1193"/>
      <c r="S961" s="1193"/>
      <c r="T961" s="1193"/>
      <c r="U961" s="1193"/>
      <c r="V961" s="1193"/>
      <c r="W961" s="1193"/>
      <c r="X961" s="1193"/>
      <c r="Y961" s="1193"/>
      <c r="Z961" s="1193"/>
      <c r="AA961" s="1193"/>
      <c r="AB961" s="1193"/>
      <c r="AC961" s="1193"/>
    </row>
    <row r="962" spans="1:29" x14ac:dyDescent="0.3">
      <c r="A962" s="681"/>
      <c r="B962" s="1193"/>
      <c r="C962" s="1193"/>
      <c r="D962" s="1193"/>
      <c r="E962" s="1193"/>
      <c r="F962" s="1193"/>
      <c r="G962" s="1193"/>
      <c r="H962" s="1193"/>
      <c r="I962" s="1193"/>
      <c r="J962" s="1193"/>
      <c r="K962" s="1193"/>
      <c r="L962" s="1193"/>
      <c r="M962" s="1193"/>
      <c r="N962" s="1193"/>
      <c r="O962" s="1193"/>
      <c r="P962" s="1193"/>
      <c r="Q962" s="1193"/>
      <c r="R962" s="1193"/>
      <c r="S962" s="1193"/>
      <c r="T962" s="1193"/>
      <c r="U962" s="1193"/>
      <c r="V962" s="1193"/>
      <c r="W962" s="1193"/>
      <c r="X962" s="1193"/>
      <c r="Y962" s="1193"/>
      <c r="Z962" s="1193"/>
      <c r="AA962" s="1193"/>
      <c r="AB962" s="1193"/>
      <c r="AC962" s="1193"/>
    </row>
    <row r="963" spans="1:29" x14ac:dyDescent="0.3">
      <c r="A963" s="681"/>
      <c r="B963" s="1193"/>
      <c r="C963" s="1193"/>
      <c r="D963" s="1193"/>
      <c r="E963" s="1193"/>
      <c r="F963" s="1193"/>
      <c r="G963" s="1193"/>
      <c r="H963" s="1193"/>
      <c r="I963" s="1193"/>
      <c r="J963" s="1193"/>
      <c r="K963" s="1193"/>
      <c r="L963" s="1193"/>
      <c r="M963" s="1193"/>
      <c r="N963" s="1193"/>
      <c r="O963" s="1193"/>
      <c r="P963" s="1193"/>
      <c r="Q963" s="1193"/>
      <c r="R963" s="1193"/>
      <c r="S963" s="1193"/>
      <c r="T963" s="1193"/>
      <c r="U963" s="1193"/>
      <c r="V963" s="1193"/>
      <c r="W963" s="1193"/>
      <c r="X963" s="1193"/>
      <c r="Y963" s="1193"/>
      <c r="Z963" s="1193"/>
      <c r="AA963" s="1193"/>
      <c r="AB963" s="1193"/>
      <c r="AC963" s="1193"/>
    </row>
    <row r="964" spans="1:29" x14ac:dyDescent="0.3">
      <c r="A964" s="681"/>
      <c r="B964" s="1193"/>
      <c r="C964" s="1193"/>
      <c r="D964" s="1193"/>
      <c r="E964" s="1193"/>
      <c r="F964" s="1193"/>
      <c r="G964" s="1193"/>
      <c r="H964" s="1193"/>
      <c r="I964" s="1193"/>
      <c r="J964" s="1193"/>
      <c r="K964" s="1193"/>
      <c r="L964" s="1193"/>
      <c r="M964" s="1193"/>
      <c r="N964" s="1193"/>
      <c r="O964" s="1193"/>
      <c r="P964" s="1193"/>
      <c r="Q964" s="1193"/>
      <c r="R964" s="1193"/>
      <c r="S964" s="1193"/>
      <c r="T964" s="1193"/>
      <c r="U964" s="1193"/>
      <c r="V964" s="1193"/>
      <c r="W964" s="1193"/>
      <c r="X964" s="1193"/>
      <c r="Y964" s="1193"/>
      <c r="Z964" s="1193"/>
      <c r="AA964" s="1193"/>
      <c r="AB964" s="1193"/>
      <c r="AC964" s="1193"/>
    </row>
    <row r="965" spans="1:29" x14ac:dyDescent="0.3">
      <c r="A965" s="681"/>
      <c r="B965" s="1193"/>
      <c r="C965" s="1193"/>
      <c r="D965" s="1193"/>
      <c r="E965" s="1193"/>
      <c r="F965" s="1193"/>
      <c r="G965" s="1193"/>
      <c r="H965" s="1193"/>
      <c r="I965" s="1193"/>
      <c r="J965" s="1193"/>
      <c r="K965" s="1193"/>
      <c r="L965" s="1193"/>
      <c r="M965" s="1193"/>
      <c r="N965" s="1193"/>
      <c r="O965" s="1193"/>
      <c r="P965" s="1193"/>
      <c r="Q965" s="1193"/>
      <c r="R965" s="1193"/>
      <c r="S965" s="1193"/>
      <c r="T965" s="1193"/>
      <c r="U965" s="1193"/>
      <c r="V965" s="1193"/>
      <c r="W965" s="1193"/>
      <c r="X965" s="1193"/>
      <c r="Y965" s="1193"/>
      <c r="Z965" s="1193"/>
      <c r="AA965" s="1193"/>
      <c r="AB965" s="1193"/>
      <c r="AC965" s="1193"/>
    </row>
    <row r="966" spans="1:29" x14ac:dyDescent="0.3">
      <c r="A966" s="681"/>
      <c r="B966" s="1193"/>
      <c r="C966" s="1193"/>
      <c r="D966" s="1193"/>
      <c r="E966" s="1193"/>
      <c r="F966" s="1193"/>
      <c r="G966" s="1193"/>
      <c r="H966" s="1193"/>
      <c r="I966" s="1193"/>
      <c r="J966" s="1193"/>
      <c r="K966" s="1193"/>
      <c r="L966" s="1193"/>
      <c r="M966" s="1193"/>
      <c r="N966" s="1193"/>
      <c r="O966" s="1193"/>
      <c r="P966" s="1193"/>
      <c r="Q966" s="1193"/>
      <c r="R966" s="1193"/>
      <c r="S966" s="1193"/>
      <c r="T966" s="1193"/>
      <c r="U966" s="1193"/>
      <c r="V966" s="1193"/>
      <c r="W966" s="1193"/>
      <c r="X966" s="1193"/>
      <c r="Y966" s="1193"/>
      <c r="Z966" s="1193"/>
      <c r="AA966" s="1193"/>
      <c r="AB966" s="1193"/>
      <c r="AC966" s="1193"/>
    </row>
    <row r="967" spans="1:29" x14ac:dyDescent="0.3">
      <c r="A967" s="681"/>
      <c r="B967" s="1193"/>
      <c r="C967" s="1193"/>
      <c r="D967" s="1193"/>
      <c r="E967" s="1193"/>
      <c r="F967" s="1193"/>
      <c r="G967" s="1193"/>
      <c r="H967" s="1193"/>
      <c r="I967" s="1193"/>
      <c r="J967" s="1193"/>
      <c r="K967" s="1193"/>
      <c r="L967" s="1193"/>
      <c r="M967" s="1193"/>
      <c r="N967" s="1193"/>
      <c r="O967" s="1193"/>
      <c r="P967" s="1193"/>
      <c r="Q967" s="1193"/>
      <c r="R967" s="1193"/>
      <c r="S967" s="1193"/>
      <c r="T967" s="1193"/>
      <c r="U967" s="1193"/>
      <c r="V967" s="1193"/>
      <c r="W967" s="1193"/>
      <c r="X967" s="1193"/>
      <c r="Y967" s="1193"/>
      <c r="Z967" s="1193"/>
      <c r="AA967" s="1193"/>
      <c r="AB967" s="1193"/>
      <c r="AC967" s="1193"/>
    </row>
    <row r="968" spans="1:29" x14ac:dyDescent="0.3">
      <c r="A968" s="681"/>
      <c r="B968" s="1193"/>
      <c r="C968" s="1193"/>
      <c r="D968" s="1193"/>
      <c r="E968" s="1193"/>
      <c r="F968" s="1193"/>
      <c r="G968" s="1193"/>
      <c r="H968" s="1193"/>
      <c r="I968" s="1193"/>
      <c r="J968" s="1193"/>
      <c r="K968" s="1193"/>
      <c r="L968" s="1193"/>
      <c r="M968" s="1193"/>
      <c r="N968" s="1193"/>
      <c r="O968" s="1193"/>
      <c r="P968" s="1193"/>
      <c r="Q968" s="1193"/>
      <c r="R968" s="1193"/>
      <c r="S968" s="1193"/>
      <c r="T968" s="1193"/>
      <c r="U968" s="1193"/>
      <c r="V968" s="1193"/>
      <c r="W968" s="1193"/>
      <c r="X968" s="1193"/>
      <c r="Y968" s="1193"/>
      <c r="Z968" s="1193"/>
      <c r="AA968" s="1193"/>
      <c r="AB968" s="1193"/>
      <c r="AC968" s="1193"/>
    </row>
    <row r="969" spans="1:29" x14ac:dyDescent="0.3">
      <c r="A969" s="681"/>
      <c r="B969" s="1193"/>
      <c r="C969" s="1193"/>
      <c r="D969" s="1193"/>
      <c r="E969" s="1193"/>
      <c r="F969" s="1193"/>
      <c r="G969" s="1193"/>
      <c r="H969" s="1193"/>
      <c r="I969" s="1193"/>
      <c r="J969" s="1193"/>
      <c r="K969" s="1193"/>
      <c r="L969" s="1193"/>
      <c r="M969" s="1193"/>
      <c r="N969" s="1193"/>
      <c r="O969" s="1193"/>
      <c r="P969" s="1193"/>
      <c r="Q969" s="1193"/>
      <c r="R969" s="1193"/>
      <c r="S969" s="1193"/>
      <c r="T969" s="1193"/>
      <c r="U969" s="1193"/>
      <c r="V969" s="1193"/>
      <c r="W969" s="1193"/>
      <c r="X969" s="1193"/>
      <c r="Y969" s="1193"/>
      <c r="Z969" s="1193"/>
      <c r="AA969" s="1193"/>
      <c r="AB969" s="1193"/>
      <c r="AC969" s="1193"/>
    </row>
    <row r="970" spans="1:29" x14ac:dyDescent="0.3">
      <c r="A970" s="681"/>
      <c r="B970" s="1193"/>
      <c r="C970" s="1193"/>
      <c r="D970" s="1193"/>
      <c r="E970" s="1193"/>
      <c r="F970" s="1193"/>
      <c r="G970" s="1193"/>
      <c r="H970" s="1193"/>
      <c r="I970" s="1193"/>
      <c r="J970" s="1193"/>
      <c r="K970" s="1193"/>
      <c r="L970" s="1193"/>
      <c r="M970" s="1193"/>
      <c r="N970" s="1193"/>
      <c r="O970" s="1193"/>
      <c r="P970" s="1193"/>
      <c r="Q970" s="1193"/>
      <c r="R970" s="1193"/>
      <c r="S970" s="1193"/>
      <c r="T970" s="1193"/>
      <c r="U970" s="1193"/>
      <c r="V970" s="1193"/>
      <c r="W970" s="1193"/>
      <c r="X970" s="1193"/>
      <c r="Y970" s="1193"/>
      <c r="Z970" s="1193"/>
      <c r="AA970" s="1193"/>
      <c r="AB970" s="1193"/>
      <c r="AC970" s="1193"/>
    </row>
    <row r="971" spans="1:29" x14ac:dyDescent="0.3">
      <c r="A971" s="681"/>
      <c r="B971" s="1193"/>
      <c r="C971" s="1193"/>
      <c r="D971" s="1193"/>
      <c r="E971" s="1193"/>
      <c r="F971" s="1193"/>
      <c r="G971" s="1193"/>
      <c r="H971" s="1193"/>
      <c r="I971" s="1193"/>
      <c r="J971" s="1193"/>
      <c r="K971" s="1193"/>
      <c r="L971" s="1193"/>
      <c r="M971" s="1193"/>
      <c r="N971" s="1193"/>
      <c r="O971" s="1193"/>
      <c r="P971" s="1193"/>
      <c r="Q971" s="1193"/>
      <c r="R971" s="1193"/>
      <c r="S971" s="1193"/>
      <c r="T971" s="1193"/>
      <c r="U971" s="1193"/>
      <c r="V971" s="1193"/>
      <c r="W971" s="1193"/>
      <c r="X971" s="1193"/>
      <c r="Y971" s="1193"/>
      <c r="Z971" s="1193"/>
      <c r="AA971" s="1193"/>
      <c r="AB971" s="1193"/>
      <c r="AC971" s="1193"/>
    </row>
    <row r="972" spans="1:29" x14ac:dyDescent="0.3">
      <c r="A972" s="681"/>
      <c r="B972" s="1193"/>
      <c r="C972" s="1193"/>
      <c r="D972" s="1193"/>
      <c r="E972" s="1193"/>
      <c r="F972" s="1193"/>
      <c r="G972" s="1193"/>
      <c r="H972" s="1193"/>
      <c r="I972" s="1193"/>
      <c r="J972" s="1193"/>
      <c r="K972" s="1193"/>
      <c r="L972" s="1193"/>
      <c r="M972" s="1193"/>
      <c r="N972" s="1193"/>
      <c r="O972" s="1193"/>
      <c r="P972" s="1193"/>
      <c r="Q972" s="1193"/>
      <c r="R972" s="1193"/>
      <c r="S972" s="1193"/>
      <c r="T972" s="1193"/>
      <c r="U972" s="1193"/>
      <c r="V972" s="1193"/>
      <c r="W972" s="1193"/>
      <c r="X972" s="1193"/>
      <c r="Y972" s="1193"/>
      <c r="Z972" s="1193"/>
      <c r="AA972" s="1193"/>
      <c r="AB972" s="1193"/>
      <c r="AC972" s="1193"/>
    </row>
    <row r="973" spans="1:29" x14ac:dyDescent="0.3">
      <c r="A973" s="681"/>
      <c r="B973" s="1193"/>
      <c r="C973" s="1193"/>
      <c r="D973" s="1193"/>
      <c r="E973" s="1193"/>
      <c r="F973" s="1193"/>
      <c r="G973" s="1193"/>
      <c r="H973" s="1193"/>
      <c r="I973" s="1193"/>
      <c r="J973" s="1193"/>
      <c r="K973" s="1193"/>
      <c r="L973" s="1193"/>
      <c r="M973" s="1193"/>
      <c r="N973" s="1193"/>
      <c r="O973" s="1193"/>
      <c r="P973" s="1193"/>
      <c r="Q973" s="1193"/>
      <c r="R973" s="1193"/>
      <c r="S973" s="1193"/>
      <c r="T973" s="1193"/>
      <c r="U973" s="1193"/>
      <c r="V973" s="1193"/>
      <c r="W973" s="1193"/>
      <c r="X973" s="1193"/>
      <c r="Y973" s="1193"/>
      <c r="Z973" s="1193"/>
      <c r="AA973" s="1193"/>
      <c r="AB973" s="1193"/>
      <c r="AC973" s="1193"/>
    </row>
    <row r="974" spans="1:29" x14ac:dyDescent="0.3">
      <c r="A974" s="681"/>
      <c r="B974" s="1193"/>
      <c r="C974" s="1193"/>
      <c r="D974" s="1193"/>
      <c r="E974" s="1193"/>
      <c r="F974" s="1193"/>
      <c r="G974" s="1193"/>
      <c r="H974" s="1193"/>
      <c r="I974" s="1193"/>
      <c r="J974" s="1193"/>
      <c r="K974" s="1193"/>
      <c r="L974" s="1193"/>
      <c r="M974" s="1193"/>
      <c r="N974" s="1193"/>
      <c r="O974" s="1193"/>
      <c r="P974" s="1193"/>
      <c r="Q974" s="1193"/>
      <c r="R974" s="1193"/>
      <c r="S974" s="1193"/>
      <c r="T974" s="1193"/>
      <c r="U974" s="1193"/>
      <c r="V974" s="1193"/>
      <c r="W974" s="1193"/>
      <c r="X974" s="1193"/>
      <c r="Y974" s="1193"/>
      <c r="Z974" s="1193"/>
      <c r="AA974" s="1193"/>
      <c r="AB974" s="1193"/>
      <c r="AC974" s="1193"/>
    </row>
    <row r="975" spans="1:29" x14ac:dyDescent="0.3">
      <c r="A975" s="681"/>
      <c r="B975" s="1193"/>
      <c r="C975" s="1193"/>
      <c r="D975" s="1193"/>
      <c r="E975" s="1193"/>
      <c r="F975" s="1193"/>
      <c r="G975" s="1193"/>
      <c r="H975" s="1193"/>
      <c r="I975" s="1193"/>
      <c r="J975" s="1193"/>
      <c r="K975" s="1193"/>
      <c r="L975" s="1193"/>
      <c r="M975" s="1193"/>
      <c r="N975" s="1193"/>
      <c r="O975" s="1193"/>
      <c r="P975" s="1193"/>
      <c r="Q975" s="1193"/>
      <c r="R975" s="1193"/>
      <c r="S975" s="1193"/>
      <c r="T975" s="1193"/>
      <c r="U975" s="1193"/>
      <c r="V975" s="1193"/>
      <c r="W975" s="1193"/>
      <c r="X975" s="1193"/>
      <c r="Y975" s="1193"/>
      <c r="Z975" s="1193"/>
      <c r="AA975" s="1193"/>
      <c r="AB975" s="1193"/>
      <c r="AC975" s="1193"/>
    </row>
    <row r="976" spans="1:29" x14ac:dyDescent="0.3">
      <c r="A976" s="681"/>
      <c r="B976" s="1193"/>
      <c r="C976" s="1193"/>
      <c r="D976" s="1193"/>
      <c r="E976" s="1193"/>
      <c r="F976" s="1193"/>
      <c r="G976" s="1193"/>
      <c r="H976" s="1193"/>
      <c r="I976" s="1193"/>
      <c r="J976" s="1193"/>
      <c r="K976" s="1193"/>
      <c r="L976" s="1193"/>
      <c r="M976" s="1193"/>
      <c r="N976" s="1193"/>
      <c r="O976" s="1193"/>
      <c r="P976" s="1193"/>
      <c r="Q976" s="1193"/>
      <c r="R976" s="1193"/>
      <c r="S976" s="1193"/>
      <c r="T976" s="1193"/>
      <c r="U976" s="1193"/>
      <c r="V976" s="1193"/>
      <c r="W976" s="1193"/>
      <c r="X976" s="1193"/>
      <c r="Y976" s="1193"/>
      <c r="Z976" s="1193"/>
      <c r="AA976" s="1193"/>
      <c r="AB976" s="1193"/>
      <c r="AC976" s="1193"/>
    </row>
    <row r="977" spans="1:29" x14ac:dyDescent="0.3">
      <c r="A977" s="681"/>
      <c r="B977" s="1193"/>
      <c r="C977" s="1193"/>
      <c r="D977" s="1193"/>
      <c r="E977" s="1193"/>
      <c r="F977" s="1193"/>
      <c r="G977" s="1193"/>
      <c r="H977" s="1193"/>
      <c r="I977" s="1193"/>
      <c r="J977" s="1193"/>
      <c r="K977" s="1193"/>
      <c r="L977" s="1193"/>
      <c r="M977" s="1193"/>
      <c r="N977" s="1193"/>
      <c r="O977" s="1193"/>
      <c r="P977" s="1193"/>
      <c r="Q977" s="1193"/>
      <c r="R977" s="1193"/>
      <c r="S977" s="1193"/>
      <c r="T977" s="1193"/>
      <c r="U977" s="1193"/>
      <c r="V977" s="1193"/>
      <c r="W977" s="1193"/>
      <c r="X977" s="1193"/>
      <c r="Y977" s="1193"/>
      <c r="Z977" s="1193"/>
      <c r="AA977" s="1193"/>
      <c r="AB977" s="1193"/>
      <c r="AC977" s="1193"/>
    </row>
    <row r="978" spans="1:29" x14ac:dyDescent="0.3">
      <c r="A978" s="681"/>
      <c r="B978" s="1193"/>
      <c r="C978" s="1193"/>
      <c r="D978" s="1193"/>
      <c r="E978" s="1193"/>
      <c r="F978" s="1193"/>
      <c r="G978" s="1193"/>
      <c r="H978" s="1193"/>
      <c r="I978" s="1193"/>
      <c r="J978" s="1193"/>
      <c r="K978" s="1193"/>
      <c r="L978" s="1193"/>
      <c r="M978" s="1193"/>
      <c r="N978" s="1193"/>
      <c r="O978" s="1193"/>
      <c r="P978" s="1193"/>
      <c r="Q978" s="1193"/>
      <c r="R978" s="1193"/>
      <c r="S978" s="1193"/>
      <c r="T978" s="1193"/>
      <c r="U978" s="1193"/>
      <c r="V978" s="1193"/>
      <c r="W978" s="1193"/>
      <c r="X978" s="1193"/>
      <c r="Y978" s="1193"/>
      <c r="Z978" s="1193"/>
      <c r="AA978" s="1193"/>
      <c r="AB978" s="1193"/>
      <c r="AC978" s="1193"/>
    </row>
    <row r="979" spans="1:29" x14ac:dyDescent="0.3">
      <c r="A979" s="681"/>
      <c r="B979" s="1193"/>
      <c r="C979" s="1193"/>
      <c r="D979" s="1193"/>
      <c r="E979" s="1193"/>
      <c r="F979" s="1193"/>
      <c r="G979" s="1193"/>
      <c r="H979" s="1193"/>
      <c r="I979" s="1193"/>
      <c r="J979" s="1193"/>
      <c r="K979" s="1193"/>
      <c r="L979" s="1193"/>
      <c r="M979" s="1193"/>
      <c r="N979" s="1193"/>
      <c r="O979" s="1193"/>
      <c r="P979" s="1193"/>
      <c r="Q979" s="1193"/>
      <c r="R979" s="1193"/>
      <c r="S979" s="1193"/>
      <c r="T979" s="1193"/>
      <c r="U979" s="1193"/>
      <c r="V979" s="1193"/>
      <c r="W979" s="1193"/>
      <c r="X979" s="1193"/>
      <c r="Y979" s="1193"/>
      <c r="Z979" s="1193"/>
      <c r="AA979" s="1193"/>
      <c r="AB979" s="1193"/>
      <c r="AC979" s="1193"/>
    </row>
    <row r="980" spans="1:29" x14ac:dyDescent="0.3">
      <c r="A980" s="681"/>
      <c r="B980" s="1193"/>
      <c r="C980" s="1193"/>
      <c r="D980" s="1193"/>
      <c r="E980" s="1193"/>
      <c r="F980" s="1193"/>
      <c r="G980" s="1193"/>
      <c r="H980" s="1193"/>
      <c r="I980" s="1193"/>
      <c r="J980" s="1193"/>
      <c r="K980" s="1193"/>
      <c r="L980" s="1193"/>
      <c r="M980" s="1193"/>
      <c r="N980" s="1193"/>
      <c r="O980" s="1193"/>
      <c r="P980" s="1193"/>
      <c r="Q980" s="1193"/>
      <c r="R980" s="1193"/>
      <c r="S980" s="1193"/>
      <c r="T980" s="1193"/>
      <c r="U980" s="1193"/>
      <c r="V980" s="1193"/>
      <c r="W980" s="1193"/>
      <c r="X980" s="1193"/>
      <c r="Y980" s="1193"/>
      <c r="Z980" s="1193"/>
      <c r="AA980" s="1193"/>
      <c r="AB980" s="1193"/>
      <c r="AC980" s="1193"/>
    </row>
    <row r="981" spans="1:29" x14ac:dyDescent="0.3">
      <c r="A981" s="681"/>
      <c r="B981" s="1193"/>
      <c r="C981" s="1193"/>
      <c r="D981" s="1193"/>
      <c r="E981" s="1193"/>
      <c r="F981" s="1193"/>
      <c r="G981" s="1193"/>
      <c r="H981" s="1193"/>
      <c r="I981" s="1193"/>
      <c r="J981" s="1193"/>
      <c r="K981" s="1193"/>
      <c r="L981" s="1193"/>
      <c r="M981" s="1193"/>
      <c r="N981" s="1193"/>
      <c r="O981" s="1193"/>
      <c r="P981" s="1193"/>
      <c r="Q981" s="1193"/>
      <c r="R981" s="1193"/>
      <c r="S981" s="1193"/>
      <c r="T981" s="1193"/>
      <c r="U981" s="1193"/>
      <c r="V981" s="1193"/>
      <c r="W981" s="1193"/>
      <c r="X981" s="1193"/>
      <c r="Y981" s="1193"/>
      <c r="Z981" s="1193"/>
      <c r="AA981" s="1193"/>
      <c r="AB981" s="1193"/>
      <c r="AC981" s="1193"/>
    </row>
    <row r="982" spans="1:29" x14ac:dyDescent="0.3">
      <c r="A982" s="681"/>
      <c r="B982" s="1193"/>
      <c r="C982" s="1193"/>
      <c r="D982" s="1193"/>
      <c r="E982" s="1193"/>
      <c r="F982" s="1193"/>
      <c r="G982" s="1193"/>
      <c r="H982" s="1193"/>
      <c r="I982" s="1193"/>
      <c r="J982" s="1193"/>
      <c r="K982" s="1193"/>
      <c r="L982" s="1193"/>
      <c r="M982" s="1193"/>
      <c r="N982" s="1193"/>
      <c r="O982" s="1193"/>
      <c r="P982" s="1193"/>
      <c r="Q982" s="1193"/>
      <c r="R982" s="1193"/>
      <c r="S982" s="1193"/>
      <c r="T982" s="1193"/>
      <c r="U982" s="1193"/>
      <c r="V982" s="1193"/>
      <c r="W982" s="1193"/>
      <c r="X982" s="1193"/>
      <c r="Y982" s="1193"/>
      <c r="Z982" s="1193"/>
      <c r="AA982" s="1193"/>
      <c r="AB982" s="1193"/>
      <c r="AC982" s="1193"/>
    </row>
    <row r="983" spans="1:29" x14ac:dyDescent="0.3">
      <c r="A983" s="681"/>
      <c r="B983" s="1193"/>
      <c r="C983" s="1193"/>
      <c r="D983" s="1193"/>
      <c r="E983" s="1193"/>
      <c r="F983" s="1193"/>
      <c r="G983" s="1193"/>
      <c r="H983" s="1193"/>
      <c r="I983" s="1193"/>
      <c r="J983" s="1193"/>
      <c r="K983" s="1193"/>
      <c r="L983" s="1193"/>
      <c r="M983" s="1193"/>
      <c r="N983" s="1193"/>
      <c r="O983" s="1193"/>
      <c r="P983" s="1193"/>
      <c r="Q983" s="1193"/>
      <c r="R983" s="1193"/>
      <c r="S983" s="1193"/>
      <c r="T983" s="1193"/>
      <c r="U983" s="1193"/>
      <c r="V983" s="1193"/>
      <c r="W983" s="1193"/>
      <c r="X983" s="1193"/>
      <c r="Y983" s="1193"/>
      <c r="Z983" s="1193"/>
      <c r="AA983" s="1193"/>
      <c r="AB983" s="1193"/>
      <c r="AC983" s="1193"/>
    </row>
    <row r="984" spans="1:29" x14ac:dyDescent="0.3">
      <c r="A984" s="681"/>
      <c r="B984" s="1193"/>
      <c r="C984" s="1193"/>
      <c r="D984" s="1193"/>
      <c r="E984" s="1193"/>
      <c r="F984" s="1193"/>
      <c r="G984" s="1193"/>
      <c r="H984" s="1193"/>
      <c r="I984" s="1193"/>
      <c r="J984" s="1193"/>
      <c r="K984" s="1193"/>
      <c r="L984" s="1193"/>
      <c r="M984" s="1193"/>
      <c r="N984" s="1193"/>
      <c r="O984" s="1193"/>
      <c r="P984" s="1193"/>
      <c r="Q984" s="1193"/>
      <c r="R984" s="1193"/>
      <c r="S984" s="1193"/>
      <c r="T984" s="1193"/>
      <c r="U984" s="1193"/>
      <c r="V984" s="1193"/>
      <c r="W984" s="1193"/>
      <c r="X984" s="1193"/>
      <c r="Y984" s="1193"/>
      <c r="Z984" s="1193"/>
      <c r="AA984" s="1193"/>
      <c r="AB984" s="1193"/>
      <c r="AC984" s="1193"/>
    </row>
    <row r="985" spans="1:29" x14ac:dyDescent="0.3">
      <c r="A985" s="681"/>
      <c r="B985" s="1193"/>
      <c r="C985" s="1193"/>
      <c r="D985" s="1193"/>
      <c r="E985" s="1193"/>
      <c r="F985" s="1193"/>
      <c r="G985" s="1193"/>
      <c r="H985" s="1193"/>
      <c r="I985" s="1193"/>
      <c r="J985" s="1193"/>
      <c r="K985" s="1193"/>
      <c r="L985" s="1193"/>
      <c r="M985" s="1193"/>
      <c r="N985" s="1193"/>
      <c r="O985" s="1193"/>
      <c r="P985" s="1193"/>
      <c r="Q985" s="1193"/>
      <c r="R985" s="1193"/>
      <c r="S985" s="1193"/>
      <c r="T985" s="1193"/>
      <c r="U985" s="1193"/>
      <c r="V985" s="1193"/>
      <c r="W985" s="1193"/>
      <c r="X985" s="1193"/>
      <c r="Y985" s="1193"/>
      <c r="Z985" s="1193"/>
      <c r="AA985" s="1193"/>
      <c r="AB985" s="1193"/>
      <c r="AC985" s="1193"/>
    </row>
    <row r="986" spans="1:29" x14ac:dyDescent="0.3">
      <c r="A986" s="681"/>
      <c r="B986" s="1193"/>
      <c r="C986" s="1193"/>
      <c r="D986" s="1193"/>
      <c r="E986" s="1193"/>
      <c r="F986" s="1193"/>
      <c r="G986" s="1193"/>
      <c r="H986" s="1193"/>
      <c r="I986" s="1193"/>
      <c r="J986" s="1193"/>
      <c r="K986" s="1193"/>
      <c r="L986" s="1193"/>
      <c r="M986" s="1193"/>
      <c r="N986" s="1193"/>
      <c r="O986" s="1193"/>
      <c r="P986" s="1193"/>
      <c r="Q986" s="1193"/>
      <c r="R986" s="1193"/>
      <c r="S986" s="1193"/>
      <c r="T986" s="1193"/>
      <c r="U986" s="1193"/>
      <c r="V986" s="1193"/>
      <c r="W986" s="1193"/>
      <c r="X986" s="1193"/>
      <c r="Y986" s="1193"/>
      <c r="Z986" s="1193"/>
      <c r="AA986" s="1193"/>
      <c r="AB986" s="1193"/>
      <c r="AC986" s="1193"/>
    </row>
    <row r="987" spans="1:29" x14ac:dyDescent="0.3">
      <c r="A987" s="681"/>
      <c r="B987" s="1193"/>
      <c r="C987" s="1193"/>
      <c r="D987" s="1193"/>
      <c r="E987" s="1193"/>
      <c r="F987" s="1193"/>
      <c r="G987" s="1193"/>
      <c r="H987" s="1193"/>
      <c r="I987" s="1193"/>
      <c r="J987" s="1193"/>
      <c r="K987" s="1193"/>
      <c r="L987" s="1193"/>
      <c r="M987" s="1193"/>
      <c r="N987" s="1193"/>
      <c r="O987" s="1193"/>
      <c r="P987" s="1193"/>
      <c r="Q987" s="1193"/>
      <c r="R987" s="1193"/>
      <c r="S987" s="1193"/>
      <c r="T987" s="1193"/>
      <c r="U987" s="1193"/>
      <c r="V987" s="1193"/>
      <c r="W987" s="1193"/>
      <c r="X987" s="1193"/>
      <c r="Y987" s="1193"/>
      <c r="Z987" s="1193"/>
      <c r="AA987" s="1193"/>
      <c r="AB987" s="1193"/>
      <c r="AC987" s="1193"/>
    </row>
    <row r="988" spans="1:29" x14ac:dyDescent="0.3">
      <c r="A988" s="681"/>
      <c r="B988" s="1193"/>
      <c r="C988" s="1193"/>
      <c r="D988" s="1193"/>
      <c r="E988" s="1193"/>
      <c r="F988" s="1193"/>
      <c r="G988" s="1193"/>
      <c r="H988" s="1193"/>
      <c r="I988" s="1193"/>
      <c r="J988" s="1193"/>
      <c r="K988" s="1193"/>
      <c r="L988" s="1193"/>
      <c r="M988" s="1193"/>
      <c r="N988" s="1193"/>
      <c r="O988" s="1193"/>
      <c r="P988" s="1193"/>
      <c r="Q988" s="1193"/>
      <c r="R988" s="1193"/>
      <c r="S988" s="1193"/>
      <c r="T988" s="1193"/>
      <c r="U988" s="1193"/>
      <c r="V988" s="1193"/>
      <c r="W988" s="1193"/>
      <c r="X988" s="1193"/>
      <c r="Y988" s="1193"/>
      <c r="Z988" s="1193"/>
      <c r="AA988" s="1193"/>
      <c r="AB988" s="1193"/>
      <c r="AC988" s="1193"/>
    </row>
    <row r="989" spans="1:29" x14ac:dyDescent="0.3">
      <c r="A989" s="681"/>
      <c r="B989" s="1193"/>
      <c r="C989" s="1193"/>
      <c r="D989" s="1193"/>
      <c r="E989" s="1193"/>
      <c r="F989" s="1193"/>
      <c r="G989" s="1193"/>
      <c r="H989" s="1193"/>
      <c r="I989" s="1193"/>
      <c r="J989" s="1193"/>
      <c r="K989" s="1193"/>
      <c r="L989" s="1193"/>
      <c r="M989" s="1193"/>
      <c r="N989" s="1193"/>
      <c r="O989" s="1193"/>
      <c r="P989" s="1193"/>
      <c r="Q989" s="1193"/>
      <c r="R989" s="1193"/>
      <c r="S989" s="1193"/>
      <c r="T989" s="1193"/>
      <c r="U989" s="1193"/>
      <c r="V989" s="1193"/>
      <c r="W989" s="1193"/>
      <c r="X989" s="1193"/>
      <c r="Y989" s="1193"/>
      <c r="Z989" s="1193"/>
      <c r="AA989" s="1193"/>
      <c r="AB989" s="1193"/>
      <c r="AC989" s="1193"/>
    </row>
    <row r="990" spans="1:29" x14ac:dyDescent="0.3">
      <c r="A990" s="681"/>
      <c r="B990" s="1193"/>
      <c r="C990" s="1193"/>
      <c r="D990" s="1193"/>
      <c r="E990" s="1193"/>
      <c r="F990" s="1193"/>
      <c r="G990" s="1193"/>
      <c r="H990" s="1193"/>
      <c r="I990" s="1193"/>
      <c r="J990" s="1193"/>
      <c r="K990" s="1193"/>
      <c r="L990" s="1193"/>
      <c r="M990" s="1193"/>
      <c r="N990" s="1193"/>
      <c r="O990" s="1193"/>
      <c r="P990" s="1193"/>
      <c r="Q990" s="1193"/>
      <c r="R990" s="1193"/>
      <c r="S990" s="1193"/>
      <c r="T990" s="1193"/>
      <c r="U990" s="1193"/>
      <c r="V990" s="1193"/>
      <c r="W990" s="1193"/>
      <c r="X990" s="1193"/>
      <c r="Y990" s="1193"/>
      <c r="Z990" s="1193"/>
      <c r="AA990" s="1193"/>
      <c r="AB990" s="1193"/>
      <c r="AC990" s="1193"/>
    </row>
    <row r="991" spans="1:29" x14ac:dyDescent="0.3">
      <c r="A991" s="681"/>
      <c r="B991" s="1193"/>
      <c r="C991" s="1193"/>
      <c r="D991" s="1193"/>
      <c r="E991" s="1193"/>
      <c r="F991" s="1193"/>
      <c r="G991" s="1193"/>
      <c r="H991" s="1193"/>
      <c r="I991" s="1193"/>
      <c r="J991" s="1193"/>
      <c r="K991" s="1193"/>
      <c r="L991" s="1193"/>
      <c r="M991" s="1193"/>
      <c r="N991" s="1193"/>
      <c r="O991" s="1193"/>
      <c r="P991" s="1193"/>
      <c r="Q991" s="1193"/>
      <c r="R991" s="1193"/>
      <c r="S991" s="1193"/>
      <c r="T991" s="1193"/>
      <c r="U991" s="1193"/>
      <c r="V991" s="1193"/>
      <c r="W991" s="1193"/>
      <c r="X991" s="1193"/>
      <c r="Y991" s="1193"/>
      <c r="Z991" s="1193"/>
      <c r="AA991" s="1193"/>
      <c r="AB991" s="1193"/>
      <c r="AC991" s="1193"/>
    </row>
    <row r="992" spans="1:29" x14ac:dyDescent="0.3">
      <c r="A992" s="681"/>
      <c r="B992" s="1193"/>
      <c r="C992" s="1193"/>
      <c r="D992" s="1193"/>
      <c r="E992" s="1193"/>
      <c r="F992" s="1193"/>
      <c r="G992" s="1193"/>
      <c r="H992" s="1193"/>
      <c r="I992" s="1193"/>
      <c r="J992" s="1193"/>
      <c r="K992" s="1193"/>
      <c r="L992" s="1193"/>
      <c r="M992" s="1193"/>
      <c r="N992" s="1193"/>
      <c r="O992" s="1193"/>
      <c r="P992" s="1193"/>
      <c r="Q992" s="1193"/>
      <c r="R992" s="1193"/>
      <c r="S992" s="1193"/>
      <c r="T992" s="1193"/>
      <c r="U992" s="1193"/>
      <c r="V992" s="1193"/>
      <c r="W992" s="1193"/>
      <c r="X992" s="1193"/>
      <c r="Y992" s="1193"/>
      <c r="Z992" s="1193"/>
      <c r="AA992" s="1193"/>
      <c r="AB992" s="1193"/>
      <c r="AC992" s="1193"/>
    </row>
    <row r="993" spans="1:29" x14ac:dyDescent="0.3">
      <c r="A993" s="681"/>
      <c r="B993" s="1193"/>
      <c r="C993" s="1193"/>
      <c r="D993" s="1193"/>
      <c r="E993" s="1193"/>
      <c r="F993" s="1193"/>
      <c r="G993" s="1193"/>
      <c r="H993" s="1193"/>
      <c r="I993" s="1193"/>
      <c r="J993" s="1193"/>
      <c r="K993" s="1193"/>
      <c r="L993" s="1193"/>
      <c r="M993" s="1193"/>
      <c r="N993" s="1193"/>
      <c r="O993" s="1193"/>
      <c r="P993" s="1193"/>
      <c r="Q993" s="1193"/>
      <c r="R993" s="1193"/>
      <c r="S993" s="1193"/>
      <c r="T993" s="1193"/>
      <c r="U993" s="1193"/>
      <c r="V993" s="1193"/>
      <c r="W993" s="1193"/>
      <c r="X993" s="1193"/>
      <c r="Y993" s="1193"/>
      <c r="Z993" s="1193"/>
      <c r="AA993" s="1193"/>
      <c r="AB993" s="1193"/>
      <c r="AC993" s="1193"/>
    </row>
    <row r="994" spans="1:29" x14ac:dyDescent="0.3">
      <c r="A994" s="681"/>
      <c r="B994" s="1193"/>
      <c r="C994" s="1193"/>
      <c r="D994" s="1193"/>
      <c r="E994" s="1193"/>
      <c r="F994" s="1193"/>
      <c r="G994" s="1193"/>
      <c r="H994" s="1193"/>
      <c r="I994" s="1193"/>
      <c r="J994" s="1193"/>
      <c r="K994" s="1193"/>
      <c r="L994" s="1193"/>
      <c r="M994" s="1193"/>
      <c r="N994" s="1193"/>
      <c r="O994" s="1193"/>
      <c r="P994" s="1193"/>
      <c r="Q994" s="1193"/>
      <c r="R994" s="1193"/>
      <c r="S994" s="1193"/>
      <c r="T994" s="1193"/>
      <c r="U994" s="1193"/>
      <c r="V994" s="1193"/>
      <c r="W994" s="1193"/>
      <c r="X994" s="1193"/>
      <c r="Y994" s="1193"/>
      <c r="Z994" s="1193"/>
      <c r="AA994" s="1193"/>
      <c r="AB994" s="1193"/>
      <c r="AC994" s="1193"/>
    </row>
    <row r="995" spans="1:29" x14ac:dyDescent="0.3">
      <c r="A995" s="681"/>
      <c r="B995" s="1193"/>
      <c r="C995" s="1193"/>
      <c r="D995" s="1193"/>
      <c r="E995" s="1193"/>
      <c r="F995" s="1193"/>
      <c r="G995" s="1193"/>
      <c r="H995" s="1193"/>
      <c r="I995" s="1193"/>
      <c r="J995" s="1193"/>
      <c r="K995" s="1193"/>
      <c r="L995" s="1193"/>
      <c r="M995" s="1193"/>
      <c r="N995" s="1193"/>
      <c r="O995" s="1193"/>
      <c r="P995" s="1193"/>
      <c r="Q995" s="1193"/>
      <c r="R995" s="1193"/>
      <c r="S995" s="1193"/>
      <c r="T995" s="1193"/>
      <c r="U995" s="1193"/>
      <c r="V995" s="1193"/>
      <c r="W995" s="1193"/>
      <c r="X995" s="1193"/>
      <c r="Y995" s="1193"/>
      <c r="Z995" s="1193"/>
      <c r="AA995" s="1193"/>
      <c r="AB995" s="1193"/>
      <c r="AC995" s="1193"/>
    </row>
    <row r="996" spans="1:29" x14ac:dyDescent="0.3">
      <c r="A996" s="681"/>
      <c r="B996" s="1193"/>
      <c r="C996" s="1193"/>
      <c r="D996" s="1193"/>
      <c r="E996" s="1193"/>
      <c r="F996" s="1193"/>
      <c r="G996" s="1193"/>
      <c r="H996" s="1193"/>
      <c r="I996" s="1193"/>
      <c r="J996" s="1193"/>
      <c r="K996" s="1193"/>
      <c r="L996" s="1193"/>
      <c r="M996" s="1193"/>
      <c r="N996" s="1193"/>
      <c r="O996" s="1193"/>
      <c r="P996" s="1193"/>
      <c r="Q996" s="1193"/>
      <c r="R996" s="1193"/>
      <c r="S996" s="1193"/>
      <c r="T996" s="1193"/>
      <c r="U996" s="1193"/>
      <c r="V996" s="1193"/>
      <c r="W996" s="1193"/>
      <c r="X996" s="1193"/>
      <c r="Y996" s="1193"/>
      <c r="Z996" s="1193"/>
      <c r="AA996" s="1193"/>
      <c r="AB996" s="1193"/>
      <c r="AC996" s="1193"/>
    </row>
    <row r="997" spans="1:29" x14ac:dyDescent="0.3">
      <c r="A997" s="681"/>
      <c r="B997" s="1193"/>
      <c r="C997" s="1193"/>
      <c r="D997" s="1193"/>
      <c r="E997" s="1193"/>
      <c r="F997" s="1193"/>
      <c r="G997" s="1193"/>
      <c r="H997" s="1193"/>
      <c r="I997" s="1193"/>
      <c r="J997" s="1193"/>
      <c r="K997" s="1193"/>
      <c r="L997" s="1193"/>
      <c r="M997" s="1193"/>
      <c r="N997" s="1193"/>
      <c r="O997" s="1193"/>
      <c r="P997" s="1193"/>
      <c r="Q997" s="1193"/>
      <c r="R997" s="1193"/>
      <c r="S997" s="1193"/>
      <c r="T997" s="1193"/>
      <c r="U997" s="1193"/>
      <c r="V997" s="1193"/>
      <c r="W997" s="1193"/>
      <c r="X997" s="1193"/>
      <c r="Y997" s="1193"/>
      <c r="Z997" s="1193"/>
      <c r="AA997" s="1193"/>
      <c r="AB997" s="1193"/>
      <c r="AC997" s="1193"/>
    </row>
    <row r="998" spans="1:29" x14ac:dyDescent="0.3">
      <c r="A998" s="681"/>
      <c r="B998" s="1193"/>
      <c r="C998" s="1193"/>
      <c r="D998" s="1193"/>
      <c r="E998" s="1193"/>
      <c r="F998" s="1193"/>
      <c r="G998" s="1193"/>
      <c r="H998" s="1193"/>
      <c r="I998" s="1193"/>
      <c r="J998" s="1193"/>
      <c r="K998" s="1193"/>
      <c r="L998" s="1193"/>
      <c r="M998" s="1193"/>
      <c r="N998" s="1193"/>
      <c r="O998" s="1193"/>
      <c r="P998" s="1193"/>
      <c r="Q998" s="1193"/>
      <c r="R998" s="1193"/>
      <c r="S998" s="1193"/>
      <c r="T998" s="1193"/>
      <c r="U998" s="1193"/>
      <c r="V998" s="1193"/>
      <c r="W998" s="1193"/>
      <c r="X998" s="1193"/>
      <c r="Y998" s="1193"/>
      <c r="Z998" s="1193"/>
      <c r="AA998" s="1193"/>
      <c r="AB998" s="1193"/>
      <c r="AC998" s="1193"/>
    </row>
    <row r="999" spans="1:29" x14ac:dyDescent="0.3">
      <c r="A999" s="681"/>
      <c r="B999" s="1193"/>
      <c r="C999" s="1193"/>
      <c r="D999" s="1193"/>
      <c r="E999" s="1193"/>
      <c r="F999" s="1193"/>
      <c r="G999" s="1193"/>
      <c r="H999" s="1193"/>
      <c r="I999" s="1193"/>
      <c r="J999" s="1193"/>
      <c r="K999" s="1193"/>
      <c r="L999" s="1193"/>
      <c r="M999" s="1193"/>
      <c r="N999" s="1193"/>
      <c r="O999" s="1193"/>
      <c r="P999" s="1193"/>
      <c r="Q999" s="1193"/>
      <c r="R999" s="1193"/>
      <c r="S999" s="1193"/>
      <c r="T999" s="1193"/>
      <c r="U999" s="1193"/>
      <c r="V999" s="1193"/>
      <c r="W999" s="1193"/>
      <c r="X999" s="1193"/>
      <c r="Y999" s="1193"/>
      <c r="Z999" s="1193"/>
      <c r="AA999" s="1193"/>
      <c r="AB999" s="1193"/>
      <c r="AC999" s="1193"/>
    </row>
  </sheetData>
  <sheetProtection algorithmName="SHA-512" hashValue="3juH7XM8s+T+368yv0p052n0/yQZqQ1ZoL9OOnG6dTqLmoS43HTFQkePhu4jSlzNxqg1QJKiNOt7rOMYSpYWrw==" saltValue="C1629/O52GVUiMaQolCHVg==" spinCount="100000" sheet="1" objects="1" scenarios="1"/>
  <mergeCells count="14">
    <mergeCell ref="T14:T15"/>
    <mergeCell ref="U14:U15"/>
    <mergeCell ref="W14:W15"/>
    <mergeCell ref="O14:O15"/>
    <mergeCell ref="P14:P15"/>
    <mergeCell ref="Q14:Q15"/>
    <mergeCell ref="R14:R15"/>
    <mergeCell ref="S14:S15"/>
    <mergeCell ref="V14:V15"/>
    <mergeCell ref="A11:L12"/>
    <mergeCell ref="C14:C15"/>
    <mergeCell ref="D14:D15"/>
    <mergeCell ref="E14:E15"/>
    <mergeCell ref="F14:F15"/>
  </mergeCells>
  <pageMargins left="0.25" right="0.25" top="0.75" bottom="0.75" header="0.3" footer="0.3"/>
  <pageSetup paperSize="17" orientation="landscape" r:id="rId1"/>
  <headerFoot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pageSetUpPr fitToPage="1"/>
  </sheetPr>
  <dimension ref="A14:AE791"/>
  <sheetViews>
    <sheetView showGridLines="0" topLeftCell="A8" zoomScaleNormal="100" workbookViewId="0">
      <selection activeCell="D21" sqref="D21"/>
    </sheetView>
  </sheetViews>
  <sheetFormatPr defaultColWidth="9.33203125" defaultRowHeight="14.4" x14ac:dyDescent="0.3"/>
  <cols>
    <col min="1" max="1" width="8.33203125" style="602" customWidth="1"/>
    <col min="2" max="2" width="70.33203125" style="602" customWidth="1"/>
    <col min="3" max="3" width="20.33203125" style="602" customWidth="1"/>
    <col min="4" max="4" width="54" style="602" bestFit="1" customWidth="1"/>
    <col min="5" max="5" width="21.33203125" style="602" customWidth="1"/>
    <col min="6" max="9" width="20.5546875" style="602" customWidth="1"/>
    <col min="10" max="12" width="20.5546875" style="602" hidden="1" customWidth="1"/>
    <col min="13" max="13" width="17.6640625" style="602" hidden="1" customWidth="1"/>
    <col min="14" max="14" width="17" style="602" hidden="1" customWidth="1"/>
    <col min="15" max="15" width="19.33203125" style="602" hidden="1" customWidth="1"/>
    <col min="16" max="17" width="9.33203125" style="602" customWidth="1"/>
    <col min="18" max="27" width="9.33203125" style="602"/>
    <col min="28" max="28" width="0" style="602" hidden="1" customWidth="1"/>
    <col min="29" max="16384" width="9.33203125" style="602"/>
  </cols>
  <sheetData>
    <row r="14" spans="1:15" x14ac:dyDescent="0.3">
      <c r="A14" s="704" t="s">
        <v>5037</v>
      </c>
      <c r="B14" s="973" t="s">
        <v>5468</v>
      </c>
      <c r="C14" s="1108">
        <f>'1. Information Sheet'!F34</f>
        <v>2017</v>
      </c>
      <c r="D14" s="1862"/>
      <c r="E14" s="1863"/>
      <c r="F14" s="1863"/>
      <c r="G14" s="1863"/>
      <c r="H14" s="1863"/>
      <c r="I14" s="1863"/>
      <c r="J14" s="1863"/>
      <c r="K14" s="1863"/>
    </row>
    <row r="15" spans="1:15" ht="32.25" customHeight="1" x14ac:dyDescent="0.3">
      <c r="B15" s="606"/>
      <c r="C15" s="1076"/>
    </row>
    <row r="16" spans="1:15" ht="30" hidden="1" customHeight="1" x14ac:dyDescent="0.3">
      <c r="B16" s="522"/>
      <c r="C16" s="1866" t="s">
        <v>2305</v>
      </c>
      <c r="D16" s="1867"/>
      <c r="E16" s="1868"/>
      <c r="F16" s="1860">
        <v>2016</v>
      </c>
      <c r="G16" s="1861"/>
      <c r="H16" s="1860">
        <v>2015</v>
      </c>
      <c r="I16" s="1861"/>
      <c r="J16" s="1860">
        <v>2014</v>
      </c>
      <c r="K16" s="1861"/>
      <c r="L16" s="1860">
        <v>2013</v>
      </c>
      <c r="M16" s="1861"/>
      <c r="N16" s="1860">
        <v>2012</v>
      </c>
      <c r="O16" s="1861"/>
    </row>
    <row r="17" spans="1:31" x14ac:dyDescent="0.3">
      <c r="A17" s="605" t="s">
        <v>5038</v>
      </c>
      <c r="B17" s="974" t="s">
        <v>5469</v>
      </c>
      <c r="C17" s="1108">
        <f>IF('1. Information Sheet'!F42&lt;2015,"Never Disposed",'1. Information Sheet'!F42)</f>
        <v>2017</v>
      </c>
      <c r="D17" s="364" t="s">
        <v>5470</v>
      </c>
    </row>
    <row r="18" spans="1:31" ht="32.25" customHeight="1" x14ac:dyDescent="0.3">
      <c r="C18" s="1076"/>
      <c r="E18" s="606"/>
    </row>
    <row r="19" spans="1:31" ht="72" customHeight="1" x14ac:dyDescent="0.3">
      <c r="A19" s="1083" t="s">
        <v>2303</v>
      </c>
      <c r="B19" s="522" t="s">
        <v>6838</v>
      </c>
      <c r="C19" s="1430" t="s">
        <v>5033</v>
      </c>
      <c r="D19" s="1429" t="s">
        <v>5927</v>
      </c>
    </row>
    <row r="20" spans="1:31" ht="21" customHeight="1" x14ac:dyDescent="0.3"/>
    <row r="21" spans="1:31" ht="99" customHeight="1" x14ac:dyDescent="0.3">
      <c r="A21" s="1083" t="s">
        <v>2304</v>
      </c>
      <c r="B21" s="1072" t="s">
        <v>6839</v>
      </c>
      <c r="C21" s="1430" t="s">
        <v>5033</v>
      </c>
      <c r="D21" s="1429" t="s">
        <v>5927</v>
      </c>
    </row>
    <row r="22" spans="1:31" x14ac:dyDescent="0.3">
      <c r="B22" s="606"/>
    </row>
    <row r="23" spans="1:31" x14ac:dyDescent="0.3">
      <c r="B23" s="606"/>
    </row>
    <row r="24" spans="1:31" x14ac:dyDescent="0.3">
      <c r="A24" s="605"/>
    </row>
    <row r="25" spans="1:31" ht="55.2" x14ac:dyDescent="0.3">
      <c r="A25" s="1083" t="s">
        <v>2117</v>
      </c>
      <c r="B25" s="1071" t="s">
        <v>7251</v>
      </c>
      <c r="C25" s="1431">
        <v>2</v>
      </c>
      <c r="P25" s="706"/>
      <c r="Q25" s="706"/>
      <c r="R25" s="706"/>
      <c r="S25" s="706"/>
      <c r="T25" s="706"/>
      <c r="U25" s="706"/>
      <c r="V25" s="706"/>
    </row>
    <row r="26" spans="1:31" x14ac:dyDescent="0.3">
      <c r="P26" s="706"/>
      <c r="Q26" s="706"/>
      <c r="R26" s="706"/>
      <c r="S26" s="706"/>
      <c r="T26" s="706"/>
      <c r="U26" s="706"/>
      <c r="V26" s="706"/>
      <c r="Z26" s="833"/>
      <c r="AA26" s="833"/>
      <c r="AB26" s="833"/>
    </row>
    <row r="27" spans="1:31" x14ac:dyDescent="0.3">
      <c r="A27" s="706"/>
      <c r="B27" s="706"/>
      <c r="C27" s="607" t="s">
        <v>2358</v>
      </c>
      <c r="P27" s="706"/>
      <c r="Q27" s="706"/>
      <c r="R27" s="706"/>
      <c r="S27" s="706"/>
      <c r="T27" s="706"/>
      <c r="U27" s="706"/>
      <c r="V27" s="706"/>
      <c r="Z27" s="833"/>
      <c r="AA27" s="833"/>
      <c r="AB27" s="833"/>
      <c r="AC27" s="706"/>
    </row>
    <row r="28" spans="1:31" x14ac:dyDescent="0.3">
      <c r="A28" s="706"/>
      <c r="B28" s="706"/>
      <c r="C28" s="1864" t="s">
        <v>2028</v>
      </c>
      <c r="D28" s="1864" t="s">
        <v>48</v>
      </c>
      <c r="E28" s="608"/>
      <c r="F28" s="1869">
        <v>2019</v>
      </c>
      <c r="G28" s="1859"/>
      <c r="H28" s="1869">
        <v>2018</v>
      </c>
      <c r="I28" s="1859"/>
      <c r="J28" s="1869">
        <v>2017</v>
      </c>
      <c r="K28" s="1859"/>
      <c r="L28" s="1869">
        <v>2016</v>
      </c>
      <c r="M28" s="1859"/>
      <c r="N28" s="1869">
        <v>2015</v>
      </c>
      <c r="O28" s="1859"/>
      <c r="P28" s="706"/>
      <c r="Q28" s="706"/>
      <c r="R28" s="706"/>
      <c r="S28" s="706"/>
      <c r="T28" s="706"/>
      <c r="U28" s="706"/>
      <c r="V28" s="706"/>
      <c r="Z28" s="833"/>
      <c r="AA28" s="833"/>
      <c r="AB28" s="833"/>
      <c r="AC28" s="833"/>
      <c r="AD28" s="833"/>
      <c r="AE28" s="833"/>
    </row>
    <row r="29" spans="1:31" x14ac:dyDescent="0.3">
      <c r="A29" s="706"/>
      <c r="B29" s="706"/>
      <c r="C29" s="1865"/>
      <c r="D29" s="1865"/>
      <c r="E29" s="609"/>
      <c r="F29" s="521" t="s">
        <v>2118</v>
      </c>
      <c r="G29" s="521" t="s">
        <v>2119</v>
      </c>
      <c r="H29" s="521" t="s">
        <v>2118</v>
      </c>
      <c r="I29" s="521" t="s">
        <v>2119</v>
      </c>
      <c r="J29" s="521" t="s">
        <v>2118</v>
      </c>
      <c r="K29" s="521" t="s">
        <v>2119</v>
      </c>
      <c r="L29" s="521" t="s">
        <v>2118</v>
      </c>
      <c r="M29" s="521" t="s">
        <v>2119</v>
      </c>
      <c r="N29" s="521" t="s">
        <v>2118</v>
      </c>
      <c r="O29" s="521" t="s">
        <v>2119</v>
      </c>
      <c r="P29" s="706"/>
      <c r="Q29" s="706"/>
      <c r="R29" s="706"/>
      <c r="S29" s="706"/>
      <c r="T29" s="706"/>
      <c r="U29" s="706"/>
      <c r="V29" s="706"/>
      <c r="Z29" s="833"/>
      <c r="AA29" s="833"/>
      <c r="AB29" s="833"/>
      <c r="AC29" s="833"/>
      <c r="AD29" s="833"/>
      <c r="AE29" s="833"/>
    </row>
    <row r="30" spans="1:31" x14ac:dyDescent="0.3">
      <c r="A30" s="706" t="str">
        <f>IF(AND(F32=G32,H32=I32,J32=K32,F32="A"),"2016 - kwh",IF(AND(F32=G32,H32=I32,J32&lt;&gt;K32,F32="A"),"2017 - kwh",IF(AND(F32=G32,H32&lt;&gt;I32,F32="A"),"2018 - kwh","N/A")))</f>
        <v>N/A</v>
      </c>
      <c r="B30" s="706" t="str">
        <f>IF(F32&lt;&gt;G32,"2018 - kwh",IF(H32&lt;&gt;I32,"2017 - kwh",IF(J32&lt;&gt;K32,"2016 - kwh","N/A")))</f>
        <v>N/A</v>
      </c>
      <c r="C30" s="610" t="s">
        <v>2049</v>
      </c>
      <c r="D30" s="754"/>
      <c r="E30" s="650" t="s">
        <v>154</v>
      </c>
      <c r="F30" s="753"/>
      <c r="G30" s="753"/>
      <c r="H30" s="753"/>
      <c r="I30" s="753"/>
      <c r="J30" s="753"/>
      <c r="K30" s="753"/>
      <c r="L30" s="753"/>
      <c r="M30" s="753"/>
      <c r="N30" s="753"/>
      <c r="O30" s="753"/>
      <c r="P30" s="706"/>
      <c r="Q30" s="706"/>
      <c r="R30" s="706"/>
      <c r="S30" s="706"/>
      <c r="T30" s="706"/>
      <c r="U30" s="706"/>
      <c r="V30" s="706"/>
      <c r="Z30" s="833"/>
      <c r="AA30" s="833" t="str">
        <f>IF(AND(F32=G32,H32=I32,F32="A"),"2016 - kwh","")</f>
        <v/>
      </c>
      <c r="AB30" s="833" t="str">
        <f>IF(OR(B30="2017 - kwh",B30="2018 - kwh"),"2016 - kwh","")</f>
        <v/>
      </c>
      <c r="AC30" s="833"/>
      <c r="AD30" s="833"/>
      <c r="AE30" s="833"/>
    </row>
    <row r="31" spans="1:31" x14ac:dyDescent="0.3">
      <c r="A31" s="706" t="str">
        <f>IF(AND(F32=G32,H32=I32,J32=K32,F32="A"),"2016 - kw",IF(AND(F32=G32,H32=I32,J32&lt;&gt;K32,F32="A"),"2017 - kw",IF(AND(F32=G32,H32&lt;&gt;I32,F32="A"),"2018 - kw","N/A")))</f>
        <v>N/A</v>
      </c>
      <c r="B31" s="706" t="str">
        <f>IF(F32&lt;&gt;G32,"2018 - kw",IF(H32&lt;&gt;I32,"2017 - kw",IF(J32&lt;&gt;K32,"2016 - kw","N/A")))</f>
        <v>N/A</v>
      </c>
      <c r="C31" s="611"/>
      <c r="D31" s="646" t="str">
        <f>D30 &amp; "kW"</f>
        <v>kW</v>
      </c>
      <c r="E31" s="649" t="s">
        <v>155</v>
      </c>
      <c r="F31" s="753"/>
      <c r="G31" s="753"/>
      <c r="H31" s="753"/>
      <c r="I31" s="753"/>
      <c r="J31" s="753"/>
      <c r="K31" s="753"/>
      <c r="L31" s="753"/>
      <c r="M31" s="753"/>
      <c r="N31" s="753"/>
      <c r="O31" s="753"/>
      <c r="P31" s="706"/>
      <c r="Q31" s="706"/>
      <c r="R31" s="706"/>
      <c r="S31" s="706"/>
      <c r="T31" s="706"/>
      <c r="U31" s="706"/>
      <c r="V31" s="706"/>
      <c r="Z31" s="833"/>
      <c r="AA31" s="833" t="str">
        <f>IF(AND(F32=G32,H32=I32,F32="A"),"2016 - kw","")</f>
        <v/>
      </c>
      <c r="AB31" s="833" t="str">
        <f>IF(OR(B31="2017 - kw",B31="2018 - kw"),"2016 - kw","")</f>
        <v/>
      </c>
      <c r="AC31" s="833"/>
      <c r="AD31" s="833"/>
      <c r="AE31" s="833"/>
    </row>
    <row r="32" spans="1:31" x14ac:dyDescent="0.3">
      <c r="A32" s="706"/>
      <c r="B32" s="706"/>
      <c r="C32" s="614"/>
      <c r="D32" s="620"/>
      <c r="E32" s="648" t="s">
        <v>2120</v>
      </c>
      <c r="F32" s="752"/>
      <c r="G32" s="752"/>
      <c r="H32" s="752"/>
      <c r="I32" s="752"/>
      <c r="J32" s="752"/>
      <c r="K32" s="752"/>
      <c r="L32" s="752"/>
      <c r="M32" s="752"/>
      <c r="N32" s="752"/>
      <c r="O32" s="752"/>
      <c r="P32" s="706"/>
      <c r="Q32" s="706"/>
      <c r="R32" s="706"/>
      <c r="S32" s="706"/>
      <c r="T32" s="706"/>
      <c r="U32" s="706"/>
      <c r="V32" s="706"/>
      <c r="Z32" s="833"/>
      <c r="AA32" s="833"/>
      <c r="AB32" s="833"/>
      <c r="AC32" s="833"/>
      <c r="AD32" s="833"/>
      <c r="AE32" s="833"/>
    </row>
    <row r="33" spans="1:31" x14ac:dyDescent="0.3">
      <c r="A33" s="706" t="str">
        <f>IF(AND(F35=G35,H35=I35,J35=K35,F35="A"),"2016 - kwh",IF(AND(F35=G35,H35=I35,J35&lt;&gt;K35,F35="A"),"2017 - kwh",IF(AND(F35=G35,H35&lt;&gt;I35,F35="A"),"2018 - kwh","N/A")))</f>
        <v>N/A</v>
      </c>
      <c r="B33" s="706" t="str">
        <f>IF(F35&lt;&gt;G35,"2018 - kwh",IF(H35&lt;&gt;I35,"2017 - kwh",IF(J35&lt;&gt;K35,"2016 - kwh","N/A")))</f>
        <v>N/A</v>
      </c>
      <c r="C33" s="610" t="s">
        <v>2050</v>
      </c>
      <c r="D33" s="754"/>
      <c r="E33" s="653" t="s">
        <v>154</v>
      </c>
      <c r="F33" s="753"/>
      <c r="G33" s="753"/>
      <c r="H33" s="753"/>
      <c r="I33" s="753"/>
      <c r="J33" s="753"/>
      <c r="K33" s="753"/>
      <c r="L33" s="753"/>
      <c r="M33" s="753"/>
      <c r="N33" s="753"/>
      <c r="O33" s="753"/>
      <c r="P33" s="706"/>
      <c r="Q33" s="706"/>
      <c r="R33" s="706"/>
      <c r="S33" s="706"/>
      <c r="T33" s="706"/>
      <c r="U33" s="706"/>
      <c r="V33" s="706"/>
      <c r="Z33" s="833"/>
      <c r="AA33" s="833" t="str">
        <f>IF(AND(F35=G35,H35=I35,F35="A"),"2016 - kwh","")</f>
        <v/>
      </c>
      <c r="AB33" s="833" t="str">
        <f>IF(OR(B33="2017 - kwh",B33="2018 - kwh"),"2016 - kwh","")</f>
        <v/>
      </c>
      <c r="AC33" s="833"/>
      <c r="AD33" s="833"/>
      <c r="AE33" s="833"/>
    </row>
    <row r="34" spans="1:31" x14ac:dyDescent="0.3">
      <c r="A34" s="706" t="str">
        <f>IF(AND(F35=G35,H35=I35,J35=K35,F35="A"),"2016 - kw",IF(AND(F35=G35,H35=I35,J35&lt;&gt;K35,F35="A"),"2017 - kw",IF(AND(F35=G35,H35&lt;&gt;I35,F35="A"),"2018 - kw","N/A")))</f>
        <v>N/A</v>
      </c>
      <c r="B34" s="706" t="str">
        <f>IF(F35&lt;&gt;G35,"2018 - kw",IF(H35&lt;&gt;I35,"2017 - kw",IF(J35&lt;&gt;K35,"2016 - kw","N/A")))</f>
        <v>N/A</v>
      </c>
      <c r="C34" s="611"/>
      <c r="D34" s="646" t="str">
        <f>D33 &amp; "kW"</f>
        <v>kW</v>
      </c>
      <c r="E34" s="652" t="s">
        <v>155</v>
      </c>
      <c r="F34" s="753"/>
      <c r="G34" s="753"/>
      <c r="H34" s="753"/>
      <c r="I34" s="753"/>
      <c r="J34" s="753"/>
      <c r="K34" s="753"/>
      <c r="L34" s="753"/>
      <c r="M34" s="753"/>
      <c r="N34" s="753"/>
      <c r="O34" s="753"/>
      <c r="P34" s="706"/>
      <c r="Q34" s="706"/>
      <c r="R34" s="706"/>
      <c r="S34" s="706"/>
      <c r="T34" s="706"/>
      <c r="U34" s="706"/>
      <c r="V34" s="706"/>
      <c r="Z34" s="833"/>
      <c r="AA34" s="833" t="str">
        <f>IF(AND(F35=G35,H35=I35,F35="A"),"2016 - kw","")</f>
        <v/>
      </c>
      <c r="AB34" s="833" t="str">
        <f>IF(OR(B34="2017 - kw",B34="2018 - kw"),"2016 - kw","")</f>
        <v/>
      </c>
      <c r="AC34" s="833"/>
      <c r="AD34" s="833"/>
      <c r="AE34" s="833"/>
    </row>
    <row r="35" spans="1:31" x14ac:dyDescent="0.3">
      <c r="A35" s="706"/>
      <c r="B35" s="706"/>
      <c r="C35" s="614"/>
      <c r="D35" s="700"/>
      <c r="E35" s="651" t="s">
        <v>2120</v>
      </c>
      <c r="F35" s="752"/>
      <c r="G35" s="752"/>
      <c r="H35" s="752"/>
      <c r="I35" s="752"/>
      <c r="J35" s="752"/>
      <c r="K35" s="752"/>
      <c r="L35" s="752"/>
      <c r="M35" s="752"/>
      <c r="N35" s="752"/>
      <c r="O35" s="752"/>
      <c r="P35" s="706"/>
      <c r="Q35" s="706"/>
      <c r="R35" s="706"/>
      <c r="S35" s="706"/>
      <c r="T35" s="706"/>
      <c r="U35" s="706"/>
      <c r="V35" s="706"/>
      <c r="Z35" s="833"/>
      <c r="AA35" s="833"/>
      <c r="AB35" s="833"/>
      <c r="AC35" s="833"/>
      <c r="AD35" s="833"/>
      <c r="AE35" s="833"/>
    </row>
    <row r="36" spans="1:31" hidden="1" x14ac:dyDescent="0.3">
      <c r="A36" s="706" t="str">
        <f>IF(AND(F38=G38,H38=I38,J38=K38,F38="A"),"2016 - kwh",IF(AND(F38=G38,H38=I38,J38&lt;&gt;K38,F38="A"),"2017 - kwh",IF(AND(F38=G38,H38&lt;&gt;I38,F38="A"),"2018 - kwh","N/A")))</f>
        <v>N/A</v>
      </c>
      <c r="B36" s="706" t="str">
        <f>IF(F38&lt;&gt;G38,"2018 - kwh",IF(H38&lt;&gt;I38,"2017 - kwh",IF(J38&lt;&gt;K38,"2016 - kwh","N/A")))</f>
        <v>N/A</v>
      </c>
      <c r="C36" s="610" t="s">
        <v>2051</v>
      </c>
      <c r="D36" s="754"/>
      <c r="E36" s="656" t="s">
        <v>154</v>
      </c>
      <c r="F36" s="753"/>
      <c r="G36" s="753"/>
      <c r="H36" s="753"/>
      <c r="I36" s="753"/>
      <c r="J36" s="753"/>
      <c r="K36" s="753"/>
      <c r="L36" s="753"/>
      <c r="M36" s="753"/>
      <c r="N36" s="753"/>
      <c r="O36" s="753"/>
      <c r="P36" s="706"/>
      <c r="Q36" s="706"/>
      <c r="R36" s="706"/>
      <c r="S36" s="706"/>
      <c r="T36" s="706"/>
      <c r="U36" s="706"/>
      <c r="V36" s="706"/>
      <c r="Z36" s="833"/>
      <c r="AA36" s="833" t="str">
        <f>IF(AND(F38=G38,H38=I38,F38="A"),"2016 - kwh","")</f>
        <v/>
      </c>
      <c r="AB36" s="833" t="str">
        <f>IF(OR(B36="2017 - kwh",B36="2018 - kwh"),"2016 - kwh","")</f>
        <v/>
      </c>
      <c r="AC36" s="833"/>
      <c r="AD36" s="833"/>
      <c r="AE36" s="833"/>
    </row>
    <row r="37" spans="1:31" hidden="1" x14ac:dyDescent="0.3">
      <c r="A37" s="706" t="str">
        <f>IF(AND(F38=G38,H38=I38,J38=K38,F38="A"),"2016 - kw",IF(AND(F38=G38,H38=I38,J38&lt;&gt;K38,F38="A"),"2017 - kw",IF(AND(F38=G38,H38&lt;&gt;I38,F38="A"),"2018 - kw","N/A")))</f>
        <v>N/A</v>
      </c>
      <c r="B37" s="706" t="str">
        <f>IF(F38&lt;&gt;G38,"2018 - kw",IF(H38&lt;&gt;I38,"2017 - kw",IF(J38&lt;&gt;K38,"2016 - kw","N/A")))</f>
        <v>N/A</v>
      </c>
      <c r="C37" s="611"/>
      <c r="D37" s="646" t="str">
        <f>D36 &amp; "kW"</f>
        <v>kW</v>
      </c>
      <c r="E37" s="655" t="s">
        <v>155</v>
      </c>
      <c r="F37" s="753"/>
      <c r="G37" s="753"/>
      <c r="H37" s="753"/>
      <c r="I37" s="753"/>
      <c r="J37" s="753"/>
      <c r="K37" s="753"/>
      <c r="L37" s="753"/>
      <c r="M37" s="753"/>
      <c r="N37" s="753"/>
      <c r="O37" s="753"/>
      <c r="P37" s="706"/>
      <c r="Q37" s="706"/>
      <c r="R37" s="706"/>
      <c r="S37" s="706"/>
      <c r="T37" s="706"/>
      <c r="U37" s="706"/>
      <c r="V37" s="706"/>
      <c r="Z37" s="833"/>
      <c r="AA37" s="833" t="str">
        <f>IF(AND(F38=G38,H38=I38,F38="A"),"2016 - kw","")</f>
        <v/>
      </c>
      <c r="AB37" s="833" t="str">
        <f>IF(OR(B37="2017 - kw",B37="2018 - kw"),"2016 - kw","")</f>
        <v/>
      </c>
      <c r="AC37" s="833"/>
      <c r="AD37" s="833"/>
      <c r="AE37" s="833"/>
    </row>
    <row r="38" spans="1:31" hidden="1" x14ac:dyDescent="0.3">
      <c r="A38" s="706"/>
      <c r="B38" s="706"/>
      <c r="C38" s="614"/>
      <c r="D38" s="700"/>
      <c r="E38" s="654" t="s">
        <v>2120</v>
      </c>
      <c r="F38" s="752"/>
      <c r="G38" s="752"/>
      <c r="H38" s="752"/>
      <c r="I38" s="752"/>
      <c r="J38" s="752"/>
      <c r="K38" s="752"/>
      <c r="L38" s="752"/>
      <c r="M38" s="752"/>
      <c r="N38" s="752"/>
      <c r="O38" s="752"/>
      <c r="P38" s="706"/>
      <c r="Q38" s="706"/>
      <c r="R38" s="706"/>
      <c r="S38" s="706"/>
      <c r="T38" s="706"/>
      <c r="U38" s="706"/>
      <c r="V38" s="706"/>
      <c r="Z38" s="833"/>
      <c r="AA38" s="833"/>
      <c r="AB38" s="833"/>
      <c r="AC38" s="833"/>
      <c r="AD38" s="833"/>
      <c r="AE38" s="833"/>
    </row>
    <row r="39" spans="1:31" hidden="1" x14ac:dyDescent="0.3">
      <c r="A39" s="706" t="str">
        <f>IF(AND(F41=G41,H41=I41,J41=K41,F41="A"),"2016 - kwh",IF(AND(F41=G41,H41=I41,J41&lt;&gt;K41,F41="A"),"2017 - kwh",IF(AND(F41=G41,H41&lt;&gt;I41,F41="A"),"2018 - kwh","N/A")))</f>
        <v>N/A</v>
      </c>
      <c r="B39" s="706" t="str">
        <f>IF(F41&lt;&gt;G41,"2018 - kwh",IF(H41&lt;&gt;I41,"2017 - kwh",IF(J41&lt;&gt;K41,"2016 - kwh","N/A")))</f>
        <v>N/A</v>
      </c>
      <c r="C39" s="610" t="s">
        <v>2052</v>
      </c>
      <c r="D39" s="754"/>
      <c r="E39" s="659" t="s">
        <v>154</v>
      </c>
      <c r="F39" s="753"/>
      <c r="G39" s="753"/>
      <c r="H39" s="753"/>
      <c r="I39" s="753"/>
      <c r="J39" s="753"/>
      <c r="K39" s="753"/>
      <c r="L39" s="753"/>
      <c r="M39" s="753"/>
      <c r="N39" s="753"/>
      <c r="O39" s="753"/>
      <c r="P39" s="706"/>
      <c r="Q39" s="706"/>
      <c r="R39" s="706"/>
      <c r="S39" s="706"/>
      <c r="T39" s="706"/>
      <c r="U39" s="706"/>
      <c r="V39" s="706"/>
      <c r="Z39" s="833"/>
      <c r="AA39" s="833" t="str">
        <f>IF(AND(F41=G41,H41=I41,F41="A"),"2016 - kwh","")</f>
        <v/>
      </c>
      <c r="AB39" s="833" t="str">
        <f>IF(OR(B39="2017 - kwh",B39="2018 - kwh"),"2016 - kwh","")</f>
        <v/>
      </c>
      <c r="AC39" s="833"/>
      <c r="AD39" s="833"/>
      <c r="AE39" s="833"/>
    </row>
    <row r="40" spans="1:31" hidden="1" x14ac:dyDescent="0.3">
      <c r="A40" s="706" t="str">
        <f>IF(AND(F41=G41,H41=I41,J41=K41,F41="A"),"2016 - kw",IF(AND(F41=G41,H41=I41,J41&lt;&gt;K41,F41="A"),"2017 - kw",IF(AND(F41=G41,H41&lt;&gt;I41,F41="A"),"2018 - kw","N/A")))</f>
        <v>N/A</v>
      </c>
      <c r="B40" s="706" t="str">
        <f>IF(F41&lt;&gt;G41,"2018 - kw",IF(H41&lt;&gt;I41,"2017 - kw",IF(J41&lt;&gt;K41,"2016 - kw","N/A")))</f>
        <v>N/A</v>
      </c>
      <c r="C40" s="611"/>
      <c r="D40" s="646" t="str">
        <f>D39 &amp; "kW"</f>
        <v>kW</v>
      </c>
      <c r="E40" s="658" t="s">
        <v>155</v>
      </c>
      <c r="F40" s="753"/>
      <c r="G40" s="753"/>
      <c r="H40" s="753"/>
      <c r="I40" s="753"/>
      <c r="J40" s="753"/>
      <c r="K40" s="753"/>
      <c r="L40" s="753"/>
      <c r="M40" s="753"/>
      <c r="N40" s="753"/>
      <c r="O40" s="753"/>
      <c r="P40" s="706"/>
      <c r="Q40" s="706"/>
      <c r="R40" s="706"/>
      <c r="S40" s="706"/>
      <c r="T40" s="706"/>
      <c r="U40" s="706"/>
      <c r="V40" s="706"/>
      <c r="Z40" s="833"/>
      <c r="AA40" s="833" t="str">
        <f>IF(AND(F41=G41,H41=I41,F41="A"),"2016 - kw","")</f>
        <v/>
      </c>
      <c r="AB40" s="833" t="str">
        <f>IF(OR(B40="2017 - kw",B40="2018 - kw"),"2016 - kw","")</f>
        <v/>
      </c>
      <c r="AC40" s="833"/>
      <c r="AD40" s="833"/>
      <c r="AE40" s="833"/>
    </row>
    <row r="41" spans="1:31" hidden="1" x14ac:dyDescent="0.3">
      <c r="A41" s="706"/>
      <c r="B41" s="706"/>
      <c r="C41" s="614"/>
      <c r="D41" s="700"/>
      <c r="E41" s="657" t="s">
        <v>2120</v>
      </c>
      <c r="F41" s="752"/>
      <c r="G41" s="752"/>
      <c r="H41" s="752"/>
      <c r="I41" s="752"/>
      <c r="J41" s="752"/>
      <c r="K41" s="752"/>
      <c r="L41" s="752"/>
      <c r="M41" s="752"/>
      <c r="N41" s="752"/>
      <c r="O41" s="752"/>
      <c r="P41" s="706"/>
      <c r="Q41" s="706"/>
      <c r="R41" s="706"/>
      <c r="S41" s="706"/>
      <c r="T41" s="706"/>
      <c r="U41" s="706"/>
      <c r="V41" s="706"/>
      <c r="Z41" s="833"/>
      <c r="AA41" s="833"/>
      <c r="AB41" s="833"/>
      <c r="AC41" s="833"/>
      <c r="AD41" s="833"/>
      <c r="AE41" s="833"/>
    </row>
    <row r="42" spans="1:31" hidden="1" x14ac:dyDescent="0.3">
      <c r="A42" s="706" t="str">
        <f>IF(AND(F44=G44,H44=I44,J44=K44,F44="A"),"2016 - kwh",IF(AND(F44=G44,H44=I44,J44&lt;&gt;K44,F44="A"),"2017 - kwh",IF(AND(F44=G44,H44&lt;&gt;I44,F44="A"),"2018 - kwh","N/A")))</f>
        <v>N/A</v>
      </c>
      <c r="B42" s="706" t="str">
        <f>IF(F44&lt;&gt;G44,"2018 - kwh",IF(H44&lt;&gt;I44,"2017 - kwh",IF(J44&lt;&gt;K44,"2016 - kwh","N/A")))</f>
        <v>N/A</v>
      </c>
      <c r="C42" s="610" t="s">
        <v>2053</v>
      </c>
      <c r="D42" s="754"/>
      <c r="E42" s="662" t="s">
        <v>154</v>
      </c>
      <c r="F42" s="753"/>
      <c r="G42" s="753"/>
      <c r="H42" s="753"/>
      <c r="I42" s="753"/>
      <c r="J42" s="753"/>
      <c r="K42" s="753"/>
      <c r="L42" s="753"/>
      <c r="M42" s="753"/>
      <c r="N42" s="753"/>
      <c r="O42" s="753"/>
      <c r="P42" s="706"/>
      <c r="Q42" s="706"/>
      <c r="R42" s="706"/>
      <c r="S42" s="706"/>
      <c r="T42" s="706"/>
      <c r="U42" s="706"/>
      <c r="V42" s="706"/>
      <c r="Z42" s="833"/>
      <c r="AA42" s="833" t="str">
        <f>IF(AND(F44=G44,H44=I44,F44="A"),"2016 - kwh","")</f>
        <v/>
      </c>
      <c r="AB42" s="833" t="str">
        <f>IF(OR(B42="2017 - kwh",B42="2018 - kwh"),"2016 - kwh","")</f>
        <v/>
      </c>
      <c r="AC42" s="833"/>
      <c r="AD42" s="833"/>
      <c r="AE42" s="833"/>
    </row>
    <row r="43" spans="1:31" hidden="1" x14ac:dyDescent="0.3">
      <c r="A43" s="706" t="str">
        <f>IF(AND(F44=G44,H44=I44,J44=K44,F44="A"),"2016 - kw",IF(AND(F44=G44,H44=I44,J44&lt;&gt;K44,F44="A"),"2017 - kw",IF(AND(F44=G44,H44&lt;&gt;I44,F44="A"),"2018 - kw","N/A")))</f>
        <v>N/A</v>
      </c>
      <c r="B43" s="706" t="str">
        <f>IF(F44&lt;&gt;G44,"2018 - kw",IF(H44&lt;&gt;I44,"2017 - kw",IF(J44&lt;&gt;K44,"2016 - kw","N/A")))</f>
        <v>N/A</v>
      </c>
      <c r="C43" s="611"/>
      <c r="D43" s="646" t="str">
        <f>D42 &amp; "kW"</f>
        <v>kW</v>
      </c>
      <c r="E43" s="661" t="s">
        <v>155</v>
      </c>
      <c r="F43" s="753"/>
      <c r="G43" s="753"/>
      <c r="H43" s="753"/>
      <c r="I43" s="753"/>
      <c r="J43" s="753"/>
      <c r="K43" s="753"/>
      <c r="L43" s="753"/>
      <c r="M43" s="753"/>
      <c r="N43" s="753"/>
      <c r="O43" s="753"/>
      <c r="P43" s="706"/>
      <c r="Q43" s="706"/>
      <c r="R43" s="706"/>
      <c r="S43" s="706"/>
      <c r="T43" s="706"/>
      <c r="U43" s="706"/>
      <c r="V43" s="706"/>
      <c r="Z43" s="833"/>
      <c r="AA43" s="833" t="str">
        <f>IF(AND(F44=G44,H44=I44,F44="A"),"2016 - kw","")</f>
        <v/>
      </c>
      <c r="AB43" s="833" t="str">
        <f>IF(OR(B43="2017 - kw",B43="2018 - kw"),"2016 - kw","")</f>
        <v/>
      </c>
      <c r="AC43" s="833"/>
      <c r="AD43" s="833"/>
      <c r="AE43" s="833"/>
    </row>
    <row r="44" spans="1:31" hidden="1" x14ac:dyDescent="0.3">
      <c r="A44" s="706"/>
      <c r="B44" s="706"/>
      <c r="C44" s="614"/>
      <c r="D44" s="700"/>
      <c r="E44" s="660" t="s">
        <v>2120</v>
      </c>
      <c r="F44" s="752"/>
      <c r="G44" s="752"/>
      <c r="H44" s="752"/>
      <c r="I44" s="752"/>
      <c r="J44" s="752"/>
      <c r="K44" s="752"/>
      <c r="L44" s="752"/>
      <c r="M44" s="752"/>
      <c r="N44" s="752"/>
      <c r="O44" s="752"/>
      <c r="P44" s="706"/>
      <c r="Q44" s="706"/>
      <c r="R44" s="706"/>
      <c r="S44" s="706"/>
      <c r="T44" s="706"/>
      <c r="U44" s="706"/>
      <c r="V44" s="706"/>
      <c r="Z44" s="833"/>
      <c r="AA44" s="833"/>
      <c r="AB44" s="833"/>
      <c r="AC44" s="833"/>
      <c r="AD44" s="833"/>
      <c r="AE44" s="833"/>
    </row>
    <row r="45" spans="1:31" hidden="1" x14ac:dyDescent="0.3">
      <c r="A45" s="706" t="str">
        <f>IF(AND(F47=G47,H47=I47,J47=K47,F47="A"),"2016 - kwh",IF(AND(F47=G47,H47=I47,J47&lt;&gt;K47,F47="A"),"2017 - kwh",IF(AND(F47=G47,H47&lt;&gt;I47,F47="A"),"2018 - kwh","N/A")))</f>
        <v>N/A</v>
      </c>
      <c r="B45" s="706" t="str">
        <f>IF(F47&lt;&gt;G47,"2018 - kwh",IF(H47&lt;&gt;I47,"2017 - kwh",IF(J47&lt;&gt;K47,"2016 - kwh","N/A")))</f>
        <v>N/A</v>
      </c>
      <c r="C45" s="610" t="s">
        <v>2122</v>
      </c>
      <c r="D45" s="754"/>
      <c r="E45" s="665" t="s">
        <v>154</v>
      </c>
      <c r="F45" s="753"/>
      <c r="G45" s="753"/>
      <c r="H45" s="753"/>
      <c r="I45" s="753"/>
      <c r="J45" s="753"/>
      <c r="K45" s="753"/>
      <c r="L45" s="753"/>
      <c r="M45" s="753"/>
      <c r="N45" s="753"/>
      <c r="O45" s="753"/>
      <c r="P45" s="706"/>
      <c r="Q45" s="706"/>
      <c r="R45" s="706"/>
      <c r="S45" s="706"/>
      <c r="T45" s="706"/>
      <c r="U45" s="706"/>
      <c r="V45" s="706"/>
      <c r="Z45" s="833"/>
      <c r="AA45" s="833" t="str">
        <f>IF(AND(F47=G47,H47=I47,F47="A"),"2016 - kwh","")</f>
        <v/>
      </c>
      <c r="AB45" s="833" t="str">
        <f>IF(OR(B45="2017 - kwh",B45="2018 - kwh"),"2016 - kwh","")</f>
        <v/>
      </c>
      <c r="AC45" s="833"/>
      <c r="AD45" s="833"/>
      <c r="AE45" s="833"/>
    </row>
    <row r="46" spans="1:31" hidden="1" x14ac:dyDescent="0.3">
      <c r="A46" s="706" t="str">
        <f>IF(AND(F47=G47,H47=I47,J47=K47,F47="A"),"2016 - kw",IF(AND(F47=G47,H47=I47,J47&lt;&gt;K47,F47="A"),"2017 - kw",IF(AND(F47=G47,H47&lt;&gt;I47,F47="A"),"2018 - kw","N/A")))</f>
        <v>N/A</v>
      </c>
      <c r="B46" s="706" t="str">
        <f>IF(F47&lt;&gt;G47,"2018 - kw",IF(H47&lt;&gt;I47,"2017 - kw",IF(J47&lt;&gt;K47,"2016 - kw","N/A")))</f>
        <v>N/A</v>
      </c>
      <c r="C46" s="611"/>
      <c r="D46" s="646" t="str">
        <f>D45 &amp; "kW"</f>
        <v>kW</v>
      </c>
      <c r="E46" s="664" t="s">
        <v>155</v>
      </c>
      <c r="F46" s="753"/>
      <c r="G46" s="753"/>
      <c r="H46" s="753"/>
      <c r="I46" s="753"/>
      <c r="J46" s="753"/>
      <c r="K46" s="753"/>
      <c r="L46" s="753"/>
      <c r="M46" s="753"/>
      <c r="N46" s="753"/>
      <c r="O46" s="753"/>
      <c r="P46" s="706"/>
      <c r="Q46" s="706"/>
      <c r="R46" s="706"/>
      <c r="S46" s="706"/>
      <c r="T46" s="706"/>
      <c r="U46" s="706"/>
      <c r="V46" s="706"/>
      <c r="Z46" s="833"/>
      <c r="AA46" s="833" t="str">
        <f>IF(AND(F47=G47,H47=I47,F47="A"),"2016 - kw","")</f>
        <v/>
      </c>
      <c r="AB46" s="833" t="str">
        <f>IF(OR(B46="2017 - kw",B46="2018 - kw"),"2016 - kw","")</f>
        <v/>
      </c>
      <c r="AC46" s="833"/>
      <c r="AD46" s="833"/>
      <c r="AE46" s="833"/>
    </row>
    <row r="47" spans="1:31" hidden="1" x14ac:dyDescent="0.3">
      <c r="A47" s="706"/>
      <c r="B47" s="706"/>
      <c r="C47" s="614"/>
      <c r="D47" s="700"/>
      <c r="E47" s="663" t="s">
        <v>2120</v>
      </c>
      <c r="F47" s="752"/>
      <c r="G47" s="752"/>
      <c r="H47" s="752"/>
      <c r="I47" s="752"/>
      <c r="J47" s="752"/>
      <c r="K47" s="752"/>
      <c r="L47" s="752"/>
      <c r="M47" s="752"/>
      <c r="N47" s="752"/>
      <c r="O47" s="752"/>
      <c r="P47" s="706"/>
      <c r="Q47" s="706"/>
      <c r="R47" s="706"/>
      <c r="S47" s="706"/>
      <c r="T47" s="706"/>
      <c r="U47" s="706"/>
      <c r="V47" s="706"/>
      <c r="Z47" s="833"/>
      <c r="AA47" s="833"/>
      <c r="AB47" s="833"/>
      <c r="AC47" s="833"/>
      <c r="AD47" s="833"/>
      <c r="AE47" s="833"/>
    </row>
    <row r="48" spans="1:31" hidden="1" x14ac:dyDescent="0.3">
      <c r="A48" s="706" t="str">
        <f>IF(AND(F50=G50,H50=I50,J50=K50,F50="A"),"2016 - kwh",IF(AND(F50=G50,H50=I50,J50&lt;&gt;K50,F50="A"),"2017 - kwh",IF(AND(F50=G50,H50&lt;&gt;I50,F50="A"),"2018 - kwh","N/A")))</f>
        <v>N/A</v>
      </c>
      <c r="B48" s="706" t="str">
        <f>IF(F50&lt;&gt;G50,"2018 - kwh",IF(H50&lt;&gt;I50,"2017 - kwh",IF(J50&lt;&gt;K50,"2016 - kwh","N/A")))</f>
        <v>N/A</v>
      </c>
      <c r="C48" s="610" t="s">
        <v>2123</v>
      </c>
      <c r="D48" s="754"/>
      <c r="E48" s="668" t="s">
        <v>154</v>
      </c>
      <c r="F48" s="753"/>
      <c r="G48" s="753"/>
      <c r="H48" s="753"/>
      <c r="I48" s="753"/>
      <c r="J48" s="753"/>
      <c r="K48" s="753"/>
      <c r="L48" s="753"/>
      <c r="M48" s="753"/>
      <c r="N48" s="753"/>
      <c r="O48" s="753"/>
      <c r="P48" s="706"/>
      <c r="Q48" s="706"/>
      <c r="R48" s="706"/>
      <c r="S48" s="706"/>
      <c r="T48" s="706"/>
      <c r="U48" s="706"/>
      <c r="V48" s="706"/>
      <c r="Z48" s="833"/>
      <c r="AA48" s="833" t="str">
        <f>IF(AND(F50=G50,H50=I50,F50="A"),"2016 - kwh","")</f>
        <v/>
      </c>
      <c r="AB48" s="833" t="str">
        <f>IF(OR(B48="2017 - kwh",B48="2018 - kwh"),"2016 - kwh","")</f>
        <v/>
      </c>
      <c r="AC48" s="833"/>
      <c r="AD48" s="833"/>
      <c r="AE48" s="833"/>
    </row>
    <row r="49" spans="1:31" hidden="1" x14ac:dyDescent="0.3">
      <c r="A49" s="706" t="str">
        <f>IF(AND(F50=G50,H50=I50,J50=K50,F50="A"),"2016 - kw",IF(AND(F50=G50,H50=I50,J50&lt;&gt;K50,F50="A"),"2017 - kw",IF(AND(F50=G50,H50&lt;&gt;I50,F50="A"),"2018 - kw","N/A")))</f>
        <v>N/A</v>
      </c>
      <c r="B49" s="706" t="str">
        <f>IF(F50&lt;&gt;G50,"2018 - kw",IF(H50&lt;&gt;I50,"2017 - kw",IF(J50&lt;&gt;K50,"2016 - kw","N/A")))</f>
        <v>N/A</v>
      </c>
      <c r="C49" s="611"/>
      <c r="D49" s="646" t="str">
        <f>D48 &amp; "kW"</f>
        <v>kW</v>
      </c>
      <c r="E49" s="667" t="s">
        <v>155</v>
      </c>
      <c r="F49" s="753"/>
      <c r="G49" s="753"/>
      <c r="H49" s="753"/>
      <c r="I49" s="753"/>
      <c r="J49" s="753"/>
      <c r="K49" s="753"/>
      <c r="L49" s="753"/>
      <c r="M49" s="753"/>
      <c r="N49" s="753"/>
      <c r="O49" s="753"/>
      <c r="P49" s="706"/>
      <c r="Q49" s="706"/>
      <c r="R49" s="706"/>
      <c r="S49" s="706"/>
      <c r="T49" s="706"/>
      <c r="U49" s="706"/>
      <c r="V49" s="706"/>
      <c r="Z49" s="833"/>
      <c r="AA49" s="833" t="str">
        <f>IF(AND(F50=G50,H50=I50,F50="A"),"2016 - kw","")</f>
        <v/>
      </c>
      <c r="AB49" s="833" t="str">
        <f>IF(OR(B49="2017 - kw",B49="2018 - kw"),"2016 - kw","")</f>
        <v/>
      </c>
      <c r="AC49" s="833"/>
      <c r="AD49" s="833"/>
      <c r="AE49" s="833"/>
    </row>
    <row r="50" spans="1:31" hidden="1" x14ac:dyDescent="0.3">
      <c r="A50" s="706"/>
      <c r="B50" s="706"/>
      <c r="C50" s="614"/>
      <c r="D50" s="700"/>
      <c r="E50" s="666" t="s">
        <v>2120</v>
      </c>
      <c r="F50" s="752"/>
      <c r="G50" s="752"/>
      <c r="H50" s="752"/>
      <c r="I50" s="752"/>
      <c r="J50" s="752"/>
      <c r="K50" s="752"/>
      <c r="L50" s="752"/>
      <c r="M50" s="752"/>
      <c r="N50" s="752"/>
      <c r="O50" s="752"/>
      <c r="P50" s="706"/>
      <c r="Q50" s="706"/>
      <c r="R50" s="706"/>
      <c r="S50" s="706"/>
      <c r="T50" s="706"/>
      <c r="U50" s="706"/>
      <c r="V50" s="706"/>
      <c r="Z50" s="833"/>
      <c r="AA50" s="833"/>
      <c r="AB50" s="833"/>
      <c r="AC50" s="833"/>
      <c r="AD50" s="833"/>
      <c r="AE50" s="833"/>
    </row>
    <row r="51" spans="1:31" hidden="1" x14ac:dyDescent="0.3">
      <c r="A51" s="706" t="str">
        <f>IF(AND(F53=G53,H53=I53,J53=K53,F53="A"),"2016 - kwh",IF(AND(F53=G53,H53=I53,J53&lt;&gt;K53,F53="A"),"2017 - kwh",IF(AND(F53=G53,H53&lt;&gt;I53,F53="A"),"2018 - kwh","N/A")))</f>
        <v>N/A</v>
      </c>
      <c r="B51" s="706" t="str">
        <f>IF(F53&lt;&gt;G53,"2018 - kwh",IF(H53&lt;&gt;I53,"2017 - kwh",IF(J53&lt;&gt;K53,"2016 - kwh","N/A")))</f>
        <v>N/A</v>
      </c>
      <c r="C51" s="610" t="s">
        <v>2124</v>
      </c>
      <c r="D51" s="754"/>
      <c r="E51" s="671" t="s">
        <v>154</v>
      </c>
      <c r="F51" s="753"/>
      <c r="G51" s="753"/>
      <c r="H51" s="753"/>
      <c r="I51" s="753"/>
      <c r="J51" s="753"/>
      <c r="K51" s="753"/>
      <c r="L51" s="753"/>
      <c r="M51" s="753"/>
      <c r="N51" s="753"/>
      <c r="O51" s="753"/>
      <c r="P51" s="706"/>
      <c r="Q51" s="706"/>
      <c r="R51" s="706"/>
      <c r="S51" s="706"/>
      <c r="T51" s="706"/>
      <c r="U51" s="706"/>
      <c r="V51" s="706"/>
      <c r="Z51" s="833"/>
      <c r="AA51" s="833" t="str">
        <f>IF(AND(F53=G53,H53=I53,F53="A"),"2016 - kwh","")</f>
        <v/>
      </c>
      <c r="AB51" s="833" t="str">
        <f>IF(OR(B51="2017 - kwh",B51="2018 - kwh"),"2016 - kwh","")</f>
        <v/>
      </c>
      <c r="AC51" s="833"/>
      <c r="AD51" s="833"/>
      <c r="AE51" s="833"/>
    </row>
    <row r="52" spans="1:31" hidden="1" x14ac:dyDescent="0.3">
      <c r="A52" s="706" t="str">
        <f>IF(AND(F53=G53,H53=I53,J53=K53,F53="A"),"2016 - kw",IF(AND(F53=G53,H53=I53,J53&lt;&gt;K53,F53="A"),"2017 - kw",IF(AND(F53=G53,H53&lt;&gt;I53,F53="A"),"2018 - kw","N/A")))</f>
        <v>N/A</v>
      </c>
      <c r="B52" s="706" t="str">
        <f>IF(F53&lt;&gt;G53,"2018 - kw",IF(H53&lt;&gt;I53,"2017 - kw",IF(J53&lt;&gt;K53,"2016 - kw","N/A")))</f>
        <v>N/A</v>
      </c>
      <c r="C52" s="611"/>
      <c r="D52" s="646" t="str">
        <f>D51 &amp; "kW"</f>
        <v>kW</v>
      </c>
      <c r="E52" s="670" t="s">
        <v>155</v>
      </c>
      <c r="F52" s="753"/>
      <c r="G52" s="753"/>
      <c r="H52" s="753"/>
      <c r="I52" s="753"/>
      <c r="J52" s="753"/>
      <c r="K52" s="753"/>
      <c r="L52" s="753"/>
      <c r="M52" s="753"/>
      <c r="N52" s="753"/>
      <c r="O52" s="753"/>
      <c r="P52" s="706"/>
      <c r="Q52" s="706"/>
      <c r="R52" s="706"/>
      <c r="S52" s="706"/>
      <c r="T52" s="706"/>
      <c r="U52" s="706"/>
      <c r="V52" s="706"/>
      <c r="Z52" s="833"/>
      <c r="AA52" s="833" t="str">
        <f>IF(AND(F53=G53,H53=I53,F53="A"),"2016 - kw","")</f>
        <v/>
      </c>
      <c r="AB52" s="833" t="str">
        <f>IF(OR(B52="2017 - kw",B52="2018 - kw"),"2016 - kw","")</f>
        <v/>
      </c>
      <c r="AC52" s="833"/>
      <c r="AD52" s="833"/>
      <c r="AE52" s="833"/>
    </row>
    <row r="53" spans="1:31" hidden="1" x14ac:dyDescent="0.3">
      <c r="A53" s="706"/>
      <c r="B53" s="706"/>
      <c r="C53" s="614"/>
      <c r="D53" s="700"/>
      <c r="E53" s="669" t="s">
        <v>2120</v>
      </c>
      <c r="F53" s="752"/>
      <c r="G53" s="752"/>
      <c r="H53" s="752"/>
      <c r="I53" s="752"/>
      <c r="J53" s="752"/>
      <c r="K53" s="752"/>
      <c r="L53" s="752"/>
      <c r="M53" s="752"/>
      <c r="N53" s="752"/>
      <c r="O53" s="752"/>
      <c r="P53" s="706"/>
      <c r="Q53" s="706"/>
      <c r="R53" s="706"/>
      <c r="S53" s="706"/>
      <c r="T53" s="706"/>
      <c r="U53" s="706"/>
      <c r="V53" s="706"/>
      <c r="Z53" s="833"/>
      <c r="AA53" s="833"/>
      <c r="AB53" s="833"/>
      <c r="AC53" s="833"/>
      <c r="AD53" s="833"/>
      <c r="AE53" s="833"/>
    </row>
    <row r="54" spans="1:31" hidden="1" x14ac:dyDescent="0.3">
      <c r="A54" s="706" t="str">
        <f>IF(AND(F56=G56,H56=I56,J56=K56,F56="A"),"2016 - kwh",IF(AND(F56=G56,H56=I56,J56&lt;&gt;K56,F56="A"),"2017 - kwh",IF(AND(F56=G56,H56&lt;&gt;I56,F56="A"),"2018 - kwh","N/A")))</f>
        <v>N/A</v>
      </c>
      <c r="B54" s="706" t="str">
        <f>IF(F56&lt;&gt;G56,"2018 - kwh",IF(H56&lt;&gt;I56,"2017 - kwh",IF(J56&lt;&gt;K56,"2016 - kwh","N/A")))</f>
        <v>N/A</v>
      </c>
      <c r="C54" s="610" t="s">
        <v>2125</v>
      </c>
      <c r="D54" s="754"/>
      <c r="E54" s="674" t="s">
        <v>154</v>
      </c>
      <c r="F54" s="753"/>
      <c r="G54" s="753"/>
      <c r="H54" s="753"/>
      <c r="I54" s="753"/>
      <c r="J54" s="753"/>
      <c r="K54" s="753"/>
      <c r="L54" s="753"/>
      <c r="M54" s="753"/>
      <c r="N54" s="753"/>
      <c r="O54" s="753"/>
      <c r="P54" s="706"/>
      <c r="Q54" s="706"/>
      <c r="R54" s="706"/>
      <c r="S54" s="706"/>
      <c r="T54" s="706"/>
      <c r="U54" s="706"/>
      <c r="V54" s="706"/>
      <c r="Z54" s="833"/>
      <c r="AA54" s="833" t="str">
        <f>IF(AND(F56=G56,H56=I56,F56="A"),"2016 - kwh","")</f>
        <v/>
      </c>
      <c r="AB54" s="833" t="str">
        <f>IF(OR(B54="2017 - kwh",B54="2018 - kwh"),"2016 - kwh","")</f>
        <v/>
      </c>
      <c r="AC54" s="833"/>
      <c r="AD54" s="833"/>
      <c r="AE54" s="833"/>
    </row>
    <row r="55" spans="1:31" hidden="1" x14ac:dyDescent="0.3">
      <c r="A55" s="706" t="str">
        <f>IF(AND(F56=G56,H56=I56,J56=K56,F56="A"),"2016 - kw",IF(AND(F56=G56,H56=I56,J56&lt;&gt;K56,F56="A"),"2017 - kw",IF(AND(F56=G56,H56&lt;&gt;I56,F56="A"),"2018 - kw","N/A")))</f>
        <v>N/A</v>
      </c>
      <c r="B55" s="706" t="str">
        <f>IF(F56&lt;&gt;G56,"2018 - kw",IF(H56&lt;&gt;I56,"2017 - kw",IF(J56&lt;&gt;K56,"2016 - kw","N/A")))</f>
        <v>N/A</v>
      </c>
      <c r="C55" s="611"/>
      <c r="D55" s="646" t="str">
        <f>D54 &amp; "kW"</f>
        <v>kW</v>
      </c>
      <c r="E55" s="673" t="s">
        <v>155</v>
      </c>
      <c r="F55" s="753"/>
      <c r="G55" s="753"/>
      <c r="H55" s="753"/>
      <c r="I55" s="753"/>
      <c r="J55" s="753"/>
      <c r="K55" s="753"/>
      <c r="L55" s="753"/>
      <c r="M55" s="753"/>
      <c r="N55" s="753"/>
      <c r="O55" s="753"/>
      <c r="P55" s="706"/>
      <c r="Q55" s="706"/>
      <c r="R55" s="706"/>
      <c r="S55" s="706"/>
      <c r="T55" s="706"/>
      <c r="U55" s="706"/>
      <c r="V55" s="706"/>
      <c r="Z55" s="833"/>
      <c r="AA55" s="833" t="str">
        <f>IF(AND(F56=G56,H56=I56,F56="A"),"2016 - kw","")</f>
        <v/>
      </c>
      <c r="AB55" s="833" t="str">
        <f>IF(OR(B55="2017 - kw",B55="2018 - kw"),"2016 - kw","")</f>
        <v/>
      </c>
      <c r="AC55" s="833"/>
      <c r="AD55" s="833"/>
      <c r="AE55" s="833"/>
    </row>
    <row r="56" spans="1:31" hidden="1" x14ac:dyDescent="0.3">
      <c r="A56" s="706"/>
      <c r="B56" s="706"/>
      <c r="C56" s="614"/>
      <c r="D56" s="700"/>
      <c r="E56" s="672" t="s">
        <v>2120</v>
      </c>
      <c r="F56" s="752"/>
      <c r="G56" s="752"/>
      <c r="H56" s="752"/>
      <c r="I56" s="752"/>
      <c r="J56" s="752"/>
      <c r="K56" s="752"/>
      <c r="L56" s="752"/>
      <c r="M56" s="752"/>
      <c r="N56" s="752"/>
      <c r="O56" s="752"/>
      <c r="P56" s="706"/>
      <c r="Q56" s="706"/>
      <c r="R56" s="706"/>
      <c r="S56" s="706"/>
      <c r="T56" s="706"/>
      <c r="U56" s="706"/>
      <c r="V56" s="706"/>
      <c r="Z56" s="833"/>
      <c r="AA56" s="833"/>
      <c r="AB56" s="833"/>
      <c r="AC56" s="833"/>
      <c r="AD56" s="833"/>
      <c r="AE56" s="833"/>
    </row>
    <row r="57" spans="1:31" hidden="1" x14ac:dyDescent="0.3">
      <c r="A57" s="706" t="str">
        <f>IF(AND(F59=G59,H59=I59,J59=K59,F59="A"),"2016 - kwh",IF(AND(F59=G59,H59=I59,J59&lt;&gt;K59,F59="A"),"2017 - kwh",IF(AND(F59=G59,H59&lt;&gt;I59,F59="A"),"2018 - kwh","N/A")))</f>
        <v>N/A</v>
      </c>
      <c r="B57" s="706" t="str">
        <f>IF(F59&lt;&gt;G59,"2018 - kwh",IF(H59&lt;&gt;I59,"2017 - kwh",IF(J59&lt;&gt;K59,"2016 - kwh","N/A")))</f>
        <v>N/A</v>
      </c>
      <c r="C57" s="610" t="s">
        <v>2126</v>
      </c>
      <c r="D57" s="754"/>
      <c r="E57" s="677" t="s">
        <v>154</v>
      </c>
      <c r="F57" s="753"/>
      <c r="G57" s="753"/>
      <c r="H57" s="753"/>
      <c r="I57" s="753"/>
      <c r="J57" s="753"/>
      <c r="K57" s="753"/>
      <c r="L57" s="753"/>
      <c r="M57" s="753"/>
      <c r="N57" s="753"/>
      <c r="O57" s="753"/>
      <c r="P57" s="706"/>
      <c r="Q57" s="706"/>
      <c r="R57" s="706"/>
      <c r="S57" s="706"/>
      <c r="T57" s="706"/>
      <c r="U57" s="706"/>
      <c r="V57" s="706"/>
      <c r="Z57" s="833"/>
      <c r="AA57" s="833" t="str">
        <f>IF(AND(F59=G59,H59=I59,F59="A"),"2016 - kwh","")</f>
        <v/>
      </c>
      <c r="AB57" s="833" t="str">
        <f>IF(OR(B57="2017 - kwh",B57="2018 - kwh"),"2016 - kwh","")</f>
        <v/>
      </c>
      <c r="AC57" s="833"/>
      <c r="AD57" s="833"/>
      <c r="AE57" s="833"/>
    </row>
    <row r="58" spans="1:31" hidden="1" x14ac:dyDescent="0.3">
      <c r="A58" s="706" t="str">
        <f>IF(AND(F59=G59,H59=I59,J59=K59,F59="A"),"2016 - kw",IF(AND(F59=G59,H59=I59,J59&lt;&gt;K59,F59="A"),"2017 - kw",IF(AND(F59=G59,H59&lt;&gt;I59,F59="A"),"2018 - kw","N/A")))</f>
        <v>N/A</v>
      </c>
      <c r="B58" s="706" t="str">
        <f>IF(F59&lt;&gt;G59,"2018 - kw",IF(H59&lt;&gt;I59,"2017 - kw",IF(J59&lt;&gt;K59,"2016 - kw","N/A")))</f>
        <v>N/A</v>
      </c>
      <c r="C58" s="611"/>
      <c r="D58" s="646" t="str">
        <f>D57 &amp; "kW"</f>
        <v>kW</v>
      </c>
      <c r="E58" s="676" t="s">
        <v>155</v>
      </c>
      <c r="F58" s="753"/>
      <c r="G58" s="753"/>
      <c r="H58" s="753"/>
      <c r="I58" s="753"/>
      <c r="J58" s="753"/>
      <c r="K58" s="753"/>
      <c r="L58" s="753"/>
      <c r="M58" s="753"/>
      <c r="N58" s="753"/>
      <c r="O58" s="753"/>
      <c r="P58" s="706"/>
      <c r="Q58" s="706"/>
      <c r="R58" s="706"/>
      <c r="S58" s="706"/>
      <c r="T58" s="706"/>
      <c r="U58" s="706"/>
      <c r="V58" s="706"/>
      <c r="Z58" s="833"/>
      <c r="AA58" s="833" t="str">
        <f>IF(AND(F59=G59,H59=I59,F59="A"),"2016 - kw","")</f>
        <v/>
      </c>
      <c r="AB58" s="833" t="str">
        <f>IF(OR(B58="2017 - kw",B58="2018 - kw"),"2016 - kw","")</f>
        <v/>
      </c>
      <c r="AC58" s="833"/>
      <c r="AD58" s="833"/>
      <c r="AE58" s="833"/>
    </row>
    <row r="59" spans="1:31" hidden="1" x14ac:dyDescent="0.3">
      <c r="A59" s="706"/>
      <c r="B59" s="706"/>
      <c r="C59" s="614"/>
      <c r="D59" s="700"/>
      <c r="E59" s="675" t="s">
        <v>2120</v>
      </c>
      <c r="F59" s="752"/>
      <c r="G59" s="752"/>
      <c r="H59" s="752"/>
      <c r="I59" s="752"/>
      <c r="J59" s="752"/>
      <c r="K59" s="752"/>
      <c r="L59" s="752"/>
      <c r="M59" s="752"/>
      <c r="N59" s="752"/>
      <c r="O59" s="752"/>
      <c r="P59" s="706"/>
      <c r="Q59" s="706"/>
      <c r="R59" s="706"/>
      <c r="S59" s="706"/>
      <c r="T59" s="706"/>
      <c r="U59" s="706"/>
      <c r="V59" s="706"/>
      <c r="Z59" s="833"/>
      <c r="AA59" s="833"/>
      <c r="AB59" s="833"/>
      <c r="AC59" s="833"/>
      <c r="AD59" s="833"/>
      <c r="AE59" s="833"/>
    </row>
    <row r="60" spans="1:31" hidden="1" x14ac:dyDescent="0.3">
      <c r="A60" s="706" t="str">
        <f>IF(AND(F62=G62,H62=I62,J62=K62,F62="A"),"2016 - kwh",IF(AND(F62=G62,H62=I62,J62&lt;&gt;K62,F62="A"),"2017 - kwh",IF(AND(F62=G62,H62&lt;&gt;I62,F62="A"),"2018 - kwh","N/A")))</f>
        <v>N/A</v>
      </c>
      <c r="B60" s="706" t="str">
        <f>IF(F62&lt;&gt;G62,"2018 - kwh",IF(H62&lt;&gt;I62,"2017 - kwh",IF(J62&lt;&gt;K62,"2016 - kwh","N/A")))</f>
        <v>N/A</v>
      </c>
      <c r="C60" s="610" t="s">
        <v>2127</v>
      </c>
      <c r="D60" s="754"/>
      <c r="E60" s="703" t="s">
        <v>154</v>
      </c>
      <c r="F60" s="753"/>
      <c r="G60" s="753"/>
      <c r="H60" s="753"/>
      <c r="I60" s="753"/>
      <c r="J60" s="753"/>
      <c r="K60" s="753"/>
      <c r="L60" s="753"/>
      <c r="M60" s="753"/>
      <c r="N60" s="753"/>
      <c r="O60" s="753"/>
      <c r="P60" s="706"/>
      <c r="Q60" s="706"/>
      <c r="R60" s="706"/>
      <c r="S60" s="706"/>
      <c r="T60" s="706"/>
      <c r="U60" s="706"/>
      <c r="V60" s="706"/>
      <c r="Z60" s="833"/>
      <c r="AA60" s="833" t="str">
        <f>IF(AND(F62=G62,H62=I62,F62="A"),"2016 - kwh","")</f>
        <v/>
      </c>
      <c r="AB60" s="833" t="str">
        <f>IF(OR(B60="2017 - kwh",B60="2018 - kwh"),"2016 - kwh","")</f>
        <v/>
      </c>
      <c r="AC60" s="833"/>
      <c r="AD60" s="833"/>
      <c r="AE60" s="833"/>
    </row>
    <row r="61" spans="1:31" hidden="1" x14ac:dyDescent="0.3">
      <c r="A61" s="706" t="str">
        <f>IF(AND(F62=G62,H62=I62,J62=K62,F62="A"),"2016 - kw",IF(AND(F62=G62,H62=I62,J62&lt;&gt;K62,F62="A"),"2017 - kw",IF(AND(F62=G62,H62&lt;&gt;I62,F62="A"),"2018 - kw","N/A")))</f>
        <v>N/A</v>
      </c>
      <c r="B61" s="706" t="str">
        <f>IF(F62&lt;&gt;G62,"2018 - kw",IF(H62&lt;&gt;I62,"2017 - kw",IF(J62&lt;&gt;K62,"2016 - kw","N/A")))</f>
        <v>N/A</v>
      </c>
      <c r="C61" s="611"/>
      <c r="D61" s="646" t="str">
        <f>D60 &amp; "kW"</f>
        <v>kW</v>
      </c>
      <c r="E61" s="702" t="s">
        <v>155</v>
      </c>
      <c r="F61" s="753"/>
      <c r="G61" s="753"/>
      <c r="H61" s="753"/>
      <c r="I61" s="753"/>
      <c r="J61" s="753"/>
      <c r="K61" s="753"/>
      <c r="L61" s="753"/>
      <c r="M61" s="753"/>
      <c r="N61" s="753"/>
      <c r="O61" s="753"/>
      <c r="P61" s="706"/>
      <c r="Q61" s="706"/>
      <c r="R61" s="706"/>
      <c r="S61" s="706"/>
      <c r="T61" s="706"/>
      <c r="U61" s="706"/>
      <c r="V61" s="706"/>
      <c r="Z61" s="833"/>
      <c r="AA61" s="833" t="str">
        <f>IF(AND(F62=G62,H62=I62,F62="A"),"2016 - kw","")</f>
        <v/>
      </c>
      <c r="AB61" s="833" t="str">
        <f>IF(OR(B61="2017 - kw",B61="2018 - kw"),"2016 - kw","")</f>
        <v/>
      </c>
      <c r="AC61" s="833"/>
      <c r="AD61" s="833"/>
      <c r="AE61" s="833"/>
    </row>
    <row r="62" spans="1:31" hidden="1" x14ac:dyDescent="0.3">
      <c r="A62" s="706"/>
      <c r="B62" s="706"/>
      <c r="C62" s="614"/>
      <c r="D62" s="700"/>
      <c r="E62" s="701" t="s">
        <v>2120</v>
      </c>
      <c r="F62" s="752"/>
      <c r="G62" s="752"/>
      <c r="H62" s="752"/>
      <c r="I62" s="752"/>
      <c r="J62" s="752"/>
      <c r="K62" s="752"/>
      <c r="L62" s="752"/>
      <c r="M62" s="752"/>
      <c r="N62" s="752"/>
      <c r="O62" s="752"/>
      <c r="P62" s="706"/>
      <c r="Q62" s="706"/>
      <c r="R62" s="706"/>
      <c r="S62" s="706"/>
      <c r="T62" s="706"/>
      <c r="U62" s="706"/>
      <c r="V62" s="706"/>
      <c r="Z62" s="833"/>
      <c r="AA62" s="833"/>
      <c r="AB62" s="833"/>
      <c r="AC62" s="833"/>
      <c r="AD62" s="833"/>
      <c r="AE62" s="833"/>
    </row>
    <row r="63" spans="1:31" hidden="1" x14ac:dyDescent="0.3">
      <c r="A63" s="706" t="str">
        <f>IF(AND(F65=G65,H65=I65,J65=K65,F65="A"),"2016 - kwh",IF(AND(F65=G65,H65=I65,J65&lt;&gt;K65,F65="A"),"2017 - kwh",IF(AND(F65=G65,H65&lt;&gt;I65,F65="A"),"2018 - kwh","N/A")))</f>
        <v>N/A</v>
      </c>
      <c r="B63" s="706" t="str">
        <f>IF(F65&lt;&gt;G65,"2018 - kwh",IF(H65&lt;&gt;I65,"2017 - kwh",IF(J65&lt;&gt;K65,"2016 - kwh","N/A")))</f>
        <v>N/A</v>
      </c>
      <c r="C63" s="610" t="s">
        <v>2128</v>
      </c>
      <c r="D63" s="754"/>
      <c r="E63" s="703" t="s">
        <v>154</v>
      </c>
      <c r="F63" s="753"/>
      <c r="G63" s="753"/>
      <c r="H63" s="753"/>
      <c r="I63" s="753"/>
      <c r="J63" s="753"/>
      <c r="K63" s="753"/>
      <c r="L63" s="753"/>
      <c r="M63" s="753"/>
      <c r="N63" s="753"/>
      <c r="O63" s="753"/>
      <c r="P63" s="706"/>
      <c r="Q63" s="706"/>
      <c r="R63" s="706"/>
      <c r="S63" s="706"/>
      <c r="T63" s="706"/>
      <c r="U63" s="706"/>
      <c r="V63" s="706"/>
      <c r="Z63" s="833"/>
      <c r="AA63" s="833" t="str">
        <f>IF(AND(F65=G65,H65=I65,F65="A"),"2016 - kwh","")</f>
        <v/>
      </c>
      <c r="AB63" s="833" t="str">
        <f>IF(OR(B63="2017 - kwh",B63="2018 - kwh"),"2016 - kwh","")</f>
        <v/>
      </c>
      <c r="AC63" s="833"/>
      <c r="AD63" s="833"/>
      <c r="AE63" s="833"/>
    </row>
    <row r="64" spans="1:31" hidden="1" x14ac:dyDescent="0.3">
      <c r="A64" s="706" t="str">
        <f>IF(AND(F65=G65,H65=I65,J65=K65,F65="A"),"2016 - kw",IF(AND(F65=G65,H65=I65,J65&lt;&gt;K65,F65="A"),"2017 - kw",IF(AND(F65=G65,H65&lt;&gt;I65,F65="A"),"2018 - kw","N/A")))</f>
        <v>N/A</v>
      </c>
      <c r="B64" s="706" t="str">
        <f>IF(F65&lt;&gt;G65,"2018 - kw",IF(H65&lt;&gt;I65,"2017 - kw",IF(J65&lt;&gt;K65,"2016 - kw","N/A")))</f>
        <v>N/A</v>
      </c>
      <c r="C64" s="611"/>
      <c r="D64" s="646" t="str">
        <f>D63 &amp; "kW"</f>
        <v>kW</v>
      </c>
      <c r="E64" s="702" t="s">
        <v>155</v>
      </c>
      <c r="F64" s="753"/>
      <c r="G64" s="753"/>
      <c r="H64" s="753"/>
      <c r="I64" s="753"/>
      <c r="J64" s="753"/>
      <c r="K64" s="753"/>
      <c r="L64" s="753"/>
      <c r="M64" s="753"/>
      <c r="N64" s="753"/>
      <c r="O64" s="753"/>
      <c r="P64" s="706"/>
      <c r="Q64" s="706"/>
      <c r="R64" s="706"/>
      <c r="S64" s="706"/>
      <c r="T64" s="706"/>
      <c r="U64" s="706"/>
      <c r="V64" s="706"/>
      <c r="Z64" s="833"/>
      <c r="AA64" s="833" t="str">
        <f>IF(AND(F65=G65,H65=I65,F65="A"),"2016 - kw","")</f>
        <v/>
      </c>
      <c r="AB64" s="833" t="str">
        <f>IF(OR(B64="2017 - kw",B64="2018 - kw"),"2016 - kw","")</f>
        <v/>
      </c>
      <c r="AC64" s="833"/>
      <c r="AD64" s="833"/>
      <c r="AE64" s="833"/>
    </row>
    <row r="65" spans="1:31" hidden="1" x14ac:dyDescent="0.3">
      <c r="A65" s="706"/>
      <c r="B65" s="706"/>
      <c r="C65" s="614"/>
      <c r="D65" s="700"/>
      <c r="E65" s="701" t="s">
        <v>2120</v>
      </c>
      <c r="F65" s="752"/>
      <c r="G65" s="752"/>
      <c r="H65" s="752"/>
      <c r="I65" s="752"/>
      <c r="J65" s="752"/>
      <c r="K65" s="752"/>
      <c r="L65" s="752"/>
      <c r="M65" s="752"/>
      <c r="N65" s="752"/>
      <c r="O65" s="752"/>
      <c r="P65" s="706"/>
      <c r="Q65" s="706"/>
      <c r="R65" s="706"/>
      <c r="S65" s="706"/>
      <c r="T65" s="706"/>
      <c r="U65" s="706"/>
      <c r="V65" s="706"/>
      <c r="Z65" s="833"/>
      <c r="AA65" s="833"/>
      <c r="AB65" s="833"/>
      <c r="AC65" s="833"/>
      <c r="AD65" s="833"/>
      <c r="AE65" s="833"/>
    </row>
    <row r="66" spans="1:31" s="636" customFormat="1" hidden="1" x14ac:dyDescent="0.3">
      <c r="A66" s="706" t="str">
        <f>IF(AND(F68=G68,H68=I68,J68=K68,F68="A"),"2016 - kwh",IF(AND(F68=G68,H68=I68,J68&lt;&gt;K68,F68="A"),"2017 - kwh",IF(AND(F68=G68,H68&lt;&gt;I68,F68="A"),"2018 - kwh","N/A")))</f>
        <v>N/A</v>
      </c>
      <c r="B66" s="706" t="str">
        <f>IF(F68&lt;&gt;G68,"2018 - kwh",IF(H68&lt;&gt;I68,"2017 - kwh",IF(J68&lt;&gt;K68,"2016 - kwh","N/A")))</f>
        <v>N/A</v>
      </c>
      <c r="C66" s="610" t="s">
        <v>2150</v>
      </c>
      <c r="D66" s="754"/>
      <c r="E66" s="703" t="s">
        <v>154</v>
      </c>
      <c r="F66" s="753"/>
      <c r="G66" s="753"/>
      <c r="H66" s="753"/>
      <c r="I66" s="753"/>
      <c r="J66" s="753"/>
      <c r="K66" s="753"/>
      <c r="L66" s="753"/>
      <c r="M66" s="753"/>
      <c r="N66" s="753"/>
      <c r="O66" s="753"/>
      <c r="P66" s="706"/>
      <c r="Q66" s="706"/>
      <c r="R66" s="706"/>
      <c r="S66" s="706"/>
      <c r="T66" s="706"/>
      <c r="U66" s="706"/>
      <c r="V66" s="706"/>
      <c r="Z66" s="833"/>
      <c r="AA66" s="833" t="str">
        <f>IF(AND(F68=G68,H68=I68,F68="A"),"2016 - kwh","")</f>
        <v/>
      </c>
      <c r="AB66" s="833" t="str">
        <f>IF(OR(B66="2017 - kwh",B66="2018 - kwh"),"2016 - kwh","")</f>
        <v/>
      </c>
      <c r="AC66" s="833"/>
      <c r="AD66" s="833"/>
      <c r="AE66" s="833"/>
    </row>
    <row r="67" spans="1:31" s="636" customFormat="1" hidden="1" x14ac:dyDescent="0.3">
      <c r="A67" s="706" t="str">
        <f>IF(AND(F68=G68,H68=I68,J68=K68,F68="A"),"2016 - kw",IF(AND(F68=G68,H68=I68,J68&lt;&gt;K68,F68="A"),"2017 - kw",IF(AND(F68=G68,H68&lt;&gt;I68,F68="A"),"2018 - kw","N/A")))</f>
        <v>N/A</v>
      </c>
      <c r="B67" s="706" t="str">
        <f>IF(F68&lt;&gt;G68,"2018 - kw",IF(H68&lt;&gt;I68,"2017 - kw",IF(J68&lt;&gt;K68,"2016 - kw","N/A")))</f>
        <v>N/A</v>
      </c>
      <c r="C67" s="611"/>
      <c r="D67" s="646" t="str">
        <f>D66 &amp; "kW"</f>
        <v>kW</v>
      </c>
      <c r="E67" s="702" t="s">
        <v>155</v>
      </c>
      <c r="F67" s="753"/>
      <c r="G67" s="753"/>
      <c r="H67" s="753"/>
      <c r="I67" s="753"/>
      <c r="J67" s="753"/>
      <c r="K67" s="753"/>
      <c r="L67" s="753"/>
      <c r="M67" s="753"/>
      <c r="N67" s="753"/>
      <c r="O67" s="753"/>
      <c r="P67" s="706"/>
      <c r="Q67" s="706"/>
      <c r="R67" s="706"/>
      <c r="S67" s="706"/>
      <c r="T67" s="706"/>
      <c r="U67" s="706"/>
      <c r="V67" s="706"/>
      <c r="Z67" s="833"/>
      <c r="AA67" s="833" t="str">
        <f>IF(AND(F68=G68,H68=I68,F68="A"),"2016 - kw","")</f>
        <v/>
      </c>
      <c r="AB67" s="833" t="str">
        <f>IF(OR(B67="2017 - kw",B67="2018 - kw"),"2016 - kw","")</f>
        <v/>
      </c>
      <c r="AC67" s="833"/>
      <c r="AD67" s="833"/>
      <c r="AE67" s="833"/>
    </row>
    <row r="68" spans="1:31" s="636" customFormat="1" hidden="1" x14ac:dyDescent="0.3">
      <c r="A68" s="706"/>
      <c r="B68" s="706"/>
      <c r="C68" s="614"/>
      <c r="D68" s="700"/>
      <c r="E68" s="701" t="s">
        <v>2120</v>
      </c>
      <c r="F68" s="752"/>
      <c r="G68" s="752"/>
      <c r="H68" s="752"/>
      <c r="I68" s="752"/>
      <c r="J68" s="752"/>
      <c r="K68" s="752"/>
      <c r="L68" s="752"/>
      <c r="M68" s="752"/>
      <c r="N68" s="752"/>
      <c r="O68" s="752"/>
      <c r="P68" s="706"/>
      <c r="Q68" s="706"/>
      <c r="R68" s="706"/>
      <c r="S68" s="706"/>
      <c r="T68" s="706"/>
      <c r="U68" s="706"/>
      <c r="V68" s="706"/>
      <c r="Z68" s="833"/>
      <c r="AA68" s="833"/>
      <c r="AB68" s="833"/>
      <c r="AC68" s="833"/>
      <c r="AD68" s="833"/>
      <c r="AE68" s="833"/>
    </row>
    <row r="69" spans="1:31" s="636" customFormat="1" hidden="1" x14ac:dyDescent="0.3">
      <c r="A69" s="706" t="str">
        <f>IF(AND(F71=G71,H71=I71,J71=K71,F71="A"),"2016 - kwh",IF(AND(F71=G71,H71=I71,J71&lt;&gt;K71,F71="A"),"2017 - kwh",IF(AND(F71=G71,H71&lt;&gt;I71,F71="A"),"2018 - kwh","N/A")))</f>
        <v>N/A</v>
      </c>
      <c r="B69" s="706" t="str">
        <f>IF(F71&lt;&gt;G71,"2018 - kwh",IF(H71&lt;&gt;I71,"2017 - kwh",IF(J71&lt;&gt;K71,"2016 - kwh","N/A")))</f>
        <v>N/A</v>
      </c>
      <c r="C69" s="610" t="s">
        <v>2151</v>
      </c>
      <c r="D69" s="754"/>
      <c r="E69" s="703" t="s">
        <v>154</v>
      </c>
      <c r="F69" s="753"/>
      <c r="G69" s="753"/>
      <c r="H69" s="753"/>
      <c r="I69" s="753"/>
      <c r="J69" s="753"/>
      <c r="K69" s="753"/>
      <c r="L69" s="753"/>
      <c r="M69" s="753"/>
      <c r="N69" s="753"/>
      <c r="O69" s="753"/>
      <c r="P69" s="706"/>
      <c r="Q69" s="706"/>
      <c r="R69" s="706"/>
      <c r="S69" s="706"/>
      <c r="T69" s="706"/>
      <c r="U69" s="706"/>
      <c r="V69" s="706"/>
      <c r="Z69" s="833"/>
      <c r="AA69" s="833" t="str">
        <f>IF(AND(F71=G71,H71=I71,F71="A"),"2016 - kwh","")</f>
        <v/>
      </c>
      <c r="AB69" s="833" t="str">
        <f>IF(OR(B69="2017 - kwh",B69="2018 - kwh"),"2016 - kwh","")</f>
        <v/>
      </c>
      <c r="AC69" s="833"/>
      <c r="AD69" s="833"/>
      <c r="AE69" s="833"/>
    </row>
    <row r="70" spans="1:31" s="636" customFormat="1" hidden="1" x14ac:dyDescent="0.3">
      <c r="A70" s="706" t="str">
        <f>IF(AND(F71=G71,H71=I71,J71=K71,F71="A"),"2016 - kw",IF(AND(F71=G71,H71=I71,J71&lt;&gt;K71,F71="A"),"2017 - kw",IF(AND(F71=G71,H71&lt;&gt;I71,F71="A"),"2018 - kw","N/A")))</f>
        <v>N/A</v>
      </c>
      <c r="B70" s="706" t="str">
        <f>IF(F71&lt;&gt;G71,"2018 - kw",IF(H71&lt;&gt;I71,"2017 - kw",IF(J71&lt;&gt;K71,"2016 - kw","N/A")))</f>
        <v>N/A</v>
      </c>
      <c r="C70" s="611"/>
      <c r="D70" s="646" t="str">
        <f>D69 &amp; "kW"</f>
        <v>kW</v>
      </c>
      <c r="E70" s="702" t="s">
        <v>155</v>
      </c>
      <c r="F70" s="753"/>
      <c r="G70" s="753"/>
      <c r="H70" s="753"/>
      <c r="I70" s="753"/>
      <c r="J70" s="753"/>
      <c r="K70" s="753"/>
      <c r="L70" s="753"/>
      <c r="M70" s="753"/>
      <c r="N70" s="753"/>
      <c r="O70" s="753"/>
      <c r="P70" s="706"/>
      <c r="Q70" s="706"/>
      <c r="R70" s="706"/>
      <c r="S70" s="706"/>
      <c r="T70" s="706"/>
      <c r="U70" s="706"/>
      <c r="V70" s="706"/>
      <c r="Z70" s="833"/>
      <c r="AA70" s="833" t="str">
        <f>IF(AND(F71=G71,H71=I71,F71="A"),"2016 - kw","")</f>
        <v/>
      </c>
      <c r="AB70" s="833" t="str">
        <f>IF(OR(B70="2017 - kw",B70="2018 - kw"),"2016 - kw","")</f>
        <v/>
      </c>
      <c r="AC70" s="833"/>
      <c r="AD70" s="833"/>
      <c r="AE70" s="833"/>
    </row>
    <row r="71" spans="1:31" s="636" customFormat="1" hidden="1" x14ac:dyDescent="0.3">
      <c r="A71" s="706"/>
      <c r="B71" s="706"/>
      <c r="C71" s="614"/>
      <c r="D71" s="700"/>
      <c r="E71" s="701" t="s">
        <v>2120</v>
      </c>
      <c r="F71" s="752"/>
      <c r="G71" s="752"/>
      <c r="H71" s="752"/>
      <c r="I71" s="752"/>
      <c r="J71" s="752"/>
      <c r="K71" s="752"/>
      <c r="L71" s="752"/>
      <c r="M71" s="752"/>
      <c r="N71" s="752"/>
      <c r="O71" s="752"/>
      <c r="P71" s="706"/>
      <c r="Q71" s="706"/>
      <c r="R71" s="706"/>
      <c r="S71" s="706"/>
      <c r="T71" s="706"/>
      <c r="U71" s="706"/>
      <c r="V71" s="706"/>
      <c r="Z71" s="833"/>
      <c r="AA71" s="833"/>
      <c r="AB71" s="833"/>
      <c r="AC71" s="833"/>
      <c r="AD71" s="833"/>
      <c r="AE71" s="833"/>
    </row>
    <row r="72" spans="1:31" s="636" customFormat="1" hidden="1" x14ac:dyDescent="0.3">
      <c r="A72" s="706" t="str">
        <f>IF(AND(F74=G74,H74=I74,J74=K74,F74="A"),"2016 - kwh",IF(AND(F74=G74,H74=I74,J74&lt;&gt;K74,F74="A"),"2017 - kwh",IF(AND(F74=G74,H74&lt;&gt;I74,F74="A"),"2018 - kwh","N/A")))</f>
        <v>N/A</v>
      </c>
      <c r="B72" s="706" t="str">
        <f>IF(F74&lt;&gt;G74,"2018 - kwh",IF(H74&lt;&gt;I74,"2017 - kwh",IF(J74&lt;&gt;K74,"2016 - kwh","N/A")))</f>
        <v>N/A</v>
      </c>
      <c r="C72" s="610" t="s">
        <v>2152</v>
      </c>
      <c r="D72" s="754"/>
      <c r="E72" s="703" t="s">
        <v>154</v>
      </c>
      <c r="F72" s="753"/>
      <c r="G72" s="753"/>
      <c r="H72" s="753"/>
      <c r="I72" s="753"/>
      <c r="J72" s="753"/>
      <c r="K72" s="753"/>
      <c r="L72" s="753"/>
      <c r="M72" s="753"/>
      <c r="N72" s="753"/>
      <c r="O72" s="753"/>
      <c r="P72" s="706"/>
      <c r="Q72" s="706"/>
      <c r="R72" s="706"/>
      <c r="S72" s="706"/>
      <c r="T72" s="706"/>
      <c r="U72" s="706"/>
      <c r="V72" s="706"/>
      <c r="Z72" s="833"/>
      <c r="AA72" s="833" t="str">
        <f>IF(AND(F74=G74,H74=I74,F74="A"),"2016 - kwh","")</f>
        <v/>
      </c>
      <c r="AB72" s="833" t="str">
        <f>IF(OR(B72="2017 - kwh",B72="2018 - kwh"),"2016 - kwh","")</f>
        <v/>
      </c>
      <c r="AC72" s="833"/>
      <c r="AD72" s="833"/>
      <c r="AE72" s="833"/>
    </row>
    <row r="73" spans="1:31" s="636" customFormat="1" hidden="1" x14ac:dyDescent="0.3">
      <c r="A73" s="706" t="str">
        <f>IF(AND(F74=G74,H74=I74,J74=K74,F74="A"),"2016 - kw",IF(AND(F74=G74,H74=I74,J74&lt;&gt;K74,F74="A"),"2017 - kw",IF(AND(F74=G74,H74&lt;&gt;I74,F74="A"),"2018 - kw","N/A")))</f>
        <v>N/A</v>
      </c>
      <c r="B73" s="706" t="str">
        <f>IF(F74&lt;&gt;G74,"2018 - kw",IF(H74&lt;&gt;I74,"2017 - kw",IF(J74&lt;&gt;K74,"2016 - kw","N/A")))</f>
        <v>N/A</v>
      </c>
      <c r="C73" s="611"/>
      <c r="D73" s="646" t="str">
        <f>D72 &amp; "kW"</f>
        <v>kW</v>
      </c>
      <c r="E73" s="702" t="s">
        <v>155</v>
      </c>
      <c r="F73" s="753"/>
      <c r="G73" s="753"/>
      <c r="H73" s="753"/>
      <c r="I73" s="753"/>
      <c r="J73" s="753"/>
      <c r="K73" s="753"/>
      <c r="L73" s="753"/>
      <c r="M73" s="753"/>
      <c r="N73" s="753"/>
      <c r="O73" s="753"/>
      <c r="P73" s="706"/>
      <c r="Q73" s="706"/>
      <c r="R73" s="706"/>
      <c r="S73" s="706"/>
      <c r="T73" s="706"/>
      <c r="U73" s="706"/>
      <c r="V73" s="706"/>
      <c r="Z73" s="833"/>
      <c r="AA73" s="833" t="str">
        <f>IF(AND(F74=G74,H74=I74,F74="A"),"2016 - kw","")</f>
        <v/>
      </c>
      <c r="AB73" s="833" t="str">
        <f>IF(OR(B73="2017 - kw",B73="2018 - kw"),"2016 - kw","")</f>
        <v/>
      </c>
      <c r="AC73" s="833"/>
      <c r="AD73" s="833"/>
      <c r="AE73" s="833"/>
    </row>
    <row r="74" spans="1:31" s="636" customFormat="1" hidden="1" x14ac:dyDescent="0.3">
      <c r="A74" s="706"/>
      <c r="B74" s="706"/>
      <c r="C74" s="614"/>
      <c r="D74" s="700"/>
      <c r="E74" s="701" t="s">
        <v>2120</v>
      </c>
      <c r="F74" s="752"/>
      <c r="G74" s="752"/>
      <c r="H74" s="752"/>
      <c r="I74" s="752"/>
      <c r="J74" s="752"/>
      <c r="K74" s="752"/>
      <c r="L74" s="752"/>
      <c r="M74" s="752"/>
      <c r="N74" s="752"/>
      <c r="O74" s="752"/>
      <c r="P74" s="706"/>
      <c r="Q74" s="706"/>
      <c r="R74" s="706"/>
      <c r="S74" s="706"/>
      <c r="T74" s="706"/>
      <c r="U74" s="706"/>
      <c r="V74" s="706"/>
      <c r="Z74" s="833"/>
      <c r="AA74" s="833"/>
      <c r="AB74" s="833"/>
      <c r="AC74" s="833"/>
      <c r="AD74" s="833"/>
      <c r="AE74" s="833"/>
    </row>
    <row r="75" spans="1:31" s="636" customFormat="1" hidden="1" x14ac:dyDescent="0.3">
      <c r="A75" s="706" t="str">
        <f>IF(AND(F77=G77,H77=I77,J77=K77,F77="A"),"2016 - kwh",IF(AND(F77=G77,H77=I77,J77&lt;&gt;K77,F77="A"),"2017 - kwh",IF(AND(F77=G77,H77&lt;&gt;I77,F77="A"),"2018 - kwh","N/A")))</f>
        <v>N/A</v>
      </c>
      <c r="B75" s="706" t="str">
        <f>IF(F77&lt;&gt;G77,"2018 - kwh",IF(H77&lt;&gt;I77,"2017 - kwh",IF(J77&lt;&gt;K77,"2016 - kwh","N/A")))</f>
        <v>N/A</v>
      </c>
      <c r="C75" s="610" t="s">
        <v>2153</v>
      </c>
      <c r="D75" s="754"/>
      <c r="E75" s="703" t="s">
        <v>154</v>
      </c>
      <c r="F75" s="753"/>
      <c r="G75" s="753"/>
      <c r="H75" s="753"/>
      <c r="I75" s="753"/>
      <c r="J75" s="753"/>
      <c r="K75" s="753"/>
      <c r="L75" s="753"/>
      <c r="M75" s="753"/>
      <c r="N75" s="753"/>
      <c r="O75" s="753"/>
      <c r="P75" s="706"/>
      <c r="Q75" s="706"/>
      <c r="R75" s="706"/>
      <c r="S75" s="706"/>
      <c r="T75" s="706"/>
      <c r="U75" s="706"/>
      <c r="V75" s="706"/>
      <c r="Z75" s="833"/>
      <c r="AA75" s="833" t="str">
        <f>IF(AND(F77=G77,H77=I77,F77="A"),"2016 - kwh","")</f>
        <v/>
      </c>
      <c r="AB75" s="833" t="str">
        <f>IF(OR(B75="2017 - kwh",B75="2018 - kwh"),"2016 - kwh","")</f>
        <v/>
      </c>
      <c r="AC75" s="833"/>
      <c r="AD75" s="833"/>
      <c r="AE75" s="833"/>
    </row>
    <row r="76" spans="1:31" s="636" customFormat="1" hidden="1" x14ac:dyDescent="0.3">
      <c r="A76" s="706" t="str">
        <f>IF(AND(F77=G77,H77=I77,J77=K77,F77="A"),"2016 - kw",IF(AND(F77=G77,H77=I77,J77&lt;&gt;K77,F77="A"),"2017 - kw",IF(AND(F77=G77,H77&lt;&gt;I77,F77="A"),"2018 - kw","N/A")))</f>
        <v>N/A</v>
      </c>
      <c r="B76" s="706" t="str">
        <f>IF(F77&lt;&gt;G77,"2018 - kw",IF(H77&lt;&gt;I77,"2017 - kw",IF(J77&lt;&gt;K77,"2016 - kw","N/A")))</f>
        <v>N/A</v>
      </c>
      <c r="C76" s="611"/>
      <c r="D76" s="646" t="str">
        <f>D75 &amp; "kW"</f>
        <v>kW</v>
      </c>
      <c r="E76" s="702" t="s">
        <v>155</v>
      </c>
      <c r="F76" s="753"/>
      <c r="G76" s="753"/>
      <c r="H76" s="753"/>
      <c r="I76" s="753"/>
      <c r="J76" s="753"/>
      <c r="K76" s="753"/>
      <c r="L76" s="753"/>
      <c r="M76" s="753"/>
      <c r="N76" s="753"/>
      <c r="O76" s="753"/>
      <c r="P76" s="706"/>
      <c r="Q76" s="706"/>
      <c r="R76" s="706"/>
      <c r="S76" s="706"/>
      <c r="T76" s="706"/>
      <c r="U76" s="706"/>
      <c r="V76" s="706"/>
      <c r="Z76" s="833"/>
      <c r="AA76" s="833" t="str">
        <f>IF(AND(F77=G77,H77=I77,F77="A"),"2016 - kw","")</f>
        <v/>
      </c>
      <c r="AB76" s="833" t="str">
        <f>IF(OR(B76="2017 - kw",B76="2018 - kw"),"2016 - kw","")</f>
        <v/>
      </c>
      <c r="AC76" s="833"/>
      <c r="AD76" s="833"/>
      <c r="AE76" s="833"/>
    </row>
    <row r="77" spans="1:31" s="636" customFormat="1" hidden="1" x14ac:dyDescent="0.3">
      <c r="A77" s="706"/>
      <c r="B77" s="706"/>
      <c r="C77" s="614"/>
      <c r="D77" s="700"/>
      <c r="E77" s="701" t="s">
        <v>2120</v>
      </c>
      <c r="F77" s="752"/>
      <c r="G77" s="752"/>
      <c r="H77" s="752"/>
      <c r="I77" s="752"/>
      <c r="J77" s="752"/>
      <c r="K77" s="752"/>
      <c r="L77" s="752"/>
      <c r="M77" s="752"/>
      <c r="N77" s="752"/>
      <c r="O77" s="752"/>
      <c r="P77" s="706"/>
      <c r="Q77" s="706"/>
      <c r="R77" s="706"/>
      <c r="S77" s="706"/>
      <c r="T77" s="706"/>
      <c r="U77" s="706"/>
      <c r="V77" s="706"/>
      <c r="Z77" s="833"/>
      <c r="AA77" s="833"/>
      <c r="AB77" s="833"/>
      <c r="AC77" s="833"/>
      <c r="AD77" s="833"/>
      <c r="AE77" s="833"/>
    </row>
    <row r="78" spans="1:31" s="636" customFormat="1" hidden="1" x14ac:dyDescent="0.3">
      <c r="A78" s="706" t="str">
        <f>IF(AND(F80=G80,H80=I80,J80=K80,F80="A"),"2016 - kwh",IF(AND(F80=G80,H80=I80,J80&lt;&gt;K80,F80="A"),"2017 - kwh",IF(AND(F80=G80,H80&lt;&gt;I80,F80="A"),"2018 - kwh","N/A")))</f>
        <v>N/A</v>
      </c>
      <c r="B78" s="706" t="str">
        <f>IF(F80&lt;&gt;G80,"2018 - kwh",IF(H80&lt;&gt;I80,"2017 - kwh",IF(J80&lt;&gt;K80,"2016 - kwh","N/A")))</f>
        <v>N/A</v>
      </c>
      <c r="C78" s="610" t="s">
        <v>2154</v>
      </c>
      <c r="D78" s="754"/>
      <c r="E78" s="703" t="s">
        <v>154</v>
      </c>
      <c r="F78" s="753"/>
      <c r="G78" s="753"/>
      <c r="H78" s="753"/>
      <c r="I78" s="753"/>
      <c r="J78" s="753"/>
      <c r="K78" s="753"/>
      <c r="L78" s="753"/>
      <c r="M78" s="753"/>
      <c r="N78" s="753"/>
      <c r="O78" s="753"/>
      <c r="P78" s="706"/>
      <c r="Q78" s="706"/>
      <c r="R78" s="706"/>
      <c r="S78" s="706"/>
      <c r="T78" s="706"/>
      <c r="U78" s="706"/>
      <c r="V78" s="706"/>
      <c r="Z78" s="833"/>
      <c r="AA78" s="833" t="str">
        <f>IF(AND(F80=G80,H80=I80,F80="A"),"2016 - kwh","")</f>
        <v/>
      </c>
      <c r="AB78" s="833" t="str">
        <f>IF(OR(B78="2017 - kwh",B78="2018 - kwh"),"2016 - kwh","")</f>
        <v/>
      </c>
      <c r="AC78" s="833"/>
      <c r="AD78" s="833"/>
      <c r="AE78" s="833"/>
    </row>
    <row r="79" spans="1:31" s="636" customFormat="1" hidden="1" x14ac:dyDescent="0.3">
      <c r="A79" s="706" t="str">
        <f>IF(AND(F80=G80,H80=I80,J80=K80,F80="A"),"2016 - kw",IF(AND(F80=G80,H80=I80,J80&lt;&gt;K80,F80="A"),"2017 - kw",IF(AND(F80=G80,H80&lt;&gt;I80,F80="A"),"2018 - kw","N/A")))</f>
        <v>N/A</v>
      </c>
      <c r="B79" s="706" t="str">
        <f>IF(F80&lt;&gt;G80,"2018 - kw",IF(H80&lt;&gt;I80,"2017 - kw",IF(J80&lt;&gt;K80,"2016 - kw","N/A")))</f>
        <v>N/A</v>
      </c>
      <c r="C79" s="611"/>
      <c r="D79" s="646" t="str">
        <f>D78 &amp; "kW"</f>
        <v>kW</v>
      </c>
      <c r="E79" s="702" t="s">
        <v>155</v>
      </c>
      <c r="F79" s="753"/>
      <c r="G79" s="753"/>
      <c r="H79" s="753"/>
      <c r="I79" s="753"/>
      <c r="J79" s="753"/>
      <c r="K79" s="753"/>
      <c r="L79" s="753"/>
      <c r="M79" s="753"/>
      <c r="N79" s="753"/>
      <c r="O79" s="753"/>
      <c r="P79" s="706"/>
      <c r="Q79" s="706"/>
      <c r="R79" s="706"/>
      <c r="S79" s="706"/>
      <c r="T79" s="706"/>
      <c r="U79" s="706"/>
      <c r="V79" s="706"/>
      <c r="Z79" s="833"/>
      <c r="AA79" s="833" t="str">
        <f>IF(AND(F80=G80,H80=I80,F80="A"),"2016 - kw","")</f>
        <v/>
      </c>
      <c r="AB79" s="833" t="str">
        <f>IF(OR(B79="2017 - kw",B79="2018 - kw"),"2016 - kw","")</f>
        <v/>
      </c>
      <c r="AC79" s="833"/>
      <c r="AD79" s="833"/>
      <c r="AE79" s="833"/>
    </row>
    <row r="80" spans="1:31" s="636" customFormat="1" hidden="1" x14ac:dyDescent="0.3">
      <c r="A80" s="706"/>
      <c r="B80" s="706"/>
      <c r="C80" s="614"/>
      <c r="D80" s="700"/>
      <c r="E80" s="701" t="s">
        <v>2120</v>
      </c>
      <c r="F80" s="752"/>
      <c r="G80" s="752"/>
      <c r="H80" s="752"/>
      <c r="I80" s="752"/>
      <c r="J80" s="752"/>
      <c r="K80" s="752"/>
      <c r="L80" s="752"/>
      <c r="M80" s="752"/>
      <c r="N80" s="752"/>
      <c r="O80" s="752"/>
      <c r="P80" s="706"/>
      <c r="Q80" s="706"/>
      <c r="R80" s="706"/>
      <c r="S80" s="706"/>
      <c r="T80" s="706"/>
      <c r="U80" s="706"/>
      <c r="V80" s="706"/>
      <c r="Z80" s="833"/>
      <c r="AA80" s="833"/>
      <c r="AB80" s="833"/>
      <c r="AC80" s="833"/>
      <c r="AD80" s="833"/>
      <c r="AE80" s="833"/>
    </row>
    <row r="81" spans="1:31" s="636" customFormat="1" hidden="1" x14ac:dyDescent="0.3">
      <c r="A81" s="706" t="str">
        <f>IF(AND(F83=G83,H83=I83,J83=K83,F83="A"),"2016 - kwh",IF(AND(F83=G83,H83=I83,J83&lt;&gt;K83,F83="A"),"2017 - kwh",IF(AND(F83=G83,H83&lt;&gt;I83,F83="A"),"2018 - kwh","N/A")))</f>
        <v>N/A</v>
      </c>
      <c r="B81" s="706" t="str">
        <f>IF(F83&lt;&gt;G83,"2018 - kwh",IF(H83&lt;&gt;I83,"2017 - kwh",IF(J83&lt;&gt;K83,"2016 - kwh","N/A")))</f>
        <v>N/A</v>
      </c>
      <c r="C81" s="610" t="s">
        <v>2155</v>
      </c>
      <c r="D81" s="754"/>
      <c r="E81" s="703" t="s">
        <v>154</v>
      </c>
      <c r="F81" s="753"/>
      <c r="G81" s="753"/>
      <c r="H81" s="753"/>
      <c r="I81" s="753"/>
      <c r="J81" s="753"/>
      <c r="K81" s="753"/>
      <c r="L81" s="753"/>
      <c r="M81" s="753"/>
      <c r="N81" s="753"/>
      <c r="O81" s="753"/>
      <c r="P81" s="706"/>
      <c r="Q81" s="706"/>
      <c r="R81" s="706"/>
      <c r="S81" s="706"/>
      <c r="T81" s="706"/>
      <c r="U81" s="706"/>
      <c r="V81" s="706"/>
      <c r="Z81" s="833"/>
      <c r="AA81" s="833" t="str">
        <f>IF(AND(F83=G83,H83=I83,F83="A"),"2016 - kwh","")</f>
        <v/>
      </c>
      <c r="AB81" s="833" t="str">
        <f>IF(OR(B81="2017 - kwh",B81="2018 - kwh"),"2016 - kwh","")</f>
        <v/>
      </c>
      <c r="AC81" s="833"/>
      <c r="AD81" s="833"/>
      <c r="AE81" s="833"/>
    </row>
    <row r="82" spans="1:31" s="636" customFormat="1" hidden="1" x14ac:dyDescent="0.3">
      <c r="A82" s="706" t="str">
        <f>IF(AND(F83=G83,H83=I83,J83=K83,F83="A"),"2016 - kw",IF(AND(F83=G83,H83=I83,J83&lt;&gt;K83,F83="A"),"2017 - kw",IF(AND(F83=G83,H83&lt;&gt;I83,F83="A"),"2018 - kw","N/A")))</f>
        <v>N/A</v>
      </c>
      <c r="B82" s="706" t="str">
        <f>IF(F83&lt;&gt;G83,"2018 - kw",IF(H83&lt;&gt;I83,"2017 - kw",IF(J83&lt;&gt;K83,"2016 - kw","N/A")))</f>
        <v>N/A</v>
      </c>
      <c r="C82" s="611"/>
      <c r="D82" s="646" t="str">
        <f>D81 &amp; "kW"</f>
        <v>kW</v>
      </c>
      <c r="E82" s="702" t="s">
        <v>155</v>
      </c>
      <c r="F82" s="753"/>
      <c r="G82" s="753"/>
      <c r="H82" s="753"/>
      <c r="I82" s="753"/>
      <c r="J82" s="753"/>
      <c r="K82" s="753"/>
      <c r="L82" s="753"/>
      <c r="M82" s="753"/>
      <c r="N82" s="753"/>
      <c r="O82" s="753"/>
      <c r="P82" s="706"/>
      <c r="Q82" s="706"/>
      <c r="R82" s="706"/>
      <c r="S82" s="706"/>
      <c r="T82" s="706"/>
      <c r="U82" s="706"/>
      <c r="V82" s="706"/>
      <c r="Z82" s="833"/>
      <c r="AA82" s="833" t="str">
        <f>IF(AND(F83=G83,H83=I83,F83="A"),"2016 - kw","")</f>
        <v/>
      </c>
      <c r="AB82" s="833" t="str">
        <f>IF(OR(B82="2017 - kw",B82="2018 - kw"),"2016 - kw","")</f>
        <v/>
      </c>
      <c r="AC82" s="833"/>
      <c r="AD82" s="833"/>
      <c r="AE82" s="833"/>
    </row>
    <row r="83" spans="1:31" s="636" customFormat="1" hidden="1" x14ac:dyDescent="0.3">
      <c r="A83" s="706"/>
      <c r="B83" s="706"/>
      <c r="C83" s="614"/>
      <c r="D83" s="700"/>
      <c r="E83" s="701" t="s">
        <v>2120</v>
      </c>
      <c r="F83" s="752"/>
      <c r="G83" s="752"/>
      <c r="H83" s="752"/>
      <c r="I83" s="752"/>
      <c r="J83" s="752"/>
      <c r="K83" s="752"/>
      <c r="L83" s="752"/>
      <c r="M83" s="752"/>
      <c r="N83" s="752"/>
      <c r="O83" s="752"/>
      <c r="P83" s="706"/>
      <c r="Q83" s="706"/>
      <c r="R83" s="706"/>
      <c r="S83" s="706"/>
      <c r="T83" s="706"/>
      <c r="U83" s="706"/>
      <c r="V83" s="706"/>
      <c r="Z83" s="833"/>
      <c r="AA83" s="833"/>
      <c r="AB83" s="833"/>
      <c r="AC83" s="833"/>
      <c r="AD83" s="833"/>
      <c r="AE83" s="833"/>
    </row>
    <row r="84" spans="1:31" s="636" customFormat="1" hidden="1" x14ac:dyDescent="0.3">
      <c r="A84" s="706" t="str">
        <f>IF(AND(F86=G86,H86=I86,J86=K86,F86="A"),"2016 - kwh",IF(AND(F86=G86,H86=I86,J86&lt;&gt;K86,F86="A"),"2017 - kwh",IF(AND(F86=G86,H86&lt;&gt;I86,F86="A"),"2018 - kwh","N/A")))</f>
        <v>N/A</v>
      </c>
      <c r="B84" s="706" t="str">
        <f>IF(F86&lt;&gt;G86,"2018 - kwh",IF(H86&lt;&gt;I86,"2017 - kwh",IF(J86&lt;&gt;K86,"2016 - kwh","N/A")))</f>
        <v>N/A</v>
      </c>
      <c r="C84" s="610" t="s">
        <v>2156</v>
      </c>
      <c r="D84" s="754"/>
      <c r="E84" s="703" t="s">
        <v>154</v>
      </c>
      <c r="F84" s="753"/>
      <c r="G84" s="753"/>
      <c r="H84" s="753"/>
      <c r="I84" s="753"/>
      <c r="J84" s="753"/>
      <c r="K84" s="753"/>
      <c r="L84" s="753"/>
      <c r="M84" s="753"/>
      <c r="N84" s="753"/>
      <c r="O84" s="753"/>
      <c r="P84" s="706"/>
      <c r="Q84" s="706"/>
      <c r="R84" s="706"/>
      <c r="S84" s="706"/>
      <c r="T84" s="706"/>
      <c r="U84" s="706"/>
      <c r="V84" s="706"/>
      <c r="Z84" s="833"/>
      <c r="AA84" s="833" t="str">
        <f>IF(AND(F86=G86,H86=I86,F86="A"),"2016 - kwh","")</f>
        <v/>
      </c>
      <c r="AB84" s="833" t="str">
        <f>IF(OR(B84="2017 - kwh",B84="2018 - kwh"),"2016 - kwh","")</f>
        <v/>
      </c>
      <c r="AC84" s="833"/>
      <c r="AD84" s="833"/>
      <c r="AE84" s="833"/>
    </row>
    <row r="85" spans="1:31" s="636" customFormat="1" hidden="1" x14ac:dyDescent="0.3">
      <c r="A85" s="706" t="str">
        <f>IF(AND(F86=G86,H86=I86,J86=K86,F86="A"),"2016 - kw",IF(AND(F86=G86,H86=I86,J86&lt;&gt;K86,F86="A"),"2017 - kw",IF(AND(F86=G86,H86&lt;&gt;I86,F86="A"),"2018 - kw","N/A")))</f>
        <v>N/A</v>
      </c>
      <c r="B85" s="706" t="str">
        <f>IF(F86&lt;&gt;G86,"2018 - kw",IF(H86&lt;&gt;I86,"2017 - kw",IF(J86&lt;&gt;K86,"2016 - kw","N/A")))</f>
        <v>N/A</v>
      </c>
      <c r="C85" s="611"/>
      <c r="D85" s="646" t="str">
        <f>D84 &amp; "kW"</f>
        <v>kW</v>
      </c>
      <c r="E85" s="702" t="s">
        <v>155</v>
      </c>
      <c r="F85" s="753"/>
      <c r="G85" s="753"/>
      <c r="H85" s="753"/>
      <c r="I85" s="753"/>
      <c r="J85" s="753"/>
      <c r="K85" s="753"/>
      <c r="L85" s="753"/>
      <c r="M85" s="753"/>
      <c r="N85" s="753"/>
      <c r="O85" s="753"/>
      <c r="P85" s="706"/>
      <c r="Q85" s="706"/>
      <c r="R85" s="706"/>
      <c r="S85" s="706"/>
      <c r="T85" s="706"/>
      <c r="U85" s="706"/>
      <c r="V85" s="706"/>
      <c r="Z85" s="833"/>
      <c r="AA85" s="833" t="str">
        <f>IF(AND(F86=G86,H86=I86,F86="A"),"2016 - kw","")</f>
        <v/>
      </c>
      <c r="AB85" s="833" t="str">
        <f>IF(OR(B85="2017 - kw",B85="2018 - kw"),"2016 - kw","")</f>
        <v/>
      </c>
      <c r="AC85" s="833"/>
      <c r="AD85" s="833"/>
      <c r="AE85" s="833"/>
    </row>
    <row r="86" spans="1:31" s="636" customFormat="1" hidden="1" x14ac:dyDescent="0.3">
      <c r="A86" s="706"/>
      <c r="B86" s="706"/>
      <c r="C86" s="614"/>
      <c r="D86" s="700"/>
      <c r="E86" s="701" t="s">
        <v>2120</v>
      </c>
      <c r="F86" s="752"/>
      <c r="G86" s="752"/>
      <c r="H86" s="752"/>
      <c r="I86" s="752"/>
      <c r="J86" s="752"/>
      <c r="K86" s="752"/>
      <c r="L86" s="752"/>
      <c r="M86" s="752"/>
      <c r="N86" s="752"/>
      <c r="O86" s="752"/>
      <c r="P86" s="706"/>
      <c r="Q86" s="706"/>
      <c r="R86" s="706"/>
      <c r="S86" s="706"/>
      <c r="T86" s="706"/>
      <c r="U86" s="706"/>
      <c r="V86" s="706"/>
      <c r="Z86" s="833"/>
      <c r="AA86" s="833"/>
      <c r="AB86" s="833"/>
      <c r="AC86" s="833"/>
      <c r="AD86" s="833"/>
      <c r="AE86" s="833"/>
    </row>
    <row r="87" spans="1:31" s="636" customFormat="1" hidden="1" x14ac:dyDescent="0.3">
      <c r="A87" s="706" t="str">
        <f>IF(AND(F89=G89,H89=I89,J89=K89,F89="A"),"2016 - kwh",IF(AND(F89=G89,H89=I89,J89&lt;&gt;K89,F89="A"),"2017 - kwh",IF(AND(F89=G89,H89&lt;&gt;I89,F89="A"),"2018 - kwh","N/A")))</f>
        <v>N/A</v>
      </c>
      <c r="B87" s="706" t="str">
        <f>IF(F89&lt;&gt;G89,"2018 - kwh",IF(H89&lt;&gt;I89,"2017 - kwh",IF(J89&lt;&gt;K89,"2016 - kwh","N/A")))</f>
        <v>N/A</v>
      </c>
      <c r="C87" s="610" t="s">
        <v>2157</v>
      </c>
      <c r="D87" s="754"/>
      <c r="E87" s="703" t="s">
        <v>154</v>
      </c>
      <c r="F87" s="753"/>
      <c r="G87" s="753"/>
      <c r="H87" s="753"/>
      <c r="I87" s="753"/>
      <c r="J87" s="753"/>
      <c r="K87" s="753"/>
      <c r="L87" s="753"/>
      <c r="M87" s="753"/>
      <c r="N87" s="753"/>
      <c r="O87" s="753"/>
      <c r="P87" s="706"/>
      <c r="Q87" s="706"/>
      <c r="R87" s="706"/>
      <c r="S87" s="706"/>
      <c r="T87" s="706"/>
      <c r="U87" s="706"/>
      <c r="V87" s="706"/>
      <c r="Z87" s="833"/>
      <c r="AA87" s="833" t="str">
        <f>IF(AND(F89=G89,H89=I89,F89="A"),"2016 - kwh","")</f>
        <v/>
      </c>
      <c r="AB87" s="833" t="str">
        <f>IF(OR(B87="2017 - kwh",B87="2018 - kwh"),"2016 - kwh","")</f>
        <v/>
      </c>
      <c r="AC87" s="833"/>
      <c r="AD87" s="833"/>
      <c r="AE87" s="833"/>
    </row>
    <row r="88" spans="1:31" s="636" customFormat="1" hidden="1" x14ac:dyDescent="0.3">
      <c r="A88" s="706" t="str">
        <f>IF(AND(F89=G89,H89=I89,J89=K89,F89="A"),"2016 - kw",IF(AND(F89=G89,H89=I89,J89&lt;&gt;K89,F89="A"),"2017 - kw",IF(AND(F89=G89,H89&lt;&gt;I89,F89="A"),"2018 - kw","N/A")))</f>
        <v>N/A</v>
      </c>
      <c r="B88" s="706" t="str">
        <f>IF(F89&lt;&gt;G89,"2018 - kw",IF(H89&lt;&gt;I89,"2017 - kw",IF(J89&lt;&gt;K89,"2016 - kw","N/A")))</f>
        <v>N/A</v>
      </c>
      <c r="C88" s="611"/>
      <c r="D88" s="646" t="str">
        <f>D87 &amp; "kW"</f>
        <v>kW</v>
      </c>
      <c r="E88" s="702" t="s">
        <v>155</v>
      </c>
      <c r="F88" s="753"/>
      <c r="G88" s="753"/>
      <c r="H88" s="753"/>
      <c r="I88" s="753"/>
      <c r="J88" s="753"/>
      <c r="K88" s="753"/>
      <c r="L88" s="753"/>
      <c r="M88" s="753"/>
      <c r="N88" s="753"/>
      <c r="O88" s="753"/>
      <c r="P88" s="706"/>
      <c r="Q88" s="706"/>
      <c r="R88" s="706"/>
      <c r="S88" s="706"/>
      <c r="T88" s="706"/>
      <c r="U88" s="706"/>
      <c r="V88" s="706"/>
      <c r="Z88" s="833"/>
      <c r="AA88" s="833" t="str">
        <f>IF(AND(F89=G89,H89=I89,F89="A"),"2016 - kw","")</f>
        <v/>
      </c>
      <c r="AB88" s="833" t="str">
        <f>IF(OR(B88="2017 - kw",B88="2018 - kw"),"2016 - kw","")</f>
        <v/>
      </c>
      <c r="AC88" s="833"/>
      <c r="AD88" s="833"/>
      <c r="AE88" s="833"/>
    </row>
    <row r="89" spans="1:31" s="636" customFormat="1" hidden="1" x14ac:dyDescent="0.3">
      <c r="A89" s="706"/>
      <c r="B89" s="706"/>
      <c r="C89" s="614"/>
      <c r="D89" s="700"/>
      <c r="E89" s="701" t="s">
        <v>2120</v>
      </c>
      <c r="F89" s="752"/>
      <c r="G89" s="752"/>
      <c r="H89" s="752"/>
      <c r="I89" s="752"/>
      <c r="J89" s="752"/>
      <c r="K89" s="752"/>
      <c r="L89" s="752"/>
      <c r="M89" s="752"/>
      <c r="N89" s="752"/>
      <c r="O89" s="752"/>
      <c r="P89" s="706"/>
      <c r="Q89" s="706"/>
      <c r="R89" s="706"/>
      <c r="S89" s="706"/>
      <c r="T89" s="706"/>
      <c r="U89" s="706"/>
      <c r="V89" s="706"/>
      <c r="Z89" s="833"/>
      <c r="AA89" s="833"/>
      <c r="AB89" s="833"/>
      <c r="AC89" s="833"/>
      <c r="AD89" s="833"/>
      <c r="AE89" s="833"/>
    </row>
    <row r="90" spans="1:31" s="636" customFormat="1" hidden="1" x14ac:dyDescent="0.3">
      <c r="A90" s="706" t="str">
        <f>IF(AND(F92=G92,H92=I92,J92=K92,F92="A"),"2016 - kwh",IF(AND(F92=G92,H92=I92,J92&lt;&gt;K92,F92="A"),"2017 - kwh",IF(AND(F92=G92,H92&lt;&gt;I92,F92="A"),"2018 - kwh","N/A")))</f>
        <v>N/A</v>
      </c>
      <c r="B90" s="706" t="str">
        <f>IF(F92&lt;&gt;G92,"2018 - kwh",IF(H92&lt;&gt;I92,"2017 - kwh",IF(J92&lt;&gt;K92,"2016 - kwh","N/A")))</f>
        <v>N/A</v>
      </c>
      <c r="C90" s="610" t="s">
        <v>2158</v>
      </c>
      <c r="D90" s="754"/>
      <c r="E90" s="703" t="s">
        <v>154</v>
      </c>
      <c r="F90" s="753"/>
      <c r="G90" s="753"/>
      <c r="H90" s="753"/>
      <c r="I90" s="753"/>
      <c r="J90" s="753"/>
      <c r="K90" s="753"/>
      <c r="L90" s="753"/>
      <c r="M90" s="753"/>
      <c r="N90" s="753"/>
      <c r="O90" s="753"/>
      <c r="P90" s="706"/>
      <c r="Q90" s="706"/>
      <c r="R90" s="706"/>
      <c r="S90" s="706"/>
      <c r="T90" s="706"/>
      <c r="U90" s="706"/>
      <c r="V90" s="706"/>
      <c r="Z90" s="833"/>
      <c r="AA90" s="833" t="str">
        <f>IF(AND(F92=G92,H92=I92,F92="A"),"2016 - kwh","")</f>
        <v/>
      </c>
      <c r="AB90" s="833" t="str">
        <f>IF(OR(B90="2017 - kwh",B90="2018 - kwh"),"2016 - kwh","")</f>
        <v/>
      </c>
      <c r="AC90" s="833"/>
      <c r="AD90" s="833"/>
      <c r="AE90" s="833"/>
    </row>
    <row r="91" spans="1:31" s="636" customFormat="1" hidden="1" x14ac:dyDescent="0.3">
      <c r="A91" s="706" t="str">
        <f>IF(AND(F92=G92,H92=I92,J92=K92,F92="A"),"2016 - kw",IF(AND(F92=G92,H92=I92,J92&lt;&gt;K92,F92="A"),"2017 - kw",IF(AND(F92=G92,H92&lt;&gt;I92,F92="A"),"2018 - kw","N/A")))</f>
        <v>N/A</v>
      </c>
      <c r="B91" s="706" t="str">
        <f>IF(F92&lt;&gt;G92,"2018 - kw",IF(H92&lt;&gt;I92,"2017 - kw",IF(J92&lt;&gt;K92,"2016 - kw","N/A")))</f>
        <v>N/A</v>
      </c>
      <c r="C91" s="611"/>
      <c r="D91" s="646" t="str">
        <f>D90 &amp; "kW"</f>
        <v>kW</v>
      </c>
      <c r="E91" s="702" t="s">
        <v>155</v>
      </c>
      <c r="F91" s="753"/>
      <c r="G91" s="753"/>
      <c r="H91" s="753"/>
      <c r="I91" s="753"/>
      <c r="J91" s="753"/>
      <c r="K91" s="753"/>
      <c r="L91" s="753"/>
      <c r="M91" s="753"/>
      <c r="N91" s="753"/>
      <c r="O91" s="753"/>
      <c r="P91" s="706"/>
      <c r="Q91" s="706"/>
      <c r="R91" s="706"/>
      <c r="S91" s="706"/>
      <c r="T91" s="706"/>
      <c r="U91" s="706"/>
      <c r="V91" s="706"/>
      <c r="Z91" s="833"/>
      <c r="AA91" s="833" t="str">
        <f>IF(AND(F92=G92,H92=I92,F92="A"),"2016 - kw","")</f>
        <v/>
      </c>
      <c r="AB91" s="833" t="str">
        <f>IF(OR(B91="2017 - kw",B91="2018 - kw"),"2016 - kw","")</f>
        <v/>
      </c>
      <c r="AC91" s="833"/>
      <c r="AD91" s="833"/>
      <c r="AE91" s="833"/>
    </row>
    <row r="92" spans="1:31" s="636" customFormat="1" hidden="1" x14ac:dyDescent="0.3">
      <c r="A92" s="706"/>
      <c r="B92" s="706"/>
      <c r="C92" s="614"/>
      <c r="D92" s="700"/>
      <c r="E92" s="701" t="s">
        <v>2120</v>
      </c>
      <c r="F92" s="752"/>
      <c r="G92" s="752"/>
      <c r="H92" s="752"/>
      <c r="I92" s="752"/>
      <c r="J92" s="752"/>
      <c r="K92" s="752"/>
      <c r="L92" s="752"/>
      <c r="M92" s="752"/>
      <c r="N92" s="752"/>
      <c r="O92" s="752"/>
      <c r="P92" s="706"/>
      <c r="Q92" s="706"/>
      <c r="R92" s="706"/>
      <c r="S92" s="706"/>
      <c r="T92" s="706"/>
      <c r="U92" s="706"/>
      <c r="V92" s="706"/>
      <c r="Z92" s="833"/>
      <c r="AA92" s="833"/>
      <c r="AB92" s="833"/>
      <c r="AC92" s="833"/>
      <c r="AD92" s="833"/>
      <c r="AE92" s="833"/>
    </row>
    <row r="93" spans="1:31" s="636" customFormat="1" hidden="1" x14ac:dyDescent="0.3">
      <c r="A93" s="706" t="str">
        <f>IF(AND(F95=G95,H95=I95,J95=K95,F95="A"),"2016 - kwh",IF(AND(F95=G95,H95=I95,J95&lt;&gt;K95,F95="A"),"2017 - kwh",IF(AND(F95=G95,H95&lt;&gt;I95,F95="A"),"2018 - kwh","N/A")))</f>
        <v>N/A</v>
      </c>
      <c r="B93" s="706" t="str">
        <f>IF(F95&lt;&gt;G95,"2018 - kwh",IF(H95&lt;&gt;I95,"2017 - kwh",IF(J95&lt;&gt;K95,"2016 - kwh","N/A")))</f>
        <v>N/A</v>
      </c>
      <c r="C93" s="610" t="s">
        <v>2159</v>
      </c>
      <c r="D93" s="754"/>
      <c r="E93" s="703" t="s">
        <v>154</v>
      </c>
      <c r="F93" s="753"/>
      <c r="G93" s="753"/>
      <c r="H93" s="753"/>
      <c r="I93" s="753"/>
      <c r="J93" s="753"/>
      <c r="K93" s="753"/>
      <c r="L93" s="753"/>
      <c r="M93" s="753"/>
      <c r="N93" s="753"/>
      <c r="O93" s="753"/>
      <c r="P93" s="706"/>
      <c r="Q93" s="706"/>
      <c r="R93" s="706"/>
      <c r="S93" s="706"/>
      <c r="T93" s="706"/>
      <c r="U93" s="706"/>
      <c r="V93" s="706"/>
      <c r="Z93" s="833"/>
      <c r="AA93" s="833" t="str">
        <f>IF(AND(F95=G95,H95=I95,F95="A"),"2016 - kwh","")</f>
        <v/>
      </c>
      <c r="AB93" s="833" t="str">
        <f>IF(OR(B93="2017 - kwh",B93="2018 - kwh"),"2016 - kwh","")</f>
        <v/>
      </c>
      <c r="AC93" s="833"/>
      <c r="AD93" s="833"/>
      <c r="AE93" s="833"/>
    </row>
    <row r="94" spans="1:31" s="636" customFormat="1" hidden="1" x14ac:dyDescent="0.3">
      <c r="A94" s="706" t="str">
        <f>IF(AND(F95=G95,H95=I95,J95=K95,F95="A"),"2016 - kw",IF(AND(F95=G95,H95=I95,J95&lt;&gt;K95,F95="A"),"2017 - kw",IF(AND(F95=G95,H95&lt;&gt;I95,F95="A"),"2018 - kw","N/A")))</f>
        <v>N/A</v>
      </c>
      <c r="B94" s="706" t="str">
        <f>IF(F95&lt;&gt;G95,"2018 - kw",IF(H95&lt;&gt;I95,"2017 - kw",IF(J95&lt;&gt;K95,"2016 - kw","N/A")))</f>
        <v>N/A</v>
      </c>
      <c r="C94" s="611"/>
      <c r="D94" s="646" t="str">
        <f>D93 &amp; "kW"</f>
        <v>kW</v>
      </c>
      <c r="E94" s="702" t="s">
        <v>155</v>
      </c>
      <c r="F94" s="753"/>
      <c r="G94" s="753"/>
      <c r="H94" s="753"/>
      <c r="I94" s="753"/>
      <c r="J94" s="753"/>
      <c r="K94" s="753"/>
      <c r="L94" s="753"/>
      <c r="M94" s="753"/>
      <c r="N94" s="753"/>
      <c r="O94" s="753"/>
      <c r="P94" s="706"/>
      <c r="Q94" s="706"/>
      <c r="R94" s="706"/>
      <c r="S94" s="706"/>
      <c r="T94" s="706"/>
      <c r="U94" s="706"/>
      <c r="V94" s="706"/>
      <c r="Z94" s="833"/>
      <c r="AA94" s="833" t="str">
        <f>IF(AND(F95=G95,H95=I95,F95="A"),"2016 - kw","")</f>
        <v/>
      </c>
      <c r="AB94" s="833" t="str">
        <f>IF(OR(B94="2017 - kw",B94="2018 - kw"),"2016 - kw","")</f>
        <v/>
      </c>
      <c r="AC94" s="833"/>
      <c r="AD94" s="833"/>
      <c r="AE94" s="833"/>
    </row>
    <row r="95" spans="1:31" s="636" customFormat="1" hidden="1" x14ac:dyDescent="0.3">
      <c r="A95" s="706"/>
      <c r="B95" s="706"/>
      <c r="C95" s="614"/>
      <c r="D95" s="700"/>
      <c r="E95" s="701" t="s">
        <v>2120</v>
      </c>
      <c r="F95" s="752"/>
      <c r="G95" s="752"/>
      <c r="H95" s="752"/>
      <c r="I95" s="752"/>
      <c r="J95" s="752"/>
      <c r="K95" s="752"/>
      <c r="L95" s="752"/>
      <c r="M95" s="752"/>
      <c r="N95" s="752"/>
      <c r="O95" s="752"/>
      <c r="P95" s="706"/>
      <c r="Q95" s="706"/>
      <c r="R95" s="706"/>
      <c r="S95" s="706"/>
      <c r="T95" s="706"/>
      <c r="U95" s="706"/>
      <c r="V95" s="706"/>
      <c r="Z95" s="833"/>
      <c r="AA95" s="833"/>
      <c r="AB95" s="833"/>
      <c r="AC95" s="833"/>
      <c r="AD95" s="833"/>
      <c r="AE95" s="833"/>
    </row>
    <row r="96" spans="1:31" s="636" customFormat="1" hidden="1" x14ac:dyDescent="0.3">
      <c r="A96" s="706" t="str">
        <f>IF(AND(F98=G98,H98=I98,J98=K98,F98="A"),"2016 - kwh",IF(AND(F98=G98,H98=I98,J98&lt;&gt;K98,F98="A"),"2017 - kwh",IF(AND(F98=G98,H98&lt;&gt;I98,F98="A"),"2018 - kwh","N/A")))</f>
        <v>N/A</v>
      </c>
      <c r="B96" s="706" t="str">
        <f>IF(F98&lt;&gt;G98,"2018 - kwh",IF(H98&lt;&gt;I98,"2017 - kwh",IF(J98&lt;&gt;K98,"2016 - kwh","N/A")))</f>
        <v>N/A</v>
      </c>
      <c r="C96" s="610" t="s">
        <v>2160</v>
      </c>
      <c r="D96" s="754"/>
      <c r="E96" s="703" t="s">
        <v>154</v>
      </c>
      <c r="F96" s="753"/>
      <c r="G96" s="753"/>
      <c r="H96" s="753"/>
      <c r="I96" s="753"/>
      <c r="J96" s="753"/>
      <c r="K96" s="753"/>
      <c r="L96" s="753"/>
      <c r="M96" s="753"/>
      <c r="N96" s="753"/>
      <c r="O96" s="753"/>
      <c r="P96" s="706"/>
      <c r="Q96" s="706"/>
      <c r="R96" s="706"/>
      <c r="S96" s="706"/>
      <c r="T96" s="706"/>
      <c r="U96" s="706"/>
      <c r="V96" s="706"/>
      <c r="Z96" s="833"/>
      <c r="AA96" s="833" t="str">
        <f>IF(AND(F98=G98,H98=I98,F98="A"),"2016 - kwh","")</f>
        <v/>
      </c>
      <c r="AB96" s="833" t="str">
        <f>IF(OR(B96="2017 - kwh",B96="2018 - kwh"),"2016 - kwh","")</f>
        <v/>
      </c>
      <c r="AC96" s="833"/>
      <c r="AD96" s="833"/>
      <c r="AE96" s="833"/>
    </row>
    <row r="97" spans="1:31" s="636" customFormat="1" hidden="1" x14ac:dyDescent="0.3">
      <c r="A97" s="706" t="str">
        <f>IF(AND(F98=G98,H98=I98,J98=K98,F98="A"),"2016 - kw",IF(AND(F98=G98,H98=I98,J98&lt;&gt;K98,F98="A"),"2017 - kw",IF(AND(F98=G98,H98&lt;&gt;I98,F98="A"),"2018 - kw","N/A")))</f>
        <v>N/A</v>
      </c>
      <c r="B97" s="706" t="str">
        <f>IF(F98&lt;&gt;G98,"2018 - kw",IF(H98&lt;&gt;I98,"2017 - kw",IF(J98&lt;&gt;K98,"2016 - kw","N/A")))</f>
        <v>N/A</v>
      </c>
      <c r="C97" s="611"/>
      <c r="D97" s="646" t="str">
        <f>D96 &amp; "kW"</f>
        <v>kW</v>
      </c>
      <c r="E97" s="702" t="s">
        <v>155</v>
      </c>
      <c r="F97" s="753"/>
      <c r="G97" s="753"/>
      <c r="H97" s="753"/>
      <c r="I97" s="753"/>
      <c r="J97" s="753"/>
      <c r="K97" s="753"/>
      <c r="L97" s="753"/>
      <c r="M97" s="753"/>
      <c r="N97" s="753"/>
      <c r="O97" s="753"/>
      <c r="P97" s="706"/>
      <c r="Q97" s="706"/>
      <c r="R97" s="706"/>
      <c r="S97" s="706"/>
      <c r="T97" s="706"/>
      <c r="U97" s="706"/>
      <c r="V97" s="706"/>
      <c r="Z97" s="833"/>
      <c r="AA97" s="833" t="str">
        <f>IF(AND(F98=G98,H98=I98,F98="A"),"2016 - kw","")</f>
        <v/>
      </c>
      <c r="AB97" s="833" t="str">
        <f>IF(OR(B97="2017 - kw",B97="2018 - kw"),"2016 - kw","")</f>
        <v/>
      </c>
      <c r="AC97" s="833"/>
      <c r="AD97" s="833"/>
      <c r="AE97" s="833"/>
    </row>
    <row r="98" spans="1:31" s="636" customFormat="1" hidden="1" x14ac:dyDescent="0.3">
      <c r="A98" s="706"/>
      <c r="B98" s="706"/>
      <c r="C98" s="614"/>
      <c r="D98" s="700"/>
      <c r="E98" s="701" t="s">
        <v>2120</v>
      </c>
      <c r="F98" s="752"/>
      <c r="G98" s="752"/>
      <c r="H98" s="752"/>
      <c r="I98" s="752"/>
      <c r="J98" s="752"/>
      <c r="K98" s="752"/>
      <c r="L98" s="752"/>
      <c r="M98" s="752"/>
      <c r="N98" s="752"/>
      <c r="O98" s="752"/>
      <c r="P98" s="706"/>
      <c r="Q98" s="706"/>
      <c r="R98" s="706"/>
      <c r="S98" s="706"/>
      <c r="T98" s="706"/>
      <c r="U98" s="706"/>
      <c r="V98" s="706"/>
      <c r="Z98" s="833"/>
      <c r="AA98" s="833"/>
      <c r="AB98" s="833"/>
      <c r="AC98" s="833"/>
      <c r="AD98" s="833"/>
      <c r="AE98" s="833"/>
    </row>
    <row r="99" spans="1:31" s="636" customFormat="1" hidden="1" x14ac:dyDescent="0.3">
      <c r="A99" s="706" t="str">
        <f>IF(AND(F101=G101,H101=I101,J101=K101,F101="A"),"2016 - kwh",IF(AND(F101=G101,H101=I101,J101&lt;&gt;K101,F101="A"),"2017 - kwh",IF(AND(F101=G101,H101&lt;&gt;I101,F101="A"),"2018 - kwh","N/A")))</f>
        <v>N/A</v>
      </c>
      <c r="B99" s="706" t="str">
        <f>IF(F101&lt;&gt;G101,"2018 - kwh",IF(H101&lt;&gt;I101,"2017 - kwh",IF(J101&lt;&gt;K101,"2016 - kwh","N/A")))</f>
        <v>N/A</v>
      </c>
      <c r="C99" s="610" t="s">
        <v>2161</v>
      </c>
      <c r="D99" s="754"/>
      <c r="E99" s="703" t="s">
        <v>154</v>
      </c>
      <c r="F99" s="753"/>
      <c r="G99" s="753"/>
      <c r="H99" s="753"/>
      <c r="I99" s="753"/>
      <c r="J99" s="753"/>
      <c r="K99" s="753"/>
      <c r="L99" s="753"/>
      <c r="M99" s="753"/>
      <c r="N99" s="753"/>
      <c r="O99" s="753"/>
      <c r="P99" s="706"/>
      <c r="Q99" s="706"/>
      <c r="R99" s="706"/>
      <c r="S99" s="706"/>
      <c r="T99" s="706"/>
      <c r="U99" s="706"/>
      <c r="V99" s="706"/>
      <c r="Z99" s="833"/>
      <c r="AA99" s="833" t="str">
        <f>IF(AND(F101=G101,H101=I101,F101="A"),"2016 - kwh","")</f>
        <v/>
      </c>
      <c r="AB99" s="833" t="str">
        <f>IF(OR(B99="2017 - kwh",B99="2018 - kwh"),"2016 - kwh","")</f>
        <v/>
      </c>
      <c r="AC99" s="833"/>
      <c r="AD99" s="833"/>
      <c r="AE99" s="833"/>
    </row>
    <row r="100" spans="1:31" s="636" customFormat="1" hidden="1" x14ac:dyDescent="0.3">
      <c r="A100" s="706" t="str">
        <f>IF(AND(F101=G101,H101=I101,J101=K101,F101="A"),"2016 - kw",IF(AND(F101=G101,H101=I101,J101&lt;&gt;K101,F101="A"),"2017 - kw",IF(AND(F101=G101,H101&lt;&gt;I101,F101="A"),"2018 - kw","N/A")))</f>
        <v>N/A</v>
      </c>
      <c r="B100" s="706" t="str">
        <f>IF(F101&lt;&gt;G101,"2018 - kw",IF(H101&lt;&gt;I101,"2017 - kw",IF(J101&lt;&gt;K101,"2016 - kw","N/A")))</f>
        <v>N/A</v>
      </c>
      <c r="C100" s="611"/>
      <c r="D100" s="646" t="str">
        <f>D99 &amp; "kW"</f>
        <v>kW</v>
      </c>
      <c r="E100" s="702" t="s">
        <v>155</v>
      </c>
      <c r="F100" s="753"/>
      <c r="G100" s="753"/>
      <c r="H100" s="753"/>
      <c r="I100" s="753"/>
      <c r="J100" s="753"/>
      <c r="K100" s="753"/>
      <c r="L100" s="753"/>
      <c r="M100" s="753"/>
      <c r="N100" s="753"/>
      <c r="O100" s="753"/>
      <c r="P100" s="706"/>
      <c r="Q100" s="706"/>
      <c r="R100" s="706"/>
      <c r="S100" s="706"/>
      <c r="T100" s="706"/>
      <c r="U100" s="706"/>
      <c r="V100" s="706"/>
      <c r="Z100" s="833"/>
      <c r="AA100" s="833" t="str">
        <f>IF(AND(F101=G101,H101=I101,F101="A"),"2016 - kw","")</f>
        <v/>
      </c>
      <c r="AB100" s="833" t="str">
        <f>IF(OR(B100="2017 - kw",B100="2018 - kw"),"2016 - kw","")</f>
        <v/>
      </c>
      <c r="AC100" s="833"/>
      <c r="AD100" s="833"/>
      <c r="AE100" s="833"/>
    </row>
    <row r="101" spans="1:31" s="636" customFormat="1" hidden="1" x14ac:dyDescent="0.3">
      <c r="A101" s="706"/>
      <c r="B101" s="706"/>
      <c r="C101" s="614"/>
      <c r="D101" s="700"/>
      <c r="E101" s="701" t="s">
        <v>2120</v>
      </c>
      <c r="F101" s="752"/>
      <c r="G101" s="752"/>
      <c r="H101" s="752"/>
      <c r="I101" s="752"/>
      <c r="J101" s="752"/>
      <c r="K101" s="752"/>
      <c r="L101" s="752"/>
      <c r="M101" s="752"/>
      <c r="N101" s="752"/>
      <c r="O101" s="752"/>
      <c r="P101" s="706"/>
      <c r="Q101" s="706"/>
      <c r="R101" s="706"/>
      <c r="S101" s="706"/>
      <c r="T101" s="706"/>
      <c r="U101" s="706"/>
      <c r="V101" s="706"/>
      <c r="Z101" s="833"/>
      <c r="AA101" s="833"/>
      <c r="AB101" s="833"/>
      <c r="AC101" s="833"/>
      <c r="AD101" s="833"/>
      <c r="AE101" s="833"/>
    </row>
    <row r="102" spans="1:31" s="636" customFormat="1" hidden="1" x14ac:dyDescent="0.3">
      <c r="A102" s="706" t="str">
        <f>IF(AND(F104=G104,H104=I104,J104=K104,F104="A"),"2016 - kwh",IF(AND(F104=G104,H104=I104,J104&lt;&gt;K104,F104="A"),"2017 - kwh",IF(AND(F104=G104,H104&lt;&gt;I104,F104="A"),"2018 - kwh","N/A")))</f>
        <v>N/A</v>
      </c>
      <c r="B102" s="706" t="str">
        <f>IF(F104&lt;&gt;G104,"2018 - kwh",IF(H104&lt;&gt;I104,"2017 - kwh",IF(J104&lt;&gt;K104,"2016 - kwh","N/A")))</f>
        <v>N/A</v>
      </c>
      <c r="C102" s="610" t="s">
        <v>2162</v>
      </c>
      <c r="D102" s="754"/>
      <c r="E102" s="703" t="s">
        <v>154</v>
      </c>
      <c r="F102" s="753"/>
      <c r="G102" s="753"/>
      <c r="H102" s="753"/>
      <c r="I102" s="753"/>
      <c r="J102" s="753"/>
      <c r="K102" s="753"/>
      <c r="L102" s="753"/>
      <c r="M102" s="753"/>
      <c r="N102" s="753"/>
      <c r="O102" s="753"/>
      <c r="P102" s="706"/>
      <c r="Q102" s="706"/>
      <c r="R102" s="706"/>
      <c r="S102" s="706"/>
      <c r="T102" s="706"/>
      <c r="U102" s="706"/>
      <c r="V102" s="706"/>
      <c r="Z102" s="833"/>
      <c r="AA102" s="833" t="str">
        <f>IF(AND(F104=G104,H104=I104,F104="A"),"2016 - kwh","")</f>
        <v/>
      </c>
      <c r="AB102" s="833" t="str">
        <f>IF(OR(B102="2017 - kwh",B102="2018 - kwh"),"2016 - kwh","")</f>
        <v/>
      </c>
      <c r="AC102" s="833"/>
      <c r="AD102" s="833"/>
      <c r="AE102" s="833"/>
    </row>
    <row r="103" spans="1:31" s="636" customFormat="1" hidden="1" x14ac:dyDescent="0.3">
      <c r="A103" s="706" t="str">
        <f>IF(AND(F104=G104,H104=I104,J104=K104,F104="A"),"2016 - kw",IF(AND(F104=G104,H104=I104,J104&lt;&gt;K104,F104="A"),"2017 - kw",IF(AND(F104=G104,H104&lt;&gt;I104,F104="A"),"2018 - kw","N/A")))</f>
        <v>N/A</v>
      </c>
      <c r="B103" s="706" t="str">
        <f>IF(F104&lt;&gt;G104,"2018 - kw",IF(H104&lt;&gt;I104,"2017 - kw",IF(J104&lt;&gt;K104,"2016 - kw","N/A")))</f>
        <v>N/A</v>
      </c>
      <c r="C103" s="611"/>
      <c r="D103" s="646" t="str">
        <f>D102 &amp; "kW"</f>
        <v>kW</v>
      </c>
      <c r="E103" s="702" t="s">
        <v>155</v>
      </c>
      <c r="F103" s="753"/>
      <c r="G103" s="753"/>
      <c r="H103" s="753"/>
      <c r="I103" s="753"/>
      <c r="J103" s="753"/>
      <c r="K103" s="753"/>
      <c r="L103" s="753"/>
      <c r="M103" s="753"/>
      <c r="N103" s="753"/>
      <c r="O103" s="753"/>
      <c r="P103" s="706"/>
      <c r="Q103" s="706"/>
      <c r="R103" s="706"/>
      <c r="S103" s="706"/>
      <c r="T103" s="706"/>
      <c r="U103" s="706"/>
      <c r="V103" s="706"/>
      <c r="Z103" s="833"/>
      <c r="AA103" s="833" t="str">
        <f>IF(AND(F104=G104,H104=I104,F104="A"),"2016 - kw","")</f>
        <v/>
      </c>
      <c r="AB103" s="833" t="str">
        <f>IF(OR(B103="2017 - kw",B103="2018 - kw"),"2016 - kw","")</f>
        <v/>
      </c>
      <c r="AC103" s="833"/>
      <c r="AD103" s="833"/>
      <c r="AE103" s="833"/>
    </row>
    <row r="104" spans="1:31" s="636" customFormat="1" hidden="1" x14ac:dyDescent="0.3">
      <c r="A104" s="706"/>
      <c r="B104" s="706"/>
      <c r="C104" s="614"/>
      <c r="D104" s="700"/>
      <c r="E104" s="701" t="s">
        <v>2120</v>
      </c>
      <c r="F104" s="752"/>
      <c r="G104" s="752"/>
      <c r="H104" s="752"/>
      <c r="I104" s="752"/>
      <c r="J104" s="752"/>
      <c r="K104" s="752"/>
      <c r="L104" s="752"/>
      <c r="M104" s="752"/>
      <c r="N104" s="752"/>
      <c r="O104" s="752"/>
      <c r="P104" s="706"/>
      <c r="Q104" s="706"/>
      <c r="R104" s="706"/>
      <c r="S104" s="706"/>
      <c r="T104" s="706"/>
      <c r="U104" s="706"/>
      <c r="V104" s="706"/>
      <c r="Z104" s="833"/>
      <c r="AA104" s="833"/>
      <c r="AB104" s="833"/>
      <c r="AC104" s="833"/>
      <c r="AD104" s="833"/>
      <c r="AE104" s="833"/>
    </row>
    <row r="105" spans="1:31" s="636" customFormat="1" hidden="1" x14ac:dyDescent="0.3">
      <c r="A105" s="706" t="str">
        <f>IF(AND(F107=G107,H107=I107,J107=K107,F107="A"),"2016 - kwh",IF(AND(F107=G107,H107=I107,J107&lt;&gt;K107,F107="A"),"2017 - kwh",IF(AND(F107=G107,H107&lt;&gt;I107,F107="A"),"2018 - kwh","N/A")))</f>
        <v>N/A</v>
      </c>
      <c r="B105" s="706" t="str">
        <f>IF(F107&lt;&gt;G107,"2018 - kwh",IF(H107&lt;&gt;I107,"2017 - kwh",IF(J107&lt;&gt;K107,"2016 - kwh","N/A")))</f>
        <v>N/A</v>
      </c>
      <c r="C105" s="610" t="s">
        <v>2163</v>
      </c>
      <c r="D105" s="754"/>
      <c r="E105" s="703" t="s">
        <v>154</v>
      </c>
      <c r="F105" s="753"/>
      <c r="G105" s="753"/>
      <c r="H105" s="753"/>
      <c r="I105" s="753"/>
      <c r="J105" s="753"/>
      <c r="K105" s="753"/>
      <c r="L105" s="753"/>
      <c r="M105" s="753"/>
      <c r="N105" s="753"/>
      <c r="O105" s="753"/>
      <c r="P105" s="706"/>
      <c r="Q105" s="706"/>
      <c r="R105" s="706"/>
      <c r="S105" s="706"/>
      <c r="T105" s="706"/>
      <c r="U105" s="706"/>
      <c r="V105" s="706"/>
      <c r="Z105" s="833"/>
      <c r="AA105" s="833" t="str">
        <f>IF(AND(F107=G107,H107=I107,F107="A"),"2016 - kwh","")</f>
        <v/>
      </c>
      <c r="AB105" s="833" t="str">
        <f>IF(OR(B105="2017 - kwh",B105="2018 - kwh"),"2016 - kwh","")</f>
        <v/>
      </c>
      <c r="AC105" s="833"/>
      <c r="AD105" s="833"/>
      <c r="AE105" s="833"/>
    </row>
    <row r="106" spans="1:31" s="636" customFormat="1" hidden="1" x14ac:dyDescent="0.3">
      <c r="A106" s="706" t="str">
        <f>IF(AND(F107=G107,H107=I107,J107=K107,F107="A"),"2016 - kw",IF(AND(F107=G107,H107=I107,J107&lt;&gt;K107,F107="A"),"2017 - kw",IF(AND(F107=G107,H107&lt;&gt;I107,F107="A"),"2018 - kw","N/A")))</f>
        <v>N/A</v>
      </c>
      <c r="B106" s="706" t="str">
        <f>IF(F107&lt;&gt;G107,"2018 - kw",IF(H107&lt;&gt;I107,"2017 - kw",IF(J107&lt;&gt;K107,"2016 - kw","N/A")))</f>
        <v>N/A</v>
      </c>
      <c r="C106" s="611"/>
      <c r="D106" s="646" t="str">
        <f>D105 &amp; "kW"</f>
        <v>kW</v>
      </c>
      <c r="E106" s="702" t="s">
        <v>155</v>
      </c>
      <c r="F106" s="753"/>
      <c r="G106" s="753"/>
      <c r="H106" s="753"/>
      <c r="I106" s="753"/>
      <c r="J106" s="753"/>
      <c r="K106" s="753"/>
      <c r="L106" s="753"/>
      <c r="M106" s="753"/>
      <c r="N106" s="753"/>
      <c r="O106" s="753"/>
      <c r="P106" s="706"/>
      <c r="Q106" s="706"/>
      <c r="R106" s="706"/>
      <c r="S106" s="706"/>
      <c r="T106" s="706"/>
      <c r="U106" s="706"/>
      <c r="V106" s="706"/>
      <c r="Z106" s="833"/>
      <c r="AA106" s="833" t="str">
        <f>IF(AND(F107=G107,H107=I107,F107="A"),"2016 - kw","")</f>
        <v/>
      </c>
      <c r="AB106" s="833" t="str">
        <f>IF(OR(B106="2017 - kw",B106="2018 - kw"),"2016 - kw","")</f>
        <v/>
      </c>
      <c r="AC106" s="833"/>
      <c r="AD106" s="833"/>
      <c r="AE106" s="833"/>
    </row>
    <row r="107" spans="1:31" s="636" customFormat="1" hidden="1" x14ac:dyDescent="0.3">
      <c r="A107" s="706"/>
      <c r="B107" s="706"/>
      <c r="C107" s="614"/>
      <c r="D107" s="700"/>
      <c r="E107" s="701" t="s">
        <v>2120</v>
      </c>
      <c r="F107" s="752"/>
      <c r="G107" s="752"/>
      <c r="H107" s="752"/>
      <c r="I107" s="752"/>
      <c r="J107" s="752"/>
      <c r="K107" s="752"/>
      <c r="L107" s="752"/>
      <c r="M107" s="752"/>
      <c r="N107" s="752"/>
      <c r="O107" s="752"/>
      <c r="P107" s="706"/>
      <c r="Q107" s="706"/>
      <c r="R107" s="706"/>
      <c r="S107" s="706"/>
      <c r="T107" s="706"/>
      <c r="U107" s="706"/>
      <c r="V107" s="706"/>
      <c r="Z107" s="833"/>
      <c r="AA107" s="833"/>
      <c r="AB107" s="833"/>
      <c r="AC107" s="833"/>
      <c r="AD107" s="833"/>
      <c r="AE107" s="833"/>
    </row>
    <row r="108" spans="1:31" s="636" customFormat="1" hidden="1" x14ac:dyDescent="0.3">
      <c r="A108" s="706" t="str">
        <f>IF(AND(F110=G110,H110=I110,J110=K110,F110="A"),"2016 - kwh",IF(AND(F110=G110,H110=I110,J110&lt;&gt;K110,F110="A"),"2017 - kwh",IF(AND(F110=G110,H110&lt;&gt;I110,F110="A"),"2018 - kwh","N/A")))</f>
        <v>N/A</v>
      </c>
      <c r="B108" s="706" t="str">
        <f>IF(F110&lt;&gt;G110,"2018 - kwh",IF(H110&lt;&gt;I110,"2017 - kwh",IF(J110&lt;&gt;K110,"2016 - kwh","N/A")))</f>
        <v>N/A</v>
      </c>
      <c r="C108" s="610" t="s">
        <v>2164</v>
      </c>
      <c r="D108" s="754"/>
      <c r="E108" s="703" t="s">
        <v>154</v>
      </c>
      <c r="F108" s="753"/>
      <c r="G108" s="753"/>
      <c r="H108" s="753"/>
      <c r="I108" s="753"/>
      <c r="J108" s="753"/>
      <c r="K108" s="753"/>
      <c r="L108" s="753"/>
      <c r="M108" s="753"/>
      <c r="N108" s="753"/>
      <c r="O108" s="753"/>
      <c r="P108" s="706"/>
      <c r="Q108" s="706"/>
      <c r="R108" s="706"/>
      <c r="S108" s="706"/>
      <c r="T108" s="706"/>
      <c r="U108" s="706"/>
      <c r="V108" s="706"/>
      <c r="Z108" s="833"/>
      <c r="AA108" s="833" t="str">
        <f>IF(AND(F110=G110,H110=I110,F110="A"),"2016 - kwh","")</f>
        <v/>
      </c>
      <c r="AB108" s="833" t="str">
        <f>IF(OR(B108="2017 - kwh",B108="2018 - kwh"),"2016 - kwh","")</f>
        <v/>
      </c>
      <c r="AC108" s="833"/>
      <c r="AD108" s="833"/>
      <c r="AE108" s="833"/>
    </row>
    <row r="109" spans="1:31" s="636" customFormat="1" hidden="1" x14ac:dyDescent="0.3">
      <c r="A109" s="706" t="str">
        <f>IF(AND(F110=G110,H110=I110,J110=K110,F110="A"),"2016 - kw",IF(AND(F110=G110,H110=I110,J110&lt;&gt;K110,F110="A"),"2017 - kw",IF(AND(F110=G110,H110&lt;&gt;I110,F110="A"),"2018 - kw","N/A")))</f>
        <v>N/A</v>
      </c>
      <c r="B109" s="706" t="str">
        <f>IF(F110&lt;&gt;G110,"2018 - kw",IF(H110&lt;&gt;I110,"2017 - kw",IF(J110&lt;&gt;K110,"2016 - kw","N/A")))</f>
        <v>N/A</v>
      </c>
      <c r="C109" s="611"/>
      <c r="D109" s="646" t="str">
        <f>D108 &amp; "kW"</f>
        <v>kW</v>
      </c>
      <c r="E109" s="702" t="s">
        <v>155</v>
      </c>
      <c r="F109" s="753"/>
      <c r="G109" s="753"/>
      <c r="H109" s="753"/>
      <c r="I109" s="753"/>
      <c r="J109" s="753"/>
      <c r="K109" s="753"/>
      <c r="L109" s="753"/>
      <c r="M109" s="753"/>
      <c r="N109" s="753"/>
      <c r="O109" s="753"/>
      <c r="P109" s="706"/>
      <c r="Q109" s="706"/>
      <c r="R109" s="706"/>
      <c r="S109" s="706"/>
      <c r="T109" s="706"/>
      <c r="U109" s="706"/>
      <c r="V109" s="706"/>
      <c r="Z109" s="833"/>
      <c r="AA109" s="833" t="str">
        <f>IF(AND(F110=G110,H110=I110,F110="A"),"2016 - kw","")</f>
        <v/>
      </c>
      <c r="AB109" s="833" t="str">
        <f>IF(OR(B109="2017 - kw",B109="2018 - kw"),"2016 - kw","")</f>
        <v/>
      </c>
      <c r="AC109" s="833"/>
      <c r="AD109" s="833"/>
      <c r="AE109" s="833"/>
    </row>
    <row r="110" spans="1:31" s="636" customFormat="1" hidden="1" x14ac:dyDescent="0.3">
      <c r="A110" s="706"/>
      <c r="B110" s="706"/>
      <c r="C110" s="614"/>
      <c r="D110" s="700"/>
      <c r="E110" s="701" t="s">
        <v>2120</v>
      </c>
      <c r="F110" s="752"/>
      <c r="G110" s="752"/>
      <c r="H110" s="752"/>
      <c r="I110" s="752"/>
      <c r="J110" s="752"/>
      <c r="K110" s="752"/>
      <c r="L110" s="752"/>
      <c r="M110" s="752"/>
      <c r="N110" s="752"/>
      <c r="O110" s="752"/>
      <c r="P110" s="706"/>
      <c r="Q110" s="706"/>
      <c r="R110" s="706"/>
      <c r="S110" s="706"/>
      <c r="T110" s="706"/>
      <c r="U110" s="706"/>
      <c r="V110" s="706"/>
      <c r="Z110" s="833"/>
      <c r="AA110" s="833"/>
      <c r="AB110" s="833"/>
      <c r="AC110" s="833"/>
      <c r="AD110" s="833"/>
      <c r="AE110" s="833"/>
    </row>
    <row r="111" spans="1:31" s="636" customFormat="1" hidden="1" x14ac:dyDescent="0.3">
      <c r="A111" s="706" t="str">
        <f>IF(AND(F113=G113,H113=I113,J113=K113,F113="A"),"2016 - kwh",IF(AND(F113=G113,H113=I113,J113&lt;&gt;K113,F113="A"),"2017 - kwh",IF(AND(F113=G113,H113&lt;&gt;I113,F113="A"),"2018 - kwh","N/A")))</f>
        <v>N/A</v>
      </c>
      <c r="B111" s="706" t="str">
        <f>IF(F113&lt;&gt;G113,"2018 - kwh",IF(H113&lt;&gt;I113,"2017 - kwh",IF(J113&lt;&gt;K113,"2016 - kwh","N/A")))</f>
        <v>N/A</v>
      </c>
      <c r="C111" s="610" t="s">
        <v>2165</v>
      </c>
      <c r="D111" s="754"/>
      <c r="E111" s="703" t="s">
        <v>154</v>
      </c>
      <c r="F111" s="753"/>
      <c r="G111" s="753"/>
      <c r="H111" s="753"/>
      <c r="I111" s="753"/>
      <c r="J111" s="753"/>
      <c r="K111" s="753"/>
      <c r="L111" s="753"/>
      <c r="M111" s="753"/>
      <c r="N111" s="753"/>
      <c r="O111" s="753"/>
      <c r="P111" s="706"/>
      <c r="Q111" s="706"/>
      <c r="R111" s="706"/>
      <c r="S111" s="706"/>
      <c r="T111" s="706"/>
      <c r="U111" s="706"/>
      <c r="V111" s="706"/>
      <c r="Z111" s="833"/>
      <c r="AA111" s="833" t="str">
        <f>IF(AND(F113=G113,H113=I113,F113="A"),"2016 - kwh","")</f>
        <v/>
      </c>
      <c r="AB111" s="833" t="str">
        <f>IF(OR(B111="2017 - kwh",B111="2018 - kwh"),"2016 - kwh","")</f>
        <v/>
      </c>
      <c r="AC111" s="833"/>
      <c r="AD111" s="833"/>
      <c r="AE111" s="833"/>
    </row>
    <row r="112" spans="1:31" s="636" customFormat="1" hidden="1" x14ac:dyDescent="0.3">
      <c r="A112" s="706" t="str">
        <f>IF(AND(F113=G113,H113=I113,J113=K113,F113="A"),"2016 - kw",IF(AND(F113=G113,H113=I113,J113&lt;&gt;K113,F113="A"),"2017 - kw",IF(AND(F113=G113,H113&lt;&gt;I113,F113="A"),"2018 - kw","N/A")))</f>
        <v>N/A</v>
      </c>
      <c r="B112" s="706" t="str">
        <f>IF(F113&lt;&gt;G113,"2018 - kw",IF(H113&lt;&gt;I113,"2017 - kw",IF(J113&lt;&gt;K113,"2016 - kw","N/A")))</f>
        <v>N/A</v>
      </c>
      <c r="C112" s="611"/>
      <c r="D112" s="646" t="str">
        <f>D111 &amp; "kW"</f>
        <v>kW</v>
      </c>
      <c r="E112" s="702" t="s">
        <v>155</v>
      </c>
      <c r="F112" s="753"/>
      <c r="G112" s="753"/>
      <c r="H112" s="753"/>
      <c r="I112" s="753"/>
      <c r="J112" s="753"/>
      <c r="K112" s="753"/>
      <c r="L112" s="753"/>
      <c r="M112" s="753"/>
      <c r="N112" s="753"/>
      <c r="O112" s="753"/>
      <c r="P112" s="706"/>
      <c r="Q112" s="706"/>
      <c r="R112" s="706"/>
      <c r="S112" s="706"/>
      <c r="T112" s="706"/>
      <c r="U112" s="706"/>
      <c r="V112" s="706"/>
      <c r="Z112" s="833"/>
      <c r="AA112" s="833" t="str">
        <f>IF(AND(F113=G113,H113=I113,F113="A"),"2016 - kw","")</f>
        <v/>
      </c>
      <c r="AB112" s="833" t="str">
        <f>IF(OR(B112="2017 - kw",B112="2018 - kw"),"2016 - kw","")</f>
        <v/>
      </c>
      <c r="AC112" s="833"/>
      <c r="AD112" s="833"/>
      <c r="AE112" s="833"/>
    </row>
    <row r="113" spans="1:31" s="636" customFormat="1" hidden="1" x14ac:dyDescent="0.3">
      <c r="A113" s="706"/>
      <c r="B113" s="706"/>
      <c r="C113" s="614"/>
      <c r="D113" s="700"/>
      <c r="E113" s="701" t="s">
        <v>2120</v>
      </c>
      <c r="F113" s="752"/>
      <c r="G113" s="752"/>
      <c r="H113" s="752"/>
      <c r="I113" s="752"/>
      <c r="J113" s="752"/>
      <c r="K113" s="752"/>
      <c r="L113" s="752"/>
      <c r="M113" s="752"/>
      <c r="N113" s="752"/>
      <c r="O113" s="752"/>
      <c r="P113" s="706"/>
      <c r="Q113" s="706"/>
      <c r="R113" s="706"/>
      <c r="S113" s="706"/>
      <c r="T113" s="706"/>
      <c r="U113" s="706"/>
      <c r="V113" s="706"/>
      <c r="Z113" s="833"/>
      <c r="AA113" s="833"/>
      <c r="AB113" s="833"/>
      <c r="AC113" s="833"/>
      <c r="AD113" s="833"/>
      <c r="AE113" s="833"/>
    </row>
    <row r="114" spans="1:31" s="636" customFormat="1" hidden="1" x14ac:dyDescent="0.3">
      <c r="A114" s="706" t="str">
        <f>IF(AND(F116=G116,H116=I116,J116=K116,F116="A"),"2016 - kwh",IF(AND(F116=G116,H116=I116,J116&lt;&gt;K116,F116="A"),"2017 - kwh",IF(AND(F116=G116,H116&lt;&gt;I116,F116="A"),"2018 - kwh","N/A")))</f>
        <v>N/A</v>
      </c>
      <c r="B114" s="706" t="str">
        <f>IF(F116&lt;&gt;G116,"2018 - kwh",IF(H116&lt;&gt;I116,"2017 - kwh",IF(J116&lt;&gt;K116,"2016 - kwh","N/A")))</f>
        <v>N/A</v>
      </c>
      <c r="C114" s="610" t="s">
        <v>2166</v>
      </c>
      <c r="D114" s="754"/>
      <c r="E114" s="703" t="s">
        <v>154</v>
      </c>
      <c r="F114" s="753"/>
      <c r="G114" s="753"/>
      <c r="H114" s="753"/>
      <c r="I114" s="753"/>
      <c r="J114" s="753"/>
      <c r="K114" s="753"/>
      <c r="L114" s="753"/>
      <c r="M114" s="753"/>
      <c r="N114" s="753"/>
      <c r="O114" s="753"/>
      <c r="P114" s="706"/>
      <c r="Q114" s="706"/>
      <c r="R114" s="706"/>
      <c r="S114" s="706"/>
      <c r="T114" s="706"/>
      <c r="U114" s="706"/>
      <c r="V114" s="706"/>
      <c r="Z114" s="833"/>
      <c r="AA114" s="833" t="str">
        <f>IF(AND(F116=G116,H116=I116,F116="A"),"2016 - kwh","")</f>
        <v/>
      </c>
      <c r="AB114" s="833" t="str">
        <f>IF(OR(B114="2017 - kwh",B114="2018 - kwh"),"2016 - kwh","")</f>
        <v/>
      </c>
      <c r="AC114" s="833"/>
      <c r="AD114" s="833"/>
      <c r="AE114" s="833"/>
    </row>
    <row r="115" spans="1:31" s="636" customFormat="1" hidden="1" x14ac:dyDescent="0.3">
      <c r="A115" s="706" t="str">
        <f>IF(AND(F116=G116,H116=I116,J116=K116,F116="A"),"2016 - kw",IF(AND(F116=G116,H116=I116,J116&lt;&gt;K116,F116="A"),"2017 - kw",IF(AND(F116=G116,H116&lt;&gt;I116,F116="A"),"2018 - kw","N/A")))</f>
        <v>N/A</v>
      </c>
      <c r="B115" s="706" t="str">
        <f>IF(F116&lt;&gt;G116,"2018 - kw",IF(H116&lt;&gt;I116,"2017 - kw",IF(J116&lt;&gt;K116,"2016 - kw","N/A")))</f>
        <v>N/A</v>
      </c>
      <c r="C115" s="611"/>
      <c r="D115" s="646" t="str">
        <f>D114 &amp; "kW"</f>
        <v>kW</v>
      </c>
      <c r="E115" s="702" t="s">
        <v>155</v>
      </c>
      <c r="F115" s="753"/>
      <c r="G115" s="753"/>
      <c r="H115" s="753"/>
      <c r="I115" s="753"/>
      <c r="J115" s="753"/>
      <c r="K115" s="753"/>
      <c r="L115" s="753"/>
      <c r="M115" s="753"/>
      <c r="N115" s="753"/>
      <c r="O115" s="753"/>
      <c r="P115" s="706"/>
      <c r="Q115" s="706"/>
      <c r="R115" s="706"/>
      <c r="S115" s="706"/>
      <c r="T115" s="706"/>
      <c r="U115" s="706"/>
      <c r="V115" s="706"/>
      <c r="Z115" s="833"/>
      <c r="AA115" s="833" t="str">
        <f>IF(AND(F116=G116,H116=I116,F116="A"),"2016 - kw","")</f>
        <v/>
      </c>
      <c r="AB115" s="833" t="str">
        <f>IF(OR(B115="2017 - kw",B115="2018 - kw"),"2016 - kw","")</f>
        <v/>
      </c>
      <c r="AC115" s="833"/>
      <c r="AD115" s="833"/>
      <c r="AE115" s="833"/>
    </row>
    <row r="116" spans="1:31" s="636" customFormat="1" hidden="1" x14ac:dyDescent="0.3">
      <c r="A116" s="706"/>
      <c r="B116" s="706"/>
      <c r="C116" s="614"/>
      <c r="D116" s="700"/>
      <c r="E116" s="701" t="s">
        <v>2120</v>
      </c>
      <c r="F116" s="752"/>
      <c r="G116" s="752"/>
      <c r="H116" s="752"/>
      <c r="I116" s="752"/>
      <c r="J116" s="752"/>
      <c r="K116" s="752"/>
      <c r="L116" s="752"/>
      <c r="M116" s="752"/>
      <c r="N116" s="752"/>
      <c r="O116" s="752"/>
      <c r="P116" s="706"/>
      <c r="Q116" s="706"/>
      <c r="R116" s="706"/>
      <c r="S116" s="706"/>
      <c r="T116" s="706"/>
      <c r="U116" s="706"/>
      <c r="V116" s="706"/>
      <c r="Z116" s="833"/>
      <c r="AA116" s="833"/>
      <c r="AB116" s="833"/>
      <c r="AC116" s="833"/>
      <c r="AD116" s="833"/>
      <c r="AE116" s="833"/>
    </row>
    <row r="117" spans="1:31" s="636" customFormat="1" hidden="1" x14ac:dyDescent="0.3">
      <c r="A117" s="706" t="str">
        <f>IF(AND(F119=G119,H119=I119,J119=K119,F119="A"),"2016 - kwh",IF(AND(F119=G119,H119=I119,J119&lt;&gt;K119,F119="A"),"2017 - kwh",IF(AND(F119=G119,H119&lt;&gt;I119,F119="A"),"2018 - kwh","N/A")))</f>
        <v>N/A</v>
      </c>
      <c r="B117" s="706" t="str">
        <f>IF(F119&lt;&gt;G119,"2018 - kwh",IF(H119&lt;&gt;I119,"2017 - kwh",IF(J119&lt;&gt;K119,"2016 - kwh","N/A")))</f>
        <v>N/A</v>
      </c>
      <c r="C117" s="610" t="s">
        <v>2167</v>
      </c>
      <c r="D117" s="754"/>
      <c r="E117" s="703" t="s">
        <v>154</v>
      </c>
      <c r="F117" s="753"/>
      <c r="G117" s="753"/>
      <c r="H117" s="753"/>
      <c r="I117" s="753"/>
      <c r="J117" s="753"/>
      <c r="K117" s="753"/>
      <c r="L117" s="753"/>
      <c r="M117" s="753"/>
      <c r="N117" s="753"/>
      <c r="O117" s="753"/>
      <c r="P117" s="706"/>
      <c r="Q117" s="706"/>
      <c r="R117" s="706"/>
      <c r="S117" s="706"/>
      <c r="T117" s="706"/>
      <c r="U117" s="706"/>
      <c r="V117" s="706"/>
      <c r="Z117" s="833"/>
      <c r="AA117" s="833" t="str">
        <f>IF(AND(F119=G119,H119=I119,F119="A"),"2016 - kwh","")</f>
        <v/>
      </c>
      <c r="AB117" s="833" t="str">
        <f>IF(OR(B117="2017 - kwh",B117="2018 - kwh"),"2016 - kwh","")</f>
        <v/>
      </c>
      <c r="AC117" s="833"/>
      <c r="AD117" s="833"/>
      <c r="AE117" s="833"/>
    </row>
    <row r="118" spans="1:31" s="636" customFormat="1" hidden="1" x14ac:dyDescent="0.3">
      <c r="A118" s="706" t="str">
        <f>IF(AND(F119=G119,H119=I119,J119=K119,F119="A"),"2016 - kw",IF(AND(F119=G119,H119=I119,J119&lt;&gt;K119,F119="A"),"2017 - kw",IF(AND(F119=G119,H119&lt;&gt;I119,F119="A"),"2018 - kw","N/A")))</f>
        <v>N/A</v>
      </c>
      <c r="B118" s="706" t="str">
        <f>IF(F119&lt;&gt;G119,"2018 - kw",IF(H119&lt;&gt;I119,"2017 - kw",IF(J119&lt;&gt;K119,"2016 - kw","N/A")))</f>
        <v>N/A</v>
      </c>
      <c r="C118" s="611"/>
      <c r="D118" s="646" t="str">
        <f>D117 &amp; "kW"</f>
        <v>kW</v>
      </c>
      <c r="E118" s="702" t="s">
        <v>155</v>
      </c>
      <c r="F118" s="753"/>
      <c r="G118" s="753"/>
      <c r="H118" s="753"/>
      <c r="I118" s="753"/>
      <c r="J118" s="753"/>
      <c r="K118" s="753"/>
      <c r="L118" s="753"/>
      <c r="M118" s="753"/>
      <c r="N118" s="753"/>
      <c r="O118" s="753"/>
      <c r="P118" s="706"/>
      <c r="Q118" s="706"/>
      <c r="R118" s="706"/>
      <c r="S118" s="706"/>
      <c r="T118" s="706"/>
      <c r="U118" s="706"/>
      <c r="V118" s="706"/>
      <c r="Z118" s="833"/>
      <c r="AA118" s="833" t="str">
        <f>IF(AND(F119=G119,H119=I119,F119="A"),"2016 - kw","")</f>
        <v/>
      </c>
      <c r="AB118" s="833" t="str">
        <f>IF(OR(B118="2017 - kw",B118="2018 - kw"),"2016 - kw","")</f>
        <v/>
      </c>
      <c r="AC118" s="833"/>
      <c r="AD118" s="833"/>
      <c r="AE118" s="833"/>
    </row>
    <row r="119" spans="1:31" s="636" customFormat="1" hidden="1" x14ac:dyDescent="0.3">
      <c r="A119" s="706"/>
      <c r="B119" s="706"/>
      <c r="C119" s="614"/>
      <c r="D119" s="700"/>
      <c r="E119" s="701" t="s">
        <v>2120</v>
      </c>
      <c r="F119" s="752"/>
      <c r="G119" s="752"/>
      <c r="H119" s="752"/>
      <c r="I119" s="752"/>
      <c r="J119" s="752"/>
      <c r="K119" s="752"/>
      <c r="L119" s="752"/>
      <c r="M119" s="752"/>
      <c r="N119" s="752"/>
      <c r="O119" s="752"/>
      <c r="P119" s="706"/>
      <c r="Q119" s="706"/>
      <c r="R119" s="706"/>
      <c r="S119" s="706"/>
      <c r="T119" s="706"/>
      <c r="U119" s="706"/>
      <c r="V119" s="706"/>
      <c r="Z119" s="833"/>
      <c r="AA119" s="833"/>
      <c r="AB119" s="833"/>
      <c r="AC119" s="833"/>
      <c r="AD119" s="833"/>
      <c r="AE119" s="833"/>
    </row>
    <row r="120" spans="1:31" s="636" customFormat="1" hidden="1" x14ac:dyDescent="0.3">
      <c r="A120" s="706" t="str">
        <f>IF(AND(F122=G122,H122=I122,J122=K122,F122="A"),"2016 - kwh",IF(AND(F122=G122,H122=I122,J122&lt;&gt;K122,F122="A"),"2017 - kwh",IF(AND(F122=G122,H122&lt;&gt;I122,F122="A"),"2018 - kwh","N/A")))</f>
        <v>N/A</v>
      </c>
      <c r="B120" s="706" t="str">
        <f>IF(F122&lt;&gt;G122,"2018 - kwh",IF(H122&lt;&gt;I122,"2017 - kwh",IF(J122&lt;&gt;K122,"2016 - kwh","N/A")))</f>
        <v>N/A</v>
      </c>
      <c r="C120" s="610" t="s">
        <v>2168</v>
      </c>
      <c r="D120" s="754"/>
      <c r="E120" s="703" t="s">
        <v>154</v>
      </c>
      <c r="F120" s="753"/>
      <c r="G120" s="753"/>
      <c r="H120" s="753"/>
      <c r="I120" s="753"/>
      <c r="J120" s="753"/>
      <c r="K120" s="753"/>
      <c r="L120" s="753"/>
      <c r="M120" s="753"/>
      <c r="N120" s="753"/>
      <c r="O120" s="753"/>
      <c r="P120" s="706"/>
      <c r="Q120" s="706"/>
      <c r="R120" s="706"/>
      <c r="S120" s="706"/>
      <c r="T120" s="706"/>
      <c r="U120" s="706"/>
      <c r="V120" s="706"/>
      <c r="Z120" s="833"/>
      <c r="AA120" s="833" t="str">
        <f>IF(AND(F122=G122,H122=I122,F122="A"),"2016 - kwh","")</f>
        <v/>
      </c>
      <c r="AB120" s="833" t="str">
        <f>IF(OR(B120="2017 - kwh",B120="2018 - kwh"),"2016 - kwh","")</f>
        <v/>
      </c>
      <c r="AC120" s="833"/>
      <c r="AD120" s="833"/>
      <c r="AE120" s="833"/>
    </row>
    <row r="121" spans="1:31" s="636" customFormat="1" hidden="1" x14ac:dyDescent="0.3">
      <c r="A121" s="706" t="str">
        <f>IF(AND(F122=G122,H122=I122,J122=K122,F122="A"),"2016 - kw",IF(AND(F122=G122,H122=I122,J122&lt;&gt;K122,F122="A"),"2017 - kw",IF(AND(F122=G122,H122&lt;&gt;I122,F122="A"),"2018 - kw","N/A")))</f>
        <v>N/A</v>
      </c>
      <c r="B121" s="706" t="str">
        <f>IF(F122&lt;&gt;G122,"2018 - kw",IF(H122&lt;&gt;I122,"2017 - kw",IF(J122&lt;&gt;K122,"2016 - kw","N/A")))</f>
        <v>N/A</v>
      </c>
      <c r="C121" s="611"/>
      <c r="D121" s="646" t="str">
        <f>D120 &amp; "kW"</f>
        <v>kW</v>
      </c>
      <c r="E121" s="702" t="s">
        <v>155</v>
      </c>
      <c r="F121" s="753"/>
      <c r="G121" s="753"/>
      <c r="H121" s="753"/>
      <c r="I121" s="753"/>
      <c r="J121" s="753"/>
      <c r="K121" s="753"/>
      <c r="L121" s="753"/>
      <c r="M121" s="753"/>
      <c r="N121" s="753"/>
      <c r="O121" s="753"/>
      <c r="P121" s="706"/>
      <c r="Q121" s="706"/>
      <c r="R121" s="706"/>
      <c r="S121" s="706"/>
      <c r="T121" s="706"/>
      <c r="U121" s="706"/>
      <c r="V121" s="706"/>
      <c r="Z121" s="833"/>
      <c r="AA121" s="833" t="str">
        <f>IF(AND(F122=G122,H122=I122,F122="A"),"2016 - kw","")</f>
        <v/>
      </c>
      <c r="AB121" s="833" t="str">
        <f>IF(OR(B121="2017 - kw",B121="2018 - kw"),"2016 - kw","")</f>
        <v/>
      </c>
      <c r="AC121" s="833"/>
      <c r="AD121" s="833"/>
      <c r="AE121" s="833"/>
    </row>
    <row r="122" spans="1:31" s="636" customFormat="1" hidden="1" x14ac:dyDescent="0.3">
      <c r="A122" s="706"/>
      <c r="B122" s="706"/>
      <c r="C122" s="614"/>
      <c r="D122" s="700"/>
      <c r="E122" s="701" t="s">
        <v>2120</v>
      </c>
      <c r="F122" s="752"/>
      <c r="G122" s="752"/>
      <c r="H122" s="752"/>
      <c r="I122" s="752"/>
      <c r="J122" s="752"/>
      <c r="K122" s="752"/>
      <c r="L122" s="752"/>
      <c r="M122" s="752"/>
      <c r="N122" s="752"/>
      <c r="O122" s="752"/>
      <c r="P122" s="706"/>
      <c r="Q122" s="706"/>
      <c r="R122" s="706"/>
      <c r="S122" s="706"/>
      <c r="T122" s="706"/>
      <c r="U122" s="706"/>
      <c r="V122" s="706"/>
      <c r="Z122" s="833"/>
      <c r="AA122" s="833"/>
      <c r="AB122" s="833"/>
      <c r="AC122" s="833"/>
      <c r="AD122" s="833"/>
      <c r="AE122" s="833"/>
    </row>
    <row r="123" spans="1:31" s="636" customFormat="1" hidden="1" x14ac:dyDescent="0.3">
      <c r="A123" s="706" t="str">
        <f>IF(AND(F125=G125,H125=I125,J125=K125,F125="A"),"2016 - kwh",IF(AND(F125=G125,H125=I125,J125&lt;&gt;K125,F125="A"),"2017 - kwh",IF(AND(F125=G125,H125&lt;&gt;I125,F125="A"),"2018 - kwh","N/A")))</f>
        <v>N/A</v>
      </c>
      <c r="B123" s="706" t="str">
        <f>IF(F125&lt;&gt;G125,"2018 - kwh",IF(H125&lt;&gt;I125,"2017 - kwh",IF(J125&lt;&gt;K125,"2016 - kwh","N/A")))</f>
        <v>N/A</v>
      </c>
      <c r="C123" s="610" t="s">
        <v>2169</v>
      </c>
      <c r="D123" s="754"/>
      <c r="E123" s="703" t="s">
        <v>154</v>
      </c>
      <c r="F123" s="753"/>
      <c r="G123" s="753"/>
      <c r="H123" s="753"/>
      <c r="I123" s="753"/>
      <c r="J123" s="753"/>
      <c r="K123" s="753"/>
      <c r="L123" s="753"/>
      <c r="M123" s="753"/>
      <c r="N123" s="753"/>
      <c r="O123" s="753"/>
      <c r="P123" s="706"/>
      <c r="Q123" s="706"/>
      <c r="R123" s="706"/>
      <c r="S123" s="706"/>
      <c r="T123" s="706"/>
      <c r="U123" s="706"/>
      <c r="V123" s="706"/>
      <c r="Z123" s="833"/>
      <c r="AA123" s="833" t="str">
        <f>IF(AND(F125=G125,H125=I125,F125="A"),"2016 - kwh","")</f>
        <v/>
      </c>
      <c r="AB123" s="833" t="str">
        <f>IF(OR(B123="2017 - kwh",B123="2018 - kwh"),"2016 - kwh","")</f>
        <v/>
      </c>
      <c r="AC123" s="833"/>
      <c r="AD123" s="833"/>
      <c r="AE123" s="833"/>
    </row>
    <row r="124" spans="1:31" s="636" customFormat="1" hidden="1" x14ac:dyDescent="0.3">
      <c r="A124" s="706" t="str">
        <f>IF(AND(F125=G125,H125=I125,J125=K125,F125="A"),"2016 - kw",IF(AND(F125=G125,H125=I125,J125&lt;&gt;K125,F125="A"),"2017 - kw",IF(AND(F125=G125,H125&lt;&gt;I125,F125="A"),"2018 - kw","N/A")))</f>
        <v>N/A</v>
      </c>
      <c r="B124" s="706" t="str">
        <f>IF(F125&lt;&gt;G125,"2018 - kw",IF(H125&lt;&gt;I125,"2017 - kw",IF(J125&lt;&gt;K125,"2016 - kw","N/A")))</f>
        <v>N/A</v>
      </c>
      <c r="C124" s="611"/>
      <c r="D124" s="646" t="str">
        <f>D123 &amp; "kW"</f>
        <v>kW</v>
      </c>
      <c r="E124" s="702" t="s">
        <v>155</v>
      </c>
      <c r="F124" s="753"/>
      <c r="G124" s="753"/>
      <c r="H124" s="753"/>
      <c r="I124" s="753"/>
      <c r="J124" s="753"/>
      <c r="K124" s="753"/>
      <c r="L124" s="753"/>
      <c r="M124" s="753"/>
      <c r="N124" s="753"/>
      <c r="O124" s="753"/>
      <c r="P124" s="706"/>
      <c r="Q124" s="706"/>
      <c r="R124" s="706"/>
      <c r="S124" s="706"/>
      <c r="T124" s="706"/>
      <c r="U124" s="706"/>
      <c r="V124" s="706"/>
      <c r="Z124" s="833"/>
      <c r="AA124" s="833" t="str">
        <f>IF(AND(F125=G125,H125=I125,F125="A"),"2016 - kw","")</f>
        <v/>
      </c>
      <c r="AB124" s="833" t="str">
        <f>IF(OR(B124="2017 - kw",B124="2018 - kw"),"2016 - kw","")</f>
        <v/>
      </c>
      <c r="AC124" s="833"/>
      <c r="AD124" s="833"/>
      <c r="AE124" s="833"/>
    </row>
    <row r="125" spans="1:31" s="636" customFormat="1" hidden="1" x14ac:dyDescent="0.3">
      <c r="A125" s="706"/>
      <c r="B125" s="706"/>
      <c r="C125" s="614"/>
      <c r="D125" s="700"/>
      <c r="E125" s="701" t="s">
        <v>2120</v>
      </c>
      <c r="F125" s="752"/>
      <c r="G125" s="752"/>
      <c r="H125" s="752"/>
      <c r="I125" s="752"/>
      <c r="J125" s="752"/>
      <c r="K125" s="752"/>
      <c r="L125" s="752"/>
      <c r="M125" s="752"/>
      <c r="N125" s="752"/>
      <c r="O125" s="752"/>
      <c r="P125" s="706"/>
      <c r="Q125" s="706"/>
      <c r="R125" s="706"/>
      <c r="S125" s="706"/>
      <c r="T125" s="706"/>
      <c r="U125" s="706"/>
      <c r="V125" s="706"/>
      <c r="Z125" s="833"/>
      <c r="AA125" s="833"/>
      <c r="AB125" s="833"/>
      <c r="AC125" s="833"/>
      <c r="AD125" s="833"/>
      <c r="AE125" s="833"/>
    </row>
    <row r="126" spans="1:31" s="636" customFormat="1" hidden="1" x14ac:dyDescent="0.3">
      <c r="A126" s="706" t="str">
        <f>IF(AND(F128=G128,H128=I128,J128=K128,F128="A"),"2016 - kwh",IF(AND(F128=G128,H128=I128,J128&lt;&gt;K128,F128="A"),"2017 - kwh",IF(AND(F128=G128,H128&lt;&gt;I128,F128="A"),"2018 - kwh","N/A")))</f>
        <v>N/A</v>
      </c>
      <c r="B126" s="706" t="str">
        <f>IF(F128&lt;&gt;G128,"2018 - kwh",IF(H128&lt;&gt;I128,"2017 - kwh",IF(J128&lt;&gt;K128,"2016 - kwh","N/A")))</f>
        <v>N/A</v>
      </c>
      <c r="C126" s="610" t="s">
        <v>2170</v>
      </c>
      <c r="D126" s="754"/>
      <c r="E126" s="703" t="s">
        <v>154</v>
      </c>
      <c r="F126" s="753"/>
      <c r="G126" s="753"/>
      <c r="H126" s="753"/>
      <c r="I126" s="753"/>
      <c r="J126" s="753"/>
      <c r="K126" s="753"/>
      <c r="L126" s="753"/>
      <c r="M126" s="753"/>
      <c r="N126" s="753"/>
      <c r="O126" s="753"/>
      <c r="P126" s="706"/>
      <c r="Q126" s="706"/>
      <c r="R126" s="706"/>
      <c r="S126" s="706"/>
      <c r="T126" s="706"/>
      <c r="U126" s="706"/>
      <c r="V126" s="706"/>
      <c r="Z126" s="833"/>
      <c r="AA126" s="833" t="str">
        <f>IF(AND(F128=G128,H128=I128,F128="A"),"2016 - kwh","")</f>
        <v/>
      </c>
      <c r="AB126" s="833" t="str">
        <f>IF(OR(B126="2017 - kwh",B126="2018 - kwh"),"2016 - kwh","")</f>
        <v/>
      </c>
      <c r="AC126" s="833"/>
      <c r="AD126" s="833"/>
      <c r="AE126" s="833"/>
    </row>
    <row r="127" spans="1:31" s="636" customFormat="1" hidden="1" x14ac:dyDescent="0.3">
      <c r="A127" s="706" t="str">
        <f>IF(AND(F128=G128,H128=I128,J128=K128,F128="A"),"2016 - kw",IF(AND(F128=G128,H128=I128,J128&lt;&gt;K128,F128="A"),"2017 - kw",IF(AND(F128=G128,H128&lt;&gt;I128,F128="A"),"2018 - kw","N/A")))</f>
        <v>N/A</v>
      </c>
      <c r="B127" s="706" t="str">
        <f>IF(F128&lt;&gt;G128,"2018 - kw",IF(H128&lt;&gt;I128,"2017 - kw",IF(J128&lt;&gt;K128,"2016 - kw","N/A")))</f>
        <v>N/A</v>
      </c>
      <c r="C127" s="611"/>
      <c r="D127" s="646" t="str">
        <f>D126 &amp; "kW"</f>
        <v>kW</v>
      </c>
      <c r="E127" s="702" t="s">
        <v>155</v>
      </c>
      <c r="F127" s="753"/>
      <c r="G127" s="753"/>
      <c r="H127" s="753"/>
      <c r="I127" s="753"/>
      <c r="J127" s="753"/>
      <c r="K127" s="753"/>
      <c r="L127" s="753"/>
      <c r="M127" s="753"/>
      <c r="N127" s="753"/>
      <c r="O127" s="753"/>
      <c r="P127" s="706"/>
      <c r="Q127" s="706"/>
      <c r="R127" s="706"/>
      <c r="S127" s="706"/>
      <c r="T127" s="706"/>
      <c r="U127" s="706"/>
      <c r="V127" s="706"/>
      <c r="Z127" s="833"/>
      <c r="AA127" s="833" t="str">
        <f>IF(AND(F128=G128,H128=I128,F128="A"),"2016 - kw","")</f>
        <v/>
      </c>
      <c r="AB127" s="833" t="str">
        <f>IF(OR(B127="2017 - kw",B127="2018 - kw"),"2016 - kw","")</f>
        <v/>
      </c>
      <c r="AC127" s="833"/>
      <c r="AD127" s="833"/>
      <c r="AE127" s="833"/>
    </row>
    <row r="128" spans="1:31" s="636" customFormat="1" hidden="1" x14ac:dyDescent="0.3">
      <c r="A128" s="706"/>
      <c r="B128" s="706"/>
      <c r="C128" s="614"/>
      <c r="D128" s="700"/>
      <c r="E128" s="701" t="s">
        <v>2120</v>
      </c>
      <c r="F128" s="752"/>
      <c r="G128" s="752"/>
      <c r="H128" s="752"/>
      <c r="I128" s="752"/>
      <c r="J128" s="752"/>
      <c r="K128" s="752"/>
      <c r="L128" s="752"/>
      <c r="M128" s="752"/>
      <c r="N128" s="752"/>
      <c r="O128" s="752"/>
      <c r="P128" s="706"/>
      <c r="Q128" s="706"/>
      <c r="R128" s="706"/>
      <c r="S128" s="706"/>
      <c r="T128" s="706"/>
      <c r="U128" s="706"/>
      <c r="V128" s="706"/>
      <c r="Z128" s="833"/>
      <c r="AA128" s="833"/>
      <c r="AB128" s="833"/>
      <c r="AC128" s="833"/>
      <c r="AD128" s="833"/>
      <c r="AE128" s="833"/>
    </row>
    <row r="129" spans="1:31" s="636" customFormat="1" hidden="1" x14ac:dyDescent="0.3">
      <c r="A129" s="706" t="str">
        <f>IF(AND(F131=G131,H131=I131,J131=K131,F131="A"),"2016 - kwh",IF(AND(F131=G131,H131=I131,J131&lt;&gt;K131,F131="A"),"2017 - kwh",IF(AND(F131=G131,H131&lt;&gt;I131,F131="A"),"2018 - kwh","N/A")))</f>
        <v>N/A</v>
      </c>
      <c r="B129" s="706" t="str">
        <f>IF(F131&lt;&gt;G131,"2018 - kwh",IF(H131&lt;&gt;I131,"2017 - kwh",IF(J131&lt;&gt;K131,"2016 - kwh","N/A")))</f>
        <v>N/A</v>
      </c>
      <c r="C129" s="610" t="s">
        <v>2171</v>
      </c>
      <c r="D129" s="754"/>
      <c r="E129" s="703" t="s">
        <v>154</v>
      </c>
      <c r="F129" s="753"/>
      <c r="G129" s="753"/>
      <c r="H129" s="753"/>
      <c r="I129" s="753"/>
      <c r="J129" s="753"/>
      <c r="K129" s="753"/>
      <c r="L129" s="753"/>
      <c r="M129" s="753"/>
      <c r="N129" s="753"/>
      <c r="O129" s="753"/>
      <c r="P129" s="706"/>
      <c r="Q129" s="706"/>
      <c r="R129" s="706"/>
      <c r="S129" s="706"/>
      <c r="T129" s="706"/>
      <c r="U129" s="706"/>
      <c r="V129" s="706"/>
      <c r="Z129" s="833"/>
      <c r="AA129" s="833" t="str">
        <f>IF(AND(F131=G131,H131=I131,F131="A"),"2016 - kwh","")</f>
        <v/>
      </c>
      <c r="AB129" s="833" t="str">
        <f>IF(OR(B129="2017 - kwh",B129="2018 - kwh"),"2016 - kwh","")</f>
        <v/>
      </c>
      <c r="AC129" s="833"/>
      <c r="AD129" s="833"/>
      <c r="AE129" s="833"/>
    </row>
    <row r="130" spans="1:31" s="636" customFormat="1" hidden="1" x14ac:dyDescent="0.3">
      <c r="A130" s="706" t="str">
        <f>IF(AND(F131=G131,H131=I131,J131=K131,F131="A"),"2016 - kw",IF(AND(F131=G131,H131=I131,J131&lt;&gt;K131,F131="A"),"2017 - kw",IF(AND(F131=G131,H131&lt;&gt;I131,F131="A"),"2018 - kw","N/A")))</f>
        <v>N/A</v>
      </c>
      <c r="B130" s="706" t="str">
        <f>IF(F131&lt;&gt;G131,"2018 - kw",IF(H131&lt;&gt;I131,"2017 - kw",IF(J131&lt;&gt;K131,"2016 - kw","N/A")))</f>
        <v>N/A</v>
      </c>
      <c r="C130" s="611"/>
      <c r="D130" s="646" t="str">
        <f>D129 &amp; "kW"</f>
        <v>kW</v>
      </c>
      <c r="E130" s="702" t="s">
        <v>155</v>
      </c>
      <c r="F130" s="753"/>
      <c r="G130" s="753"/>
      <c r="H130" s="753"/>
      <c r="I130" s="753"/>
      <c r="J130" s="753"/>
      <c r="K130" s="753"/>
      <c r="L130" s="753"/>
      <c r="M130" s="753"/>
      <c r="N130" s="753"/>
      <c r="O130" s="753"/>
      <c r="P130" s="706"/>
      <c r="Q130" s="706"/>
      <c r="R130" s="706"/>
      <c r="S130" s="706"/>
      <c r="T130" s="706"/>
      <c r="U130" s="706"/>
      <c r="V130" s="706"/>
      <c r="Z130" s="833"/>
      <c r="AA130" s="833" t="str">
        <f>IF(AND(F131=G131,H131=I131,F131="A"),"2016 - kw","")</f>
        <v/>
      </c>
      <c r="AB130" s="833" t="str">
        <f>IF(OR(B130="2017 - kw",B130="2018 - kw"),"2016 - kw","")</f>
        <v/>
      </c>
      <c r="AC130" s="833"/>
      <c r="AD130" s="833"/>
      <c r="AE130" s="833"/>
    </row>
    <row r="131" spans="1:31" s="636" customFormat="1" hidden="1" x14ac:dyDescent="0.3">
      <c r="A131" s="706"/>
      <c r="B131" s="706"/>
      <c r="C131" s="614"/>
      <c r="D131" s="700"/>
      <c r="E131" s="701" t="s">
        <v>2120</v>
      </c>
      <c r="F131" s="752"/>
      <c r="G131" s="752"/>
      <c r="H131" s="752"/>
      <c r="I131" s="752"/>
      <c r="J131" s="752"/>
      <c r="K131" s="752"/>
      <c r="L131" s="752"/>
      <c r="M131" s="752"/>
      <c r="N131" s="752"/>
      <c r="O131" s="752"/>
      <c r="P131" s="706"/>
      <c r="Q131" s="706"/>
      <c r="R131" s="706"/>
      <c r="S131" s="706"/>
      <c r="T131" s="706"/>
      <c r="U131" s="706"/>
      <c r="V131" s="706"/>
      <c r="Z131" s="833"/>
      <c r="AA131" s="833"/>
      <c r="AB131" s="833"/>
      <c r="AC131" s="833"/>
      <c r="AD131" s="833"/>
      <c r="AE131" s="833"/>
    </row>
    <row r="132" spans="1:31" s="636" customFormat="1" hidden="1" x14ac:dyDescent="0.3">
      <c r="A132" s="706" t="str">
        <f>IF(AND(F134=G134,H134=I134,J134=K134,F134="A"),"2016 - kwh",IF(AND(F134=G134,H134=I134,J134&lt;&gt;K134,F134="A"),"2017 - kwh",IF(AND(F134=G134,H134&lt;&gt;I134,F134="A"),"2018 - kwh","N/A")))</f>
        <v>N/A</v>
      </c>
      <c r="B132" s="706" t="str">
        <f>IF(F134&lt;&gt;G134,"2018 - kwh",IF(H134&lt;&gt;I134,"2017 - kwh",IF(J134&lt;&gt;K134,"2016 - kwh","N/A")))</f>
        <v>N/A</v>
      </c>
      <c r="C132" s="610" t="s">
        <v>2172</v>
      </c>
      <c r="D132" s="754"/>
      <c r="E132" s="703" t="s">
        <v>154</v>
      </c>
      <c r="F132" s="753"/>
      <c r="G132" s="753"/>
      <c r="H132" s="753"/>
      <c r="I132" s="753"/>
      <c r="J132" s="753"/>
      <c r="K132" s="753"/>
      <c r="L132" s="753"/>
      <c r="M132" s="753"/>
      <c r="N132" s="753"/>
      <c r="O132" s="753"/>
      <c r="P132" s="706"/>
      <c r="Q132" s="706"/>
      <c r="R132" s="706"/>
      <c r="S132" s="706"/>
      <c r="T132" s="706"/>
      <c r="U132" s="706"/>
      <c r="V132" s="706"/>
      <c r="Z132" s="833"/>
      <c r="AA132" s="833" t="str">
        <f>IF(AND(F134=G134,H134=I134,F134="A"),"2016 - kwh","")</f>
        <v/>
      </c>
      <c r="AB132" s="833" t="str">
        <f>IF(OR(B132="2017 - kwh",B132="2018 - kwh"),"2016 - kwh","")</f>
        <v/>
      </c>
      <c r="AC132" s="833"/>
      <c r="AD132" s="833"/>
      <c r="AE132" s="833"/>
    </row>
    <row r="133" spans="1:31" s="636" customFormat="1" hidden="1" x14ac:dyDescent="0.3">
      <c r="A133" s="706" t="str">
        <f>IF(AND(F134=G134,H134=I134,J134=K134,F134="A"),"2016 - kw",IF(AND(F134=G134,H134=I134,J134&lt;&gt;K134,F134="A"),"2017 - kw",IF(AND(F134=G134,H134&lt;&gt;I134,F134="A"),"2018 - kw","N/A")))</f>
        <v>N/A</v>
      </c>
      <c r="B133" s="706" t="str">
        <f>IF(F134&lt;&gt;G134,"2018 - kw",IF(H134&lt;&gt;I134,"2017 - kw",IF(J134&lt;&gt;K134,"2016 - kw","N/A")))</f>
        <v>N/A</v>
      </c>
      <c r="C133" s="611"/>
      <c r="D133" s="646" t="str">
        <f>D132 &amp; "kW"</f>
        <v>kW</v>
      </c>
      <c r="E133" s="702" t="s">
        <v>155</v>
      </c>
      <c r="F133" s="753"/>
      <c r="G133" s="753"/>
      <c r="H133" s="753"/>
      <c r="I133" s="753"/>
      <c r="J133" s="753"/>
      <c r="K133" s="753"/>
      <c r="L133" s="753"/>
      <c r="M133" s="753"/>
      <c r="N133" s="753"/>
      <c r="O133" s="753"/>
      <c r="P133" s="706"/>
      <c r="Q133" s="706"/>
      <c r="R133" s="706"/>
      <c r="S133" s="706"/>
      <c r="T133" s="706"/>
      <c r="U133" s="706"/>
      <c r="V133" s="706"/>
      <c r="Z133" s="833"/>
      <c r="AA133" s="833" t="str">
        <f>IF(AND(F134=G134,H134=I134,F134="A"),"2016 - kw","")</f>
        <v/>
      </c>
      <c r="AB133" s="833" t="str">
        <f>IF(OR(B133="2017 - kw",B133="2018 - kw"),"2016 - kw","")</f>
        <v/>
      </c>
      <c r="AC133" s="833"/>
      <c r="AD133" s="833"/>
      <c r="AE133" s="833"/>
    </row>
    <row r="134" spans="1:31" s="636" customFormat="1" hidden="1" x14ac:dyDescent="0.3">
      <c r="A134" s="706"/>
      <c r="B134" s="706"/>
      <c r="C134" s="614"/>
      <c r="D134" s="700"/>
      <c r="E134" s="701" t="s">
        <v>2120</v>
      </c>
      <c r="F134" s="752"/>
      <c r="G134" s="752"/>
      <c r="H134" s="752"/>
      <c r="I134" s="752"/>
      <c r="J134" s="752"/>
      <c r="K134" s="752"/>
      <c r="L134" s="752"/>
      <c r="M134" s="752"/>
      <c r="N134" s="752"/>
      <c r="O134" s="752"/>
      <c r="P134" s="706"/>
      <c r="Q134" s="706"/>
      <c r="R134" s="706"/>
      <c r="S134" s="706"/>
      <c r="T134" s="706"/>
      <c r="U134" s="706"/>
      <c r="V134" s="706"/>
      <c r="Z134" s="833"/>
      <c r="AA134" s="833"/>
      <c r="AB134" s="833"/>
      <c r="AC134" s="833"/>
      <c r="AD134" s="833"/>
      <c r="AE134" s="833"/>
    </row>
    <row r="135" spans="1:31" s="636" customFormat="1" hidden="1" x14ac:dyDescent="0.3">
      <c r="A135" s="706" t="str">
        <f>IF(AND(F137=G137,H137=I137,J137=K137,F137="A"),"2016 - kwh",IF(AND(F137=G137,H137=I137,J137&lt;&gt;K137,F137="A"),"2017 - kwh",IF(AND(F137=G137,H137&lt;&gt;I137,F137="A"),"2018 - kwh","N/A")))</f>
        <v>N/A</v>
      </c>
      <c r="B135" s="706" t="str">
        <f>IF(F137&lt;&gt;G137,"2018 - kwh",IF(H137&lt;&gt;I137,"2017 - kwh",IF(J137&lt;&gt;K137,"2016 - kwh","N/A")))</f>
        <v>N/A</v>
      </c>
      <c r="C135" s="610" t="s">
        <v>2173</v>
      </c>
      <c r="D135" s="754"/>
      <c r="E135" s="703" t="s">
        <v>154</v>
      </c>
      <c r="F135" s="753"/>
      <c r="G135" s="753"/>
      <c r="H135" s="753"/>
      <c r="I135" s="753"/>
      <c r="J135" s="753"/>
      <c r="K135" s="753"/>
      <c r="L135" s="753"/>
      <c r="M135" s="753"/>
      <c r="N135" s="753"/>
      <c r="O135" s="753"/>
      <c r="P135" s="706"/>
      <c r="Q135" s="706"/>
      <c r="R135" s="706"/>
      <c r="S135" s="706"/>
      <c r="T135" s="706"/>
      <c r="U135" s="706"/>
      <c r="V135" s="706"/>
      <c r="Z135" s="833"/>
      <c r="AA135" s="833" t="str">
        <f>IF(AND(F137=G137,H137=I137,F137="A"),"2016 - kwh","")</f>
        <v/>
      </c>
      <c r="AB135" s="833" t="str">
        <f>IF(OR(B135="2017 - kwh",B135="2018 - kwh"),"2016 - kwh","")</f>
        <v/>
      </c>
      <c r="AC135" s="833"/>
      <c r="AD135" s="833"/>
      <c r="AE135" s="833"/>
    </row>
    <row r="136" spans="1:31" s="636" customFormat="1" hidden="1" x14ac:dyDescent="0.3">
      <c r="A136" s="706" t="str">
        <f>IF(AND(F137=G137,H137=I137,J137=K137,F137="A"),"2016 - kw",IF(AND(F137=G137,H137=I137,J137&lt;&gt;K137,F137="A"),"2017 - kw",IF(AND(F137=G137,H137&lt;&gt;I137,F137="A"),"2018 - kw","N/A")))</f>
        <v>N/A</v>
      </c>
      <c r="B136" s="706" t="str">
        <f>IF(F137&lt;&gt;G137,"2018 - kw",IF(H137&lt;&gt;I137,"2017 - kw",IF(J137&lt;&gt;K137,"2016 - kw","N/A")))</f>
        <v>N/A</v>
      </c>
      <c r="C136" s="611"/>
      <c r="D136" s="646" t="str">
        <f>D135 &amp; "kW"</f>
        <v>kW</v>
      </c>
      <c r="E136" s="702" t="s">
        <v>155</v>
      </c>
      <c r="F136" s="753"/>
      <c r="G136" s="753"/>
      <c r="H136" s="753"/>
      <c r="I136" s="753"/>
      <c r="J136" s="753"/>
      <c r="K136" s="753"/>
      <c r="L136" s="753"/>
      <c r="M136" s="753"/>
      <c r="N136" s="753"/>
      <c r="O136" s="753"/>
      <c r="P136" s="706"/>
      <c r="Q136" s="706"/>
      <c r="R136" s="706"/>
      <c r="S136" s="706"/>
      <c r="T136" s="706"/>
      <c r="U136" s="706"/>
      <c r="V136" s="706"/>
      <c r="Z136" s="833"/>
      <c r="AA136" s="833" t="str">
        <f>IF(AND(F137=G137,H137=I137,F137="A"),"2016 - kw","")</f>
        <v/>
      </c>
      <c r="AB136" s="833" t="str">
        <f>IF(OR(B136="2017 - kw",B136="2018 - kw"),"2016 - kw","")</f>
        <v/>
      </c>
      <c r="AC136" s="833"/>
      <c r="AD136" s="833"/>
      <c r="AE136" s="833"/>
    </row>
    <row r="137" spans="1:31" s="636" customFormat="1" hidden="1" x14ac:dyDescent="0.3">
      <c r="A137" s="706"/>
      <c r="B137" s="706"/>
      <c r="C137" s="614"/>
      <c r="D137" s="700"/>
      <c r="E137" s="701" t="s">
        <v>2120</v>
      </c>
      <c r="F137" s="752"/>
      <c r="G137" s="752"/>
      <c r="H137" s="752"/>
      <c r="I137" s="752"/>
      <c r="J137" s="752"/>
      <c r="K137" s="752"/>
      <c r="L137" s="752"/>
      <c r="M137" s="752"/>
      <c r="N137" s="752"/>
      <c r="O137" s="752"/>
      <c r="P137" s="706"/>
      <c r="Q137" s="706"/>
      <c r="R137" s="706"/>
      <c r="S137" s="706"/>
      <c r="T137" s="706"/>
      <c r="U137" s="706"/>
      <c r="V137" s="706"/>
      <c r="Z137" s="833"/>
      <c r="AA137" s="833"/>
      <c r="AB137" s="833"/>
      <c r="AC137" s="833"/>
      <c r="AD137" s="833"/>
      <c r="AE137" s="833"/>
    </row>
    <row r="138" spans="1:31" s="636" customFormat="1" hidden="1" x14ac:dyDescent="0.3">
      <c r="A138" s="706" t="str">
        <f>IF(AND(F140=G140,H140=I140,J140=K140,F140="A"),"2016 - kwh",IF(AND(F140=G140,H140=I140,J140&lt;&gt;K140,F140="A"),"2017 - kwh",IF(AND(F140=G140,H140&lt;&gt;I140,F140="A"),"2018 - kwh","N/A")))</f>
        <v>N/A</v>
      </c>
      <c r="B138" s="706" t="str">
        <f>IF(F140&lt;&gt;G140,"2018 - kwh",IF(H140&lt;&gt;I140,"2017 - kwh",IF(J140&lt;&gt;K140,"2016 - kwh","N/A")))</f>
        <v>N/A</v>
      </c>
      <c r="C138" s="610" t="s">
        <v>2174</v>
      </c>
      <c r="D138" s="754"/>
      <c r="E138" s="703" t="s">
        <v>154</v>
      </c>
      <c r="F138" s="753"/>
      <c r="G138" s="753"/>
      <c r="H138" s="753"/>
      <c r="I138" s="753"/>
      <c r="J138" s="753"/>
      <c r="K138" s="753"/>
      <c r="L138" s="753"/>
      <c r="M138" s="753"/>
      <c r="N138" s="753"/>
      <c r="O138" s="753"/>
      <c r="P138" s="706"/>
      <c r="Q138" s="706"/>
      <c r="R138" s="706"/>
      <c r="S138" s="706"/>
      <c r="T138" s="706"/>
      <c r="U138" s="706"/>
      <c r="V138" s="706"/>
      <c r="Z138" s="833"/>
      <c r="AA138" s="833" t="str">
        <f>IF(AND(F140=G140,H140=I140,F140="A"),"2016 - kwh","")</f>
        <v/>
      </c>
      <c r="AB138" s="833" t="str">
        <f>IF(OR(B138="2017 - kwh",B138="2018 - kwh"),"2016 - kwh","")</f>
        <v/>
      </c>
      <c r="AC138" s="833"/>
      <c r="AD138" s="833"/>
      <c r="AE138" s="833"/>
    </row>
    <row r="139" spans="1:31" s="636" customFormat="1" hidden="1" x14ac:dyDescent="0.3">
      <c r="A139" s="706" t="str">
        <f>IF(AND(F140=G140,H140=I140,J140=K140,F140="A"),"2016 - kw",IF(AND(F140=G140,H140=I140,J140&lt;&gt;K140,F140="A"),"2017 - kw",IF(AND(F140=G140,H140&lt;&gt;I140,F140="A"),"2018 - kw","N/A")))</f>
        <v>N/A</v>
      </c>
      <c r="B139" s="706" t="str">
        <f>IF(F140&lt;&gt;G140,"2018 - kw",IF(H140&lt;&gt;I140,"2017 - kw",IF(J140&lt;&gt;K140,"2016 - kw","N/A")))</f>
        <v>N/A</v>
      </c>
      <c r="C139" s="611"/>
      <c r="D139" s="646" t="str">
        <f>D138 &amp; "kW"</f>
        <v>kW</v>
      </c>
      <c r="E139" s="702" t="s">
        <v>155</v>
      </c>
      <c r="F139" s="753"/>
      <c r="G139" s="753"/>
      <c r="H139" s="753"/>
      <c r="I139" s="753"/>
      <c r="J139" s="753"/>
      <c r="K139" s="753"/>
      <c r="L139" s="753"/>
      <c r="M139" s="753"/>
      <c r="N139" s="753"/>
      <c r="O139" s="753"/>
      <c r="P139" s="706"/>
      <c r="Q139" s="706"/>
      <c r="R139" s="706"/>
      <c r="S139" s="706"/>
      <c r="T139" s="706"/>
      <c r="U139" s="706"/>
      <c r="V139" s="706"/>
      <c r="Z139" s="833"/>
      <c r="AA139" s="833" t="str">
        <f>IF(AND(F140=G140,H140=I140,F140="A"),"2016 - kw","")</f>
        <v/>
      </c>
      <c r="AB139" s="833" t="str">
        <f>IF(OR(B139="2017 - kw",B139="2018 - kw"),"2016 - kw","")</f>
        <v/>
      </c>
      <c r="AC139" s="833"/>
      <c r="AD139" s="833"/>
      <c r="AE139" s="833"/>
    </row>
    <row r="140" spans="1:31" s="636" customFormat="1" hidden="1" x14ac:dyDescent="0.3">
      <c r="A140" s="706"/>
      <c r="B140" s="706"/>
      <c r="C140" s="614"/>
      <c r="D140" s="700"/>
      <c r="E140" s="701" t="s">
        <v>2120</v>
      </c>
      <c r="F140" s="752"/>
      <c r="G140" s="752"/>
      <c r="H140" s="752"/>
      <c r="I140" s="752"/>
      <c r="J140" s="752"/>
      <c r="K140" s="752"/>
      <c r="L140" s="752"/>
      <c r="M140" s="752"/>
      <c r="N140" s="752"/>
      <c r="O140" s="752"/>
      <c r="P140" s="706"/>
      <c r="Q140" s="706"/>
      <c r="R140" s="706"/>
      <c r="S140" s="706"/>
      <c r="T140" s="706"/>
      <c r="U140" s="706"/>
      <c r="V140" s="706"/>
      <c r="Z140" s="833"/>
      <c r="AA140" s="833"/>
      <c r="AB140" s="833"/>
      <c r="AC140" s="833"/>
      <c r="AD140" s="833"/>
      <c r="AE140" s="833"/>
    </row>
    <row r="141" spans="1:31" s="636" customFormat="1" hidden="1" x14ac:dyDescent="0.3">
      <c r="A141" s="706" t="str">
        <f>IF(AND(F143=G143,H143=I143,J143=K143,F143="A"),"2016 - kwh",IF(AND(F143=G143,H143=I143,J143&lt;&gt;K143,F143="A"),"2017 - kwh",IF(AND(F143=G143,H143&lt;&gt;I143,F143="A"),"2018 - kwh","N/A")))</f>
        <v>N/A</v>
      </c>
      <c r="B141" s="706" t="str">
        <f>IF(F143&lt;&gt;G143,"2018 - kwh",IF(H143&lt;&gt;I143,"2017 - kwh",IF(J143&lt;&gt;K143,"2016 - kwh","N/A")))</f>
        <v>N/A</v>
      </c>
      <c r="C141" s="610" t="s">
        <v>2175</v>
      </c>
      <c r="D141" s="754"/>
      <c r="E141" s="703" t="s">
        <v>154</v>
      </c>
      <c r="F141" s="753"/>
      <c r="G141" s="753"/>
      <c r="H141" s="753"/>
      <c r="I141" s="753"/>
      <c r="J141" s="753"/>
      <c r="K141" s="753"/>
      <c r="L141" s="753"/>
      <c r="M141" s="753"/>
      <c r="N141" s="753"/>
      <c r="O141" s="753"/>
      <c r="P141" s="706"/>
      <c r="Q141" s="706"/>
      <c r="R141" s="706"/>
      <c r="S141" s="706"/>
      <c r="T141" s="706"/>
      <c r="U141" s="706"/>
      <c r="V141" s="706"/>
      <c r="Z141" s="833"/>
      <c r="AA141" s="833" t="str">
        <f>IF(AND(F143=G143,H143=I143,F143="A"),"2016 - kwh","")</f>
        <v/>
      </c>
      <c r="AB141" s="833" t="str">
        <f>IF(OR(B141="2017 - kwh",B141="2018 - kwh"),"2016 - kwh","")</f>
        <v/>
      </c>
      <c r="AC141" s="833"/>
      <c r="AD141" s="833"/>
      <c r="AE141" s="833"/>
    </row>
    <row r="142" spans="1:31" s="636" customFormat="1" hidden="1" x14ac:dyDescent="0.3">
      <c r="A142" s="706" t="str">
        <f>IF(AND(F143=G143,H143=I143,J143=K143,F143="A"),"2016 - kw",IF(AND(F143=G143,H143=I143,J143&lt;&gt;K143,F143="A"),"2017 - kw",IF(AND(F143=G143,H143&lt;&gt;I143,F143="A"),"2018 - kw","N/A")))</f>
        <v>N/A</v>
      </c>
      <c r="B142" s="706" t="str">
        <f>IF(F143&lt;&gt;G143,"2018 - kw",IF(H143&lt;&gt;I143,"2017 - kw",IF(J143&lt;&gt;K143,"2016 - kw","N/A")))</f>
        <v>N/A</v>
      </c>
      <c r="C142" s="611"/>
      <c r="D142" s="646" t="str">
        <f>D141 &amp; "kW"</f>
        <v>kW</v>
      </c>
      <c r="E142" s="702" t="s">
        <v>155</v>
      </c>
      <c r="F142" s="753"/>
      <c r="G142" s="753"/>
      <c r="H142" s="753"/>
      <c r="I142" s="753"/>
      <c r="J142" s="753"/>
      <c r="K142" s="753"/>
      <c r="L142" s="753"/>
      <c r="M142" s="753"/>
      <c r="N142" s="753"/>
      <c r="O142" s="753"/>
      <c r="P142" s="706"/>
      <c r="Q142" s="706"/>
      <c r="R142" s="706"/>
      <c r="S142" s="706"/>
      <c r="T142" s="706"/>
      <c r="U142" s="706"/>
      <c r="V142" s="706"/>
      <c r="Z142" s="833"/>
      <c r="AA142" s="833" t="str">
        <f>IF(AND(F143=G143,H143=I143,F143="A"),"2016 - kw","")</f>
        <v/>
      </c>
      <c r="AB142" s="833" t="str">
        <f>IF(OR(B142="2017 - kw",B142="2018 - kw"),"2016 - kw","")</f>
        <v/>
      </c>
      <c r="AC142" s="833"/>
      <c r="AD142" s="833"/>
      <c r="AE142" s="833"/>
    </row>
    <row r="143" spans="1:31" s="636" customFormat="1" hidden="1" x14ac:dyDescent="0.3">
      <c r="A143" s="706"/>
      <c r="B143" s="706"/>
      <c r="C143" s="614"/>
      <c r="D143" s="700"/>
      <c r="E143" s="701" t="s">
        <v>2120</v>
      </c>
      <c r="F143" s="752"/>
      <c r="G143" s="752"/>
      <c r="H143" s="752"/>
      <c r="I143" s="752"/>
      <c r="J143" s="752"/>
      <c r="K143" s="752"/>
      <c r="L143" s="752"/>
      <c r="M143" s="752"/>
      <c r="N143" s="752"/>
      <c r="O143" s="752"/>
      <c r="P143" s="706"/>
      <c r="Q143" s="706"/>
      <c r="R143" s="706"/>
      <c r="S143" s="706"/>
      <c r="T143" s="706"/>
      <c r="U143" s="706"/>
      <c r="V143" s="706"/>
      <c r="Z143" s="833"/>
      <c r="AA143" s="833"/>
      <c r="AB143" s="833"/>
      <c r="AC143" s="833"/>
      <c r="AD143" s="833"/>
      <c r="AE143" s="833"/>
    </row>
    <row r="144" spans="1:31" s="636" customFormat="1" hidden="1" x14ac:dyDescent="0.3">
      <c r="A144" s="706" t="str">
        <f>IF(AND(F146=G146,H146=I146,J146=K146,F146="A"),"2016 - kwh",IF(AND(F146=G146,H146=I146,J146&lt;&gt;K146,F146="A"),"2017 - kwh",IF(AND(F146=G146,H146&lt;&gt;I146,F146="A"),"2018 - kwh","N/A")))</f>
        <v>N/A</v>
      </c>
      <c r="B144" s="706" t="str">
        <f>IF(F146&lt;&gt;G146,"2018 - kwh",IF(H146&lt;&gt;I146,"2017 - kwh",IF(J146&lt;&gt;K146,"2016 - kwh","N/A")))</f>
        <v>N/A</v>
      </c>
      <c r="C144" s="610" t="s">
        <v>2176</v>
      </c>
      <c r="D144" s="754"/>
      <c r="E144" s="703" t="s">
        <v>154</v>
      </c>
      <c r="F144" s="753"/>
      <c r="G144" s="753"/>
      <c r="H144" s="753"/>
      <c r="I144" s="753"/>
      <c r="J144" s="753"/>
      <c r="K144" s="753"/>
      <c r="L144" s="753"/>
      <c r="M144" s="753"/>
      <c r="N144" s="753"/>
      <c r="O144" s="753"/>
      <c r="P144" s="706"/>
      <c r="Q144" s="706"/>
      <c r="R144" s="706"/>
      <c r="S144" s="706"/>
      <c r="T144" s="706"/>
      <c r="U144" s="706"/>
      <c r="V144" s="706"/>
      <c r="Z144" s="833"/>
      <c r="AA144" s="833" t="str">
        <f>IF(AND(F146=G146,H146=I146,F146="A"),"2016 - kwh","")</f>
        <v/>
      </c>
      <c r="AB144" s="833" t="str">
        <f>IF(OR(B144="2017 - kwh",B144="2018 - kwh"),"2016 - kwh","")</f>
        <v/>
      </c>
      <c r="AC144" s="833"/>
      <c r="AD144" s="833"/>
      <c r="AE144" s="833"/>
    </row>
    <row r="145" spans="1:31" s="636" customFormat="1" hidden="1" x14ac:dyDescent="0.3">
      <c r="A145" s="706" t="str">
        <f>IF(AND(F146=G146,H146=I146,J146=K146,F146="A"),"2016 - kw",IF(AND(F146=G146,H146=I146,J146&lt;&gt;K146,F146="A"),"2017 - kw",IF(AND(F146=G146,H146&lt;&gt;I146,F146="A"),"2018 - kw","N/A")))</f>
        <v>N/A</v>
      </c>
      <c r="B145" s="706" t="str">
        <f>IF(F146&lt;&gt;G146,"2018 - kw",IF(H146&lt;&gt;I146,"2017 - kw",IF(J146&lt;&gt;K146,"2016 - kw","N/A")))</f>
        <v>N/A</v>
      </c>
      <c r="C145" s="611"/>
      <c r="D145" s="646" t="str">
        <f>D144 &amp; "kW"</f>
        <v>kW</v>
      </c>
      <c r="E145" s="702" t="s">
        <v>155</v>
      </c>
      <c r="F145" s="753"/>
      <c r="G145" s="753"/>
      <c r="H145" s="753"/>
      <c r="I145" s="753"/>
      <c r="J145" s="753"/>
      <c r="K145" s="753"/>
      <c r="L145" s="753"/>
      <c r="M145" s="753"/>
      <c r="N145" s="753"/>
      <c r="O145" s="753"/>
      <c r="P145" s="706"/>
      <c r="Q145" s="706"/>
      <c r="R145" s="706"/>
      <c r="S145" s="706"/>
      <c r="T145" s="706"/>
      <c r="U145" s="706"/>
      <c r="V145" s="706"/>
      <c r="Z145" s="833"/>
      <c r="AA145" s="833" t="str">
        <f>IF(AND(F146=G146,H146=I146,F146="A"),"2016 - kw","")</f>
        <v/>
      </c>
      <c r="AB145" s="833" t="str">
        <f>IF(OR(B145="2017 - kw",B145="2018 - kw"),"2016 - kw","")</f>
        <v/>
      </c>
      <c r="AC145" s="833"/>
      <c r="AD145" s="833"/>
      <c r="AE145" s="833"/>
    </row>
    <row r="146" spans="1:31" s="636" customFormat="1" hidden="1" x14ac:dyDescent="0.3">
      <c r="A146" s="706"/>
      <c r="B146" s="706"/>
      <c r="C146" s="614"/>
      <c r="D146" s="700"/>
      <c r="E146" s="701" t="s">
        <v>2120</v>
      </c>
      <c r="F146" s="752"/>
      <c r="G146" s="752"/>
      <c r="H146" s="752"/>
      <c r="I146" s="752"/>
      <c r="J146" s="752"/>
      <c r="K146" s="752"/>
      <c r="L146" s="752"/>
      <c r="M146" s="752"/>
      <c r="N146" s="752"/>
      <c r="O146" s="752"/>
      <c r="P146" s="706"/>
      <c r="Q146" s="706"/>
      <c r="R146" s="706"/>
      <c r="S146" s="706"/>
      <c r="T146" s="706"/>
      <c r="U146" s="706"/>
      <c r="V146" s="706"/>
      <c r="Z146" s="833"/>
      <c r="AA146" s="833"/>
      <c r="AB146" s="833"/>
      <c r="AC146" s="833"/>
      <c r="AD146" s="833"/>
      <c r="AE146" s="833"/>
    </row>
    <row r="147" spans="1:31" s="636" customFormat="1" hidden="1" x14ac:dyDescent="0.3">
      <c r="A147" s="706" t="str">
        <f>IF(AND(F149=G149,H149=I149,J149=K149,F149="A"),"2016 - kwh",IF(AND(F149=G149,H149=I149,J149&lt;&gt;K149,F149="A"),"2017 - kwh",IF(AND(F149=G149,H149&lt;&gt;I149,F149="A"),"2018 - kwh","N/A")))</f>
        <v>N/A</v>
      </c>
      <c r="B147" s="706" t="str">
        <f>IF(F149&lt;&gt;G149,"2018 - kwh",IF(H149&lt;&gt;I149,"2017 - kwh",IF(J149&lt;&gt;K149,"2016 - kwh","N/A")))</f>
        <v>N/A</v>
      </c>
      <c r="C147" s="610" t="s">
        <v>2177</v>
      </c>
      <c r="D147" s="754"/>
      <c r="E147" s="703" t="s">
        <v>154</v>
      </c>
      <c r="F147" s="753"/>
      <c r="G147" s="753"/>
      <c r="H147" s="753"/>
      <c r="I147" s="753"/>
      <c r="J147" s="753"/>
      <c r="K147" s="753"/>
      <c r="L147" s="753"/>
      <c r="M147" s="753"/>
      <c r="N147" s="753"/>
      <c r="O147" s="753"/>
      <c r="P147" s="706"/>
      <c r="Q147" s="706"/>
      <c r="R147" s="706"/>
      <c r="S147" s="706"/>
      <c r="T147" s="706"/>
      <c r="U147" s="706"/>
      <c r="V147" s="706"/>
      <c r="Z147" s="833"/>
      <c r="AA147" s="833" t="str">
        <f>IF(AND(F149=G149,H149=I149,F149="A"),"2016 - kwh","")</f>
        <v/>
      </c>
      <c r="AB147" s="833" t="str">
        <f>IF(OR(B147="2017 - kwh",B147="2018 - kwh"),"2016 - kwh","")</f>
        <v/>
      </c>
      <c r="AC147" s="833"/>
      <c r="AD147" s="833"/>
      <c r="AE147" s="833"/>
    </row>
    <row r="148" spans="1:31" s="636" customFormat="1" hidden="1" x14ac:dyDescent="0.3">
      <c r="A148" s="706" t="str">
        <f>IF(AND(F149=G149,H149=I149,J149=K149,F149="A"),"2016 - kw",IF(AND(F149=G149,H149=I149,J149&lt;&gt;K149,F149="A"),"2017 - kw",IF(AND(F149=G149,H149&lt;&gt;I149,F149="A"),"2018 - kw","N/A")))</f>
        <v>N/A</v>
      </c>
      <c r="B148" s="706" t="str">
        <f>IF(F149&lt;&gt;G149,"2018 - kw",IF(H149&lt;&gt;I149,"2017 - kw",IF(J149&lt;&gt;K149,"2016 - kw","N/A")))</f>
        <v>N/A</v>
      </c>
      <c r="C148" s="611"/>
      <c r="D148" s="646" t="str">
        <f>D147 &amp; "kW"</f>
        <v>kW</v>
      </c>
      <c r="E148" s="702" t="s">
        <v>155</v>
      </c>
      <c r="F148" s="753"/>
      <c r="G148" s="753"/>
      <c r="H148" s="753"/>
      <c r="I148" s="753"/>
      <c r="J148" s="753"/>
      <c r="K148" s="753"/>
      <c r="L148" s="753"/>
      <c r="M148" s="753"/>
      <c r="N148" s="753"/>
      <c r="O148" s="753"/>
      <c r="P148" s="706"/>
      <c r="Q148" s="706"/>
      <c r="R148" s="706"/>
      <c r="S148" s="706"/>
      <c r="T148" s="706"/>
      <c r="U148" s="706"/>
      <c r="V148" s="706"/>
      <c r="Z148" s="833"/>
      <c r="AA148" s="833" t="str">
        <f>IF(AND(F149=G149,H149=I149,F149="A"),"2016 - kw","")</f>
        <v/>
      </c>
      <c r="AB148" s="833" t="str">
        <f>IF(OR(B148="2017 - kw",B148="2018 - kw"),"2016 - kw","")</f>
        <v/>
      </c>
      <c r="AC148" s="833"/>
      <c r="AD148" s="833"/>
      <c r="AE148" s="833"/>
    </row>
    <row r="149" spans="1:31" s="636" customFormat="1" hidden="1" x14ac:dyDescent="0.3">
      <c r="A149" s="706"/>
      <c r="B149" s="706"/>
      <c r="C149" s="614"/>
      <c r="D149" s="700"/>
      <c r="E149" s="701" t="s">
        <v>2120</v>
      </c>
      <c r="F149" s="752"/>
      <c r="G149" s="752"/>
      <c r="H149" s="752"/>
      <c r="I149" s="752"/>
      <c r="J149" s="752"/>
      <c r="K149" s="752"/>
      <c r="L149" s="752"/>
      <c r="M149" s="752"/>
      <c r="N149" s="752"/>
      <c r="O149" s="752"/>
      <c r="P149" s="706"/>
      <c r="Q149" s="706"/>
      <c r="R149" s="706"/>
      <c r="S149" s="706"/>
      <c r="T149" s="706"/>
      <c r="U149" s="706"/>
      <c r="V149" s="706"/>
      <c r="Z149" s="833"/>
      <c r="AA149" s="833"/>
      <c r="AB149" s="833"/>
      <c r="AC149" s="833"/>
      <c r="AD149" s="833"/>
      <c r="AE149" s="833"/>
    </row>
    <row r="150" spans="1:31" s="636" customFormat="1" hidden="1" x14ac:dyDescent="0.3">
      <c r="A150" s="706" t="str">
        <f>IF(AND(F152=G152,H152=I152,J152=K152,F152="A"),"2016 - kwh",IF(AND(F152=G152,H152=I152,J152&lt;&gt;K152,F152="A"),"2017 - kwh",IF(AND(F152=G152,H152&lt;&gt;I152,F152="A"),"2018 - kwh","N/A")))</f>
        <v>N/A</v>
      </c>
      <c r="B150" s="706" t="str">
        <f>IF(F152&lt;&gt;G152,"2018 - kwh",IF(H152&lt;&gt;I152,"2017 - kwh",IF(J152&lt;&gt;K152,"2016 - kwh","N/A")))</f>
        <v>N/A</v>
      </c>
      <c r="C150" s="610" t="s">
        <v>2178</v>
      </c>
      <c r="D150" s="754"/>
      <c r="E150" s="703" t="s">
        <v>154</v>
      </c>
      <c r="F150" s="753"/>
      <c r="G150" s="753"/>
      <c r="H150" s="753"/>
      <c r="I150" s="753"/>
      <c r="J150" s="753"/>
      <c r="K150" s="753"/>
      <c r="L150" s="753"/>
      <c r="M150" s="753"/>
      <c r="N150" s="753"/>
      <c r="O150" s="753"/>
      <c r="P150" s="706"/>
      <c r="Q150" s="706"/>
      <c r="R150" s="706"/>
      <c r="S150" s="706"/>
      <c r="T150" s="706"/>
      <c r="U150" s="706"/>
      <c r="V150" s="706"/>
      <c r="Z150" s="833"/>
      <c r="AA150" s="833" t="str">
        <f>IF(AND(F152=G152,H152=I152,F152="A"),"2016 - kwh","")</f>
        <v/>
      </c>
      <c r="AB150" s="833" t="str">
        <f>IF(OR(B150="2017 - kwh",B150="2018 - kwh"),"2016 - kwh","")</f>
        <v/>
      </c>
      <c r="AC150" s="833"/>
      <c r="AD150" s="833"/>
      <c r="AE150" s="833"/>
    </row>
    <row r="151" spans="1:31" s="636" customFormat="1" hidden="1" x14ac:dyDescent="0.3">
      <c r="A151" s="706" t="str">
        <f>IF(AND(F152=G152,H152=I152,J152=K152,F152="A"),"2016 - kw",IF(AND(F152=G152,H152=I152,J152&lt;&gt;K152,F152="A"),"2017 - kw",IF(AND(F152=G152,H152&lt;&gt;I152,F152="A"),"2018 - kw","N/A")))</f>
        <v>N/A</v>
      </c>
      <c r="B151" s="706" t="str">
        <f>IF(F152&lt;&gt;G152,"2018 - kw",IF(H152&lt;&gt;I152,"2017 - kw",IF(J152&lt;&gt;K152,"2016 - kw","N/A")))</f>
        <v>N/A</v>
      </c>
      <c r="C151" s="611"/>
      <c r="D151" s="646" t="str">
        <f>D150 &amp; "kW"</f>
        <v>kW</v>
      </c>
      <c r="E151" s="702" t="s">
        <v>155</v>
      </c>
      <c r="F151" s="753"/>
      <c r="G151" s="753"/>
      <c r="H151" s="753"/>
      <c r="I151" s="753"/>
      <c r="J151" s="753"/>
      <c r="K151" s="753"/>
      <c r="L151" s="753"/>
      <c r="M151" s="753"/>
      <c r="N151" s="753"/>
      <c r="O151" s="753"/>
      <c r="P151" s="706"/>
      <c r="Q151" s="706"/>
      <c r="R151" s="706"/>
      <c r="S151" s="706"/>
      <c r="T151" s="706"/>
      <c r="U151" s="706"/>
      <c r="V151" s="706"/>
      <c r="Z151" s="833"/>
      <c r="AA151" s="833" t="str">
        <f>IF(AND(F152=G152,H152=I152,F152="A"),"2016 - kw","")</f>
        <v/>
      </c>
      <c r="AB151" s="833" t="str">
        <f>IF(OR(B151="2017 - kw",B151="2018 - kw"),"2016 - kw","")</f>
        <v/>
      </c>
      <c r="AC151" s="833"/>
      <c r="AD151" s="833"/>
      <c r="AE151" s="833"/>
    </row>
    <row r="152" spans="1:31" s="636" customFormat="1" hidden="1" x14ac:dyDescent="0.3">
      <c r="A152" s="706"/>
      <c r="B152" s="706"/>
      <c r="C152" s="614"/>
      <c r="D152" s="700"/>
      <c r="E152" s="701" t="s">
        <v>2120</v>
      </c>
      <c r="F152" s="752"/>
      <c r="G152" s="752"/>
      <c r="H152" s="752"/>
      <c r="I152" s="752"/>
      <c r="J152" s="752"/>
      <c r="K152" s="752"/>
      <c r="L152" s="752"/>
      <c r="M152" s="752"/>
      <c r="N152" s="752"/>
      <c r="O152" s="752"/>
      <c r="P152" s="706"/>
      <c r="Q152" s="706"/>
      <c r="R152" s="706"/>
      <c r="S152" s="706"/>
      <c r="T152" s="706"/>
      <c r="U152" s="706"/>
      <c r="V152" s="706"/>
      <c r="Z152" s="833"/>
      <c r="AA152" s="833"/>
      <c r="AB152" s="833"/>
      <c r="AC152" s="833"/>
      <c r="AD152" s="833"/>
      <c r="AE152" s="833"/>
    </row>
    <row r="153" spans="1:31" s="636" customFormat="1" hidden="1" x14ac:dyDescent="0.3">
      <c r="A153" s="706" t="str">
        <f>IF(AND(F155=G155,H155=I155,J155=K155,F155="A"),"2016 - kwh",IF(AND(F155=G155,H155=I155,J155&lt;&gt;K155,F155="A"),"2017 - kwh",IF(AND(F155=G155,H155&lt;&gt;I155,F155="A"),"2018 - kwh","N/A")))</f>
        <v>N/A</v>
      </c>
      <c r="B153" s="706" t="str">
        <f>IF(F155&lt;&gt;G155,"2018 - kwh",IF(H155&lt;&gt;I155,"2017 - kwh",IF(J155&lt;&gt;K155,"2016 - kwh","N/A")))</f>
        <v>N/A</v>
      </c>
      <c r="C153" s="610" t="s">
        <v>2179</v>
      </c>
      <c r="D153" s="754"/>
      <c r="E153" s="703" t="s">
        <v>154</v>
      </c>
      <c r="F153" s="753"/>
      <c r="G153" s="753"/>
      <c r="H153" s="753"/>
      <c r="I153" s="753"/>
      <c r="J153" s="753"/>
      <c r="K153" s="753"/>
      <c r="L153" s="753"/>
      <c r="M153" s="753"/>
      <c r="N153" s="753"/>
      <c r="O153" s="753"/>
      <c r="P153" s="706"/>
      <c r="Q153" s="706"/>
      <c r="R153" s="706"/>
      <c r="S153" s="706"/>
      <c r="T153" s="706"/>
      <c r="U153" s="706"/>
      <c r="V153" s="706"/>
      <c r="Z153" s="833"/>
      <c r="AA153" s="833" t="str">
        <f>IF(AND(F155=G155,H155=I155,F155="A"),"2016 - kwh","")</f>
        <v/>
      </c>
      <c r="AB153" s="833" t="str">
        <f>IF(OR(B153="2017 - kwh",B153="2018 - kwh"),"2016 - kwh","")</f>
        <v/>
      </c>
      <c r="AC153" s="833"/>
      <c r="AD153" s="833"/>
      <c r="AE153" s="833"/>
    </row>
    <row r="154" spans="1:31" s="636" customFormat="1" hidden="1" x14ac:dyDescent="0.3">
      <c r="A154" s="706" t="str">
        <f>IF(AND(F155=G155,H155=I155,J155=K155,F155="A"),"2016 - kw",IF(AND(F155=G155,H155=I155,J155&lt;&gt;K155,F155="A"),"2017 - kw",IF(AND(F155=G155,H155&lt;&gt;I155,F155="A"),"2018 - kw","N/A")))</f>
        <v>N/A</v>
      </c>
      <c r="B154" s="706" t="str">
        <f>IF(F155&lt;&gt;G155,"2018 - kw",IF(H155&lt;&gt;I155,"2017 - kw",IF(J155&lt;&gt;K155,"2016 - kw","N/A")))</f>
        <v>N/A</v>
      </c>
      <c r="C154" s="611"/>
      <c r="D154" s="646" t="str">
        <f>D153 &amp; "kW"</f>
        <v>kW</v>
      </c>
      <c r="E154" s="702" t="s">
        <v>155</v>
      </c>
      <c r="F154" s="753"/>
      <c r="G154" s="753"/>
      <c r="H154" s="753"/>
      <c r="I154" s="753"/>
      <c r="J154" s="753"/>
      <c r="K154" s="753"/>
      <c r="L154" s="753"/>
      <c r="M154" s="753"/>
      <c r="N154" s="753"/>
      <c r="O154" s="753"/>
      <c r="P154" s="706"/>
      <c r="Q154" s="706"/>
      <c r="R154" s="706"/>
      <c r="S154" s="706"/>
      <c r="T154" s="706"/>
      <c r="U154" s="706"/>
      <c r="V154" s="706"/>
      <c r="Z154" s="833"/>
      <c r="AA154" s="833" t="str">
        <f>IF(AND(F155=G155,H155=I155,F155="A"),"2016 - kw","")</f>
        <v/>
      </c>
      <c r="AB154" s="833" t="str">
        <f>IF(OR(B154="2017 - kw",B154="2018 - kw"),"2016 - kw","")</f>
        <v/>
      </c>
      <c r="AC154" s="833"/>
      <c r="AD154" s="833"/>
      <c r="AE154" s="833"/>
    </row>
    <row r="155" spans="1:31" s="636" customFormat="1" hidden="1" x14ac:dyDescent="0.3">
      <c r="A155" s="706"/>
      <c r="B155" s="706"/>
      <c r="C155" s="614"/>
      <c r="D155" s="700"/>
      <c r="E155" s="701" t="s">
        <v>2120</v>
      </c>
      <c r="F155" s="752"/>
      <c r="G155" s="752"/>
      <c r="H155" s="752"/>
      <c r="I155" s="752"/>
      <c r="J155" s="752"/>
      <c r="K155" s="752"/>
      <c r="L155" s="752"/>
      <c r="M155" s="752"/>
      <c r="N155" s="752"/>
      <c r="O155" s="752"/>
      <c r="P155" s="706"/>
      <c r="Q155" s="706"/>
      <c r="R155" s="706"/>
      <c r="S155" s="706"/>
      <c r="T155" s="706"/>
      <c r="U155" s="706"/>
      <c r="V155" s="706"/>
      <c r="Z155" s="833"/>
      <c r="AA155" s="833"/>
      <c r="AB155" s="833"/>
      <c r="AC155" s="833"/>
      <c r="AD155" s="833"/>
      <c r="AE155" s="833"/>
    </row>
    <row r="156" spans="1:31" s="636" customFormat="1" hidden="1" x14ac:dyDescent="0.3">
      <c r="A156" s="706" t="str">
        <f>IF(AND(F158=G158,H158=I158,J158=K158,F158="A"),"2016 - kwh",IF(AND(F158=G158,H158=I158,J158&lt;&gt;K158,F158="A"),"2017 - kwh",IF(AND(F158=G158,H158&lt;&gt;I158,F158="A"),"2018 - kwh","N/A")))</f>
        <v>N/A</v>
      </c>
      <c r="B156" s="706" t="str">
        <f>IF(F158&lt;&gt;G158,"2018 - kwh",IF(H158&lt;&gt;I158,"2017 - kwh",IF(J158&lt;&gt;K158,"2016 - kwh","N/A")))</f>
        <v>N/A</v>
      </c>
      <c r="C156" s="610" t="s">
        <v>2180</v>
      </c>
      <c r="D156" s="754"/>
      <c r="E156" s="703" t="s">
        <v>154</v>
      </c>
      <c r="F156" s="753"/>
      <c r="G156" s="753"/>
      <c r="H156" s="753"/>
      <c r="I156" s="753"/>
      <c r="J156" s="753"/>
      <c r="K156" s="753"/>
      <c r="L156" s="753"/>
      <c r="M156" s="753"/>
      <c r="N156" s="753"/>
      <c r="O156" s="753"/>
      <c r="P156" s="706"/>
      <c r="Q156" s="706"/>
      <c r="R156" s="706"/>
      <c r="S156" s="706"/>
      <c r="T156" s="706"/>
      <c r="U156" s="706"/>
      <c r="V156" s="706"/>
      <c r="Z156" s="833"/>
      <c r="AA156" s="833" t="str">
        <f>IF(AND(F158=G158,H158=I158,F158="A"),"2016 - kwh","")</f>
        <v/>
      </c>
      <c r="AB156" s="833" t="str">
        <f>IF(OR(B156="2017 - kwh",B156="2018 - kwh"),"2016 - kwh","")</f>
        <v/>
      </c>
      <c r="AC156" s="833"/>
      <c r="AD156" s="833"/>
      <c r="AE156" s="833"/>
    </row>
    <row r="157" spans="1:31" s="636" customFormat="1" hidden="1" x14ac:dyDescent="0.3">
      <c r="A157" s="706" t="str">
        <f>IF(AND(F158=G158,H158=I158,J158=K158,F158="A"),"2016 - kw",IF(AND(F158=G158,H158=I158,J158&lt;&gt;K158,F158="A"),"2017 - kw",IF(AND(F158=G158,H158&lt;&gt;I158,F158="A"),"2018 - kw","N/A")))</f>
        <v>N/A</v>
      </c>
      <c r="B157" s="706" t="str">
        <f>IF(F158&lt;&gt;G158,"2018 - kw",IF(H158&lt;&gt;I158,"2017 - kw",IF(J158&lt;&gt;K158,"2016 - kw","N/A")))</f>
        <v>N/A</v>
      </c>
      <c r="C157" s="611"/>
      <c r="D157" s="646" t="str">
        <f>D156 &amp; "kW"</f>
        <v>kW</v>
      </c>
      <c r="E157" s="702" t="s">
        <v>155</v>
      </c>
      <c r="F157" s="753"/>
      <c r="G157" s="753"/>
      <c r="H157" s="753"/>
      <c r="I157" s="753"/>
      <c r="J157" s="753"/>
      <c r="K157" s="753"/>
      <c r="L157" s="753"/>
      <c r="M157" s="753"/>
      <c r="N157" s="753"/>
      <c r="O157" s="753"/>
      <c r="P157" s="706"/>
      <c r="Q157" s="706"/>
      <c r="R157" s="706"/>
      <c r="S157" s="706"/>
      <c r="T157" s="706"/>
      <c r="U157" s="706"/>
      <c r="V157" s="706"/>
      <c r="Z157" s="833"/>
      <c r="AA157" s="833" t="str">
        <f>IF(AND(F158=G158,H158=I158,F158="A"),"2016 - kw","")</f>
        <v/>
      </c>
      <c r="AB157" s="833" t="str">
        <f>IF(OR(B157="2017 - kw",B157="2018 - kw"),"2016 - kw","")</f>
        <v/>
      </c>
      <c r="AC157" s="833"/>
      <c r="AD157" s="833"/>
      <c r="AE157" s="833"/>
    </row>
    <row r="158" spans="1:31" s="636" customFormat="1" hidden="1" x14ac:dyDescent="0.3">
      <c r="A158" s="706"/>
      <c r="B158" s="706"/>
      <c r="C158" s="614"/>
      <c r="D158" s="700"/>
      <c r="E158" s="701" t="s">
        <v>2120</v>
      </c>
      <c r="F158" s="752"/>
      <c r="G158" s="752"/>
      <c r="H158" s="752"/>
      <c r="I158" s="752"/>
      <c r="J158" s="752"/>
      <c r="K158" s="752"/>
      <c r="L158" s="752"/>
      <c r="M158" s="752"/>
      <c r="N158" s="752"/>
      <c r="O158" s="752"/>
      <c r="P158" s="706"/>
      <c r="Q158" s="706"/>
      <c r="R158" s="706"/>
      <c r="S158" s="706"/>
      <c r="T158" s="706"/>
      <c r="U158" s="706"/>
      <c r="V158" s="706"/>
      <c r="Z158" s="833"/>
      <c r="AA158" s="833"/>
      <c r="AB158" s="833"/>
      <c r="AC158" s="833"/>
      <c r="AD158" s="833"/>
      <c r="AE158" s="833"/>
    </row>
    <row r="159" spans="1:31" s="636" customFormat="1" hidden="1" x14ac:dyDescent="0.3">
      <c r="A159" s="706" t="str">
        <f>IF(AND(F161=G161,H161=I161,J161=K161,F161="A"),"2016 - kwh",IF(AND(F161=G161,H161=I161,J161&lt;&gt;K161,F161="A"),"2017 - kwh",IF(AND(F161=G161,H161&lt;&gt;I161,F161="A"),"2018 - kwh","N/A")))</f>
        <v>N/A</v>
      </c>
      <c r="B159" s="706" t="str">
        <f>IF(F161&lt;&gt;G161,"2018 - kwh",IF(H161&lt;&gt;I161,"2017 - kwh",IF(J161&lt;&gt;K161,"2016 - kwh","N/A")))</f>
        <v>N/A</v>
      </c>
      <c r="C159" s="610" t="s">
        <v>2181</v>
      </c>
      <c r="D159" s="754"/>
      <c r="E159" s="703" t="s">
        <v>154</v>
      </c>
      <c r="F159" s="753"/>
      <c r="G159" s="753"/>
      <c r="H159" s="753"/>
      <c r="I159" s="753"/>
      <c r="J159" s="753"/>
      <c r="K159" s="753"/>
      <c r="L159" s="753"/>
      <c r="M159" s="753"/>
      <c r="N159" s="753"/>
      <c r="O159" s="753"/>
      <c r="P159" s="706"/>
      <c r="Q159" s="706"/>
      <c r="R159" s="706"/>
      <c r="S159" s="706"/>
      <c r="T159" s="706"/>
      <c r="U159" s="706"/>
      <c r="V159" s="706"/>
      <c r="Z159" s="833"/>
      <c r="AA159" s="833" t="str">
        <f>IF(AND(F161=G161,H161=I161,F161="A"),"2016 - kwh","")</f>
        <v/>
      </c>
      <c r="AB159" s="833" t="str">
        <f>IF(OR(B159="2017 - kwh",B159="2018 - kwh"),"2016 - kwh","")</f>
        <v/>
      </c>
      <c r="AC159" s="833"/>
      <c r="AD159" s="833"/>
      <c r="AE159" s="833"/>
    </row>
    <row r="160" spans="1:31" s="636" customFormat="1" hidden="1" x14ac:dyDescent="0.3">
      <c r="A160" s="706" t="str">
        <f>IF(AND(F161=G161,H161=I161,J161=K161,F161="A"),"2016 - kw",IF(AND(F161=G161,H161=I161,J161&lt;&gt;K161,F161="A"),"2017 - kw",IF(AND(F161=G161,H161&lt;&gt;I161,F161="A"),"2018 - kw","N/A")))</f>
        <v>N/A</v>
      </c>
      <c r="B160" s="706" t="str">
        <f>IF(F161&lt;&gt;G161,"2018 - kw",IF(H161&lt;&gt;I161,"2017 - kw",IF(J161&lt;&gt;K161,"2016 - kw","N/A")))</f>
        <v>N/A</v>
      </c>
      <c r="C160" s="611"/>
      <c r="D160" s="646" t="str">
        <f>D159 &amp; "kW"</f>
        <v>kW</v>
      </c>
      <c r="E160" s="702" t="s">
        <v>155</v>
      </c>
      <c r="F160" s="753"/>
      <c r="G160" s="753"/>
      <c r="H160" s="753"/>
      <c r="I160" s="753"/>
      <c r="J160" s="753"/>
      <c r="K160" s="753"/>
      <c r="L160" s="753"/>
      <c r="M160" s="753"/>
      <c r="N160" s="753"/>
      <c r="O160" s="753"/>
      <c r="P160" s="706"/>
      <c r="Q160" s="706"/>
      <c r="R160" s="706"/>
      <c r="S160" s="706"/>
      <c r="T160" s="706"/>
      <c r="U160" s="706"/>
      <c r="V160" s="706"/>
      <c r="Z160" s="833"/>
      <c r="AA160" s="833" t="str">
        <f>IF(AND(F161=G161,H161=I161,F161="A"),"2016 - kw","")</f>
        <v/>
      </c>
      <c r="AB160" s="833" t="str">
        <f>IF(OR(B160="2017 - kw",B160="2018 - kw"),"2016 - kw","")</f>
        <v/>
      </c>
      <c r="AC160" s="833"/>
      <c r="AD160" s="833"/>
      <c r="AE160" s="833"/>
    </row>
    <row r="161" spans="1:31" s="636" customFormat="1" hidden="1" x14ac:dyDescent="0.3">
      <c r="A161" s="706"/>
      <c r="B161" s="706"/>
      <c r="C161" s="614"/>
      <c r="D161" s="700"/>
      <c r="E161" s="701" t="s">
        <v>2120</v>
      </c>
      <c r="F161" s="752"/>
      <c r="G161" s="752"/>
      <c r="H161" s="752"/>
      <c r="I161" s="752"/>
      <c r="J161" s="752"/>
      <c r="K161" s="752"/>
      <c r="L161" s="752"/>
      <c r="M161" s="752"/>
      <c r="N161" s="752"/>
      <c r="O161" s="752"/>
      <c r="P161" s="706"/>
      <c r="Q161" s="706"/>
      <c r="R161" s="706"/>
      <c r="S161" s="706"/>
      <c r="T161" s="706"/>
      <c r="U161" s="706"/>
      <c r="V161" s="706"/>
      <c r="Z161" s="833"/>
      <c r="AA161" s="833"/>
      <c r="AB161" s="833"/>
      <c r="AC161" s="833"/>
      <c r="AD161" s="833"/>
      <c r="AE161" s="833"/>
    </row>
    <row r="162" spans="1:31" s="636" customFormat="1" hidden="1" x14ac:dyDescent="0.3">
      <c r="A162" s="706" t="str">
        <f>IF(AND(F164=G164,H164=I164,J164=K164,F164="A"),"2016 - kwh",IF(AND(F164=G164,H164=I164,J164&lt;&gt;K164,F164="A"),"2017 - kwh",IF(AND(F164=G164,H164&lt;&gt;I164,F164="A"),"2018 - kwh","N/A")))</f>
        <v>N/A</v>
      </c>
      <c r="B162" s="706" t="str">
        <f>IF(F164&lt;&gt;G164,"2018 - kwh",IF(H164&lt;&gt;I164,"2017 - kwh",IF(J164&lt;&gt;K164,"2016 - kwh","N/A")))</f>
        <v>N/A</v>
      </c>
      <c r="C162" s="610" t="s">
        <v>2182</v>
      </c>
      <c r="D162" s="754"/>
      <c r="E162" s="703" t="s">
        <v>154</v>
      </c>
      <c r="F162" s="753"/>
      <c r="G162" s="753"/>
      <c r="H162" s="753"/>
      <c r="I162" s="753"/>
      <c r="J162" s="753"/>
      <c r="K162" s="753"/>
      <c r="L162" s="753"/>
      <c r="M162" s="753"/>
      <c r="N162" s="753"/>
      <c r="O162" s="753"/>
      <c r="P162" s="706"/>
      <c r="Q162" s="706"/>
      <c r="R162" s="706"/>
      <c r="S162" s="706"/>
      <c r="T162" s="706"/>
      <c r="U162" s="706"/>
      <c r="V162" s="706"/>
      <c r="Z162" s="833"/>
      <c r="AA162" s="833" t="str">
        <f>IF(AND(F164=G164,H164=I164,F164="A"),"2016 - kwh","")</f>
        <v/>
      </c>
      <c r="AB162" s="833" t="str">
        <f>IF(OR(B162="2017 - kwh",B162="2018 - kwh"),"2016 - kwh","")</f>
        <v/>
      </c>
      <c r="AC162" s="833"/>
      <c r="AD162" s="833"/>
      <c r="AE162" s="833"/>
    </row>
    <row r="163" spans="1:31" s="636" customFormat="1" hidden="1" x14ac:dyDescent="0.3">
      <c r="A163" s="706" t="str">
        <f>IF(AND(F164=G164,H164=I164,J164=K164,F164="A"),"2016 - kw",IF(AND(F164=G164,H164=I164,J164&lt;&gt;K164,F164="A"),"2017 - kw",IF(AND(F164=G164,H164&lt;&gt;I164,F164="A"),"2018 - kw","N/A")))</f>
        <v>N/A</v>
      </c>
      <c r="B163" s="706" t="str">
        <f>IF(F164&lt;&gt;G164,"2018 - kw",IF(H164&lt;&gt;I164,"2017 - kw",IF(J164&lt;&gt;K164,"2016 - kw","N/A")))</f>
        <v>N/A</v>
      </c>
      <c r="C163" s="611"/>
      <c r="D163" s="646" t="str">
        <f>D162 &amp; "kW"</f>
        <v>kW</v>
      </c>
      <c r="E163" s="702" t="s">
        <v>155</v>
      </c>
      <c r="F163" s="753"/>
      <c r="G163" s="753"/>
      <c r="H163" s="753"/>
      <c r="I163" s="753"/>
      <c r="J163" s="753"/>
      <c r="K163" s="753"/>
      <c r="L163" s="753"/>
      <c r="M163" s="753"/>
      <c r="N163" s="753"/>
      <c r="O163" s="753"/>
      <c r="P163" s="706"/>
      <c r="Q163" s="706"/>
      <c r="R163" s="706"/>
      <c r="S163" s="706"/>
      <c r="T163" s="706"/>
      <c r="U163" s="706"/>
      <c r="V163" s="706"/>
      <c r="Z163" s="833"/>
      <c r="AA163" s="833" t="str">
        <f>IF(AND(F164=G164,H164=I164,F164="A"),"2016 - kw","")</f>
        <v/>
      </c>
      <c r="AB163" s="833" t="str">
        <f>IF(OR(B163="2017 - kw",B163="2018 - kw"),"2016 - kw","")</f>
        <v/>
      </c>
      <c r="AC163" s="833"/>
      <c r="AD163" s="833"/>
      <c r="AE163" s="833"/>
    </row>
    <row r="164" spans="1:31" s="636" customFormat="1" hidden="1" x14ac:dyDescent="0.3">
      <c r="A164" s="706"/>
      <c r="B164" s="706"/>
      <c r="C164" s="614"/>
      <c r="D164" s="700"/>
      <c r="E164" s="701" t="s">
        <v>2120</v>
      </c>
      <c r="F164" s="752"/>
      <c r="G164" s="752"/>
      <c r="H164" s="752"/>
      <c r="I164" s="752"/>
      <c r="J164" s="752"/>
      <c r="K164" s="752"/>
      <c r="L164" s="752"/>
      <c r="M164" s="752"/>
      <c r="N164" s="752"/>
      <c r="O164" s="752"/>
      <c r="P164" s="706"/>
      <c r="Q164" s="706"/>
      <c r="R164" s="706"/>
      <c r="S164" s="706"/>
      <c r="T164" s="706"/>
      <c r="U164" s="706"/>
      <c r="V164" s="706"/>
      <c r="Z164" s="833"/>
      <c r="AA164" s="833"/>
      <c r="AB164" s="833"/>
      <c r="AC164" s="833"/>
      <c r="AD164" s="833"/>
      <c r="AE164" s="833"/>
    </row>
    <row r="165" spans="1:31" s="636" customFormat="1" hidden="1" x14ac:dyDescent="0.3">
      <c r="A165" s="706" t="str">
        <f>IF(AND(F167=G167,H167=I167,J167=K167,F167="A"),"2016 - kwh",IF(AND(F167=G167,H167=I167,J167&lt;&gt;K167,F167="A"),"2017 - kwh",IF(AND(F167=G167,H167&lt;&gt;I167,F167="A"),"2018 - kwh","N/A")))</f>
        <v>N/A</v>
      </c>
      <c r="B165" s="706" t="str">
        <f>IF(F167&lt;&gt;G167,"2018 - kwh",IF(H167&lt;&gt;I167,"2017 - kwh",IF(J167&lt;&gt;K167,"2016 - kwh","N/A")))</f>
        <v>N/A</v>
      </c>
      <c r="C165" s="610" t="s">
        <v>2183</v>
      </c>
      <c r="D165" s="754"/>
      <c r="E165" s="703" t="s">
        <v>154</v>
      </c>
      <c r="F165" s="753"/>
      <c r="G165" s="753"/>
      <c r="H165" s="753"/>
      <c r="I165" s="753"/>
      <c r="J165" s="753"/>
      <c r="K165" s="753"/>
      <c r="L165" s="753"/>
      <c r="M165" s="753"/>
      <c r="N165" s="753"/>
      <c r="O165" s="753"/>
      <c r="P165" s="706"/>
      <c r="Q165" s="706"/>
      <c r="R165" s="706"/>
      <c r="S165" s="706"/>
      <c r="T165" s="706"/>
      <c r="U165" s="706"/>
      <c r="V165" s="706"/>
      <c r="Z165" s="833"/>
      <c r="AA165" s="833" t="str">
        <f>IF(AND(F167=G167,H167=I167,F167="A"),"2016 - kwh","")</f>
        <v/>
      </c>
      <c r="AB165" s="833" t="str">
        <f>IF(OR(B165="2017 - kwh",B165="2018 - kwh"),"2016 - kwh","")</f>
        <v/>
      </c>
      <c r="AC165" s="833"/>
      <c r="AD165" s="833"/>
      <c r="AE165" s="833"/>
    </row>
    <row r="166" spans="1:31" s="636" customFormat="1" hidden="1" x14ac:dyDescent="0.3">
      <c r="A166" s="706" t="str">
        <f>IF(AND(F167=G167,H167=I167,J167=K167,F167="A"),"2016 - kw",IF(AND(F167=G167,H167=I167,J167&lt;&gt;K167,F167="A"),"2017 - kw",IF(AND(F167=G167,H167&lt;&gt;I167,F167="A"),"2018 - kw","N/A")))</f>
        <v>N/A</v>
      </c>
      <c r="B166" s="706" t="str">
        <f>IF(F167&lt;&gt;G167,"2018 - kw",IF(H167&lt;&gt;I167,"2017 - kw",IF(J167&lt;&gt;K167,"2016 - kw","N/A")))</f>
        <v>N/A</v>
      </c>
      <c r="C166" s="611"/>
      <c r="D166" s="646" t="str">
        <f>D165 &amp; "kW"</f>
        <v>kW</v>
      </c>
      <c r="E166" s="702" t="s">
        <v>155</v>
      </c>
      <c r="F166" s="753"/>
      <c r="G166" s="753"/>
      <c r="H166" s="753"/>
      <c r="I166" s="753"/>
      <c r="J166" s="753"/>
      <c r="K166" s="753"/>
      <c r="L166" s="753"/>
      <c r="M166" s="753"/>
      <c r="N166" s="753"/>
      <c r="O166" s="753"/>
      <c r="P166" s="706"/>
      <c r="Q166" s="706"/>
      <c r="R166" s="706"/>
      <c r="S166" s="706"/>
      <c r="T166" s="706"/>
      <c r="U166" s="706"/>
      <c r="V166" s="706"/>
      <c r="Z166" s="833"/>
      <c r="AA166" s="833" t="str">
        <f>IF(AND(F167=G167,H167=I167,F167="A"),"2016 - kw","")</f>
        <v/>
      </c>
      <c r="AB166" s="833" t="str">
        <f>IF(OR(B166="2017 - kw",B166="2018 - kw"),"2016 - kw","")</f>
        <v/>
      </c>
      <c r="AC166" s="833"/>
      <c r="AD166" s="833"/>
      <c r="AE166" s="833"/>
    </row>
    <row r="167" spans="1:31" s="636" customFormat="1" hidden="1" x14ac:dyDescent="0.3">
      <c r="A167" s="706"/>
      <c r="B167" s="706"/>
      <c r="C167" s="614"/>
      <c r="D167" s="700"/>
      <c r="E167" s="701" t="s">
        <v>2120</v>
      </c>
      <c r="F167" s="752"/>
      <c r="G167" s="752"/>
      <c r="H167" s="752"/>
      <c r="I167" s="752"/>
      <c r="J167" s="752"/>
      <c r="K167" s="752"/>
      <c r="L167" s="752"/>
      <c r="M167" s="752"/>
      <c r="N167" s="752"/>
      <c r="O167" s="752"/>
      <c r="P167" s="706"/>
      <c r="Q167" s="706"/>
      <c r="R167" s="706"/>
      <c r="S167" s="706"/>
      <c r="T167" s="706"/>
      <c r="U167" s="706"/>
      <c r="V167" s="706"/>
      <c r="Z167" s="833"/>
      <c r="AA167" s="833"/>
      <c r="AB167" s="833"/>
      <c r="AC167" s="833"/>
      <c r="AD167" s="833"/>
      <c r="AE167" s="833"/>
    </row>
    <row r="168" spans="1:31" s="636" customFormat="1" hidden="1" x14ac:dyDescent="0.3">
      <c r="A168" s="706" t="str">
        <f>IF(AND(F170=G170,H170=I170,J170=K170,F170="A"),"2016 - kwh",IF(AND(F170=G170,H170=I170,J170&lt;&gt;K170,F170="A"),"2017 - kwh",IF(AND(F170=G170,H170&lt;&gt;I170,F170="A"),"2018 - kwh","N/A")))</f>
        <v>N/A</v>
      </c>
      <c r="B168" s="706" t="str">
        <f>IF(F170&lt;&gt;G170,"2018 - kwh",IF(H170&lt;&gt;I170,"2017 - kwh",IF(J170&lt;&gt;K170,"2016 - kwh","N/A")))</f>
        <v>N/A</v>
      </c>
      <c r="C168" s="610" t="s">
        <v>2184</v>
      </c>
      <c r="D168" s="754"/>
      <c r="E168" s="703" t="s">
        <v>154</v>
      </c>
      <c r="F168" s="753"/>
      <c r="G168" s="753"/>
      <c r="H168" s="753"/>
      <c r="I168" s="753"/>
      <c r="J168" s="753"/>
      <c r="K168" s="753"/>
      <c r="L168" s="753"/>
      <c r="M168" s="753"/>
      <c r="N168" s="753"/>
      <c r="O168" s="753"/>
      <c r="P168" s="706"/>
      <c r="Q168" s="706"/>
      <c r="R168" s="706"/>
      <c r="S168" s="706"/>
      <c r="T168" s="706"/>
      <c r="U168" s="706"/>
      <c r="V168" s="706"/>
      <c r="Z168" s="833"/>
      <c r="AA168" s="833" t="str">
        <f>IF(AND(F170=G170,H170=I170,F170="A"),"2016 - kwh","")</f>
        <v/>
      </c>
      <c r="AB168" s="833" t="str">
        <f>IF(OR(B168="2017 - kwh",B168="2018 - kwh"),"2016 - kwh","")</f>
        <v/>
      </c>
      <c r="AC168" s="833"/>
      <c r="AD168" s="833"/>
      <c r="AE168" s="833"/>
    </row>
    <row r="169" spans="1:31" s="636" customFormat="1" hidden="1" x14ac:dyDescent="0.3">
      <c r="A169" s="706" t="str">
        <f>IF(AND(F170=G170,H170=I170,J170=K170,F170="A"),"2016 - kw",IF(AND(F170=G170,H170=I170,J170&lt;&gt;K170,F170="A"),"2017 - kw",IF(AND(F170=G170,H170&lt;&gt;I170,F170="A"),"2018 - kw","N/A")))</f>
        <v>N/A</v>
      </c>
      <c r="B169" s="706" t="str">
        <f>IF(F170&lt;&gt;G170,"2018 - kw",IF(H170&lt;&gt;I170,"2017 - kw",IF(J170&lt;&gt;K170,"2016 - kw","N/A")))</f>
        <v>N/A</v>
      </c>
      <c r="C169" s="611"/>
      <c r="D169" s="646" t="str">
        <f>D168 &amp; "kW"</f>
        <v>kW</v>
      </c>
      <c r="E169" s="702" t="s">
        <v>155</v>
      </c>
      <c r="F169" s="753"/>
      <c r="G169" s="753"/>
      <c r="H169" s="753"/>
      <c r="I169" s="753"/>
      <c r="J169" s="753"/>
      <c r="K169" s="753"/>
      <c r="L169" s="753"/>
      <c r="M169" s="753"/>
      <c r="N169" s="753"/>
      <c r="O169" s="753"/>
      <c r="P169" s="706"/>
      <c r="Q169" s="706"/>
      <c r="R169" s="706"/>
      <c r="S169" s="706"/>
      <c r="T169" s="706"/>
      <c r="U169" s="706"/>
      <c r="V169" s="706"/>
      <c r="Z169" s="833"/>
      <c r="AA169" s="833" t="str">
        <f>IF(AND(F170=G170,H170=I170,F170="A"),"2016 - kw","")</f>
        <v/>
      </c>
      <c r="AB169" s="833" t="str">
        <f>IF(OR(B169="2017 - kw",B169="2018 - kw"),"2016 - kw","")</f>
        <v/>
      </c>
      <c r="AC169" s="833"/>
      <c r="AD169" s="833"/>
      <c r="AE169" s="833"/>
    </row>
    <row r="170" spans="1:31" s="636" customFormat="1" hidden="1" x14ac:dyDescent="0.3">
      <c r="A170" s="706"/>
      <c r="B170" s="706"/>
      <c r="C170" s="614"/>
      <c r="D170" s="700"/>
      <c r="E170" s="701" t="s">
        <v>2120</v>
      </c>
      <c r="F170" s="752"/>
      <c r="G170" s="752"/>
      <c r="H170" s="752"/>
      <c r="I170" s="752"/>
      <c r="J170" s="752"/>
      <c r="K170" s="752"/>
      <c r="L170" s="752"/>
      <c r="M170" s="752"/>
      <c r="N170" s="752"/>
      <c r="O170" s="752"/>
      <c r="P170" s="706"/>
      <c r="Q170" s="706"/>
      <c r="R170" s="706"/>
      <c r="S170" s="706"/>
      <c r="T170" s="706"/>
      <c r="U170" s="706"/>
      <c r="V170" s="706"/>
      <c r="Z170" s="833"/>
      <c r="AA170" s="833"/>
      <c r="AB170" s="833"/>
      <c r="AC170" s="833"/>
      <c r="AD170" s="833"/>
      <c r="AE170" s="833"/>
    </row>
    <row r="171" spans="1:31" s="636" customFormat="1" hidden="1" x14ac:dyDescent="0.3">
      <c r="A171" s="706" t="str">
        <f>IF(AND(F173=G173,H173=I173,J173=K173,F173="A"),"2016 - kwh",IF(AND(F173=G173,H173=I173,J173&lt;&gt;K173,F173="A"),"2017 - kwh",IF(AND(F173=G173,H173&lt;&gt;I173,F173="A"),"2018 - kwh","N/A")))</f>
        <v>N/A</v>
      </c>
      <c r="B171" s="706" t="str">
        <f>IF(F173&lt;&gt;G173,"2018 - kwh",IF(H173&lt;&gt;I173,"2017 - kwh",IF(J173&lt;&gt;K173,"2016 - kwh","N/A")))</f>
        <v>N/A</v>
      </c>
      <c r="C171" s="610" t="s">
        <v>2185</v>
      </c>
      <c r="D171" s="754"/>
      <c r="E171" s="703" t="s">
        <v>154</v>
      </c>
      <c r="F171" s="753"/>
      <c r="G171" s="753"/>
      <c r="H171" s="753"/>
      <c r="I171" s="753"/>
      <c r="J171" s="753"/>
      <c r="K171" s="753"/>
      <c r="L171" s="753"/>
      <c r="M171" s="753"/>
      <c r="N171" s="753"/>
      <c r="O171" s="753"/>
      <c r="P171" s="706"/>
      <c r="Q171" s="706"/>
      <c r="R171" s="706"/>
      <c r="S171" s="706"/>
      <c r="T171" s="706"/>
      <c r="U171" s="706"/>
      <c r="V171" s="706"/>
      <c r="Z171" s="833"/>
      <c r="AA171" s="833" t="str">
        <f>IF(AND(F173=G173,H173=I173,F173="A"),"2016 - kwh","")</f>
        <v/>
      </c>
      <c r="AB171" s="833" t="str">
        <f>IF(OR(B171="2017 - kwh",B171="2018 - kwh"),"2016 - kwh","")</f>
        <v/>
      </c>
      <c r="AC171" s="833"/>
      <c r="AD171" s="833"/>
      <c r="AE171" s="833"/>
    </row>
    <row r="172" spans="1:31" s="636" customFormat="1" hidden="1" x14ac:dyDescent="0.3">
      <c r="A172" s="706" t="str">
        <f>IF(AND(F173=G173,H173=I173,J173=K173,F173="A"),"2016 - kw",IF(AND(F173=G173,H173=I173,J173&lt;&gt;K173,F173="A"),"2017 - kw",IF(AND(F173=G173,H173&lt;&gt;I173,F173="A"),"2018 - kw","N/A")))</f>
        <v>N/A</v>
      </c>
      <c r="B172" s="706" t="str">
        <f>IF(F173&lt;&gt;G173,"2018 - kw",IF(H173&lt;&gt;I173,"2017 - kw",IF(J173&lt;&gt;K173,"2016 - kw","N/A")))</f>
        <v>N/A</v>
      </c>
      <c r="C172" s="611"/>
      <c r="D172" s="646" t="str">
        <f>D171 &amp; "kW"</f>
        <v>kW</v>
      </c>
      <c r="E172" s="702" t="s">
        <v>155</v>
      </c>
      <c r="F172" s="753"/>
      <c r="G172" s="753"/>
      <c r="H172" s="753"/>
      <c r="I172" s="753"/>
      <c r="J172" s="753"/>
      <c r="K172" s="753"/>
      <c r="L172" s="753"/>
      <c r="M172" s="753"/>
      <c r="N172" s="753"/>
      <c r="O172" s="753"/>
      <c r="P172" s="706"/>
      <c r="Q172" s="706"/>
      <c r="R172" s="706"/>
      <c r="S172" s="706"/>
      <c r="T172" s="706"/>
      <c r="U172" s="706"/>
      <c r="V172" s="706"/>
      <c r="Z172" s="833"/>
      <c r="AA172" s="833" t="str">
        <f>IF(AND(F173=G173,H173=I173,F173="A"),"2016 - kw","")</f>
        <v/>
      </c>
      <c r="AB172" s="833" t="str">
        <f>IF(OR(B172="2017 - kw",B172="2018 - kw"),"2016 - kw","")</f>
        <v/>
      </c>
      <c r="AC172" s="833"/>
      <c r="AD172" s="833"/>
      <c r="AE172" s="833"/>
    </row>
    <row r="173" spans="1:31" s="636" customFormat="1" hidden="1" x14ac:dyDescent="0.3">
      <c r="A173" s="706"/>
      <c r="B173" s="706"/>
      <c r="C173" s="614"/>
      <c r="D173" s="700"/>
      <c r="E173" s="701" t="s">
        <v>2120</v>
      </c>
      <c r="F173" s="752"/>
      <c r="G173" s="752"/>
      <c r="H173" s="752"/>
      <c r="I173" s="752"/>
      <c r="J173" s="752"/>
      <c r="K173" s="752"/>
      <c r="L173" s="752"/>
      <c r="M173" s="752"/>
      <c r="N173" s="752"/>
      <c r="O173" s="752"/>
      <c r="P173" s="706"/>
      <c r="Q173" s="706"/>
      <c r="R173" s="706"/>
      <c r="S173" s="706"/>
      <c r="T173" s="706"/>
      <c r="U173" s="706"/>
      <c r="V173" s="706"/>
      <c r="Z173" s="833"/>
      <c r="AA173" s="833"/>
      <c r="AB173" s="833"/>
      <c r="AC173" s="833"/>
      <c r="AD173" s="833"/>
      <c r="AE173" s="833"/>
    </row>
    <row r="174" spans="1:31" s="636" customFormat="1" hidden="1" x14ac:dyDescent="0.3">
      <c r="A174" s="706" t="str">
        <f>IF(AND(F176=G176,H176=I176,J176=K176,F176="A"),"2016 - kwh",IF(AND(F176=G176,H176=I176,J176&lt;&gt;K176,F176="A"),"2017 - kwh",IF(AND(F176=G176,H176&lt;&gt;I176,F176="A"),"2018 - kwh","N/A")))</f>
        <v>N/A</v>
      </c>
      <c r="B174" s="706" t="str">
        <f>IF(F176&lt;&gt;G176,"2018 - kwh",IF(H176&lt;&gt;I176,"2017 - kwh",IF(J176&lt;&gt;K176,"2016 - kwh","N/A")))</f>
        <v>N/A</v>
      </c>
      <c r="C174" s="610" t="s">
        <v>2186</v>
      </c>
      <c r="D174" s="754"/>
      <c r="E174" s="703" t="s">
        <v>154</v>
      </c>
      <c r="F174" s="753"/>
      <c r="G174" s="753"/>
      <c r="H174" s="753"/>
      <c r="I174" s="753"/>
      <c r="J174" s="753"/>
      <c r="K174" s="753"/>
      <c r="L174" s="753"/>
      <c r="M174" s="753"/>
      <c r="N174" s="753"/>
      <c r="O174" s="753"/>
      <c r="P174" s="706"/>
      <c r="Q174" s="706"/>
      <c r="R174" s="706"/>
      <c r="S174" s="706"/>
      <c r="T174" s="706"/>
      <c r="U174" s="706"/>
      <c r="V174" s="706"/>
      <c r="Z174" s="833"/>
      <c r="AA174" s="833" t="str">
        <f>IF(AND(F176=G176,H176=I176,F176="A"),"2016 - kwh","")</f>
        <v/>
      </c>
      <c r="AB174" s="833" t="str">
        <f>IF(OR(B174="2017 - kwh",B174="2018 - kwh"),"2016 - kwh","")</f>
        <v/>
      </c>
      <c r="AC174" s="833"/>
      <c r="AD174" s="833"/>
      <c r="AE174" s="833"/>
    </row>
    <row r="175" spans="1:31" s="636" customFormat="1" hidden="1" x14ac:dyDescent="0.3">
      <c r="A175" s="706" t="str">
        <f>IF(AND(F176=G176,H176=I176,J176=K176,F176="A"),"2016 - kw",IF(AND(F176=G176,H176=I176,J176&lt;&gt;K176,F176="A"),"2017 - kw",IF(AND(F176=G176,H176&lt;&gt;I176,F176="A"),"2018 - kw","N/A")))</f>
        <v>N/A</v>
      </c>
      <c r="B175" s="706" t="str">
        <f>IF(F176&lt;&gt;G176,"2018 - kw",IF(H176&lt;&gt;I176,"2017 - kw",IF(J176&lt;&gt;K176,"2016 - kw","N/A")))</f>
        <v>N/A</v>
      </c>
      <c r="C175" s="611"/>
      <c r="D175" s="646" t="str">
        <f>D174 &amp; "kW"</f>
        <v>kW</v>
      </c>
      <c r="E175" s="702" t="s">
        <v>155</v>
      </c>
      <c r="F175" s="753"/>
      <c r="G175" s="753"/>
      <c r="H175" s="753"/>
      <c r="I175" s="753"/>
      <c r="J175" s="753"/>
      <c r="K175" s="753"/>
      <c r="L175" s="753"/>
      <c r="M175" s="753"/>
      <c r="N175" s="753"/>
      <c r="O175" s="753"/>
      <c r="P175" s="706"/>
      <c r="Q175" s="706"/>
      <c r="R175" s="706"/>
      <c r="S175" s="706"/>
      <c r="T175" s="706"/>
      <c r="U175" s="706"/>
      <c r="V175" s="706"/>
      <c r="Z175" s="833"/>
      <c r="AA175" s="833" t="str">
        <f>IF(AND(F176=G176,H176=I176,F176="A"),"2016 - kw","")</f>
        <v/>
      </c>
      <c r="AB175" s="833" t="str">
        <f>IF(OR(B175="2017 - kw",B175="2018 - kw"),"2016 - kw","")</f>
        <v/>
      </c>
      <c r="AC175" s="833"/>
      <c r="AD175" s="833"/>
      <c r="AE175" s="833"/>
    </row>
    <row r="176" spans="1:31" s="636" customFormat="1" hidden="1" x14ac:dyDescent="0.3">
      <c r="A176" s="706"/>
      <c r="B176" s="706"/>
      <c r="C176" s="614"/>
      <c r="D176" s="700"/>
      <c r="E176" s="701" t="s">
        <v>2120</v>
      </c>
      <c r="F176" s="752"/>
      <c r="G176" s="752"/>
      <c r="H176" s="752"/>
      <c r="I176" s="752"/>
      <c r="J176" s="752"/>
      <c r="K176" s="752"/>
      <c r="L176" s="752"/>
      <c r="M176" s="752"/>
      <c r="N176" s="752"/>
      <c r="O176" s="752"/>
      <c r="P176" s="706"/>
      <c r="Q176" s="706"/>
      <c r="R176" s="706"/>
      <c r="S176" s="706"/>
      <c r="T176" s="706"/>
      <c r="U176" s="706"/>
      <c r="V176" s="706"/>
      <c r="Z176" s="833"/>
      <c r="AA176" s="833"/>
      <c r="AB176" s="833"/>
      <c r="AC176" s="833"/>
      <c r="AD176" s="833"/>
      <c r="AE176" s="833"/>
    </row>
    <row r="177" spans="1:31" s="636" customFormat="1" hidden="1" x14ac:dyDescent="0.3">
      <c r="A177" s="706" t="str">
        <f>IF(AND(F179=G179,H179=I179,J179=K179,F179="A"),"2016 - kwh",IF(AND(F179=G179,H179=I179,J179&lt;&gt;K179,F179="A"),"2017 - kwh",IF(AND(F179=G179,H179&lt;&gt;I179,F179="A"),"2018 - kwh","N/A")))</f>
        <v>N/A</v>
      </c>
      <c r="B177" s="706" t="str">
        <f>IF(F179&lt;&gt;G179,"2018 - kwh",IF(H179&lt;&gt;I179,"2017 - kwh",IF(J179&lt;&gt;K179,"2016 - kwh","N/A")))</f>
        <v>N/A</v>
      </c>
      <c r="C177" s="610" t="s">
        <v>2187</v>
      </c>
      <c r="D177" s="754"/>
      <c r="E177" s="703" t="s">
        <v>154</v>
      </c>
      <c r="F177" s="753"/>
      <c r="G177" s="753"/>
      <c r="H177" s="753"/>
      <c r="I177" s="753"/>
      <c r="J177" s="753"/>
      <c r="K177" s="753"/>
      <c r="L177" s="753"/>
      <c r="M177" s="753"/>
      <c r="N177" s="753"/>
      <c r="O177" s="753"/>
      <c r="P177" s="706"/>
      <c r="Q177" s="706"/>
      <c r="R177" s="706"/>
      <c r="S177" s="706"/>
      <c r="T177" s="706"/>
      <c r="U177" s="706"/>
      <c r="V177" s="706"/>
      <c r="Z177" s="833"/>
      <c r="AA177" s="833" t="str">
        <f>IF(AND(F179=G179,H179=I179,F179="A"),"2016 - kwh","")</f>
        <v/>
      </c>
      <c r="AB177" s="833" t="str">
        <f>IF(OR(B177="2017 - kwh",B177="2018 - kwh"),"2016 - kwh","")</f>
        <v/>
      </c>
      <c r="AC177" s="833"/>
      <c r="AD177" s="833"/>
      <c r="AE177" s="833"/>
    </row>
    <row r="178" spans="1:31" s="636" customFormat="1" hidden="1" x14ac:dyDescent="0.3">
      <c r="A178" s="706" t="str">
        <f>IF(AND(F179=G179,H179=I179,J179=K179,F179="A"),"2016 - kw",IF(AND(F179=G179,H179=I179,J179&lt;&gt;K179,F179="A"),"2017 - kw",IF(AND(F179=G179,H179&lt;&gt;I179,F179="A"),"2018 - kw","N/A")))</f>
        <v>N/A</v>
      </c>
      <c r="B178" s="706" t="str">
        <f>IF(F179&lt;&gt;G179,"2018 - kw",IF(H179&lt;&gt;I179,"2017 - kw",IF(J179&lt;&gt;K179,"2016 - kw","N/A")))</f>
        <v>N/A</v>
      </c>
      <c r="C178" s="611"/>
      <c r="D178" s="646" t="str">
        <f>D177 &amp; "kW"</f>
        <v>kW</v>
      </c>
      <c r="E178" s="702" t="s">
        <v>155</v>
      </c>
      <c r="F178" s="753"/>
      <c r="G178" s="753"/>
      <c r="H178" s="753"/>
      <c r="I178" s="753"/>
      <c r="J178" s="753"/>
      <c r="K178" s="753"/>
      <c r="L178" s="753"/>
      <c r="M178" s="753"/>
      <c r="N178" s="753"/>
      <c r="O178" s="753"/>
      <c r="P178" s="706"/>
      <c r="Q178" s="706"/>
      <c r="R178" s="706"/>
      <c r="S178" s="706"/>
      <c r="T178" s="706"/>
      <c r="U178" s="706"/>
      <c r="V178" s="706"/>
      <c r="Z178" s="833"/>
      <c r="AA178" s="833" t="str">
        <f>IF(AND(F179=G179,H179=I179,F179="A"),"2016 - kw","")</f>
        <v/>
      </c>
      <c r="AB178" s="833" t="str">
        <f>IF(OR(B178="2017 - kw",B178="2018 - kw"),"2016 - kw","")</f>
        <v/>
      </c>
      <c r="AC178" s="833"/>
      <c r="AD178" s="833"/>
      <c r="AE178" s="833"/>
    </row>
    <row r="179" spans="1:31" s="636" customFormat="1" hidden="1" x14ac:dyDescent="0.3">
      <c r="A179" s="706"/>
      <c r="B179" s="706"/>
      <c r="C179" s="614"/>
      <c r="D179" s="700"/>
      <c r="E179" s="701" t="s">
        <v>2120</v>
      </c>
      <c r="F179" s="752"/>
      <c r="G179" s="752"/>
      <c r="H179" s="752"/>
      <c r="I179" s="752"/>
      <c r="J179" s="752"/>
      <c r="K179" s="752"/>
      <c r="L179" s="752"/>
      <c r="M179" s="752"/>
      <c r="N179" s="752"/>
      <c r="O179" s="752"/>
      <c r="P179" s="706"/>
      <c r="Q179" s="706"/>
      <c r="R179" s="706"/>
      <c r="S179" s="706"/>
      <c r="T179" s="706"/>
      <c r="U179" s="706"/>
      <c r="V179" s="706"/>
      <c r="Z179" s="833"/>
      <c r="AA179" s="833"/>
      <c r="AB179" s="833"/>
      <c r="AC179" s="833"/>
      <c r="AD179" s="833"/>
      <c r="AE179" s="833"/>
    </row>
    <row r="180" spans="1:31" s="636" customFormat="1" hidden="1" x14ac:dyDescent="0.3">
      <c r="A180" s="706" t="str">
        <f>IF(AND(F182=G182,H182=I182,J182=K182,F182="A"),"2016 - kwh",IF(AND(F182=G182,H182=I182,J182&lt;&gt;K182,F182="A"),"2017 - kwh",IF(AND(F182=G182,H182&lt;&gt;I182,F182="A"),"2018 - kwh","N/A")))</f>
        <v>N/A</v>
      </c>
      <c r="B180" s="706" t="str">
        <f>IF(F182&lt;&gt;G182,"2018 - kwh",IF(H182&lt;&gt;I182,"2017 - kwh",IF(J182&lt;&gt;K182,"2016 - kwh","N/A")))</f>
        <v>N/A</v>
      </c>
      <c r="C180" s="610" t="s">
        <v>2188</v>
      </c>
      <c r="D180" s="754"/>
      <c r="E180" s="703" t="s">
        <v>154</v>
      </c>
      <c r="F180" s="753"/>
      <c r="G180" s="753"/>
      <c r="H180" s="753"/>
      <c r="I180" s="753"/>
      <c r="J180" s="753"/>
      <c r="K180" s="753"/>
      <c r="L180" s="753"/>
      <c r="M180" s="753"/>
      <c r="N180" s="753"/>
      <c r="O180" s="753"/>
      <c r="P180" s="706"/>
      <c r="Q180" s="706"/>
      <c r="R180" s="706"/>
      <c r="S180" s="706"/>
      <c r="T180" s="706"/>
      <c r="U180" s="706"/>
      <c r="V180" s="706"/>
      <c r="Z180" s="833"/>
      <c r="AA180" s="833" t="str">
        <f>IF(AND(F182=G182,H182=I182,F182="A"),"2016 - kwh","")</f>
        <v/>
      </c>
      <c r="AB180" s="833" t="str">
        <f>IF(OR(B180="2017 - kwh",B180="2018 - kwh"),"2016 - kwh","")</f>
        <v/>
      </c>
      <c r="AC180" s="833"/>
      <c r="AD180" s="833"/>
      <c r="AE180" s="833"/>
    </row>
    <row r="181" spans="1:31" s="636" customFormat="1" hidden="1" x14ac:dyDescent="0.3">
      <c r="A181" s="706" t="str">
        <f>IF(AND(F182=G182,H182=I182,J182=K182,F182="A"),"2016 - kw",IF(AND(F182=G182,H182=I182,J182&lt;&gt;K182,F182="A"),"2017 - kw",IF(AND(F182=G182,H182&lt;&gt;I182,F182="A"),"2018 - kw","N/A")))</f>
        <v>N/A</v>
      </c>
      <c r="B181" s="706" t="str">
        <f>IF(F182&lt;&gt;G182,"2018 - kw",IF(H182&lt;&gt;I182,"2017 - kw",IF(J182&lt;&gt;K182,"2016 - kw","N/A")))</f>
        <v>N/A</v>
      </c>
      <c r="C181" s="611"/>
      <c r="D181" s="646" t="str">
        <f>D180 &amp; "kW"</f>
        <v>kW</v>
      </c>
      <c r="E181" s="702" t="s">
        <v>155</v>
      </c>
      <c r="F181" s="753"/>
      <c r="G181" s="753"/>
      <c r="H181" s="753"/>
      <c r="I181" s="753"/>
      <c r="J181" s="753"/>
      <c r="K181" s="753"/>
      <c r="L181" s="753"/>
      <c r="M181" s="753"/>
      <c r="N181" s="753"/>
      <c r="O181" s="753"/>
      <c r="P181" s="706"/>
      <c r="Q181" s="706"/>
      <c r="R181" s="706"/>
      <c r="S181" s="706"/>
      <c r="T181" s="706"/>
      <c r="U181" s="706"/>
      <c r="V181" s="706"/>
      <c r="Z181" s="833"/>
      <c r="AA181" s="833" t="str">
        <f>IF(AND(F182=G182,H182=I182,F182="A"),"2016 - kw","")</f>
        <v/>
      </c>
      <c r="AB181" s="833" t="str">
        <f>IF(OR(B181="2017 - kw",B181="2018 - kw"),"2016 - kw","")</f>
        <v/>
      </c>
      <c r="AC181" s="833"/>
      <c r="AD181" s="833"/>
      <c r="AE181" s="833"/>
    </row>
    <row r="182" spans="1:31" s="636" customFormat="1" hidden="1" x14ac:dyDescent="0.3">
      <c r="A182" s="706"/>
      <c r="B182" s="706"/>
      <c r="C182" s="614"/>
      <c r="D182" s="700"/>
      <c r="E182" s="701" t="s">
        <v>2120</v>
      </c>
      <c r="F182" s="752"/>
      <c r="G182" s="752"/>
      <c r="H182" s="752"/>
      <c r="I182" s="752"/>
      <c r="J182" s="752"/>
      <c r="K182" s="752"/>
      <c r="L182" s="752"/>
      <c r="M182" s="752"/>
      <c r="N182" s="752"/>
      <c r="O182" s="752"/>
      <c r="P182" s="706"/>
      <c r="Q182" s="706"/>
      <c r="R182" s="706"/>
      <c r="S182" s="706"/>
      <c r="T182" s="706"/>
      <c r="U182" s="706"/>
      <c r="V182" s="706"/>
      <c r="Z182" s="833"/>
      <c r="AA182" s="833"/>
      <c r="AB182" s="833"/>
      <c r="AC182" s="833"/>
      <c r="AD182" s="833"/>
      <c r="AE182" s="833"/>
    </row>
    <row r="183" spans="1:31" s="636" customFormat="1" hidden="1" x14ac:dyDescent="0.3">
      <c r="A183" s="706" t="str">
        <f>IF(AND(F185=G185,H185=I185,J185=K185,F185="A"),"2016 - kwh",IF(AND(F185=G185,H185=I185,J185&lt;&gt;K185,F185="A"),"2017 - kwh",IF(AND(F185=G185,H185&lt;&gt;I185,F185="A"),"2018 - kwh","N/A")))</f>
        <v>N/A</v>
      </c>
      <c r="B183" s="706" t="str">
        <f>IF(F185&lt;&gt;G185,"2018 - kwh",IF(H185&lt;&gt;I185,"2017 - kwh",IF(J185&lt;&gt;K185,"2016 - kwh","N/A")))</f>
        <v>N/A</v>
      </c>
      <c r="C183" s="610" t="s">
        <v>2189</v>
      </c>
      <c r="D183" s="754"/>
      <c r="E183" s="703" t="s">
        <v>154</v>
      </c>
      <c r="F183" s="753"/>
      <c r="G183" s="753"/>
      <c r="H183" s="753"/>
      <c r="I183" s="753"/>
      <c r="J183" s="753"/>
      <c r="K183" s="753"/>
      <c r="L183" s="753"/>
      <c r="M183" s="753"/>
      <c r="N183" s="753"/>
      <c r="O183" s="753"/>
      <c r="P183" s="706"/>
      <c r="Q183" s="706"/>
      <c r="R183" s="706"/>
      <c r="S183" s="706"/>
      <c r="T183" s="706"/>
      <c r="U183" s="706"/>
      <c r="V183" s="706"/>
      <c r="Z183" s="833"/>
      <c r="AA183" s="833" t="str">
        <f>IF(AND(F185=G185,H185=I185,F185="A"),"2016 - kwh","")</f>
        <v/>
      </c>
      <c r="AB183" s="833" t="str">
        <f>IF(OR(B183="2017 - kwh",B183="2018 - kwh"),"2016 - kwh","")</f>
        <v/>
      </c>
      <c r="AC183" s="833"/>
      <c r="AD183" s="833"/>
      <c r="AE183" s="833"/>
    </row>
    <row r="184" spans="1:31" s="636" customFormat="1" hidden="1" x14ac:dyDescent="0.3">
      <c r="A184" s="706" t="str">
        <f>IF(AND(F185=G185,H185=I185,J185=K185,F185="A"),"2016 - kw",IF(AND(F185=G185,H185=I185,J185&lt;&gt;K185,F185="A"),"2017 - kw",IF(AND(F185=G185,H185&lt;&gt;I185,F185="A"),"2018 - kw","N/A")))</f>
        <v>N/A</v>
      </c>
      <c r="B184" s="706" t="str">
        <f>IF(F185&lt;&gt;G185,"2018 - kw",IF(H185&lt;&gt;I185,"2017 - kw",IF(J185&lt;&gt;K185,"2016 - kw","N/A")))</f>
        <v>N/A</v>
      </c>
      <c r="C184" s="611"/>
      <c r="D184" s="646" t="str">
        <f>D183 &amp; "kW"</f>
        <v>kW</v>
      </c>
      <c r="E184" s="702" t="s">
        <v>155</v>
      </c>
      <c r="F184" s="753"/>
      <c r="G184" s="753"/>
      <c r="H184" s="753"/>
      <c r="I184" s="753"/>
      <c r="J184" s="753"/>
      <c r="K184" s="753"/>
      <c r="L184" s="753"/>
      <c r="M184" s="753"/>
      <c r="N184" s="753"/>
      <c r="O184" s="753"/>
      <c r="P184" s="706"/>
      <c r="Q184" s="706"/>
      <c r="R184" s="706"/>
      <c r="S184" s="706"/>
      <c r="T184" s="706"/>
      <c r="U184" s="706"/>
      <c r="V184" s="706"/>
      <c r="Z184" s="833"/>
      <c r="AA184" s="833" t="str">
        <f>IF(AND(F185=G185,H185=I185,F185="A"),"2016 - kw","")</f>
        <v/>
      </c>
      <c r="AB184" s="833" t="str">
        <f>IF(OR(B184="2017 - kw",B184="2018 - kw"),"2016 - kw","")</f>
        <v/>
      </c>
      <c r="AC184" s="833"/>
      <c r="AD184" s="833"/>
      <c r="AE184" s="833"/>
    </row>
    <row r="185" spans="1:31" s="636" customFormat="1" hidden="1" x14ac:dyDescent="0.3">
      <c r="A185" s="706"/>
      <c r="B185" s="706"/>
      <c r="C185" s="614"/>
      <c r="D185" s="700"/>
      <c r="E185" s="701" t="s">
        <v>2120</v>
      </c>
      <c r="F185" s="752"/>
      <c r="G185" s="752"/>
      <c r="H185" s="752"/>
      <c r="I185" s="752"/>
      <c r="J185" s="752"/>
      <c r="K185" s="752"/>
      <c r="L185" s="752"/>
      <c r="M185" s="752"/>
      <c r="N185" s="752"/>
      <c r="O185" s="752"/>
      <c r="P185" s="706"/>
      <c r="Q185" s="706"/>
      <c r="R185" s="706"/>
      <c r="S185" s="706"/>
      <c r="T185" s="706"/>
      <c r="U185" s="706"/>
      <c r="V185" s="706"/>
      <c r="Z185" s="833"/>
      <c r="AA185" s="833"/>
      <c r="AB185" s="833"/>
      <c r="AC185" s="833"/>
      <c r="AD185" s="833"/>
      <c r="AE185" s="833"/>
    </row>
    <row r="186" spans="1:31" s="636" customFormat="1" hidden="1" x14ac:dyDescent="0.3">
      <c r="A186" s="706" t="str">
        <f>IF(AND(F188=G188,H188=I188,J188=K188,F188="A"),"2016 - kwh",IF(AND(F188=G188,H188=I188,J188&lt;&gt;K188,F188="A"),"2017 - kwh",IF(AND(F188=G188,H188&lt;&gt;I188,F188="A"),"2018 - kwh","N/A")))</f>
        <v>N/A</v>
      </c>
      <c r="B186" s="706" t="str">
        <f>IF(F188&lt;&gt;G188,"2018 - kwh",IF(H188&lt;&gt;I188,"2017 - kwh",IF(J188&lt;&gt;K188,"2016 - kwh","N/A")))</f>
        <v>N/A</v>
      </c>
      <c r="C186" s="610" t="s">
        <v>2190</v>
      </c>
      <c r="D186" s="754"/>
      <c r="E186" s="703" t="s">
        <v>154</v>
      </c>
      <c r="F186" s="753"/>
      <c r="G186" s="753"/>
      <c r="H186" s="753"/>
      <c r="I186" s="753"/>
      <c r="J186" s="753"/>
      <c r="K186" s="753"/>
      <c r="L186" s="753"/>
      <c r="M186" s="753"/>
      <c r="N186" s="753"/>
      <c r="O186" s="753"/>
      <c r="P186" s="706"/>
      <c r="Q186" s="706"/>
      <c r="R186" s="706"/>
      <c r="S186" s="706"/>
      <c r="T186" s="706"/>
      <c r="U186" s="706"/>
      <c r="V186" s="706"/>
      <c r="Z186" s="833"/>
      <c r="AA186" s="833" t="str">
        <f>IF(AND(F188=G188,H188=I188,F188="A"),"2016 - kwh","")</f>
        <v/>
      </c>
      <c r="AB186" s="833" t="str">
        <f>IF(OR(B186="2017 - kwh",B186="2018 - kwh"),"2016 - kwh","")</f>
        <v/>
      </c>
      <c r="AC186" s="833"/>
      <c r="AD186" s="833"/>
      <c r="AE186" s="833"/>
    </row>
    <row r="187" spans="1:31" s="636" customFormat="1" hidden="1" x14ac:dyDescent="0.3">
      <c r="A187" s="706" t="str">
        <f>IF(AND(F188=G188,H188=I188,J188=K188,F188="A"),"2016 - kw",IF(AND(F188=G188,H188=I188,J188&lt;&gt;K188,F188="A"),"2017 - kw",IF(AND(F188=G188,H188&lt;&gt;I188,F188="A"),"2018 - kw","N/A")))</f>
        <v>N/A</v>
      </c>
      <c r="B187" s="706" t="str">
        <f>IF(F188&lt;&gt;G188,"2018 - kw",IF(H188&lt;&gt;I188,"2017 - kw",IF(J188&lt;&gt;K188,"2016 - kw","N/A")))</f>
        <v>N/A</v>
      </c>
      <c r="C187" s="611"/>
      <c r="D187" s="646" t="str">
        <f>D186 &amp; "kW"</f>
        <v>kW</v>
      </c>
      <c r="E187" s="702" t="s">
        <v>155</v>
      </c>
      <c r="F187" s="753"/>
      <c r="G187" s="753"/>
      <c r="H187" s="753"/>
      <c r="I187" s="753"/>
      <c r="J187" s="753"/>
      <c r="K187" s="753"/>
      <c r="L187" s="753"/>
      <c r="M187" s="753"/>
      <c r="N187" s="753"/>
      <c r="O187" s="753"/>
      <c r="P187" s="706"/>
      <c r="Q187" s="706"/>
      <c r="R187" s="706"/>
      <c r="S187" s="706"/>
      <c r="T187" s="706"/>
      <c r="U187" s="706"/>
      <c r="V187" s="706"/>
      <c r="Z187" s="833"/>
      <c r="AA187" s="833" t="str">
        <f>IF(AND(F188=G188,H188=I188,F188="A"),"2016 - kw","")</f>
        <v/>
      </c>
      <c r="AB187" s="833" t="str">
        <f>IF(OR(B187="2017 - kw",B187="2018 - kw"),"2016 - kw","")</f>
        <v/>
      </c>
      <c r="AC187" s="833"/>
      <c r="AD187" s="833"/>
      <c r="AE187" s="833"/>
    </row>
    <row r="188" spans="1:31" s="636" customFormat="1" hidden="1" x14ac:dyDescent="0.3">
      <c r="A188" s="706"/>
      <c r="B188" s="706"/>
      <c r="C188" s="614"/>
      <c r="D188" s="700"/>
      <c r="E188" s="701" t="s">
        <v>2120</v>
      </c>
      <c r="F188" s="752"/>
      <c r="G188" s="752"/>
      <c r="H188" s="752"/>
      <c r="I188" s="752"/>
      <c r="J188" s="752"/>
      <c r="K188" s="752"/>
      <c r="L188" s="752"/>
      <c r="M188" s="752"/>
      <c r="N188" s="752"/>
      <c r="O188" s="752"/>
      <c r="P188" s="706"/>
      <c r="Q188" s="706"/>
      <c r="R188" s="706"/>
      <c r="S188" s="706"/>
      <c r="T188" s="706"/>
      <c r="U188" s="706"/>
      <c r="V188" s="706"/>
      <c r="Z188" s="833"/>
      <c r="AA188" s="833"/>
      <c r="AB188" s="833"/>
      <c r="AC188" s="833"/>
      <c r="AD188" s="833"/>
      <c r="AE188" s="833"/>
    </row>
    <row r="189" spans="1:31" s="636" customFormat="1" hidden="1" x14ac:dyDescent="0.3">
      <c r="A189" s="706" t="str">
        <f>IF(AND(F191=G191,H191=I191,J191=K191,F191="A"),"2016 - kwh",IF(AND(F191=G191,H191=I191,J191&lt;&gt;K191,F191="A"),"2017 - kwh",IF(AND(F191=G191,H191&lt;&gt;I191,F191="A"),"2018 - kwh","N/A")))</f>
        <v>N/A</v>
      </c>
      <c r="B189" s="706" t="str">
        <f>IF(F191&lt;&gt;G191,"2018 - kwh",IF(H191&lt;&gt;I191,"2017 - kwh",IF(J191&lt;&gt;K191,"2016 - kwh","N/A")))</f>
        <v>N/A</v>
      </c>
      <c r="C189" s="610" t="s">
        <v>2191</v>
      </c>
      <c r="D189" s="754"/>
      <c r="E189" s="703" t="s">
        <v>154</v>
      </c>
      <c r="F189" s="753"/>
      <c r="G189" s="753"/>
      <c r="H189" s="753"/>
      <c r="I189" s="753"/>
      <c r="J189" s="753"/>
      <c r="K189" s="753"/>
      <c r="L189" s="753"/>
      <c r="M189" s="753"/>
      <c r="N189" s="753"/>
      <c r="O189" s="753"/>
      <c r="P189" s="706"/>
      <c r="Q189" s="706"/>
      <c r="R189" s="706"/>
      <c r="S189" s="706"/>
      <c r="T189" s="706"/>
      <c r="U189" s="706"/>
      <c r="V189" s="706"/>
      <c r="Z189" s="833"/>
      <c r="AA189" s="833" t="str">
        <f>IF(AND(F191=G191,H191=I191,F191="A"),"2016 - kwh","")</f>
        <v/>
      </c>
      <c r="AB189" s="833" t="str">
        <f>IF(OR(B189="2017 - kwh",B189="2018 - kwh"),"2016 - kwh","")</f>
        <v/>
      </c>
      <c r="AC189" s="833"/>
      <c r="AD189" s="833"/>
      <c r="AE189" s="833"/>
    </row>
    <row r="190" spans="1:31" s="636" customFormat="1" hidden="1" x14ac:dyDescent="0.3">
      <c r="A190" s="706" t="str">
        <f>IF(AND(F191=G191,H191=I191,J191=K191,F191="A"),"2016 - kw",IF(AND(F191=G191,H191=I191,J191&lt;&gt;K191,F191="A"),"2017 - kw",IF(AND(F191=G191,H191&lt;&gt;I191,F191="A"),"2018 - kw","N/A")))</f>
        <v>N/A</v>
      </c>
      <c r="B190" s="706" t="str">
        <f>IF(F191&lt;&gt;G191,"2018 - kw",IF(H191&lt;&gt;I191,"2017 - kw",IF(J191&lt;&gt;K191,"2016 - kw","N/A")))</f>
        <v>N/A</v>
      </c>
      <c r="C190" s="611"/>
      <c r="D190" s="646" t="str">
        <f>D189 &amp; "kW"</f>
        <v>kW</v>
      </c>
      <c r="E190" s="702" t="s">
        <v>155</v>
      </c>
      <c r="F190" s="753"/>
      <c r="G190" s="753"/>
      <c r="H190" s="753"/>
      <c r="I190" s="753"/>
      <c r="J190" s="753"/>
      <c r="K190" s="753"/>
      <c r="L190" s="753"/>
      <c r="M190" s="753"/>
      <c r="N190" s="753"/>
      <c r="O190" s="753"/>
      <c r="P190" s="706"/>
      <c r="Q190" s="706"/>
      <c r="R190" s="706"/>
      <c r="S190" s="706"/>
      <c r="T190" s="706"/>
      <c r="U190" s="706"/>
      <c r="V190" s="706"/>
      <c r="Z190" s="833"/>
      <c r="AA190" s="833" t="str">
        <f>IF(AND(F191=G191,H191=I191,F191="A"),"2016 - kw","")</f>
        <v/>
      </c>
      <c r="AB190" s="833" t="str">
        <f>IF(OR(B190="2017 - kw",B190="2018 - kw"),"2016 - kw","")</f>
        <v/>
      </c>
      <c r="AC190" s="833"/>
      <c r="AD190" s="833"/>
      <c r="AE190" s="833"/>
    </row>
    <row r="191" spans="1:31" s="636" customFormat="1" hidden="1" x14ac:dyDescent="0.3">
      <c r="A191" s="706"/>
      <c r="B191" s="706"/>
      <c r="C191" s="614"/>
      <c r="D191" s="700"/>
      <c r="E191" s="701" t="s">
        <v>2120</v>
      </c>
      <c r="F191" s="752"/>
      <c r="G191" s="752"/>
      <c r="H191" s="752"/>
      <c r="I191" s="752"/>
      <c r="J191" s="752"/>
      <c r="K191" s="752"/>
      <c r="L191" s="752"/>
      <c r="M191" s="752"/>
      <c r="N191" s="752"/>
      <c r="O191" s="752"/>
      <c r="P191" s="706"/>
      <c r="Q191" s="706"/>
      <c r="R191" s="706"/>
      <c r="S191" s="706"/>
      <c r="T191" s="706"/>
      <c r="U191" s="706"/>
      <c r="V191" s="706"/>
      <c r="Z191" s="833"/>
      <c r="AA191" s="833"/>
      <c r="AB191" s="833"/>
      <c r="AC191" s="833"/>
      <c r="AD191" s="833"/>
      <c r="AE191" s="833"/>
    </row>
    <row r="192" spans="1:31" s="636" customFormat="1" hidden="1" x14ac:dyDescent="0.3">
      <c r="A192" s="706" t="str">
        <f>IF(AND(F194=G194,H194=I194,J194=K194,F194="A"),"2016 - kwh",IF(AND(F194=G194,H194=I194,J194&lt;&gt;K194,F194="A"),"2017 - kwh",IF(AND(F194=G194,H194&lt;&gt;I194,F194="A"),"2018 - kwh","N/A")))</f>
        <v>N/A</v>
      </c>
      <c r="B192" s="706" t="str">
        <f>IF(F194&lt;&gt;G194,"2018 - kwh",IF(H194&lt;&gt;I194,"2017 - kwh",IF(J194&lt;&gt;K194,"2016 - kwh","N/A")))</f>
        <v>N/A</v>
      </c>
      <c r="C192" s="610" t="s">
        <v>2192</v>
      </c>
      <c r="D192" s="754"/>
      <c r="E192" s="703" t="s">
        <v>154</v>
      </c>
      <c r="F192" s="753"/>
      <c r="G192" s="753"/>
      <c r="H192" s="753"/>
      <c r="I192" s="753"/>
      <c r="J192" s="753"/>
      <c r="K192" s="753"/>
      <c r="L192" s="753"/>
      <c r="M192" s="753"/>
      <c r="N192" s="753"/>
      <c r="O192" s="753"/>
      <c r="P192" s="706"/>
      <c r="Q192" s="706"/>
      <c r="R192" s="706"/>
      <c r="S192" s="706"/>
      <c r="T192" s="706"/>
      <c r="U192" s="706"/>
      <c r="V192" s="706"/>
      <c r="Z192" s="833"/>
      <c r="AA192" s="833" t="str">
        <f>IF(AND(F194=G194,H194=I194,F194="A"),"2016 - kwh","")</f>
        <v/>
      </c>
      <c r="AB192" s="833" t="str">
        <f>IF(OR(B192="2017 - kwh",B192="2018 - kwh"),"2016 - kwh","")</f>
        <v/>
      </c>
      <c r="AC192" s="833"/>
      <c r="AD192" s="833"/>
      <c r="AE192" s="833"/>
    </row>
    <row r="193" spans="1:31" s="636" customFormat="1" hidden="1" x14ac:dyDescent="0.3">
      <c r="A193" s="706" t="str">
        <f>IF(AND(F194=G194,H194=I194,J194=K194,F194="A"),"2016 - kw",IF(AND(F194=G194,H194=I194,J194&lt;&gt;K194,F194="A"),"2017 - kw",IF(AND(F194=G194,H194&lt;&gt;I194,F194="A"),"2018 - kw","N/A")))</f>
        <v>N/A</v>
      </c>
      <c r="B193" s="706" t="str">
        <f>IF(F194&lt;&gt;G194,"2018 - kw",IF(H194&lt;&gt;I194,"2017 - kw",IF(J194&lt;&gt;K194,"2016 - kw","N/A")))</f>
        <v>N/A</v>
      </c>
      <c r="C193" s="611"/>
      <c r="D193" s="646" t="str">
        <f>D192 &amp; "kW"</f>
        <v>kW</v>
      </c>
      <c r="E193" s="702" t="s">
        <v>155</v>
      </c>
      <c r="F193" s="753"/>
      <c r="G193" s="753"/>
      <c r="H193" s="753"/>
      <c r="I193" s="753"/>
      <c r="J193" s="753"/>
      <c r="K193" s="753"/>
      <c r="L193" s="753"/>
      <c r="M193" s="753"/>
      <c r="N193" s="753"/>
      <c r="O193" s="753"/>
      <c r="P193" s="706"/>
      <c r="Q193" s="706"/>
      <c r="R193" s="706"/>
      <c r="S193" s="706"/>
      <c r="T193" s="706"/>
      <c r="U193" s="706"/>
      <c r="V193" s="706"/>
      <c r="Z193" s="833"/>
      <c r="AA193" s="833" t="str">
        <f>IF(AND(F194=G194,H194=I194,F194="A"),"2016 - kw","")</f>
        <v/>
      </c>
      <c r="AB193" s="833" t="str">
        <f>IF(OR(B193="2017 - kw",B193="2018 - kw"),"2016 - kw","")</f>
        <v/>
      </c>
      <c r="AC193" s="833"/>
      <c r="AD193" s="833"/>
      <c r="AE193" s="833"/>
    </row>
    <row r="194" spans="1:31" s="636" customFormat="1" hidden="1" x14ac:dyDescent="0.3">
      <c r="A194" s="706"/>
      <c r="B194" s="706"/>
      <c r="C194" s="614"/>
      <c r="D194" s="700"/>
      <c r="E194" s="701" t="s">
        <v>2120</v>
      </c>
      <c r="F194" s="752"/>
      <c r="G194" s="752"/>
      <c r="H194" s="752"/>
      <c r="I194" s="752"/>
      <c r="J194" s="752"/>
      <c r="K194" s="752"/>
      <c r="L194" s="752"/>
      <c r="M194" s="752"/>
      <c r="N194" s="752"/>
      <c r="O194" s="752"/>
      <c r="P194" s="706"/>
      <c r="Q194" s="706"/>
      <c r="R194" s="706"/>
      <c r="S194" s="706"/>
      <c r="T194" s="706"/>
      <c r="U194" s="706"/>
      <c r="V194" s="706"/>
      <c r="Z194" s="833"/>
      <c r="AA194" s="833"/>
      <c r="AB194" s="833"/>
      <c r="AC194" s="833"/>
      <c r="AD194" s="833"/>
      <c r="AE194" s="833"/>
    </row>
    <row r="195" spans="1:31" s="636" customFormat="1" hidden="1" x14ac:dyDescent="0.3">
      <c r="A195" s="706" t="str">
        <f>IF(AND(F197=G197,H197=I197,J197=K197,F197="A"),"2016 - kwh",IF(AND(F197=G197,H197=I197,J197&lt;&gt;K197,F197="A"),"2017 - kwh",IF(AND(F197=G197,H197&lt;&gt;I197,F197="A"),"2018 - kwh","N/A")))</f>
        <v>N/A</v>
      </c>
      <c r="B195" s="706" t="str">
        <f>IF(F197&lt;&gt;G197,"2018 - kwh",IF(H197&lt;&gt;I197,"2017 - kwh",IF(J197&lt;&gt;K197,"2016 - kwh","N/A")))</f>
        <v>N/A</v>
      </c>
      <c r="C195" s="610" t="s">
        <v>2193</v>
      </c>
      <c r="D195" s="754"/>
      <c r="E195" s="703" t="s">
        <v>154</v>
      </c>
      <c r="F195" s="753"/>
      <c r="G195" s="753"/>
      <c r="H195" s="753"/>
      <c r="I195" s="753"/>
      <c r="J195" s="753"/>
      <c r="K195" s="753"/>
      <c r="L195" s="753"/>
      <c r="M195" s="753"/>
      <c r="N195" s="753"/>
      <c r="O195" s="753"/>
      <c r="P195" s="706"/>
      <c r="Q195" s="706"/>
      <c r="R195" s="706"/>
      <c r="S195" s="706"/>
      <c r="T195" s="706"/>
      <c r="U195" s="706"/>
      <c r="V195" s="706"/>
      <c r="Z195" s="833"/>
      <c r="AA195" s="833" t="str">
        <f>IF(AND(F197=G197,H197=I197,F197="A"),"2016 - kwh","")</f>
        <v/>
      </c>
      <c r="AB195" s="833" t="str">
        <f>IF(OR(B195="2017 - kwh",B195="2018 - kwh"),"2016 - kwh","")</f>
        <v/>
      </c>
      <c r="AC195" s="833"/>
      <c r="AD195" s="833"/>
      <c r="AE195" s="833"/>
    </row>
    <row r="196" spans="1:31" s="636" customFormat="1" hidden="1" x14ac:dyDescent="0.3">
      <c r="A196" s="706" t="str">
        <f>IF(AND(F197=G197,H197=I197,J197=K197,F197="A"),"2016 - kw",IF(AND(F197=G197,H197=I197,J197&lt;&gt;K197,F197="A"),"2017 - kw",IF(AND(F197=G197,H197&lt;&gt;I197,F197="A"),"2018 - kw","N/A")))</f>
        <v>N/A</v>
      </c>
      <c r="B196" s="706" t="str">
        <f>IF(F197&lt;&gt;G197,"2018 - kw",IF(H197&lt;&gt;I197,"2017 - kw",IF(J197&lt;&gt;K197,"2016 - kw","N/A")))</f>
        <v>N/A</v>
      </c>
      <c r="C196" s="611"/>
      <c r="D196" s="646" t="str">
        <f>D195 &amp; "kW"</f>
        <v>kW</v>
      </c>
      <c r="E196" s="702" t="s">
        <v>155</v>
      </c>
      <c r="F196" s="753"/>
      <c r="G196" s="753"/>
      <c r="H196" s="753"/>
      <c r="I196" s="753"/>
      <c r="J196" s="753"/>
      <c r="K196" s="753"/>
      <c r="L196" s="753"/>
      <c r="M196" s="753"/>
      <c r="N196" s="753"/>
      <c r="O196" s="753"/>
      <c r="P196" s="706"/>
      <c r="Q196" s="706"/>
      <c r="R196" s="706"/>
      <c r="S196" s="706"/>
      <c r="T196" s="706"/>
      <c r="U196" s="706"/>
      <c r="V196" s="706"/>
      <c r="Z196" s="833"/>
      <c r="AA196" s="833" t="str">
        <f>IF(AND(F197=G197,H197=I197,F197="A"),"2016 - kw","")</f>
        <v/>
      </c>
      <c r="AB196" s="833" t="str">
        <f>IF(OR(B196="2017 - kw",B196="2018 - kw"),"2016 - kw","")</f>
        <v/>
      </c>
      <c r="AC196" s="833"/>
      <c r="AD196" s="833"/>
      <c r="AE196" s="833"/>
    </row>
    <row r="197" spans="1:31" s="636" customFormat="1" hidden="1" x14ac:dyDescent="0.3">
      <c r="A197" s="706"/>
      <c r="B197" s="706"/>
      <c r="C197" s="614"/>
      <c r="D197" s="700"/>
      <c r="E197" s="701" t="s">
        <v>2120</v>
      </c>
      <c r="F197" s="752"/>
      <c r="G197" s="752"/>
      <c r="H197" s="752"/>
      <c r="I197" s="752"/>
      <c r="J197" s="752"/>
      <c r="K197" s="752"/>
      <c r="L197" s="752"/>
      <c r="M197" s="752"/>
      <c r="N197" s="752"/>
      <c r="O197" s="752"/>
      <c r="P197" s="706"/>
      <c r="Q197" s="706"/>
      <c r="R197" s="706"/>
      <c r="S197" s="706"/>
      <c r="T197" s="706"/>
      <c r="U197" s="706"/>
      <c r="V197" s="706"/>
      <c r="Z197" s="833"/>
      <c r="AA197" s="833"/>
      <c r="AB197" s="833"/>
      <c r="AC197" s="833"/>
      <c r="AD197" s="833"/>
      <c r="AE197" s="833"/>
    </row>
    <row r="198" spans="1:31" s="636" customFormat="1" hidden="1" x14ac:dyDescent="0.3">
      <c r="A198" s="706" t="str">
        <f>IF(AND(F200=G200,H200=I200,J200=K200,F200="A"),"2016 - kwh",IF(AND(F200=G200,H200=I200,J200&lt;&gt;K200,F200="A"),"2017 - kwh",IF(AND(F200=G200,H200&lt;&gt;I200,F200="A"),"2018 - kwh","N/A")))</f>
        <v>N/A</v>
      </c>
      <c r="B198" s="706" t="str">
        <f>IF(F200&lt;&gt;G200,"2018 - kwh",IF(H200&lt;&gt;I200,"2017 - kwh",IF(J200&lt;&gt;K200,"2016 - kwh","N/A")))</f>
        <v>N/A</v>
      </c>
      <c r="C198" s="610" t="s">
        <v>2194</v>
      </c>
      <c r="D198" s="754"/>
      <c r="E198" s="703" t="s">
        <v>154</v>
      </c>
      <c r="F198" s="753"/>
      <c r="G198" s="753"/>
      <c r="H198" s="753"/>
      <c r="I198" s="753"/>
      <c r="J198" s="753"/>
      <c r="K198" s="753"/>
      <c r="L198" s="753"/>
      <c r="M198" s="753"/>
      <c r="N198" s="753"/>
      <c r="O198" s="753"/>
      <c r="P198" s="706"/>
      <c r="Q198" s="706"/>
      <c r="R198" s="706"/>
      <c r="S198" s="706"/>
      <c r="T198" s="706"/>
      <c r="U198" s="706"/>
      <c r="V198" s="706"/>
      <c r="Z198" s="833"/>
      <c r="AA198" s="833" t="str">
        <f>IF(AND(F200=G200,H200=I200,F200="A"),"2016 - kwh","")</f>
        <v/>
      </c>
      <c r="AB198" s="833" t="str">
        <f>IF(OR(B198="2017 - kwh",B198="2018 - kwh"),"2016 - kwh","")</f>
        <v/>
      </c>
      <c r="AC198" s="833"/>
      <c r="AD198" s="833"/>
      <c r="AE198" s="833"/>
    </row>
    <row r="199" spans="1:31" s="636" customFormat="1" hidden="1" x14ac:dyDescent="0.3">
      <c r="A199" s="706" t="str">
        <f>IF(AND(F200=G200,H200=I200,J200=K200,F200="A"),"2016 - kw",IF(AND(F200=G200,H200=I200,J200&lt;&gt;K200,F200="A"),"2017 - kw",IF(AND(F200=G200,H200&lt;&gt;I200,F200="A"),"2018 - kw","N/A")))</f>
        <v>N/A</v>
      </c>
      <c r="B199" s="706" t="str">
        <f>IF(F200&lt;&gt;G200,"2018 - kw",IF(H200&lt;&gt;I200,"2017 - kw",IF(J200&lt;&gt;K200,"2016 - kw","N/A")))</f>
        <v>N/A</v>
      </c>
      <c r="C199" s="611"/>
      <c r="D199" s="646" t="str">
        <f>D198 &amp; "kW"</f>
        <v>kW</v>
      </c>
      <c r="E199" s="702" t="s">
        <v>155</v>
      </c>
      <c r="F199" s="753"/>
      <c r="G199" s="753"/>
      <c r="H199" s="753"/>
      <c r="I199" s="753"/>
      <c r="J199" s="753"/>
      <c r="K199" s="753"/>
      <c r="L199" s="753"/>
      <c r="M199" s="753"/>
      <c r="N199" s="753"/>
      <c r="O199" s="753"/>
      <c r="P199" s="706"/>
      <c r="Q199" s="706"/>
      <c r="R199" s="706"/>
      <c r="S199" s="706"/>
      <c r="T199" s="706"/>
      <c r="U199" s="706"/>
      <c r="V199" s="706"/>
      <c r="Z199" s="833"/>
      <c r="AA199" s="833" t="str">
        <f>IF(AND(F200=G200,H200=I200,F200="A"),"2016 - kw","")</f>
        <v/>
      </c>
      <c r="AB199" s="833" t="str">
        <f>IF(OR(B199="2017 - kw",B199="2018 - kw"),"2016 - kw","")</f>
        <v/>
      </c>
      <c r="AC199" s="833"/>
      <c r="AD199" s="833"/>
      <c r="AE199" s="833"/>
    </row>
    <row r="200" spans="1:31" s="636" customFormat="1" hidden="1" x14ac:dyDescent="0.3">
      <c r="A200" s="706"/>
      <c r="B200" s="706"/>
      <c r="C200" s="614"/>
      <c r="D200" s="700"/>
      <c r="E200" s="701" t="s">
        <v>2120</v>
      </c>
      <c r="F200" s="752"/>
      <c r="G200" s="752"/>
      <c r="H200" s="752"/>
      <c r="I200" s="752"/>
      <c r="J200" s="752"/>
      <c r="K200" s="752"/>
      <c r="L200" s="752"/>
      <c r="M200" s="752"/>
      <c r="N200" s="752"/>
      <c r="O200" s="752"/>
      <c r="P200" s="706"/>
      <c r="Q200" s="706"/>
      <c r="R200" s="706"/>
      <c r="S200" s="706"/>
      <c r="T200" s="706"/>
      <c r="U200" s="706"/>
      <c r="V200" s="706"/>
      <c r="Z200" s="833"/>
      <c r="AA200" s="833"/>
      <c r="AB200" s="833"/>
      <c r="AC200" s="833"/>
      <c r="AD200" s="833"/>
      <c r="AE200" s="833"/>
    </row>
    <row r="201" spans="1:31" s="636" customFormat="1" hidden="1" x14ac:dyDescent="0.3">
      <c r="A201" s="706" t="str">
        <f>IF(AND(F203=G203,H203=I203,J203=K203,F203="A"),"2016 - kwh",IF(AND(F203=G203,H203=I203,J203&lt;&gt;K203,F203="A"),"2017 - kwh",IF(AND(F203=G203,H203&lt;&gt;I203,F203="A"),"2018 - kwh","N/A")))</f>
        <v>N/A</v>
      </c>
      <c r="B201" s="706" t="str">
        <f>IF(F203&lt;&gt;G203,"2018 - kwh",IF(H203&lt;&gt;I203,"2017 - kwh",IF(J203&lt;&gt;K203,"2016 - kwh","N/A")))</f>
        <v>N/A</v>
      </c>
      <c r="C201" s="610" t="s">
        <v>2195</v>
      </c>
      <c r="D201" s="754"/>
      <c r="E201" s="703" t="s">
        <v>154</v>
      </c>
      <c r="F201" s="753"/>
      <c r="G201" s="753"/>
      <c r="H201" s="753"/>
      <c r="I201" s="753"/>
      <c r="J201" s="753"/>
      <c r="K201" s="753"/>
      <c r="L201" s="753"/>
      <c r="M201" s="753"/>
      <c r="N201" s="753"/>
      <c r="O201" s="753"/>
      <c r="P201" s="706"/>
      <c r="Q201" s="706"/>
      <c r="R201" s="706"/>
      <c r="S201" s="706"/>
      <c r="T201" s="706"/>
      <c r="U201" s="706"/>
      <c r="V201" s="706"/>
      <c r="Z201" s="833"/>
      <c r="AA201" s="833" t="str">
        <f>IF(AND(F203=G203,H203=I203,F203="A"),"2016 - kwh","")</f>
        <v/>
      </c>
      <c r="AB201" s="833" t="str">
        <f>IF(OR(B201="2017 - kwh",B201="2018 - kwh"),"2016 - kwh","")</f>
        <v/>
      </c>
      <c r="AC201" s="833"/>
      <c r="AD201" s="833"/>
      <c r="AE201" s="833"/>
    </row>
    <row r="202" spans="1:31" s="636" customFormat="1" hidden="1" x14ac:dyDescent="0.3">
      <c r="A202" s="706" t="str">
        <f>IF(AND(F203=G203,H203=I203,J203=K203,F203="A"),"2016 - kw",IF(AND(F203=G203,H203=I203,J203&lt;&gt;K203,F203="A"),"2017 - kw",IF(AND(F203=G203,H203&lt;&gt;I203,F203="A"),"2018 - kw","N/A")))</f>
        <v>N/A</v>
      </c>
      <c r="B202" s="706" t="str">
        <f>IF(F203&lt;&gt;G203,"2018 - kw",IF(H203&lt;&gt;I203,"2017 - kw",IF(J203&lt;&gt;K203,"2016 - kw","N/A")))</f>
        <v>N/A</v>
      </c>
      <c r="C202" s="611"/>
      <c r="D202" s="646" t="str">
        <f>D201 &amp; "kW"</f>
        <v>kW</v>
      </c>
      <c r="E202" s="702" t="s">
        <v>155</v>
      </c>
      <c r="F202" s="753"/>
      <c r="G202" s="753"/>
      <c r="H202" s="753"/>
      <c r="I202" s="753"/>
      <c r="J202" s="753"/>
      <c r="K202" s="753"/>
      <c r="L202" s="753"/>
      <c r="M202" s="753"/>
      <c r="N202" s="753"/>
      <c r="O202" s="753"/>
      <c r="P202" s="706"/>
      <c r="Q202" s="706"/>
      <c r="R202" s="706"/>
      <c r="S202" s="706"/>
      <c r="T202" s="706"/>
      <c r="U202" s="706"/>
      <c r="V202" s="706"/>
      <c r="Z202" s="833"/>
      <c r="AA202" s="833" t="str">
        <f>IF(AND(F203=G203,H203=I203,F203="A"),"2016 - kw","")</f>
        <v/>
      </c>
      <c r="AB202" s="833" t="str">
        <f>IF(OR(B202="2017 - kw",B202="2018 - kw"),"2016 - kw","")</f>
        <v/>
      </c>
      <c r="AC202" s="833"/>
      <c r="AD202" s="833"/>
      <c r="AE202" s="833"/>
    </row>
    <row r="203" spans="1:31" s="636" customFormat="1" hidden="1" x14ac:dyDescent="0.3">
      <c r="A203" s="706"/>
      <c r="B203" s="706"/>
      <c r="C203" s="614"/>
      <c r="D203" s="700"/>
      <c r="E203" s="701" t="s">
        <v>2120</v>
      </c>
      <c r="F203" s="752"/>
      <c r="G203" s="752"/>
      <c r="H203" s="752"/>
      <c r="I203" s="752"/>
      <c r="J203" s="752"/>
      <c r="K203" s="752"/>
      <c r="L203" s="752"/>
      <c r="M203" s="752"/>
      <c r="N203" s="752"/>
      <c r="O203" s="752"/>
      <c r="P203" s="706"/>
      <c r="Q203" s="706"/>
      <c r="R203" s="706"/>
      <c r="S203" s="706"/>
      <c r="T203" s="706"/>
      <c r="U203" s="706"/>
      <c r="V203" s="706"/>
      <c r="Z203" s="833"/>
      <c r="AA203" s="833"/>
      <c r="AB203" s="833"/>
      <c r="AC203" s="833"/>
      <c r="AD203" s="833"/>
      <c r="AE203" s="833"/>
    </row>
    <row r="204" spans="1:31" s="636" customFormat="1" hidden="1" x14ac:dyDescent="0.3">
      <c r="A204" s="706" t="str">
        <f>IF(AND(F206=G206,H206=I206,J206=K206,F206="A"),"2016 - kwh",IF(AND(F206=G206,H206=I206,J206&lt;&gt;K206,F206="A"),"2017 - kwh",IF(AND(F206=G206,H206&lt;&gt;I206,F206="A"),"2018 - kwh","N/A")))</f>
        <v>N/A</v>
      </c>
      <c r="B204" s="706" t="str">
        <f>IF(F206&lt;&gt;G206,"2018 - kwh",IF(H206&lt;&gt;I206,"2017 - kwh",IF(J206&lt;&gt;K206,"2016 - kwh","N/A")))</f>
        <v>N/A</v>
      </c>
      <c r="C204" s="610" t="s">
        <v>2196</v>
      </c>
      <c r="D204" s="754"/>
      <c r="E204" s="703" t="s">
        <v>154</v>
      </c>
      <c r="F204" s="753"/>
      <c r="G204" s="753"/>
      <c r="H204" s="753"/>
      <c r="I204" s="753"/>
      <c r="J204" s="753"/>
      <c r="K204" s="753"/>
      <c r="L204" s="753"/>
      <c r="M204" s="753"/>
      <c r="N204" s="753"/>
      <c r="O204" s="753"/>
      <c r="P204" s="706"/>
      <c r="Q204" s="706"/>
      <c r="R204" s="706"/>
      <c r="S204" s="706"/>
      <c r="T204" s="706"/>
      <c r="U204" s="706"/>
      <c r="V204" s="706"/>
      <c r="Z204" s="833"/>
      <c r="AA204" s="833" t="str">
        <f>IF(AND(F206=G206,H206=I206,F206="A"),"2016 - kwh","")</f>
        <v/>
      </c>
      <c r="AB204" s="833" t="str">
        <f>IF(OR(B204="2017 - kwh",B204="2018 - kwh"),"2016 - kwh","")</f>
        <v/>
      </c>
      <c r="AC204" s="833"/>
      <c r="AD204" s="833"/>
      <c r="AE204" s="833"/>
    </row>
    <row r="205" spans="1:31" s="636" customFormat="1" hidden="1" x14ac:dyDescent="0.3">
      <c r="A205" s="706" t="str">
        <f>IF(AND(F206=G206,H206=I206,J206=K206,F206="A"),"2016 - kw",IF(AND(F206=G206,H206=I206,J206&lt;&gt;K206,F206="A"),"2017 - kw",IF(AND(F206=G206,H206&lt;&gt;I206,F206="A"),"2018 - kw","N/A")))</f>
        <v>N/A</v>
      </c>
      <c r="B205" s="706" t="str">
        <f>IF(F206&lt;&gt;G206,"2018 - kw",IF(H206&lt;&gt;I206,"2017 - kw",IF(J206&lt;&gt;K206,"2016 - kw","N/A")))</f>
        <v>N/A</v>
      </c>
      <c r="C205" s="611"/>
      <c r="D205" s="646" t="str">
        <f>D204 &amp; "kW"</f>
        <v>kW</v>
      </c>
      <c r="E205" s="702" t="s">
        <v>155</v>
      </c>
      <c r="F205" s="753"/>
      <c r="G205" s="753"/>
      <c r="H205" s="753"/>
      <c r="I205" s="753"/>
      <c r="J205" s="753"/>
      <c r="K205" s="753"/>
      <c r="L205" s="753"/>
      <c r="M205" s="753"/>
      <c r="N205" s="753"/>
      <c r="O205" s="753"/>
      <c r="P205" s="706"/>
      <c r="Q205" s="706"/>
      <c r="R205" s="706"/>
      <c r="S205" s="706"/>
      <c r="T205" s="706"/>
      <c r="U205" s="706"/>
      <c r="V205" s="706"/>
      <c r="Z205" s="833"/>
      <c r="AA205" s="833" t="str">
        <f>IF(AND(F206=G206,H206=I206,F206="A"),"2016 - kw","")</f>
        <v/>
      </c>
      <c r="AB205" s="833" t="str">
        <f>IF(OR(B205="2017 - kw",B205="2018 - kw"),"2016 - kw","")</f>
        <v/>
      </c>
      <c r="AC205" s="833"/>
      <c r="AD205" s="833"/>
      <c r="AE205" s="833"/>
    </row>
    <row r="206" spans="1:31" s="636" customFormat="1" hidden="1" x14ac:dyDescent="0.3">
      <c r="A206" s="706"/>
      <c r="B206" s="706"/>
      <c r="C206" s="614"/>
      <c r="D206" s="700"/>
      <c r="E206" s="701" t="s">
        <v>2120</v>
      </c>
      <c r="F206" s="752"/>
      <c r="G206" s="752"/>
      <c r="H206" s="752"/>
      <c r="I206" s="752"/>
      <c r="J206" s="752"/>
      <c r="K206" s="752"/>
      <c r="L206" s="752"/>
      <c r="M206" s="752"/>
      <c r="N206" s="752"/>
      <c r="O206" s="752"/>
      <c r="P206" s="706"/>
      <c r="Q206" s="706"/>
      <c r="R206" s="706"/>
      <c r="S206" s="706"/>
      <c r="T206" s="706"/>
      <c r="U206" s="706"/>
      <c r="V206" s="706"/>
      <c r="Z206" s="833"/>
      <c r="AA206" s="833"/>
      <c r="AB206" s="833"/>
      <c r="AC206" s="833"/>
      <c r="AD206" s="833"/>
      <c r="AE206" s="833"/>
    </row>
    <row r="207" spans="1:31" s="636" customFormat="1" hidden="1" x14ac:dyDescent="0.3">
      <c r="A207" s="706" t="str">
        <f>IF(AND(F209=G209,H209=I209,J209=K209,F209="A"),"2016 - kwh",IF(AND(F209=G209,H209=I209,J209&lt;&gt;K209,F209="A"),"2017 - kwh",IF(AND(F209=G209,H209&lt;&gt;I209,F209="A"),"2018 - kwh","N/A")))</f>
        <v>N/A</v>
      </c>
      <c r="B207" s="706" t="str">
        <f>IF(F209&lt;&gt;G209,"2018 - kwh",IF(H209&lt;&gt;I209,"2017 - kwh",IF(J209&lt;&gt;K209,"2016 - kwh","N/A")))</f>
        <v>N/A</v>
      </c>
      <c r="C207" s="610" t="s">
        <v>2197</v>
      </c>
      <c r="D207" s="754"/>
      <c r="E207" s="703" t="s">
        <v>154</v>
      </c>
      <c r="F207" s="753"/>
      <c r="G207" s="753"/>
      <c r="H207" s="753"/>
      <c r="I207" s="753"/>
      <c r="J207" s="753"/>
      <c r="K207" s="753"/>
      <c r="L207" s="753"/>
      <c r="M207" s="753"/>
      <c r="N207" s="753"/>
      <c r="O207" s="753"/>
      <c r="P207" s="706"/>
      <c r="Q207" s="706"/>
      <c r="R207" s="706"/>
      <c r="S207" s="706"/>
      <c r="T207" s="706"/>
      <c r="U207" s="706"/>
      <c r="V207" s="706"/>
      <c r="Z207" s="833"/>
      <c r="AA207" s="833" t="str">
        <f>IF(AND(F209=G209,H209=I209,F209="A"),"2016 - kwh","")</f>
        <v/>
      </c>
      <c r="AB207" s="833" t="str">
        <f>IF(OR(B207="2017 - kwh",B207="2018 - kwh"),"2016 - kwh","")</f>
        <v/>
      </c>
      <c r="AC207" s="833"/>
      <c r="AD207" s="833"/>
      <c r="AE207" s="833"/>
    </row>
    <row r="208" spans="1:31" s="636" customFormat="1" hidden="1" x14ac:dyDescent="0.3">
      <c r="A208" s="706" t="str">
        <f>IF(AND(F209=G209,H209=I209,J209=K209,F209="A"),"2016 - kw",IF(AND(F209=G209,H209=I209,J209&lt;&gt;K209,F209="A"),"2017 - kw",IF(AND(F209=G209,H209&lt;&gt;I209,F209="A"),"2018 - kw","N/A")))</f>
        <v>N/A</v>
      </c>
      <c r="B208" s="706" t="str">
        <f>IF(F209&lt;&gt;G209,"2018 - kw",IF(H209&lt;&gt;I209,"2017 - kw",IF(J209&lt;&gt;K209,"2016 - kw","N/A")))</f>
        <v>N/A</v>
      </c>
      <c r="C208" s="611"/>
      <c r="D208" s="646" t="str">
        <f>D207 &amp; "kW"</f>
        <v>kW</v>
      </c>
      <c r="E208" s="702" t="s">
        <v>155</v>
      </c>
      <c r="F208" s="753"/>
      <c r="G208" s="753"/>
      <c r="H208" s="753"/>
      <c r="I208" s="753"/>
      <c r="J208" s="753"/>
      <c r="K208" s="753"/>
      <c r="L208" s="753"/>
      <c r="M208" s="753"/>
      <c r="N208" s="753"/>
      <c r="O208" s="753"/>
      <c r="P208" s="706"/>
      <c r="Q208" s="706"/>
      <c r="R208" s="706"/>
      <c r="S208" s="706"/>
      <c r="T208" s="706"/>
      <c r="U208" s="706"/>
      <c r="V208" s="706"/>
      <c r="Z208" s="833"/>
      <c r="AA208" s="833" t="str">
        <f>IF(AND(F209=G209,H209=I209,F209="A"),"2016 - kw","")</f>
        <v/>
      </c>
      <c r="AB208" s="833" t="str">
        <f>IF(OR(B208="2017 - kw",B208="2018 - kw"),"2016 - kw","")</f>
        <v/>
      </c>
      <c r="AC208" s="833"/>
      <c r="AD208" s="833"/>
      <c r="AE208" s="833"/>
    </row>
    <row r="209" spans="1:31" s="636" customFormat="1" hidden="1" x14ac:dyDescent="0.3">
      <c r="A209" s="706"/>
      <c r="B209" s="706"/>
      <c r="C209" s="614"/>
      <c r="D209" s="700"/>
      <c r="E209" s="701" t="s">
        <v>2120</v>
      </c>
      <c r="F209" s="752"/>
      <c r="G209" s="752"/>
      <c r="H209" s="752"/>
      <c r="I209" s="752"/>
      <c r="J209" s="752"/>
      <c r="K209" s="752"/>
      <c r="L209" s="752"/>
      <c r="M209" s="752"/>
      <c r="N209" s="752"/>
      <c r="O209" s="752"/>
      <c r="P209" s="706"/>
      <c r="Q209" s="706"/>
      <c r="R209" s="706"/>
      <c r="S209" s="706"/>
      <c r="T209" s="706"/>
      <c r="U209" s="706"/>
      <c r="V209" s="706"/>
      <c r="Z209" s="833"/>
      <c r="AA209" s="833"/>
      <c r="AB209" s="833"/>
      <c r="AC209" s="833"/>
      <c r="AD209" s="833"/>
      <c r="AE209" s="833"/>
    </row>
    <row r="210" spans="1:31" s="636" customFormat="1" hidden="1" x14ac:dyDescent="0.3">
      <c r="A210" s="706" t="str">
        <f>IF(AND(F212=G212,H212=I212,J212=K212,F212="A"),"2016 - kwh",IF(AND(F212=G212,H212=I212,J212&lt;&gt;K212,F212="A"),"2017 - kwh",IF(AND(F212=G212,H212&lt;&gt;I212,F212="A"),"2018 - kwh","N/A")))</f>
        <v>N/A</v>
      </c>
      <c r="B210" s="706" t="str">
        <f>IF(F212&lt;&gt;G212,"2018 - kwh",IF(H212&lt;&gt;I212,"2017 - kwh",IF(J212&lt;&gt;K212,"2016 - kwh","N/A")))</f>
        <v>N/A</v>
      </c>
      <c r="C210" s="610" t="s">
        <v>2198</v>
      </c>
      <c r="D210" s="754"/>
      <c r="E210" s="703" t="s">
        <v>154</v>
      </c>
      <c r="F210" s="753"/>
      <c r="G210" s="753"/>
      <c r="H210" s="753"/>
      <c r="I210" s="753"/>
      <c r="J210" s="753"/>
      <c r="K210" s="753"/>
      <c r="L210" s="753"/>
      <c r="M210" s="753"/>
      <c r="N210" s="753"/>
      <c r="O210" s="753"/>
      <c r="P210" s="706"/>
      <c r="Q210" s="706"/>
      <c r="R210" s="706"/>
      <c r="S210" s="706"/>
      <c r="T210" s="706"/>
      <c r="U210" s="706"/>
      <c r="V210" s="706"/>
      <c r="Z210" s="833"/>
      <c r="AA210" s="833" t="str">
        <f>IF(AND(F212=G212,H212=I212,F212="A"),"2016 - kwh","")</f>
        <v/>
      </c>
      <c r="AB210" s="833" t="str">
        <f>IF(OR(B210="2017 - kwh",B210="2018 - kwh"),"2016 - kwh","")</f>
        <v/>
      </c>
      <c r="AC210" s="833"/>
      <c r="AD210" s="833"/>
      <c r="AE210" s="833"/>
    </row>
    <row r="211" spans="1:31" s="636" customFormat="1" hidden="1" x14ac:dyDescent="0.3">
      <c r="A211" s="706" t="str">
        <f>IF(AND(F212=G212,H212=I212,J212=K212,F212="A"),"2016 - kw",IF(AND(F212=G212,H212=I212,J212&lt;&gt;K212,F212="A"),"2017 - kw",IF(AND(F212=G212,H212&lt;&gt;I212,F212="A"),"2018 - kw","N/A")))</f>
        <v>N/A</v>
      </c>
      <c r="B211" s="706" t="str">
        <f>IF(F212&lt;&gt;G212,"2018 - kw",IF(H212&lt;&gt;I212,"2017 - kw",IF(J212&lt;&gt;K212,"2016 - kw","N/A")))</f>
        <v>N/A</v>
      </c>
      <c r="C211" s="611"/>
      <c r="D211" s="646" t="str">
        <f>D210 &amp; "kW"</f>
        <v>kW</v>
      </c>
      <c r="E211" s="702" t="s">
        <v>155</v>
      </c>
      <c r="F211" s="753"/>
      <c r="G211" s="753"/>
      <c r="H211" s="753"/>
      <c r="I211" s="753"/>
      <c r="J211" s="753"/>
      <c r="K211" s="753"/>
      <c r="L211" s="753"/>
      <c r="M211" s="753"/>
      <c r="N211" s="753"/>
      <c r="O211" s="753"/>
      <c r="P211" s="706"/>
      <c r="Q211" s="706"/>
      <c r="R211" s="706"/>
      <c r="S211" s="706"/>
      <c r="T211" s="706"/>
      <c r="U211" s="706"/>
      <c r="V211" s="706"/>
      <c r="Z211" s="833"/>
      <c r="AA211" s="833" t="str">
        <f>IF(AND(F212=G212,H212=I212,F212="A"),"2016 - kw","")</f>
        <v/>
      </c>
      <c r="AB211" s="833" t="str">
        <f>IF(OR(B211="2017 - kw",B211="2018 - kw"),"2016 - kw","")</f>
        <v/>
      </c>
      <c r="AC211" s="833"/>
      <c r="AD211" s="833"/>
      <c r="AE211" s="833"/>
    </row>
    <row r="212" spans="1:31" s="636" customFormat="1" hidden="1" x14ac:dyDescent="0.3">
      <c r="A212" s="706"/>
      <c r="B212" s="706"/>
      <c r="C212" s="614"/>
      <c r="D212" s="700"/>
      <c r="E212" s="701" t="s">
        <v>2120</v>
      </c>
      <c r="F212" s="752"/>
      <c r="G212" s="752"/>
      <c r="H212" s="752"/>
      <c r="I212" s="752"/>
      <c r="J212" s="752"/>
      <c r="K212" s="752"/>
      <c r="L212" s="752"/>
      <c r="M212" s="752"/>
      <c r="N212" s="752"/>
      <c r="O212" s="752"/>
      <c r="P212" s="706"/>
      <c r="Q212" s="706"/>
      <c r="R212" s="706"/>
      <c r="S212" s="706"/>
      <c r="T212" s="706"/>
      <c r="U212" s="706"/>
      <c r="V212" s="706"/>
      <c r="Z212" s="833"/>
      <c r="AA212" s="833"/>
      <c r="AB212" s="833"/>
      <c r="AC212" s="833"/>
      <c r="AD212" s="833"/>
      <c r="AE212" s="833"/>
    </row>
    <row r="213" spans="1:31" s="636" customFormat="1" hidden="1" x14ac:dyDescent="0.3">
      <c r="A213" s="706" t="str">
        <f>IF(AND(F215=G215,H215=I215,J215=K215,F215="A"),"2016 - kwh",IF(AND(F215=G215,H215=I215,J215&lt;&gt;K215,F215="A"),"2017 - kwh",IF(AND(F215=G215,H215&lt;&gt;I215,F215="A"),"2018 - kwh","N/A")))</f>
        <v>N/A</v>
      </c>
      <c r="B213" s="706" t="str">
        <f>IF(F215&lt;&gt;G215,"2018 - kwh",IF(H215&lt;&gt;I215,"2017 - kwh",IF(J215&lt;&gt;K215,"2016 - kwh","N/A")))</f>
        <v>N/A</v>
      </c>
      <c r="C213" s="610" t="s">
        <v>2199</v>
      </c>
      <c r="D213" s="754"/>
      <c r="E213" s="703" t="s">
        <v>154</v>
      </c>
      <c r="F213" s="753"/>
      <c r="G213" s="753"/>
      <c r="H213" s="753"/>
      <c r="I213" s="753"/>
      <c r="J213" s="753"/>
      <c r="K213" s="753"/>
      <c r="L213" s="753"/>
      <c r="M213" s="753"/>
      <c r="N213" s="753"/>
      <c r="O213" s="753"/>
      <c r="P213" s="706"/>
      <c r="Q213" s="706"/>
      <c r="R213" s="706"/>
      <c r="S213" s="706"/>
      <c r="T213" s="706"/>
      <c r="U213" s="706"/>
      <c r="V213" s="706"/>
      <c r="Z213" s="833"/>
      <c r="AA213" s="833" t="str">
        <f>IF(AND(F215=G215,H215=I215,F215="A"),"2016 - kwh","")</f>
        <v/>
      </c>
      <c r="AB213" s="833" t="str">
        <f>IF(OR(B213="2017 - kwh",B213="2018 - kwh"),"2016 - kwh","")</f>
        <v/>
      </c>
      <c r="AC213" s="833"/>
      <c r="AD213" s="833"/>
      <c r="AE213" s="833"/>
    </row>
    <row r="214" spans="1:31" s="636" customFormat="1" hidden="1" x14ac:dyDescent="0.3">
      <c r="A214" s="706" t="str">
        <f>IF(AND(F215=G215,H215=I215,J215=K215,F215="A"),"2016 - kw",IF(AND(F215=G215,H215=I215,J215&lt;&gt;K215,F215="A"),"2017 - kw",IF(AND(F215=G215,H215&lt;&gt;I215,F215="A"),"2018 - kw","N/A")))</f>
        <v>N/A</v>
      </c>
      <c r="B214" s="706" t="str">
        <f>IF(F215&lt;&gt;G215,"2018 - kw",IF(H215&lt;&gt;I215,"2017 - kw",IF(J215&lt;&gt;K215,"2016 - kw","N/A")))</f>
        <v>N/A</v>
      </c>
      <c r="C214" s="611"/>
      <c r="D214" s="646" t="str">
        <f>D213 &amp; "kW"</f>
        <v>kW</v>
      </c>
      <c r="E214" s="702" t="s">
        <v>155</v>
      </c>
      <c r="F214" s="753"/>
      <c r="G214" s="753"/>
      <c r="H214" s="753"/>
      <c r="I214" s="753"/>
      <c r="J214" s="753"/>
      <c r="K214" s="753"/>
      <c r="L214" s="753"/>
      <c r="M214" s="753"/>
      <c r="N214" s="753"/>
      <c r="O214" s="753"/>
      <c r="P214" s="706"/>
      <c r="Q214" s="706"/>
      <c r="R214" s="706"/>
      <c r="S214" s="706"/>
      <c r="T214" s="706"/>
      <c r="U214" s="706"/>
      <c r="V214" s="706"/>
      <c r="Z214" s="833"/>
      <c r="AA214" s="833" t="str">
        <f>IF(AND(F215=G215,H215=I215,F215="A"),"2016 - kw","")</f>
        <v/>
      </c>
      <c r="AB214" s="833" t="str">
        <f>IF(OR(B214="2017 - kw",B214="2018 - kw"),"2016 - kw","")</f>
        <v/>
      </c>
      <c r="AC214" s="833"/>
      <c r="AD214" s="833"/>
      <c r="AE214" s="833"/>
    </row>
    <row r="215" spans="1:31" s="636" customFormat="1" hidden="1" x14ac:dyDescent="0.3">
      <c r="A215" s="706"/>
      <c r="B215" s="706"/>
      <c r="C215" s="614"/>
      <c r="D215" s="700"/>
      <c r="E215" s="701" t="s">
        <v>2120</v>
      </c>
      <c r="F215" s="752"/>
      <c r="G215" s="752"/>
      <c r="H215" s="752"/>
      <c r="I215" s="752"/>
      <c r="J215" s="752"/>
      <c r="K215" s="752"/>
      <c r="L215" s="752"/>
      <c r="M215" s="752"/>
      <c r="N215" s="752"/>
      <c r="O215" s="752"/>
      <c r="P215" s="706"/>
      <c r="Q215" s="706"/>
      <c r="R215" s="706"/>
      <c r="S215" s="706"/>
      <c r="T215" s="706"/>
      <c r="U215" s="706"/>
      <c r="V215" s="706"/>
      <c r="Z215" s="833"/>
      <c r="AA215" s="833"/>
      <c r="AB215" s="833"/>
      <c r="AC215" s="833"/>
      <c r="AD215" s="833"/>
      <c r="AE215" s="833"/>
    </row>
    <row r="216" spans="1:31" s="636" customFormat="1" hidden="1" x14ac:dyDescent="0.3">
      <c r="A216" s="706" t="str">
        <f>IF(AND(F218=G218,H218=I218,J218=K218,F218="A"),"2016 - kwh",IF(AND(F218=G218,H218=I218,J218&lt;&gt;K218,F218="A"),"2017 - kwh",IF(AND(F218=G218,H218&lt;&gt;I218,F218="A"),"2018 - kwh","N/A")))</f>
        <v>N/A</v>
      </c>
      <c r="B216" s="706" t="str">
        <f>IF(F218&lt;&gt;G218,"2018 - kwh",IF(H218&lt;&gt;I218,"2017 - kwh",IF(J218&lt;&gt;K218,"2016 - kwh","N/A")))</f>
        <v>N/A</v>
      </c>
      <c r="C216" s="610" t="s">
        <v>2200</v>
      </c>
      <c r="D216" s="754"/>
      <c r="E216" s="703" t="s">
        <v>154</v>
      </c>
      <c r="F216" s="753"/>
      <c r="G216" s="753"/>
      <c r="H216" s="753"/>
      <c r="I216" s="753"/>
      <c r="J216" s="753"/>
      <c r="K216" s="753"/>
      <c r="L216" s="753"/>
      <c r="M216" s="753"/>
      <c r="N216" s="753"/>
      <c r="O216" s="753"/>
      <c r="P216" s="706"/>
      <c r="Q216" s="706"/>
      <c r="R216" s="706"/>
      <c r="S216" s="706"/>
      <c r="T216" s="706"/>
      <c r="U216" s="706"/>
      <c r="V216" s="706"/>
      <c r="Z216" s="833"/>
      <c r="AA216" s="833" t="str">
        <f>IF(AND(F218=G218,H218=I218,F218="A"),"2016 - kwh","")</f>
        <v/>
      </c>
      <c r="AB216" s="833" t="str">
        <f>IF(OR(B216="2017 - kwh",B216="2018 - kwh"),"2016 - kwh","")</f>
        <v/>
      </c>
      <c r="AC216" s="833"/>
      <c r="AD216" s="833"/>
      <c r="AE216" s="833"/>
    </row>
    <row r="217" spans="1:31" s="636" customFormat="1" hidden="1" x14ac:dyDescent="0.3">
      <c r="A217" s="706" t="str">
        <f>IF(AND(F218=G218,H218=I218,J218=K218,F218="A"),"2016 - kw",IF(AND(F218=G218,H218=I218,J218&lt;&gt;K218,F218="A"),"2017 - kw",IF(AND(F218=G218,H218&lt;&gt;I218,F218="A"),"2018 - kw","N/A")))</f>
        <v>N/A</v>
      </c>
      <c r="B217" s="706" t="str">
        <f>IF(F218&lt;&gt;G218,"2018 - kw",IF(H218&lt;&gt;I218,"2017 - kw",IF(J218&lt;&gt;K218,"2016 - kw","N/A")))</f>
        <v>N/A</v>
      </c>
      <c r="C217" s="611"/>
      <c r="D217" s="646" t="str">
        <f>D216 &amp; "kW"</f>
        <v>kW</v>
      </c>
      <c r="E217" s="702" t="s">
        <v>155</v>
      </c>
      <c r="F217" s="753"/>
      <c r="G217" s="753"/>
      <c r="H217" s="753"/>
      <c r="I217" s="753"/>
      <c r="J217" s="753"/>
      <c r="K217" s="753"/>
      <c r="L217" s="753"/>
      <c r="M217" s="753"/>
      <c r="N217" s="753"/>
      <c r="O217" s="753"/>
      <c r="P217" s="706"/>
      <c r="Q217" s="706"/>
      <c r="R217" s="706"/>
      <c r="S217" s="706"/>
      <c r="T217" s="706"/>
      <c r="U217" s="706"/>
      <c r="V217" s="706"/>
      <c r="Z217" s="833"/>
      <c r="AA217" s="833" t="str">
        <f>IF(AND(F218=G218,H218=I218,F218="A"),"2016 - kw","")</f>
        <v/>
      </c>
      <c r="AB217" s="833" t="str">
        <f>IF(OR(B217="2017 - kw",B217="2018 - kw"),"2016 - kw","")</f>
        <v/>
      </c>
      <c r="AC217" s="833"/>
      <c r="AD217" s="833"/>
      <c r="AE217" s="833"/>
    </row>
    <row r="218" spans="1:31" s="636" customFormat="1" hidden="1" x14ac:dyDescent="0.3">
      <c r="A218" s="706"/>
      <c r="B218" s="706"/>
      <c r="C218" s="614"/>
      <c r="D218" s="700"/>
      <c r="E218" s="701" t="s">
        <v>2120</v>
      </c>
      <c r="F218" s="752"/>
      <c r="G218" s="752"/>
      <c r="H218" s="752"/>
      <c r="I218" s="752"/>
      <c r="J218" s="752"/>
      <c r="K218" s="752"/>
      <c r="L218" s="752"/>
      <c r="M218" s="752"/>
      <c r="N218" s="752"/>
      <c r="O218" s="752"/>
      <c r="P218" s="706"/>
      <c r="Q218" s="706"/>
      <c r="R218" s="706"/>
      <c r="S218" s="706"/>
      <c r="T218" s="706"/>
      <c r="U218" s="706"/>
      <c r="V218" s="706"/>
      <c r="Z218" s="833"/>
      <c r="AA218" s="833"/>
      <c r="AB218" s="833"/>
      <c r="AC218" s="833"/>
      <c r="AD218" s="833"/>
      <c r="AE218" s="833"/>
    </row>
    <row r="219" spans="1:31" s="636" customFormat="1" hidden="1" x14ac:dyDescent="0.3">
      <c r="A219" s="706" t="str">
        <f>IF(AND(F221=G221,H221=I221,J221=K221,F221="A"),"2016 - kwh",IF(AND(F221=G221,H221=I221,J221&lt;&gt;K221,F221="A"),"2017 - kwh",IF(AND(F221=G221,H221&lt;&gt;I221,F221="A"),"2018 - kwh","N/A")))</f>
        <v>N/A</v>
      </c>
      <c r="B219" s="706" t="str">
        <f>IF(F221&lt;&gt;G221,"2018 - kwh",IF(H221&lt;&gt;I221,"2017 - kwh",IF(J221&lt;&gt;K221,"2016 - kwh","N/A")))</f>
        <v>N/A</v>
      </c>
      <c r="C219" s="610" t="s">
        <v>2201</v>
      </c>
      <c r="D219" s="754"/>
      <c r="E219" s="703" t="s">
        <v>154</v>
      </c>
      <c r="F219" s="753"/>
      <c r="G219" s="753"/>
      <c r="H219" s="753"/>
      <c r="I219" s="753"/>
      <c r="J219" s="753"/>
      <c r="K219" s="753"/>
      <c r="L219" s="753"/>
      <c r="M219" s="753"/>
      <c r="N219" s="753"/>
      <c r="O219" s="753"/>
      <c r="P219" s="706"/>
      <c r="Q219" s="706"/>
      <c r="R219" s="706"/>
      <c r="S219" s="706"/>
      <c r="T219" s="706"/>
      <c r="U219" s="706"/>
      <c r="V219" s="706"/>
      <c r="Z219" s="833"/>
      <c r="AA219" s="833" t="str">
        <f>IF(AND(F221=G221,H221=I221,F221="A"),"2016 - kwh","")</f>
        <v/>
      </c>
      <c r="AB219" s="833" t="str">
        <f>IF(OR(B219="2017 - kwh",B219="2018 - kwh"),"2016 - kwh","")</f>
        <v/>
      </c>
      <c r="AC219" s="833"/>
      <c r="AD219" s="833"/>
      <c r="AE219" s="833"/>
    </row>
    <row r="220" spans="1:31" s="636" customFormat="1" hidden="1" x14ac:dyDescent="0.3">
      <c r="A220" s="706" t="str">
        <f>IF(AND(F221=G221,H221=I221,J221=K221,F221="A"),"2016 - kw",IF(AND(F221=G221,H221=I221,J221&lt;&gt;K221,F221="A"),"2017 - kw",IF(AND(F221=G221,H221&lt;&gt;I221,F221="A"),"2018 - kw","N/A")))</f>
        <v>N/A</v>
      </c>
      <c r="B220" s="706" t="str">
        <f>IF(F221&lt;&gt;G221,"2018 - kw",IF(H221&lt;&gt;I221,"2017 - kw",IF(J221&lt;&gt;K221,"2016 - kw","N/A")))</f>
        <v>N/A</v>
      </c>
      <c r="C220" s="611"/>
      <c r="D220" s="646" t="str">
        <f>D219 &amp; "kW"</f>
        <v>kW</v>
      </c>
      <c r="E220" s="702" t="s">
        <v>155</v>
      </c>
      <c r="F220" s="753"/>
      <c r="G220" s="753"/>
      <c r="H220" s="753"/>
      <c r="I220" s="753"/>
      <c r="J220" s="753"/>
      <c r="K220" s="753"/>
      <c r="L220" s="753"/>
      <c r="M220" s="753"/>
      <c r="N220" s="753"/>
      <c r="O220" s="753"/>
      <c r="P220" s="706"/>
      <c r="Q220" s="706"/>
      <c r="R220" s="706"/>
      <c r="S220" s="706"/>
      <c r="T220" s="706"/>
      <c r="U220" s="706"/>
      <c r="V220" s="706"/>
      <c r="Z220" s="833"/>
      <c r="AA220" s="833" t="str">
        <f>IF(AND(F221=G221,H221=I221,F221="A"),"2016 - kw","")</f>
        <v/>
      </c>
      <c r="AB220" s="833" t="str">
        <f>IF(OR(B220="2017 - kw",B220="2018 - kw"),"2016 - kw","")</f>
        <v/>
      </c>
      <c r="AC220" s="833"/>
      <c r="AD220" s="833"/>
      <c r="AE220" s="833"/>
    </row>
    <row r="221" spans="1:31" s="636" customFormat="1" hidden="1" x14ac:dyDescent="0.3">
      <c r="A221" s="706"/>
      <c r="B221" s="706"/>
      <c r="C221" s="614"/>
      <c r="D221" s="700"/>
      <c r="E221" s="701" t="s">
        <v>2120</v>
      </c>
      <c r="F221" s="752"/>
      <c r="G221" s="752"/>
      <c r="H221" s="752"/>
      <c r="I221" s="752"/>
      <c r="J221" s="752"/>
      <c r="K221" s="752"/>
      <c r="L221" s="752"/>
      <c r="M221" s="752"/>
      <c r="N221" s="752"/>
      <c r="O221" s="752"/>
      <c r="P221" s="706"/>
      <c r="Q221" s="706"/>
      <c r="R221" s="706"/>
      <c r="S221" s="706"/>
      <c r="T221" s="706"/>
      <c r="U221" s="706"/>
      <c r="V221" s="706"/>
      <c r="Z221" s="833"/>
      <c r="AA221" s="833"/>
      <c r="AB221" s="833"/>
      <c r="AC221" s="833"/>
      <c r="AD221" s="833"/>
      <c r="AE221" s="833"/>
    </row>
    <row r="222" spans="1:31" s="636" customFormat="1" hidden="1" x14ac:dyDescent="0.3">
      <c r="A222" s="706" t="str">
        <f>IF(AND(F224=G224,H224=I224,J224=K224,F224="A"),"2016 - kwh",IF(AND(F224=G224,H224=I224,J224&lt;&gt;K224,F224="A"),"2017 - kwh",IF(AND(F224=G224,H224&lt;&gt;I224,F224="A"),"2018 - kwh","N/A")))</f>
        <v>N/A</v>
      </c>
      <c r="B222" s="706" t="str">
        <f>IF(F224&lt;&gt;G224,"2018 - kwh",IF(H224&lt;&gt;I224,"2017 - kwh",IF(J224&lt;&gt;K224,"2016 - kwh","N/A")))</f>
        <v>N/A</v>
      </c>
      <c r="C222" s="610" t="s">
        <v>2202</v>
      </c>
      <c r="D222" s="754"/>
      <c r="E222" s="703" t="s">
        <v>154</v>
      </c>
      <c r="F222" s="753"/>
      <c r="G222" s="753"/>
      <c r="H222" s="753"/>
      <c r="I222" s="753"/>
      <c r="J222" s="753"/>
      <c r="K222" s="753"/>
      <c r="L222" s="753"/>
      <c r="M222" s="753"/>
      <c r="N222" s="753"/>
      <c r="O222" s="753"/>
      <c r="P222" s="706"/>
      <c r="Q222" s="706"/>
      <c r="R222" s="706"/>
      <c r="S222" s="706"/>
      <c r="T222" s="706"/>
      <c r="U222" s="706"/>
      <c r="V222" s="706"/>
      <c r="Z222" s="833"/>
      <c r="AA222" s="833" t="str">
        <f>IF(AND(F224=G224,H224=I224,F224="A"),"2016 - kwh","")</f>
        <v/>
      </c>
      <c r="AB222" s="833" t="str">
        <f>IF(OR(B222="2017 - kwh",B222="2018 - kwh"),"2016 - kwh","")</f>
        <v/>
      </c>
      <c r="AC222" s="833"/>
      <c r="AD222" s="833"/>
      <c r="AE222" s="833"/>
    </row>
    <row r="223" spans="1:31" s="636" customFormat="1" hidden="1" x14ac:dyDescent="0.3">
      <c r="A223" s="706" t="str">
        <f>IF(AND(F224=G224,H224=I224,J224=K224,F224="A"),"2016 - kw",IF(AND(F224=G224,H224=I224,J224&lt;&gt;K224,F224="A"),"2017 - kw",IF(AND(F224=G224,H224&lt;&gt;I224,F224="A"),"2018 - kw","N/A")))</f>
        <v>N/A</v>
      </c>
      <c r="B223" s="706" t="str">
        <f>IF(F224&lt;&gt;G224,"2018 - kw",IF(H224&lt;&gt;I224,"2017 - kw",IF(J224&lt;&gt;K224,"2016 - kw","N/A")))</f>
        <v>N/A</v>
      </c>
      <c r="C223" s="611"/>
      <c r="D223" s="646" t="str">
        <f>D222 &amp; "kW"</f>
        <v>kW</v>
      </c>
      <c r="E223" s="702" t="s">
        <v>155</v>
      </c>
      <c r="F223" s="753"/>
      <c r="G223" s="753"/>
      <c r="H223" s="753"/>
      <c r="I223" s="753"/>
      <c r="J223" s="753"/>
      <c r="K223" s="753"/>
      <c r="L223" s="753"/>
      <c r="M223" s="753"/>
      <c r="N223" s="753"/>
      <c r="O223" s="753"/>
      <c r="P223" s="706"/>
      <c r="Q223" s="706"/>
      <c r="R223" s="706"/>
      <c r="S223" s="706"/>
      <c r="T223" s="706"/>
      <c r="U223" s="706"/>
      <c r="V223" s="706"/>
      <c r="Z223" s="833"/>
      <c r="AA223" s="833" t="str">
        <f>IF(AND(F224=G224,H224=I224,F224="A"),"2016 - kw","")</f>
        <v/>
      </c>
      <c r="AB223" s="833" t="str">
        <f>IF(OR(B223="2017 - kw",B223="2018 - kw"),"2016 - kw","")</f>
        <v/>
      </c>
      <c r="AC223" s="833"/>
      <c r="AD223" s="833"/>
      <c r="AE223" s="833"/>
    </row>
    <row r="224" spans="1:31" s="636" customFormat="1" hidden="1" x14ac:dyDescent="0.3">
      <c r="A224" s="706"/>
      <c r="B224" s="706"/>
      <c r="C224" s="614"/>
      <c r="D224" s="700"/>
      <c r="E224" s="701" t="s">
        <v>2120</v>
      </c>
      <c r="F224" s="752"/>
      <c r="G224" s="752"/>
      <c r="H224" s="752"/>
      <c r="I224" s="752"/>
      <c r="J224" s="752"/>
      <c r="K224" s="752"/>
      <c r="L224" s="752"/>
      <c r="M224" s="752"/>
      <c r="N224" s="752"/>
      <c r="O224" s="752"/>
      <c r="P224" s="706"/>
      <c r="Q224" s="706"/>
      <c r="R224" s="706"/>
      <c r="S224" s="706"/>
      <c r="T224" s="706"/>
      <c r="U224" s="706"/>
      <c r="V224" s="706"/>
      <c r="Z224" s="833"/>
      <c r="AA224" s="833"/>
      <c r="AB224" s="833"/>
      <c r="AC224" s="833"/>
      <c r="AD224" s="833"/>
      <c r="AE224" s="833"/>
    </row>
    <row r="225" spans="1:31" s="636" customFormat="1" hidden="1" x14ac:dyDescent="0.3">
      <c r="A225" s="706" t="str">
        <f>IF(AND(F227=G227,H227=I227,J227=K227,F227="A"),"2016 - kwh",IF(AND(F227=G227,H227=I227,J227&lt;&gt;K227,F227="A"),"2017 - kwh",IF(AND(F227=G227,H227&lt;&gt;I227,F227="A"),"2018 - kwh","N/A")))</f>
        <v>N/A</v>
      </c>
      <c r="B225" s="706" t="str">
        <f>IF(F227&lt;&gt;G227,"2018 - kwh",IF(H227&lt;&gt;I227,"2017 - kwh",IF(J227&lt;&gt;K227,"2016 - kwh","N/A")))</f>
        <v>N/A</v>
      </c>
      <c r="C225" s="610" t="s">
        <v>2203</v>
      </c>
      <c r="D225" s="754"/>
      <c r="E225" s="703" t="s">
        <v>154</v>
      </c>
      <c r="F225" s="753"/>
      <c r="G225" s="753"/>
      <c r="H225" s="753"/>
      <c r="I225" s="753"/>
      <c r="J225" s="753"/>
      <c r="K225" s="753"/>
      <c r="L225" s="753"/>
      <c r="M225" s="753"/>
      <c r="N225" s="753"/>
      <c r="O225" s="753"/>
      <c r="P225" s="706"/>
      <c r="Q225" s="706"/>
      <c r="R225" s="706"/>
      <c r="S225" s="706"/>
      <c r="T225" s="706"/>
      <c r="U225" s="706"/>
      <c r="V225" s="706"/>
      <c r="Z225" s="833"/>
      <c r="AA225" s="833" t="str">
        <f>IF(AND(F227=G227,H227=I227,F227="A"),"2016 - kwh","")</f>
        <v/>
      </c>
      <c r="AB225" s="833" t="str">
        <f>IF(OR(B225="2017 - kwh",B225="2018 - kwh"),"2016 - kwh","")</f>
        <v/>
      </c>
      <c r="AC225" s="833"/>
      <c r="AD225" s="833"/>
      <c r="AE225" s="833"/>
    </row>
    <row r="226" spans="1:31" s="636" customFormat="1" hidden="1" x14ac:dyDescent="0.3">
      <c r="A226" s="706" t="str">
        <f>IF(AND(F227=G227,H227=I227,J227=K227,F227="A"),"2016 - kw",IF(AND(F227=G227,H227=I227,J227&lt;&gt;K227,F227="A"),"2017 - kw",IF(AND(F227=G227,H227&lt;&gt;I227,F227="A"),"2018 - kw","N/A")))</f>
        <v>N/A</v>
      </c>
      <c r="B226" s="706" t="str">
        <f>IF(F227&lt;&gt;G227,"2018 - kw",IF(H227&lt;&gt;I227,"2017 - kw",IF(J227&lt;&gt;K227,"2016 - kw","N/A")))</f>
        <v>N/A</v>
      </c>
      <c r="C226" s="611"/>
      <c r="D226" s="646" t="str">
        <f>D225 &amp; "kW"</f>
        <v>kW</v>
      </c>
      <c r="E226" s="702" t="s">
        <v>155</v>
      </c>
      <c r="F226" s="753"/>
      <c r="G226" s="753"/>
      <c r="H226" s="753"/>
      <c r="I226" s="753"/>
      <c r="J226" s="753"/>
      <c r="K226" s="753"/>
      <c r="L226" s="753"/>
      <c r="M226" s="753"/>
      <c r="N226" s="753"/>
      <c r="O226" s="753"/>
      <c r="P226" s="706"/>
      <c r="Q226" s="706"/>
      <c r="R226" s="706"/>
      <c r="S226" s="706"/>
      <c r="T226" s="706"/>
      <c r="U226" s="706"/>
      <c r="V226" s="706"/>
      <c r="Z226" s="833"/>
      <c r="AA226" s="833" t="str">
        <f>IF(AND(F227=G227,H227=I227,F227="A"),"2016 - kw","")</f>
        <v/>
      </c>
      <c r="AB226" s="833" t="str">
        <f>IF(OR(B226="2017 - kw",B226="2018 - kw"),"2016 - kw","")</f>
        <v/>
      </c>
      <c r="AC226" s="833"/>
      <c r="AD226" s="833"/>
      <c r="AE226" s="833"/>
    </row>
    <row r="227" spans="1:31" s="636" customFormat="1" hidden="1" x14ac:dyDescent="0.3">
      <c r="A227" s="706"/>
      <c r="B227" s="706"/>
      <c r="C227" s="614"/>
      <c r="D227" s="700"/>
      <c r="E227" s="701" t="s">
        <v>2120</v>
      </c>
      <c r="F227" s="752"/>
      <c r="G227" s="752"/>
      <c r="H227" s="752"/>
      <c r="I227" s="752"/>
      <c r="J227" s="752"/>
      <c r="K227" s="752"/>
      <c r="L227" s="752"/>
      <c r="M227" s="752"/>
      <c r="N227" s="752"/>
      <c r="O227" s="752"/>
      <c r="P227" s="706"/>
      <c r="Q227" s="706"/>
      <c r="R227" s="706"/>
      <c r="S227" s="706"/>
      <c r="T227" s="706"/>
      <c r="U227" s="706"/>
      <c r="V227" s="706"/>
      <c r="Z227" s="833"/>
      <c r="AA227" s="833"/>
      <c r="AB227" s="833"/>
      <c r="AC227" s="833"/>
      <c r="AD227" s="833"/>
      <c r="AE227" s="833"/>
    </row>
    <row r="228" spans="1:31" s="636" customFormat="1" hidden="1" x14ac:dyDescent="0.3">
      <c r="A228" s="706" t="str">
        <f>IF(AND(F230=G230,H230=I230,J230=K230,F230="A"),"2016 - kwh",IF(AND(F230=G230,H230=I230,J230&lt;&gt;K230,F230="A"),"2017 - kwh",IF(AND(F230=G230,H230&lt;&gt;I230,F230="A"),"2018 - kwh","N/A")))</f>
        <v>N/A</v>
      </c>
      <c r="B228" s="706" t="str">
        <f>IF(F230&lt;&gt;G230,"2018 - kwh",IF(H230&lt;&gt;I230,"2017 - kwh",IF(J230&lt;&gt;K230,"2016 - kwh","N/A")))</f>
        <v>N/A</v>
      </c>
      <c r="C228" s="610" t="s">
        <v>2204</v>
      </c>
      <c r="D228" s="754"/>
      <c r="E228" s="703" t="s">
        <v>154</v>
      </c>
      <c r="F228" s="753"/>
      <c r="G228" s="753"/>
      <c r="H228" s="753"/>
      <c r="I228" s="753"/>
      <c r="J228" s="753"/>
      <c r="K228" s="753"/>
      <c r="L228" s="753"/>
      <c r="M228" s="753"/>
      <c r="N228" s="753"/>
      <c r="O228" s="753"/>
      <c r="P228" s="706"/>
      <c r="Q228" s="706"/>
      <c r="R228" s="706"/>
      <c r="S228" s="706"/>
      <c r="T228" s="706"/>
      <c r="U228" s="706"/>
      <c r="V228" s="706"/>
      <c r="Z228" s="833"/>
      <c r="AA228" s="833" t="str">
        <f>IF(AND(F230=G230,H230=I230,F230="A"),"2016 - kwh","")</f>
        <v/>
      </c>
      <c r="AB228" s="833" t="str">
        <f>IF(OR(B228="2017 - kwh",B228="2018 - kwh"),"2016 - kwh","")</f>
        <v/>
      </c>
      <c r="AC228" s="833"/>
      <c r="AD228" s="833"/>
      <c r="AE228" s="833"/>
    </row>
    <row r="229" spans="1:31" s="636" customFormat="1" hidden="1" x14ac:dyDescent="0.3">
      <c r="A229" s="706" t="str">
        <f>IF(AND(F230=G230,H230=I230,J230=K230,F230="A"),"2016 - kw",IF(AND(F230=G230,H230=I230,J230&lt;&gt;K230,F230="A"),"2017 - kw",IF(AND(F230=G230,H230&lt;&gt;I230,F230="A"),"2018 - kw","N/A")))</f>
        <v>N/A</v>
      </c>
      <c r="B229" s="706" t="str">
        <f>IF(F230&lt;&gt;G230,"2018 - kw",IF(H230&lt;&gt;I230,"2017 - kw",IF(J230&lt;&gt;K230,"2016 - kw","N/A")))</f>
        <v>N/A</v>
      </c>
      <c r="C229" s="611"/>
      <c r="D229" s="646" t="str">
        <f>D228 &amp; "kW"</f>
        <v>kW</v>
      </c>
      <c r="E229" s="702" t="s">
        <v>155</v>
      </c>
      <c r="F229" s="753"/>
      <c r="G229" s="753"/>
      <c r="H229" s="753"/>
      <c r="I229" s="753"/>
      <c r="J229" s="753"/>
      <c r="K229" s="753"/>
      <c r="L229" s="753"/>
      <c r="M229" s="753"/>
      <c r="N229" s="753"/>
      <c r="O229" s="753"/>
      <c r="P229" s="706"/>
      <c r="Q229" s="706"/>
      <c r="R229" s="706"/>
      <c r="S229" s="706"/>
      <c r="T229" s="706"/>
      <c r="U229" s="706"/>
      <c r="V229" s="706"/>
      <c r="Z229" s="833"/>
      <c r="AA229" s="833" t="str">
        <f>IF(AND(F230=G230,H230=I230,F230="A"),"2016 - kw","")</f>
        <v/>
      </c>
      <c r="AB229" s="833" t="str">
        <f>IF(OR(B229="2017 - kw",B229="2018 - kw"),"2016 - kw","")</f>
        <v/>
      </c>
      <c r="AC229" s="833"/>
      <c r="AD229" s="833"/>
      <c r="AE229" s="833"/>
    </row>
    <row r="230" spans="1:31" s="636" customFormat="1" hidden="1" x14ac:dyDescent="0.3">
      <c r="A230" s="706"/>
      <c r="B230" s="706"/>
      <c r="C230" s="614"/>
      <c r="D230" s="700"/>
      <c r="E230" s="701" t="s">
        <v>2120</v>
      </c>
      <c r="F230" s="752"/>
      <c r="G230" s="752"/>
      <c r="H230" s="752"/>
      <c r="I230" s="752"/>
      <c r="J230" s="752"/>
      <c r="K230" s="752"/>
      <c r="L230" s="752"/>
      <c r="M230" s="752"/>
      <c r="N230" s="752"/>
      <c r="O230" s="752"/>
      <c r="P230" s="706"/>
      <c r="Q230" s="706"/>
      <c r="R230" s="706"/>
      <c r="S230" s="706"/>
      <c r="T230" s="706"/>
      <c r="U230" s="706"/>
      <c r="V230" s="706"/>
      <c r="Z230" s="833"/>
      <c r="AA230" s="833"/>
      <c r="AB230" s="833"/>
      <c r="AC230" s="833"/>
      <c r="AD230" s="833"/>
      <c r="AE230" s="833"/>
    </row>
    <row r="231" spans="1:31" s="636" customFormat="1" hidden="1" x14ac:dyDescent="0.3">
      <c r="A231" s="706" t="str">
        <f>IF(AND(F233=G233,H233=I233,J233=K233,F233="A"),"2016 - kwh",IF(AND(F233=G233,H233=I233,J233&lt;&gt;K233,F233="A"),"2017 - kwh",IF(AND(F233=G233,H233&lt;&gt;I233,F233="A"),"2018 - kwh","N/A")))</f>
        <v>N/A</v>
      </c>
      <c r="B231" s="706" t="str">
        <f>IF(F233&lt;&gt;G233,"2018 - kwh",IF(H233&lt;&gt;I233,"2017 - kwh",IF(J233&lt;&gt;K233,"2016 - kwh","N/A")))</f>
        <v>N/A</v>
      </c>
      <c r="C231" s="610" t="s">
        <v>2205</v>
      </c>
      <c r="D231" s="754"/>
      <c r="E231" s="703" t="s">
        <v>154</v>
      </c>
      <c r="F231" s="753"/>
      <c r="G231" s="753"/>
      <c r="H231" s="753"/>
      <c r="I231" s="753"/>
      <c r="J231" s="753"/>
      <c r="K231" s="753"/>
      <c r="L231" s="753"/>
      <c r="M231" s="753"/>
      <c r="N231" s="753"/>
      <c r="O231" s="753"/>
      <c r="P231" s="706"/>
      <c r="Q231" s="706"/>
      <c r="R231" s="706"/>
      <c r="S231" s="706"/>
      <c r="T231" s="706"/>
      <c r="U231" s="706"/>
      <c r="V231" s="706"/>
      <c r="Z231" s="833"/>
      <c r="AA231" s="833" t="str">
        <f>IF(AND(F233=G233,H233=I233,F233="A"),"2016 - kwh","")</f>
        <v/>
      </c>
      <c r="AB231" s="833" t="str">
        <f>IF(OR(B231="2017 - kwh",B231="2018 - kwh"),"2016 - kwh","")</f>
        <v/>
      </c>
      <c r="AC231" s="833"/>
      <c r="AD231" s="833"/>
      <c r="AE231" s="833"/>
    </row>
    <row r="232" spans="1:31" s="636" customFormat="1" hidden="1" x14ac:dyDescent="0.3">
      <c r="A232" s="706" t="str">
        <f>IF(AND(F233=G233,H233=I233,J233=K233,F233="A"),"2016 - kw",IF(AND(F233=G233,H233=I233,J233&lt;&gt;K233,F233="A"),"2017 - kw",IF(AND(F233=G233,H233&lt;&gt;I233,F233="A"),"2018 - kw","N/A")))</f>
        <v>N/A</v>
      </c>
      <c r="B232" s="706" t="str">
        <f>IF(F233&lt;&gt;G233,"2018 - kw",IF(H233&lt;&gt;I233,"2017 - kw",IF(J233&lt;&gt;K233,"2016 - kw","N/A")))</f>
        <v>N/A</v>
      </c>
      <c r="C232" s="611"/>
      <c r="D232" s="646" t="str">
        <f>D231 &amp; "kW"</f>
        <v>kW</v>
      </c>
      <c r="E232" s="702" t="s">
        <v>155</v>
      </c>
      <c r="F232" s="753"/>
      <c r="G232" s="753"/>
      <c r="H232" s="753"/>
      <c r="I232" s="753"/>
      <c r="J232" s="753"/>
      <c r="K232" s="753"/>
      <c r="L232" s="753"/>
      <c r="M232" s="753"/>
      <c r="N232" s="753"/>
      <c r="O232" s="753"/>
      <c r="P232" s="706"/>
      <c r="Q232" s="706"/>
      <c r="R232" s="706"/>
      <c r="S232" s="706"/>
      <c r="T232" s="706"/>
      <c r="U232" s="706"/>
      <c r="V232" s="706"/>
      <c r="Z232" s="833"/>
      <c r="AA232" s="833" t="str">
        <f>IF(AND(F233=G233,H233=I233,F233="A"),"2016 - kw","")</f>
        <v/>
      </c>
      <c r="AB232" s="833" t="str">
        <f>IF(OR(B232="2017 - kw",B232="2018 - kw"),"2016 - kw","")</f>
        <v/>
      </c>
      <c r="AC232" s="833"/>
      <c r="AD232" s="833"/>
      <c r="AE232" s="833"/>
    </row>
    <row r="233" spans="1:31" s="636" customFormat="1" hidden="1" x14ac:dyDescent="0.3">
      <c r="A233" s="706"/>
      <c r="B233" s="706"/>
      <c r="C233" s="614"/>
      <c r="D233" s="700"/>
      <c r="E233" s="701" t="s">
        <v>2120</v>
      </c>
      <c r="F233" s="752"/>
      <c r="G233" s="752"/>
      <c r="H233" s="752"/>
      <c r="I233" s="752"/>
      <c r="J233" s="752"/>
      <c r="K233" s="752"/>
      <c r="L233" s="752"/>
      <c r="M233" s="752"/>
      <c r="N233" s="752"/>
      <c r="O233" s="752"/>
      <c r="P233" s="706"/>
      <c r="Q233" s="706"/>
      <c r="R233" s="706"/>
      <c r="S233" s="706"/>
      <c r="T233" s="706"/>
      <c r="U233" s="706"/>
      <c r="V233" s="706"/>
      <c r="Z233" s="833"/>
      <c r="AA233" s="833"/>
      <c r="AB233" s="833"/>
      <c r="AC233" s="833"/>
      <c r="AD233" s="833"/>
      <c r="AE233" s="833"/>
    </row>
    <row r="234" spans="1:31" s="636" customFormat="1" hidden="1" x14ac:dyDescent="0.3">
      <c r="A234" s="706" t="str">
        <f>IF(AND(F236=G236,H236=I236,J236=K236,F236="A"),"2016 - kwh",IF(AND(F236=G236,H236=I236,J236&lt;&gt;K236,F236="A"),"2017 - kwh",IF(AND(F236=G236,H236&lt;&gt;I236,F236="A"),"2018 - kwh","N/A")))</f>
        <v>N/A</v>
      </c>
      <c r="B234" s="706" t="str">
        <f>IF(F236&lt;&gt;G236,"2018 - kwh",IF(H236&lt;&gt;I236,"2017 - kwh",IF(J236&lt;&gt;K236,"2016 - kwh","N/A")))</f>
        <v>N/A</v>
      </c>
      <c r="C234" s="610" t="s">
        <v>2206</v>
      </c>
      <c r="D234" s="754"/>
      <c r="E234" s="703" t="s">
        <v>154</v>
      </c>
      <c r="F234" s="753"/>
      <c r="G234" s="753"/>
      <c r="H234" s="753"/>
      <c r="I234" s="753"/>
      <c r="J234" s="753"/>
      <c r="K234" s="753"/>
      <c r="L234" s="753"/>
      <c r="M234" s="753"/>
      <c r="N234" s="753"/>
      <c r="O234" s="753"/>
      <c r="P234" s="706"/>
      <c r="Q234" s="706"/>
      <c r="R234" s="706"/>
      <c r="S234" s="706"/>
      <c r="T234" s="706"/>
      <c r="U234" s="706"/>
      <c r="V234" s="706"/>
      <c r="Z234" s="833"/>
      <c r="AA234" s="833" t="str">
        <f>IF(AND(F236=G236,H236=I236,F236="A"),"2016 - kwh","")</f>
        <v/>
      </c>
      <c r="AB234" s="833" t="str">
        <f>IF(OR(B234="2017 - kwh",B234="2018 - kwh"),"2016 - kwh","")</f>
        <v/>
      </c>
      <c r="AC234" s="833"/>
      <c r="AD234" s="833"/>
      <c r="AE234" s="833"/>
    </row>
    <row r="235" spans="1:31" s="636" customFormat="1" hidden="1" x14ac:dyDescent="0.3">
      <c r="A235" s="706" t="str">
        <f>IF(AND(F236=G236,H236=I236,J236=K236,F236="A"),"2016 - kw",IF(AND(F236=G236,H236=I236,J236&lt;&gt;K236,F236="A"),"2017 - kw",IF(AND(F236=G236,H236&lt;&gt;I236,F236="A"),"2018 - kw","N/A")))</f>
        <v>N/A</v>
      </c>
      <c r="B235" s="706" t="str">
        <f>IF(F236&lt;&gt;G236,"2018 - kw",IF(H236&lt;&gt;I236,"2017 - kw",IF(J236&lt;&gt;K236,"2016 - kw","N/A")))</f>
        <v>N/A</v>
      </c>
      <c r="C235" s="611"/>
      <c r="D235" s="646" t="str">
        <f>D234 &amp; "kW"</f>
        <v>kW</v>
      </c>
      <c r="E235" s="702" t="s">
        <v>155</v>
      </c>
      <c r="F235" s="753"/>
      <c r="G235" s="753"/>
      <c r="H235" s="753"/>
      <c r="I235" s="753"/>
      <c r="J235" s="753"/>
      <c r="K235" s="753"/>
      <c r="L235" s="753"/>
      <c r="M235" s="753"/>
      <c r="N235" s="753"/>
      <c r="O235" s="753"/>
      <c r="P235" s="706"/>
      <c r="Q235" s="706"/>
      <c r="R235" s="706"/>
      <c r="S235" s="706"/>
      <c r="T235" s="706"/>
      <c r="U235" s="706"/>
      <c r="V235" s="706"/>
      <c r="Z235" s="833"/>
      <c r="AA235" s="833" t="str">
        <f>IF(AND(F236=G236,H236=I236,F236="A"),"2016 - kw","")</f>
        <v/>
      </c>
      <c r="AB235" s="833" t="str">
        <f>IF(OR(B235="2017 - kw",B235="2018 - kw"),"2016 - kw","")</f>
        <v/>
      </c>
      <c r="AC235" s="833"/>
      <c r="AD235" s="833"/>
      <c r="AE235" s="833"/>
    </row>
    <row r="236" spans="1:31" s="636" customFormat="1" hidden="1" x14ac:dyDescent="0.3">
      <c r="A236" s="706"/>
      <c r="B236" s="706"/>
      <c r="C236" s="614"/>
      <c r="D236" s="700"/>
      <c r="E236" s="701" t="s">
        <v>2120</v>
      </c>
      <c r="F236" s="752"/>
      <c r="G236" s="752"/>
      <c r="H236" s="752"/>
      <c r="I236" s="752"/>
      <c r="J236" s="752"/>
      <c r="K236" s="752"/>
      <c r="L236" s="752"/>
      <c r="M236" s="752"/>
      <c r="N236" s="752"/>
      <c r="O236" s="752"/>
      <c r="P236" s="706"/>
      <c r="Q236" s="706"/>
      <c r="R236" s="706"/>
      <c r="S236" s="706"/>
      <c r="T236" s="706"/>
      <c r="U236" s="706"/>
      <c r="V236" s="706"/>
      <c r="Z236" s="833"/>
      <c r="AA236" s="833"/>
      <c r="AB236" s="833"/>
      <c r="AC236" s="833"/>
      <c r="AD236" s="833"/>
      <c r="AE236" s="833"/>
    </row>
    <row r="237" spans="1:31" s="636" customFormat="1" hidden="1" x14ac:dyDescent="0.3">
      <c r="A237" s="706" t="str">
        <f>IF(AND(F239=G239,H239=I239,J239=K239,F239="A"),"2016 - kwh",IF(AND(F239=G239,H239=I239,J239&lt;&gt;K239,F239="A"),"2017 - kwh",IF(AND(F239=G239,H239&lt;&gt;I239,F239="A"),"2018 - kwh","N/A")))</f>
        <v>N/A</v>
      </c>
      <c r="B237" s="706" t="str">
        <f>IF(F239&lt;&gt;G239,"2018 - kwh",IF(H239&lt;&gt;I239,"2017 - kwh",IF(J239&lt;&gt;K239,"2016 - kwh","N/A")))</f>
        <v>N/A</v>
      </c>
      <c r="C237" s="610" t="s">
        <v>2207</v>
      </c>
      <c r="D237" s="754"/>
      <c r="E237" s="703" t="s">
        <v>154</v>
      </c>
      <c r="F237" s="753"/>
      <c r="G237" s="753"/>
      <c r="H237" s="753"/>
      <c r="I237" s="753"/>
      <c r="J237" s="753"/>
      <c r="K237" s="753"/>
      <c r="L237" s="753"/>
      <c r="M237" s="753"/>
      <c r="N237" s="753"/>
      <c r="O237" s="753"/>
      <c r="P237" s="706"/>
      <c r="Q237" s="706"/>
      <c r="R237" s="706"/>
      <c r="S237" s="706"/>
      <c r="T237" s="706"/>
      <c r="U237" s="706"/>
      <c r="V237" s="706"/>
      <c r="Z237" s="833"/>
      <c r="AA237" s="833" t="str">
        <f>IF(AND(F239=G239,H239=I239,F239="A"),"2016 - kwh","")</f>
        <v/>
      </c>
      <c r="AB237" s="833" t="str">
        <f>IF(OR(B237="2017 - kwh",B237="2018 - kwh"),"2016 - kwh","")</f>
        <v/>
      </c>
      <c r="AC237" s="833"/>
      <c r="AD237" s="833"/>
      <c r="AE237" s="833"/>
    </row>
    <row r="238" spans="1:31" s="636" customFormat="1" hidden="1" x14ac:dyDescent="0.3">
      <c r="A238" s="706" t="str">
        <f>IF(AND(F239=G239,H239=I239,J239=K239,F239="A"),"2016 - kw",IF(AND(F239=G239,H239=I239,J239&lt;&gt;K239,F239="A"),"2017 - kw",IF(AND(F239=G239,H239&lt;&gt;I239,F239="A"),"2018 - kw","N/A")))</f>
        <v>N/A</v>
      </c>
      <c r="B238" s="706" t="str">
        <f>IF(F239&lt;&gt;G239,"2018 - kw",IF(H239&lt;&gt;I239,"2017 - kw",IF(J239&lt;&gt;K239,"2016 - kw","N/A")))</f>
        <v>N/A</v>
      </c>
      <c r="C238" s="611"/>
      <c r="D238" s="646" t="str">
        <f>D237 &amp; "kW"</f>
        <v>kW</v>
      </c>
      <c r="E238" s="702" t="s">
        <v>155</v>
      </c>
      <c r="F238" s="753"/>
      <c r="G238" s="753"/>
      <c r="H238" s="753"/>
      <c r="I238" s="753"/>
      <c r="J238" s="753"/>
      <c r="K238" s="753"/>
      <c r="L238" s="753"/>
      <c r="M238" s="753"/>
      <c r="N238" s="753"/>
      <c r="O238" s="753"/>
      <c r="P238" s="706"/>
      <c r="Q238" s="706"/>
      <c r="R238" s="706"/>
      <c r="S238" s="706"/>
      <c r="T238" s="706"/>
      <c r="U238" s="706"/>
      <c r="V238" s="706"/>
      <c r="Z238" s="833"/>
      <c r="AA238" s="833" t="str">
        <f>IF(AND(F239=G239,H239=I239,F239="A"),"2016 - kw","")</f>
        <v/>
      </c>
      <c r="AB238" s="833" t="str">
        <f>IF(OR(B238="2017 - kw",B238="2018 - kw"),"2016 - kw","")</f>
        <v/>
      </c>
      <c r="AC238" s="833"/>
      <c r="AD238" s="833"/>
      <c r="AE238" s="833"/>
    </row>
    <row r="239" spans="1:31" s="636" customFormat="1" hidden="1" x14ac:dyDescent="0.3">
      <c r="A239" s="706"/>
      <c r="B239" s="706"/>
      <c r="C239" s="614"/>
      <c r="D239" s="700"/>
      <c r="E239" s="701" t="s">
        <v>2120</v>
      </c>
      <c r="F239" s="752"/>
      <c r="G239" s="752"/>
      <c r="H239" s="752"/>
      <c r="I239" s="752"/>
      <c r="J239" s="752"/>
      <c r="K239" s="752"/>
      <c r="L239" s="752"/>
      <c r="M239" s="752"/>
      <c r="N239" s="752"/>
      <c r="O239" s="752"/>
      <c r="P239" s="706"/>
      <c r="Q239" s="706"/>
      <c r="R239" s="706"/>
      <c r="S239" s="706"/>
      <c r="T239" s="706"/>
      <c r="U239" s="706"/>
      <c r="V239" s="706"/>
      <c r="Z239" s="833"/>
      <c r="AA239" s="833"/>
      <c r="AB239" s="833"/>
      <c r="AC239" s="833"/>
      <c r="AD239" s="833"/>
      <c r="AE239" s="833"/>
    </row>
    <row r="240" spans="1:31" s="636" customFormat="1" hidden="1" x14ac:dyDescent="0.3">
      <c r="A240" s="706" t="str">
        <f>IF(AND(F242=G242,H242=I242,J242=K242,F242="A"),"2016 - kwh",IF(AND(F242=G242,H242=I242,J242&lt;&gt;K242,F242="A"),"2017 - kwh",IF(AND(F242=G242,H242&lt;&gt;I242,F242="A"),"2018 - kwh","N/A")))</f>
        <v>N/A</v>
      </c>
      <c r="B240" s="706" t="str">
        <f>IF(F242&lt;&gt;G242,"2018 - kwh",IF(H242&lt;&gt;I242,"2017 - kwh",IF(J242&lt;&gt;K242,"2016 - kwh","N/A")))</f>
        <v>N/A</v>
      </c>
      <c r="C240" s="610" t="s">
        <v>2208</v>
      </c>
      <c r="D240" s="754"/>
      <c r="E240" s="703" t="s">
        <v>154</v>
      </c>
      <c r="F240" s="753"/>
      <c r="G240" s="753"/>
      <c r="H240" s="753"/>
      <c r="I240" s="753"/>
      <c r="J240" s="753"/>
      <c r="K240" s="753"/>
      <c r="L240" s="753"/>
      <c r="M240" s="753"/>
      <c r="N240" s="753"/>
      <c r="O240" s="753"/>
      <c r="P240" s="706"/>
      <c r="Q240" s="706"/>
      <c r="R240" s="706"/>
      <c r="S240" s="706"/>
      <c r="T240" s="706"/>
      <c r="U240" s="706"/>
      <c r="V240" s="706"/>
      <c r="Z240" s="833"/>
      <c r="AA240" s="833" t="str">
        <f>IF(AND(F242=G242,H242=I242,F242="A"),"2016 - kwh","")</f>
        <v/>
      </c>
      <c r="AB240" s="833" t="str">
        <f>IF(OR(B240="2017 - kwh",B240="2018 - kwh"),"2016 - kwh","")</f>
        <v/>
      </c>
      <c r="AC240" s="833"/>
      <c r="AD240" s="833"/>
      <c r="AE240" s="833"/>
    </row>
    <row r="241" spans="1:31" s="636" customFormat="1" hidden="1" x14ac:dyDescent="0.3">
      <c r="A241" s="706" t="str">
        <f>IF(AND(F242=G242,H242=I242,J242=K242,F242="A"),"2016 - kw",IF(AND(F242=G242,H242=I242,J242&lt;&gt;K242,F242="A"),"2017 - kw",IF(AND(F242=G242,H242&lt;&gt;I242,F242="A"),"2018 - kw","N/A")))</f>
        <v>N/A</v>
      </c>
      <c r="B241" s="706" t="str">
        <f>IF(F242&lt;&gt;G242,"2018 - kw",IF(H242&lt;&gt;I242,"2017 - kw",IF(J242&lt;&gt;K242,"2016 - kw","N/A")))</f>
        <v>N/A</v>
      </c>
      <c r="C241" s="611"/>
      <c r="D241" s="646" t="str">
        <f>D240 &amp; "kW"</f>
        <v>kW</v>
      </c>
      <c r="E241" s="702" t="s">
        <v>155</v>
      </c>
      <c r="F241" s="753"/>
      <c r="G241" s="753"/>
      <c r="H241" s="753"/>
      <c r="I241" s="753"/>
      <c r="J241" s="753"/>
      <c r="K241" s="753"/>
      <c r="L241" s="753"/>
      <c r="M241" s="753"/>
      <c r="N241" s="753"/>
      <c r="O241" s="753"/>
      <c r="P241" s="706"/>
      <c r="Q241" s="706"/>
      <c r="R241" s="706"/>
      <c r="S241" s="706"/>
      <c r="T241" s="706"/>
      <c r="U241" s="706"/>
      <c r="V241" s="706"/>
      <c r="Z241" s="833"/>
      <c r="AA241" s="833" t="str">
        <f>IF(AND(F242=G242,H242=I242,F242="A"),"2016 - kw","")</f>
        <v/>
      </c>
      <c r="AB241" s="833" t="str">
        <f>IF(OR(B241="2017 - kw",B241="2018 - kw"),"2016 - kw","")</f>
        <v/>
      </c>
      <c r="AC241" s="833"/>
      <c r="AD241" s="833"/>
      <c r="AE241" s="833"/>
    </row>
    <row r="242" spans="1:31" s="636" customFormat="1" hidden="1" x14ac:dyDescent="0.3">
      <c r="A242" s="706"/>
      <c r="B242" s="706"/>
      <c r="C242" s="614"/>
      <c r="D242" s="700"/>
      <c r="E242" s="701" t="s">
        <v>2120</v>
      </c>
      <c r="F242" s="752"/>
      <c r="G242" s="752"/>
      <c r="H242" s="752"/>
      <c r="I242" s="752"/>
      <c r="J242" s="752"/>
      <c r="K242" s="752"/>
      <c r="L242" s="752"/>
      <c r="M242" s="752"/>
      <c r="N242" s="752"/>
      <c r="O242" s="752"/>
      <c r="P242" s="706"/>
      <c r="Q242" s="706"/>
      <c r="R242" s="706"/>
      <c r="S242" s="706"/>
      <c r="T242" s="706"/>
      <c r="U242" s="706"/>
      <c r="V242" s="706"/>
      <c r="Z242" s="833"/>
      <c r="AA242" s="833"/>
      <c r="AB242" s="833"/>
      <c r="AC242" s="833"/>
      <c r="AD242" s="833"/>
      <c r="AE242" s="833"/>
    </row>
    <row r="243" spans="1:31" s="636" customFormat="1" hidden="1" x14ac:dyDescent="0.3">
      <c r="A243" s="706" t="str">
        <f>IF(AND(F245=G245,H245=I245,J245=K245,F245="A"),"2016 - kwh",IF(AND(F245=G245,H245=I245,J245&lt;&gt;K245,F245="A"),"2017 - kwh",IF(AND(F245=G245,H245&lt;&gt;I245,F245="A"),"2018 - kwh","N/A")))</f>
        <v>N/A</v>
      </c>
      <c r="B243" s="706" t="str">
        <f>IF(F245&lt;&gt;G245,"2018 - kwh",IF(H245&lt;&gt;I245,"2017 - kwh",IF(J245&lt;&gt;K245,"2016 - kwh","N/A")))</f>
        <v>N/A</v>
      </c>
      <c r="C243" s="610" t="s">
        <v>2209</v>
      </c>
      <c r="D243" s="754"/>
      <c r="E243" s="703" t="s">
        <v>154</v>
      </c>
      <c r="F243" s="753"/>
      <c r="G243" s="753"/>
      <c r="H243" s="753"/>
      <c r="I243" s="753"/>
      <c r="J243" s="753"/>
      <c r="K243" s="753"/>
      <c r="L243" s="753"/>
      <c r="M243" s="753"/>
      <c r="N243" s="753"/>
      <c r="O243" s="753"/>
      <c r="P243" s="706"/>
      <c r="Q243" s="706"/>
      <c r="R243" s="706"/>
      <c r="S243" s="706"/>
      <c r="T243" s="706"/>
      <c r="U243" s="706"/>
      <c r="V243" s="706"/>
      <c r="Z243" s="833"/>
      <c r="AA243" s="833" t="str">
        <f>IF(AND(F245=G245,H245=I245,F245="A"),"2016 - kwh","")</f>
        <v/>
      </c>
      <c r="AB243" s="833" t="str">
        <f>IF(OR(B243="2017 - kwh",B243="2018 - kwh"),"2016 - kwh","")</f>
        <v/>
      </c>
      <c r="AC243" s="833"/>
      <c r="AD243" s="833"/>
      <c r="AE243" s="833"/>
    </row>
    <row r="244" spans="1:31" s="636" customFormat="1" hidden="1" x14ac:dyDescent="0.3">
      <c r="A244" s="706" t="str">
        <f>IF(AND(F245=G245,H245=I245,J245=K245,F245="A"),"2016 - kw",IF(AND(F245=G245,H245=I245,J245&lt;&gt;K245,F245="A"),"2017 - kw",IF(AND(F245=G245,H245&lt;&gt;I245,F245="A"),"2018 - kw","N/A")))</f>
        <v>N/A</v>
      </c>
      <c r="B244" s="706" t="str">
        <f>IF(F245&lt;&gt;G245,"2018 - kw",IF(H245&lt;&gt;I245,"2017 - kw",IF(J245&lt;&gt;K245,"2016 - kw","N/A")))</f>
        <v>N/A</v>
      </c>
      <c r="C244" s="611"/>
      <c r="D244" s="646" t="str">
        <f>D243 &amp; "kW"</f>
        <v>kW</v>
      </c>
      <c r="E244" s="702" t="s">
        <v>155</v>
      </c>
      <c r="F244" s="753"/>
      <c r="G244" s="753"/>
      <c r="H244" s="753"/>
      <c r="I244" s="753"/>
      <c r="J244" s="753"/>
      <c r="K244" s="753"/>
      <c r="L244" s="753"/>
      <c r="M244" s="753"/>
      <c r="N244" s="753"/>
      <c r="O244" s="753"/>
      <c r="P244" s="706"/>
      <c r="Q244" s="706"/>
      <c r="R244" s="706"/>
      <c r="S244" s="706"/>
      <c r="T244" s="706"/>
      <c r="U244" s="706"/>
      <c r="V244" s="706"/>
      <c r="Z244" s="833"/>
      <c r="AA244" s="833" t="str">
        <f>IF(AND(F245=G245,H245=I245,F245="A"),"2016 - kw","")</f>
        <v/>
      </c>
      <c r="AB244" s="833" t="str">
        <f>IF(OR(B244="2017 - kw",B244="2018 - kw"),"2016 - kw","")</f>
        <v/>
      </c>
      <c r="AC244" s="833"/>
      <c r="AD244" s="833"/>
      <c r="AE244" s="833"/>
    </row>
    <row r="245" spans="1:31" s="636" customFormat="1" hidden="1" x14ac:dyDescent="0.3">
      <c r="A245" s="706"/>
      <c r="B245" s="706"/>
      <c r="C245" s="614"/>
      <c r="D245" s="700"/>
      <c r="E245" s="701" t="s">
        <v>2120</v>
      </c>
      <c r="F245" s="752"/>
      <c r="G245" s="752"/>
      <c r="H245" s="752"/>
      <c r="I245" s="752"/>
      <c r="J245" s="752"/>
      <c r="K245" s="752"/>
      <c r="L245" s="752"/>
      <c r="M245" s="752"/>
      <c r="N245" s="752"/>
      <c r="O245" s="752"/>
      <c r="P245" s="706"/>
      <c r="Q245" s="706"/>
      <c r="R245" s="706"/>
      <c r="S245" s="706"/>
      <c r="T245" s="706"/>
      <c r="U245" s="706"/>
      <c r="V245" s="706"/>
      <c r="Z245" s="833"/>
      <c r="AA245" s="833"/>
      <c r="AB245" s="833"/>
      <c r="AC245" s="833"/>
      <c r="AD245" s="833"/>
      <c r="AE245" s="833"/>
    </row>
    <row r="246" spans="1:31" s="636" customFormat="1" hidden="1" x14ac:dyDescent="0.3">
      <c r="A246" s="706" t="str">
        <f>IF(AND(F248=G248,H248=I248,J248=K248,F248="A"),"2016 - kwh",IF(AND(F248=G248,H248=I248,J248&lt;&gt;K248,F248="A"),"2017 - kwh",IF(AND(F248=G248,H248&lt;&gt;I248,F248="A"),"2018 - kwh","N/A")))</f>
        <v>N/A</v>
      </c>
      <c r="B246" s="706" t="str">
        <f>IF(F248&lt;&gt;G248,"2018 - kwh",IF(H248&lt;&gt;I248,"2017 - kwh",IF(J248&lt;&gt;K248,"2016 - kwh","N/A")))</f>
        <v>N/A</v>
      </c>
      <c r="C246" s="610" t="s">
        <v>2210</v>
      </c>
      <c r="D246" s="754"/>
      <c r="E246" s="703" t="s">
        <v>154</v>
      </c>
      <c r="F246" s="753"/>
      <c r="G246" s="753"/>
      <c r="H246" s="753"/>
      <c r="I246" s="753"/>
      <c r="J246" s="753"/>
      <c r="K246" s="753"/>
      <c r="L246" s="753"/>
      <c r="M246" s="753"/>
      <c r="N246" s="753"/>
      <c r="O246" s="753"/>
      <c r="P246" s="706"/>
      <c r="Q246" s="706"/>
      <c r="R246" s="706"/>
      <c r="S246" s="706"/>
      <c r="T246" s="706"/>
      <c r="U246" s="706"/>
      <c r="V246" s="706"/>
      <c r="Z246" s="833"/>
      <c r="AA246" s="833" t="str">
        <f>IF(AND(F248=G248,H248=I248,F248="A"),"2016 - kwh","")</f>
        <v/>
      </c>
      <c r="AB246" s="833" t="str">
        <f>IF(OR(B246="2017 - kwh",B246="2018 - kwh"),"2016 - kwh","")</f>
        <v/>
      </c>
      <c r="AC246" s="833"/>
      <c r="AD246" s="833"/>
      <c r="AE246" s="833"/>
    </row>
    <row r="247" spans="1:31" s="636" customFormat="1" hidden="1" x14ac:dyDescent="0.3">
      <c r="A247" s="706" t="str">
        <f>IF(AND(F248=G248,H248=I248,J248=K248,F248="A"),"2016 - kw",IF(AND(F248=G248,H248=I248,J248&lt;&gt;K248,F248="A"),"2017 - kw",IF(AND(F248=G248,H248&lt;&gt;I248,F248="A"),"2018 - kw","N/A")))</f>
        <v>N/A</v>
      </c>
      <c r="B247" s="706" t="str">
        <f>IF(F248&lt;&gt;G248,"2018 - kw",IF(H248&lt;&gt;I248,"2017 - kw",IF(J248&lt;&gt;K248,"2016 - kw","N/A")))</f>
        <v>N/A</v>
      </c>
      <c r="C247" s="611"/>
      <c r="D247" s="646" t="str">
        <f>D246 &amp; "kW"</f>
        <v>kW</v>
      </c>
      <c r="E247" s="702" t="s">
        <v>155</v>
      </c>
      <c r="F247" s="753"/>
      <c r="G247" s="753"/>
      <c r="H247" s="753"/>
      <c r="I247" s="753"/>
      <c r="J247" s="753"/>
      <c r="K247" s="753"/>
      <c r="L247" s="753"/>
      <c r="M247" s="753"/>
      <c r="N247" s="753"/>
      <c r="O247" s="753"/>
      <c r="P247" s="706"/>
      <c r="Q247" s="706"/>
      <c r="R247" s="706"/>
      <c r="S247" s="706"/>
      <c r="T247" s="706"/>
      <c r="U247" s="706"/>
      <c r="V247" s="706"/>
      <c r="Z247" s="833"/>
      <c r="AA247" s="833" t="str">
        <f>IF(AND(F248=G248,H248=I248,F248="A"),"2016 - kw","")</f>
        <v/>
      </c>
      <c r="AB247" s="833" t="str">
        <f>IF(OR(B247="2017 - kw",B247="2018 - kw"),"2016 - kw","")</f>
        <v/>
      </c>
      <c r="AC247" s="833"/>
      <c r="AD247" s="833"/>
      <c r="AE247" s="833"/>
    </row>
    <row r="248" spans="1:31" s="636" customFormat="1" hidden="1" x14ac:dyDescent="0.3">
      <c r="A248" s="706"/>
      <c r="B248" s="706"/>
      <c r="C248" s="614"/>
      <c r="D248" s="700"/>
      <c r="E248" s="701" t="s">
        <v>2120</v>
      </c>
      <c r="F248" s="752"/>
      <c r="G248" s="752"/>
      <c r="H248" s="752"/>
      <c r="I248" s="752"/>
      <c r="J248" s="752"/>
      <c r="K248" s="752"/>
      <c r="L248" s="752"/>
      <c r="M248" s="752"/>
      <c r="N248" s="752"/>
      <c r="O248" s="752"/>
      <c r="P248" s="706"/>
      <c r="Q248" s="706"/>
      <c r="R248" s="706"/>
      <c r="S248" s="706"/>
      <c r="T248" s="706"/>
      <c r="U248" s="706"/>
      <c r="V248" s="706"/>
      <c r="Z248" s="833"/>
      <c r="AA248" s="833"/>
      <c r="AB248" s="833"/>
      <c r="AC248" s="833"/>
      <c r="AD248" s="833"/>
      <c r="AE248" s="833"/>
    </row>
    <row r="249" spans="1:31" s="636" customFormat="1" hidden="1" x14ac:dyDescent="0.3">
      <c r="A249" s="706" t="str">
        <f>IF(AND(F251=G251,H251=I251,J251=K251,F251="A"),"2016 - kwh",IF(AND(F251=G251,H251=I251,J251&lt;&gt;K251,F251="A"),"2017 - kwh",IF(AND(F251=G251,H251&lt;&gt;I251,F251="A"),"2018 - kwh","N/A")))</f>
        <v>N/A</v>
      </c>
      <c r="B249" s="706" t="str">
        <f>IF(F251&lt;&gt;G251,"2018 - kwh",IF(H251&lt;&gt;I251,"2017 - kwh",IF(J251&lt;&gt;K251,"2016 - kwh","N/A")))</f>
        <v>N/A</v>
      </c>
      <c r="C249" s="610" t="s">
        <v>2211</v>
      </c>
      <c r="D249" s="754"/>
      <c r="E249" s="703" t="s">
        <v>154</v>
      </c>
      <c r="F249" s="753"/>
      <c r="G249" s="753"/>
      <c r="H249" s="753"/>
      <c r="I249" s="753"/>
      <c r="J249" s="753"/>
      <c r="K249" s="753"/>
      <c r="L249" s="753"/>
      <c r="M249" s="753"/>
      <c r="N249" s="753"/>
      <c r="O249" s="753"/>
      <c r="P249" s="706"/>
      <c r="Q249" s="706"/>
      <c r="R249" s="706"/>
      <c r="S249" s="706"/>
      <c r="T249" s="706"/>
      <c r="U249" s="706"/>
      <c r="V249" s="706"/>
      <c r="Z249" s="833"/>
      <c r="AA249" s="833" t="str">
        <f>IF(AND(F251=G251,H251=I251,F251="A"),"2016 - kwh","")</f>
        <v/>
      </c>
      <c r="AB249" s="833" t="str">
        <f>IF(OR(B249="2017 - kwh",B249="2018 - kwh"),"2016 - kwh","")</f>
        <v/>
      </c>
      <c r="AC249" s="833"/>
      <c r="AD249" s="833"/>
      <c r="AE249" s="833"/>
    </row>
    <row r="250" spans="1:31" s="636" customFormat="1" hidden="1" x14ac:dyDescent="0.3">
      <c r="A250" s="706" t="str">
        <f>IF(AND(F251=G251,H251=I251,J251=K251,F251="A"),"2016 - kw",IF(AND(F251=G251,H251=I251,J251&lt;&gt;K251,F251="A"),"2017 - kw",IF(AND(F251=G251,H251&lt;&gt;I251,F251="A"),"2018 - kw","N/A")))</f>
        <v>N/A</v>
      </c>
      <c r="B250" s="706" t="str">
        <f>IF(F251&lt;&gt;G251,"2018 - kw",IF(H251&lt;&gt;I251,"2017 - kw",IF(J251&lt;&gt;K251,"2016 - kw","N/A")))</f>
        <v>N/A</v>
      </c>
      <c r="C250" s="611"/>
      <c r="D250" s="646" t="str">
        <f>D249 &amp; "kW"</f>
        <v>kW</v>
      </c>
      <c r="E250" s="702" t="s">
        <v>155</v>
      </c>
      <c r="F250" s="753"/>
      <c r="G250" s="753"/>
      <c r="H250" s="753"/>
      <c r="I250" s="753"/>
      <c r="J250" s="753"/>
      <c r="K250" s="753"/>
      <c r="L250" s="753"/>
      <c r="M250" s="753"/>
      <c r="N250" s="753"/>
      <c r="O250" s="753"/>
      <c r="P250" s="706"/>
      <c r="Q250" s="706"/>
      <c r="R250" s="706"/>
      <c r="S250" s="706"/>
      <c r="T250" s="706"/>
      <c r="U250" s="706"/>
      <c r="V250" s="706"/>
      <c r="Z250" s="833"/>
      <c r="AA250" s="833" t="str">
        <f>IF(AND(F251=G251,H251=I251,F251="A"),"2016 - kw","")</f>
        <v/>
      </c>
      <c r="AB250" s="833" t="str">
        <f>IF(OR(B250="2017 - kw",B250="2018 - kw"),"2016 - kw","")</f>
        <v/>
      </c>
      <c r="AC250" s="833"/>
      <c r="AD250" s="833"/>
      <c r="AE250" s="833"/>
    </row>
    <row r="251" spans="1:31" s="636" customFormat="1" hidden="1" x14ac:dyDescent="0.3">
      <c r="A251" s="706"/>
      <c r="B251" s="706"/>
      <c r="C251" s="614"/>
      <c r="D251" s="700"/>
      <c r="E251" s="701" t="s">
        <v>2120</v>
      </c>
      <c r="F251" s="752"/>
      <c r="G251" s="752"/>
      <c r="H251" s="752"/>
      <c r="I251" s="752"/>
      <c r="J251" s="752"/>
      <c r="K251" s="752"/>
      <c r="L251" s="752"/>
      <c r="M251" s="752"/>
      <c r="N251" s="752"/>
      <c r="O251" s="752"/>
      <c r="P251" s="706"/>
      <c r="Q251" s="706"/>
      <c r="R251" s="706"/>
      <c r="S251" s="706"/>
      <c r="T251" s="706"/>
      <c r="U251" s="706"/>
      <c r="V251" s="706"/>
      <c r="Z251" s="833"/>
      <c r="AA251" s="833"/>
      <c r="AB251" s="833"/>
      <c r="AC251" s="833"/>
      <c r="AD251" s="833"/>
      <c r="AE251" s="833"/>
    </row>
    <row r="252" spans="1:31" s="636" customFormat="1" hidden="1" x14ac:dyDescent="0.3">
      <c r="A252" s="706" t="str">
        <f>IF(AND(F254=G254,H254=I254,J254=K254,F254="A"),"2016 - kwh",IF(AND(F254=G254,H254=I254,J254&lt;&gt;K254,F254="A"),"2017 - kwh",IF(AND(F254=G254,H254&lt;&gt;I254,F254="A"),"2018 - kwh","N/A")))</f>
        <v>N/A</v>
      </c>
      <c r="B252" s="706" t="str">
        <f>IF(F254&lt;&gt;G254,"2018 - kwh",IF(H254&lt;&gt;I254,"2017 - kwh",IF(J254&lt;&gt;K254,"2016 - kwh","N/A")))</f>
        <v>N/A</v>
      </c>
      <c r="C252" s="610" t="s">
        <v>2212</v>
      </c>
      <c r="D252" s="754"/>
      <c r="E252" s="703" t="s">
        <v>154</v>
      </c>
      <c r="F252" s="753"/>
      <c r="G252" s="753"/>
      <c r="H252" s="753"/>
      <c r="I252" s="753"/>
      <c r="J252" s="753"/>
      <c r="K252" s="753"/>
      <c r="L252" s="753"/>
      <c r="M252" s="753"/>
      <c r="N252" s="753"/>
      <c r="O252" s="753"/>
      <c r="P252" s="706"/>
      <c r="Q252" s="706"/>
      <c r="R252" s="706"/>
      <c r="S252" s="706"/>
      <c r="T252" s="706"/>
      <c r="U252" s="706"/>
      <c r="V252" s="706"/>
      <c r="Z252" s="833"/>
      <c r="AA252" s="833" t="str">
        <f>IF(AND(F254=G254,H254=I254,F254="A"),"2016 - kwh","")</f>
        <v/>
      </c>
      <c r="AB252" s="833" t="str">
        <f>IF(OR(B252="2017 - kwh",B252="2018 - kwh"),"2016 - kwh","")</f>
        <v/>
      </c>
      <c r="AC252" s="833"/>
      <c r="AD252" s="833"/>
      <c r="AE252" s="833"/>
    </row>
    <row r="253" spans="1:31" s="636" customFormat="1" hidden="1" x14ac:dyDescent="0.3">
      <c r="A253" s="706" t="str">
        <f>IF(AND(F254=G254,H254=I254,J254=K254,F254="A"),"2016 - kw",IF(AND(F254=G254,H254=I254,J254&lt;&gt;K254,F254="A"),"2017 - kw",IF(AND(F254=G254,H254&lt;&gt;I254,F254="A"),"2018 - kw","N/A")))</f>
        <v>N/A</v>
      </c>
      <c r="B253" s="706" t="str">
        <f>IF(F254&lt;&gt;G254,"2018 - kw",IF(H254&lt;&gt;I254,"2017 - kw",IF(J254&lt;&gt;K254,"2016 - kw","N/A")))</f>
        <v>N/A</v>
      </c>
      <c r="C253" s="611"/>
      <c r="D253" s="646" t="str">
        <f>D252 &amp; "kW"</f>
        <v>kW</v>
      </c>
      <c r="E253" s="702" t="s">
        <v>155</v>
      </c>
      <c r="F253" s="753"/>
      <c r="G253" s="753"/>
      <c r="H253" s="753"/>
      <c r="I253" s="753"/>
      <c r="J253" s="753"/>
      <c r="K253" s="753"/>
      <c r="L253" s="753"/>
      <c r="M253" s="753"/>
      <c r="N253" s="753"/>
      <c r="O253" s="753"/>
      <c r="P253" s="706"/>
      <c r="Q253" s="706"/>
      <c r="R253" s="706"/>
      <c r="S253" s="706"/>
      <c r="T253" s="706"/>
      <c r="U253" s="706"/>
      <c r="V253" s="706"/>
      <c r="Z253" s="833"/>
      <c r="AA253" s="833" t="str">
        <f>IF(AND(F254=G254,H254=I254,F254="A"),"2016 - kw","")</f>
        <v/>
      </c>
      <c r="AB253" s="833" t="str">
        <f>IF(OR(B253="2017 - kw",B253="2018 - kw"),"2016 - kw","")</f>
        <v/>
      </c>
      <c r="AC253" s="833"/>
      <c r="AD253" s="833"/>
      <c r="AE253" s="833"/>
    </row>
    <row r="254" spans="1:31" s="636" customFormat="1" hidden="1" x14ac:dyDescent="0.3">
      <c r="A254" s="706"/>
      <c r="B254" s="706"/>
      <c r="C254" s="614"/>
      <c r="D254" s="700"/>
      <c r="E254" s="701" t="s">
        <v>2120</v>
      </c>
      <c r="F254" s="752"/>
      <c r="G254" s="752"/>
      <c r="H254" s="752"/>
      <c r="I254" s="752"/>
      <c r="J254" s="752"/>
      <c r="K254" s="752"/>
      <c r="L254" s="752"/>
      <c r="M254" s="752"/>
      <c r="N254" s="752"/>
      <c r="O254" s="752"/>
      <c r="P254" s="706"/>
      <c r="Q254" s="706"/>
      <c r="R254" s="706"/>
      <c r="S254" s="706"/>
      <c r="T254" s="706"/>
      <c r="U254" s="706"/>
      <c r="V254" s="706"/>
      <c r="Z254" s="833"/>
      <c r="AA254" s="833"/>
      <c r="AB254" s="833"/>
      <c r="AC254" s="833"/>
      <c r="AD254" s="833"/>
      <c r="AE254" s="833"/>
    </row>
    <row r="255" spans="1:31" s="636" customFormat="1" hidden="1" x14ac:dyDescent="0.3">
      <c r="A255" s="706" t="str">
        <f>IF(AND(F257=G257,H257=I257,J257=K257,F257="A"),"2016 - kwh",IF(AND(F257=G257,H257=I257,J257&lt;&gt;K257,F257="A"),"2017 - kwh",IF(AND(F257=G257,H257&lt;&gt;I257,F257="A"),"2018 - kwh","N/A")))</f>
        <v>N/A</v>
      </c>
      <c r="B255" s="706" t="str">
        <f>IF(F257&lt;&gt;G257,"2018 - kwh",IF(H257&lt;&gt;I257,"2017 - kwh",IF(J257&lt;&gt;K257,"2016 - kwh","N/A")))</f>
        <v>N/A</v>
      </c>
      <c r="C255" s="610" t="s">
        <v>2213</v>
      </c>
      <c r="D255" s="754"/>
      <c r="E255" s="703" t="s">
        <v>154</v>
      </c>
      <c r="F255" s="753"/>
      <c r="G255" s="753"/>
      <c r="H255" s="753"/>
      <c r="I255" s="753"/>
      <c r="J255" s="753"/>
      <c r="K255" s="753"/>
      <c r="L255" s="753"/>
      <c r="M255" s="753"/>
      <c r="N255" s="753"/>
      <c r="O255" s="753"/>
      <c r="P255" s="706"/>
      <c r="Q255" s="706"/>
      <c r="R255" s="706"/>
      <c r="S255" s="706"/>
      <c r="T255" s="706"/>
      <c r="U255" s="706"/>
      <c r="V255" s="706"/>
      <c r="Z255" s="833"/>
      <c r="AA255" s="833" t="str">
        <f>IF(AND(F257=G257,H257=I257,F257="A"),"2016 - kwh","")</f>
        <v/>
      </c>
      <c r="AB255" s="833" t="str">
        <f>IF(OR(B255="2017 - kwh",B255="2018 - kwh"),"2016 - kwh","")</f>
        <v/>
      </c>
      <c r="AC255" s="833"/>
      <c r="AD255" s="833"/>
      <c r="AE255" s="833"/>
    </row>
    <row r="256" spans="1:31" s="636" customFormat="1" hidden="1" x14ac:dyDescent="0.3">
      <c r="A256" s="706" t="str">
        <f>IF(AND(F257=G257,H257=I257,J257=K257,F257="A"),"2016 - kw",IF(AND(F257=G257,H257=I257,J257&lt;&gt;K257,F257="A"),"2017 - kw",IF(AND(F257=G257,H257&lt;&gt;I257,F257="A"),"2018 - kw","N/A")))</f>
        <v>N/A</v>
      </c>
      <c r="B256" s="706" t="str">
        <f>IF(F257&lt;&gt;G257,"2018 - kw",IF(H257&lt;&gt;I257,"2017 - kw",IF(J257&lt;&gt;K257,"2016 - kw","N/A")))</f>
        <v>N/A</v>
      </c>
      <c r="C256" s="611"/>
      <c r="D256" s="646" t="str">
        <f>D255 &amp; "kW"</f>
        <v>kW</v>
      </c>
      <c r="E256" s="702" t="s">
        <v>155</v>
      </c>
      <c r="F256" s="753"/>
      <c r="G256" s="753"/>
      <c r="H256" s="753"/>
      <c r="I256" s="753"/>
      <c r="J256" s="753"/>
      <c r="K256" s="753"/>
      <c r="L256" s="753"/>
      <c r="M256" s="753"/>
      <c r="N256" s="753"/>
      <c r="O256" s="753"/>
      <c r="P256" s="706"/>
      <c r="Q256" s="706"/>
      <c r="R256" s="706"/>
      <c r="S256" s="706"/>
      <c r="T256" s="706"/>
      <c r="U256" s="706"/>
      <c r="V256" s="706"/>
      <c r="Z256" s="833"/>
      <c r="AA256" s="833" t="str">
        <f>IF(AND(F257=G257,H257=I257,F257="A"),"2016 - kw","")</f>
        <v/>
      </c>
      <c r="AB256" s="833" t="str">
        <f>IF(OR(B256="2017 - kw",B256="2018 - kw"),"2016 - kw","")</f>
        <v/>
      </c>
      <c r="AC256" s="833"/>
      <c r="AD256" s="833"/>
      <c r="AE256" s="833"/>
    </row>
    <row r="257" spans="1:31" s="636" customFormat="1" hidden="1" x14ac:dyDescent="0.3">
      <c r="A257" s="706"/>
      <c r="B257" s="706"/>
      <c r="C257" s="614"/>
      <c r="D257" s="700"/>
      <c r="E257" s="701" t="s">
        <v>2120</v>
      </c>
      <c r="F257" s="752"/>
      <c r="G257" s="752"/>
      <c r="H257" s="752"/>
      <c r="I257" s="752"/>
      <c r="J257" s="752"/>
      <c r="K257" s="752"/>
      <c r="L257" s="752"/>
      <c r="M257" s="752"/>
      <c r="N257" s="752"/>
      <c r="O257" s="752"/>
      <c r="P257" s="706"/>
      <c r="Q257" s="706"/>
      <c r="R257" s="706"/>
      <c r="S257" s="706"/>
      <c r="T257" s="706"/>
      <c r="U257" s="706"/>
      <c r="V257" s="706"/>
      <c r="Z257" s="833"/>
      <c r="AA257" s="833"/>
      <c r="AB257" s="833"/>
      <c r="AC257" s="833"/>
      <c r="AD257" s="833"/>
      <c r="AE257" s="833"/>
    </row>
    <row r="258" spans="1:31" s="636" customFormat="1" hidden="1" x14ac:dyDescent="0.3">
      <c r="A258" s="706" t="str">
        <f>IF(AND(F260=G260,H260=I260,J260=K260,F260="A"),"2016 - kwh",IF(AND(F260=G260,H260=I260,J260&lt;&gt;K260,F260="A"),"2017 - kwh",IF(AND(F260=G260,H260&lt;&gt;I260,F260="A"),"2018 - kwh","N/A")))</f>
        <v>N/A</v>
      </c>
      <c r="B258" s="706" t="str">
        <f>IF(F260&lt;&gt;G260,"2018 - kwh",IF(H260&lt;&gt;I260,"2017 - kwh",IF(J260&lt;&gt;K260,"2016 - kwh","N/A")))</f>
        <v>N/A</v>
      </c>
      <c r="C258" s="610" t="s">
        <v>2214</v>
      </c>
      <c r="D258" s="754"/>
      <c r="E258" s="703" t="s">
        <v>154</v>
      </c>
      <c r="F258" s="753"/>
      <c r="G258" s="753"/>
      <c r="H258" s="753"/>
      <c r="I258" s="753"/>
      <c r="J258" s="753"/>
      <c r="K258" s="753"/>
      <c r="L258" s="753"/>
      <c r="M258" s="753"/>
      <c r="N258" s="753"/>
      <c r="O258" s="753"/>
      <c r="P258" s="706"/>
      <c r="Q258" s="706"/>
      <c r="R258" s="706"/>
      <c r="S258" s="706"/>
      <c r="T258" s="706"/>
      <c r="U258" s="706"/>
      <c r="V258" s="706"/>
      <c r="Z258" s="833"/>
      <c r="AA258" s="833" t="str">
        <f>IF(AND(F260=G260,H260=I260,F260="A"),"2016 - kwh","")</f>
        <v/>
      </c>
      <c r="AB258" s="833" t="str">
        <f>IF(OR(B258="2017 - kwh",B258="2018 - kwh"),"2016 - kwh","")</f>
        <v/>
      </c>
      <c r="AC258" s="833"/>
      <c r="AD258" s="833"/>
      <c r="AE258" s="833"/>
    </row>
    <row r="259" spans="1:31" s="636" customFormat="1" hidden="1" x14ac:dyDescent="0.3">
      <c r="A259" s="706" t="str">
        <f>IF(AND(F260=G260,H260=I260,J260=K260,F260="A"),"2016 - kw",IF(AND(F260=G260,H260=I260,J260&lt;&gt;K260,F260="A"),"2017 - kw",IF(AND(F260=G260,H260&lt;&gt;I260,F260="A"),"2018 - kw","N/A")))</f>
        <v>N/A</v>
      </c>
      <c r="B259" s="706" t="str">
        <f>IF(F260&lt;&gt;G260,"2018 - kw",IF(H260&lt;&gt;I260,"2017 - kw",IF(J260&lt;&gt;K260,"2016 - kw","N/A")))</f>
        <v>N/A</v>
      </c>
      <c r="C259" s="611"/>
      <c r="D259" s="646" t="str">
        <f>D258 &amp; "kW"</f>
        <v>kW</v>
      </c>
      <c r="E259" s="702" t="s">
        <v>155</v>
      </c>
      <c r="F259" s="753"/>
      <c r="G259" s="753"/>
      <c r="H259" s="753"/>
      <c r="I259" s="753"/>
      <c r="J259" s="753"/>
      <c r="K259" s="753"/>
      <c r="L259" s="753"/>
      <c r="M259" s="753"/>
      <c r="N259" s="753"/>
      <c r="O259" s="753"/>
      <c r="P259" s="706"/>
      <c r="Q259" s="706"/>
      <c r="R259" s="706"/>
      <c r="S259" s="706"/>
      <c r="T259" s="706"/>
      <c r="U259" s="706"/>
      <c r="V259" s="706"/>
      <c r="Z259" s="833"/>
      <c r="AA259" s="833" t="str">
        <f>IF(AND(F260=G260,H260=I260,F260="A"),"2016 - kw","")</f>
        <v/>
      </c>
      <c r="AB259" s="833" t="str">
        <f>IF(OR(B259="2017 - kw",B259="2018 - kw"),"2016 - kw","")</f>
        <v/>
      </c>
      <c r="AC259" s="833"/>
      <c r="AD259" s="833"/>
      <c r="AE259" s="833"/>
    </row>
    <row r="260" spans="1:31" s="636" customFormat="1" hidden="1" x14ac:dyDescent="0.3">
      <c r="A260" s="706"/>
      <c r="B260" s="706"/>
      <c r="C260" s="614"/>
      <c r="D260" s="700"/>
      <c r="E260" s="701" t="s">
        <v>2120</v>
      </c>
      <c r="F260" s="752"/>
      <c r="G260" s="752"/>
      <c r="H260" s="752"/>
      <c r="I260" s="752"/>
      <c r="J260" s="752"/>
      <c r="K260" s="752"/>
      <c r="L260" s="752"/>
      <c r="M260" s="752"/>
      <c r="N260" s="752"/>
      <c r="O260" s="752"/>
      <c r="P260" s="706"/>
      <c r="Q260" s="706"/>
      <c r="R260" s="706"/>
      <c r="S260" s="706"/>
      <c r="T260" s="706"/>
      <c r="U260" s="706"/>
      <c r="V260" s="706"/>
      <c r="Z260" s="833"/>
      <c r="AA260" s="833"/>
      <c r="AB260" s="833"/>
      <c r="AC260" s="833"/>
      <c r="AD260" s="833"/>
      <c r="AE260" s="833"/>
    </row>
    <row r="261" spans="1:31" s="636" customFormat="1" hidden="1" x14ac:dyDescent="0.3">
      <c r="A261" s="706" t="str">
        <f>IF(AND(F263=G263,H263=I263,J263=K263,F263="A"),"2016 - kwh",IF(AND(F263=G263,H263=I263,J263&lt;&gt;K263,F263="A"),"2017 - kwh",IF(AND(F263=G263,H263&lt;&gt;I263,F263="A"),"2018 - kwh","N/A")))</f>
        <v>N/A</v>
      </c>
      <c r="B261" s="706" t="str">
        <f>IF(F263&lt;&gt;G263,"2018 - kwh",IF(H263&lt;&gt;I263,"2017 - kwh",IF(J263&lt;&gt;K263,"2016 - kwh","N/A")))</f>
        <v>N/A</v>
      </c>
      <c r="C261" s="610" t="s">
        <v>2215</v>
      </c>
      <c r="D261" s="754"/>
      <c r="E261" s="703" t="s">
        <v>154</v>
      </c>
      <c r="F261" s="753"/>
      <c r="G261" s="753"/>
      <c r="H261" s="753"/>
      <c r="I261" s="753"/>
      <c r="J261" s="753"/>
      <c r="K261" s="753"/>
      <c r="L261" s="753"/>
      <c r="M261" s="753"/>
      <c r="N261" s="753"/>
      <c r="O261" s="753"/>
      <c r="P261" s="706"/>
      <c r="Q261" s="706"/>
      <c r="R261" s="706"/>
      <c r="S261" s="706"/>
      <c r="T261" s="706"/>
      <c r="U261" s="706"/>
      <c r="V261" s="706"/>
      <c r="Z261" s="833"/>
      <c r="AA261" s="833" t="str">
        <f>IF(AND(F263=G263,H263=I263,F263="A"),"2016 - kwh","")</f>
        <v/>
      </c>
      <c r="AB261" s="833" t="str">
        <f>IF(OR(B261="2017 - kwh",B261="2018 - kwh"),"2016 - kwh","")</f>
        <v/>
      </c>
      <c r="AC261" s="833"/>
      <c r="AD261" s="833"/>
      <c r="AE261" s="833"/>
    </row>
    <row r="262" spans="1:31" s="636" customFormat="1" hidden="1" x14ac:dyDescent="0.3">
      <c r="A262" s="706" t="str">
        <f>IF(AND(F263=G263,H263=I263,J263=K263,F263="A"),"2016 - kw",IF(AND(F263=G263,H263=I263,J263&lt;&gt;K263,F263="A"),"2017 - kw",IF(AND(F263=G263,H263&lt;&gt;I263,F263="A"),"2018 - kw","N/A")))</f>
        <v>N/A</v>
      </c>
      <c r="B262" s="706" t="str">
        <f>IF(F263&lt;&gt;G263,"2018 - kw",IF(H263&lt;&gt;I263,"2017 - kw",IF(J263&lt;&gt;K263,"2016 - kw","N/A")))</f>
        <v>N/A</v>
      </c>
      <c r="C262" s="611"/>
      <c r="D262" s="646" t="str">
        <f>D261 &amp; "kW"</f>
        <v>kW</v>
      </c>
      <c r="E262" s="702" t="s">
        <v>155</v>
      </c>
      <c r="F262" s="753"/>
      <c r="G262" s="753"/>
      <c r="H262" s="753"/>
      <c r="I262" s="753"/>
      <c r="J262" s="753"/>
      <c r="K262" s="753"/>
      <c r="L262" s="753"/>
      <c r="M262" s="753"/>
      <c r="N262" s="753"/>
      <c r="O262" s="753"/>
      <c r="P262" s="706"/>
      <c r="Q262" s="706"/>
      <c r="R262" s="706"/>
      <c r="S262" s="706"/>
      <c r="T262" s="706"/>
      <c r="U262" s="706"/>
      <c r="V262" s="706"/>
      <c r="Z262" s="833"/>
      <c r="AA262" s="833" t="str">
        <f>IF(AND(F263=G263,H263=I263,F263="A"),"2016 - kw","")</f>
        <v/>
      </c>
      <c r="AB262" s="833" t="str">
        <f>IF(OR(B262="2017 - kw",B262="2018 - kw"),"2016 - kw","")</f>
        <v/>
      </c>
      <c r="AC262" s="833"/>
      <c r="AD262" s="833"/>
      <c r="AE262" s="833"/>
    </row>
    <row r="263" spans="1:31" s="636" customFormat="1" hidden="1" x14ac:dyDescent="0.3">
      <c r="A263" s="706"/>
      <c r="B263" s="706"/>
      <c r="C263" s="614"/>
      <c r="D263" s="700"/>
      <c r="E263" s="701" t="s">
        <v>2120</v>
      </c>
      <c r="F263" s="752"/>
      <c r="G263" s="752"/>
      <c r="H263" s="752"/>
      <c r="I263" s="752"/>
      <c r="J263" s="752"/>
      <c r="K263" s="752"/>
      <c r="L263" s="752"/>
      <c r="M263" s="752"/>
      <c r="N263" s="752"/>
      <c r="O263" s="752"/>
      <c r="P263" s="706"/>
      <c r="Q263" s="706"/>
      <c r="R263" s="706"/>
      <c r="S263" s="706"/>
      <c r="T263" s="706"/>
      <c r="U263" s="706"/>
      <c r="V263" s="706"/>
      <c r="Z263" s="833"/>
      <c r="AA263" s="833"/>
      <c r="AB263" s="833"/>
      <c r="AC263" s="833"/>
      <c r="AD263" s="833"/>
      <c r="AE263" s="833"/>
    </row>
    <row r="264" spans="1:31" s="636" customFormat="1" hidden="1" x14ac:dyDescent="0.3">
      <c r="A264" s="706" t="str">
        <f>IF(AND(F266=G266,H266=I266,J266=K266,F266="A"),"2016 - kwh",IF(AND(F266=G266,H266=I266,J266&lt;&gt;K266,F266="A"),"2017 - kwh",IF(AND(F266=G266,H266&lt;&gt;I266,F266="A"),"2018 - kwh","N/A")))</f>
        <v>N/A</v>
      </c>
      <c r="B264" s="706" t="str">
        <f>IF(F266&lt;&gt;G266,"2018 - kwh",IF(H266&lt;&gt;I266,"2017 - kwh",IF(J266&lt;&gt;K266,"2016 - kwh","N/A")))</f>
        <v>N/A</v>
      </c>
      <c r="C264" s="610" t="s">
        <v>2216</v>
      </c>
      <c r="D264" s="754"/>
      <c r="E264" s="703" t="s">
        <v>154</v>
      </c>
      <c r="F264" s="753"/>
      <c r="G264" s="753"/>
      <c r="H264" s="753"/>
      <c r="I264" s="753"/>
      <c r="J264" s="753"/>
      <c r="K264" s="753"/>
      <c r="L264" s="753"/>
      <c r="M264" s="753"/>
      <c r="N264" s="753"/>
      <c r="O264" s="753"/>
      <c r="P264" s="706"/>
      <c r="Q264" s="706"/>
      <c r="R264" s="706"/>
      <c r="S264" s="706"/>
      <c r="T264" s="706"/>
      <c r="U264" s="706"/>
      <c r="V264" s="706"/>
      <c r="Z264" s="833"/>
      <c r="AA264" s="833" t="str">
        <f>IF(AND(F266=G266,H266=I266,F266="A"),"2016 - kwh","")</f>
        <v/>
      </c>
      <c r="AB264" s="833" t="str">
        <f>IF(OR(B264="2017 - kwh",B264="2018 - kwh"),"2016 - kwh","")</f>
        <v/>
      </c>
      <c r="AC264" s="833"/>
      <c r="AD264" s="833"/>
      <c r="AE264" s="833"/>
    </row>
    <row r="265" spans="1:31" s="636" customFormat="1" hidden="1" x14ac:dyDescent="0.3">
      <c r="A265" s="706" t="str">
        <f>IF(AND(F266=G266,H266=I266,J266=K266,F266="A"),"2016 - kw",IF(AND(F266=G266,H266=I266,J266&lt;&gt;K266,F266="A"),"2017 - kw",IF(AND(F266=G266,H266&lt;&gt;I266,F266="A"),"2018 - kw","N/A")))</f>
        <v>N/A</v>
      </c>
      <c r="B265" s="706" t="str">
        <f>IF(F266&lt;&gt;G266,"2018 - kw",IF(H266&lt;&gt;I266,"2017 - kw",IF(J266&lt;&gt;K266,"2016 - kw","N/A")))</f>
        <v>N/A</v>
      </c>
      <c r="C265" s="611"/>
      <c r="D265" s="646" t="str">
        <f>D264 &amp; "kW"</f>
        <v>kW</v>
      </c>
      <c r="E265" s="702" t="s">
        <v>155</v>
      </c>
      <c r="F265" s="753"/>
      <c r="G265" s="753"/>
      <c r="H265" s="753"/>
      <c r="I265" s="753"/>
      <c r="J265" s="753"/>
      <c r="K265" s="753"/>
      <c r="L265" s="753"/>
      <c r="M265" s="753"/>
      <c r="N265" s="753"/>
      <c r="O265" s="753"/>
      <c r="P265" s="706"/>
      <c r="Q265" s="706"/>
      <c r="R265" s="706"/>
      <c r="S265" s="706"/>
      <c r="T265" s="706"/>
      <c r="U265" s="706"/>
      <c r="V265" s="706"/>
      <c r="Z265" s="833"/>
      <c r="AA265" s="833" t="str">
        <f>IF(AND(F266=G266,H266=I266,F266="A"),"2016 - kw","")</f>
        <v/>
      </c>
      <c r="AB265" s="833" t="str">
        <f>IF(OR(B265="2017 - kw",B265="2018 - kw"),"2016 - kw","")</f>
        <v/>
      </c>
      <c r="AC265" s="833"/>
      <c r="AD265" s="833"/>
      <c r="AE265" s="833"/>
    </row>
    <row r="266" spans="1:31" s="636" customFormat="1" hidden="1" x14ac:dyDescent="0.3">
      <c r="A266" s="706"/>
      <c r="B266" s="706"/>
      <c r="C266" s="614"/>
      <c r="D266" s="700"/>
      <c r="E266" s="701" t="s">
        <v>2120</v>
      </c>
      <c r="F266" s="752"/>
      <c r="G266" s="752"/>
      <c r="H266" s="752"/>
      <c r="I266" s="752"/>
      <c r="J266" s="752"/>
      <c r="K266" s="752"/>
      <c r="L266" s="752"/>
      <c r="M266" s="752"/>
      <c r="N266" s="752"/>
      <c r="O266" s="752"/>
      <c r="P266" s="706"/>
      <c r="Q266" s="706"/>
      <c r="R266" s="706"/>
      <c r="S266" s="706"/>
      <c r="T266" s="706"/>
      <c r="U266" s="706"/>
      <c r="V266" s="706"/>
      <c r="Z266" s="833"/>
      <c r="AA266" s="833"/>
      <c r="AB266" s="833"/>
      <c r="AC266" s="833"/>
      <c r="AD266" s="833"/>
      <c r="AE266" s="833"/>
    </row>
    <row r="267" spans="1:31" s="636" customFormat="1" hidden="1" x14ac:dyDescent="0.3">
      <c r="A267" s="706" t="str">
        <f>IF(AND(F269=G269,H269=I269,J269=K269,F269="A"),"2016 - kwh",IF(AND(F269=G269,H269=I269,J269&lt;&gt;K269,F269="A"),"2017 - kwh",IF(AND(F269=G269,H269&lt;&gt;I269,F269="A"),"2018 - kwh","N/A")))</f>
        <v>N/A</v>
      </c>
      <c r="B267" s="706" t="str">
        <f>IF(F269&lt;&gt;G269,"2018 - kwh",IF(H269&lt;&gt;I269,"2017 - kwh",IF(J269&lt;&gt;K269,"2016 - kwh","N/A")))</f>
        <v>N/A</v>
      </c>
      <c r="C267" s="610" t="s">
        <v>2217</v>
      </c>
      <c r="D267" s="754"/>
      <c r="E267" s="703" t="s">
        <v>154</v>
      </c>
      <c r="F267" s="753"/>
      <c r="G267" s="753"/>
      <c r="H267" s="753"/>
      <c r="I267" s="753"/>
      <c r="J267" s="753"/>
      <c r="K267" s="753"/>
      <c r="L267" s="753"/>
      <c r="M267" s="753"/>
      <c r="N267" s="753"/>
      <c r="O267" s="753"/>
      <c r="P267" s="706"/>
      <c r="Q267" s="706"/>
      <c r="R267" s="706"/>
      <c r="S267" s="706"/>
      <c r="T267" s="706"/>
      <c r="U267" s="706"/>
      <c r="V267" s="706"/>
      <c r="Z267" s="833"/>
      <c r="AA267" s="833" t="str">
        <f>IF(AND(F269=G269,H269=I269,F269="A"),"2016 - kwh","")</f>
        <v/>
      </c>
      <c r="AB267" s="833" t="str">
        <f>IF(OR(B267="2017 - kwh",B267="2018 - kwh"),"2016 - kwh","")</f>
        <v/>
      </c>
      <c r="AC267" s="833"/>
      <c r="AD267" s="833"/>
      <c r="AE267" s="833"/>
    </row>
    <row r="268" spans="1:31" s="636" customFormat="1" hidden="1" x14ac:dyDescent="0.3">
      <c r="A268" s="706" t="str">
        <f>IF(AND(F269=G269,H269=I269,J269=K269,F269="A"),"2016 - kw",IF(AND(F269=G269,H269=I269,J269&lt;&gt;K269,F269="A"),"2017 - kw",IF(AND(F269=G269,H269&lt;&gt;I269,F269="A"),"2018 - kw","N/A")))</f>
        <v>N/A</v>
      </c>
      <c r="B268" s="706" t="str">
        <f>IF(F269&lt;&gt;G269,"2018 - kw",IF(H269&lt;&gt;I269,"2017 - kw",IF(J269&lt;&gt;K269,"2016 - kw","N/A")))</f>
        <v>N/A</v>
      </c>
      <c r="C268" s="611"/>
      <c r="D268" s="646" t="str">
        <f>D267 &amp; "kW"</f>
        <v>kW</v>
      </c>
      <c r="E268" s="702" t="s">
        <v>155</v>
      </c>
      <c r="F268" s="753"/>
      <c r="G268" s="753"/>
      <c r="H268" s="753"/>
      <c r="I268" s="753"/>
      <c r="J268" s="753"/>
      <c r="K268" s="753"/>
      <c r="L268" s="753"/>
      <c r="M268" s="753"/>
      <c r="N268" s="753"/>
      <c r="O268" s="753"/>
      <c r="P268" s="706"/>
      <c r="Q268" s="706"/>
      <c r="R268" s="706"/>
      <c r="S268" s="706"/>
      <c r="T268" s="706"/>
      <c r="U268" s="706"/>
      <c r="V268" s="706"/>
      <c r="Z268" s="833"/>
      <c r="AA268" s="833" t="str">
        <f>IF(AND(F269=G269,H269=I269,F269="A"),"2016 - kw","")</f>
        <v/>
      </c>
      <c r="AB268" s="833" t="str">
        <f>IF(OR(B268="2017 - kw",B268="2018 - kw"),"2016 - kw","")</f>
        <v/>
      </c>
      <c r="AC268" s="833"/>
      <c r="AD268" s="833"/>
      <c r="AE268" s="833"/>
    </row>
    <row r="269" spans="1:31" s="636" customFormat="1" hidden="1" x14ac:dyDescent="0.3">
      <c r="A269" s="706"/>
      <c r="B269" s="706"/>
      <c r="C269" s="614"/>
      <c r="D269" s="700"/>
      <c r="E269" s="701" t="s">
        <v>2120</v>
      </c>
      <c r="F269" s="752"/>
      <c r="G269" s="752"/>
      <c r="H269" s="752"/>
      <c r="I269" s="752"/>
      <c r="J269" s="752"/>
      <c r="K269" s="752"/>
      <c r="L269" s="752"/>
      <c r="M269" s="752"/>
      <c r="N269" s="752"/>
      <c r="O269" s="752"/>
      <c r="P269" s="706"/>
      <c r="Q269" s="706"/>
      <c r="R269" s="706"/>
      <c r="S269" s="706"/>
      <c r="T269" s="706"/>
      <c r="U269" s="706"/>
      <c r="V269" s="706"/>
      <c r="Z269" s="833"/>
      <c r="AA269" s="833"/>
      <c r="AB269" s="833"/>
      <c r="AC269" s="833"/>
      <c r="AD269" s="833"/>
      <c r="AE269" s="833"/>
    </row>
    <row r="270" spans="1:31" s="636" customFormat="1" hidden="1" x14ac:dyDescent="0.3">
      <c r="A270" s="706" t="str">
        <f>IF(AND(F272=G272,H272=I272,J272=K272,F272="A"),"2016 - kwh",IF(AND(F272=G272,H272=I272,J272&lt;&gt;K272,F272="A"),"2017 - kwh",IF(AND(F272=G272,H272&lt;&gt;I272,F272="A"),"2018 - kwh","N/A")))</f>
        <v>N/A</v>
      </c>
      <c r="B270" s="706" t="str">
        <f>IF(F272&lt;&gt;G272,"2018 - kwh",IF(H272&lt;&gt;I272,"2017 - kwh",IF(J272&lt;&gt;K272,"2016 - kwh","N/A")))</f>
        <v>N/A</v>
      </c>
      <c r="C270" s="610" t="s">
        <v>2218</v>
      </c>
      <c r="D270" s="754"/>
      <c r="E270" s="703" t="s">
        <v>154</v>
      </c>
      <c r="F270" s="753"/>
      <c r="G270" s="753"/>
      <c r="H270" s="753"/>
      <c r="I270" s="753"/>
      <c r="J270" s="753"/>
      <c r="K270" s="753"/>
      <c r="L270" s="753"/>
      <c r="M270" s="753"/>
      <c r="N270" s="753"/>
      <c r="O270" s="753"/>
      <c r="P270" s="706"/>
      <c r="Q270" s="706"/>
      <c r="R270" s="706"/>
      <c r="S270" s="706"/>
      <c r="T270" s="706"/>
      <c r="U270" s="706"/>
      <c r="V270" s="706"/>
      <c r="Z270" s="833"/>
      <c r="AA270" s="833" t="str">
        <f>IF(AND(F272=G272,H272=I272,F272="A"),"2016 - kwh","")</f>
        <v/>
      </c>
      <c r="AB270" s="833" t="str">
        <f>IF(OR(B270="2017 - kwh",B270="2018 - kwh"),"2016 - kwh","")</f>
        <v/>
      </c>
      <c r="AC270" s="833"/>
      <c r="AD270" s="833"/>
      <c r="AE270" s="833"/>
    </row>
    <row r="271" spans="1:31" s="636" customFormat="1" hidden="1" x14ac:dyDescent="0.3">
      <c r="A271" s="706" t="str">
        <f>IF(AND(F272=G272,H272=I272,J272=K272,F272="A"),"2016 - kw",IF(AND(F272=G272,H272=I272,J272&lt;&gt;K272,F272="A"),"2017 - kw",IF(AND(F272=G272,H272&lt;&gt;I272,F272="A"),"2018 - kw","N/A")))</f>
        <v>N/A</v>
      </c>
      <c r="B271" s="706" t="str">
        <f>IF(F272&lt;&gt;G272,"2018 - kw",IF(H272&lt;&gt;I272,"2017 - kw",IF(J272&lt;&gt;K272,"2016 - kw","N/A")))</f>
        <v>N/A</v>
      </c>
      <c r="C271" s="611"/>
      <c r="D271" s="646" t="str">
        <f>D270 &amp; "kW"</f>
        <v>kW</v>
      </c>
      <c r="E271" s="702" t="s">
        <v>155</v>
      </c>
      <c r="F271" s="753"/>
      <c r="G271" s="753"/>
      <c r="H271" s="753"/>
      <c r="I271" s="753"/>
      <c r="J271" s="753"/>
      <c r="K271" s="753"/>
      <c r="L271" s="753"/>
      <c r="M271" s="753"/>
      <c r="N271" s="753"/>
      <c r="O271" s="753"/>
      <c r="P271" s="706"/>
      <c r="Q271" s="706"/>
      <c r="R271" s="706"/>
      <c r="S271" s="706"/>
      <c r="T271" s="706"/>
      <c r="U271" s="706"/>
      <c r="V271" s="706"/>
      <c r="Z271" s="833"/>
      <c r="AA271" s="833" t="str">
        <f>IF(AND(F272=G272,H272=I272,F272="A"),"2016 - kw","")</f>
        <v/>
      </c>
      <c r="AB271" s="833" t="str">
        <f>IF(OR(B271="2017 - kw",B271="2018 - kw"),"2016 - kw","")</f>
        <v/>
      </c>
      <c r="AC271" s="833"/>
      <c r="AD271" s="833"/>
      <c r="AE271" s="833"/>
    </row>
    <row r="272" spans="1:31" s="636" customFormat="1" hidden="1" x14ac:dyDescent="0.3">
      <c r="A272" s="706"/>
      <c r="B272" s="706"/>
      <c r="C272" s="614"/>
      <c r="D272" s="700"/>
      <c r="E272" s="701" t="s">
        <v>2120</v>
      </c>
      <c r="F272" s="752"/>
      <c r="G272" s="752"/>
      <c r="H272" s="752"/>
      <c r="I272" s="752"/>
      <c r="J272" s="752"/>
      <c r="K272" s="752"/>
      <c r="L272" s="752"/>
      <c r="M272" s="752"/>
      <c r="N272" s="752"/>
      <c r="O272" s="752"/>
      <c r="P272" s="706"/>
      <c r="Q272" s="706"/>
      <c r="R272" s="706"/>
      <c r="S272" s="706"/>
      <c r="T272" s="706"/>
      <c r="U272" s="706"/>
      <c r="V272" s="706"/>
      <c r="Z272" s="833"/>
      <c r="AA272" s="833"/>
      <c r="AB272" s="833"/>
      <c r="AC272" s="833"/>
      <c r="AD272" s="833"/>
      <c r="AE272" s="833"/>
    </row>
    <row r="273" spans="1:31" s="636" customFormat="1" hidden="1" x14ac:dyDescent="0.3">
      <c r="A273" s="706" t="str">
        <f>IF(AND(F275=G275,H275=I275,J275=K275,F275="A"),"2016 - kwh",IF(AND(F275=G275,H275=I275,J275&lt;&gt;K275,F275="A"),"2017 - kwh",IF(AND(F275=G275,H275&lt;&gt;I275,F275="A"),"2018 - kwh","N/A")))</f>
        <v>N/A</v>
      </c>
      <c r="B273" s="706" t="str">
        <f>IF(F275&lt;&gt;G275,"2018 - kwh",IF(H275&lt;&gt;I275,"2017 - kwh",IF(J275&lt;&gt;K275,"2016 - kwh","N/A")))</f>
        <v>N/A</v>
      </c>
      <c r="C273" s="610" t="s">
        <v>2219</v>
      </c>
      <c r="D273" s="754"/>
      <c r="E273" s="703" t="s">
        <v>154</v>
      </c>
      <c r="F273" s="753"/>
      <c r="G273" s="753"/>
      <c r="H273" s="753"/>
      <c r="I273" s="753"/>
      <c r="J273" s="753"/>
      <c r="K273" s="753"/>
      <c r="L273" s="753"/>
      <c r="M273" s="753"/>
      <c r="N273" s="753"/>
      <c r="O273" s="753"/>
      <c r="P273" s="706"/>
      <c r="Q273" s="706"/>
      <c r="R273" s="706"/>
      <c r="S273" s="706"/>
      <c r="T273" s="706"/>
      <c r="U273" s="706"/>
      <c r="V273" s="706"/>
      <c r="Z273" s="833"/>
      <c r="AA273" s="833" t="str">
        <f>IF(AND(F275=G275,H275=I275,F275="A"),"2016 - kwh","")</f>
        <v/>
      </c>
      <c r="AB273" s="833" t="str">
        <f>IF(OR(B273="2017 - kwh",B273="2018 - kwh"),"2016 - kwh","")</f>
        <v/>
      </c>
      <c r="AC273" s="833"/>
      <c r="AD273" s="833"/>
      <c r="AE273" s="833"/>
    </row>
    <row r="274" spans="1:31" s="636" customFormat="1" hidden="1" x14ac:dyDescent="0.3">
      <c r="A274" s="706" t="str">
        <f>IF(AND(F275=G275,H275=I275,J275=K275,F275="A"),"2016 - kw",IF(AND(F275=G275,H275=I275,J275&lt;&gt;K275,F275="A"),"2017 - kw",IF(AND(F275=G275,H275&lt;&gt;I275,F275="A"),"2018 - kw","N/A")))</f>
        <v>N/A</v>
      </c>
      <c r="B274" s="706" t="str">
        <f>IF(F275&lt;&gt;G275,"2018 - kw",IF(H275&lt;&gt;I275,"2017 - kw",IF(J275&lt;&gt;K275,"2016 - kw","N/A")))</f>
        <v>N/A</v>
      </c>
      <c r="C274" s="611"/>
      <c r="D274" s="646" t="str">
        <f>D273 &amp; "kW"</f>
        <v>kW</v>
      </c>
      <c r="E274" s="702" t="s">
        <v>155</v>
      </c>
      <c r="F274" s="753"/>
      <c r="G274" s="753"/>
      <c r="H274" s="753"/>
      <c r="I274" s="753"/>
      <c r="J274" s="753"/>
      <c r="K274" s="753"/>
      <c r="L274" s="753"/>
      <c r="M274" s="753"/>
      <c r="N274" s="753"/>
      <c r="O274" s="753"/>
      <c r="P274" s="706"/>
      <c r="Q274" s="706"/>
      <c r="R274" s="706"/>
      <c r="S274" s="706"/>
      <c r="T274" s="706"/>
      <c r="U274" s="706"/>
      <c r="V274" s="706"/>
      <c r="Z274" s="833"/>
      <c r="AA274" s="833" t="str">
        <f>IF(AND(F275=G275,H275=I275,F275="A"),"2016 - kw","")</f>
        <v/>
      </c>
      <c r="AB274" s="833" t="str">
        <f>IF(OR(B274="2017 - kw",B274="2018 - kw"),"2016 - kw","")</f>
        <v/>
      </c>
      <c r="AC274" s="833"/>
      <c r="AD274" s="833"/>
      <c r="AE274" s="833"/>
    </row>
    <row r="275" spans="1:31" s="636" customFormat="1" hidden="1" x14ac:dyDescent="0.3">
      <c r="A275" s="706"/>
      <c r="B275" s="706"/>
      <c r="C275" s="614"/>
      <c r="D275" s="700"/>
      <c r="E275" s="701" t="s">
        <v>2120</v>
      </c>
      <c r="F275" s="752"/>
      <c r="G275" s="752"/>
      <c r="H275" s="752"/>
      <c r="I275" s="752"/>
      <c r="J275" s="752"/>
      <c r="K275" s="752"/>
      <c r="L275" s="752"/>
      <c r="M275" s="752"/>
      <c r="N275" s="752"/>
      <c r="O275" s="752"/>
      <c r="P275" s="706"/>
      <c r="Q275" s="706"/>
      <c r="R275" s="706"/>
      <c r="S275" s="706"/>
      <c r="T275" s="706"/>
      <c r="U275" s="706"/>
      <c r="V275" s="706"/>
      <c r="Z275" s="833"/>
      <c r="AA275" s="833"/>
      <c r="AB275" s="833"/>
      <c r="AC275" s="833"/>
      <c r="AD275" s="833"/>
      <c r="AE275" s="833"/>
    </row>
    <row r="276" spans="1:31" s="636" customFormat="1" hidden="1" x14ac:dyDescent="0.3">
      <c r="A276" s="706" t="str">
        <f>IF(AND(F278=G278,H278=I278,J278=K278,F278="A"),"2016 - kwh",IF(AND(F278=G278,H278=I278,J278&lt;&gt;K278,F278="A"),"2017 - kwh",IF(AND(F278=G278,H278&lt;&gt;I278,F278="A"),"2018 - kwh","N/A")))</f>
        <v>N/A</v>
      </c>
      <c r="B276" s="706" t="str">
        <f>IF(F278&lt;&gt;G278,"2018 - kwh",IF(H278&lt;&gt;I278,"2017 - kwh",IF(J278&lt;&gt;K278,"2016 - kwh","N/A")))</f>
        <v>N/A</v>
      </c>
      <c r="C276" s="610" t="s">
        <v>2220</v>
      </c>
      <c r="D276" s="754"/>
      <c r="E276" s="703" t="s">
        <v>154</v>
      </c>
      <c r="F276" s="753"/>
      <c r="G276" s="753"/>
      <c r="H276" s="753"/>
      <c r="I276" s="753"/>
      <c r="J276" s="753"/>
      <c r="K276" s="753"/>
      <c r="L276" s="753"/>
      <c r="M276" s="753"/>
      <c r="N276" s="753"/>
      <c r="O276" s="753"/>
      <c r="P276" s="706"/>
      <c r="Q276" s="706"/>
      <c r="R276" s="706"/>
      <c r="S276" s="706"/>
      <c r="T276" s="706"/>
      <c r="U276" s="706"/>
      <c r="V276" s="706"/>
      <c r="Z276" s="833"/>
      <c r="AA276" s="833" t="str">
        <f>IF(AND(F278=G278,H278=I278,F278="A"),"2016 - kwh","")</f>
        <v/>
      </c>
      <c r="AB276" s="833" t="str">
        <f>IF(OR(B276="2017 - kwh",B276="2018 - kwh"),"2016 - kwh","")</f>
        <v/>
      </c>
      <c r="AC276" s="833"/>
      <c r="AD276" s="833"/>
      <c r="AE276" s="833"/>
    </row>
    <row r="277" spans="1:31" s="636" customFormat="1" hidden="1" x14ac:dyDescent="0.3">
      <c r="A277" s="706" t="str">
        <f>IF(AND(F278=G278,H278=I278,J278=K278,F278="A"),"2016 - kw",IF(AND(F278=G278,H278=I278,J278&lt;&gt;K278,F278="A"),"2017 - kw",IF(AND(F278=G278,H278&lt;&gt;I278,F278="A"),"2018 - kw","N/A")))</f>
        <v>N/A</v>
      </c>
      <c r="B277" s="706" t="str">
        <f>IF(F278&lt;&gt;G278,"2018 - kw",IF(H278&lt;&gt;I278,"2017 - kw",IF(J278&lt;&gt;K278,"2016 - kw","N/A")))</f>
        <v>N/A</v>
      </c>
      <c r="C277" s="611"/>
      <c r="D277" s="646" t="str">
        <f>D276 &amp; "kW"</f>
        <v>kW</v>
      </c>
      <c r="E277" s="702" t="s">
        <v>155</v>
      </c>
      <c r="F277" s="753"/>
      <c r="G277" s="753"/>
      <c r="H277" s="753"/>
      <c r="I277" s="753"/>
      <c r="J277" s="753"/>
      <c r="K277" s="753"/>
      <c r="L277" s="753"/>
      <c r="M277" s="753"/>
      <c r="N277" s="753"/>
      <c r="O277" s="753"/>
      <c r="P277" s="706"/>
      <c r="Q277" s="706"/>
      <c r="R277" s="706"/>
      <c r="S277" s="706"/>
      <c r="T277" s="706"/>
      <c r="U277" s="706"/>
      <c r="V277" s="706"/>
      <c r="Z277" s="833"/>
      <c r="AA277" s="833" t="str">
        <f>IF(AND(F278=G278,H278=I278,F278="A"),"2016 - kw","")</f>
        <v/>
      </c>
      <c r="AB277" s="833" t="str">
        <f>IF(OR(B277="2017 - kw",B277="2018 - kw"),"2016 - kw","")</f>
        <v/>
      </c>
      <c r="AC277" s="833"/>
      <c r="AD277" s="833"/>
      <c r="AE277" s="833"/>
    </row>
    <row r="278" spans="1:31" s="636" customFormat="1" hidden="1" x14ac:dyDescent="0.3">
      <c r="A278" s="706"/>
      <c r="B278" s="706"/>
      <c r="C278" s="614"/>
      <c r="D278" s="700"/>
      <c r="E278" s="701" t="s">
        <v>2120</v>
      </c>
      <c r="F278" s="752"/>
      <c r="G278" s="752"/>
      <c r="H278" s="752"/>
      <c r="I278" s="752"/>
      <c r="J278" s="752"/>
      <c r="K278" s="752"/>
      <c r="L278" s="752"/>
      <c r="M278" s="752"/>
      <c r="N278" s="752"/>
      <c r="O278" s="752"/>
      <c r="P278" s="706"/>
      <c r="Q278" s="706"/>
      <c r="R278" s="706"/>
      <c r="S278" s="706"/>
      <c r="T278" s="706"/>
      <c r="U278" s="706"/>
      <c r="V278" s="706"/>
      <c r="Z278" s="833"/>
      <c r="AA278" s="833"/>
      <c r="AB278" s="833"/>
      <c r="AC278" s="833"/>
      <c r="AD278" s="833"/>
      <c r="AE278" s="833"/>
    </row>
    <row r="279" spans="1:31" s="636" customFormat="1" hidden="1" x14ac:dyDescent="0.3">
      <c r="A279" s="706" t="str">
        <f>IF(AND(F281=G281,H281=I281,J281=K281,F281="A"),"2016 - kwh",IF(AND(F281=G281,H281=I281,J281&lt;&gt;K281,F281="A"),"2017 - kwh",IF(AND(F281=G281,H281&lt;&gt;I281,F281="A"),"2018 - kwh","N/A")))</f>
        <v>N/A</v>
      </c>
      <c r="B279" s="706" t="str">
        <f>IF(F281&lt;&gt;G281,"2018 - kwh",IF(H281&lt;&gt;I281,"2017 - kwh",IF(J281&lt;&gt;K281,"2016 - kwh","N/A")))</f>
        <v>N/A</v>
      </c>
      <c r="C279" s="610" t="s">
        <v>2221</v>
      </c>
      <c r="D279" s="754"/>
      <c r="E279" s="703" t="s">
        <v>154</v>
      </c>
      <c r="F279" s="753"/>
      <c r="G279" s="753"/>
      <c r="H279" s="753"/>
      <c r="I279" s="753"/>
      <c r="J279" s="753"/>
      <c r="K279" s="753"/>
      <c r="L279" s="753"/>
      <c r="M279" s="753"/>
      <c r="N279" s="753"/>
      <c r="O279" s="753"/>
      <c r="P279" s="706"/>
      <c r="Q279" s="706"/>
      <c r="R279" s="706"/>
      <c r="S279" s="706"/>
      <c r="T279" s="706"/>
      <c r="U279" s="706"/>
      <c r="V279" s="706"/>
      <c r="Z279" s="833"/>
      <c r="AA279" s="833" t="str">
        <f>IF(AND(F281=G281,H281=I281,F281="A"),"2016 - kwh","")</f>
        <v/>
      </c>
      <c r="AB279" s="833" t="str">
        <f>IF(OR(B279="2017 - kwh",B279="2018 - kwh"),"2016 - kwh","")</f>
        <v/>
      </c>
      <c r="AC279" s="833"/>
      <c r="AD279" s="833"/>
      <c r="AE279" s="833"/>
    </row>
    <row r="280" spans="1:31" s="636" customFormat="1" hidden="1" x14ac:dyDescent="0.3">
      <c r="A280" s="706" t="str">
        <f>IF(AND(F281=G281,H281=I281,J281=K281,F281="A"),"2016 - kw",IF(AND(F281=G281,H281=I281,J281&lt;&gt;K281,F281="A"),"2017 - kw",IF(AND(F281=G281,H281&lt;&gt;I281,F281="A"),"2018 - kw","N/A")))</f>
        <v>N/A</v>
      </c>
      <c r="B280" s="706" t="str">
        <f>IF(F281&lt;&gt;G281,"2018 - kw",IF(H281&lt;&gt;I281,"2017 - kw",IF(J281&lt;&gt;K281,"2016 - kw","N/A")))</f>
        <v>N/A</v>
      </c>
      <c r="C280" s="611"/>
      <c r="D280" s="646" t="str">
        <f>D279 &amp; "kW"</f>
        <v>kW</v>
      </c>
      <c r="E280" s="702" t="s">
        <v>155</v>
      </c>
      <c r="F280" s="753"/>
      <c r="G280" s="753"/>
      <c r="H280" s="753"/>
      <c r="I280" s="753"/>
      <c r="J280" s="753"/>
      <c r="K280" s="753"/>
      <c r="L280" s="753"/>
      <c r="M280" s="753"/>
      <c r="N280" s="753"/>
      <c r="O280" s="753"/>
      <c r="P280" s="706"/>
      <c r="Q280" s="706"/>
      <c r="R280" s="706"/>
      <c r="S280" s="706"/>
      <c r="T280" s="706"/>
      <c r="U280" s="706"/>
      <c r="V280" s="706"/>
      <c r="Z280" s="833"/>
      <c r="AA280" s="833" t="str">
        <f>IF(AND(F281=G281,H281=I281,F281="A"),"2016 - kw","")</f>
        <v/>
      </c>
      <c r="AB280" s="833" t="str">
        <f>IF(OR(B280="2017 - kw",B280="2018 - kw"),"2016 - kw","")</f>
        <v/>
      </c>
      <c r="AC280" s="833"/>
      <c r="AD280" s="833"/>
      <c r="AE280" s="833"/>
    </row>
    <row r="281" spans="1:31" s="636" customFormat="1" hidden="1" x14ac:dyDescent="0.3">
      <c r="A281" s="706"/>
      <c r="B281" s="706"/>
      <c r="C281" s="614"/>
      <c r="D281" s="700"/>
      <c r="E281" s="701" t="s">
        <v>2120</v>
      </c>
      <c r="F281" s="752"/>
      <c r="G281" s="752"/>
      <c r="H281" s="752"/>
      <c r="I281" s="752"/>
      <c r="J281" s="752"/>
      <c r="K281" s="752"/>
      <c r="L281" s="752"/>
      <c r="M281" s="752"/>
      <c r="N281" s="752"/>
      <c r="O281" s="752"/>
      <c r="P281" s="706"/>
      <c r="Q281" s="706"/>
      <c r="R281" s="706"/>
      <c r="S281" s="706"/>
      <c r="T281" s="706"/>
      <c r="U281" s="706"/>
      <c r="V281" s="706"/>
      <c r="Z281" s="833"/>
      <c r="AA281" s="833"/>
      <c r="AB281" s="833"/>
      <c r="AC281" s="833"/>
      <c r="AD281" s="833"/>
      <c r="AE281" s="833"/>
    </row>
    <row r="282" spans="1:31" s="636" customFormat="1" hidden="1" x14ac:dyDescent="0.3">
      <c r="A282" s="706" t="str">
        <f>IF(AND(F284=G284,H284=I284,J284=K284,F284="A"),"2016 - kwh",IF(AND(F284=G284,H284=I284,J284&lt;&gt;K284,F284="A"),"2017 - kwh",IF(AND(F284=G284,H284&lt;&gt;I284,F284="A"),"2018 - kwh","N/A")))</f>
        <v>N/A</v>
      </c>
      <c r="B282" s="706" t="str">
        <f>IF(F284&lt;&gt;G284,"2018 - kwh",IF(H284&lt;&gt;I284,"2017 - kwh",IF(J284&lt;&gt;K284,"2016 - kwh","N/A")))</f>
        <v>N/A</v>
      </c>
      <c r="C282" s="610" t="s">
        <v>2222</v>
      </c>
      <c r="D282" s="754"/>
      <c r="E282" s="703" t="s">
        <v>154</v>
      </c>
      <c r="F282" s="753"/>
      <c r="G282" s="753"/>
      <c r="H282" s="753"/>
      <c r="I282" s="753"/>
      <c r="J282" s="753"/>
      <c r="K282" s="753"/>
      <c r="L282" s="753"/>
      <c r="M282" s="753"/>
      <c r="N282" s="753"/>
      <c r="O282" s="753"/>
      <c r="P282" s="706"/>
      <c r="Q282" s="706"/>
      <c r="R282" s="706"/>
      <c r="S282" s="706"/>
      <c r="T282" s="706"/>
      <c r="U282" s="706"/>
      <c r="V282" s="706"/>
      <c r="Z282" s="833"/>
      <c r="AA282" s="833" t="str">
        <f>IF(AND(F284=G284,H284=I284,F284="A"),"2016 - kwh","")</f>
        <v/>
      </c>
      <c r="AB282" s="833" t="str">
        <f>IF(OR(B282="2017 - kwh",B282="2018 - kwh"),"2016 - kwh","")</f>
        <v/>
      </c>
      <c r="AC282" s="833"/>
      <c r="AD282" s="833"/>
      <c r="AE282" s="833"/>
    </row>
    <row r="283" spans="1:31" s="636" customFormat="1" hidden="1" x14ac:dyDescent="0.3">
      <c r="A283" s="706" t="str">
        <f>IF(AND(F284=G284,H284=I284,J284=K284,F284="A"),"2016 - kw",IF(AND(F284=G284,H284=I284,J284&lt;&gt;K284,F284="A"),"2017 - kw",IF(AND(F284=G284,H284&lt;&gt;I284,F284="A"),"2018 - kw","N/A")))</f>
        <v>N/A</v>
      </c>
      <c r="B283" s="706" t="str">
        <f>IF(F284&lt;&gt;G284,"2018 - kw",IF(H284&lt;&gt;I284,"2017 - kw",IF(J284&lt;&gt;K284,"2016 - kw","N/A")))</f>
        <v>N/A</v>
      </c>
      <c r="C283" s="611"/>
      <c r="D283" s="646" t="str">
        <f>D282 &amp; "kW"</f>
        <v>kW</v>
      </c>
      <c r="E283" s="702" t="s">
        <v>155</v>
      </c>
      <c r="F283" s="753"/>
      <c r="G283" s="753"/>
      <c r="H283" s="753"/>
      <c r="I283" s="753"/>
      <c r="J283" s="753"/>
      <c r="K283" s="753"/>
      <c r="L283" s="753"/>
      <c r="M283" s="753"/>
      <c r="N283" s="753"/>
      <c r="O283" s="753"/>
      <c r="P283" s="706"/>
      <c r="Q283" s="706"/>
      <c r="R283" s="706"/>
      <c r="S283" s="706"/>
      <c r="T283" s="706"/>
      <c r="U283" s="706"/>
      <c r="V283" s="706"/>
      <c r="Z283" s="833"/>
      <c r="AA283" s="833" t="str">
        <f>IF(AND(F284=G284,H284=I284,F284="A"),"2016 - kw","")</f>
        <v/>
      </c>
      <c r="AB283" s="833" t="str">
        <f>IF(OR(B283="2017 - kw",B283="2018 - kw"),"2016 - kw","")</f>
        <v/>
      </c>
      <c r="AC283" s="833"/>
      <c r="AD283" s="833"/>
      <c r="AE283" s="833"/>
    </row>
    <row r="284" spans="1:31" s="636" customFormat="1" hidden="1" x14ac:dyDescent="0.3">
      <c r="A284" s="706"/>
      <c r="B284" s="706"/>
      <c r="C284" s="614"/>
      <c r="D284" s="700"/>
      <c r="E284" s="701" t="s">
        <v>2120</v>
      </c>
      <c r="F284" s="752"/>
      <c r="G284" s="752"/>
      <c r="H284" s="752"/>
      <c r="I284" s="752"/>
      <c r="J284" s="752"/>
      <c r="K284" s="752"/>
      <c r="L284" s="752"/>
      <c r="M284" s="752"/>
      <c r="N284" s="752"/>
      <c r="O284" s="752"/>
      <c r="P284" s="706"/>
      <c r="Q284" s="706"/>
      <c r="R284" s="706"/>
      <c r="S284" s="706"/>
      <c r="T284" s="706"/>
      <c r="U284" s="706"/>
      <c r="V284" s="706"/>
      <c r="Z284" s="833"/>
      <c r="AA284" s="833"/>
      <c r="AB284" s="833"/>
      <c r="AC284" s="833"/>
      <c r="AD284" s="833"/>
      <c r="AE284" s="833"/>
    </row>
    <row r="285" spans="1:31" s="636" customFormat="1" hidden="1" x14ac:dyDescent="0.3">
      <c r="A285" s="706" t="str">
        <f>IF(AND(F287=G287,H287=I287,J287=K287,F287="A"),"2016 - kwh",IF(AND(F287=G287,H287=I287,J287&lt;&gt;K287,F287="A"),"2017 - kwh",IF(AND(F287=G287,H287&lt;&gt;I287,F287="A"),"2018 - kwh","N/A")))</f>
        <v>N/A</v>
      </c>
      <c r="B285" s="706" t="str">
        <f>IF(F287&lt;&gt;G287,"2018 - kwh",IF(H287&lt;&gt;I287,"2017 - kwh",IF(J287&lt;&gt;K287,"2016 - kwh","N/A")))</f>
        <v>N/A</v>
      </c>
      <c r="C285" s="610" t="s">
        <v>2223</v>
      </c>
      <c r="D285" s="754"/>
      <c r="E285" s="703" t="s">
        <v>154</v>
      </c>
      <c r="F285" s="753"/>
      <c r="G285" s="753"/>
      <c r="H285" s="753"/>
      <c r="I285" s="753"/>
      <c r="J285" s="753"/>
      <c r="K285" s="753"/>
      <c r="L285" s="753"/>
      <c r="M285" s="753"/>
      <c r="N285" s="753"/>
      <c r="O285" s="753"/>
      <c r="P285" s="706"/>
      <c r="Q285" s="706"/>
      <c r="R285" s="706"/>
      <c r="S285" s="706"/>
      <c r="T285" s="706"/>
      <c r="U285" s="706"/>
      <c r="V285" s="706"/>
      <c r="Z285" s="833"/>
      <c r="AA285" s="833" t="str">
        <f>IF(AND(F287=G287,H287=I287,F287="A"),"2016 - kwh","")</f>
        <v/>
      </c>
      <c r="AB285" s="833" t="str">
        <f>IF(OR(B285="2017 - kwh",B285="2018 - kwh"),"2016 - kwh","")</f>
        <v/>
      </c>
      <c r="AC285" s="833"/>
      <c r="AD285" s="833"/>
      <c r="AE285" s="833"/>
    </row>
    <row r="286" spans="1:31" s="636" customFormat="1" hidden="1" x14ac:dyDescent="0.3">
      <c r="A286" s="706" t="str">
        <f>IF(AND(F287=G287,H287=I287,J287=K287,F287="A"),"2016 - kw",IF(AND(F287=G287,H287=I287,J287&lt;&gt;K287,F287="A"),"2017 - kw",IF(AND(F287=G287,H287&lt;&gt;I287,F287="A"),"2018 - kw","N/A")))</f>
        <v>N/A</v>
      </c>
      <c r="B286" s="706" t="str">
        <f>IF(F287&lt;&gt;G287,"2018 - kw",IF(H287&lt;&gt;I287,"2017 - kw",IF(J287&lt;&gt;K287,"2016 - kw","N/A")))</f>
        <v>N/A</v>
      </c>
      <c r="C286" s="611"/>
      <c r="D286" s="646" t="str">
        <f>D285 &amp; "kW"</f>
        <v>kW</v>
      </c>
      <c r="E286" s="702" t="s">
        <v>155</v>
      </c>
      <c r="F286" s="753"/>
      <c r="G286" s="753"/>
      <c r="H286" s="753"/>
      <c r="I286" s="753"/>
      <c r="J286" s="753"/>
      <c r="K286" s="753"/>
      <c r="L286" s="753"/>
      <c r="M286" s="753"/>
      <c r="N286" s="753"/>
      <c r="O286" s="753"/>
      <c r="P286" s="706"/>
      <c r="Q286" s="706"/>
      <c r="R286" s="706"/>
      <c r="S286" s="706"/>
      <c r="T286" s="706"/>
      <c r="U286" s="706"/>
      <c r="V286" s="706"/>
      <c r="Z286" s="833"/>
      <c r="AA286" s="833" t="str">
        <f>IF(AND(F287=G287,H287=I287,F287="A"),"2016 - kw","")</f>
        <v/>
      </c>
      <c r="AB286" s="833" t="str">
        <f>IF(OR(B286="2017 - kw",B286="2018 - kw"),"2016 - kw","")</f>
        <v/>
      </c>
      <c r="AC286" s="833"/>
      <c r="AD286" s="833"/>
      <c r="AE286" s="833"/>
    </row>
    <row r="287" spans="1:31" s="636" customFormat="1" hidden="1" x14ac:dyDescent="0.3">
      <c r="A287" s="706"/>
      <c r="B287" s="706"/>
      <c r="C287" s="614"/>
      <c r="D287" s="700"/>
      <c r="E287" s="701" t="s">
        <v>2120</v>
      </c>
      <c r="F287" s="752"/>
      <c r="G287" s="752"/>
      <c r="H287" s="752"/>
      <c r="I287" s="752"/>
      <c r="J287" s="752"/>
      <c r="K287" s="752"/>
      <c r="L287" s="752"/>
      <c r="M287" s="752"/>
      <c r="N287" s="752"/>
      <c r="O287" s="752"/>
      <c r="P287" s="706"/>
      <c r="Q287" s="706"/>
      <c r="R287" s="706"/>
      <c r="S287" s="706"/>
      <c r="T287" s="706"/>
      <c r="U287" s="706"/>
      <c r="V287" s="706"/>
      <c r="Z287" s="833"/>
      <c r="AA287" s="833"/>
      <c r="AB287" s="833"/>
      <c r="AC287" s="833"/>
      <c r="AD287" s="833"/>
      <c r="AE287" s="833"/>
    </row>
    <row r="288" spans="1:31" s="636" customFormat="1" hidden="1" x14ac:dyDescent="0.3">
      <c r="A288" s="706" t="str">
        <f>IF(AND(F290=G290,H290=I290,J290=K290,F290="A"),"2016 - kwh",IF(AND(F290=G290,H290=I290,J290&lt;&gt;K290,F290="A"),"2017 - kwh",IF(AND(F290=G290,H290&lt;&gt;I290,F290="A"),"2018 - kwh","N/A")))</f>
        <v>N/A</v>
      </c>
      <c r="B288" s="706" t="str">
        <f>IF(F290&lt;&gt;G290,"2018 - kwh",IF(H290&lt;&gt;I290,"2017 - kwh",IF(J290&lt;&gt;K290,"2016 - kwh","N/A")))</f>
        <v>N/A</v>
      </c>
      <c r="C288" s="610" t="s">
        <v>2224</v>
      </c>
      <c r="D288" s="754"/>
      <c r="E288" s="703" t="s">
        <v>154</v>
      </c>
      <c r="F288" s="753"/>
      <c r="G288" s="753"/>
      <c r="H288" s="753"/>
      <c r="I288" s="753"/>
      <c r="J288" s="753"/>
      <c r="K288" s="753"/>
      <c r="L288" s="753"/>
      <c r="M288" s="753"/>
      <c r="N288" s="753"/>
      <c r="O288" s="753"/>
      <c r="P288" s="706"/>
      <c r="Q288" s="706"/>
      <c r="R288" s="706"/>
      <c r="S288" s="706"/>
      <c r="T288" s="706"/>
      <c r="U288" s="706"/>
      <c r="V288" s="706"/>
      <c r="Z288" s="833"/>
      <c r="AA288" s="833" t="str">
        <f>IF(AND(F290=G290,H290=I290,F290="A"),"2016 - kwh","")</f>
        <v/>
      </c>
      <c r="AB288" s="833" t="str">
        <f>IF(OR(B288="2017 - kwh",B288="2018 - kwh"),"2016 - kwh","")</f>
        <v/>
      </c>
      <c r="AC288" s="833"/>
      <c r="AD288" s="833"/>
      <c r="AE288" s="833"/>
    </row>
    <row r="289" spans="1:31" s="636" customFormat="1" hidden="1" x14ac:dyDescent="0.3">
      <c r="A289" s="706" t="str">
        <f>IF(AND(F290=G290,H290=I290,J290=K290,F290="A"),"2016 - kw",IF(AND(F290=G290,H290=I290,J290&lt;&gt;K290,F290="A"),"2017 - kw",IF(AND(F290=G290,H290&lt;&gt;I290,F290="A"),"2018 - kw","N/A")))</f>
        <v>N/A</v>
      </c>
      <c r="B289" s="706" t="str">
        <f>IF(F290&lt;&gt;G290,"2018 - kw",IF(H290&lt;&gt;I290,"2017 - kw",IF(J290&lt;&gt;K290,"2016 - kw","N/A")))</f>
        <v>N/A</v>
      </c>
      <c r="C289" s="611"/>
      <c r="D289" s="646" t="str">
        <f>D288 &amp; "kW"</f>
        <v>kW</v>
      </c>
      <c r="E289" s="702" t="s">
        <v>155</v>
      </c>
      <c r="F289" s="753"/>
      <c r="G289" s="753"/>
      <c r="H289" s="753"/>
      <c r="I289" s="753"/>
      <c r="J289" s="753"/>
      <c r="K289" s="753"/>
      <c r="L289" s="753"/>
      <c r="M289" s="753"/>
      <c r="N289" s="753"/>
      <c r="O289" s="753"/>
      <c r="P289" s="706"/>
      <c r="Q289" s="706"/>
      <c r="R289" s="706"/>
      <c r="S289" s="706"/>
      <c r="T289" s="706"/>
      <c r="U289" s="706"/>
      <c r="V289" s="706"/>
      <c r="Z289" s="833"/>
      <c r="AA289" s="833" t="str">
        <f>IF(AND(F290=G290,H290=I290,F290="A"),"2016 - kw","")</f>
        <v/>
      </c>
      <c r="AB289" s="833" t="str">
        <f>IF(OR(B289="2017 - kw",B289="2018 - kw"),"2016 - kw","")</f>
        <v/>
      </c>
      <c r="AC289" s="833"/>
      <c r="AD289" s="833"/>
      <c r="AE289" s="833"/>
    </row>
    <row r="290" spans="1:31" s="636" customFormat="1" hidden="1" x14ac:dyDescent="0.3">
      <c r="A290" s="706"/>
      <c r="B290" s="706"/>
      <c r="C290" s="614"/>
      <c r="D290" s="700"/>
      <c r="E290" s="701" t="s">
        <v>2120</v>
      </c>
      <c r="F290" s="752"/>
      <c r="G290" s="752"/>
      <c r="H290" s="752"/>
      <c r="I290" s="752"/>
      <c r="J290" s="752"/>
      <c r="K290" s="752"/>
      <c r="L290" s="752"/>
      <c r="M290" s="752"/>
      <c r="N290" s="752"/>
      <c r="O290" s="752"/>
      <c r="P290" s="706"/>
      <c r="Q290" s="706"/>
      <c r="R290" s="706"/>
      <c r="S290" s="706"/>
      <c r="T290" s="706"/>
      <c r="U290" s="706"/>
      <c r="V290" s="706"/>
      <c r="Z290" s="833"/>
      <c r="AA290" s="833"/>
      <c r="AB290" s="833"/>
      <c r="AC290" s="833"/>
      <c r="AD290" s="833"/>
      <c r="AE290" s="833"/>
    </row>
    <row r="291" spans="1:31" s="636" customFormat="1" hidden="1" x14ac:dyDescent="0.3">
      <c r="A291" s="706" t="str">
        <f>IF(AND(F293=G293,H293=I293,J293=K293,F293="A"),"2016 - kwh",IF(AND(F293=G293,H293=I293,J293&lt;&gt;K293,F293="A"),"2017 - kwh",IF(AND(F293=G293,H293&lt;&gt;I293,F293="A"),"2018 - kwh","N/A")))</f>
        <v>N/A</v>
      </c>
      <c r="B291" s="706" t="str">
        <f>IF(F293&lt;&gt;G293,"2018 - kwh",IF(H293&lt;&gt;I293,"2017 - kwh",IF(J293&lt;&gt;K293,"2016 - kwh","N/A")))</f>
        <v>N/A</v>
      </c>
      <c r="C291" s="610" t="s">
        <v>2225</v>
      </c>
      <c r="D291" s="754"/>
      <c r="E291" s="703" t="s">
        <v>154</v>
      </c>
      <c r="F291" s="753"/>
      <c r="G291" s="753"/>
      <c r="H291" s="753"/>
      <c r="I291" s="753"/>
      <c r="J291" s="753"/>
      <c r="K291" s="753"/>
      <c r="L291" s="753"/>
      <c r="M291" s="753"/>
      <c r="N291" s="753"/>
      <c r="O291" s="753"/>
      <c r="P291" s="706"/>
      <c r="Q291" s="706"/>
      <c r="R291" s="706"/>
      <c r="S291" s="706"/>
      <c r="T291" s="706"/>
      <c r="U291" s="706"/>
      <c r="V291" s="706"/>
      <c r="Z291" s="833"/>
      <c r="AA291" s="833" t="str">
        <f>IF(AND(F293=G293,H293=I293,F293="A"),"2016 - kwh","")</f>
        <v/>
      </c>
      <c r="AB291" s="833" t="str">
        <f>IF(OR(B291="2017 - kwh",B291="2018 - kwh"),"2016 - kwh","")</f>
        <v/>
      </c>
      <c r="AC291" s="833"/>
      <c r="AD291" s="833"/>
      <c r="AE291" s="833"/>
    </row>
    <row r="292" spans="1:31" s="636" customFormat="1" hidden="1" x14ac:dyDescent="0.3">
      <c r="A292" s="706" t="str">
        <f>IF(AND(F293=G293,H293=I293,J293=K293,F293="A"),"2016 - kw",IF(AND(F293=G293,H293=I293,J293&lt;&gt;K293,F293="A"),"2017 - kw",IF(AND(F293=G293,H293&lt;&gt;I293,F293="A"),"2018 - kw","N/A")))</f>
        <v>N/A</v>
      </c>
      <c r="B292" s="706" t="str">
        <f>IF(F293&lt;&gt;G293,"2018 - kw",IF(H293&lt;&gt;I293,"2017 - kw",IF(J293&lt;&gt;K293,"2016 - kw","N/A")))</f>
        <v>N/A</v>
      </c>
      <c r="C292" s="611"/>
      <c r="D292" s="646" t="str">
        <f>D291 &amp; "kW"</f>
        <v>kW</v>
      </c>
      <c r="E292" s="702" t="s">
        <v>155</v>
      </c>
      <c r="F292" s="753"/>
      <c r="G292" s="753"/>
      <c r="H292" s="753"/>
      <c r="I292" s="753"/>
      <c r="J292" s="753"/>
      <c r="K292" s="753"/>
      <c r="L292" s="753"/>
      <c r="M292" s="753"/>
      <c r="N292" s="753"/>
      <c r="O292" s="753"/>
      <c r="P292" s="706"/>
      <c r="Q292" s="706"/>
      <c r="R292" s="706"/>
      <c r="S292" s="706"/>
      <c r="T292" s="706"/>
      <c r="U292" s="706"/>
      <c r="V292" s="706"/>
      <c r="Z292" s="833"/>
      <c r="AA292" s="833" t="str">
        <f>IF(AND(F293=G293,H293=I293,F293="A"),"2016 - kw","")</f>
        <v/>
      </c>
      <c r="AB292" s="833" t="str">
        <f>IF(OR(B292="2017 - kw",B292="2018 - kw"),"2016 - kw","")</f>
        <v/>
      </c>
      <c r="AC292" s="833"/>
      <c r="AD292" s="833"/>
      <c r="AE292" s="833"/>
    </row>
    <row r="293" spans="1:31" s="636" customFormat="1" hidden="1" x14ac:dyDescent="0.3">
      <c r="A293" s="706"/>
      <c r="B293" s="706"/>
      <c r="C293" s="614"/>
      <c r="D293" s="700"/>
      <c r="E293" s="701" t="s">
        <v>2120</v>
      </c>
      <c r="F293" s="752"/>
      <c r="G293" s="752"/>
      <c r="H293" s="752"/>
      <c r="I293" s="752"/>
      <c r="J293" s="752"/>
      <c r="K293" s="752"/>
      <c r="L293" s="752"/>
      <c r="M293" s="752"/>
      <c r="N293" s="752"/>
      <c r="O293" s="752"/>
      <c r="P293" s="706"/>
      <c r="Q293" s="706"/>
      <c r="R293" s="706"/>
      <c r="S293" s="706"/>
      <c r="T293" s="706"/>
      <c r="U293" s="706"/>
      <c r="V293" s="706"/>
      <c r="Z293" s="833"/>
      <c r="AA293" s="833"/>
      <c r="AB293" s="833"/>
      <c r="AC293" s="833"/>
      <c r="AD293" s="833"/>
      <c r="AE293" s="833"/>
    </row>
    <row r="294" spans="1:31" s="636" customFormat="1" hidden="1" x14ac:dyDescent="0.3">
      <c r="A294" s="706" t="str">
        <f>IF(AND(F296=G296,H296=I296,J296=K296,F296="A"),"2016 - kwh",IF(AND(F296=G296,H296=I296,J296&lt;&gt;K296,F296="A"),"2017 - kwh",IF(AND(F296=G296,H296&lt;&gt;I296,F296="A"),"2018 - kwh","N/A")))</f>
        <v>N/A</v>
      </c>
      <c r="B294" s="706" t="str">
        <f>IF(F296&lt;&gt;G296,"2018 - kwh",IF(H296&lt;&gt;I296,"2017 - kwh",IF(J296&lt;&gt;K296,"2016 - kwh","N/A")))</f>
        <v>N/A</v>
      </c>
      <c r="C294" s="610" t="s">
        <v>2226</v>
      </c>
      <c r="D294" s="754"/>
      <c r="E294" s="703" t="s">
        <v>154</v>
      </c>
      <c r="F294" s="753"/>
      <c r="G294" s="753"/>
      <c r="H294" s="753"/>
      <c r="I294" s="753"/>
      <c r="J294" s="753"/>
      <c r="K294" s="753"/>
      <c r="L294" s="753"/>
      <c r="M294" s="753"/>
      <c r="N294" s="753"/>
      <c r="O294" s="753"/>
      <c r="P294" s="706"/>
      <c r="Q294" s="706"/>
      <c r="R294" s="706"/>
      <c r="S294" s="706"/>
      <c r="T294" s="706"/>
      <c r="U294" s="706"/>
      <c r="V294" s="706"/>
      <c r="Z294" s="833"/>
      <c r="AA294" s="833" t="str">
        <f>IF(AND(F296=G296,H296=I296,F296="A"),"2016 - kwh","")</f>
        <v/>
      </c>
      <c r="AB294" s="833" t="str">
        <f>IF(OR(B294="2017 - kwh",B294="2018 - kwh"),"2016 - kwh","")</f>
        <v/>
      </c>
      <c r="AC294" s="833"/>
      <c r="AD294" s="833"/>
      <c r="AE294" s="833"/>
    </row>
    <row r="295" spans="1:31" s="636" customFormat="1" hidden="1" x14ac:dyDescent="0.3">
      <c r="A295" s="706" t="str">
        <f>IF(AND(F296=G296,H296=I296,J296=K296,F296="A"),"2016 - kw",IF(AND(F296=G296,H296=I296,J296&lt;&gt;K296,F296="A"),"2017 - kw",IF(AND(F296=G296,H296&lt;&gt;I296,F296="A"),"2018 - kw","N/A")))</f>
        <v>N/A</v>
      </c>
      <c r="B295" s="706" t="str">
        <f>IF(F296&lt;&gt;G296,"2018 - kw",IF(H296&lt;&gt;I296,"2017 - kw",IF(J296&lt;&gt;K296,"2016 - kw","N/A")))</f>
        <v>N/A</v>
      </c>
      <c r="C295" s="611"/>
      <c r="D295" s="646" t="str">
        <f>D294 &amp; "kW"</f>
        <v>kW</v>
      </c>
      <c r="E295" s="702" t="s">
        <v>155</v>
      </c>
      <c r="F295" s="753"/>
      <c r="G295" s="753"/>
      <c r="H295" s="753"/>
      <c r="I295" s="753"/>
      <c r="J295" s="753"/>
      <c r="K295" s="753"/>
      <c r="L295" s="753"/>
      <c r="M295" s="753"/>
      <c r="N295" s="753"/>
      <c r="O295" s="753"/>
      <c r="P295" s="706"/>
      <c r="Q295" s="706"/>
      <c r="R295" s="706"/>
      <c r="S295" s="706"/>
      <c r="T295" s="706"/>
      <c r="U295" s="706"/>
      <c r="V295" s="706"/>
      <c r="Z295" s="833"/>
      <c r="AA295" s="833" t="str">
        <f>IF(AND(F296=G296,H296=I296,F296="A"),"2016 - kw","")</f>
        <v/>
      </c>
      <c r="AB295" s="833" t="str">
        <f>IF(OR(B295="2017 - kw",B295="2018 - kw"),"2016 - kw","")</f>
        <v/>
      </c>
      <c r="AC295" s="833"/>
      <c r="AD295" s="833"/>
      <c r="AE295" s="833"/>
    </row>
    <row r="296" spans="1:31" s="636" customFormat="1" hidden="1" x14ac:dyDescent="0.3">
      <c r="A296" s="706"/>
      <c r="B296" s="706"/>
      <c r="C296" s="614"/>
      <c r="D296" s="700"/>
      <c r="E296" s="701" t="s">
        <v>2120</v>
      </c>
      <c r="F296" s="752"/>
      <c r="G296" s="752"/>
      <c r="H296" s="752"/>
      <c r="I296" s="752"/>
      <c r="J296" s="752"/>
      <c r="K296" s="752"/>
      <c r="L296" s="752"/>
      <c r="M296" s="752"/>
      <c r="N296" s="752"/>
      <c r="O296" s="752"/>
      <c r="P296" s="706"/>
      <c r="Q296" s="706"/>
      <c r="R296" s="706"/>
      <c r="S296" s="706"/>
      <c r="T296" s="706"/>
      <c r="U296" s="706"/>
      <c r="V296" s="706"/>
      <c r="Z296" s="833"/>
      <c r="AA296" s="833"/>
      <c r="AB296" s="833"/>
      <c r="AC296" s="833"/>
      <c r="AD296" s="833"/>
      <c r="AE296" s="833"/>
    </row>
    <row r="297" spans="1:31" s="636" customFormat="1" hidden="1" x14ac:dyDescent="0.3">
      <c r="A297" s="706" t="str">
        <f>IF(AND(F299=G299,H299=I299,J299=K299,F299="A"),"2016 - kwh",IF(AND(F299=G299,H299=I299,J299&lt;&gt;K299,F299="A"),"2017 - kwh",IF(AND(F299=G299,H299&lt;&gt;I299,F299="A"),"2018 - kwh","N/A")))</f>
        <v>N/A</v>
      </c>
      <c r="B297" s="706" t="str">
        <f>IF(F299&lt;&gt;G299,"2018 - kwh",IF(H299&lt;&gt;I299,"2017 - kwh",IF(J299&lt;&gt;K299,"2016 - kwh","N/A")))</f>
        <v>N/A</v>
      </c>
      <c r="C297" s="610" t="s">
        <v>2227</v>
      </c>
      <c r="D297" s="754"/>
      <c r="E297" s="703" t="s">
        <v>154</v>
      </c>
      <c r="F297" s="753"/>
      <c r="G297" s="753"/>
      <c r="H297" s="753"/>
      <c r="I297" s="753"/>
      <c r="J297" s="753"/>
      <c r="K297" s="753"/>
      <c r="L297" s="753"/>
      <c r="M297" s="753"/>
      <c r="N297" s="753"/>
      <c r="O297" s="753"/>
      <c r="P297" s="706"/>
      <c r="Q297" s="706"/>
      <c r="R297" s="706"/>
      <c r="S297" s="706"/>
      <c r="T297" s="706"/>
      <c r="U297" s="706"/>
      <c r="V297" s="706"/>
      <c r="Z297" s="833"/>
      <c r="AA297" s="833" t="str">
        <f>IF(AND(F299=G299,H299=I299,F299="A"),"2016 - kwh","")</f>
        <v/>
      </c>
      <c r="AB297" s="833" t="str">
        <f>IF(OR(B297="2017 - kwh",B297="2018 - kwh"),"2016 - kwh","")</f>
        <v/>
      </c>
      <c r="AC297" s="833"/>
      <c r="AD297" s="833"/>
      <c r="AE297" s="833"/>
    </row>
    <row r="298" spans="1:31" s="636" customFormat="1" hidden="1" x14ac:dyDescent="0.3">
      <c r="A298" s="706" t="str">
        <f>IF(AND(F299=G299,H299=I299,J299=K299,F299="A"),"2016 - kw",IF(AND(F299=G299,H299=I299,J299&lt;&gt;K299,F299="A"),"2017 - kw",IF(AND(F299=G299,H299&lt;&gt;I299,F299="A"),"2018 - kw","N/A")))</f>
        <v>N/A</v>
      </c>
      <c r="B298" s="706" t="str">
        <f>IF(F299&lt;&gt;G299,"2018 - kw",IF(H299&lt;&gt;I299,"2017 - kw",IF(J299&lt;&gt;K299,"2016 - kw","N/A")))</f>
        <v>N/A</v>
      </c>
      <c r="C298" s="611"/>
      <c r="D298" s="646" t="str">
        <f>D297 &amp; "kW"</f>
        <v>kW</v>
      </c>
      <c r="E298" s="702" t="s">
        <v>155</v>
      </c>
      <c r="F298" s="753"/>
      <c r="G298" s="753"/>
      <c r="H298" s="753"/>
      <c r="I298" s="753"/>
      <c r="J298" s="753"/>
      <c r="K298" s="753"/>
      <c r="L298" s="753"/>
      <c r="M298" s="753"/>
      <c r="N298" s="753"/>
      <c r="O298" s="753"/>
      <c r="P298" s="706"/>
      <c r="Q298" s="706"/>
      <c r="R298" s="706"/>
      <c r="S298" s="706"/>
      <c r="T298" s="706"/>
      <c r="U298" s="706"/>
      <c r="V298" s="706"/>
      <c r="Z298" s="833"/>
      <c r="AA298" s="833" t="str">
        <f>IF(AND(F299=G299,H299=I299,F299="A"),"2016 - kw","")</f>
        <v/>
      </c>
      <c r="AB298" s="833" t="str">
        <f>IF(OR(B298="2017 - kw",B298="2018 - kw"),"2016 - kw","")</f>
        <v/>
      </c>
      <c r="AC298" s="833"/>
      <c r="AD298" s="833"/>
      <c r="AE298" s="833"/>
    </row>
    <row r="299" spans="1:31" s="636" customFormat="1" hidden="1" x14ac:dyDescent="0.3">
      <c r="A299" s="706"/>
      <c r="B299" s="706"/>
      <c r="C299" s="614"/>
      <c r="D299" s="700"/>
      <c r="E299" s="701" t="s">
        <v>2120</v>
      </c>
      <c r="F299" s="752"/>
      <c r="G299" s="752"/>
      <c r="H299" s="752"/>
      <c r="I299" s="752"/>
      <c r="J299" s="752"/>
      <c r="K299" s="752"/>
      <c r="L299" s="752"/>
      <c r="M299" s="752"/>
      <c r="N299" s="752"/>
      <c r="O299" s="752"/>
      <c r="P299" s="706"/>
      <c r="Q299" s="706"/>
      <c r="R299" s="706"/>
      <c r="S299" s="706"/>
      <c r="T299" s="706"/>
      <c r="U299" s="706"/>
      <c r="V299" s="706"/>
      <c r="Z299" s="833"/>
      <c r="AA299" s="833"/>
      <c r="AB299" s="833"/>
      <c r="AC299" s="833"/>
      <c r="AD299" s="833"/>
      <c r="AE299" s="833"/>
    </row>
    <row r="300" spans="1:31" s="636" customFormat="1" hidden="1" x14ac:dyDescent="0.3">
      <c r="A300" s="706" t="str">
        <f>IF(AND(F302=G302,H302=I302,J302=K302,F302="A"),"2016 - kwh",IF(AND(F302=G302,H302=I302,J302&lt;&gt;K302,F302="A"),"2017 - kwh",IF(AND(F302=G302,H302&lt;&gt;I302,F302="A"),"2018 - kwh","N/A")))</f>
        <v>N/A</v>
      </c>
      <c r="B300" s="706" t="str">
        <f>IF(F302&lt;&gt;G302,"2018 - kwh",IF(H302&lt;&gt;I302,"2017 - kwh",IF(J302&lt;&gt;K302,"2016 - kwh","N/A")))</f>
        <v>N/A</v>
      </c>
      <c r="C300" s="610" t="s">
        <v>2228</v>
      </c>
      <c r="D300" s="754"/>
      <c r="E300" s="703" t="s">
        <v>154</v>
      </c>
      <c r="F300" s="753"/>
      <c r="G300" s="753"/>
      <c r="H300" s="753"/>
      <c r="I300" s="753"/>
      <c r="J300" s="753"/>
      <c r="K300" s="753"/>
      <c r="L300" s="753"/>
      <c r="M300" s="753"/>
      <c r="N300" s="753"/>
      <c r="O300" s="753"/>
      <c r="P300" s="706"/>
      <c r="Q300" s="706"/>
      <c r="R300" s="706"/>
      <c r="S300" s="706"/>
      <c r="T300" s="706"/>
      <c r="U300" s="706"/>
      <c r="V300" s="706"/>
      <c r="Z300" s="833"/>
      <c r="AA300" s="833" t="str">
        <f>IF(AND(F302=G302,H302=I302,F302="A"),"2016 - kwh","")</f>
        <v/>
      </c>
      <c r="AB300" s="833" t="str">
        <f>IF(OR(B300="2017 - kwh",B300="2018 - kwh"),"2016 - kwh","")</f>
        <v/>
      </c>
      <c r="AC300" s="833"/>
      <c r="AD300" s="833"/>
      <c r="AE300" s="833"/>
    </row>
    <row r="301" spans="1:31" s="636" customFormat="1" hidden="1" x14ac:dyDescent="0.3">
      <c r="A301" s="706" t="str">
        <f>IF(AND(F302=G302,H302=I302,J302=K302,F302="A"),"2016 - kw",IF(AND(F302=G302,H302=I302,J302&lt;&gt;K302,F302="A"),"2017 - kw",IF(AND(F302=G302,H302&lt;&gt;I302,F302="A"),"2018 - kw","N/A")))</f>
        <v>N/A</v>
      </c>
      <c r="B301" s="706" t="str">
        <f>IF(F302&lt;&gt;G302,"2018 - kw",IF(H302&lt;&gt;I302,"2017 - kw",IF(J302&lt;&gt;K302,"2016 - kw","N/A")))</f>
        <v>N/A</v>
      </c>
      <c r="C301" s="611"/>
      <c r="D301" s="646" t="str">
        <f>D300 &amp; "kW"</f>
        <v>kW</v>
      </c>
      <c r="E301" s="702" t="s">
        <v>155</v>
      </c>
      <c r="F301" s="753"/>
      <c r="G301" s="753"/>
      <c r="H301" s="753"/>
      <c r="I301" s="753"/>
      <c r="J301" s="753"/>
      <c r="K301" s="753"/>
      <c r="L301" s="753"/>
      <c r="M301" s="753"/>
      <c r="N301" s="753"/>
      <c r="O301" s="753"/>
      <c r="P301" s="706"/>
      <c r="Q301" s="706"/>
      <c r="R301" s="706"/>
      <c r="S301" s="706"/>
      <c r="T301" s="706"/>
      <c r="U301" s="706"/>
      <c r="V301" s="706"/>
      <c r="Z301" s="833"/>
      <c r="AA301" s="833" t="str">
        <f>IF(AND(F302=G302,H302=I302,F302="A"),"2016 - kw","")</f>
        <v/>
      </c>
      <c r="AB301" s="833" t="str">
        <f>IF(OR(B301="2017 - kw",B301="2018 - kw"),"2016 - kw","")</f>
        <v/>
      </c>
      <c r="AC301" s="833"/>
      <c r="AD301" s="833"/>
      <c r="AE301" s="833"/>
    </row>
    <row r="302" spans="1:31" s="636" customFormat="1" hidden="1" x14ac:dyDescent="0.3">
      <c r="A302" s="706"/>
      <c r="B302" s="706"/>
      <c r="C302" s="614"/>
      <c r="D302" s="700"/>
      <c r="E302" s="701" t="s">
        <v>2120</v>
      </c>
      <c r="F302" s="752"/>
      <c r="G302" s="752"/>
      <c r="H302" s="752"/>
      <c r="I302" s="752"/>
      <c r="J302" s="752"/>
      <c r="K302" s="752"/>
      <c r="L302" s="752"/>
      <c r="M302" s="752"/>
      <c r="N302" s="752"/>
      <c r="O302" s="752"/>
      <c r="P302" s="706"/>
      <c r="Q302" s="706"/>
      <c r="R302" s="706"/>
      <c r="S302" s="706"/>
      <c r="T302" s="706"/>
      <c r="U302" s="706"/>
      <c r="V302" s="706"/>
      <c r="Z302" s="833"/>
      <c r="AA302" s="833"/>
      <c r="AB302" s="833"/>
      <c r="AC302" s="833"/>
      <c r="AD302" s="833"/>
      <c r="AE302" s="833"/>
    </row>
    <row r="303" spans="1:31" s="636" customFormat="1" hidden="1" x14ac:dyDescent="0.3">
      <c r="A303" s="706" t="str">
        <f>IF(AND(F305=G305,H305=I305,J305=K305,F305="A"),"2016 - kwh",IF(AND(F305=G305,H305=I305,J305&lt;&gt;K305,F305="A"),"2017 - kwh",IF(AND(F305=G305,H305&lt;&gt;I305,F305="A"),"2018 - kwh","N/A")))</f>
        <v>N/A</v>
      </c>
      <c r="B303" s="706" t="str">
        <f>IF(F305&lt;&gt;G305,"2018 - kwh",IF(H305&lt;&gt;I305,"2017 - kwh",IF(J305&lt;&gt;K305,"2016 - kwh","N/A")))</f>
        <v>N/A</v>
      </c>
      <c r="C303" s="610" t="s">
        <v>2229</v>
      </c>
      <c r="D303" s="754"/>
      <c r="E303" s="703" t="s">
        <v>154</v>
      </c>
      <c r="F303" s="753"/>
      <c r="G303" s="753"/>
      <c r="H303" s="753"/>
      <c r="I303" s="753"/>
      <c r="J303" s="753"/>
      <c r="K303" s="753"/>
      <c r="L303" s="753"/>
      <c r="M303" s="753"/>
      <c r="N303" s="753"/>
      <c r="O303" s="753"/>
      <c r="P303" s="706"/>
      <c r="Q303" s="706"/>
      <c r="R303" s="706"/>
      <c r="S303" s="706"/>
      <c r="T303" s="706"/>
      <c r="U303" s="706"/>
      <c r="V303" s="706"/>
      <c r="Z303" s="833"/>
      <c r="AA303" s="833" t="str">
        <f>IF(AND(F305=G305,H305=I305,F305="A"),"2016 - kwh","")</f>
        <v/>
      </c>
      <c r="AB303" s="833" t="str">
        <f>IF(OR(B303="2017 - kwh",B303="2018 - kwh"),"2016 - kwh","")</f>
        <v/>
      </c>
      <c r="AC303" s="833"/>
      <c r="AD303" s="833"/>
      <c r="AE303" s="833"/>
    </row>
    <row r="304" spans="1:31" s="636" customFormat="1" hidden="1" x14ac:dyDescent="0.3">
      <c r="A304" s="706" t="str">
        <f>IF(AND(F305=G305,H305=I305,J305=K305,F305="A"),"2016 - kw",IF(AND(F305=G305,H305=I305,J305&lt;&gt;K305,F305="A"),"2017 - kw",IF(AND(F305=G305,H305&lt;&gt;I305,F305="A"),"2018 - kw","N/A")))</f>
        <v>N/A</v>
      </c>
      <c r="B304" s="706" t="str">
        <f>IF(F305&lt;&gt;G305,"2018 - kw",IF(H305&lt;&gt;I305,"2017 - kw",IF(J305&lt;&gt;K305,"2016 - kw","N/A")))</f>
        <v>N/A</v>
      </c>
      <c r="C304" s="611"/>
      <c r="D304" s="646" t="str">
        <f>D303 &amp; "kW"</f>
        <v>kW</v>
      </c>
      <c r="E304" s="702" t="s">
        <v>155</v>
      </c>
      <c r="F304" s="753"/>
      <c r="G304" s="753"/>
      <c r="H304" s="753"/>
      <c r="I304" s="753"/>
      <c r="J304" s="753"/>
      <c r="K304" s="753"/>
      <c r="L304" s="753"/>
      <c r="M304" s="753"/>
      <c r="N304" s="753"/>
      <c r="O304" s="753"/>
      <c r="P304" s="706"/>
      <c r="Q304" s="706"/>
      <c r="R304" s="706"/>
      <c r="S304" s="706"/>
      <c r="T304" s="706"/>
      <c r="U304" s="706"/>
      <c r="V304" s="706"/>
      <c r="Z304" s="833"/>
      <c r="AA304" s="833" t="str">
        <f>IF(AND(F305=G305,H305=I305,F305="A"),"2016 - kw","")</f>
        <v/>
      </c>
      <c r="AB304" s="833" t="str">
        <f>IF(OR(B304="2017 - kw",B304="2018 - kw"),"2016 - kw","")</f>
        <v/>
      </c>
      <c r="AC304" s="833"/>
      <c r="AD304" s="833"/>
      <c r="AE304" s="833"/>
    </row>
    <row r="305" spans="1:31" s="636" customFormat="1" hidden="1" x14ac:dyDescent="0.3">
      <c r="A305" s="706"/>
      <c r="B305" s="706"/>
      <c r="C305" s="614"/>
      <c r="D305" s="700"/>
      <c r="E305" s="701" t="s">
        <v>2120</v>
      </c>
      <c r="F305" s="752"/>
      <c r="G305" s="752"/>
      <c r="H305" s="752"/>
      <c r="I305" s="752"/>
      <c r="J305" s="752"/>
      <c r="K305" s="752"/>
      <c r="L305" s="752"/>
      <c r="M305" s="752"/>
      <c r="N305" s="752"/>
      <c r="O305" s="752"/>
      <c r="P305" s="706"/>
      <c r="Q305" s="706"/>
      <c r="R305" s="706"/>
      <c r="S305" s="706"/>
      <c r="T305" s="706"/>
      <c r="U305" s="706"/>
      <c r="V305" s="706"/>
      <c r="Z305" s="833"/>
      <c r="AA305" s="833"/>
      <c r="AB305" s="833"/>
      <c r="AC305" s="833"/>
      <c r="AD305" s="833"/>
      <c r="AE305" s="833"/>
    </row>
    <row r="306" spans="1:31" s="636" customFormat="1" hidden="1" x14ac:dyDescent="0.3">
      <c r="A306" s="706" t="str">
        <f>IF(AND(F308=G308,H308=I308,J308=K308,F308="A"),"2016 - kwh",IF(AND(F308=G308,H308=I308,J308&lt;&gt;K308,F308="A"),"2017 - kwh",IF(AND(F308=G308,H308&lt;&gt;I308,F308="A"),"2018 - kwh","N/A")))</f>
        <v>N/A</v>
      </c>
      <c r="B306" s="706" t="str">
        <f>IF(F308&lt;&gt;G308,"2018 - kwh",IF(H308&lt;&gt;I308,"2017 - kwh",IF(J308&lt;&gt;K308,"2016 - kwh","N/A")))</f>
        <v>N/A</v>
      </c>
      <c r="C306" s="610" t="s">
        <v>2230</v>
      </c>
      <c r="D306" s="754"/>
      <c r="E306" s="703" t="s">
        <v>154</v>
      </c>
      <c r="F306" s="753"/>
      <c r="G306" s="753"/>
      <c r="H306" s="753"/>
      <c r="I306" s="753"/>
      <c r="J306" s="753"/>
      <c r="K306" s="753"/>
      <c r="L306" s="753"/>
      <c r="M306" s="753"/>
      <c r="N306" s="753"/>
      <c r="O306" s="753"/>
      <c r="P306" s="706"/>
      <c r="Q306" s="706"/>
      <c r="R306" s="706"/>
      <c r="S306" s="706"/>
      <c r="T306" s="706"/>
      <c r="U306" s="706"/>
      <c r="V306" s="706"/>
      <c r="Z306" s="833"/>
      <c r="AA306" s="833" t="str">
        <f>IF(AND(F308=G308,H308=I308,F308="A"),"2016 - kwh","")</f>
        <v/>
      </c>
      <c r="AB306" s="833" t="str">
        <f>IF(OR(B306="2017 - kwh",B306="2018 - kwh"),"2016 - kwh","")</f>
        <v/>
      </c>
      <c r="AC306" s="833"/>
      <c r="AD306" s="833"/>
      <c r="AE306" s="833"/>
    </row>
    <row r="307" spans="1:31" s="636" customFormat="1" hidden="1" x14ac:dyDescent="0.3">
      <c r="A307" s="706" t="str">
        <f>IF(AND(F308=G308,H308=I308,J308=K308,F308="A"),"2016 - kw",IF(AND(F308=G308,H308=I308,J308&lt;&gt;K308,F308="A"),"2017 - kw",IF(AND(F308=G308,H308&lt;&gt;I308,F308="A"),"2018 - kw","N/A")))</f>
        <v>N/A</v>
      </c>
      <c r="B307" s="706" t="str">
        <f>IF(F308&lt;&gt;G308,"2018 - kw",IF(H308&lt;&gt;I308,"2017 - kw",IF(J308&lt;&gt;K308,"2016 - kw","N/A")))</f>
        <v>N/A</v>
      </c>
      <c r="C307" s="611"/>
      <c r="D307" s="646" t="str">
        <f>D306 &amp; "kW"</f>
        <v>kW</v>
      </c>
      <c r="E307" s="702" t="s">
        <v>155</v>
      </c>
      <c r="F307" s="753"/>
      <c r="G307" s="753"/>
      <c r="H307" s="753"/>
      <c r="I307" s="753"/>
      <c r="J307" s="753"/>
      <c r="K307" s="753"/>
      <c r="L307" s="753"/>
      <c r="M307" s="753"/>
      <c r="N307" s="753"/>
      <c r="O307" s="753"/>
      <c r="P307" s="706"/>
      <c r="Q307" s="706"/>
      <c r="R307" s="706"/>
      <c r="S307" s="706"/>
      <c r="T307" s="706"/>
      <c r="U307" s="706"/>
      <c r="V307" s="706"/>
      <c r="Z307" s="833"/>
      <c r="AA307" s="833" t="str">
        <f>IF(AND(F308=G308,H308=I308,F308="A"),"2016 - kw","")</f>
        <v/>
      </c>
      <c r="AB307" s="833" t="str">
        <f>IF(OR(B307="2017 - kw",B307="2018 - kw"),"2016 - kw","")</f>
        <v/>
      </c>
      <c r="AC307" s="833"/>
      <c r="AD307" s="833"/>
      <c r="AE307" s="833"/>
    </row>
    <row r="308" spans="1:31" s="636" customFormat="1" hidden="1" x14ac:dyDescent="0.3">
      <c r="A308" s="706"/>
      <c r="B308" s="706"/>
      <c r="C308" s="614"/>
      <c r="D308" s="700"/>
      <c r="E308" s="701" t="s">
        <v>2120</v>
      </c>
      <c r="F308" s="752"/>
      <c r="G308" s="752"/>
      <c r="H308" s="752"/>
      <c r="I308" s="752"/>
      <c r="J308" s="752"/>
      <c r="K308" s="752"/>
      <c r="L308" s="752"/>
      <c r="M308" s="752"/>
      <c r="N308" s="752"/>
      <c r="O308" s="752"/>
      <c r="P308" s="706"/>
      <c r="Q308" s="706"/>
      <c r="R308" s="706"/>
      <c r="S308" s="706"/>
      <c r="T308" s="706"/>
      <c r="U308" s="706"/>
      <c r="V308" s="706"/>
      <c r="Z308" s="833"/>
      <c r="AA308" s="833"/>
      <c r="AB308" s="833"/>
      <c r="AC308" s="833"/>
      <c r="AD308" s="833"/>
      <c r="AE308" s="833"/>
    </row>
    <row r="309" spans="1:31" s="636" customFormat="1" hidden="1" x14ac:dyDescent="0.3">
      <c r="A309" s="706" t="str">
        <f>IF(AND(F311=G311,H311=I311,J311=K311,F311="A"),"2016 - kwh",IF(AND(F311=G311,H311=I311,J311&lt;&gt;K311,F311="A"),"2017 - kwh",IF(AND(F311=G311,H311&lt;&gt;I311,F311="A"),"2018 - kwh","N/A")))</f>
        <v>N/A</v>
      </c>
      <c r="B309" s="706" t="str">
        <f>IF(F311&lt;&gt;G311,"2018 - kwh",IF(H311&lt;&gt;I311,"2017 - kwh",IF(J311&lt;&gt;K311,"2016 - kwh","N/A")))</f>
        <v>N/A</v>
      </c>
      <c r="C309" s="610" t="s">
        <v>2231</v>
      </c>
      <c r="D309" s="754"/>
      <c r="E309" s="703" t="s">
        <v>154</v>
      </c>
      <c r="F309" s="753"/>
      <c r="G309" s="753"/>
      <c r="H309" s="753"/>
      <c r="I309" s="753"/>
      <c r="J309" s="753"/>
      <c r="K309" s="753"/>
      <c r="L309" s="753"/>
      <c r="M309" s="753"/>
      <c r="N309" s="753"/>
      <c r="O309" s="753"/>
      <c r="P309" s="706"/>
      <c r="Q309" s="706"/>
      <c r="R309" s="706"/>
      <c r="S309" s="706"/>
      <c r="T309" s="706"/>
      <c r="U309" s="706"/>
      <c r="V309" s="706"/>
      <c r="Z309" s="833"/>
      <c r="AA309" s="833" t="str">
        <f>IF(AND(F311=G311,H311=I311,F311="A"),"2016 - kwh","")</f>
        <v/>
      </c>
      <c r="AB309" s="833" t="str">
        <f>IF(OR(B309="2017 - kwh",B309="2018 - kwh"),"2016 - kwh","")</f>
        <v/>
      </c>
      <c r="AC309" s="833"/>
      <c r="AD309" s="833"/>
      <c r="AE309" s="833"/>
    </row>
    <row r="310" spans="1:31" s="636" customFormat="1" hidden="1" x14ac:dyDescent="0.3">
      <c r="A310" s="706" t="str">
        <f>IF(AND(F311=G311,H311=I311,J311=K311,F311="A"),"2016 - kw",IF(AND(F311=G311,H311=I311,J311&lt;&gt;K311,F311="A"),"2017 - kw",IF(AND(F311=G311,H311&lt;&gt;I311,F311="A"),"2018 - kw","N/A")))</f>
        <v>N/A</v>
      </c>
      <c r="B310" s="706" t="str">
        <f>IF(F311&lt;&gt;G311,"2018 - kw",IF(H311&lt;&gt;I311,"2017 - kw",IF(J311&lt;&gt;K311,"2016 - kw","N/A")))</f>
        <v>N/A</v>
      </c>
      <c r="C310" s="611"/>
      <c r="D310" s="646" t="str">
        <f>D309 &amp; "kW"</f>
        <v>kW</v>
      </c>
      <c r="E310" s="702" t="s">
        <v>155</v>
      </c>
      <c r="F310" s="753"/>
      <c r="G310" s="753"/>
      <c r="H310" s="753"/>
      <c r="I310" s="753"/>
      <c r="J310" s="753"/>
      <c r="K310" s="753"/>
      <c r="L310" s="753"/>
      <c r="M310" s="753"/>
      <c r="N310" s="753"/>
      <c r="O310" s="753"/>
      <c r="P310" s="706"/>
      <c r="Q310" s="706"/>
      <c r="R310" s="706"/>
      <c r="S310" s="706"/>
      <c r="T310" s="706"/>
      <c r="U310" s="706"/>
      <c r="V310" s="706"/>
      <c r="Z310" s="833"/>
      <c r="AA310" s="833" t="str">
        <f>IF(AND(F311=G311,H311=I311,F311="A"),"2016 - kw","")</f>
        <v/>
      </c>
      <c r="AB310" s="833" t="str">
        <f>IF(OR(B310="2017 - kw",B310="2018 - kw"),"2016 - kw","")</f>
        <v/>
      </c>
      <c r="AC310" s="833"/>
      <c r="AD310" s="833"/>
      <c r="AE310" s="833"/>
    </row>
    <row r="311" spans="1:31" s="636" customFormat="1" hidden="1" x14ac:dyDescent="0.3">
      <c r="A311" s="706"/>
      <c r="B311" s="706"/>
      <c r="C311" s="614"/>
      <c r="D311" s="700"/>
      <c r="E311" s="701" t="s">
        <v>2120</v>
      </c>
      <c r="F311" s="752"/>
      <c r="G311" s="752"/>
      <c r="H311" s="752"/>
      <c r="I311" s="752"/>
      <c r="J311" s="752"/>
      <c r="K311" s="752"/>
      <c r="L311" s="752"/>
      <c r="M311" s="752"/>
      <c r="N311" s="752"/>
      <c r="O311" s="752"/>
      <c r="P311" s="706"/>
      <c r="Q311" s="706"/>
      <c r="R311" s="706"/>
      <c r="S311" s="706"/>
      <c r="T311" s="706"/>
      <c r="U311" s="706"/>
      <c r="V311" s="706"/>
      <c r="Z311" s="833"/>
      <c r="AA311" s="833"/>
      <c r="AB311" s="833"/>
      <c r="AC311" s="833"/>
      <c r="AD311" s="833"/>
      <c r="AE311" s="833"/>
    </row>
    <row r="312" spans="1:31" s="636" customFormat="1" hidden="1" x14ac:dyDescent="0.3">
      <c r="A312" s="706" t="str">
        <f>IF(AND(F314=G314,H314=I314,J314=K314,F314="A"),"2016 - kwh",IF(AND(F314=G314,H314=I314,J314&lt;&gt;K314,F314="A"),"2017 - kwh",IF(AND(F314=G314,H314&lt;&gt;I314,F314="A"),"2018 - kwh","N/A")))</f>
        <v>N/A</v>
      </c>
      <c r="B312" s="706" t="str">
        <f>IF(F314&lt;&gt;G314,"2018 - kwh",IF(H314&lt;&gt;I314,"2017 - kwh",IF(J314&lt;&gt;K314,"2016 - kwh","N/A")))</f>
        <v>N/A</v>
      </c>
      <c r="C312" s="610" t="s">
        <v>2232</v>
      </c>
      <c r="D312" s="754"/>
      <c r="E312" s="703" t="s">
        <v>154</v>
      </c>
      <c r="F312" s="753"/>
      <c r="G312" s="753"/>
      <c r="H312" s="753"/>
      <c r="I312" s="753"/>
      <c r="J312" s="753"/>
      <c r="K312" s="753"/>
      <c r="L312" s="753"/>
      <c r="M312" s="753"/>
      <c r="N312" s="753"/>
      <c r="O312" s="753"/>
      <c r="P312" s="706"/>
      <c r="Q312" s="706"/>
      <c r="R312" s="706"/>
      <c r="S312" s="706"/>
      <c r="T312" s="706"/>
      <c r="U312" s="706"/>
      <c r="V312" s="706"/>
      <c r="Z312" s="833"/>
      <c r="AA312" s="833" t="str">
        <f>IF(AND(F314=G314,H314=I314,F314="A"),"2016 - kwh","")</f>
        <v/>
      </c>
      <c r="AB312" s="833" t="str">
        <f>IF(OR(B312="2017 - kwh",B312="2018 - kwh"),"2016 - kwh","")</f>
        <v/>
      </c>
      <c r="AC312" s="833"/>
      <c r="AD312" s="833"/>
      <c r="AE312" s="833"/>
    </row>
    <row r="313" spans="1:31" s="636" customFormat="1" hidden="1" x14ac:dyDescent="0.3">
      <c r="A313" s="706" t="str">
        <f>IF(AND(F314=G314,H314=I314,J314=K314,F314="A"),"2016 - kw",IF(AND(F314=G314,H314=I314,J314&lt;&gt;K314,F314="A"),"2017 - kw",IF(AND(F314=G314,H314&lt;&gt;I314,F314="A"),"2018 - kw","N/A")))</f>
        <v>N/A</v>
      </c>
      <c r="B313" s="706" t="str">
        <f>IF(F314&lt;&gt;G314,"2018 - kw",IF(H314&lt;&gt;I314,"2017 - kw",IF(J314&lt;&gt;K314,"2016 - kw","N/A")))</f>
        <v>N/A</v>
      </c>
      <c r="C313" s="611"/>
      <c r="D313" s="646" t="str">
        <f>D312 &amp; "kW"</f>
        <v>kW</v>
      </c>
      <c r="E313" s="702" t="s">
        <v>155</v>
      </c>
      <c r="F313" s="753"/>
      <c r="G313" s="753"/>
      <c r="H313" s="753"/>
      <c r="I313" s="753"/>
      <c r="J313" s="753"/>
      <c r="K313" s="753"/>
      <c r="L313" s="753"/>
      <c r="M313" s="753"/>
      <c r="N313" s="753"/>
      <c r="O313" s="753"/>
      <c r="P313" s="706"/>
      <c r="Q313" s="706"/>
      <c r="R313" s="706"/>
      <c r="S313" s="706"/>
      <c r="T313" s="706"/>
      <c r="U313" s="706"/>
      <c r="V313" s="706"/>
      <c r="Z313" s="833"/>
      <c r="AA313" s="833" t="str">
        <f>IF(AND(F314=G314,H314=I314,F314="A"),"2016 - kw","")</f>
        <v/>
      </c>
      <c r="AB313" s="833" t="str">
        <f>IF(OR(B313="2017 - kw",B313="2018 - kw"),"2016 - kw","")</f>
        <v/>
      </c>
      <c r="AC313" s="833"/>
      <c r="AD313" s="833"/>
      <c r="AE313" s="833"/>
    </row>
    <row r="314" spans="1:31" s="636" customFormat="1" hidden="1" x14ac:dyDescent="0.3">
      <c r="A314" s="706"/>
      <c r="B314" s="706"/>
      <c r="C314" s="614"/>
      <c r="D314" s="700"/>
      <c r="E314" s="701" t="s">
        <v>2120</v>
      </c>
      <c r="F314" s="752"/>
      <c r="G314" s="752"/>
      <c r="H314" s="752"/>
      <c r="I314" s="752"/>
      <c r="J314" s="752"/>
      <c r="K314" s="752"/>
      <c r="L314" s="752"/>
      <c r="M314" s="752"/>
      <c r="N314" s="752"/>
      <c r="O314" s="752"/>
      <c r="P314" s="706"/>
      <c r="Q314" s="706"/>
      <c r="R314" s="706"/>
      <c r="S314" s="706"/>
      <c r="T314" s="706"/>
      <c r="U314" s="706"/>
      <c r="V314" s="706"/>
      <c r="Z314" s="833"/>
      <c r="AA314" s="833"/>
      <c r="AB314" s="833"/>
      <c r="AC314" s="833"/>
      <c r="AD314" s="833"/>
      <c r="AE314" s="833"/>
    </row>
    <row r="315" spans="1:31" s="636" customFormat="1" hidden="1" x14ac:dyDescent="0.3">
      <c r="A315" s="706" t="str">
        <f>IF(AND(F317=G317,H317=I317,J317=K317,F317="A"),"2016 - kwh",IF(AND(F317=G317,H317=I317,J317&lt;&gt;K317,F317="A"),"2017 - kwh",IF(AND(F317=G317,H317&lt;&gt;I317,F317="A"),"2018 - kwh","N/A")))</f>
        <v>N/A</v>
      </c>
      <c r="B315" s="706" t="str">
        <f>IF(F317&lt;&gt;G317,"2018 - kwh",IF(H317&lt;&gt;I317,"2017 - kwh",IF(J317&lt;&gt;K317,"2016 - kwh","N/A")))</f>
        <v>N/A</v>
      </c>
      <c r="C315" s="610" t="s">
        <v>2233</v>
      </c>
      <c r="D315" s="754"/>
      <c r="E315" s="703" t="s">
        <v>154</v>
      </c>
      <c r="F315" s="753"/>
      <c r="G315" s="753"/>
      <c r="H315" s="753"/>
      <c r="I315" s="753"/>
      <c r="J315" s="753"/>
      <c r="K315" s="753"/>
      <c r="L315" s="753"/>
      <c r="M315" s="753"/>
      <c r="N315" s="753"/>
      <c r="O315" s="753"/>
      <c r="P315" s="706"/>
      <c r="Q315" s="706"/>
      <c r="R315" s="706"/>
      <c r="S315" s="706"/>
      <c r="T315" s="706"/>
      <c r="U315" s="706"/>
      <c r="V315" s="706"/>
      <c r="Z315" s="833"/>
      <c r="AA315" s="833" t="str">
        <f>IF(AND(F317=G317,H317=I317,F317="A"),"2016 - kwh","")</f>
        <v/>
      </c>
      <c r="AB315" s="833" t="str">
        <f>IF(OR(B315="2017 - kwh",B315="2018 - kwh"),"2016 - kwh","")</f>
        <v/>
      </c>
      <c r="AC315" s="833"/>
      <c r="AD315" s="833"/>
      <c r="AE315" s="833"/>
    </row>
    <row r="316" spans="1:31" s="636" customFormat="1" hidden="1" x14ac:dyDescent="0.3">
      <c r="A316" s="706" t="str">
        <f>IF(AND(F317=G317,H317=I317,J317=K317,F317="A"),"2016 - kw",IF(AND(F317=G317,H317=I317,J317&lt;&gt;K317,F317="A"),"2017 - kw",IF(AND(F317=G317,H317&lt;&gt;I317,F317="A"),"2018 - kw","N/A")))</f>
        <v>N/A</v>
      </c>
      <c r="B316" s="706" t="str">
        <f>IF(F317&lt;&gt;G317,"2018 - kw",IF(H317&lt;&gt;I317,"2017 - kw",IF(J317&lt;&gt;K317,"2016 - kw","N/A")))</f>
        <v>N/A</v>
      </c>
      <c r="C316" s="611"/>
      <c r="D316" s="646" t="str">
        <f>D315 &amp; "kW"</f>
        <v>kW</v>
      </c>
      <c r="E316" s="702" t="s">
        <v>155</v>
      </c>
      <c r="F316" s="753"/>
      <c r="G316" s="753"/>
      <c r="H316" s="753"/>
      <c r="I316" s="753"/>
      <c r="J316" s="753"/>
      <c r="K316" s="753"/>
      <c r="L316" s="753"/>
      <c r="M316" s="753"/>
      <c r="N316" s="753"/>
      <c r="O316" s="753"/>
      <c r="P316" s="706"/>
      <c r="Q316" s="706"/>
      <c r="R316" s="706"/>
      <c r="S316" s="706"/>
      <c r="T316" s="706"/>
      <c r="U316" s="706"/>
      <c r="V316" s="706"/>
      <c r="Z316" s="833"/>
      <c r="AA316" s="833" t="str">
        <f>IF(AND(F317=G317,H317=I317,F317="A"),"2016 - kw","")</f>
        <v/>
      </c>
      <c r="AB316" s="833" t="str">
        <f>IF(OR(B316="2017 - kw",B316="2018 - kw"),"2016 - kw","")</f>
        <v/>
      </c>
      <c r="AC316" s="833"/>
      <c r="AD316" s="833"/>
      <c r="AE316" s="833"/>
    </row>
    <row r="317" spans="1:31" s="636" customFormat="1" hidden="1" x14ac:dyDescent="0.3">
      <c r="A317" s="706"/>
      <c r="B317" s="706"/>
      <c r="C317" s="614"/>
      <c r="D317" s="700"/>
      <c r="E317" s="701" t="s">
        <v>2120</v>
      </c>
      <c r="F317" s="752"/>
      <c r="G317" s="752"/>
      <c r="H317" s="752"/>
      <c r="I317" s="752"/>
      <c r="J317" s="752"/>
      <c r="K317" s="752"/>
      <c r="L317" s="752"/>
      <c r="M317" s="752"/>
      <c r="N317" s="752"/>
      <c r="O317" s="752"/>
      <c r="P317" s="706"/>
      <c r="Q317" s="706"/>
      <c r="R317" s="706"/>
      <c r="S317" s="706"/>
      <c r="T317" s="706"/>
      <c r="U317" s="706"/>
      <c r="V317" s="706"/>
      <c r="Z317" s="833"/>
      <c r="AA317" s="833"/>
      <c r="AB317" s="833"/>
      <c r="AC317" s="833"/>
      <c r="AD317" s="833"/>
      <c r="AE317" s="833"/>
    </row>
    <row r="318" spans="1:31" s="636" customFormat="1" hidden="1" x14ac:dyDescent="0.3">
      <c r="A318" s="706" t="str">
        <f>IF(AND(F320=G320,H320=I320,J320=K320,F320="A"),"2016 - kwh",IF(AND(F320=G320,H320=I320,J320&lt;&gt;K320,F320="A"),"2017 - kwh",IF(AND(F320=G320,H320&lt;&gt;I320,F320="A"),"2018 - kwh","N/A")))</f>
        <v>N/A</v>
      </c>
      <c r="B318" s="706" t="str">
        <f>IF(F320&lt;&gt;G320,"2018 - kwh",IF(H320&lt;&gt;I320,"2017 - kwh",IF(J320&lt;&gt;K320,"2016 - kwh","N/A")))</f>
        <v>N/A</v>
      </c>
      <c r="C318" s="610" t="s">
        <v>2234</v>
      </c>
      <c r="D318" s="754"/>
      <c r="E318" s="703" t="s">
        <v>154</v>
      </c>
      <c r="F318" s="753"/>
      <c r="G318" s="753"/>
      <c r="H318" s="753"/>
      <c r="I318" s="753"/>
      <c r="J318" s="753"/>
      <c r="K318" s="753"/>
      <c r="L318" s="753"/>
      <c r="M318" s="753"/>
      <c r="N318" s="753"/>
      <c r="O318" s="753"/>
      <c r="P318" s="706"/>
      <c r="Q318" s="706"/>
      <c r="R318" s="706"/>
      <c r="S318" s="706"/>
      <c r="T318" s="706"/>
      <c r="U318" s="706"/>
      <c r="V318" s="706"/>
      <c r="Z318" s="833"/>
      <c r="AA318" s="833" t="str">
        <f>IF(AND(F320=G320,H320=I320,F320="A"),"2016 - kwh","")</f>
        <v/>
      </c>
      <c r="AB318" s="833" t="str">
        <f>IF(OR(B318="2017 - kwh",B318="2018 - kwh"),"2016 - kwh","")</f>
        <v/>
      </c>
      <c r="AC318" s="833"/>
      <c r="AD318" s="833"/>
      <c r="AE318" s="833"/>
    </row>
    <row r="319" spans="1:31" s="636" customFormat="1" hidden="1" x14ac:dyDescent="0.3">
      <c r="A319" s="706" t="str">
        <f>IF(AND(F320=G320,H320=I320,J320=K320,F320="A"),"2016 - kw",IF(AND(F320=G320,H320=I320,J320&lt;&gt;K320,F320="A"),"2017 - kw",IF(AND(F320=G320,H320&lt;&gt;I320,F320="A"),"2018 - kw","N/A")))</f>
        <v>N/A</v>
      </c>
      <c r="B319" s="706" t="str">
        <f>IF(F320&lt;&gt;G320,"2018 - kw",IF(H320&lt;&gt;I320,"2017 - kw",IF(J320&lt;&gt;K320,"2016 - kw","N/A")))</f>
        <v>N/A</v>
      </c>
      <c r="C319" s="611"/>
      <c r="D319" s="646" t="str">
        <f>D318 &amp; "kW"</f>
        <v>kW</v>
      </c>
      <c r="E319" s="702" t="s">
        <v>155</v>
      </c>
      <c r="F319" s="753"/>
      <c r="G319" s="753"/>
      <c r="H319" s="753"/>
      <c r="I319" s="753"/>
      <c r="J319" s="753"/>
      <c r="K319" s="753"/>
      <c r="L319" s="753"/>
      <c r="M319" s="753"/>
      <c r="N319" s="753"/>
      <c r="O319" s="753"/>
      <c r="P319" s="706"/>
      <c r="Q319" s="706"/>
      <c r="R319" s="706"/>
      <c r="S319" s="706"/>
      <c r="T319" s="706"/>
      <c r="U319" s="706"/>
      <c r="V319" s="706"/>
      <c r="Z319" s="833"/>
      <c r="AA319" s="833" t="str">
        <f>IF(AND(F320=G320,H320=I320,F320="A"),"2016 - kw","")</f>
        <v/>
      </c>
      <c r="AB319" s="833" t="str">
        <f>IF(OR(B319="2017 - kw",B319="2018 - kw"),"2016 - kw","")</f>
        <v/>
      </c>
      <c r="AC319" s="833"/>
      <c r="AD319" s="833"/>
      <c r="AE319" s="833"/>
    </row>
    <row r="320" spans="1:31" s="636" customFormat="1" hidden="1" x14ac:dyDescent="0.3">
      <c r="A320" s="706"/>
      <c r="B320" s="706"/>
      <c r="C320" s="614"/>
      <c r="D320" s="700"/>
      <c r="E320" s="701" t="s">
        <v>2120</v>
      </c>
      <c r="F320" s="752"/>
      <c r="G320" s="752"/>
      <c r="H320" s="752"/>
      <c r="I320" s="752"/>
      <c r="J320" s="752"/>
      <c r="K320" s="752"/>
      <c r="L320" s="752"/>
      <c r="M320" s="752"/>
      <c r="N320" s="752"/>
      <c r="O320" s="752"/>
      <c r="P320" s="706"/>
      <c r="Q320" s="706"/>
      <c r="R320" s="706"/>
      <c r="S320" s="706"/>
      <c r="T320" s="706"/>
      <c r="U320" s="706"/>
      <c r="V320" s="706"/>
      <c r="Z320" s="833"/>
      <c r="AA320" s="833"/>
      <c r="AB320" s="833"/>
      <c r="AC320" s="833"/>
      <c r="AD320" s="833"/>
      <c r="AE320" s="833"/>
    </row>
    <row r="321" spans="1:31" s="636" customFormat="1" hidden="1" x14ac:dyDescent="0.3">
      <c r="A321" s="706" t="str">
        <f>IF(AND(F323=G323,H323=I323,J323=K323,F323="A"),"2016 - kwh",IF(AND(F323=G323,H323=I323,J323&lt;&gt;K323,F323="A"),"2017 - kwh",IF(AND(F323=G323,H323&lt;&gt;I323,F323="A"),"2018 - kwh","N/A")))</f>
        <v>N/A</v>
      </c>
      <c r="B321" s="706" t="str">
        <f>IF(F323&lt;&gt;G323,"2018 - kwh",IF(H323&lt;&gt;I323,"2017 - kwh",IF(J323&lt;&gt;K323,"2016 - kwh","N/A")))</f>
        <v>N/A</v>
      </c>
      <c r="C321" s="610" t="s">
        <v>2235</v>
      </c>
      <c r="D321" s="754"/>
      <c r="E321" s="703" t="s">
        <v>154</v>
      </c>
      <c r="F321" s="753"/>
      <c r="G321" s="753"/>
      <c r="H321" s="753"/>
      <c r="I321" s="753"/>
      <c r="J321" s="753"/>
      <c r="K321" s="753"/>
      <c r="L321" s="753"/>
      <c r="M321" s="753"/>
      <c r="N321" s="753"/>
      <c r="O321" s="753"/>
      <c r="P321" s="706"/>
      <c r="Q321" s="706"/>
      <c r="R321" s="706"/>
      <c r="S321" s="706"/>
      <c r="T321" s="706"/>
      <c r="U321" s="706"/>
      <c r="V321" s="706"/>
      <c r="Z321" s="833"/>
      <c r="AA321" s="833" t="str">
        <f>IF(AND(F323=G323,H323=I323,F323="A"),"2016 - kwh","")</f>
        <v/>
      </c>
      <c r="AB321" s="833" t="str">
        <f>IF(OR(B321="2017 - kwh",B321="2018 - kwh"),"2016 - kwh","")</f>
        <v/>
      </c>
      <c r="AC321" s="833"/>
      <c r="AD321" s="833"/>
      <c r="AE321" s="833"/>
    </row>
    <row r="322" spans="1:31" s="636" customFormat="1" hidden="1" x14ac:dyDescent="0.3">
      <c r="A322" s="706" t="str">
        <f>IF(AND(F323=G323,H323=I323,J323=K323,F323="A"),"2016 - kw",IF(AND(F323=G323,H323=I323,J323&lt;&gt;K323,F323="A"),"2017 - kw",IF(AND(F323=G323,H323&lt;&gt;I323,F323="A"),"2018 - kw","N/A")))</f>
        <v>N/A</v>
      </c>
      <c r="B322" s="706" t="str">
        <f>IF(F323&lt;&gt;G323,"2018 - kw",IF(H323&lt;&gt;I323,"2017 - kw",IF(J323&lt;&gt;K323,"2016 - kw","N/A")))</f>
        <v>N/A</v>
      </c>
      <c r="C322" s="611"/>
      <c r="D322" s="646" t="str">
        <f>D321 &amp; "kW"</f>
        <v>kW</v>
      </c>
      <c r="E322" s="702" t="s">
        <v>155</v>
      </c>
      <c r="F322" s="753"/>
      <c r="G322" s="753"/>
      <c r="H322" s="753"/>
      <c r="I322" s="753"/>
      <c r="J322" s="753"/>
      <c r="K322" s="753"/>
      <c r="L322" s="753"/>
      <c r="M322" s="753"/>
      <c r="N322" s="753"/>
      <c r="O322" s="753"/>
      <c r="P322" s="706"/>
      <c r="Q322" s="706"/>
      <c r="R322" s="706"/>
      <c r="S322" s="706"/>
      <c r="T322" s="706"/>
      <c r="U322" s="706"/>
      <c r="V322" s="706"/>
      <c r="Z322" s="833"/>
      <c r="AA322" s="833" t="str">
        <f>IF(AND(F323=G323,H323=I323,F323="A"),"2016 - kw","")</f>
        <v/>
      </c>
      <c r="AB322" s="833" t="str">
        <f>IF(OR(B322="2017 - kw",B322="2018 - kw"),"2016 - kw","")</f>
        <v/>
      </c>
      <c r="AC322" s="833"/>
      <c r="AD322" s="833"/>
      <c r="AE322" s="833"/>
    </row>
    <row r="323" spans="1:31" s="636" customFormat="1" hidden="1" x14ac:dyDescent="0.3">
      <c r="A323" s="706"/>
      <c r="B323" s="706"/>
      <c r="C323" s="614"/>
      <c r="D323" s="700"/>
      <c r="E323" s="701" t="s">
        <v>2120</v>
      </c>
      <c r="F323" s="752"/>
      <c r="G323" s="752"/>
      <c r="H323" s="752"/>
      <c r="I323" s="752"/>
      <c r="J323" s="752"/>
      <c r="K323" s="752"/>
      <c r="L323" s="752"/>
      <c r="M323" s="752"/>
      <c r="N323" s="752"/>
      <c r="O323" s="752"/>
      <c r="P323" s="706"/>
      <c r="Q323" s="706"/>
      <c r="R323" s="706"/>
      <c r="S323" s="706"/>
      <c r="T323" s="706"/>
      <c r="U323" s="706"/>
      <c r="V323" s="706"/>
      <c r="Z323" s="833"/>
      <c r="AA323" s="833"/>
      <c r="AB323" s="833"/>
      <c r="AC323" s="833"/>
      <c r="AD323" s="833"/>
      <c r="AE323" s="833"/>
    </row>
    <row r="324" spans="1:31" s="636" customFormat="1" hidden="1" x14ac:dyDescent="0.3">
      <c r="A324" s="706" t="str">
        <f>IF(AND(F326=G326,H326=I326,J326=K326,F326="A"),"2016 - kwh",IF(AND(F326=G326,H326=I326,J326&lt;&gt;K326,F326="A"),"2017 - kwh",IF(AND(F326=G326,H326&lt;&gt;I326,F326="A"),"2018 - kwh","N/A")))</f>
        <v>N/A</v>
      </c>
      <c r="B324" s="706" t="str">
        <f>IF(F326&lt;&gt;G326,"2018 - kwh",IF(H326&lt;&gt;I326,"2017 - kwh",IF(J326&lt;&gt;K326,"2016 - kwh","N/A")))</f>
        <v>N/A</v>
      </c>
      <c r="C324" s="610" t="s">
        <v>2236</v>
      </c>
      <c r="D324" s="754"/>
      <c r="E324" s="703" t="s">
        <v>154</v>
      </c>
      <c r="F324" s="753"/>
      <c r="G324" s="753"/>
      <c r="H324" s="753"/>
      <c r="I324" s="753"/>
      <c r="J324" s="753"/>
      <c r="K324" s="753"/>
      <c r="L324" s="753"/>
      <c r="M324" s="753"/>
      <c r="N324" s="753"/>
      <c r="O324" s="753"/>
      <c r="P324" s="706"/>
      <c r="Q324" s="706"/>
      <c r="R324" s="706"/>
      <c r="S324" s="706"/>
      <c r="T324" s="706"/>
      <c r="U324" s="706"/>
      <c r="V324" s="706"/>
      <c r="Z324" s="833"/>
      <c r="AA324" s="833" t="str">
        <f>IF(AND(F326=G326,H326=I326,F326="A"),"2016 - kwh","")</f>
        <v/>
      </c>
      <c r="AB324" s="833" t="str">
        <f>IF(OR(B324="2017 - kwh",B324="2018 - kwh"),"2016 - kwh","")</f>
        <v/>
      </c>
      <c r="AC324" s="833"/>
      <c r="AD324" s="833"/>
      <c r="AE324" s="833"/>
    </row>
    <row r="325" spans="1:31" s="636" customFormat="1" hidden="1" x14ac:dyDescent="0.3">
      <c r="A325" s="706" t="str">
        <f>IF(AND(F326=G326,H326=I326,J326=K326,F326="A"),"2016 - kw",IF(AND(F326=G326,H326=I326,J326&lt;&gt;K326,F326="A"),"2017 - kw",IF(AND(F326=G326,H326&lt;&gt;I326,F326="A"),"2018 - kw","N/A")))</f>
        <v>N/A</v>
      </c>
      <c r="B325" s="706" t="str">
        <f>IF(F326&lt;&gt;G326,"2018 - kw",IF(H326&lt;&gt;I326,"2017 - kw",IF(J326&lt;&gt;K326,"2016 - kw","N/A")))</f>
        <v>N/A</v>
      </c>
      <c r="C325" s="611"/>
      <c r="D325" s="646" t="str">
        <f>D324 &amp; "kW"</f>
        <v>kW</v>
      </c>
      <c r="E325" s="702" t="s">
        <v>155</v>
      </c>
      <c r="F325" s="753"/>
      <c r="G325" s="753"/>
      <c r="H325" s="753"/>
      <c r="I325" s="753"/>
      <c r="J325" s="753"/>
      <c r="K325" s="753"/>
      <c r="L325" s="753"/>
      <c r="M325" s="753"/>
      <c r="N325" s="753"/>
      <c r="O325" s="753"/>
      <c r="P325" s="706"/>
      <c r="Q325" s="706"/>
      <c r="R325" s="706"/>
      <c r="S325" s="706"/>
      <c r="T325" s="706"/>
      <c r="U325" s="706"/>
      <c r="V325" s="706"/>
      <c r="Z325" s="833"/>
      <c r="AA325" s="833" t="str">
        <f>IF(AND(F326=G326,H326=I326,F326="A"),"2016 - kw","")</f>
        <v/>
      </c>
      <c r="AB325" s="833" t="str">
        <f>IF(OR(B325="2017 - kw",B325="2018 - kw"),"2016 - kw","")</f>
        <v/>
      </c>
      <c r="AC325" s="833"/>
      <c r="AD325" s="833"/>
      <c r="AE325" s="833"/>
    </row>
    <row r="326" spans="1:31" s="636" customFormat="1" hidden="1" x14ac:dyDescent="0.3">
      <c r="A326" s="706"/>
      <c r="B326" s="706"/>
      <c r="C326" s="614"/>
      <c r="D326" s="700"/>
      <c r="E326" s="701" t="s">
        <v>2120</v>
      </c>
      <c r="F326" s="752"/>
      <c r="G326" s="752"/>
      <c r="H326" s="752"/>
      <c r="I326" s="752"/>
      <c r="J326" s="752"/>
      <c r="K326" s="752"/>
      <c r="L326" s="752"/>
      <c r="M326" s="752"/>
      <c r="N326" s="752"/>
      <c r="O326" s="752"/>
      <c r="P326" s="706"/>
      <c r="Q326" s="706"/>
      <c r="R326" s="706"/>
      <c r="S326" s="706"/>
      <c r="T326" s="706"/>
      <c r="U326" s="706"/>
      <c r="V326" s="706"/>
      <c r="Z326" s="833"/>
      <c r="AA326" s="833"/>
      <c r="AB326" s="833"/>
      <c r="AC326" s="833"/>
      <c r="AD326" s="833"/>
      <c r="AE326" s="833"/>
    </row>
    <row r="327" spans="1:31" s="636" customFormat="1" hidden="1" x14ac:dyDescent="0.3">
      <c r="A327" s="706" t="str">
        <f>IF(AND(F329=G329,H329=I329,J329=K329,F329="A"),"2016 - kwh",IF(AND(F329=G329,H329=I329,J329&lt;&gt;K329,F329="A"),"2017 - kwh",IF(AND(F329=G329,H329&lt;&gt;I329,F329="A"),"2018 - kwh","N/A")))</f>
        <v>N/A</v>
      </c>
      <c r="B327" s="706" t="str">
        <f>IF(F329&lt;&gt;G329,"2018 - kwh",IF(H329&lt;&gt;I329,"2017 - kwh",IF(J329&lt;&gt;K329,"2016 - kwh","N/A")))</f>
        <v>N/A</v>
      </c>
      <c r="C327" s="610" t="s">
        <v>2237</v>
      </c>
      <c r="D327" s="754"/>
      <c r="E327" s="703" t="s">
        <v>154</v>
      </c>
      <c r="F327" s="753"/>
      <c r="G327" s="753"/>
      <c r="H327" s="753"/>
      <c r="I327" s="753"/>
      <c r="J327" s="753"/>
      <c r="K327" s="753"/>
      <c r="L327" s="753"/>
      <c r="M327" s="753"/>
      <c r="N327" s="753"/>
      <c r="O327" s="753"/>
      <c r="P327" s="706"/>
      <c r="Q327" s="706"/>
      <c r="R327" s="706"/>
      <c r="S327" s="706"/>
      <c r="T327" s="706"/>
      <c r="U327" s="706"/>
      <c r="V327" s="706"/>
      <c r="Z327" s="833"/>
      <c r="AA327" s="833" t="str">
        <f>IF(AND(F329=G329,H329=I329,F329="A"),"2016 - kwh","")</f>
        <v/>
      </c>
      <c r="AB327" s="833" t="str">
        <f>IF(OR(B327="2017 - kwh",B327="2018 - kwh"),"2016 - kwh","")</f>
        <v/>
      </c>
      <c r="AC327" s="833"/>
      <c r="AD327" s="833"/>
      <c r="AE327" s="833"/>
    </row>
    <row r="328" spans="1:31" s="636" customFormat="1" hidden="1" x14ac:dyDescent="0.3">
      <c r="A328" s="706" t="str">
        <f>IF(AND(F329=G329,H329=I329,J329=K329,F329="A"),"2016 - kw",IF(AND(F329=G329,H329=I329,J329&lt;&gt;K329,F329="A"),"2017 - kw",IF(AND(F329=G329,H329&lt;&gt;I329,F329="A"),"2018 - kw","N/A")))</f>
        <v>N/A</v>
      </c>
      <c r="B328" s="706" t="str">
        <f>IF(F329&lt;&gt;G329,"2018 - kw",IF(H329&lt;&gt;I329,"2017 - kw",IF(J329&lt;&gt;K329,"2016 - kw","N/A")))</f>
        <v>N/A</v>
      </c>
      <c r="C328" s="611"/>
      <c r="D328" s="646" t="str">
        <f>D327 &amp; "kW"</f>
        <v>kW</v>
      </c>
      <c r="E328" s="702" t="s">
        <v>155</v>
      </c>
      <c r="F328" s="753"/>
      <c r="G328" s="753"/>
      <c r="H328" s="753"/>
      <c r="I328" s="753"/>
      <c r="J328" s="753"/>
      <c r="K328" s="753"/>
      <c r="L328" s="753"/>
      <c r="M328" s="753"/>
      <c r="N328" s="753"/>
      <c r="O328" s="753"/>
      <c r="P328" s="706"/>
      <c r="Q328" s="706"/>
      <c r="R328" s="706"/>
      <c r="S328" s="706"/>
      <c r="T328" s="706"/>
      <c r="U328" s="706"/>
      <c r="V328" s="706"/>
      <c r="Z328" s="833"/>
      <c r="AA328" s="833" t="str">
        <f>IF(AND(F329=G329,H329=I329,F329="A"),"2016 - kw","")</f>
        <v/>
      </c>
      <c r="AB328" s="833" t="str">
        <f>IF(OR(B328="2017 - kw",B328="2018 - kw"),"2016 - kw","")</f>
        <v/>
      </c>
      <c r="AC328" s="833"/>
      <c r="AD328" s="833"/>
      <c r="AE328" s="833"/>
    </row>
    <row r="329" spans="1:31" s="636" customFormat="1" hidden="1" x14ac:dyDescent="0.3">
      <c r="A329" s="706"/>
      <c r="B329" s="706"/>
      <c r="C329" s="614"/>
      <c r="D329" s="700"/>
      <c r="E329" s="701" t="s">
        <v>2120</v>
      </c>
      <c r="F329" s="752"/>
      <c r="G329" s="752"/>
      <c r="H329" s="752"/>
      <c r="I329" s="752"/>
      <c r="J329" s="752"/>
      <c r="K329" s="752"/>
      <c r="L329" s="752"/>
      <c r="M329" s="752"/>
      <c r="N329" s="752"/>
      <c r="O329" s="752"/>
      <c r="P329" s="706"/>
      <c r="Q329" s="706"/>
      <c r="R329" s="706"/>
      <c r="S329" s="706"/>
      <c r="T329" s="706"/>
      <c r="U329" s="706"/>
      <c r="V329" s="706"/>
      <c r="Z329" s="833"/>
      <c r="AA329" s="833"/>
      <c r="AB329" s="833"/>
      <c r="AC329" s="833"/>
      <c r="AD329" s="833"/>
      <c r="AE329" s="833"/>
    </row>
    <row r="330" spans="1:31" s="636" customFormat="1" hidden="1" x14ac:dyDescent="0.3">
      <c r="A330" s="706" t="str">
        <f>IF(AND(F332=G332,H332=I332,J332=K332,F332="A"),"2016 - kwh",IF(AND(F332=G332,H332=I332,J332&lt;&gt;K332,F332="A"),"2017 - kwh",IF(AND(F332=G332,H332&lt;&gt;I332,F332="A"),"2018 - kwh","N/A")))</f>
        <v>N/A</v>
      </c>
      <c r="B330" s="706" t="str">
        <f>IF(F332&lt;&gt;G332,"2018 - kwh",IF(H332&lt;&gt;I332,"2017 - kwh",IF(J332&lt;&gt;K332,"2016 - kwh","N/A")))</f>
        <v>N/A</v>
      </c>
      <c r="C330" s="610" t="s">
        <v>2238</v>
      </c>
      <c r="D330" s="754"/>
      <c r="E330" s="703" t="s">
        <v>154</v>
      </c>
      <c r="F330" s="753"/>
      <c r="G330" s="753"/>
      <c r="H330" s="753"/>
      <c r="I330" s="753"/>
      <c r="J330" s="753"/>
      <c r="K330" s="753"/>
      <c r="L330" s="753"/>
      <c r="M330" s="753"/>
      <c r="N330" s="753"/>
      <c r="O330" s="753"/>
      <c r="P330" s="706"/>
      <c r="Q330" s="706"/>
      <c r="R330" s="706"/>
      <c r="S330" s="706"/>
      <c r="T330" s="706"/>
      <c r="U330" s="706"/>
      <c r="V330" s="706"/>
      <c r="Z330" s="833"/>
      <c r="AA330" s="833" t="str">
        <f>IF(AND(F332=G332,H332=I332,F332="A"),"2016 - kwh","")</f>
        <v/>
      </c>
      <c r="AB330" s="833" t="str">
        <f>IF(OR(B330="2017 - kwh",B330="2018 - kwh"),"2016 - kwh","")</f>
        <v/>
      </c>
      <c r="AC330" s="833"/>
      <c r="AD330" s="833"/>
      <c r="AE330" s="833"/>
    </row>
    <row r="331" spans="1:31" s="636" customFormat="1" hidden="1" x14ac:dyDescent="0.3">
      <c r="A331" s="706" t="str">
        <f>IF(AND(F332=G332,H332=I332,J332=K332,F332="A"),"2016 - kw",IF(AND(F332=G332,H332=I332,J332&lt;&gt;K332,F332="A"),"2017 - kw",IF(AND(F332=G332,H332&lt;&gt;I332,F332="A"),"2018 - kw","N/A")))</f>
        <v>N/A</v>
      </c>
      <c r="B331" s="706" t="str">
        <f>IF(F332&lt;&gt;G332,"2018 - kw",IF(H332&lt;&gt;I332,"2017 - kw",IF(J332&lt;&gt;K332,"2016 - kw","N/A")))</f>
        <v>N/A</v>
      </c>
      <c r="C331" s="611"/>
      <c r="D331" s="646" t="str">
        <f>D330 &amp; "kW"</f>
        <v>kW</v>
      </c>
      <c r="E331" s="702" t="s">
        <v>155</v>
      </c>
      <c r="F331" s="753"/>
      <c r="G331" s="753"/>
      <c r="H331" s="753"/>
      <c r="I331" s="753"/>
      <c r="J331" s="753"/>
      <c r="K331" s="753"/>
      <c r="L331" s="753"/>
      <c r="M331" s="753"/>
      <c r="N331" s="753"/>
      <c r="O331" s="753"/>
      <c r="P331" s="706"/>
      <c r="Q331" s="706"/>
      <c r="R331" s="706"/>
      <c r="S331" s="706"/>
      <c r="T331" s="706"/>
      <c r="U331" s="706"/>
      <c r="V331" s="706"/>
      <c r="Z331" s="833"/>
      <c r="AA331" s="833" t="str">
        <f>IF(AND(F332=G332,H332=I332,F332="A"),"2016 - kw","")</f>
        <v/>
      </c>
      <c r="AB331" s="833" t="str">
        <f>IF(OR(B331="2017 - kw",B331="2018 - kw"),"2016 - kw","")</f>
        <v/>
      </c>
      <c r="AC331" s="833"/>
      <c r="AD331" s="833"/>
      <c r="AE331" s="833"/>
    </row>
    <row r="332" spans="1:31" s="636" customFormat="1" hidden="1" x14ac:dyDescent="0.3">
      <c r="A332" s="706"/>
      <c r="B332" s="706"/>
      <c r="C332" s="614"/>
      <c r="D332" s="700"/>
      <c r="E332" s="701" t="s">
        <v>2120</v>
      </c>
      <c r="F332" s="752"/>
      <c r="G332" s="752"/>
      <c r="H332" s="752"/>
      <c r="I332" s="752"/>
      <c r="J332" s="752"/>
      <c r="K332" s="752"/>
      <c r="L332" s="752"/>
      <c r="M332" s="752"/>
      <c r="N332" s="752"/>
      <c r="O332" s="752"/>
      <c r="P332" s="706"/>
      <c r="Q332" s="706"/>
      <c r="R332" s="706"/>
      <c r="S332" s="706"/>
      <c r="T332" s="706"/>
      <c r="U332" s="706"/>
      <c r="V332" s="706"/>
      <c r="Z332" s="833"/>
      <c r="AA332" s="833"/>
      <c r="AB332" s="833"/>
      <c r="AC332" s="833"/>
      <c r="AD332" s="833"/>
      <c r="AE332" s="833"/>
    </row>
    <row r="333" spans="1:31" s="636" customFormat="1" hidden="1" x14ac:dyDescent="0.3">
      <c r="A333" s="706" t="str">
        <f>IF(AND(F335=G335,H335=I335,J335=K335,F335="A"),"2016 - kwh",IF(AND(F335=G335,H335=I335,J335&lt;&gt;K335,F335="A"),"2017 - kwh",IF(AND(F335=G335,H335&lt;&gt;I335,F335="A"),"2018 - kwh","N/A")))</f>
        <v>N/A</v>
      </c>
      <c r="B333" s="706" t="str">
        <f>IF(F335&lt;&gt;G335,"2018 - kwh",IF(H335&lt;&gt;I335,"2017 - kwh",IF(J335&lt;&gt;K335,"2016 - kwh","N/A")))</f>
        <v>N/A</v>
      </c>
      <c r="C333" s="610" t="s">
        <v>2239</v>
      </c>
      <c r="D333" s="754"/>
      <c r="E333" s="703" t="s">
        <v>154</v>
      </c>
      <c r="F333" s="753"/>
      <c r="G333" s="753"/>
      <c r="H333" s="753"/>
      <c r="I333" s="753"/>
      <c r="J333" s="753"/>
      <c r="K333" s="753"/>
      <c r="L333" s="753"/>
      <c r="M333" s="753"/>
      <c r="N333" s="753"/>
      <c r="O333" s="753"/>
      <c r="P333" s="706"/>
      <c r="Q333" s="706"/>
      <c r="R333" s="706"/>
      <c r="S333" s="706"/>
      <c r="T333" s="706"/>
      <c r="U333" s="706"/>
      <c r="V333" s="706"/>
      <c r="Z333" s="833"/>
      <c r="AA333" s="833" t="str">
        <f>IF(AND(F335=G335,H335=I335,F335="A"),"2016 - kwh","")</f>
        <v/>
      </c>
      <c r="AB333" s="833" t="str">
        <f>IF(OR(B333="2017 - kwh",B333="2018 - kwh"),"2016 - kwh","")</f>
        <v/>
      </c>
      <c r="AC333" s="833"/>
      <c r="AD333" s="833"/>
      <c r="AE333" s="833"/>
    </row>
    <row r="334" spans="1:31" s="636" customFormat="1" hidden="1" x14ac:dyDescent="0.3">
      <c r="A334" s="706" t="str">
        <f>IF(AND(F335=G335,H335=I335,J335=K335,F335="A"),"2016 - kw",IF(AND(F335=G335,H335=I335,J335&lt;&gt;K335,F335="A"),"2017 - kw",IF(AND(F335=G335,H335&lt;&gt;I335,F335="A"),"2018 - kw","N/A")))</f>
        <v>N/A</v>
      </c>
      <c r="B334" s="706" t="str">
        <f>IF(F335&lt;&gt;G335,"2018 - kw",IF(H335&lt;&gt;I335,"2017 - kw",IF(J335&lt;&gt;K335,"2016 - kw","N/A")))</f>
        <v>N/A</v>
      </c>
      <c r="C334" s="611"/>
      <c r="D334" s="646" t="str">
        <f>D333 &amp; "kW"</f>
        <v>kW</v>
      </c>
      <c r="E334" s="702" t="s">
        <v>155</v>
      </c>
      <c r="F334" s="753"/>
      <c r="G334" s="753"/>
      <c r="H334" s="753"/>
      <c r="I334" s="753"/>
      <c r="J334" s="753"/>
      <c r="K334" s="753"/>
      <c r="L334" s="753"/>
      <c r="M334" s="753"/>
      <c r="N334" s="753"/>
      <c r="O334" s="753"/>
      <c r="P334" s="706"/>
      <c r="Q334" s="706"/>
      <c r="R334" s="706"/>
      <c r="S334" s="706"/>
      <c r="T334" s="706"/>
      <c r="U334" s="706"/>
      <c r="V334" s="706"/>
      <c r="Z334" s="833"/>
      <c r="AA334" s="833" t="str">
        <f>IF(AND(F335=G335,H335=I335,F335="A"),"2016 - kw","")</f>
        <v/>
      </c>
      <c r="AB334" s="833" t="str">
        <f>IF(OR(B334="2017 - kw",B334="2018 - kw"),"2016 - kw","")</f>
        <v/>
      </c>
      <c r="AC334" s="833"/>
      <c r="AD334" s="833"/>
      <c r="AE334" s="833"/>
    </row>
    <row r="335" spans="1:31" s="636" customFormat="1" hidden="1" x14ac:dyDescent="0.3">
      <c r="A335" s="706"/>
      <c r="B335" s="706"/>
      <c r="C335" s="614"/>
      <c r="D335" s="700"/>
      <c r="E335" s="701" t="s">
        <v>2120</v>
      </c>
      <c r="F335" s="752"/>
      <c r="G335" s="752"/>
      <c r="H335" s="752"/>
      <c r="I335" s="752"/>
      <c r="J335" s="752"/>
      <c r="K335" s="752"/>
      <c r="L335" s="752"/>
      <c r="M335" s="752"/>
      <c r="N335" s="752"/>
      <c r="O335" s="752"/>
      <c r="P335" s="706"/>
      <c r="Q335" s="706"/>
      <c r="R335" s="706"/>
      <c r="S335" s="706"/>
      <c r="T335" s="706"/>
      <c r="U335" s="706"/>
      <c r="V335" s="706"/>
      <c r="Z335" s="833"/>
      <c r="AA335" s="833"/>
      <c r="AB335" s="833"/>
      <c r="AC335" s="833"/>
      <c r="AD335" s="833"/>
      <c r="AE335" s="833"/>
    </row>
    <row r="336" spans="1:31" s="636" customFormat="1" hidden="1" x14ac:dyDescent="0.3">
      <c r="A336" s="706" t="str">
        <f>IF(AND(F338=G338,H338=I338,J338=K338,F338="A"),"2016 - kwh",IF(AND(F338=G338,H338=I338,J338&lt;&gt;K338,F338="A"),"2017 - kwh",IF(AND(F338=G338,H338&lt;&gt;I338,F338="A"),"2018 - kwh","N/A")))</f>
        <v>N/A</v>
      </c>
      <c r="B336" s="706" t="str">
        <f>IF(F338&lt;&gt;G338,"2018 - kwh",IF(H338&lt;&gt;I338,"2017 - kwh",IF(J338&lt;&gt;K338,"2016 - kwh","N/A")))</f>
        <v>N/A</v>
      </c>
      <c r="C336" s="610" t="s">
        <v>2240</v>
      </c>
      <c r="D336" s="754"/>
      <c r="E336" s="703" t="s">
        <v>154</v>
      </c>
      <c r="F336" s="753"/>
      <c r="G336" s="753"/>
      <c r="H336" s="753"/>
      <c r="I336" s="753"/>
      <c r="J336" s="753"/>
      <c r="K336" s="753"/>
      <c r="L336" s="753"/>
      <c r="M336" s="753"/>
      <c r="N336" s="753"/>
      <c r="O336" s="753"/>
      <c r="P336" s="706"/>
      <c r="Q336" s="706"/>
      <c r="R336" s="706"/>
      <c r="S336" s="706"/>
      <c r="T336" s="706"/>
      <c r="U336" s="706"/>
      <c r="V336" s="706"/>
      <c r="Z336" s="833"/>
      <c r="AA336" s="833" t="str">
        <f>IF(AND(F338=G338,H338=I338,F338="A"),"2016 - kwh","")</f>
        <v/>
      </c>
      <c r="AB336" s="833" t="str">
        <f>IF(OR(B336="2017 - kwh",B336="2018 - kwh"),"2016 - kwh","")</f>
        <v/>
      </c>
      <c r="AC336" s="833"/>
      <c r="AD336" s="833"/>
      <c r="AE336" s="833"/>
    </row>
    <row r="337" spans="1:31" s="636" customFormat="1" hidden="1" x14ac:dyDescent="0.3">
      <c r="A337" s="706" t="str">
        <f>IF(AND(F338=G338,H338=I338,J338=K338,F338="A"),"2016 - kw",IF(AND(F338=G338,H338=I338,J338&lt;&gt;K338,F338="A"),"2017 - kw",IF(AND(F338=G338,H338&lt;&gt;I338,F338="A"),"2018 - kw","N/A")))</f>
        <v>N/A</v>
      </c>
      <c r="B337" s="706" t="str">
        <f>IF(F338&lt;&gt;G338,"2018 - kw",IF(H338&lt;&gt;I338,"2017 - kw",IF(J338&lt;&gt;K338,"2016 - kw","N/A")))</f>
        <v>N/A</v>
      </c>
      <c r="C337" s="611"/>
      <c r="D337" s="646" t="str">
        <f>D336 &amp; "kW"</f>
        <v>kW</v>
      </c>
      <c r="E337" s="702" t="s">
        <v>155</v>
      </c>
      <c r="F337" s="753"/>
      <c r="G337" s="753"/>
      <c r="H337" s="753"/>
      <c r="I337" s="753"/>
      <c r="J337" s="753"/>
      <c r="K337" s="753"/>
      <c r="L337" s="753"/>
      <c r="M337" s="753"/>
      <c r="N337" s="753"/>
      <c r="O337" s="753"/>
      <c r="P337" s="706"/>
      <c r="Q337" s="706"/>
      <c r="R337" s="706"/>
      <c r="S337" s="706"/>
      <c r="T337" s="706"/>
      <c r="U337" s="706"/>
      <c r="V337" s="706"/>
      <c r="Z337" s="833"/>
      <c r="AA337" s="833" t="str">
        <f>IF(AND(F338=G338,H338=I338,F338="A"),"2016 - kw","")</f>
        <v/>
      </c>
      <c r="AB337" s="833" t="str">
        <f>IF(OR(B337="2017 - kw",B337="2018 - kw"),"2016 - kw","")</f>
        <v/>
      </c>
      <c r="AC337" s="833"/>
      <c r="AD337" s="833"/>
      <c r="AE337" s="833"/>
    </row>
    <row r="338" spans="1:31" s="636" customFormat="1" hidden="1" x14ac:dyDescent="0.3">
      <c r="A338" s="706"/>
      <c r="B338" s="706"/>
      <c r="C338" s="614"/>
      <c r="D338" s="700"/>
      <c r="E338" s="701" t="s">
        <v>2120</v>
      </c>
      <c r="F338" s="752"/>
      <c r="G338" s="752"/>
      <c r="H338" s="752"/>
      <c r="I338" s="752"/>
      <c r="J338" s="752"/>
      <c r="K338" s="752"/>
      <c r="L338" s="752"/>
      <c r="M338" s="752"/>
      <c r="N338" s="752"/>
      <c r="O338" s="752"/>
      <c r="P338" s="706"/>
      <c r="Q338" s="706"/>
      <c r="R338" s="706"/>
      <c r="S338" s="706"/>
      <c r="T338" s="706"/>
      <c r="U338" s="706"/>
      <c r="V338" s="706"/>
      <c r="Z338" s="833"/>
      <c r="AA338" s="833"/>
      <c r="AB338" s="833"/>
      <c r="AC338" s="833"/>
      <c r="AD338" s="833"/>
      <c r="AE338" s="833"/>
    </row>
    <row r="339" spans="1:31" s="636" customFormat="1" hidden="1" x14ac:dyDescent="0.3">
      <c r="A339" s="706" t="str">
        <f>IF(AND(F341=G341,H341=I341,J341=K341,F341="A"),"2016 - kwh",IF(AND(F341=G341,H341=I341,J341&lt;&gt;K341,F341="A"),"2017 - kwh",IF(AND(F341=G341,H341&lt;&gt;I341,F341="A"),"2018 - kwh","N/A")))</f>
        <v>N/A</v>
      </c>
      <c r="B339" s="706" t="str">
        <f>IF(F341&lt;&gt;G341,"2018 - kwh",IF(H341&lt;&gt;I341,"2017 - kwh",IF(J341&lt;&gt;K341,"2016 - kwh","N/A")))</f>
        <v>N/A</v>
      </c>
      <c r="C339" s="610" t="s">
        <v>2241</v>
      </c>
      <c r="D339" s="754"/>
      <c r="E339" s="703" t="s">
        <v>154</v>
      </c>
      <c r="F339" s="753"/>
      <c r="G339" s="753"/>
      <c r="H339" s="753"/>
      <c r="I339" s="753"/>
      <c r="J339" s="753"/>
      <c r="K339" s="753"/>
      <c r="L339" s="753"/>
      <c r="M339" s="753"/>
      <c r="N339" s="753"/>
      <c r="O339" s="753"/>
      <c r="P339" s="706"/>
      <c r="Q339" s="706"/>
      <c r="R339" s="706"/>
      <c r="S339" s="706"/>
      <c r="T339" s="706"/>
      <c r="U339" s="706"/>
      <c r="V339" s="706"/>
      <c r="Z339" s="833"/>
      <c r="AA339" s="833" t="str">
        <f>IF(AND(F341=G341,H341=I341,F341="A"),"2016 - kwh","")</f>
        <v/>
      </c>
      <c r="AB339" s="833" t="str">
        <f>IF(OR(B339="2017 - kwh",B339="2018 - kwh"),"2016 - kwh","")</f>
        <v/>
      </c>
      <c r="AC339" s="833"/>
      <c r="AD339" s="833"/>
      <c r="AE339" s="833"/>
    </row>
    <row r="340" spans="1:31" s="636" customFormat="1" hidden="1" x14ac:dyDescent="0.3">
      <c r="A340" s="706" t="str">
        <f>IF(AND(F341=G341,H341=I341,J341=K341,F341="A"),"2016 - kw",IF(AND(F341=G341,H341=I341,J341&lt;&gt;K341,F341="A"),"2017 - kw",IF(AND(F341=G341,H341&lt;&gt;I341,F341="A"),"2018 - kw","N/A")))</f>
        <v>N/A</v>
      </c>
      <c r="B340" s="706" t="str">
        <f>IF(F341&lt;&gt;G341,"2018 - kw",IF(H341&lt;&gt;I341,"2017 - kw",IF(J341&lt;&gt;K341,"2016 - kw","N/A")))</f>
        <v>N/A</v>
      </c>
      <c r="C340" s="611"/>
      <c r="D340" s="646" t="str">
        <f>D339 &amp; "kW"</f>
        <v>kW</v>
      </c>
      <c r="E340" s="702" t="s">
        <v>155</v>
      </c>
      <c r="F340" s="753"/>
      <c r="G340" s="753"/>
      <c r="H340" s="753"/>
      <c r="I340" s="753"/>
      <c r="J340" s="753"/>
      <c r="K340" s="753"/>
      <c r="L340" s="753"/>
      <c r="M340" s="753"/>
      <c r="N340" s="753"/>
      <c r="O340" s="753"/>
      <c r="P340" s="706"/>
      <c r="Q340" s="706"/>
      <c r="R340" s="706"/>
      <c r="S340" s="706"/>
      <c r="T340" s="706"/>
      <c r="U340" s="706"/>
      <c r="V340" s="706"/>
      <c r="Z340" s="833"/>
      <c r="AA340" s="833" t="str">
        <f>IF(AND(F341=G341,H341=I341,F341="A"),"2016 - kw","")</f>
        <v/>
      </c>
      <c r="AB340" s="833" t="str">
        <f>IF(OR(B340="2017 - kw",B340="2018 - kw"),"2016 - kw","")</f>
        <v/>
      </c>
      <c r="AC340" s="833"/>
      <c r="AD340" s="833"/>
      <c r="AE340" s="833"/>
    </row>
    <row r="341" spans="1:31" s="636" customFormat="1" hidden="1" x14ac:dyDescent="0.3">
      <c r="A341" s="706"/>
      <c r="B341" s="706"/>
      <c r="C341" s="614"/>
      <c r="D341" s="700"/>
      <c r="E341" s="701" t="s">
        <v>2120</v>
      </c>
      <c r="F341" s="752"/>
      <c r="G341" s="752"/>
      <c r="H341" s="752"/>
      <c r="I341" s="752"/>
      <c r="J341" s="752"/>
      <c r="K341" s="752"/>
      <c r="L341" s="752"/>
      <c r="M341" s="752"/>
      <c r="N341" s="752"/>
      <c r="O341" s="752"/>
      <c r="P341" s="706"/>
      <c r="Q341" s="706"/>
      <c r="R341" s="706"/>
      <c r="S341" s="706"/>
      <c r="T341" s="706"/>
      <c r="U341" s="706"/>
      <c r="V341" s="706"/>
      <c r="Z341" s="833"/>
      <c r="AA341" s="833"/>
      <c r="AB341" s="833"/>
      <c r="AC341" s="833"/>
      <c r="AD341" s="833"/>
      <c r="AE341" s="833"/>
    </row>
    <row r="342" spans="1:31" s="636" customFormat="1" hidden="1" x14ac:dyDescent="0.3">
      <c r="A342" s="706" t="str">
        <f>IF(AND(F344=G344,H344=I344,J344=K344,F344="A"),"2016 - kwh",IF(AND(F344=G344,H344=I344,J344&lt;&gt;K344,F344="A"),"2017 - kwh",IF(AND(F344=G344,H344&lt;&gt;I344,F344="A"),"2018 - kwh","N/A")))</f>
        <v>N/A</v>
      </c>
      <c r="B342" s="706" t="str">
        <f>IF(F344&lt;&gt;G344,"2018 - kwh",IF(H344&lt;&gt;I344,"2017 - kwh",IF(J344&lt;&gt;K344,"2016 - kwh","N/A")))</f>
        <v>N/A</v>
      </c>
      <c r="C342" s="610" t="s">
        <v>2242</v>
      </c>
      <c r="D342" s="754"/>
      <c r="E342" s="703" t="s">
        <v>154</v>
      </c>
      <c r="F342" s="753"/>
      <c r="G342" s="753"/>
      <c r="H342" s="753"/>
      <c r="I342" s="753"/>
      <c r="J342" s="753"/>
      <c r="K342" s="753"/>
      <c r="L342" s="753"/>
      <c r="M342" s="753"/>
      <c r="N342" s="753"/>
      <c r="O342" s="753"/>
      <c r="P342" s="706"/>
      <c r="Q342" s="706"/>
      <c r="R342" s="706"/>
      <c r="S342" s="706"/>
      <c r="T342" s="706"/>
      <c r="U342" s="706"/>
      <c r="V342" s="706"/>
      <c r="Z342" s="833"/>
      <c r="AA342" s="833" t="str">
        <f>IF(AND(F344=G344,H344=I344,F344="A"),"2016 - kwh","")</f>
        <v/>
      </c>
      <c r="AB342" s="833" t="str">
        <f>IF(OR(B342="2017 - kwh",B342="2018 - kwh"),"2016 - kwh","")</f>
        <v/>
      </c>
      <c r="AC342" s="833"/>
      <c r="AD342" s="833"/>
      <c r="AE342" s="833"/>
    </row>
    <row r="343" spans="1:31" s="636" customFormat="1" hidden="1" x14ac:dyDescent="0.3">
      <c r="A343" s="706" t="str">
        <f>IF(AND(F344=G344,H344=I344,J344=K344,F344="A"),"2016 - kw",IF(AND(F344=G344,H344=I344,J344&lt;&gt;K344,F344="A"),"2017 - kw",IF(AND(F344=G344,H344&lt;&gt;I344,F344="A"),"2018 - kw","N/A")))</f>
        <v>N/A</v>
      </c>
      <c r="B343" s="706" t="str">
        <f>IF(F344&lt;&gt;G344,"2018 - kw",IF(H344&lt;&gt;I344,"2017 - kw",IF(J344&lt;&gt;K344,"2016 - kw","N/A")))</f>
        <v>N/A</v>
      </c>
      <c r="C343" s="611"/>
      <c r="D343" s="646" t="str">
        <f>D342 &amp; "kW"</f>
        <v>kW</v>
      </c>
      <c r="E343" s="702" t="s">
        <v>155</v>
      </c>
      <c r="F343" s="753"/>
      <c r="G343" s="753"/>
      <c r="H343" s="753"/>
      <c r="I343" s="753"/>
      <c r="J343" s="753"/>
      <c r="K343" s="753"/>
      <c r="L343" s="753"/>
      <c r="M343" s="753"/>
      <c r="N343" s="753"/>
      <c r="O343" s="753"/>
      <c r="P343" s="706"/>
      <c r="Q343" s="706"/>
      <c r="R343" s="706"/>
      <c r="S343" s="706"/>
      <c r="T343" s="706"/>
      <c r="U343" s="706"/>
      <c r="V343" s="706"/>
      <c r="Z343" s="833"/>
      <c r="AA343" s="833" t="str">
        <f>IF(AND(F344=G344,H344=I344,F344="A"),"2016 - kw","")</f>
        <v/>
      </c>
      <c r="AB343" s="833" t="str">
        <f>IF(OR(B343="2017 - kw",B343="2018 - kw"),"2016 - kw","")</f>
        <v/>
      </c>
      <c r="AC343" s="833"/>
      <c r="AD343" s="833"/>
      <c r="AE343" s="833"/>
    </row>
    <row r="344" spans="1:31" s="636" customFormat="1" hidden="1" x14ac:dyDescent="0.3">
      <c r="A344" s="706"/>
      <c r="B344" s="706"/>
      <c r="C344" s="614"/>
      <c r="D344" s="700"/>
      <c r="E344" s="701" t="s">
        <v>2120</v>
      </c>
      <c r="F344" s="752"/>
      <c r="G344" s="752"/>
      <c r="H344" s="752"/>
      <c r="I344" s="752"/>
      <c r="J344" s="752"/>
      <c r="K344" s="752"/>
      <c r="L344" s="752"/>
      <c r="M344" s="752"/>
      <c r="N344" s="752"/>
      <c r="O344" s="752"/>
      <c r="P344" s="706"/>
      <c r="Q344" s="706"/>
      <c r="R344" s="706"/>
      <c r="S344" s="706"/>
      <c r="T344" s="706"/>
      <c r="U344" s="706"/>
      <c r="V344" s="706"/>
      <c r="Z344" s="833"/>
      <c r="AA344" s="833"/>
      <c r="AB344" s="833"/>
      <c r="AC344" s="833"/>
      <c r="AD344" s="833"/>
      <c r="AE344" s="833"/>
    </row>
    <row r="345" spans="1:31" s="636" customFormat="1" hidden="1" x14ac:dyDescent="0.3">
      <c r="A345" s="706" t="str">
        <f>IF(AND(F347=G347,H347=I347,J347=K347,F347="A"),"2016 - kwh",IF(AND(F347=G347,H347=I347,J347&lt;&gt;K347,F347="A"),"2017 - kwh",IF(AND(F347=G347,H347&lt;&gt;I347,F347="A"),"2018 - kwh","N/A")))</f>
        <v>N/A</v>
      </c>
      <c r="B345" s="706" t="str">
        <f>IF(F347&lt;&gt;G347,"2018 - kwh",IF(H347&lt;&gt;I347,"2017 - kwh",IF(J347&lt;&gt;K347,"2016 - kwh","N/A")))</f>
        <v>N/A</v>
      </c>
      <c r="C345" s="610" t="s">
        <v>2243</v>
      </c>
      <c r="D345" s="754"/>
      <c r="E345" s="703" t="s">
        <v>154</v>
      </c>
      <c r="F345" s="753"/>
      <c r="G345" s="753"/>
      <c r="H345" s="753"/>
      <c r="I345" s="753"/>
      <c r="J345" s="753"/>
      <c r="K345" s="753"/>
      <c r="L345" s="753"/>
      <c r="M345" s="753"/>
      <c r="N345" s="753"/>
      <c r="O345" s="753"/>
      <c r="P345" s="706"/>
      <c r="Q345" s="706"/>
      <c r="R345" s="706"/>
      <c r="S345" s="706"/>
      <c r="T345" s="706"/>
      <c r="U345" s="706"/>
      <c r="V345" s="706"/>
      <c r="Z345" s="833"/>
      <c r="AA345" s="833" t="str">
        <f>IF(AND(F347=G347,H347=I347,F347="A"),"2016 - kwh","")</f>
        <v/>
      </c>
      <c r="AB345" s="833" t="str">
        <f>IF(OR(B345="2017 - kwh",B345="2018 - kwh"),"2016 - kwh","")</f>
        <v/>
      </c>
      <c r="AC345" s="833"/>
      <c r="AD345" s="833"/>
      <c r="AE345" s="833"/>
    </row>
    <row r="346" spans="1:31" s="636" customFormat="1" hidden="1" x14ac:dyDescent="0.3">
      <c r="A346" s="706" t="str">
        <f>IF(AND(F347=G347,H347=I347,J347=K347,F347="A"),"2016 - kw",IF(AND(F347=G347,H347=I347,J347&lt;&gt;K347,F347="A"),"2017 - kw",IF(AND(F347=G347,H347&lt;&gt;I347,F347="A"),"2018 - kw","N/A")))</f>
        <v>N/A</v>
      </c>
      <c r="B346" s="706" t="str">
        <f>IF(F347&lt;&gt;G347,"2018 - kw",IF(H347&lt;&gt;I347,"2017 - kw",IF(J347&lt;&gt;K347,"2016 - kw","N/A")))</f>
        <v>N/A</v>
      </c>
      <c r="C346" s="611"/>
      <c r="D346" s="646" t="str">
        <f>D345 &amp; "kW"</f>
        <v>kW</v>
      </c>
      <c r="E346" s="702" t="s">
        <v>155</v>
      </c>
      <c r="F346" s="753"/>
      <c r="G346" s="753"/>
      <c r="H346" s="753"/>
      <c r="I346" s="753"/>
      <c r="J346" s="753"/>
      <c r="K346" s="753"/>
      <c r="L346" s="753"/>
      <c r="M346" s="753"/>
      <c r="N346" s="753"/>
      <c r="O346" s="753"/>
      <c r="P346" s="706"/>
      <c r="Q346" s="706"/>
      <c r="R346" s="706"/>
      <c r="S346" s="706"/>
      <c r="T346" s="706"/>
      <c r="U346" s="706"/>
      <c r="V346" s="706"/>
      <c r="Z346" s="833"/>
      <c r="AA346" s="833" t="str">
        <f>IF(AND(F347=G347,H347=I347,F347="A"),"2016 - kw","")</f>
        <v/>
      </c>
      <c r="AB346" s="833" t="str">
        <f>IF(OR(B346="2017 - kw",B346="2018 - kw"),"2016 - kw","")</f>
        <v/>
      </c>
      <c r="AC346" s="833"/>
      <c r="AD346" s="833"/>
      <c r="AE346" s="833"/>
    </row>
    <row r="347" spans="1:31" s="636" customFormat="1" hidden="1" x14ac:dyDescent="0.3">
      <c r="A347" s="706"/>
      <c r="B347" s="706"/>
      <c r="C347" s="614"/>
      <c r="D347" s="700"/>
      <c r="E347" s="701" t="s">
        <v>2120</v>
      </c>
      <c r="F347" s="752"/>
      <c r="G347" s="752"/>
      <c r="H347" s="752"/>
      <c r="I347" s="752"/>
      <c r="J347" s="752"/>
      <c r="K347" s="752"/>
      <c r="L347" s="752"/>
      <c r="M347" s="752"/>
      <c r="N347" s="752"/>
      <c r="O347" s="752"/>
      <c r="P347" s="706"/>
      <c r="Q347" s="706"/>
      <c r="R347" s="706"/>
      <c r="S347" s="706"/>
      <c r="T347" s="706"/>
      <c r="U347" s="706"/>
      <c r="V347" s="706"/>
      <c r="Z347" s="833"/>
      <c r="AA347" s="833"/>
      <c r="AB347" s="833"/>
      <c r="AC347" s="833"/>
      <c r="AD347" s="833"/>
      <c r="AE347" s="833"/>
    </row>
    <row r="348" spans="1:31" s="636" customFormat="1" hidden="1" x14ac:dyDescent="0.3">
      <c r="A348" s="706" t="str">
        <f>IF(AND(F350=G350,H350=I350,J350=K350,F350="A"),"2016 - kwh",IF(AND(F350=G350,H350=I350,J350&lt;&gt;K350,F350="A"),"2017 - kwh",IF(AND(F350=G350,H350&lt;&gt;I350,F350="A"),"2018 - kwh","N/A")))</f>
        <v>N/A</v>
      </c>
      <c r="B348" s="706" t="str">
        <f>IF(F350&lt;&gt;G350,"2018 - kwh",IF(H350&lt;&gt;I350,"2017 - kwh",IF(J350&lt;&gt;K350,"2016 - kwh","N/A")))</f>
        <v>N/A</v>
      </c>
      <c r="C348" s="610" t="s">
        <v>2244</v>
      </c>
      <c r="D348" s="754"/>
      <c r="E348" s="703" t="s">
        <v>154</v>
      </c>
      <c r="F348" s="753"/>
      <c r="G348" s="753"/>
      <c r="H348" s="753"/>
      <c r="I348" s="753"/>
      <c r="J348" s="753"/>
      <c r="K348" s="753"/>
      <c r="L348" s="753"/>
      <c r="M348" s="753"/>
      <c r="N348" s="753"/>
      <c r="O348" s="753"/>
      <c r="P348" s="706"/>
      <c r="Q348" s="706"/>
      <c r="R348" s="706"/>
      <c r="S348" s="706"/>
      <c r="T348" s="706"/>
      <c r="U348" s="706"/>
      <c r="V348" s="706"/>
      <c r="Z348" s="833"/>
      <c r="AA348" s="833" t="str">
        <f>IF(AND(F350=G350,H350=I350,F350="A"),"2016 - kwh","")</f>
        <v/>
      </c>
      <c r="AB348" s="833" t="str">
        <f>IF(OR(B348="2017 - kwh",B348="2018 - kwh"),"2016 - kwh","")</f>
        <v/>
      </c>
      <c r="AC348" s="833"/>
      <c r="AD348" s="833"/>
      <c r="AE348" s="833"/>
    </row>
    <row r="349" spans="1:31" s="636" customFormat="1" hidden="1" x14ac:dyDescent="0.3">
      <c r="A349" s="706" t="str">
        <f>IF(AND(F350=G350,H350=I350,J350=K350,F350="A"),"2016 - kw",IF(AND(F350=G350,H350=I350,J350&lt;&gt;K350,F350="A"),"2017 - kw",IF(AND(F350=G350,H350&lt;&gt;I350,F350="A"),"2018 - kw","N/A")))</f>
        <v>N/A</v>
      </c>
      <c r="B349" s="706" t="str">
        <f>IF(F350&lt;&gt;G350,"2018 - kw",IF(H350&lt;&gt;I350,"2017 - kw",IF(J350&lt;&gt;K350,"2016 - kw","N/A")))</f>
        <v>N/A</v>
      </c>
      <c r="C349" s="611"/>
      <c r="D349" s="646" t="str">
        <f>D348 &amp; "kW"</f>
        <v>kW</v>
      </c>
      <c r="E349" s="702" t="s">
        <v>155</v>
      </c>
      <c r="F349" s="753"/>
      <c r="G349" s="753"/>
      <c r="H349" s="753"/>
      <c r="I349" s="753"/>
      <c r="J349" s="753"/>
      <c r="K349" s="753"/>
      <c r="L349" s="753"/>
      <c r="M349" s="753"/>
      <c r="N349" s="753"/>
      <c r="O349" s="753"/>
      <c r="P349" s="706"/>
      <c r="Q349" s="706"/>
      <c r="R349" s="706"/>
      <c r="S349" s="706"/>
      <c r="T349" s="706"/>
      <c r="U349" s="706"/>
      <c r="V349" s="706"/>
      <c r="Z349" s="833"/>
      <c r="AA349" s="833" t="str">
        <f>IF(AND(F350=G350,H350=I350,F350="A"),"2016 - kw","")</f>
        <v/>
      </c>
      <c r="AB349" s="833" t="str">
        <f>IF(OR(B349="2017 - kw",B349="2018 - kw"),"2016 - kw","")</f>
        <v/>
      </c>
      <c r="AC349" s="833"/>
      <c r="AD349" s="833"/>
      <c r="AE349" s="833"/>
    </row>
    <row r="350" spans="1:31" s="636" customFormat="1" hidden="1" x14ac:dyDescent="0.3">
      <c r="A350" s="706"/>
      <c r="B350" s="706"/>
      <c r="C350" s="614"/>
      <c r="D350" s="700"/>
      <c r="E350" s="701" t="s">
        <v>2120</v>
      </c>
      <c r="F350" s="752"/>
      <c r="G350" s="752"/>
      <c r="H350" s="752"/>
      <c r="I350" s="752"/>
      <c r="J350" s="752"/>
      <c r="K350" s="752"/>
      <c r="L350" s="752"/>
      <c r="M350" s="752"/>
      <c r="N350" s="752"/>
      <c r="O350" s="752"/>
      <c r="P350" s="706"/>
      <c r="Q350" s="706"/>
      <c r="R350" s="706"/>
      <c r="S350" s="706"/>
      <c r="T350" s="706"/>
      <c r="U350" s="706"/>
      <c r="V350" s="706"/>
      <c r="Z350" s="833"/>
      <c r="AA350" s="833"/>
      <c r="AB350" s="833"/>
      <c r="AC350" s="833"/>
      <c r="AD350" s="833"/>
      <c r="AE350" s="833"/>
    </row>
    <row r="351" spans="1:31" s="636" customFormat="1" hidden="1" x14ac:dyDescent="0.3">
      <c r="A351" s="706" t="str">
        <f>IF(AND(F353=G353,H353=I353,J353=K353,F353="A"),"2016 - kwh",IF(AND(F353=G353,H353=I353,J353&lt;&gt;K353,F353="A"),"2017 - kwh",IF(AND(F353=G353,H353&lt;&gt;I353,F353="A"),"2018 - kwh","N/A")))</f>
        <v>N/A</v>
      </c>
      <c r="B351" s="706" t="str">
        <f>IF(F353&lt;&gt;G353,"2018 - kwh",IF(H353&lt;&gt;I353,"2017 - kwh",IF(J353&lt;&gt;K353,"2016 - kwh","N/A")))</f>
        <v>N/A</v>
      </c>
      <c r="C351" s="610" t="s">
        <v>2245</v>
      </c>
      <c r="D351" s="754"/>
      <c r="E351" s="703" t="s">
        <v>154</v>
      </c>
      <c r="F351" s="753"/>
      <c r="G351" s="753"/>
      <c r="H351" s="753"/>
      <c r="I351" s="753"/>
      <c r="J351" s="753"/>
      <c r="K351" s="753"/>
      <c r="L351" s="753"/>
      <c r="M351" s="753"/>
      <c r="N351" s="753"/>
      <c r="O351" s="753"/>
      <c r="P351" s="706"/>
      <c r="Q351" s="706"/>
      <c r="R351" s="706"/>
      <c r="S351" s="706"/>
      <c r="T351" s="706"/>
      <c r="U351" s="706"/>
      <c r="V351" s="706"/>
      <c r="Z351" s="833"/>
      <c r="AA351" s="833" t="str">
        <f>IF(AND(F353=G353,H353=I353,F353="A"),"2016 - kwh","")</f>
        <v/>
      </c>
      <c r="AB351" s="833" t="str">
        <f>IF(OR(B351="2017 - kwh",B351="2018 - kwh"),"2016 - kwh","")</f>
        <v/>
      </c>
      <c r="AC351" s="833"/>
      <c r="AD351" s="833"/>
      <c r="AE351" s="833"/>
    </row>
    <row r="352" spans="1:31" s="636" customFormat="1" hidden="1" x14ac:dyDescent="0.3">
      <c r="A352" s="706" t="str">
        <f>IF(AND(F353=G353,H353=I353,J353=K353,F353="A"),"2016 - kw",IF(AND(F353=G353,H353=I353,J353&lt;&gt;K353,F353="A"),"2017 - kw",IF(AND(F353=G353,H353&lt;&gt;I353,F353="A"),"2018 - kw","N/A")))</f>
        <v>N/A</v>
      </c>
      <c r="B352" s="706" t="str">
        <f>IF(F353&lt;&gt;G353,"2018 - kw",IF(H353&lt;&gt;I353,"2017 - kw",IF(J353&lt;&gt;K353,"2016 - kw","N/A")))</f>
        <v>N/A</v>
      </c>
      <c r="C352" s="611"/>
      <c r="D352" s="646" t="str">
        <f>D351 &amp; "kW"</f>
        <v>kW</v>
      </c>
      <c r="E352" s="702" t="s">
        <v>155</v>
      </c>
      <c r="F352" s="753"/>
      <c r="G352" s="753"/>
      <c r="H352" s="753"/>
      <c r="I352" s="753"/>
      <c r="J352" s="753"/>
      <c r="K352" s="753"/>
      <c r="L352" s="753"/>
      <c r="M352" s="753"/>
      <c r="N352" s="753"/>
      <c r="O352" s="753"/>
      <c r="P352" s="706"/>
      <c r="Q352" s="706"/>
      <c r="R352" s="706"/>
      <c r="S352" s="706"/>
      <c r="T352" s="706"/>
      <c r="U352" s="706"/>
      <c r="V352" s="706"/>
      <c r="Z352" s="833"/>
      <c r="AA352" s="833" t="str">
        <f>IF(AND(F353=G353,H353=I353,F353="A"),"2016 - kw","")</f>
        <v/>
      </c>
      <c r="AB352" s="833" t="str">
        <f>IF(OR(B352="2017 - kw",B352="2018 - kw"),"2016 - kw","")</f>
        <v/>
      </c>
      <c r="AC352" s="833"/>
      <c r="AD352" s="833"/>
      <c r="AE352" s="833"/>
    </row>
    <row r="353" spans="1:31" s="636" customFormat="1" hidden="1" x14ac:dyDescent="0.3">
      <c r="A353" s="706"/>
      <c r="B353" s="706"/>
      <c r="C353" s="614"/>
      <c r="D353" s="700"/>
      <c r="E353" s="701" t="s">
        <v>2120</v>
      </c>
      <c r="F353" s="752"/>
      <c r="G353" s="752"/>
      <c r="H353" s="752"/>
      <c r="I353" s="752"/>
      <c r="J353" s="752"/>
      <c r="K353" s="752"/>
      <c r="L353" s="752"/>
      <c r="M353" s="752"/>
      <c r="N353" s="752"/>
      <c r="O353" s="752"/>
      <c r="P353" s="706"/>
      <c r="Q353" s="706"/>
      <c r="R353" s="706"/>
      <c r="S353" s="706"/>
      <c r="T353" s="706"/>
      <c r="U353" s="706"/>
      <c r="V353" s="706"/>
      <c r="Z353" s="833"/>
      <c r="AA353" s="833"/>
      <c r="AB353" s="833"/>
      <c r="AC353" s="833"/>
      <c r="AD353" s="833"/>
      <c r="AE353" s="833"/>
    </row>
    <row r="354" spans="1:31" s="636" customFormat="1" hidden="1" x14ac:dyDescent="0.3">
      <c r="A354" s="706" t="str">
        <f>IF(AND(F356=G356,H356=I356,J356=K356,F356="A"),"2016 - kwh",IF(AND(F356=G356,H356=I356,J356&lt;&gt;K356,F356="A"),"2017 - kwh",IF(AND(F356=G356,H356&lt;&gt;I356,F356="A"),"2018 - kwh","N/A")))</f>
        <v>N/A</v>
      </c>
      <c r="B354" s="706" t="str">
        <f>IF(F356&lt;&gt;G356,"2018 - kwh",IF(H356&lt;&gt;I356,"2017 - kwh",IF(J356&lt;&gt;K356,"2016 - kwh","N/A")))</f>
        <v>N/A</v>
      </c>
      <c r="C354" s="610" t="s">
        <v>2246</v>
      </c>
      <c r="D354" s="754"/>
      <c r="E354" s="703" t="s">
        <v>154</v>
      </c>
      <c r="F354" s="753"/>
      <c r="G354" s="753"/>
      <c r="H354" s="753"/>
      <c r="I354" s="753"/>
      <c r="J354" s="753"/>
      <c r="K354" s="753"/>
      <c r="L354" s="753"/>
      <c r="M354" s="753"/>
      <c r="N354" s="753"/>
      <c r="O354" s="753"/>
      <c r="P354" s="706"/>
      <c r="Q354" s="706"/>
      <c r="R354" s="706"/>
      <c r="S354" s="706"/>
      <c r="T354" s="706"/>
      <c r="U354" s="706"/>
      <c r="V354" s="706"/>
      <c r="Z354" s="833"/>
      <c r="AA354" s="833" t="str">
        <f>IF(AND(F356=G356,H356=I356,F356="A"),"2016 - kwh","")</f>
        <v/>
      </c>
      <c r="AB354" s="833" t="str">
        <f>IF(OR(B354="2017 - kwh",B354="2018 - kwh"),"2016 - kwh","")</f>
        <v/>
      </c>
      <c r="AC354" s="833"/>
      <c r="AD354" s="833"/>
      <c r="AE354" s="833"/>
    </row>
    <row r="355" spans="1:31" s="636" customFormat="1" hidden="1" x14ac:dyDescent="0.3">
      <c r="A355" s="706" t="str">
        <f>IF(AND(F356=G356,H356=I356,J356=K356,F356="A"),"2016 - kw",IF(AND(F356=G356,H356=I356,J356&lt;&gt;K356,F356="A"),"2017 - kw",IF(AND(F356=G356,H356&lt;&gt;I356,F356="A"),"2018 - kw","N/A")))</f>
        <v>N/A</v>
      </c>
      <c r="B355" s="706" t="str">
        <f>IF(F356&lt;&gt;G356,"2018 - kw",IF(H356&lt;&gt;I356,"2017 - kw",IF(J356&lt;&gt;K356,"2016 - kw","N/A")))</f>
        <v>N/A</v>
      </c>
      <c r="C355" s="611"/>
      <c r="D355" s="646" t="str">
        <f>D354 &amp; "kW"</f>
        <v>kW</v>
      </c>
      <c r="E355" s="702" t="s">
        <v>155</v>
      </c>
      <c r="F355" s="753"/>
      <c r="G355" s="753"/>
      <c r="H355" s="753"/>
      <c r="I355" s="753"/>
      <c r="J355" s="753"/>
      <c r="K355" s="753"/>
      <c r="L355" s="753"/>
      <c r="M355" s="753"/>
      <c r="N355" s="753"/>
      <c r="O355" s="753"/>
      <c r="P355" s="706"/>
      <c r="Q355" s="706"/>
      <c r="R355" s="706"/>
      <c r="S355" s="706"/>
      <c r="T355" s="706"/>
      <c r="U355" s="706"/>
      <c r="V355" s="706"/>
      <c r="Z355" s="833"/>
      <c r="AA355" s="833" t="str">
        <f>IF(AND(F356=G356,H356=I356,F356="A"),"2016 - kw","")</f>
        <v/>
      </c>
      <c r="AB355" s="833" t="str">
        <f>IF(OR(B355="2017 - kw",B355="2018 - kw"),"2016 - kw","")</f>
        <v/>
      </c>
      <c r="AC355" s="833"/>
      <c r="AD355" s="833"/>
      <c r="AE355" s="833"/>
    </row>
    <row r="356" spans="1:31" s="636" customFormat="1" hidden="1" x14ac:dyDescent="0.3">
      <c r="A356" s="706"/>
      <c r="B356" s="706"/>
      <c r="C356" s="614"/>
      <c r="D356" s="700"/>
      <c r="E356" s="701" t="s">
        <v>2120</v>
      </c>
      <c r="F356" s="752"/>
      <c r="G356" s="752"/>
      <c r="H356" s="752"/>
      <c r="I356" s="752"/>
      <c r="J356" s="752"/>
      <c r="K356" s="752"/>
      <c r="L356" s="752"/>
      <c r="M356" s="752"/>
      <c r="N356" s="752"/>
      <c r="O356" s="752"/>
      <c r="P356" s="706"/>
      <c r="Q356" s="706"/>
      <c r="R356" s="706"/>
      <c r="S356" s="706"/>
      <c r="T356" s="706"/>
      <c r="U356" s="706"/>
      <c r="V356" s="706"/>
      <c r="Z356" s="833"/>
      <c r="AA356" s="833"/>
      <c r="AB356" s="833"/>
      <c r="AC356" s="833"/>
      <c r="AD356" s="833"/>
      <c r="AE356" s="833"/>
    </row>
    <row r="357" spans="1:31" s="636" customFormat="1" hidden="1" x14ac:dyDescent="0.3">
      <c r="A357" s="706" t="str">
        <f>IF(AND(F359=G359,H359=I359,J359=K359,F359="A"),"2016 - kwh",IF(AND(F359=G359,H359=I359,J359&lt;&gt;K359,F359="A"),"2017 - kwh",IF(AND(F359=G359,H359&lt;&gt;I359,F359="A"),"2018 - kwh","N/A")))</f>
        <v>N/A</v>
      </c>
      <c r="B357" s="706" t="str">
        <f>IF(F359&lt;&gt;G359,"2018 - kwh",IF(H359&lt;&gt;I359,"2017 - kwh",IF(J359&lt;&gt;K359,"2016 - kwh","N/A")))</f>
        <v>N/A</v>
      </c>
      <c r="C357" s="610" t="s">
        <v>2247</v>
      </c>
      <c r="D357" s="754"/>
      <c r="E357" s="703" t="s">
        <v>154</v>
      </c>
      <c r="F357" s="753"/>
      <c r="G357" s="753"/>
      <c r="H357" s="753"/>
      <c r="I357" s="753"/>
      <c r="J357" s="753"/>
      <c r="K357" s="753"/>
      <c r="L357" s="753"/>
      <c r="M357" s="753"/>
      <c r="N357" s="753"/>
      <c r="O357" s="753"/>
      <c r="P357" s="706"/>
      <c r="Q357" s="706"/>
      <c r="R357" s="706"/>
      <c r="S357" s="706"/>
      <c r="T357" s="706"/>
      <c r="U357" s="706"/>
      <c r="V357" s="706"/>
      <c r="Z357" s="833"/>
      <c r="AA357" s="833" t="str">
        <f>IF(AND(F359=G359,H359=I359,F359="A"),"2016 - kwh","")</f>
        <v/>
      </c>
      <c r="AB357" s="833" t="str">
        <f>IF(OR(B357="2017 - kwh",B357="2018 - kwh"),"2016 - kwh","")</f>
        <v/>
      </c>
      <c r="AC357" s="833"/>
      <c r="AD357" s="833"/>
      <c r="AE357" s="833"/>
    </row>
    <row r="358" spans="1:31" s="636" customFormat="1" hidden="1" x14ac:dyDescent="0.3">
      <c r="A358" s="706" t="str">
        <f>IF(AND(F359=G359,H359=I359,J359=K359,F359="A"),"2016 - kw",IF(AND(F359=G359,H359=I359,J359&lt;&gt;K359,F359="A"),"2017 - kw",IF(AND(F359=G359,H359&lt;&gt;I359,F359="A"),"2018 - kw","N/A")))</f>
        <v>N/A</v>
      </c>
      <c r="B358" s="706" t="str">
        <f>IF(F359&lt;&gt;G359,"2018 - kw",IF(H359&lt;&gt;I359,"2017 - kw",IF(J359&lt;&gt;K359,"2016 - kw","N/A")))</f>
        <v>N/A</v>
      </c>
      <c r="C358" s="611"/>
      <c r="D358" s="646" t="str">
        <f>D357 &amp; "kW"</f>
        <v>kW</v>
      </c>
      <c r="E358" s="702" t="s">
        <v>155</v>
      </c>
      <c r="F358" s="753"/>
      <c r="G358" s="753"/>
      <c r="H358" s="753"/>
      <c r="I358" s="753"/>
      <c r="J358" s="753"/>
      <c r="K358" s="753"/>
      <c r="L358" s="753"/>
      <c r="M358" s="753"/>
      <c r="N358" s="753"/>
      <c r="O358" s="753"/>
      <c r="P358" s="706"/>
      <c r="Q358" s="706"/>
      <c r="R358" s="706"/>
      <c r="S358" s="706"/>
      <c r="T358" s="706"/>
      <c r="U358" s="706"/>
      <c r="V358" s="706"/>
      <c r="Z358" s="833"/>
      <c r="AA358" s="833" t="str">
        <f>IF(AND(F359=G359,H359=I359,F359="A"),"2016 - kw","")</f>
        <v/>
      </c>
      <c r="AB358" s="833" t="str">
        <f>IF(OR(B358="2017 - kw",B358="2018 - kw"),"2016 - kw","")</f>
        <v/>
      </c>
      <c r="AC358" s="833"/>
      <c r="AD358" s="833"/>
      <c r="AE358" s="833"/>
    </row>
    <row r="359" spans="1:31" s="636" customFormat="1" hidden="1" x14ac:dyDescent="0.3">
      <c r="A359" s="706"/>
      <c r="B359" s="706"/>
      <c r="C359" s="614"/>
      <c r="D359" s="700"/>
      <c r="E359" s="701" t="s">
        <v>2120</v>
      </c>
      <c r="F359" s="752"/>
      <c r="G359" s="752"/>
      <c r="H359" s="752"/>
      <c r="I359" s="752"/>
      <c r="J359" s="752"/>
      <c r="K359" s="752"/>
      <c r="L359" s="752"/>
      <c r="M359" s="752"/>
      <c r="N359" s="752"/>
      <c r="O359" s="752"/>
      <c r="P359" s="706"/>
      <c r="Q359" s="706"/>
      <c r="R359" s="706"/>
      <c r="S359" s="706"/>
      <c r="T359" s="706"/>
      <c r="U359" s="706"/>
      <c r="V359" s="706"/>
      <c r="Z359" s="833"/>
      <c r="AA359" s="833"/>
      <c r="AB359" s="833"/>
      <c r="AC359" s="833"/>
      <c r="AD359" s="833"/>
      <c r="AE359" s="833"/>
    </row>
    <row r="360" spans="1:31" s="636" customFormat="1" hidden="1" x14ac:dyDescent="0.3">
      <c r="A360" s="706" t="str">
        <f>IF(AND(F362=G362,H362=I362,J362=K362,F362="A"),"2016 - kwh",IF(AND(F362=G362,H362=I362,J362&lt;&gt;K362,F362="A"),"2017 - kwh",IF(AND(F362=G362,H362&lt;&gt;I362,F362="A"),"2018 - kwh","N/A")))</f>
        <v>N/A</v>
      </c>
      <c r="B360" s="706" t="str">
        <f>IF(F362&lt;&gt;G362,"2018 - kwh",IF(H362&lt;&gt;I362,"2017 - kwh",IF(J362&lt;&gt;K362,"2016 - kwh","N/A")))</f>
        <v>N/A</v>
      </c>
      <c r="C360" s="610" t="s">
        <v>2248</v>
      </c>
      <c r="D360" s="754"/>
      <c r="E360" s="703" t="s">
        <v>154</v>
      </c>
      <c r="F360" s="753"/>
      <c r="G360" s="753"/>
      <c r="H360" s="753"/>
      <c r="I360" s="753"/>
      <c r="J360" s="753"/>
      <c r="K360" s="753"/>
      <c r="L360" s="753"/>
      <c r="M360" s="753"/>
      <c r="N360" s="753"/>
      <c r="O360" s="753"/>
      <c r="P360" s="706"/>
      <c r="Q360" s="706"/>
      <c r="R360" s="706"/>
      <c r="S360" s="706"/>
      <c r="T360" s="706"/>
      <c r="U360" s="706"/>
      <c r="V360" s="706"/>
      <c r="Z360" s="833"/>
      <c r="AA360" s="833" t="str">
        <f>IF(AND(F362=G362,H362=I362,F362="A"),"2016 - kwh","")</f>
        <v/>
      </c>
      <c r="AB360" s="833" t="str">
        <f>IF(OR(B360="2017 - kwh",B360="2018 - kwh"),"2016 - kwh","")</f>
        <v/>
      </c>
      <c r="AC360" s="833"/>
      <c r="AD360" s="833"/>
      <c r="AE360" s="833"/>
    </row>
    <row r="361" spans="1:31" s="636" customFormat="1" hidden="1" x14ac:dyDescent="0.3">
      <c r="A361" s="706" t="str">
        <f>IF(AND(F362=G362,H362=I362,J362=K362,F362="A"),"2016 - kw",IF(AND(F362=G362,H362=I362,J362&lt;&gt;K362,F362="A"),"2017 - kw",IF(AND(F362=G362,H362&lt;&gt;I362,F362="A"),"2018 - kw","N/A")))</f>
        <v>N/A</v>
      </c>
      <c r="B361" s="706" t="str">
        <f>IF(F362&lt;&gt;G362,"2018 - kw",IF(H362&lt;&gt;I362,"2017 - kw",IF(J362&lt;&gt;K362,"2016 - kw","N/A")))</f>
        <v>N/A</v>
      </c>
      <c r="C361" s="611"/>
      <c r="D361" s="646" t="str">
        <f>D360 &amp; "kW"</f>
        <v>kW</v>
      </c>
      <c r="E361" s="702" t="s">
        <v>155</v>
      </c>
      <c r="F361" s="753"/>
      <c r="G361" s="753"/>
      <c r="H361" s="753"/>
      <c r="I361" s="753"/>
      <c r="J361" s="753"/>
      <c r="K361" s="753"/>
      <c r="L361" s="753"/>
      <c r="M361" s="753"/>
      <c r="N361" s="753"/>
      <c r="O361" s="753"/>
      <c r="P361" s="706"/>
      <c r="Q361" s="706"/>
      <c r="R361" s="706"/>
      <c r="S361" s="706"/>
      <c r="T361" s="706"/>
      <c r="U361" s="706"/>
      <c r="V361" s="706"/>
      <c r="Z361" s="833"/>
      <c r="AA361" s="833" t="str">
        <f>IF(AND(F362=G362,H362=I362,F362="A"),"2016 - kw","")</f>
        <v/>
      </c>
      <c r="AB361" s="833" t="str">
        <f>IF(OR(B361="2017 - kw",B361="2018 - kw"),"2016 - kw","")</f>
        <v/>
      </c>
      <c r="AC361" s="833"/>
      <c r="AD361" s="833"/>
      <c r="AE361" s="833"/>
    </row>
    <row r="362" spans="1:31" s="636" customFormat="1" hidden="1" x14ac:dyDescent="0.3">
      <c r="A362" s="706"/>
      <c r="B362" s="706"/>
      <c r="C362" s="614"/>
      <c r="D362" s="700"/>
      <c r="E362" s="701" t="s">
        <v>2120</v>
      </c>
      <c r="F362" s="752"/>
      <c r="G362" s="752"/>
      <c r="H362" s="752"/>
      <c r="I362" s="752"/>
      <c r="J362" s="752"/>
      <c r="K362" s="752"/>
      <c r="L362" s="752"/>
      <c r="M362" s="752"/>
      <c r="N362" s="752"/>
      <c r="O362" s="752"/>
      <c r="P362" s="706"/>
      <c r="Q362" s="706"/>
      <c r="R362" s="706"/>
      <c r="S362" s="706"/>
      <c r="T362" s="706"/>
      <c r="U362" s="706"/>
      <c r="V362" s="706"/>
      <c r="Z362" s="833"/>
      <c r="AA362" s="833"/>
      <c r="AB362" s="833"/>
      <c r="AC362" s="833"/>
      <c r="AD362" s="833"/>
      <c r="AE362" s="833"/>
    </row>
    <row r="363" spans="1:31" s="636" customFormat="1" hidden="1" x14ac:dyDescent="0.3">
      <c r="A363" s="706" t="str">
        <f>IF(AND(F365=G365,H365=I365,J365=K365,F365="A"),"2016 - kwh",IF(AND(F365=G365,H365=I365,J365&lt;&gt;K365,F365="A"),"2017 - kwh",IF(AND(F365=G365,H365&lt;&gt;I365,F365="A"),"2018 - kwh","N/A")))</f>
        <v>N/A</v>
      </c>
      <c r="B363" s="706" t="str">
        <f>IF(F365&lt;&gt;G365,"2018 - kwh",IF(H365&lt;&gt;I365,"2017 - kwh",IF(J365&lt;&gt;K365,"2016 - kwh","N/A")))</f>
        <v>N/A</v>
      </c>
      <c r="C363" s="610" t="s">
        <v>2249</v>
      </c>
      <c r="D363" s="754"/>
      <c r="E363" s="703" t="s">
        <v>154</v>
      </c>
      <c r="F363" s="753"/>
      <c r="G363" s="753"/>
      <c r="H363" s="753"/>
      <c r="I363" s="753"/>
      <c r="J363" s="753"/>
      <c r="K363" s="753"/>
      <c r="L363" s="753"/>
      <c r="M363" s="753"/>
      <c r="N363" s="753"/>
      <c r="O363" s="753"/>
      <c r="P363" s="706"/>
      <c r="Q363" s="706"/>
      <c r="R363" s="706"/>
      <c r="S363" s="706"/>
      <c r="T363" s="706"/>
      <c r="U363" s="706"/>
      <c r="V363" s="706"/>
      <c r="Z363" s="833"/>
      <c r="AA363" s="833" t="str">
        <f>IF(AND(F365=G365,H365=I365,F365="A"),"2016 - kwh","")</f>
        <v/>
      </c>
      <c r="AB363" s="833" t="str">
        <f>IF(OR(B363="2017 - kwh",B363="2018 - kwh"),"2016 - kwh","")</f>
        <v/>
      </c>
      <c r="AC363" s="833"/>
      <c r="AD363" s="833"/>
      <c r="AE363" s="833"/>
    </row>
    <row r="364" spans="1:31" s="636" customFormat="1" hidden="1" x14ac:dyDescent="0.3">
      <c r="A364" s="706" t="str">
        <f>IF(AND(F365=G365,H365=I365,J365=K365,F365="A"),"2016 - kw",IF(AND(F365=G365,H365=I365,J365&lt;&gt;K365,F365="A"),"2017 - kw",IF(AND(F365=G365,H365&lt;&gt;I365,F365="A"),"2018 - kw","N/A")))</f>
        <v>N/A</v>
      </c>
      <c r="B364" s="706" t="str">
        <f>IF(F365&lt;&gt;G365,"2018 - kw",IF(H365&lt;&gt;I365,"2017 - kw",IF(J365&lt;&gt;K365,"2016 - kw","N/A")))</f>
        <v>N/A</v>
      </c>
      <c r="C364" s="611"/>
      <c r="D364" s="646" t="str">
        <f>D363 &amp; "kW"</f>
        <v>kW</v>
      </c>
      <c r="E364" s="702" t="s">
        <v>155</v>
      </c>
      <c r="F364" s="753"/>
      <c r="G364" s="753"/>
      <c r="H364" s="753"/>
      <c r="I364" s="753"/>
      <c r="J364" s="753"/>
      <c r="K364" s="753"/>
      <c r="L364" s="753"/>
      <c r="M364" s="753"/>
      <c r="N364" s="753"/>
      <c r="O364" s="753"/>
      <c r="P364" s="706"/>
      <c r="Q364" s="706"/>
      <c r="R364" s="706"/>
      <c r="S364" s="706"/>
      <c r="T364" s="706"/>
      <c r="U364" s="706"/>
      <c r="V364" s="706"/>
      <c r="Z364" s="833"/>
      <c r="AA364" s="833" t="str">
        <f>IF(AND(F365=G365,H365=I365,F365="A"),"2016 - kw","")</f>
        <v/>
      </c>
      <c r="AB364" s="833" t="str">
        <f>IF(OR(B364="2017 - kw",B364="2018 - kw"),"2016 - kw","")</f>
        <v/>
      </c>
      <c r="AC364" s="833"/>
      <c r="AD364" s="833"/>
      <c r="AE364" s="833"/>
    </row>
    <row r="365" spans="1:31" s="636" customFormat="1" hidden="1" x14ac:dyDescent="0.3">
      <c r="A365" s="706"/>
      <c r="B365" s="706"/>
      <c r="C365" s="614"/>
      <c r="D365" s="700"/>
      <c r="E365" s="701" t="s">
        <v>2120</v>
      </c>
      <c r="F365" s="752"/>
      <c r="G365" s="752"/>
      <c r="H365" s="752"/>
      <c r="I365" s="752"/>
      <c r="J365" s="752"/>
      <c r="K365" s="752"/>
      <c r="L365" s="752"/>
      <c r="M365" s="752"/>
      <c r="N365" s="752"/>
      <c r="O365" s="752"/>
      <c r="P365" s="706"/>
      <c r="Q365" s="706"/>
      <c r="R365" s="706"/>
      <c r="S365" s="706"/>
      <c r="T365" s="706"/>
      <c r="U365" s="706"/>
      <c r="V365" s="706"/>
      <c r="Z365" s="833"/>
      <c r="AA365" s="833"/>
      <c r="AB365" s="833"/>
      <c r="AC365" s="833"/>
      <c r="AD365" s="833"/>
      <c r="AE365" s="833"/>
    </row>
    <row r="366" spans="1:31" s="636" customFormat="1" hidden="1" x14ac:dyDescent="0.3">
      <c r="A366" s="706" t="str">
        <f>IF(AND(F368=G368,H368=I368,J368=K368,F368="A"),"2016 - kwh",IF(AND(F368=G368,H368=I368,J368&lt;&gt;K368,F368="A"),"2017 - kwh",IF(AND(F368=G368,H368&lt;&gt;I368,F368="A"),"2018 - kwh","N/A")))</f>
        <v>N/A</v>
      </c>
      <c r="B366" s="706" t="str">
        <f>IF(F368&lt;&gt;G368,"2018 - kwh",IF(H368&lt;&gt;I368,"2017 - kwh",IF(J368&lt;&gt;K368,"2016 - kwh","N/A")))</f>
        <v>N/A</v>
      </c>
      <c r="C366" s="610" t="s">
        <v>2250</v>
      </c>
      <c r="D366" s="754"/>
      <c r="E366" s="703" t="s">
        <v>154</v>
      </c>
      <c r="F366" s="753"/>
      <c r="G366" s="753"/>
      <c r="H366" s="753"/>
      <c r="I366" s="753"/>
      <c r="J366" s="753"/>
      <c r="K366" s="753"/>
      <c r="L366" s="753"/>
      <c r="M366" s="753"/>
      <c r="N366" s="753"/>
      <c r="O366" s="753"/>
      <c r="P366" s="706"/>
      <c r="Q366" s="706"/>
      <c r="R366" s="706"/>
      <c r="S366" s="706"/>
      <c r="T366" s="706"/>
      <c r="U366" s="706"/>
      <c r="V366" s="706"/>
      <c r="Z366" s="833"/>
      <c r="AA366" s="833" t="str">
        <f>IF(AND(F368=G368,H368=I368,F368="A"),"2016 - kwh","")</f>
        <v/>
      </c>
      <c r="AB366" s="833" t="str">
        <f>IF(OR(B366="2017 - kwh",B366="2018 - kwh"),"2016 - kwh","")</f>
        <v/>
      </c>
      <c r="AC366" s="833"/>
      <c r="AD366" s="833"/>
      <c r="AE366" s="833"/>
    </row>
    <row r="367" spans="1:31" s="636" customFormat="1" hidden="1" x14ac:dyDescent="0.3">
      <c r="A367" s="706" t="str">
        <f>IF(AND(F368=G368,H368=I368,J368=K368,F368="A"),"2016 - kw",IF(AND(F368=G368,H368=I368,J368&lt;&gt;K368,F368="A"),"2017 - kw",IF(AND(F368=G368,H368&lt;&gt;I368,F368="A"),"2018 - kw","N/A")))</f>
        <v>N/A</v>
      </c>
      <c r="B367" s="706" t="str">
        <f>IF(F368&lt;&gt;G368,"2018 - kw",IF(H368&lt;&gt;I368,"2017 - kw",IF(J368&lt;&gt;K368,"2016 - kw","N/A")))</f>
        <v>N/A</v>
      </c>
      <c r="C367" s="611"/>
      <c r="D367" s="646" t="str">
        <f>D366 &amp; "kW"</f>
        <v>kW</v>
      </c>
      <c r="E367" s="702" t="s">
        <v>155</v>
      </c>
      <c r="F367" s="753"/>
      <c r="G367" s="753"/>
      <c r="H367" s="753"/>
      <c r="I367" s="753"/>
      <c r="J367" s="753"/>
      <c r="K367" s="753"/>
      <c r="L367" s="753"/>
      <c r="M367" s="753"/>
      <c r="N367" s="753"/>
      <c r="O367" s="753"/>
      <c r="P367" s="706"/>
      <c r="Q367" s="706"/>
      <c r="R367" s="706"/>
      <c r="S367" s="706"/>
      <c r="T367" s="706"/>
      <c r="U367" s="706"/>
      <c r="V367" s="706"/>
      <c r="Z367" s="833"/>
      <c r="AA367" s="833" t="str">
        <f>IF(AND(F368=G368,H368=I368,F368="A"),"2016 - kw","")</f>
        <v/>
      </c>
      <c r="AB367" s="833" t="str">
        <f>IF(OR(B367="2017 - kw",B367="2018 - kw"),"2016 - kw","")</f>
        <v/>
      </c>
      <c r="AC367" s="833"/>
      <c r="AD367" s="833"/>
      <c r="AE367" s="833"/>
    </row>
    <row r="368" spans="1:31" s="636" customFormat="1" hidden="1" x14ac:dyDescent="0.3">
      <c r="A368" s="706"/>
      <c r="B368" s="706"/>
      <c r="C368" s="614"/>
      <c r="D368" s="700"/>
      <c r="E368" s="701" t="s">
        <v>2120</v>
      </c>
      <c r="F368" s="752"/>
      <c r="G368" s="752"/>
      <c r="H368" s="752"/>
      <c r="I368" s="752"/>
      <c r="J368" s="752"/>
      <c r="K368" s="752"/>
      <c r="L368" s="752"/>
      <c r="M368" s="752"/>
      <c r="N368" s="752"/>
      <c r="O368" s="752"/>
      <c r="P368" s="706"/>
      <c r="Q368" s="706"/>
      <c r="R368" s="706"/>
      <c r="S368" s="706"/>
      <c r="T368" s="706"/>
      <c r="U368" s="706"/>
      <c r="V368" s="706"/>
      <c r="Z368" s="833"/>
      <c r="AA368" s="833"/>
      <c r="AB368" s="833"/>
      <c r="AC368" s="833"/>
      <c r="AD368" s="833"/>
      <c r="AE368" s="833"/>
    </row>
    <row r="369" spans="1:31" s="636" customFormat="1" hidden="1" x14ac:dyDescent="0.3">
      <c r="A369" s="706" t="str">
        <f>IF(AND(F371=G371,H371=I371,J371=K371,F371="A"),"2016 - kwh",IF(AND(F371=G371,H371=I371,J371&lt;&gt;K371,F371="A"),"2017 - kwh",IF(AND(F371=G371,H371&lt;&gt;I371,F371="A"),"2018 - kwh","N/A")))</f>
        <v>N/A</v>
      </c>
      <c r="B369" s="706" t="str">
        <f>IF(F371&lt;&gt;G371,"2018 - kwh",IF(H371&lt;&gt;I371,"2017 - kwh",IF(J371&lt;&gt;K371,"2016 - kwh","N/A")))</f>
        <v>N/A</v>
      </c>
      <c r="C369" s="610" t="s">
        <v>2251</v>
      </c>
      <c r="D369" s="754"/>
      <c r="E369" s="703" t="s">
        <v>154</v>
      </c>
      <c r="F369" s="753"/>
      <c r="G369" s="753"/>
      <c r="H369" s="753"/>
      <c r="I369" s="753"/>
      <c r="J369" s="753"/>
      <c r="K369" s="753"/>
      <c r="L369" s="753"/>
      <c r="M369" s="753"/>
      <c r="N369" s="753"/>
      <c r="O369" s="753"/>
      <c r="P369" s="706"/>
      <c r="Q369" s="706"/>
      <c r="R369" s="706"/>
      <c r="S369" s="706"/>
      <c r="T369" s="706"/>
      <c r="U369" s="706"/>
      <c r="V369" s="706"/>
      <c r="Z369" s="833"/>
      <c r="AA369" s="833" t="str">
        <f>IF(AND(F371=G371,H371=I371,F371="A"),"2016 - kwh","")</f>
        <v/>
      </c>
      <c r="AB369" s="833" t="str">
        <f>IF(OR(B369="2017 - kwh",B369="2018 - kwh"),"2016 - kwh","")</f>
        <v/>
      </c>
      <c r="AC369" s="833"/>
      <c r="AD369" s="833"/>
      <c r="AE369" s="833"/>
    </row>
    <row r="370" spans="1:31" s="636" customFormat="1" hidden="1" x14ac:dyDescent="0.3">
      <c r="A370" s="706" t="str">
        <f>IF(AND(F371=G371,H371=I371,J371=K371,F371="A"),"2016 - kw",IF(AND(F371=G371,H371=I371,J371&lt;&gt;K371,F371="A"),"2017 - kw",IF(AND(F371=G371,H371&lt;&gt;I371,F371="A"),"2018 - kw","N/A")))</f>
        <v>N/A</v>
      </c>
      <c r="B370" s="706" t="str">
        <f>IF(F371&lt;&gt;G371,"2018 - kw",IF(H371&lt;&gt;I371,"2017 - kw",IF(J371&lt;&gt;K371,"2016 - kw","N/A")))</f>
        <v>N/A</v>
      </c>
      <c r="C370" s="611"/>
      <c r="D370" s="646" t="str">
        <f>D369 &amp; "kW"</f>
        <v>kW</v>
      </c>
      <c r="E370" s="702" t="s">
        <v>155</v>
      </c>
      <c r="F370" s="753"/>
      <c r="G370" s="753"/>
      <c r="H370" s="753"/>
      <c r="I370" s="753"/>
      <c r="J370" s="753"/>
      <c r="K370" s="753"/>
      <c r="L370" s="753"/>
      <c r="M370" s="753"/>
      <c r="N370" s="753"/>
      <c r="O370" s="753"/>
      <c r="P370" s="706"/>
      <c r="Q370" s="706"/>
      <c r="R370" s="706"/>
      <c r="S370" s="706"/>
      <c r="T370" s="706"/>
      <c r="U370" s="706"/>
      <c r="V370" s="706"/>
      <c r="Z370" s="833"/>
      <c r="AA370" s="833" t="str">
        <f>IF(AND(F371=G371,H371=I371,F371="A"),"2016 - kw","")</f>
        <v/>
      </c>
      <c r="AB370" s="833" t="str">
        <f>IF(OR(B370="2017 - kw",B370="2018 - kw"),"2016 - kw","")</f>
        <v/>
      </c>
      <c r="AC370" s="833"/>
      <c r="AD370" s="833"/>
      <c r="AE370" s="833"/>
    </row>
    <row r="371" spans="1:31" s="636" customFormat="1" hidden="1" x14ac:dyDescent="0.3">
      <c r="A371" s="706"/>
      <c r="B371" s="706"/>
      <c r="C371" s="614"/>
      <c r="D371" s="700"/>
      <c r="E371" s="701" t="s">
        <v>2120</v>
      </c>
      <c r="F371" s="752"/>
      <c r="G371" s="752"/>
      <c r="H371" s="752"/>
      <c r="I371" s="752"/>
      <c r="J371" s="752"/>
      <c r="K371" s="752"/>
      <c r="L371" s="752"/>
      <c r="M371" s="752"/>
      <c r="N371" s="752"/>
      <c r="O371" s="752"/>
      <c r="P371" s="706"/>
      <c r="Q371" s="706"/>
      <c r="R371" s="706"/>
      <c r="S371" s="706"/>
      <c r="T371" s="706"/>
      <c r="U371" s="706"/>
      <c r="V371" s="706"/>
      <c r="Z371" s="833"/>
      <c r="AA371" s="833"/>
      <c r="AB371" s="833"/>
      <c r="AC371" s="833"/>
      <c r="AD371" s="833"/>
      <c r="AE371" s="833"/>
    </row>
    <row r="372" spans="1:31" s="636" customFormat="1" hidden="1" x14ac:dyDescent="0.3">
      <c r="A372" s="706" t="str">
        <f>IF(AND(F374=G374,H374=I374,J374=K374,F374="A"),"2016 - kwh",IF(AND(F374=G374,H374=I374,J374&lt;&gt;K374,F374="A"),"2017 - kwh",IF(AND(F374=G374,H374&lt;&gt;I374,F374="A"),"2018 - kwh","N/A")))</f>
        <v>N/A</v>
      </c>
      <c r="B372" s="706" t="str">
        <f>IF(F374&lt;&gt;G374,"2018 - kwh",IF(H374&lt;&gt;I374,"2017 - kwh",IF(J374&lt;&gt;K374,"2016 - kwh","N/A")))</f>
        <v>N/A</v>
      </c>
      <c r="C372" s="610" t="s">
        <v>2252</v>
      </c>
      <c r="D372" s="754"/>
      <c r="E372" s="703" t="s">
        <v>154</v>
      </c>
      <c r="F372" s="753"/>
      <c r="G372" s="753"/>
      <c r="H372" s="753"/>
      <c r="I372" s="753"/>
      <c r="J372" s="753"/>
      <c r="K372" s="753"/>
      <c r="L372" s="753"/>
      <c r="M372" s="753"/>
      <c r="N372" s="753"/>
      <c r="O372" s="753"/>
      <c r="P372" s="706"/>
      <c r="Q372" s="706"/>
      <c r="R372" s="706"/>
      <c r="S372" s="706"/>
      <c r="T372" s="706"/>
      <c r="U372" s="706"/>
      <c r="V372" s="706"/>
      <c r="Z372" s="833"/>
      <c r="AA372" s="833" t="str">
        <f>IF(AND(F374=G374,H374=I374,F374="A"),"2016 - kwh","")</f>
        <v/>
      </c>
      <c r="AB372" s="833" t="str">
        <f>IF(OR(B372="2017 - kwh",B372="2018 - kwh"),"2016 - kwh","")</f>
        <v/>
      </c>
      <c r="AC372" s="833"/>
      <c r="AD372" s="833"/>
      <c r="AE372" s="833"/>
    </row>
    <row r="373" spans="1:31" s="636" customFormat="1" hidden="1" x14ac:dyDescent="0.3">
      <c r="A373" s="706" t="str">
        <f>IF(AND(F374=G374,H374=I374,J374=K374,F374="A"),"2016 - kw",IF(AND(F374=G374,H374=I374,J374&lt;&gt;K374,F374="A"),"2017 - kw",IF(AND(F374=G374,H374&lt;&gt;I374,F374="A"),"2018 - kw","N/A")))</f>
        <v>N/A</v>
      </c>
      <c r="B373" s="706" t="str">
        <f>IF(F374&lt;&gt;G374,"2018 - kw",IF(H374&lt;&gt;I374,"2017 - kw",IF(J374&lt;&gt;K374,"2016 - kw","N/A")))</f>
        <v>N/A</v>
      </c>
      <c r="C373" s="611"/>
      <c r="D373" s="646" t="str">
        <f>D372 &amp; "kW"</f>
        <v>kW</v>
      </c>
      <c r="E373" s="702" t="s">
        <v>155</v>
      </c>
      <c r="F373" s="753"/>
      <c r="G373" s="753"/>
      <c r="H373" s="753"/>
      <c r="I373" s="753"/>
      <c r="J373" s="753"/>
      <c r="K373" s="753"/>
      <c r="L373" s="753"/>
      <c r="M373" s="753"/>
      <c r="N373" s="753"/>
      <c r="O373" s="753"/>
      <c r="P373" s="706"/>
      <c r="Q373" s="706"/>
      <c r="R373" s="706"/>
      <c r="S373" s="706"/>
      <c r="T373" s="706"/>
      <c r="U373" s="706"/>
      <c r="V373" s="706"/>
      <c r="Z373" s="833"/>
      <c r="AA373" s="833" t="str">
        <f>IF(AND(F374=G374,H374=I374,F374="A"),"2016 - kw","")</f>
        <v/>
      </c>
      <c r="AB373" s="833" t="str">
        <f>IF(OR(B373="2017 - kw",B373="2018 - kw"),"2016 - kw","")</f>
        <v/>
      </c>
      <c r="AC373" s="833"/>
      <c r="AD373" s="833"/>
      <c r="AE373" s="833"/>
    </row>
    <row r="374" spans="1:31" s="636" customFormat="1" hidden="1" x14ac:dyDescent="0.3">
      <c r="A374" s="706"/>
      <c r="B374" s="706"/>
      <c r="C374" s="614"/>
      <c r="D374" s="700"/>
      <c r="E374" s="701" t="s">
        <v>2120</v>
      </c>
      <c r="F374" s="752"/>
      <c r="G374" s="752"/>
      <c r="H374" s="752"/>
      <c r="I374" s="752"/>
      <c r="J374" s="752"/>
      <c r="K374" s="752"/>
      <c r="L374" s="752"/>
      <c r="M374" s="752"/>
      <c r="N374" s="752"/>
      <c r="O374" s="752"/>
      <c r="P374" s="706"/>
      <c r="Q374" s="706"/>
      <c r="R374" s="706"/>
      <c r="S374" s="706"/>
      <c r="T374" s="706"/>
      <c r="U374" s="706"/>
      <c r="V374" s="706"/>
      <c r="Z374" s="833"/>
      <c r="AA374" s="833"/>
      <c r="AB374" s="833"/>
      <c r="AC374" s="833"/>
      <c r="AD374" s="833"/>
      <c r="AE374" s="833"/>
    </row>
    <row r="375" spans="1:31" s="636" customFormat="1" hidden="1" x14ac:dyDescent="0.3">
      <c r="A375" s="706" t="str">
        <f>IF(AND(F377=G377,H377=I377,J377=K377,F377="A"),"2016 - kwh",IF(AND(F377=G377,H377=I377,J377&lt;&gt;K377,F377="A"),"2017 - kwh",IF(AND(F377=G377,H377&lt;&gt;I377,F377="A"),"2018 - kwh","N/A")))</f>
        <v>N/A</v>
      </c>
      <c r="B375" s="706" t="str">
        <f>IF(F377&lt;&gt;G377,"2018 - kwh",IF(H377&lt;&gt;I377,"2017 - kwh",IF(J377&lt;&gt;K377,"2016 - kwh","N/A")))</f>
        <v>N/A</v>
      </c>
      <c r="C375" s="610" t="s">
        <v>2253</v>
      </c>
      <c r="D375" s="754"/>
      <c r="E375" s="703" t="s">
        <v>154</v>
      </c>
      <c r="F375" s="753"/>
      <c r="G375" s="753"/>
      <c r="H375" s="753"/>
      <c r="I375" s="753"/>
      <c r="J375" s="753"/>
      <c r="K375" s="753"/>
      <c r="L375" s="753"/>
      <c r="M375" s="753"/>
      <c r="N375" s="753"/>
      <c r="O375" s="753"/>
      <c r="P375" s="706"/>
      <c r="Q375" s="706"/>
      <c r="R375" s="706"/>
      <c r="S375" s="706"/>
      <c r="T375" s="706"/>
      <c r="U375" s="706"/>
      <c r="V375" s="706"/>
      <c r="Z375" s="833"/>
      <c r="AA375" s="833" t="str">
        <f>IF(AND(F377=G377,H377=I377,F377="A"),"2016 - kwh","")</f>
        <v/>
      </c>
      <c r="AB375" s="833" t="str">
        <f>IF(OR(B375="2017 - kwh",B375="2018 - kwh"),"2016 - kwh","")</f>
        <v/>
      </c>
      <c r="AC375" s="833"/>
      <c r="AD375" s="833"/>
      <c r="AE375" s="833"/>
    </row>
    <row r="376" spans="1:31" s="636" customFormat="1" hidden="1" x14ac:dyDescent="0.3">
      <c r="A376" s="706" t="str">
        <f>IF(AND(F377=G377,H377=I377,J377=K377,F377="A"),"2016 - kw",IF(AND(F377=G377,H377=I377,J377&lt;&gt;K377,F377="A"),"2017 - kw",IF(AND(F377=G377,H377&lt;&gt;I377,F377="A"),"2018 - kw","N/A")))</f>
        <v>N/A</v>
      </c>
      <c r="B376" s="706" t="str">
        <f>IF(F377&lt;&gt;G377,"2018 - kw",IF(H377&lt;&gt;I377,"2017 - kw",IF(J377&lt;&gt;K377,"2016 - kw","N/A")))</f>
        <v>N/A</v>
      </c>
      <c r="C376" s="611"/>
      <c r="D376" s="646" t="str">
        <f>D375 &amp; "kW"</f>
        <v>kW</v>
      </c>
      <c r="E376" s="702" t="s">
        <v>155</v>
      </c>
      <c r="F376" s="753"/>
      <c r="G376" s="753"/>
      <c r="H376" s="753"/>
      <c r="I376" s="753"/>
      <c r="J376" s="753"/>
      <c r="K376" s="753"/>
      <c r="L376" s="753"/>
      <c r="M376" s="753"/>
      <c r="N376" s="753"/>
      <c r="O376" s="753"/>
      <c r="P376" s="706"/>
      <c r="Q376" s="706"/>
      <c r="R376" s="706"/>
      <c r="S376" s="706"/>
      <c r="T376" s="706"/>
      <c r="U376" s="706"/>
      <c r="V376" s="706"/>
      <c r="Z376" s="833"/>
      <c r="AA376" s="833" t="str">
        <f>IF(AND(F377=G377,H377=I377,F377="A"),"2016 - kw","")</f>
        <v/>
      </c>
      <c r="AB376" s="833" t="str">
        <f>IF(OR(B376="2017 - kw",B376="2018 - kw"),"2016 - kw","")</f>
        <v/>
      </c>
      <c r="AC376" s="833"/>
      <c r="AD376" s="833"/>
      <c r="AE376" s="833"/>
    </row>
    <row r="377" spans="1:31" s="636" customFormat="1" hidden="1" x14ac:dyDescent="0.3">
      <c r="A377" s="706"/>
      <c r="B377" s="706"/>
      <c r="C377" s="614"/>
      <c r="D377" s="700"/>
      <c r="E377" s="701" t="s">
        <v>2120</v>
      </c>
      <c r="F377" s="752"/>
      <c r="G377" s="752"/>
      <c r="H377" s="752"/>
      <c r="I377" s="752"/>
      <c r="J377" s="752"/>
      <c r="K377" s="752"/>
      <c r="L377" s="752"/>
      <c r="M377" s="752"/>
      <c r="N377" s="752"/>
      <c r="O377" s="752"/>
      <c r="P377" s="706"/>
      <c r="Q377" s="706"/>
      <c r="R377" s="706"/>
      <c r="S377" s="706"/>
      <c r="T377" s="706"/>
      <c r="U377" s="706"/>
      <c r="V377" s="706"/>
      <c r="Z377" s="833"/>
      <c r="AA377" s="833"/>
      <c r="AB377" s="833"/>
      <c r="AC377" s="833"/>
      <c r="AD377" s="833"/>
      <c r="AE377" s="833"/>
    </row>
    <row r="378" spans="1:31" s="636" customFormat="1" hidden="1" x14ac:dyDescent="0.3">
      <c r="A378" s="706" t="str">
        <f>IF(AND(F380=G380,H380=I380,J380=K380,F380="A"),"2016 - kwh",IF(AND(F380=G380,H380=I380,J380&lt;&gt;K380,F380="A"),"2017 - kwh",IF(AND(F380=G380,H380&lt;&gt;I380,F380="A"),"2018 - kwh","N/A")))</f>
        <v>N/A</v>
      </c>
      <c r="B378" s="706" t="str">
        <f>IF(F380&lt;&gt;G380,"2018 - kwh",IF(H380&lt;&gt;I380,"2017 - kwh",IF(J380&lt;&gt;K380,"2016 - kwh","N/A")))</f>
        <v>N/A</v>
      </c>
      <c r="C378" s="610" t="s">
        <v>2254</v>
      </c>
      <c r="D378" s="754"/>
      <c r="E378" s="703" t="s">
        <v>154</v>
      </c>
      <c r="F378" s="753"/>
      <c r="G378" s="753"/>
      <c r="H378" s="753"/>
      <c r="I378" s="753"/>
      <c r="J378" s="753"/>
      <c r="K378" s="753"/>
      <c r="L378" s="753"/>
      <c r="M378" s="753"/>
      <c r="N378" s="753"/>
      <c r="O378" s="753"/>
      <c r="P378" s="706"/>
      <c r="Q378" s="706"/>
      <c r="R378" s="706"/>
      <c r="S378" s="706"/>
      <c r="T378" s="706"/>
      <c r="U378" s="706"/>
      <c r="V378" s="706"/>
      <c r="Z378" s="833"/>
      <c r="AA378" s="833" t="str">
        <f>IF(AND(F380=G380,H380=I380,F380="A"),"2016 - kwh","")</f>
        <v/>
      </c>
      <c r="AB378" s="833" t="str">
        <f>IF(OR(B378="2017 - kwh",B378="2018 - kwh"),"2016 - kwh","")</f>
        <v/>
      </c>
      <c r="AC378" s="833"/>
      <c r="AD378" s="833"/>
      <c r="AE378" s="833"/>
    </row>
    <row r="379" spans="1:31" s="636" customFormat="1" hidden="1" x14ac:dyDescent="0.3">
      <c r="A379" s="706" t="str">
        <f>IF(AND(F380=G380,H380=I380,J380=K380,F380="A"),"2016 - kw",IF(AND(F380=G380,H380=I380,J380&lt;&gt;K380,F380="A"),"2017 - kw",IF(AND(F380=G380,H380&lt;&gt;I380,F380="A"),"2018 - kw","N/A")))</f>
        <v>N/A</v>
      </c>
      <c r="B379" s="706" t="str">
        <f>IF(F380&lt;&gt;G380,"2018 - kw",IF(H380&lt;&gt;I380,"2017 - kw",IF(J380&lt;&gt;K380,"2016 - kw","N/A")))</f>
        <v>N/A</v>
      </c>
      <c r="C379" s="611"/>
      <c r="D379" s="646" t="str">
        <f>D378 &amp; "kW"</f>
        <v>kW</v>
      </c>
      <c r="E379" s="702" t="s">
        <v>155</v>
      </c>
      <c r="F379" s="753"/>
      <c r="G379" s="753"/>
      <c r="H379" s="753"/>
      <c r="I379" s="753"/>
      <c r="J379" s="753"/>
      <c r="K379" s="753"/>
      <c r="L379" s="753"/>
      <c r="M379" s="753"/>
      <c r="N379" s="753"/>
      <c r="O379" s="753"/>
      <c r="P379" s="706"/>
      <c r="Q379" s="706"/>
      <c r="R379" s="706"/>
      <c r="S379" s="706"/>
      <c r="T379" s="706"/>
      <c r="U379" s="706"/>
      <c r="V379" s="706"/>
      <c r="Z379" s="833"/>
      <c r="AA379" s="833" t="str">
        <f>IF(AND(F380=G380,H380=I380,F380="A"),"2016 - kw","")</f>
        <v/>
      </c>
      <c r="AB379" s="833" t="str">
        <f>IF(OR(B379="2017 - kw",B379="2018 - kw"),"2016 - kw","")</f>
        <v/>
      </c>
      <c r="AC379" s="833"/>
      <c r="AD379" s="833"/>
      <c r="AE379" s="833"/>
    </row>
    <row r="380" spans="1:31" s="636" customFormat="1" hidden="1" x14ac:dyDescent="0.3">
      <c r="A380" s="706"/>
      <c r="B380" s="706"/>
      <c r="C380" s="614"/>
      <c r="D380" s="700"/>
      <c r="E380" s="701" t="s">
        <v>2120</v>
      </c>
      <c r="F380" s="752"/>
      <c r="G380" s="752"/>
      <c r="H380" s="752"/>
      <c r="I380" s="752"/>
      <c r="J380" s="752"/>
      <c r="K380" s="752"/>
      <c r="L380" s="752"/>
      <c r="M380" s="752"/>
      <c r="N380" s="752"/>
      <c r="O380" s="752"/>
      <c r="P380" s="706"/>
      <c r="Q380" s="706"/>
      <c r="R380" s="706"/>
      <c r="S380" s="706"/>
      <c r="T380" s="706"/>
      <c r="U380" s="706"/>
      <c r="V380" s="706"/>
      <c r="Z380" s="833"/>
      <c r="AA380" s="833"/>
      <c r="AB380" s="833"/>
      <c r="AC380" s="833"/>
      <c r="AD380" s="833"/>
      <c r="AE380" s="833"/>
    </row>
    <row r="381" spans="1:31" s="636" customFormat="1" hidden="1" x14ac:dyDescent="0.3">
      <c r="A381" s="706" t="str">
        <f>IF(AND(F383=G383,H383=I383,J383=K383,F383="A"),"2016 - kwh",IF(AND(F383=G383,H383=I383,J383&lt;&gt;K383,F383="A"),"2017 - kwh",IF(AND(F383=G383,H383&lt;&gt;I383,F383="A"),"2018 - kwh","N/A")))</f>
        <v>N/A</v>
      </c>
      <c r="B381" s="706" t="str">
        <f>IF(F383&lt;&gt;G383,"2018 - kwh",IF(H383&lt;&gt;I383,"2017 - kwh",IF(J383&lt;&gt;K383,"2016 - kwh","N/A")))</f>
        <v>N/A</v>
      </c>
      <c r="C381" s="610" t="s">
        <v>2255</v>
      </c>
      <c r="D381" s="754"/>
      <c r="E381" s="703" t="s">
        <v>154</v>
      </c>
      <c r="F381" s="753"/>
      <c r="G381" s="753"/>
      <c r="H381" s="753"/>
      <c r="I381" s="753"/>
      <c r="J381" s="753"/>
      <c r="K381" s="753"/>
      <c r="L381" s="753"/>
      <c r="M381" s="753"/>
      <c r="N381" s="753"/>
      <c r="O381" s="753"/>
      <c r="P381" s="706"/>
      <c r="Q381" s="706"/>
      <c r="R381" s="706"/>
      <c r="S381" s="706"/>
      <c r="T381" s="706"/>
      <c r="U381" s="706"/>
      <c r="V381" s="706"/>
      <c r="Z381" s="833"/>
      <c r="AA381" s="833" t="str">
        <f>IF(AND(F383=G383,H383=I383,F383="A"),"2016 - kwh","")</f>
        <v/>
      </c>
      <c r="AB381" s="833" t="str">
        <f>IF(OR(B381="2017 - kwh",B381="2018 - kwh"),"2016 - kwh","")</f>
        <v/>
      </c>
      <c r="AC381" s="833"/>
      <c r="AD381" s="833"/>
      <c r="AE381" s="833"/>
    </row>
    <row r="382" spans="1:31" s="636" customFormat="1" hidden="1" x14ac:dyDescent="0.3">
      <c r="A382" s="706" t="str">
        <f>IF(AND(F383=G383,H383=I383,J383=K383,F383="A"),"2016 - kw",IF(AND(F383=G383,H383=I383,J383&lt;&gt;K383,F383="A"),"2017 - kw",IF(AND(F383=G383,H383&lt;&gt;I383,F383="A"),"2018 - kw","N/A")))</f>
        <v>N/A</v>
      </c>
      <c r="B382" s="706" t="str">
        <f>IF(F383&lt;&gt;G383,"2018 - kw",IF(H383&lt;&gt;I383,"2017 - kw",IF(J383&lt;&gt;K383,"2016 - kw","N/A")))</f>
        <v>N/A</v>
      </c>
      <c r="C382" s="611"/>
      <c r="D382" s="646" t="str">
        <f>D381 &amp; "kW"</f>
        <v>kW</v>
      </c>
      <c r="E382" s="702" t="s">
        <v>155</v>
      </c>
      <c r="F382" s="753"/>
      <c r="G382" s="753"/>
      <c r="H382" s="753"/>
      <c r="I382" s="753"/>
      <c r="J382" s="753"/>
      <c r="K382" s="753"/>
      <c r="L382" s="753"/>
      <c r="M382" s="753"/>
      <c r="N382" s="753"/>
      <c r="O382" s="753"/>
      <c r="P382" s="706"/>
      <c r="Q382" s="706"/>
      <c r="R382" s="706"/>
      <c r="S382" s="706"/>
      <c r="T382" s="706"/>
      <c r="U382" s="706"/>
      <c r="V382" s="706"/>
      <c r="Z382" s="833"/>
      <c r="AA382" s="833" t="str">
        <f>IF(AND(F383=G383,H383=I383,F383="A"),"2016 - kw","")</f>
        <v/>
      </c>
      <c r="AB382" s="833" t="str">
        <f>IF(OR(B382="2017 - kw",B382="2018 - kw"),"2016 - kw","")</f>
        <v/>
      </c>
      <c r="AC382" s="833"/>
      <c r="AD382" s="833"/>
      <c r="AE382" s="833"/>
    </row>
    <row r="383" spans="1:31" s="636" customFormat="1" hidden="1" x14ac:dyDescent="0.3">
      <c r="A383" s="706"/>
      <c r="B383" s="706"/>
      <c r="C383" s="614"/>
      <c r="D383" s="700"/>
      <c r="E383" s="701" t="s">
        <v>2120</v>
      </c>
      <c r="F383" s="752"/>
      <c r="G383" s="752"/>
      <c r="H383" s="752"/>
      <c r="I383" s="752"/>
      <c r="J383" s="752"/>
      <c r="K383" s="752"/>
      <c r="L383" s="752"/>
      <c r="M383" s="752"/>
      <c r="N383" s="752"/>
      <c r="O383" s="752"/>
      <c r="P383" s="706"/>
      <c r="Q383" s="706"/>
      <c r="R383" s="706"/>
      <c r="S383" s="706"/>
      <c r="T383" s="706"/>
      <c r="U383" s="706"/>
      <c r="V383" s="706"/>
      <c r="Z383" s="833"/>
      <c r="AA383" s="833"/>
      <c r="AB383" s="833"/>
      <c r="AC383" s="833"/>
      <c r="AD383" s="833"/>
      <c r="AE383" s="833"/>
    </row>
    <row r="384" spans="1:31" s="636" customFormat="1" hidden="1" x14ac:dyDescent="0.3">
      <c r="A384" s="706" t="str">
        <f>IF(AND(F386=G386,H386=I386,J386=K386,F386="A"),"2016 - kwh",IF(AND(F386=G386,H386=I386,J386&lt;&gt;K386,F386="A"),"2017 - kwh",IF(AND(F386=G386,H386&lt;&gt;I386,F386="A"),"2018 - kwh","N/A")))</f>
        <v>N/A</v>
      </c>
      <c r="B384" s="706" t="str">
        <f>IF(F386&lt;&gt;G386,"2018 - kwh",IF(H386&lt;&gt;I386,"2017 - kwh",IF(J386&lt;&gt;K386,"2016 - kwh","N/A")))</f>
        <v>N/A</v>
      </c>
      <c r="C384" s="610" t="s">
        <v>2256</v>
      </c>
      <c r="D384" s="754"/>
      <c r="E384" s="703" t="s">
        <v>154</v>
      </c>
      <c r="F384" s="753"/>
      <c r="G384" s="753"/>
      <c r="H384" s="753"/>
      <c r="I384" s="753"/>
      <c r="J384" s="753"/>
      <c r="K384" s="753"/>
      <c r="L384" s="753"/>
      <c r="M384" s="753"/>
      <c r="N384" s="753"/>
      <c r="O384" s="753"/>
      <c r="P384" s="706"/>
      <c r="Q384" s="706"/>
      <c r="R384" s="706"/>
      <c r="S384" s="706"/>
      <c r="T384" s="706"/>
      <c r="U384" s="706"/>
      <c r="V384" s="706"/>
      <c r="Z384" s="833"/>
      <c r="AA384" s="833" t="str">
        <f>IF(AND(F386=G386,H386=I386,F386="A"),"2016 - kwh","")</f>
        <v/>
      </c>
      <c r="AB384" s="833" t="str">
        <f>IF(OR(B384="2017 - kwh",B384="2018 - kwh"),"2016 - kwh","")</f>
        <v/>
      </c>
      <c r="AC384" s="833"/>
      <c r="AD384" s="833"/>
      <c r="AE384" s="833"/>
    </row>
    <row r="385" spans="1:31" s="636" customFormat="1" hidden="1" x14ac:dyDescent="0.3">
      <c r="A385" s="706" t="str">
        <f>IF(AND(F386=G386,H386=I386,J386=K386,F386="A"),"2016 - kw",IF(AND(F386=G386,H386=I386,J386&lt;&gt;K386,F386="A"),"2017 - kw",IF(AND(F386=G386,H386&lt;&gt;I386,F386="A"),"2018 - kw","N/A")))</f>
        <v>N/A</v>
      </c>
      <c r="B385" s="706" t="str">
        <f>IF(F386&lt;&gt;G386,"2018 - kw",IF(H386&lt;&gt;I386,"2017 - kw",IF(J386&lt;&gt;K386,"2016 - kw","N/A")))</f>
        <v>N/A</v>
      </c>
      <c r="C385" s="611"/>
      <c r="D385" s="646" t="str">
        <f>D384 &amp; "kW"</f>
        <v>kW</v>
      </c>
      <c r="E385" s="702" t="s">
        <v>155</v>
      </c>
      <c r="F385" s="753"/>
      <c r="G385" s="753"/>
      <c r="H385" s="753"/>
      <c r="I385" s="753"/>
      <c r="J385" s="753"/>
      <c r="K385" s="753"/>
      <c r="L385" s="753"/>
      <c r="M385" s="753"/>
      <c r="N385" s="753"/>
      <c r="O385" s="753"/>
      <c r="P385" s="706"/>
      <c r="Q385" s="706"/>
      <c r="R385" s="706"/>
      <c r="S385" s="706"/>
      <c r="T385" s="706"/>
      <c r="U385" s="706"/>
      <c r="V385" s="706"/>
      <c r="Z385" s="833"/>
      <c r="AA385" s="833" t="str">
        <f>IF(AND(F386=G386,H386=I386,F386="A"),"2016 - kw","")</f>
        <v/>
      </c>
      <c r="AB385" s="833" t="str">
        <f>IF(OR(B385="2017 - kw",B385="2018 - kw"),"2016 - kw","")</f>
        <v/>
      </c>
      <c r="AC385" s="833"/>
      <c r="AD385" s="833"/>
      <c r="AE385" s="833"/>
    </row>
    <row r="386" spans="1:31" s="636" customFormat="1" hidden="1" x14ac:dyDescent="0.3">
      <c r="A386" s="706"/>
      <c r="B386" s="706"/>
      <c r="C386" s="614"/>
      <c r="D386" s="700"/>
      <c r="E386" s="701" t="s">
        <v>2120</v>
      </c>
      <c r="F386" s="752"/>
      <c r="G386" s="752"/>
      <c r="H386" s="752"/>
      <c r="I386" s="752"/>
      <c r="J386" s="752"/>
      <c r="K386" s="752"/>
      <c r="L386" s="752"/>
      <c r="M386" s="752"/>
      <c r="N386" s="752"/>
      <c r="O386" s="752"/>
      <c r="P386" s="706"/>
      <c r="Q386" s="706"/>
      <c r="R386" s="706"/>
      <c r="S386" s="706"/>
      <c r="T386" s="706"/>
      <c r="U386" s="706"/>
      <c r="V386" s="706"/>
      <c r="Z386" s="833"/>
      <c r="AA386" s="833"/>
      <c r="AB386" s="833"/>
      <c r="AC386" s="833"/>
      <c r="AD386" s="833"/>
      <c r="AE386" s="833"/>
    </row>
    <row r="387" spans="1:31" s="636" customFormat="1" hidden="1" x14ac:dyDescent="0.3">
      <c r="A387" s="706" t="str">
        <f>IF(AND(F389=G389,H389=I389,J389=K389,F389="A"),"2016 - kwh",IF(AND(F389=G389,H389=I389,J389&lt;&gt;K389,F389="A"),"2017 - kwh",IF(AND(F389=G389,H389&lt;&gt;I389,F389="A"),"2018 - kwh","N/A")))</f>
        <v>N/A</v>
      </c>
      <c r="B387" s="706" t="str">
        <f>IF(F389&lt;&gt;G389,"2018 - kwh",IF(H389&lt;&gt;I389,"2017 - kwh",IF(J389&lt;&gt;K389,"2016 - kwh","N/A")))</f>
        <v>N/A</v>
      </c>
      <c r="C387" s="610" t="s">
        <v>2257</v>
      </c>
      <c r="D387" s="754"/>
      <c r="E387" s="703" t="s">
        <v>154</v>
      </c>
      <c r="F387" s="753"/>
      <c r="G387" s="753"/>
      <c r="H387" s="753"/>
      <c r="I387" s="753"/>
      <c r="J387" s="753"/>
      <c r="K387" s="753"/>
      <c r="L387" s="753"/>
      <c r="M387" s="753"/>
      <c r="N387" s="753"/>
      <c r="O387" s="753"/>
      <c r="P387" s="706"/>
      <c r="Q387" s="706"/>
      <c r="R387" s="706"/>
      <c r="S387" s="706"/>
      <c r="T387" s="706"/>
      <c r="U387" s="706"/>
      <c r="V387" s="706"/>
      <c r="Z387" s="833"/>
      <c r="AA387" s="833" t="str">
        <f>IF(AND(F389=G389,H389=I389,F389="A"),"2016 - kwh","")</f>
        <v/>
      </c>
      <c r="AB387" s="833" t="str">
        <f>IF(OR(B387="2017 - kwh",B387="2018 - kwh"),"2016 - kwh","")</f>
        <v/>
      </c>
      <c r="AC387" s="833"/>
      <c r="AD387" s="833"/>
      <c r="AE387" s="833"/>
    </row>
    <row r="388" spans="1:31" s="636" customFormat="1" hidden="1" x14ac:dyDescent="0.3">
      <c r="A388" s="706" t="str">
        <f>IF(AND(F389=G389,H389=I389,J389=K389,F389="A"),"2016 - kw",IF(AND(F389=G389,H389=I389,J389&lt;&gt;K389,F389="A"),"2017 - kw",IF(AND(F389=G389,H389&lt;&gt;I389,F389="A"),"2018 - kw","N/A")))</f>
        <v>N/A</v>
      </c>
      <c r="B388" s="706" t="str">
        <f>IF(F389&lt;&gt;G389,"2018 - kw",IF(H389&lt;&gt;I389,"2017 - kw",IF(J389&lt;&gt;K389,"2016 - kw","N/A")))</f>
        <v>N/A</v>
      </c>
      <c r="C388" s="611"/>
      <c r="D388" s="646" t="str">
        <f>D387 &amp; "kW"</f>
        <v>kW</v>
      </c>
      <c r="E388" s="702" t="s">
        <v>155</v>
      </c>
      <c r="F388" s="753"/>
      <c r="G388" s="753"/>
      <c r="H388" s="753"/>
      <c r="I388" s="753"/>
      <c r="J388" s="753"/>
      <c r="K388" s="753"/>
      <c r="L388" s="753"/>
      <c r="M388" s="753"/>
      <c r="N388" s="753"/>
      <c r="O388" s="753"/>
      <c r="P388" s="706"/>
      <c r="Q388" s="706"/>
      <c r="R388" s="706"/>
      <c r="S388" s="706"/>
      <c r="T388" s="706"/>
      <c r="U388" s="706"/>
      <c r="V388" s="706"/>
      <c r="Z388" s="833"/>
      <c r="AA388" s="833" t="str">
        <f>IF(AND(F389=G389,H389=I389,F389="A"),"2016 - kw","")</f>
        <v/>
      </c>
      <c r="AB388" s="833" t="str">
        <f>IF(OR(B388="2017 - kw",B388="2018 - kw"),"2016 - kw","")</f>
        <v/>
      </c>
      <c r="AC388" s="833"/>
      <c r="AD388" s="833"/>
      <c r="AE388" s="833"/>
    </row>
    <row r="389" spans="1:31" s="636" customFormat="1" hidden="1" x14ac:dyDescent="0.3">
      <c r="A389" s="706"/>
      <c r="B389" s="706"/>
      <c r="C389" s="614"/>
      <c r="D389" s="700"/>
      <c r="E389" s="701" t="s">
        <v>2120</v>
      </c>
      <c r="F389" s="752"/>
      <c r="G389" s="752"/>
      <c r="H389" s="752"/>
      <c r="I389" s="752"/>
      <c r="J389" s="752"/>
      <c r="K389" s="752"/>
      <c r="L389" s="752"/>
      <c r="M389" s="752"/>
      <c r="N389" s="752"/>
      <c r="O389" s="752"/>
      <c r="P389" s="706"/>
      <c r="Q389" s="706"/>
      <c r="R389" s="706"/>
      <c r="S389" s="706"/>
      <c r="T389" s="706"/>
      <c r="U389" s="706"/>
      <c r="V389" s="706"/>
      <c r="Z389" s="833"/>
      <c r="AA389" s="833"/>
      <c r="AB389" s="833"/>
      <c r="AC389" s="833"/>
      <c r="AD389" s="833"/>
      <c r="AE389" s="833"/>
    </row>
    <row r="390" spans="1:31" s="636" customFormat="1" hidden="1" x14ac:dyDescent="0.3">
      <c r="A390" s="706" t="str">
        <f>IF(AND(F392=G392,H392=I392,J392=K392,F392="A"),"2016 - kwh",IF(AND(F392=G392,H392=I392,J392&lt;&gt;K392,F392="A"),"2017 - kwh",IF(AND(F392=G392,H392&lt;&gt;I392,F392="A"),"2018 - kwh","N/A")))</f>
        <v>N/A</v>
      </c>
      <c r="B390" s="706" t="str">
        <f>IF(F392&lt;&gt;G392,"2018 - kwh",IF(H392&lt;&gt;I392,"2017 - kwh",IF(J392&lt;&gt;K392,"2016 - kwh","N/A")))</f>
        <v>N/A</v>
      </c>
      <c r="C390" s="610" t="s">
        <v>2258</v>
      </c>
      <c r="D390" s="754"/>
      <c r="E390" s="703" t="s">
        <v>154</v>
      </c>
      <c r="F390" s="753"/>
      <c r="G390" s="753"/>
      <c r="H390" s="753"/>
      <c r="I390" s="753"/>
      <c r="J390" s="753"/>
      <c r="K390" s="753"/>
      <c r="L390" s="753"/>
      <c r="M390" s="753"/>
      <c r="N390" s="753"/>
      <c r="O390" s="753"/>
      <c r="P390" s="706"/>
      <c r="Q390" s="706"/>
      <c r="R390" s="706"/>
      <c r="S390" s="706"/>
      <c r="T390" s="706"/>
      <c r="U390" s="706"/>
      <c r="V390" s="706"/>
      <c r="Z390" s="833"/>
      <c r="AA390" s="833" t="str">
        <f>IF(AND(F392=G392,H392=I392,F392="A"),"2016 - kwh","")</f>
        <v/>
      </c>
      <c r="AB390" s="833" t="str">
        <f>IF(OR(B390="2017 - kwh",B390="2018 - kwh"),"2016 - kwh","")</f>
        <v/>
      </c>
      <c r="AC390" s="833"/>
      <c r="AD390" s="833"/>
      <c r="AE390" s="833"/>
    </row>
    <row r="391" spans="1:31" s="636" customFormat="1" hidden="1" x14ac:dyDescent="0.3">
      <c r="A391" s="706" t="str">
        <f>IF(AND(F392=G392,H392=I392,J392=K392,F392="A"),"2016 - kw",IF(AND(F392=G392,H392=I392,J392&lt;&gt;K392,F392="A"),"2017 - kw",IF(AND(F392=G392,H392&lt;&gt;I392,F392="A"),"2018 - kw","N/A")))</f>
        <v>N/A</v>
      </c>
      <c r="B391" s="706" t="str">
        <f>IF(F392&lt;&gt;G392,"2018 - kw",IF(H392&lt;&gt;I392,"2017 - kw",IF(J392&lt;&gt;K392,"2016 - kw","N/A")))</f>
        <v>N/A</v>
      </c>
      <c r="C391" s="611"/>
      <c r="D391" s="646" t="str">
        <f>D390 &amp; "kW"</f>
        <v>kW</v>
      </c>
      <c r="E391" s="702" t="s">
        <v>155</v>
      </c>
      <c r="F391" s="753"/>
      <c r="G391" s="753"/>
      <c r="H391" s="753"/>
      <c r="I391" s="753"/>
      <c r="J391" s="753"/>
      <c r="K391" s="753"/>
      <c r="L391" s="753"/>
      <c r="M391" s="753"/>
      <c r="N391" s="753"/>
      <c r="O391" s="753"/>
      <c r="P391" s="706"/>
      <c r="Q391" s="706"/>
      <c r="R391" s="706"/>
      <c r="S391" s="706"/>
      <c r="T391" s="706"/>
      <c r="U391" s="706"/>
      <c r="V391" s="706"/>
      <c r="Z391" s="833"/>
      <c r="AA391" s="833" t="str">
        <f>IF(AND(F392=G392,H392=I392,F392="A"),"2016 - kw","")</f>
        <v/>
      </c>
      <c r="AB391" s="833" t="str">
        <f>IF(OR(B391="2017 - kw",B391="2018 - kw"),"2016 - kw","")</f>
        <v/>
      </c>
      <c r="AC391" s="833"/>
      <c r="AD391" s="833"/>
      <c r="AE391" s="833"/>
    </row>
    <row r="392" spans="1:31" s="636" customFormat="1" hidden="1" x14ac:dyDescent="0.3">
      <c r="A392" s="706"/>
      <c r="B392" s="706"/>
      <c r="C392" s="614"/>
      <c r="D392" s="700"/>
      <c r="E392" s="701" t="s">
        <v>2120</v>
      </c>
      <c r="F392" s="752"/>
      <c r="G392" s="752"/>
      <c r="H392" s="752"/>
      <c r="I392" s="752"/>
      <c r="J392" s="752"/>
      <c r="K392" s="752"/>
      <c r="L392" s="752"/>
      <c r="M392" s="752"/>
      <c r="N392" s="752"/>
      <c r="O392" s="752"/>
      <c r="P392" s="706"/>
      <c r="Q392" s="706"/>
      <c r="R392" s="706"/>
      <c r="S392" s="706"/>
      <c r="T392" s="706"/>
      <c r="U392" s="706"/>
      <c r="V392" s="706"/>
      <c r="Z392" s="833"/>
      <c r="AA392" s="833"/>
      <c r="AB392" s="833"/>
      <c r="AC392" s="833"/>
      <c r="AD392" s="833"/>
      <c r="AE392" s="833"/>
    </row>
    <row r="393" spans="1:31" s="636" customFormat="1" hidden="1" x14ac:dyDescent="0.3">
      <c r="A393" s="706" t="str">
        <f>IF(AND(F395=G395,H395=I395,J395=K395,F395="A"),"2016 - kwh",IF(AND(F395=G395,H395=I395,J395&lt;&gt;K395,F395="A"),"2017 - kwh",IF(AND(F395=G395,H395&lt;&gt;I395,F395="A"),"2018 - kwh","N/A")))</f>
        <v>N/A</v>
      </c>
      <c r="B393" s="706" t="str">
        <f>IF(F395&lt;&gt;G395,"2018 - kwh",IF(H395&lt;&gt;I395,"2017 - kwh",IF(J395&lt;&gt;K395,"2016 - kwh","N/A")))</f>
        <v>N/A</v>
      </c>
      <c r="C393" s="610" t="s">
        <v>2259</v>
      </c>
      <c r="D393" s="754"/>
      <c r="E393" s="703" t="s">
        <v>154</v>
      </c>
      <c r="F393" s="753"/>
      <c r="G393" s="753"/>
      <c r="H393" s="753"/>
      <c r="I393" s="753"/>
      <c r="J393" s="753"/>
      <c r="K393" s="753"/>
      <c r="L393" s="753"/>
      <c r="M393" s="753"/>
      <c r="N393" s="753"/>
      <c r="O393" s="753"/>
      <c r="P393" s="706"/>
      <c r="Q393" s="706"/>
      <c r="R393" s="706"/>
      <c r="S393" s="706"/>
      <c r="T393" s="706"/>
      <c r="U393" s="706"/>
      <c r="V393" s="706"/>
      <c r="Z393" s="833"/>
      <c r="AA393" s="833" t="str">
        <f>IF(AND(F395=G395,H395=I395,F395="A"),"2016 - kwh","")</f>
        <v/>
      </c>
      <c r="AB393" s="833" t="str">
        <f>IF(OR(B393="2017 - kwh",B393="2018 - kwh"),"2016 - kwh","")</f>
        <v/>
      </c>
      <c r="AC393" s="833"/>
      <c r="AD393" s="833"/>
      <c r="AE393" s="833"/>
    </row>
    <row r="394" spans="1:31" s="636" customFormat="1" hidden="1" x14ac:dyDescent="0.3">
      <c r="A394" s="706" t="str">
        <f>IF(AND(F395=G395,H395=I395,J395=K395,F395="A"),"2016 - kw",IF(AND(F395=G395,H395=I395,J395&lt;&gt;K395,F395="A"),"2017 - kw",IF(AND(F395=G395,H395&lt;&gt;I395,F395="A"),"2018 - kw","N/A")))</f>
        <v>N/A</v>
      </c>
      <c r="B394" s="706" t="str">
        <f>IF(F395&lt;&gt;G395,"2018 - kw",IF(H395&lt;&gt;I395,"2017 - kw",IF(J395&lt;&gt;K395,"2016 - kw","N/A")))</f>
        <v>N/A</v>
      </c>
      <c r="C394" s="611"/>
      <c r="D394" s="646" t="str">
        <f>D393 &amp; "kW"</f>
        <v>kW</v>
      </c>
      <c r="E394" s="702" t="s">
        <v>155</v>
      </c>
      <c r="F394" s="753"/>
      <c r="G394" s="753"/>
      <c r="H394" s="753"/>
      <c r="I394" s="753"/>
      <c r="J394" s="753"/>
      <c r="K394" s="753"/>
      <c r="L394" s="753"/>
      <c r="M394" s="753"/>
      <c r="N394" s="753"/>
      <c r="O394" s="753"/>
      <c r="P394" s="706"/>
      <c r="Q394" s="706"/>
      <c r="R394" s="706"/>
      <c r="S394" s="706"/>
      <c r="T394" s="706"/>
      <c r="U394" s="706"/>
      <c r="V394" s="706"/>
      <c r="Z394" s="833"/>
      <c r="AA394" s="833" t="str">
        <f>IF(AND(F395=G395,H395=I395,F395="A"),"2016 - kw","")</f>
        <v/>
      </c>
      <c r="AB394" s="833" t="str">
        <f>IF(OR(B394="2017 - kw",B394="2018 - kw"),"2016 - kw","")</f>
        <v/>
      </c>
      <c r="AC394" s="833"/>
      <c r="AD394" s="833"/>
      <c r="AE394" s="833"/>
    </row>
    <row r="395" spans="1:31" s="636" customFormat="1" hidden="1" x14ac:dyDescent="0.3">
      <c r="A395" s="706"/>
      <c r="B395" s="706"/>
      <c r="C395" s="614"/>
      <c r="D395" s="700"/>
      <c r="E395" s="701" t="s">
        <v>2120</v>
      </c>
      <c r="F395" s="752"/>
      <c r="G395" s="752"/>
      <c r="H395" s="752"/>
      <c r="I395" s="752"/>
      <c r="J395" s="752"/>
      <c r="K395" s="752"/>
      <c r="L395" s="752"/>
      <c r="M395" s="752"/>
      <c r="N395" s="752"/>
      <c r="O395" s="752"/>
      <c r="P395" s="706"/>
      <c r="Q395" s="706"/>
      <c r="R395" s="706"/>
      <c r="S395" s="706"/>
      <c r="T395" s="706"/>
      <c r="U395" s="706"/>
      <c r="V395" s="706"/>
      <c r="Z395" s="833"/>
      <c r="AA395" s="833"/>
      <c r="AB395" s="833"/>
      <c r="AC395" s="833"/>
      <c r="AD395" s="833"/>
      <c r="AE395" s="833"/>
    </row>
    <row r="396" spans="1:31" s="636" customFormat="1" hidden="1" x14ac:dyDescent="0.3">
      <c r="A396" s="706" t="str">
        <f>IF(AND(F398=G398,H398=I398,J398=K398,F398="A"),"2016 - kwh",IF(AND(F398=G398,H398=I398,J398&lt;&gt;K398,F398="A"),"2017 - kwh",IF(AND(F398=G398,H398&lt;&gt;I398,F398="A"),"2018 - kwh","N/A")))</f>
        <v>N/A</v>
      </c>
      <c r="B396" s="706" t="str">
        <f>IF(F398&lt;&gt;G398,"2018 - kwh",IF(H398&lt;&gt;I398,"2017 - kwh",IF(J398&lt;&gt;K398,"2016 - kwh","N/A")))</f>
        <v>N/A</v>
      </c>
      <c r="C396" s="610" t="s">
        <v>2260</v>
      </c>
      <c r="D396" s="754"/>
      <c r="E396" s="703" t="s">
        <v>154</v>
      </c>
      <c r="F396" s="753"/>
      <c r="G396" s="753"/>
      <c r="H396" s="753"/>
      <c r="I396" s="753"/>
      <c r="J396" s="753"/>
      <c r="K396" s="753"/>
      <c r="L396" s="753"/>
      <c r="M396" s="753"/>
      <c r="N396" s="753"/>
      <c r="O396" s="753"/>
      <c r="P396" s="706"/>
      <c r="Q396" s="706"/>
      <c r="R396" s="706"/>
      <c r="S396" s="706"/>
      <c r="T396" s="706"/>
      <c r="U396" s="706"/>
      <c r="V396" s="706"/>
      <c r="Z396" s="833"/>
      <c r="AA396" s="833" t="str">
        <f>IF(AND(F398=G398,H398=I398,F398="A"),"2016 - kwh","")</f>
        <v/>
      </c>
      <c r="AB396" s="833" t="str">
        <f>IF(OR(B396="2017 - kwh",B396="2018 - kwh"),"2016 - kwh","")</f>
        <v/>
      </c>
      <c r="AC396" s="833"/>
      <c r="AD396" s="833"/>
      <c r="AE396" s="833"/>
    </row>
    <row r="397" spans="1:31" s="636" customFormat="1" hidden="1" x14ac:dyDescent="0.3">
      <c r="A397" s="706" t="str">
        <f>IF(AND(F398=G398,H398=I398,J398=K398,F398="A"),"2016 - kw",IF(AND(F398=G398,H398=I398,J398&lt;&gt;K398,F398="A"),"2017 - kw",IF(AND(F398=G398,H398&lt;&gt;I398,F398="A"),"2018 - kw","N/A")))</f>
        <v>N/A</v>
      </c>
      <c r="B397" s="706" t="str">
        <f>IF(F398&lt;&gt;G398,"2018 - kw",IF(H398&lt;&gt;I398,"2017 - kw",IF(J398&lt;&gt;K398,"2016 - kw","N/A")))</f>
        <v>N/A</v>
      </c>
      <c r="C397" s="611"/>
      <c r="D397" s="646" t="str">
        <f>D396 &amp; "kW"</f>
        <v>kW</v>
      </c>
      <c r="E397" s="702" t="s">
        <v>155</v>
      </c>
      <c r="F397" s="753"/>
      <c r="G397" s="753"/>
      <c r="H397" s="753"/>
      <c r="I397" s="753"/>
      <c r="J397" s="753"/>
      <c r="K397" s="753"/>
      <c r="L397" s="753"/>
      <c r="M397" s="753"/>
      <c r="N397" s="753"/>
      <c r="O397" s="753"/>
      <c r="P397" s="706"/>
      <c r="Q397" s="706"/>
      <c r="R397" s="706"/>
      <c r="S397" s="706"/>
      <c r="T397" s="706"/>
      <c r="U397" s="706"/>
      <c r="V397" s="706"/>
      <c r="Z397" s="833"/>
      <c r="AA397" s="833" t="str">
        <f>IF(AND(F398=G398,H398=I398,F398="A"),"2016 - kw","")</f>
        <v/>
      </c>
      <c r="AB397" s="833" t="str">
        <f>IF(OR(B397="2017 - kw",B397="2018 - kw"),"2016 - kw","")</f>
        <v/>
      </c>
      <c r="AC397" s="833"/>
      <c r="AD397" s="833"/>
      <c r="AE397" s="833"/>
    </row>
    <row r="398" spans="1:31" s="636" customFormat="1" hidden="1" x14ac:dyDescent="0.3">
      <c r="A398" s="706"/>
      <c r="B398" s="706"/>
      <c r="C398" s="614"/>
      <c r="D398" s="700"/>
      <c r="E398" s="701" t="s">
        <v>2120</v>
      </c>
      <c r="F398" s="752"/>
      <c r="G398" s="752"/>
      <c r="H398" s="752"/>
      <c r="I398" s="752"/>
      <c r="J398" s="752"/>
      <c r="K398" s="752"/>
      <c r="L398" s="752"/>
      <c r="M398" s="752"/>
      <c r="N398" s="752"/>
      <c r="O398" s="752"/>
      <c r="P398" s="706"/>
      <c r="Q398" s="706"/>
      <c r="R398" s="706"/>
      <c r="S398" s="706"/>
      <c r="T398" s="706"/>
      <c r="U398" s="706"/>
      <c r="V398" s="706"/>
      <c r="Z398" s="833"/>
      <c r="AA398" s="833"/>
      <c r="AB398" s="833"/>
      <c r="AC398" s="833"/>
      <c r="AD398" s="833"/>
      <c r="AE398" s="833"/>
    </row>
    <row r="399" spans="1:31" s="636" customFormat="1" hidden="1" x14ac:dyDescent="0.3">
      <c r="A399" s="706" t="str">
        <f>IF(AND(F401=G401,H401=I401,J401=K401,F401="A"),"2016 - kwh",IF(AND(F401=G401,H401=I401,J401&lt;&gt;K401,F401="A"),"2017 - kwh",IF(AND(F401=G401,H401&lt;&gt;I401,F401="A"),"2018 - kwh","N/A")))</f>
        <v>N/A</v>
      </c>
      <c r="B399" s="706" t="str">
        <f>IF(F401&lt;&gt;G401,"2018 - kwh",IF(H401&lt;&gt;I401,"2017 - kwh",IF(J401&lt;&gt;K401,"2016 - kwh","N/A")))</f>
        <v>N/A</v>
      </c>
      <c r="C399" s="610" t="s">
        <v>2261</v>
      </c>
      <c r="D399" s="754"/>
      <c r="E399" s="703" t="s">
        <v>154</v>
      </c>
      <c r="F399" s="753"/>
      <c r="G399" s="753"/>
      <c r="H399" s="753"/>
      <c r="I399" s="753"/>
      <c r="J399" s="753"/>
      <c r="K399" s="753"/>
      <c r="L399" s="753"/>
      <c r="M399" s="753"/>
      <c r="N399" s="753"/>
      <c r="O399" s="753"/>
      <c r="P399" s="706"/>
      <c r="Q399" s="706"/>
      <c r="R399" s="706"/>
      <c r="S399" s="706"/>
      <c r="T399" s="706"/>
      <c r="U399" s="706"/>
      <c r="V399" s="706"/>
      <c r="Z399" s="833"/>
      <c r="AA399" s="833" t="str">
        <f>IF(AND(F401=G401,H401=I401,F401="A"),"2016 - kwh","")</f>
        <v/>
      </c>
      <c r="AB399" s="833" t="str">
        <f>IF(OR(B399="2017 - kwh",B399="2018 - kwh"),"2016 - kwh","")</f>
        <v/>
      </c>
      <c r="AC399" s="833"/>
      <c r="AD399" s="833"/>
      <c r="AE399" s="833"/>
    </row>
    <row r="400" spans="1:31" s="636" customFormat="1" hidden="1" x14ac:dyDescent="0.3">
      <c r="A400" s="706" t="str">
        <f>IF(AND(F401=G401,H401=I401,J401=K401,F401="A"),"2016 - kw",IF(AND(F401=G401,H401=I401,J401&lt;&gt;K401,F401="A"),"2017 - kw",IF(AND(F401=G401,H401&lt;&gt;I401,F401="A"),"2018 - kw","N/A")))</f>
        <v>N/A</v>
      </c>
      <c r="B400" s="706" t="str">
        <f>IF(F401&lt;&gt;G401,"2018 - kw",IF(H401&lt;&gt;I401,"2017 - kw",IF(J401&lt;&gt;K401,"2016 - kw","N/A")))</f>
        <v>N/A</v>
      </c>
      <c r="C400" s="611"/>
      <c r="D400" s="646" t="str">
        <f>D399 &amp; "kW"</f>
        <v>kW</v>
      </c>
      <c r="E400" s="702" t="s">
        <v>155</v>
      </c>
      <c r="F400" s="753"/>
      <c r="G400" s="753"/>
      <c r="H400" s="753"/>
      <c r="I400" s="753"/>
      <c r="J400" s="753"/>
      <c r="K400" s="753"/>
      <c r="L400" s="753"/>
      <c r="M400" s="753"/>
      <c r="N400" s="753"/>
      <c r="O400" s="753"/>
      <c r="P400" s="706"/>
      <c r="Q400" s="706"/>
      <c r="R400" s="706"/>
      <c r="S400" s="706"/>
      <c r="T400" s="706"/>
      <c r="U400" s="706"/>
      <c r="V400" s="706"/>
      <c r="Z400" s="833"/>
      <c r="AA400" s="833" t="str">
        <f>IF(AND(F401=G401,H401=I401,F401="A"),"2016 - kw","")</f>
        <v/>
      </c>
      <c r="AB400" s="833" t="str">
        <f>IF(OR(B400="2017 - kw",B400="2018 - kw"),"2016 - kw","")</f>
        <v/>
      </c>
      <c r="AC400" s="833"/>
      <c r="AD400" s="833"/>
      <c r="AE400" s="833"/>
    </row>
    <row r="401" spans="1:31" s="636" customFormat="1" hidden="1" x14ac:dyDescent="0.3">
      <c r="A401" s="706"/>
      <c r="B401" s="706"/>
      <c r="C401" s="614"/>
      <c r="D401" s="700"/>
      <c r="E401" s="701" t="s">
        <v>2120</v>
      </c>
      <c r="F401" s="752"/>
      <c r="G401" s="752"/>
      <c r="H401" s="752"/>
      <c r="I401" s="752"/>
      <c r="J401" s="752"/>
      <c r="K401" s="752"/>
      <c r="L401" s="752"/>
      <c r="M401" s="752"/>
      <c r="N401" s="752"/>
      <c r="O401" s="752"/>
      <c r="P401" s="706"/>
      <c r="Q401" s="706"/>
      <c r="R401" s="706"/>
      <c r="S401" s="706"/>
      <c r="T401" s="706"/>
      <c r="U401" s="706"/>
      <c r="V401" s="706"/>
      <c r="Z401" s="833"/>
      <c r="AA401" s="833"/>
      <c r="AB401" s="833"/>
      <c r="AC401" s="833"/>
      <c r="AD401" s="833"/>
      <c r="AE401" s="833"/>
    </row>
    <row r="402" spans="1:31" s="636" customFormat="1" hidden="1" x14ac:dyDescent="0.3">
      <c r="A402" s="706" t="str">
        <f>IF(AND(F404=G404,H404=I404,J404=K404,F404="A"),"2016 - kwh",IF(AND(F404=G404,H404=I404,J404&lt;&gt;K404,F404="A"),"2017 - kwh",IF(AND(F404=G404,H404&lt;&gt;I404,F404="A"),"2018 - kwh","N/A")))</f>
        <v>N/A</v>
      </c>
      <c r="B402" s="706" t="str">
        <f>IF(F404&lt;&gt;G404,"2018 - kwh",IF(H404&lt;&gt;I404,"2017 - kwh",IF(J404&lt;&gt;K404,"2016 - kwh","N/A")))</f>
        <v>N/A</v>
      </c>
      <c r="C402" s="610" t="s">
        <v>2262</v>
      </c>
      <c r="D402" s="754"/>
      <c r="E402" s="703" t="s">
        <v>154</v>
      </c>
      <c r="F402" s="753"/>
      <c r="G402" s="753"/>
      <c r="H402" s="753"/>
      <c r="I402" s="753"/>
      <c r="J402" s="753"/>
      <c r="K402" s="753"/>
      <c r="L402" s="753"/>
      <c r="M402" s="753"/>
      <c r="N402" s="753"/>
      <c r="O402" s="753"/>
      <c r="P402" s="706"/>
      <c r="Q402" s="706"/>
      <c r="R402" s="706"/>
      <c r="S402" s="706"/>
      <c r="T402" s="706"/>
      <c r="U402" s="706"/>
      <c r="V402" s="706"/>
      <c r="Z402" s="833"/>
      <c r="AA402" s="833" t="str">
        <f>IF(AND(F404=G404,H404=I404,F404="A"),"2016 - kwh","")</f>
        <v/>
      </c>
      <c r="AB402" s="833" t="str">
        <f>IF(OR(B402="2017 - kwh",B402="2018 - kwh"),"2016 - kwh","")</f>
        <v/>
      </c>
      <c r="AC402" s="833"/>
      <c r="AD402" s="833"/>
      <c r="AE402" s="833"/>
    </row>
    <row r="403" spans="1:31" s="636" customFormat="1" hidden="1" x14ac:dyDescent="0.3">
      <c r="A403" s="706" t="str">
        <f>IF(AND(F404=G404,H404=I404,J404=K404,F404="A"),"2016 - kw",IF(AND(F404=G404,H404=I404,J404&lt;&gt;K404,F404="A"),"2017 - kw",IF(AND(F404=G404,H404&lt;&gt;I404,F404="A"),"2018 - kw","N/A")))</f>
        <v>N/A</v>
      </c>
      <c r="B403" s="706" t="str">
        <f>IF(F404&lt;&gt;G404,"2018 - kw",IF(H404&lt;&gt;I404,"2017 - kw",IF(J404&lt;&gt;K404,"2016 - kw","N/A")))</f>
        <v>N/A</v>
      </c>
      <c r="C403" s="611"/>
      <c r="D403" s="646" t="str">
        <f>D402 &amp; "kW"</f>
        <v>kW</v>
      </c>
      <c r="E403" s="702" t="s">
        <v>155</v>
      </c>
      <c r="F403" s="753"/>
      <c r="G403" s="753"/>
      <c r="H403" s="753"/>
      <c r="I403" s="753"/>
      <c r="J403" s="753"/>
      <c r="K403" s="753"/>
      <c r="L403" s="753"/>
      <c r="M403" s="753"/>
      <c r="N403" s="753"/>
      <c r="O403" s="753"/>
      <c r="P403" s="706"/>
      <c r="Q403" s="706"/>
      <c r="R403" s="706"/>
      <c r="S403" s="706"/>
      <c r="T403" s="706"/>
      <c r="U403" s="706"/>
      <c r="V403" s="706"/>
      <c r="Z403" s="833"/>
      <c r="AA403" s="833" t="str">
        <f>IF(AND(F404=G404,H404=I404,F404="A"),"2016 - kw","")</f>
        <v/>
      </c>
      <c r="AB403" s="833" t="str">
        <f>IF(OR(B403="2017 - kw",B403="2018 - kw"),"2016 - kw","")</f>
        <v/>
      </c>
      <c r="AC403" s="833"/>
      <c r="AD403" s="833"/>
      <c r="AE403" s="833"/>
    </row>
    <row r="404" spans="1:31" s="636" customFormat="1" hidden="1" x14ac:dyDescent="0.3">
      <c r="A404" s="706"/>
      <c r="B404" s="706"/>
      <c r="C404" s="614"/>
      <c r="D404" s="700"/>
      <c r="E404" s="701" t="s">
        <v>2120</v>
      </c>
      <c r="F404" s="752"/>
      <c r="G404" s="752"/>
      <c r="H404" s="752"/>
      <c r="I404" s="752"/>
      <c r="J404" s="752"/>
      <c r="K404" s="752"/>
      <c r="L404" s="752"/>
      <c r="M404" s="752"/>
      <c r="N404" s="752"/>
      <c r="O404" s="752"/>
      <c r="P404" s="706"/>
      <c r="Q404" s="706"/>
      <c r="R404" s="706"/>
      <c r="S404" s="706"/>
      <c r="T404" s="706"/>
      <c r="U404" s="706"/>
      <c r="V404" s="706"/>
      <c r="Z404" s="833"/>
      <c r="AA404" s="833"/>
      <c r="AB404" s="833"/>
      <c r="AC404" s="833"/>
      <c r="AD404" s="833"/>
      <c r="AE404" s="833"/>
    </row>
    <row r="405" spans="1:31" s="636" customFormat="1" hidden="1" x14ac:dyDescent="0.3">
      <c r="A405" s="706" t="str">
        <f>IF(AND(F407=G407,H407=I407,J407=K407,F407="A"),"2016 - kwh",IF(AND(F407=G407,H407=I407,J407&lt;&gt;K407,F407="A"),"2017 - kwh",IF(AND(F407=G407,H407&lt;&gt;I407,F407="A"),"2018 - kwh","N/A")))</f>
        <v>N/A</v>
      </c>
      <c r="B405" s="706" t="str">
        <f>IF(F407&lt;&gt;G407,"2018 - kwh",IF(H407&lt;&gt;I407,"2017 - kwh",IF(J407&lt;&gt;K407,"2016 - kwh","N/A")))</f>
        <v>N/A</v>
      </c>
      <c r="C405" s="610" t="s">
        <v>2263</v>
      </c>
      <c r="D405" s="754"/>
      <c r="E405" s="703" t="s">
        <v>154</v>
      </c>
      <c r="F405" s="753"/>
      <c r="G405" s="753"/>
      <c r="H405" s="753"/>
      <c r="I405" s="753"/>
      <c r="J405" s="753"/>
      <c r="K405" s="753"/>
      <c r="L405" s="753"/>
      <c r="M405" s="753"/>
      <c r="N405" s="753"/>
      <c r="O405" s="753"/>
      <c r="P405" s="706"/>
      <c r="Q405" s="706"/>
      <c r="R405" s="706"/>
      <c r="S405" s="706"/>
      <c r="T405" s="706"/>
      <c r="U405" s="706"/>
      <c r="V405" s="706"/>
      <c r="Z405" s="833"/>
      <c r="AA405" s="833" t="str">
        <f>IF(AND(F407=G407,H407=I407,F407="A"),"2016 - kwh","")</f>
        <v/>
      </c>
      <c r="AB405" s="833" t="str">
        <f>IF(OR(B405="2017 - kwh",B405="2018 - kwh"),"2016 - kwh","")</f>
        <v/>
      </c>
      <c r="AC405" s="833"/>
      <c r="AD405" s="833"/>
      <c r="AE405" s="833"/>
    </row>
    <row r="406" spans="1:31" s="636" customFormat="1" hidden="1" x14ac:dyDescent="0.3">
      <c r="A406" s="706" t="str">
        <f>IF(AND(F407=G407,H407=I407,J407=K407,F407="A"),"2016 - kw",IF(AND(F407=G407,H407=I407,J407&lt;&gt;K407,F407="A"),"2017 - kw",IF(AND(F407=G407,H407&lt;&gt;I407,F407="A"),"2018 - kw","N/A")))</f>
        <v>N/A</v>
      </c>
      <c r="B406" s="706" t="str">
        <f>IF(F407&lt;&gt;G407,"2018 - kw",IF(H407&lt;&gt;I407,"2017 - kw",IF(J407&lt;&gt;K407,"2016 - kw","N/A")))</f>
        <v>N/A</v>
      </c>
      <c r="C406" s="611"/>
      <c r="D406" s="646" t="str">
        <f>D405 &amp; "kW"</f>
        <v>kW</v>
      </c>
      <c r="E406" s="702" t="s">
        <v>155</v>
      </c>
      <c r="F406" s="753"/>
      <c r="G406" s="753"/>
      <c r="H406" s="753"/>
      <c r="I406" s="753"/>
      <c r="J406" s="753"/>
      <c r="K406" s="753"/>
      <c r="L406" s="753"/>
      <c r="M406" s="753"/>
      <c r="N406" s="753"/>
      <c r="O406" s="753"/>
      <c r="P406" s="706"/>
      <c r="Q406" s="706"/>
      <c r="R406" s="706"/>
      <c r="S406" s="706"/>
      <c r="T406" s="706"/>
      <c r="U406" s="706"/>
      <c r="V406" s="706"/>
      <c r="Z406" s="833"/>
      <c r="AA406" s="833" t="str">
        <f>IF(AND(F407=G407,H407=I407,F407="A"),"2016 - kw","")</f>
        <v/>
      </c>
      <c r="AB406" s="833" t="str">
        <f>IF(OR(B406="2017 - kw",B406="2018 - kw"),"2016 - kw","")</f>
        <v/>
      </c>
      <c r="AC406" s="833"/>
      <c r="AD406" s="833"/>
      <c r="AE406" s="833"/>
    </row>
    <row r="407" spans="1:31" s="636" customFormat="1" hidden="1" x14ac:dyDescent="0.3">
      <c r="A407" s="706"/>
      <c r="B407" s="706"/>
      <c r="C407" s="614"/>
      <c r="D407" s="700"/>
      <c r="E407" s="701" t="s">
        <v>2120</v>
      </c>
      <c r="F407" s="752"/>
      <c r="G407" s="752"/>
      <c r="H407" s="752"/>
      <c r="I407" s="752"/>
      <c r="J407" s="752"/>
      <c r="K407" s="752"/>
      <c r="L407" s="752"/>
      <c r="M407" s="752"/>
      <c r="N407" s="752"/>
      <c r="O407" s="752"/>
      <c r="P407" s="706"/>
      <c r="Q407" s="706"/>
      <c r="R407" s="706"/>
      <c r="S407" s="706"/>
      <c r="T407" s="706"/>
      <c r="U407" s="706"/>
      <c r="V407" s="706"/>
      <c r="Z407" s="833"/>
      <c r="AA407" s="833"/>
      <c r="AB407" s="833"/>
      <c r="AC407" s="833"/>
      <c r="AD407" s="833"/>
      <c r="AE407" s="833"/>
    </row>
    <row r="408" spans="1:31" s="636" customFormat="1" hidden="1" x14ac:dyDescent="0.3">
      <c r="A408" s="706" t="str">
        <f>IF(AND(F410=G410,H410=I410,J410=K410,F410="A"),"2016 - kwh",IF(AND(F410=G410,H410=I410,J410&lt;&gt;K410,F410="A"),"2017 - kwh",IF(AND(F410=G410,H410&lt;&gt;I410,F410="A"),"2018 - kwh","N/A")))</f>
        <v>N/A</v>
      </c>
      <c r="B408" s="706" t="str">
        <f>IF(F410&lt;&gt;G410,"2018 - kwh",IF(H410&lt;&gt;I410,"2017 - kwh",IF(J410&lt;&gt;K410,"2016 - kwh","N/A")))</f>
        <v>N/A</v>
      </c>
      <c r="C408" s="610" t="s">
        <v>2264</v>
      </c>
      <c r="D408" s="754"/>
      <c r="E408" s="703" t="s">
        <v>154</v>
      </c>
      <c r="F408" s="753"/>
      <c r="G408" s="753"/>
      <c r="H408" s="753"/>
      <c r="I408" s="753"/>
      <c r="J408" s="753"/>
      <c r="K408" s="753"/>
      <c r="L408" s="753"/>
      <c r="M408" s="753"/>
      <c r="N408" s="753"/>
      <c r="O408" s="753"/>
      <c r="P408" s="706"/>
      <c r="Q408" s="706"/>
      <c r="R408" s="706"/>
      <c r="S408" s="706"/>
      <c r="T408" s="706"/>
      <c r="U408" s="706"/>
      <c r="V408" s="706"/>
      <c r="Z408" s="833"/>
      <c r="AA408" s="833" t="str">
        <f>IF(AND(F410=G410,H410=I410,F410="A"),"2016 - kwh","")</f>
        <v/>
      </c>
      <c r="AB408" s="833" t="str">
        <f>IF(OR(B408="2017 - kwh",B408="2018 - kwh"),"2016 - kwh","")</f>
        <v/>
      </c>
      <c r="AC408" s="833"/>
      <c r="AD408" s="833"/>
      <c r="AE408" s="833"/>
    </row>
    <row r="409" spans="1:31" s="636" customFormat="1" hidden="1" x14ac:dyDescent="0.3">
      <c r="A409" s="706" t="str">
        <f>IF(AND(F410=G410,H410=I410,J410=K410,F410="A"),"2016 - kw",IF(AND(F410=G410,H410=I410,J410&lt;&gt;K410,F410="A"),"2017 - kw",IF(AND(F410=G410,H410&lt;&gt;I410,F410="A"),"2018 - kw","N/A")))</f>
        <v>N/A</v>
      </c>
      <c r="B409" s="706" t="str">
        <f>IF(F410&lt;&gt;G410,"2018 - kw",IF(H410&lt;&gt;I410,"2017 - kw",IF(J410&lt;&gt;K410,"2016 - kw","N/A")))</f>
        <v>N/A</v>
      </c>
      <c r="C409" s="611"/>
      <c r="D409" s="646" t="str">
        <f>D408 &amp; "kW"</f>
        <v>kW</v>
      </c>
      <c r="E409" s="702" t="s">
        <v>155</v>
      </c>
      <c r="F409" s="753"/>
      <c r="G409" s="753"/>
      <c r="H409" s="753"/>
      <c r="I409" s="753"/>
      <c r="J409" s="753"/>
      <c r="K409" s="753"/>
      <c r="L409" s="753"/>
      <c r="M409" s="753"/>
      <c r="N409" s="753"/>
      <c r="O409" s="753"/>
      <c r="P409" s="706"/>
      <c r="Q409" s="706"/>
      <c r="R409" s="706"/>
      <c r="S409" s="706"/>
      <c r="T409" s="706"/>
      <c r="U409" s="706"/>
      <c r="V409" s="706"/>
      <c r="Z409" s="833"/>
      <c r="AA409" s="833" t="str">
        <f>IF(AND(F410=G410,H410=I410,F410="A"),"2016 - kw","")</f>
        <v/>
      </c>
      <c r="AB409" s="833" t="str">
        <f>IF(OR(B409="2017 - kw",B409="2018 - kw"),"2016 - kw","")</f>
        <v/>
      </c>
      <c r="AC409" s="833"/>
      <c r="AD409" s="833"/>
      <c r="AE409" s="833"/>
    </row>
    <row r="410" spans="1:31" s="636" customFormat="1" hidden="1" x14ac:dyDescent="0.3">
      <c r="A410" s="706"/>
      <c r="B410" s="706"/>
      <c r="C410" s="614"/>
      <c r="D410" s="700"/>
      <c r="E410" s="701" t="s">
        <v>2120</v>
      </c>
      <c r="F410" s="752"/>
      <c r="G410" s="752"/>
      <c r="H410" s="752"/>
      <c r="I410" s="752"/>
      <c r="J410" s="752"/>
      <c r="K410" s="752"/>
      <c r="L410" s="752"/>
      <c r="M410" s="752"/>
      <c r="N410" s="752"/>
      <c r="O410" s="752"/>
      <c r="P410" s="706"/>
      <c r="Q410" s="706"/>
      <c r="R410" s="706"/>
      <c r="S410" s="706"/>
      <c r="T410" s="706"/>
      <c r="U410" s="706"/>
      <c r="V410" s="706"/>
      <c r="Z410" s="833"/>
      <c r="AA410" s="833"/>
      <c r="AB410" s="833"/>
      <c r="AC410" s="833"/>
      <c r="AD410" s="833"/>
      <c r="AE410" s="833"/>
    </row>
    <row r="411" spans="1:31" s="636" customFormat="1" hidden="1" x14ac:dyDescent="0.3">
      <c r="A411" s="706" t="str">
        <f>IF(AND(F413=G413,H413=I413,J413=K413,F413="A"),"2016 - kwh",IF(AND(F413=G413,H413=I413,J413&lt;&gt;K413,F413="A"),"2017 - kwh",IF(AND(F413=G413,H413&lt;&gt;I413,F413="A"),"2018 - kwh","N/A")))</f>
        <v>N/A</v>
      </c>
      <c r="B411" s="706" t="str">
        <f>IF(F413&lt;&gt;G413,"2018 - kwh",IF(H413&lt;&gt;I413,"2017 - kwh",IF(J413&lt;&gt;K413,"2016 - kwh","N/A")))</f>
        <v>N/A</v>
      </c>
      <c r="C411" s="610" t="s">
        <v>2265</v>
      </c>
      <c r="D411" s="754"/>
      <c r="E411" s="703" t="s">
        <v>154</v>
      </c>
      <c r="F411" s="753"/>
      <c r="G411" s="753"/>
      <c r="H411" s="753"/>
      <c r="I411" s="753"/>
      <c r="J411" s="753"/>
      <c r="K411" s="753"/>
      <c r="L411" s="753"/>
      <c r="M411" s="753"/>
      <c r="N411" s="753"/>
      <c r="O411" s="753"/>
      <c r="P411" s="706"/>
      <c r="Q411" s="706"/>
      <c r="R411" s="706"/>
      <c r="S411" s="706"/>
      <c r="T411" s="706"/>
      <c r="U411" s="706"/>
      <c r="V411" s="706"/>
      <c r="Z411" s="833"/>
      <c r="AA411" s="833" t="str">
        <f>IF(AND(F413=G413,H413=I413,F413="A"),"2016 - kwh","")</f>
        <v/>
      </c>
      <c r="AB411" s="833" t="str">
        <f>IF(OR(B411="2017 - kwh",B411="2018 - kwh"),"2016 - kwh","")</f>
        <v/>
      </c>
      <c r="AC411" s="833"/>
      <c r="AD411" s="833"/>
      <c r="AE411" s="833"/>
    </row>
    <row r="412" spans="1:31" s="636" customFormat="1" hidden="1" x14ac:dyDescent="0.3">
      <c r="A412" s="706" t="str">
        <f>IF(AND(F413=G413,H413=I413,J413=K413,F413="A"),"2016 - kw",IF(AND(F413=G413,H413=I413,J413&lt;&gt;K413,F413="A"),"2017 - kw",IF(AND(F413=G413,H413&lt;&gt;I413,F413="A"),"2018 - kw","N/A")))</f>
        <v>N/A</v>
      </c>
      <c r="B412" s="706" t="str">
        <f>IF(F413&lt;&gt;G413,"2018 - kw",IF(H413&lt;&gt;I413,"2017 - kw",IF(J413&lt;&gt;K413,"2016 - kw","N/A")))</f>
        <v>N/A</v>
      </c>
      <c r="C412" s="611"/>
      <c r="D412" s="646" t="str">
        <f>D411 &amp; "kW"</f>
        <v>kW</v>
      </c>
      <c r="E412" s="702" t="s">
        <v>155</v>
      </c>
      <c r="F412" s="753"/>
      <c r="G412" s="753"/>
      <c r="H412" s="753"/>
      <c r="I412" s="753"/>
      <c r="J412" s="753"/>
      <c r="K412" s="753"/>
      <c r="L412" s="753"/>
      <c r="M412" s="753"/>
      <c r="N412" s="753"/>
      <c r="O412" s="753"/>
      <c r="P412" s="706"/>
      <c r="Q412" s="706"/>
      <c r="R412" s="706"/>
      <c r="S412" s="706"/>
      <c r="T412" s="706"/>
      <c r="U412" s="706"/>
      <c r="V412" s="706"/>
      <c r="Z412" s="833"/>
      <c r="AA412" s="833" t="str">
        <f>IF(AND(F413=G413,H413=I413,F413="A"),"2016 - kw","")</f>
        <v/>
      </c>
      <c r="AB412" s="833" t="str">
        <f>IF(OR(B412="2017 - kw",B412="2018 - kw"),"2016 - kw","")</f>
        <v/>
      </c>
      <c r="AC412" s="833"/>
      <c r="AD412" s="833"/>
      <c r="AE412" s="833"/>
    </row>
    <row r="413" spans="1:31" s="636" customFormat="1" hidden="1" x14ac:dyDescent="0.3">
      <c r="A413" s="706"/>
      <c r="B413" s="706"/>
      <c r="C413" s="614"/>
      <c r="D413" s="700"/>
      <c r="E413" s="701" t="s">
        <v>2120</v>
      </c>
      <c r="F413" s="752"/>
      <c r="G413" s="752"/>
      <c r="H413" s="752"/>
      <c r="I413" s="752"/>
      <c r="J413" s="752"/>
      <c r="K413" s="752"/>
      <c r="L413" s="752"/>
      <c r="M413" s="752"/>
      <c r="N413" s="752"/>
      <c r="O413" s="752"/>
      <c r="P413" s="706"/>
      <c r="Q413" s="706"/>
      <c r="R413" s="706"/>
      <c r="S413" s="706"/>
      <c r="T413" s="706"/>
      <c r="U413" s="706"/>
      <c r="V413" s="706"/>
      <c r="Z413" s="833"/>
      <c r="AA413" s="833"/>
      <c r="AB413" s="833"/>
      <c r="AC413" s="833"/>
      <c r="AD413" s="833"/>
      <c r="AE413" s="833"/>
    </row>
    <row r="414" spans="1:31" s="636" customFormat="1" hidden="1" x14ac:dyDescent="0.3">
      <c r="A414" s="706" t="str">
        <f>IF(AND(F416=G416,H416=I416,J416=K416,F416="A"),"2016 - kwh",IF(AND(F416=G416,H416=I416,J416&lt;&gt;K416,F416="A"),"2017 - kwh",IF(AND(F416=G416,H416&lt;&gt;I416,F416="A"),"2018 - kwh","N/A")))</f>
        <v>N/A</v>
      </c>
      <c r="B414" s="706" t="str">
        <f>IF(F416&lt;&gt;G416,"2018 - kwh",IF(H416&lt;&gt;I416,"2017 - kwh",IF(J416&lt;&gt;K416,"2016 - kwh","N/A")))</f>
        <v>N/A</v>
      </c>
      <c r="C414" s="610" t="s">
        <v>2266</v>
      </c>
      <c r="D414" s="754"/>
      <c r="E414" s="703" t="s">
        <v>154</v>
      </c>
      <c r="F414" s="753"/>
      <c r="G414" s="753"/>
      <c r="H414" s="753"/>
      <c r="I414" s="753"/>
      <c r="J414" s="753"/>
      <c r="K414" s="753"/>
      <c r="L414" s="753"/>
      <c r="M414" s="753"/>
      <c r="N414" s="753"/>
      <c r="O414" s="753"/>
      <c r="P414" s="706"/>
      <c r="Q414" s="706"/>
      <c r="R414" s="706"/>
      <c r="S414" s="706"/>
      <c r="T414" s="706"/>
      <c r="U414" s="706"/>
      <c r="V414" s="706"/>
      <c r="Z414" s="833"/>
      <c r="AA414" s="833" t="str">
        <f>IF(AND(F416=G416,H416=I416,F416="A"),"2016 - kwh","")</f>
        <v/>
      </c>
      <c r="AB414" s="833" t="str">
        <f>IF(OR(B414="2017 - kwh",B414="2018 - kwh"),"2016 - kwh","")</f>
        <v/>
      </c>
      <c r="AC414" s="833"/>
      <c r="AD414" s="833"/>
      <c r="AE414" s="833"/>
    </row>
    <row r="415" spans="1:31" s="636" customFormat="1" hidden="1" x14ac:dyDescent="0.3">
      <c r="A415" s="706" t="str">
        <f>IF(AND(F416=G416,H416=I416,J416=K416,F416="A"),"2016 - kw",IF(AND(F416=G416,H416=I416,J416&lt;&gt;K416,F416="A"),"2017 - kw",IF(AND(F416=G416,H416&lt;&gt;I416,F416="A"),"2018 - kw","N/A")))</f>
        <v>N/A</v>
      </c>
      <c r="B415" s="706" t="str">
        <f>IF(F416&lt;&gt;G416,"2018 - kw",IF(H416&lt;&gt;I416,"2017 - kw",IF(J416&lt;&gt;K416,"2016 - kw","N/A")))</f>
        <v>N/A</v>
      </c>
      <c r="C415" s="611"/>
      <c r="D415" s="646" t="str">
        <f>D414 &amp; "kW"</f>
        <v>kW</v>
      </c>
      <c r="E415" s="702" t="s">
        <v>155</v>
      </c>
      <c r="F415" s="753"/>
      <c r="G415" s="753"/>
      <c r="H415" s="753"/>
      <c r="I415" s="753"/>
      <c r="J415" s="753"/>
      <c r="K415" s="753"/>
      <c r="L415" s="753"/>
      <c r="M415" s="753"/>
      <c r="N415" s="753"/>
      <c r="O415" s="753"/>
      <c r="P415" s="706"/>
      <c r="Q415" s="706"/>
      <c r="R415" s="706"/>
      <c r="S415" s="706"/>
      <c r="T415" s="706"/>
      <c r="U415" s="706"/>
      <c r="V415" s="706"/>
      <c r="Z415" s="833"/>
      <c r="AA415" s="833" t="str">
        <f>IF(AND(F416=G416,H416=I416,F416="A"),"2016 - kw","")</f>
        <v/>
      </c>
      <c r="AB415" s="833" t="str">
        <f>IF(OR(B415="2017 - kw",B415="2018 - kw"),"2016 - kw","")</f>
        <v/>
      </c>
      <c r="AC415" s="833"/>
      <c r="AD415" s="833"/>
      <c r="AE415" s="833"/>
    </row>
    <row r="416" spans="1:31" s="636" customFormat="1" hidden="1" x14ac:dyDescent="0.3">
      <c r="A416" s="706"/>
      <c r="B416" s="706"/>
      <c r="C416" s="614"/>
      <c r="D416" s="700"/>
      <c r="E416" s="701" t="s">
        <v>2120</v>
      </c>
      <c r="F416" s="752"/>
      <c r="G416" s="752"/>
      <c r="H416" s="752"/>
      <c r="I416" s="752"/>
      <c r="J416" s="752"/>
      <c r="K416" s="752"/>
      <c r="L416" s="752"/>
      <c r="M416" s="752"/>
      <c r="N416" s="752"/>
      <c r="O416" s="752"/>
      <c r="P416" s="706"/>
      <c r="Q416" s="706"/>
      <c r="R416" s="706"/>
      <c r="S416" s="706"/>
      <c r="T416" s="706"/>
      <c r="U416" s="706"/>
      <c r="V416" s="706"/>
      <c r="Z416" s="833"/>
      <c r="AA416" s="833"/>
      <c r="AB416" s="833"/>
      <c r="AC416" s="833"/>
      <c r="AD416" s="833"/>
      <c r="AE416" s="833"/>
    </row>
    <row r="417" spans="1:31" s="636" customFormat="1" hidden="1" x14ac:dyDescent="0.3">
      <c r="A417" s="706" t="str">
        <f>IF(AND(F419=G419,H419=I419,J419=K419,F419="A"),"2016 - kwh",IF(AND(F419=G419,H419=I419,J419&lt;&gt;K419,F419="A"),"2017 - kwh",IF(AND(F419=G419,H419&lt;&gt;I419,F419="A"),"2018 - kwh","N/A")))</f>
        <v>N/A</v>
      </c>
      <c r="B417" s="706" t="str">
        <f>IF(F419&lt;&gt;G419,"2018 - kwh",IF(H419&lt;&gt;I419,"2017 - kwh",IF(J419&lt;&gt;K419,"2016 - kwh","N/A")))</f>
        <v>N/A</v>
      </c>
      <c r="C417" s="610" t="s">
        <v>2267</v>
      </c>
      <c r="D417" s="754"/>
      <c r="E417" s="703" t="s">
        <v>154</v>
      </c>
      <c r="F417" s="753"/>
      <c r="G417" s="753"/>
      <c r="H417" s="753"/>
      <c r="I417" s="753"/>
      <c r="J417" s="753"/>
      <c r="K417" s="753"/>
      <c r="L417" s="753"/>
      <c r="M417" s="753"/>
      <c r="N417" s="753"/>
      <c r="O417" s="753"/>
      <c r="P417" s="706"/>
      <c r="Q417" s="706"/>
      <c r="R417" s="706"/>
      <c r="S417" s="706"/>
      <c r="T417" s="706"/>
      <c r="U417" s="706"/>
      <c r="V417" s="706"/>
      <c r="Z417" s="833"/>
      <c r="AA417" s="833" t="str">
        <f>IF(AND(F419=G419,H419=I419,F419="A"),"2016 - kwh","")</f>
        <v/>
      </c>
      <c r="AB417" s="833" t="str">
        <f>IF(OR(B417="2017 - kwh",B417="2018 - kwh"),"2016 - kwh","")</f>
        <v/>
      </c>
      <c r="AC417" s="833"/>
      <c r="AD417" s="833"/>
      <c r="AE417" s="833"/>
    </row>
    <row r="418" spans="1:31" s="636" customFormat="1" hidden="1" x14ac:dyDescent="0.3">
      <c r="A418" s="706" t="str">
        <f>IF(AND(F419=G419,H419=I419,J419=K419,F419="A"),"2016 - kw",IF(AND(F419=G419,H419=I419,J419&lt;&gt;K419,F419="A"),"2017 - kw",IF(AND(F419=G419,H419&lt;&gt;I419,F419="A"),"2018 - kw","N/A")))</f>
        <v>N/A</v>
      </c>
      <c r="B418" s="706" t="str">
        <f>IF(F419&lt;&gt;G419,"2018 - kw",IF(H419&lt;&gt;I419,"2017 - kw",IF(J419&lt;&gt;K419,"2016 - kw","N/A")))</f>
        <v>N/A</v>
      </c>
      <c r="C418" s="611"/>
      <c r="D418" s="646" t="str">
        <f>D417 &amp; "kW"</f>
        <v>kW</v>
      </c>
      <c r="E418" s="702" t="s">
        <v>155</v>
      </c>
      <c r="F418" s="753"/>
      <c r="G418" s="753"/>
      <c r="H418" s="753"/>
      <c r="I418" s="753"/>
      <c r="J418" s="753"/>
      <c r="K418" s="753"/>
      <c r="L418" s="753"/>
      <c r="M418" s="753"/>
      <c r="N418" s="753"/>
      <c r="O418" s="753"/>
      <c r="P418" s="706"/>
      <c r="Q418" s="706"/>
      <c r="R418" s="706"/>
      <c r="S418" s="706"/>
      <c r="T418" s="706"/>
      <c r="U418" s="706"/>
      <c r="V418" s="706"/>
      <c r="Z418" s="833"/>
      <c r="AA418" s="833" t="str">
        <f>IF(AND(F419=G419,H419=I419,F419="A"),"2016 - kw","")</f>
        <v/>
      </c>
      <c r="AB418" s="833" t="str">
        <f>IF(OR(B418="2017 - kw",B418="2018 - kw"),"2016 - kw","")</f>
        <v/>
      </c>
      <c r="AC418" s="833"/>
      <c r="AD418" s="833"/>
      <c r="AE418" s="833"/>
    </row>
    <row r="419" spans="1:31" s="636" customFormat="1" hidden="1" x14ac:dyDescent="0.3">
      <c r="A419" s="706"/>
      <c r="B419" s="706"/>
      <c r="C419" s="614"/>
      <c r="D419" s="700"/>
      <c r="E419" s="701" t="s">
        <v>2120</v>
      </c>
      <c r="F419" s="752"/>
      <c r="G419" s="752"/>
      <c r="H419" s="752"/>
      <c r="I419" s="752"/>
      <c r="J419" s="752"/>
      <c r="K419" s="752"/>
      <c r="L419" s="752"/>
      <c r="M419" s="752"/>
      <c r="N419" s="752"/>
      <c r="O419" s="752"/>
      <c r="P419" s="706"/>
      <c r="Q419" s="706"/>
      <c r="R419" s="706"/>
      <c r="S419" s="706"/>
      <c r="T419" s="706"/>
      <c r="U419" s="706"/>
      <c r="V419" s="706"/>
      <c r="Z419" s="833"/>
      <c r="AA419" s="833"/>
      <c r="AB419" s="833"/>
      <c r="AC419" s="833"/>
      <c r="AD419" s="833"/>
      <c r="AE419" s="833"/>
    </row>
    <row r="420" spans="1:31" s="636" customFormat="1" hidden="1" x14ac:dyDescent="0.3">
      <c r="A420" s="706" t="str">
        <f>IF(AND(F422=G422,H422=I422,J422=K422,F422="A"),"2016 - kwh",IF(AND(F422=G422,H422=I422,J422&lt;&gt;K422,F422="A"),"2017 - kwh",IF(AND(F422=G422,H422&lt;&gt;I422,F422="A"),"2018 - kwh","N/A")))</f>
        <v>N/A</v>
      </c>
      <c r="B420" s="706" t="str">
        <f>IF(F422&lt;&gt;G422,"2018 - kwh",IF(H422&lt;&gt;I422,"2017 - kwh",IF(J422&lt;&gt;K422,"2016 - kwh","N/A")))</f>
        <v>N/A</v>
      </c>
      <c r="C420" s="610" t="s">
        <v>2268</v>
      </c>
      <c r="D420" s="754"/>
      <c r="E420" s="703" t="s">
        <v>154</v>
      </c>
      <c r="F420" s="753"/>
      <c r="G420" s="753"/>
      <c r="H420" s="753"/>
      <c r="I420" s="753"/>
      <c r="J420" s="753"/>
      <c r="K420" s="753"/>
      <c r="L420" s="753"/>
      <c r="M420" s="753"/>
      <c r="N420" s="753"/>
      <c r="O420" s="753"/>
      <c r="P420" s="706"/>
      <c r="Q420" s="706"/>
      <c r="R420" s="706"/>
      <c r="S420" s="706"/>
      <c r="T420" s="706"/>
      <c r="U420" s="706"/>
      <c r="V420" s="706"/>
      <c r="Z420" s="833"/>
      <c r="AA420" s="833" t="str">
        <f>IF(AND(F422=G422,H422=I422,F422="A"),"2016 - kwh","")</f>
        <v/>
      </c>
      <c r="AB420" s="833" t="str">
        <f>IF(OR(B420="2017 - kwh",B420="2018 - kwh"),"2016 - kwh","")</f>
        <v/>
      </c>
      <c r="AC420" s="833"/>
      <c r="AD420" s="833"/>
      <c r="AE420" s="833"/>
    </row>
    <row r="421" spans="1:31" s="636" customFormat="1" hidden="1" x14ac:dyDescent="0.3">
      <c r="A421" s="706" t="str">
        <f>IF(AND(F422=G422,H422=I422,J422=K422,F422="A"),"2016 - kw",IF(AND(F422=G422,H422=I422,J422&lt;&gt;K422,F422="A"),"2017 - kw",IF(AND(F422=G422,H422&lt;&gt;I422,F422="A"),"2018 - kw","N/A")))</f>
        <v>N/A</v>
      </c>
      <c r="B421" s="706" t="str">
        <f>IF(F422&lt;&gt;G422,"2018 - kw",IF(H422&lt;&gt;I422,"2017 - kw",IF(J422&lt;&gt;K422,"2016 - kw","N/A")))</f>
        <v>N/A</v>
      </c>
      <c r="C421" s="611"/>
      <c r="D421" s="646" t="str">
        <f>D420 &amp; "kW"</f>
        <v>kW</v>
      </c>
      <c r="E421" s="702" t="s">
        <v>155</v>
      </c>
      <c r="F421" s="753"/>
      <c r="G421" s="753"/>
      <c r="H421" s="753"/>
      <c r="I421" s="753"/>
      <c r="J421" s="753"/>
      <c r="K421" s="753"/>
      <c r="L421" s="753"/>
      <c r="M421" s="753"/>
      <c r="N421" s="753"/>
      <c r="O421" s="753"/>
      <c r="P421" s="706"/>
      <c r="Q421" s="706"/>
      <c r="R421" s="706"/>
      <c r="S421" s="706"/>
      <c r="T421" s="706"/>
      <c r="U421" s="706"/>
      <c r="V421" s="706"/>
      <c r="Z421" s="833"/>
      <c r="AA421" s="833" t="str">
        <f>IF(AND(F422=G422,H422=I422,F422="A"),"2016 - kw","")</f>
        <v/>
      </c>
      <c r="AB421" s="833" t="str">
        <f>IF(OR(B421="2017 - kw",B421="2018 - kw"),"2016 - kw","")</f>
        <v/>
      </c>
      <c r="AC421" s="833"/>
      <c r="AD421" s="833"/>
      <c r="AE421" s="833"/>
    </row>
    <row r="422" spans="1:31" s="636" customFormat="1" hidden="1" x14ac:dyDescent="0.3">
      <c r="A422" s="706"/>
      <c r="B422" s="706"/>
      <c r="C422" s="614"/>
      <c r="D422" s="700"/>
      <c r="E422" s="701" t="s">
        <v>2120</v>
      </c>
      <c r="F422" s="752"/>
      <c r="G422" s="752"/>
      <c r="H422" s="752"/>
      <c r="I422" s="752"/>
      <c r="J422" s="752"/>
      <c r="K422" s="752"/>
      <c r="L422" s="752"/>
      <c r="M422" s="752"/>
      <c r="N422" s="752"/>
      <c r="O422" s="752"/>
      <c r="P422" s="706"/>
      <c r="Q422" s="706"/>
      <c r="R422" s="706"/>
      <c r="S422" s="706"/>
      <c r="T422" s="706"/>
      <c r="U422" s="706"/>
      <c r="V422" s="706"/>
      <c r="Z422" s="833"/>
      <c r="AA422" s="833"/>
      <c r="AB422" s="833"/>
      <c r="AC422" s="833"/>
      <c r="AD422" s="833"/>
      <c r="AE422" s="833"/>
    </row>
    <row r="423" spans="1:31" s="636" customFormat="1" hidden="1" x14ac:dyDescent="0.3">
      <c r="A423" s="706" t="str">
        <f>IF(AND(F425=G425,H425=I425,J425=K425,F425="A"),"2016 - kwh",IF(AND(F425=G425,H425=I425,J425&lt;&gt;K425,F425="A"),"2017 - kwh",IF(AND(F425=G425,H425&lt;&gt;I425,F425="A"),"2018 - kwh","N/A")))</f>
        <v>N/A</v>
      </c>
      <c r="B423" s="706" t="str">
        <f>IF(F425&lt;&gt;G425,"2018 - kwh",IF(H425&lt;&gt;I425,"2017 - kwh",IF(J425&lt;&gt;K425,"2016 - kwh","N/A")))</f>
        <v>N/A</v>
      </c>
      <c r="C423" s="610" t="s">
        <v>2269</v>
      </c>
      <c r="D423" s="754"/>
      <c r="E423" s="703" t="s">
        <v>154</v>
      </c>
      <c r="F423" s="753"/>
      <c r="G423" s="753"/>
      <c r="H423" s="753"/>
      <c r="I423" s="753"/>
      <c r="J423" s="753"/>
      <c r="K423" s="753"/>
      <c r="L423" s="753"/>
      <c r="M423" s="753"/>
      <c r="N423" s="753"/>
      <c r="O423" s="753"/>
      <c r="P423" s="706"/>
      <c r="Q423" s="706"/>
      <c r="R423" s="706"/>
      <c r="S423" s="706"/>
      <c r="T423" s="706"/>
      <c r="U423" s="706"/>
      <c r="V423" s="706"/>
      <c r="Z423" s="833"/>
      <c r="AA423" s="833" t="str">
        <f>IF(AND(F425=G425,H425=I425,F425="A"),"2016 - kwh","")</f>
        <v/>
      </c>
      <c r="AB423" s="833" t="str">
        <f>IF(OR(B423="2017 - kwh",B423="2018 - kwh"),"2016 - kwh","")</f>
        <v/>
      </c>
      <c r="AC423" s="833"/>
      <c r="AD423" s="833"/>
      <c r="AE423" s="833"/>
    </row>
    <row r="424" spans="1:31" s="636" customFormat="1" hidden="1" x14ac:dyDescent="0.3">
      <c r="A424" s="706" t="str">
        <f>IF(AND(F425=G425,H425=I425,J425=K425,F425="A"),"2016 - kw",IF(AND(F425=G425,H425=I425,J425&lt;&gt;K425,F425="A"),"2017 - kw",IF(AND(F425=G425,H425&lt;&gt;I425,F425="A"),"2018 - kw","N/A")))</f>
        <v>N/A</v>
      </c>
      <c r="B424" s="706" t="str">
        <f>IF(F425&lt;&gt;G425,"2018 - kw",IF(H425&lt;&gt;I425,"2017 - kw",IF(J425&lt;&gt;K425,"2016 - kw","N/A")))</f>
        <v>N/A</v>
      </c>
      <c r="C424" s="611"/>
      <c r="D424" s="646" t="str">
        <f>D423 &amp; "kW"</f>
        <v>kW</v>
      </c>
      <c r="E424" s="702" t="s">
        <v>155</v>
      </c>
      <c r="F424" s="753"/>
      <c r="G424" s="753"/>
      <c r="H424" s="753"/>
      <c r="I424" s="753"/>
      <c r="J424" s="753"/>
      <c r="K424" s="753"/>
      <c r="L424" s="753"/>
      <c r="M424" s="753"/>
      <c r="N424" s="753"/>
      <c r="O424" s="753"/>
      <c r="P424" s="706"/>
      <c r="Q424" s="706"/>
      <c r="R424" s="706"/>
      <c r="S424" s="706"/>
      <c r="T424" s="706"/>
      <c r="U424" s="706"/>
      <c r="V424" s="706"/>
      <c r="Z424" s="833"/>
      <c r="AA424" s="833" t="str">
        <f>IF(AND(F425=G425,H425=I425,F425="A"),"2016 - kw","")</f>
        <v/>
      </c>
      <c r="AB424" s="833" t="str">
        <f>IF(OR(B424="2017 - kw",B424="2018 - kw"),"2016 - kw","")</f>
        <v/>
      </c>
      <c r="AC424" s="833"/>
      <c r="AD424" s="833"/>
      <c r="AE424" s="833"/>
    </row>
    <row r="425" spans="1:31" s="636" customFormat="1" hidden="1" x14ac:dyDescent="0.3">
      <c r="A425" s="706"/>
      <c r="B425" s="706"/>
      <c r="C425" s="614"/>
      <c r="D425" s="700"/>
      <c r="E425" s="701" t="s">
        <v>2120</v>
      </c>
      <c r="F425" s="752"/>
      <c r="G425" s="752"/>
      <c r="H425" s="752"/>
      <c r="I425" s="752"/>
      <c r="J425" s="752"/>
      <c r="K425" s="752"/>
      <c r="L425" s="752"/>
      <c r="M425" s="752"/>
      <c r="N425" s="752"/>
      <c r="O425" s="752"/>
      <c r="P425" s="706"/>
      <c r="Q425" s="706"/>
      <c r="R425" s="706"/>
      <c r="S425" s="706"/>
      <c r="T425" s="706"/>
      <c r="U425" s="706"/>
      <c r="V425" s="706"/>
      <c r="Z425" s="833"/>
      <c r="AA425" s="833"/>
      <c r="AB425" s="833"/>
      <c r="AC425" s="833"/>
      <c r="AD425" s="833"/>
      <c r="AE425" s="833"/>
    </row>
    <row r="426" spans="1:31" s="636" customFormat="1" hidden="1" x14ac:dyDescent="0.3">
      <c r="A426" s="706" t="str">
        <f>IF(AND(F428=G428,H428=I428,J428=K428,F428="A"),"2016 - kwh",IF(AND(F428=G428,H428=I428,J428&lt;&gt;K428,F428="A"),"2017 - kwh",IF(AND(F428=G428,H428&lt;&gt;I428,F428="A"),"2018 - kwh","N/A")))</f>
        <v>N/A</v>
      </c>
      <c r="B426" s="706" t="str">
        <f>IF(F428&lt;&gt;G428,"2018 - kwh",IF(H428&lt;&gt;I428,"2017 - kwh",IF(J428&lt;&gt;K428,"2016 - kwh","N/A")))</f>
        <v>N/A</v>
      </c>
      <c r="C426" s="610" t="s">
        <v>2270</v>
      </c>
      <c r="D426" s="754"/>
      <c r="E426" s="703" t="s">
        <v>154</v>
      </c>
      <c r="F426" s="753"/>
      <c r="G426" s="753"/>
      <c r="H426" s="753"/>
      <c r="I426" s="753"/>
      <c r="J426" s="753"/>
      <c r="K426" s="753"/>
      <c r="L426" s="753"/>
      <c r="M426" s="753"/>
      <c r="N426" s="753"/>
      <c r="O426" s="753"/>
      <c r="P426" s="706"/>
      <c r="Q426" s="706"/>
      <c r="R426" s="706"/>
      <c r="S426" s="706"/>
      <c r="T426" s="706"/>
      <c r="U426" s="706"/>
      <c r="V426" s="706"/>
      <c r="Z426" s="833"/>
      <c r="AA426" s="833" t="str">
        <f>IF(AND(F428=G428,H428=I428,F428="A"),"2016 - kwh","")</f>
        <v/>
      </c>
      <c r="AB426" s="833" t="str">
        <f>IF(OR(B426="2017 - kwh",B426="2018 - kwh"),"2016 - kwh","")</f>
        <v/>
      </c>
      <c r="AC426" s="833"/>
      <c r="AD426" s="833"/>
      <c r="AE426" s="833"/>
    </row>
    <row r="427" spans="1:31" s="636" customFormat="1" hidden="1" x14ac:dyDescent="0.3">
      <c r="A427" s="706" t="str">
        <f>IF(AND(F428=G428,H428=I428,J428=K428,F428="A"),"2016 - kw",IF(AND(F428=G428,H428=I428,J428&lt;&gt;K428,F428="A"),"2017 - kw",IF(AND(F428=G428,H428&lt;&gt;I428,F428="A"),"2018 - kw","N/A")))</f>
        <v>N/A</v>
      </c>
      <c r="B427" s="706" t="str">
        <f>IF(F428&lt;&gt;G428,"2018 - kw",IF(H428&lt;&gt;I428,"2017 - kw",IF(J428&lt;&gt;K428,"2016 - kw","N/A")))</f>
        <v>N/A</v>
      </c>
      <c r="C427" s="611"/>
      <c r="D427" s="646" t="str">
        <f>D426 &amp; "kW"</f>
        <v>kW</v>
      </c>
      <c r="E427" s="702" t="s">
        <v>155</v>
      </c>
      <c r="F427" s="753"/>
      <c r="G427" s="753"/>
      <c r="H427" s="753"/>
      <c r="I427" s="753"/>
      <c r="J427" s="753"/>
      <c r="K427" s="753"/>
      <c r="L427" s="753"/>
      <c r="M427" s="753"/>
      <c r="N427" s="753"/>
      <c r="O427" s="753"/>
      <c r="P427" s="706"/>
      <c r="Q427" s="706"/>
      <c r="R427" s="706"/>
      <c r="S427" s="706"/>
      <c r="T427" s="706"/>
      <c r="U427" s="706"/>
      <c r="V427" s="706"/>
      <c r="Z427" s="833"/>
      <c r="AA427" s="833" t="str">
        <f>IF(AND(F428=G428,H428=I428,F428="A"),"2016 - kw","")</f>
        <v/>
      </c>
      <c r="AB427" s="833" t="str">
        <f>IF(OR(B427="2017 - kw",B427="2018 - kw"),"2016 - kw","")</f>
        <v/>
      </c>
      <c r="AC427" s="833"/>
      <c r="AD427" s="833"/>
      <c r="AE427" s="833"/>
    </row>
    <row r="428" spans="1:31" s="636" customFormat="1" hidden="1" x14ac:dyDescent="0.3">
      <c r="A428" s="706"/>
      <c r="B428" s="706"/>
      <c r="C428" s="614"/>
      <c r="D428" s="700"/>
      <c r="E428" s="701" t="s">
        <v>2120</v>
      </c>
      <c r="F428" s="752"/>
      <c r="G428" s="752"/>
      <c r="H428" s="752"/>
      <c r="I428" s="752"/>
      <c r="J428" s="752"/>
      <c r="K428" s="752"/>
      <c r="L428" s="752"/>
      <c r="M428" s="752"/>
      <c r="N428" s="752"/>
      <c r="O428" s="752"/>
      <c r="P428" s="706"/>
      <c r="Q428" s="706"/>
      <c r="R428" s="706"/>
      <c r="S428" s="706"/>
      <c r="T428" s="706"/>
      <c r="U428" s="706"/>
      <c r="V428" s="706"/>
      <c r="Z428" s="833"/>
      <c r="AA428" s="833"/>
      <c r="AB428" s="833"/>
      <c r="AC428" s="833"/>
      <c r="AD428" s="833"/>
      <c r="AE428" s="833"/>
    </row>
    <row r="429" spans="1:31" s="636" customFormat="1" hidden="1" x14ac:dyDescent="0.3">
      <c r="A429" s="706" t="str">
        <f>IF(AND(F431=G431,H431=I431,J431=K431,F431="A"),"2016 - kwh",IF(AND(F431=G431,H431=I431,J431&lt;&gt;K431,F431="A"),"2017 - kwh",IF(AND(F431=G431,H431&lt;&gt;I431,F431="A"),"2018 - kwh","N/A")))</f>
        <v>N/A</v>
      </c>
      <c r="B429" s="706" t="str">
        <f>IF(F431&lt;&gt;G431,"2018 - kwh",IF(H431&lt;&gt;I431,"2017 - kwh",IF(J431&lt;&gt;K431,"2016 - kwh","N/A")))</f>
        <v>N/A</v>
      </c>
      <c r="C429" s="610" t="s">
        <v>2271</v>
      </c>
      <c r="D429" s="754"/>
      <c r="E429" s="703" t="s">
        <v>154</v>
      </c>
      <c r="F429" s="753"/>
      <c r="G429" s="753"/>
      <c r="H429" s="753"/>
      <c r="I429" s="753"/>
      <c r="J429" s="753"/>
      <c r="K429" s="753"/>
      <c r="L429" s="753"/>
      <c r="M429" s="753"/>
      <c r="N429" s="753"/>
      <c r="O429" s="753"/>
      <c r="P429" s="706"/>
      <c r="Q429" s="706"/>
      <c r="R429" s="706"/>
      <c r="S429" s="706"/>
      <c r="T429" s="706"/>
      <c r="U429" s="706"/>
      <c r="V429" s="706"/>
      <c r="Z429" s="833"/>
      <c r="AA429" s="833" t="str">
        <f>IF(AND(F431=G431,H431=I431,F431="A"),"2016 - kwh","")</f>
        <v/>
      </c>
      <c r="AB429" s="833" t="str">
        <f>IF(OR(B429="2017 - kwh",B429="2018 - kwh"),"2016 - kwh","")</f>
        <v/>
      </c>
      <c r="AC429" s="833"/>
      <c r="AD429" s="833"/>
      <c r="AE429" s="833"/>
    </row>
    <row r="430" spans="1:31" s="636" customFormat="1" hidden="1" x14ac:dyDescent="0.3">
      <c r="A430" s="706" t="str">
        <f>IF(AND(F431=G431,H431=I431,J431=K431,F431="A"),"2016 - kw",IF(AND(F431=G431,H431=I431,J431&lt;&gt;K431,F431="A"),"2017 - kw",IF(AND(F431=G431,H431&lt;&gt;I431,F431="A"),"2018 - kw","N/A")))</f>
        <v>N/A</v>
      </c>
      <c r="B430" s="706" t="str">
        <f>IF(F431&lt;&gt;G431,"2018 - kw",IF(H431&lt;&gt;I431,"2017 - kw",IF(J431&lt;&gt;K431,"2016 - kw","N/A")))</f>
        <v>N/A</v>
      </c>
      <c r="C430" s="611"/>
      <c r="D430" s="646" t="str">
        <f>D429 &amp; "kW"</f>
        <v>kW</v>
      </c>
      <c r="E430" s="702" t="s">
        <v>155</v>
      </c>
      <c r="F430" s="753"/>
      <c r="G430" s="753"/>
      <c r="H430" s="753"/>
      <c r="I430" s="753"/>
      <c r="J430" s="753"/>
      <c r="K430" s="753"/>
      <c r="L430" s="753"/>
      <c r="M430" s="753"/>
      <c r="N430" s="753"/>
      <c r="O430" s="753"/>
      <c r="P430" s="706"/>
      <c r="Q430" s="706"/>
      <c r="R430" s="706"/>
      <c r="S430" s="706"/>
      <c r="T430" s="706"/>
      <c r="U430" s="706"/>
      <c r="V430" s="706"/>
      <c r="Z430" s="833"/>
      <c r="AA430" s="833" t="str">
        <f>IF(AND(F431=G431,H431=I431,F431="A"),"2016 - kw","")</f>
        <v/>
      </c>
      <c r="AB430" s="833" t="str">
        <f>IF(OR(B430="2017 - kw",B430="2018 - kw"),"2016 - kw","")</f>
        <v/>
      </c>
      <c r="AC430" s="833"/>
      <c r="AD430" s="833"/>
      <c r="AE430" s="833"/>
    </row>
    <row r="431" spans="1:31" s="636" customFormat="1" hidden="1" x14ac:dyDescent="0.3">
      <c r="A431" s="706"/>
      <c r="B431" s="706"/>
      <c r="C431" s="614"/>
      <c r="D431" s="755"/>
      <c r="E431" s="701" t="s">
        <v>2120</v>
      </c>
      <c r="F431" s="752"/>
      <c r="G431" s="752"/>
      <c r="H431" s="752"/>
      <c r="I431" s="752"/>
      <c r="J431" s="752"/>
      <c r="K431" s="752"/>
      <c r="L431" s="752"/>
      <c r="M431" s="752"/>
      <c r="N431" s="752"/>
      <c r="O431" s="752"/>
      <c r="P431" s="706"/>
      <c r="Q431" s="706"/>
      <c r="R431" s="706"/>
      <c r="S431" s="706"/>
      <c r="T431" s="706"/>
      <c r="U431" s="706"/>
      <c r="V431" s="706"/>
      <c r="Z431" s="833"/>
      <c r="AA431" s="833"/>
      <c r="AB431" s="833"/>
      <c r="AC431" s="833"/>
      <c r="AD431" s="833"/>
      <c r="AE431" s="833"/>
    </row>
    <row r="432" spans="1:31" s="636" customFormat="1" hidden="1" x14ac:dyDescent="0.3">
      <c r="A432" s="706" t="str">
        <f>IF(AND(F434=G434,H434=I434,J434=K434,F434="A"),"2016 - kwh",IF(AND(F434=G434,H434=I434,J434&lt;&gt;K434,F434="A"),"2017 - kwh",IF(AND(F434=G434,H434&lt;&gt;I434,F434="A"),"2018 - kwh","N/A")))</f>
        <v>N/A</v>
      </c>
      <c r="B432" s="706" t="str">
        <f>IF(F434&lt;&gt;G434,"2018 - kwh",IF(H434&lt;&gt;I434,"2017 - kwh",IF(J434&lt;&gt;K434,"2016 - kwh","N/A")))</f>
        <v>N/A</v>
      </c>
      <c r="C432" s="610" t="s">
        <v>2272</v>
      </c>
      <c r="D432" s="754"/>
      <c r="E432" s="703" t="s">
        <v>154</v>
      </c>
      <c r="F432" s="753"/>
      <c r="G432" s="753"/>
      <c r="H432" s="753"/>
      <c r="I432" s="753"/>
      <c r="J432" s="753"/>
      <c r="K432" s="753"/>
      <c r="L432" s="753"/>
      <c r="M432" s="753"/>
      <c r="N432" s="753"/>
      <c r="O432" s="753"/>
      <c r="P432" s="706"/>
      <c r="Q432" s="706"/>
      <c r="R432" s="706"/>
      <c r="S432" s="706"/>
      <c r="T432" s="706"/>
      <c r="U432" s="706"/>
      <c r="V432" s="706"/>
      <c r="Z432" s="833"/>
      <c r="AA432" s="833" t="str">
        <f>IF(AND(F434=G434,H434=I434,F434="A"),"2016 - kwh","")</f>
        <v/>
      </c>
      <c r="AB432" s="833" t="str">
        <f>IF(OR(B432="2017 - kwh",B432="2018 - kwh"),"2016 - kwh","")</f>
        <v/>
      </c>
      <c r="AC432" s="833"/>
      <c r="AD432" s="833"/>
      <c r="AE432" s="833"/>
    </row>
    <row r="433" spans="1:31" s="636" customFormat="1" hidden="1" x14ac:dyDescent="0.3">
      <c r="A433" s="706" t="str">
        <f>IF(AND(F434=G434,H434=I434,J434=K434,F434="A"),"2016 - kw",IF(AND(F434=G434,H434=I434,J434&lt;&gt;K434,F434="A"),"2017 - kw",IF(AND(F434=G434,H434&lt;&gt;I434,F434="A"),"2018 - kw","N/A")))</f>
        <v>N/A</v>
      </c>
      <c r="B433" s="706" t="str">
        <f>IF(F434&lt;&gt;G434,"2018 - kw",IF(H434&lt;&gt;I434,"2017 - kw",IF(J434&lt;&gt;K434,"2016 - kw","N/A")))</f>
        <v>N/A</v>
      </c>
      <c r="C433" s="611"/>
      <c r="D433" s="646" t="str">
        <f>D432 &amp; "kW"</f>
        <v>kW</v>
      </c>
      <c r="E433" s="702" t="s">
        <v>155</v>
      </c>
      <c r="F433" s="753"/>
      <c r="G433" s="753"/>
      <c r="H433" s="753"/>
      <c r="I433" s="753"/>
      <c r="J433" s="753"/>
      <c r="K433" s="753"/>
      <c r="L433" s="753"/>
      <c r="M433" s="753"/>
      <c r="N433" s="753"/>
      <c r="O433" s="753"/>
      <c r="P433" s="706"/>
      <c r="Q433" s="706"/>
      <c r="R433" s="706"/>
      <c r="S433" s="706"/>
      <c r="T433" s="706"/>
      <c r="U433" s="706"/>
      <c r="V433" s="706"/>
      <c r="Z433" s="833"/>
      <c r="AA433" s="833" t="str">
        <f>IF(AND(F434=G434,H434=I434,F434="A"),"2016 - kw","")</f>
        <v/>
      </c>
      <c r="AB433" s="833" t="str">
        <f>IF(OR(B433="2017 - kw",B433="2018 - kw"),"2016 - kw","")</f>
        <v/>
      </c>
      <c r="AC433" s="833"/>
      <c r="AD433" s="833"/>
      <c r="AE433" s="833"/>
    </row>
    <row r="434" spans="1:31" s="636" customFormat="1" hidden="1" x14ac:dyDescent="0.3">
      <c r="A434" s="706"/>
      <c r="B434" s="706"/>
      <c r="C434" s="614"/>
      <c r="D434" s="700"/>
      <c r="E434" s="701" t="s">
        <v>2120</v>
      </c>
      <c r="F434" s="752"/>
      <c r="G434" s="752"/>
      <c r="H434" s="752"/>
      <c r="I434" s="752"/>
      <c r="J434" s="752"/>
      <c r="K434" s="752"/>
      <c r="L434" s="752"/>
      <c r="M434" s="752"/>
      <c r="N434" s="752"/>
      <c r="O434" s="752"/>
      <c r="P434" s="706"/>
      <c r="Q434" s="706"/>
      <c r="R434" s="706"/>
      <c r="S434" s="706"/>
      <c r="T434" s="706"/>
      <c r="U434" s="706"/>
      <c r="V434" s="706"/>
      <c r="Z434" s="833"/>
      <c r="AA434" s="833"/>
      <c r="AB434" s="833"/>
      <c r="AC434" s="833"/>
      <c r="AD434" s="833"/>
      <c r="AE434" s="833"/>
    </row>
    <row r="435" spans="1:31" s="636" customFormat="1" hidden="1" x14ac:dyDescent="0.3">
      <c r="A435" s="706" t="str">
        <f>IF(AND(F437=G437,H437=I437,J437=K437,F437="A"),"2016 - kwh",IF(AND(F437=G437,H437=I437,J437&lt;&gt;K437,F437="A"),"2017 - kwh",IF(AND(F437=G437,H437&lt;&gt;I437,F437="A"),"2018 - kwh","N/A")))</f>
        <v>N/A</v>
      </c>
      <c r="B435" s="706" t="str">
        <f>IF(F437&lt;&gt;G437,"2018 - kwh",IF(H437&lt;&gt;I437,"2017 - kwh",IF(J437&lt;&gt;K437,"2016 - kwh","N/A")))</f>
        <v>N/A</v>
      </c>
      <c r="C435" s="610" t="s">
        <v>2273</v>
      </c>
      <c r="D435" s="754"/>
      <c r="E435" s="703" t="s">
        <v>154</v>
      </c>
      <c r="F435" s="753"/>
      <c r="G435" s="753"/>
      <c r="H435" s="753"/>
      <c r="I435" s="753"/>
      <c r="J435" s="753"/>
      <c r="K435" s="753"/>
      <c r="L435" s="753"/>
      <c r="M435" s="753"/>
      <c r="N435" s="753"/>
      <c r="O435" s="753"/>
      <c r="P435" s="706"/>
      <c r="Q435" s="706"/>
      <c r="R435" s="706"/>
      <c r="S435" s="706"/>
      <c r="T435" s="706"/>
      <c r="U435" s="706"/>
      <c r="V435" s="706"/>
      <c r="Z435" s="833"/>
      <c r="AA435" s="833" t="str">
        <f>IF(AND(F437=G437,H437=I437,F437="A"),"2016 - kwh","")</f>
        <v/>
      </c>
      <c r="AB435" s="833" t="str">
        <f>IF(OR(B435="2017 - kwh",B435="2018 - kwh"),"2016 - kwh","")</f>
        <v/>
      </c>
      <c r="AC435" s="833"/>
      <c r="AD435" s="833"/>
      <c r="AE435" s="833"/>
    </row>
    <row r="436" spans="1:31" s="636" customFormat="1" hidden="1" x14ac:dyDescent="0.3">
      <c r="A436" s="706" t="str">
        <f>IF(AND(F437=G437,H437=I437,J437=K437,F437="A"),"2016 - kw",IF(AND(F437=G437,H437=I437,J437&lt;&gt;K437,F437="A"),"2017 - kw",IF(AND(F437=G437,H437&lt;&gt;I437,F437="A"),"2018 - kw","N/A")))</f>
        <v>N/A</v>
      </c>
      <c r="B436" s="706" t="str">
        <f>IF(F437&lt;&gt;G437,"2018 - kw",IF(H437&lt;&gt;I437,"2017 - kw",IF(J437&lt;&gt;K437,"2016 - kw","N/A")))</f>
        <v>N/A</v>
      </c>
      <c r="C436" s="611"/>
      <c r="D436" s="646" t="str">
        <f>D435 &amp; "kW"</f>
        <v>kW</v>
      </c>
      <c r="E436" s="702" t="s">
        <v>155</v>
      </c>
      <c r="F436" s="753"/>
      <c r="G436" s="753"/>
      <c r="H436" s="753"/>
      <c r="I436" s="753"/>
      <c r="J436" s="753"/>
      <c r="K436" s="753"/>
      <c r="L436" s="753"/>
      <c r="M436" s="753"/>
      <c r="N436" s="753"/>
      <c r="O436" s="753"/>
      <c r="P436" s="706"/>
      <c r="Q436" s="706"/>
      <c r="R436" s="706"/>
      <c r="S436" s="706"/>
      <c r="T436" s="706"/>
      <c r="U436" s="706"/>
      <c r="V436" s="706"/>
      <c r="Z436" s="833"/>
      <c r="AA436" s="833" t="str">
        <f>IF(AND(F437=G437,H437=I437,F437="A"),"2016 - kw","")</f>
        <v/>
      </c>
      <c r="AB436" s="833" t="str">
        <f>IF(OR(B436="2017 - kw",B436="2018 - kw"),"2016 - kw","")</f>
        <v/>
      </c>
      <c r="AC436" s="833"/>
      <c r="AD436" s="833"/>
      <c r="AE436" s="833"/>
    </row>
    <row r="437" spans="1:31" s="636" customFormat="1" hidden="1" x14ac:dyDescent="0.3">
      <c r="A437" s="706"/>
      <c r="B437" s="706"/>
      <c r="C437" s="614"/>
      <c r="D437" s="700"/>
      <c r="E437" s="701" t="s">
        <v>2120</v>
      </c>
      <c r="F437" s="752"/>
      <c r="G437" s="752"/>
      <c r="H437" s="752"/>
      <c r="I437" s="752"/>
      <c r="J437" s="752"/>
      <c r="K437" s="752"/>
      <c r="L437" s="752"/>
      <c r="M437" s="752"/>
      <c r="N437" s="752"/>
      <c r="O437" s="752"/>
      <c r="P437" s="706"/>
      <c r="Q437" s="706"/>
      <c r="R437" s="706"/>
      <c r="S437" s="706"/>
      <c r="T437" s="706"/>
      <c r="U437" s="706"/>
      <c r="V437" s="706"/>
      <c r="Z437" s="833"/>
      <c r="AA437" s="833"/>
      <c r="AB437" s="833"/>
      <c r="AC437" s="833"/>
      <c r="AD437" s="833"/>
      <c r="AE437" s="833"/>
    </row>
    <row r="438" spans="1:31" s="636" customFormat="1" hidden="1" x14ac:dyDescent="0.3">
      <c r="A438" s="706" t="str">
        <f>IF(AND(F440=G440,H440=I440,J440=K440,F440="A"),"2016 - kwh",IF(AND(F440=G440,H440=I440,J440&lt;&gt;K440,F440="A"),"2017 - kwh",IF(AND(F440=G440,H440&lt;&gt;I440,F440="A"),"2018 - kwh","N/A")))</f>
        <v>N/A</v>
      </c>
      <c r="B438" s="706" t="str">
        <f>IF(F440&lt;&gt;G440,"2018 - kwh",IF(H440&lt;&gt;I440,"2017 - kwh",IF(J440&lt;&gt;K440,"2016 - kwh","N/A")))</f>
        <v>N/A</v>
      </c>
      <c r="C438" s="610" t="s">
        <v>2274</v>
      </c>
      <c r="D438" s="754"/>
      <c r="E438" s="703" t="s">
        <v>154</v>
      </c>
      <c r="F438" s="753"/>
      <c r="G438" s="753"/>
      <c r="H438" s="753"/>
      <c r="I438" s="753"/>
      <c r="J438" s="753"/>
      <c r="K438" s="753"/>
      <c r="L438" s="753"/>
      <c r="M438" s="753"/>
      <c r="N438" s="753"/>
      <c r="O438" s="753"/>
      <c r="P438" s="706"/>
      <c r="Q438" s="706"/>
      <c r="R438" s="706"/>
      <c r="S438" s="706"/>
      <c r="T438" s="706"/>
      <c r="U438" s="706"/>
      <c r="V438" s="706"/>
      <c r="Z438" s="833"/>
      <c r="AA438" s="833" t="str">
        <f>IF(AND(F440=G440,H440=I440,F440="A"),"2016 - kwh","")</f>
        <v/>
      </c>
      <c r="AB438" s="833" t="str">
        <f>IF(OR(B438="2017 - kwh",B438="2018 - kwh"),"2016 - kwh","")</f>
        <v/>
      </c>
      <c r="AC438" s="833"/>
      <c r="AD438" s="833"/>
      <c r="AE438" s="833"/>
    </row>
    <row r="439" spans="1:31" s="636" customFormat="1" hidden="1" x14ac:dyDescent="0.3">
      <c r="A439" s="706" t="str">
        <f>IF(AND(F440=G440,H440=I440,J440=K440,F440="A"),"2016 - kw",IF(AND(F440=G440,H440=I440,J440&lt;&gt;K440,F440="A"),"2017 - kw",IF(AND(F440=G440,H440&lt;&gt;I440,F440="A"),"2018 - kw","N/A")))</f>
        <v>N/A</v>
      </c>
      <c r="B439" s="706" t="str">
        <f>IF(F440&lt;&gt;G440,"2018 - kw",IF(H440&lt;&gt;I440,"2017 - kw",IF(J440&lt;&gt;K440,"2016 - kw","N/A")))</f>
        <v>N/A</v>
      </c>
      <c r="C439" s="611"/>
      <c r="D439" s="646" t="str">
        <f>D438 &amp; "kW"</f>
        <v>kW</v>
      </c>
      <c r="E439" s="702" t="s">
        <v>155</v>
      </c>
      <c r="F439" s="753"/>
      <c r="G439" s="753"/>
      <c r="H439" s="753"/>
      <c r="I439" s="753"/>
      <c r="J439" s="753"/>
      <c r="K439" s="753"/>
      <c r="L439" s="753"/>
      <c r="M439" s="753"/>
      <c r="N439" s="753"/>
      <c r="O439" s="753"/>
      <c r="P439" s="706"/>
      <c r="Q439" s="706"/>
      <c r="R439" s="706"/>
      <c r="S439" s="706"/>
      <c r="T439" s="706"/>
      <c r="U439" s="706"/>
      <c r="V439" s="706"/>
      <c r="Z439" s="833"/>
      <c r="AA439" s="833" t="str">
        <f>IF(AND(F440=G440,H440=I440,F440="A"),"2016 - kw","")</f>
        <v/>
      </c>
      <c r="AB439" s="833" t="str">
        <f>IF(OR(B439="2017 - kw",B439="2018 - kw"),"2016 - kw","")</f>
        <v/>
      </c>
      <c r="AC439" s="833"/>
      <c r="AD439" s="833"/>
      <c r="AE439" s="833"/>
    </row>
    <row r="440" spans="1:31" s="636" customFormat="1" hidden="1" x14ac:dyDescent="0.3">
      <c r="A440" s="706"/>
      <c r="B440" s="706"/>
      <c r="C440" s="614"/>
      <c r="D440" s="700"/>
      <c r="E440" s="701" t="s">
        <v>2120</v>
      </c>
      <c r="F440" s="752"/>
      <c r="G440" s="752"/>
      <c r="H440" s="752"/>
      <c r="I440" s="752"/>
      <c r="J440" s="752"/>
      <c r="K440" s="752"/>
      <c r="L440" s="752"/>
      <c r="M440" s="752"/>
      <c r="N440" s="752"/>
      <c r="O440" s="752"/>
      <c r="P440" s="706"/>
      <c r="Q440" s="706"/>
      <c r="R440" s="706"/>
      <c r="S440" s="706"/>
      <c r="T440" s="706"/>
      <c r="U440" s="706"/>
      <c r="V440" s="706"/>
      <c r="Z440" s="833"/>
      <c r="AA440" s="833"/>
      <c r="AB440" s="833"/>
      <c r="AC440" s="833"/>
      <c r="AD440" s="833"/>
      <c r="AE440" s="833"/>
    </row>
    <row r="441" spans="1:31" s="636" customFormat="1" hidden="1" x14ac:dyDescent="0.3">
      <c r="A441" s="706" t="str">
        <f>IF(AND(F443=G443,H443=I443,J443=K443,F443="A"),"2016 - kwh",IF(AND(F443=G443,H443=I443,J443&lt;&gt;K443,F443="A"),"2017 - kwh",IF(AND(F443=G443,H443&lt;&gt;I443,F443="A"),"2018 - kwh","N/A")))</f>
        <v>N/A</v>
      </c>
      <c r="B441" s="706" t="str">
        <f>IF(F443&lt;&gt;G443,"2018 - kwh",IF(H443&lt;&gt;I443,"2017 - kwh",IF(J443&lt;&gt;K443,"2016 - kwh","N/A")))</f>
        <v>N/A</v>
      </c>
      <c r="C441" s="610" t="s">
        <v>2275</v>
      </c>
      <c r="D441" s="754"/>
      <c r="E441" s="703" t="s">
        <v>154</v>
      </c>
      <c r="F441" s="753"/>
      <c r="G441" s="753"/>
      <c r="H441" s="753"/>
      <c r="I441" s="753"/>
      <c r="J441" s="753"/>
      <c r="K441" s="753"/>
      <c r="L441" s="753"/>
      <c r="M441" s="753"/>
      <c r="N441" s="753"/>
      <c r="O441" s="753"/>
      <c r="P441" s="706"/>
      <c r="Q441" s="706"/>
      <c r="R441" s="706"/>
      <c r="S441" s="706"/>
      <c r="T441" s="706"/>
      <c r="U441" s="706"/>
      <c r="V441" s="706"/>
      <c r="Z441" s="833"/>
      <c r="AA441" s="833" t="str">
        <f>IF(AND(F443=G443,H443=I443,F443="A"),"2016 - kwh","")</f>
        <v/>
      </c>
      <c r="AB441" s="833" t="str">
        <f>IF(OR(B441="2017 - kwh",B441="2018 - kwh"),"2016 - kwh","")</f>
        <v/>
      </c>
      <c r="AC441" s="833"/>
      <c r="AD441" s="833"/>
      <c r="AE441" s="833"/>
    </row>
    <row r="442" spans="1:31" s="636" customFormat="1" hidden="1" x14ac:dyDescent="0.3">
      <c r="A442" s="706" t="str">
        <f>IF(AND(F443=G443,H443=I443,J443=K443,F443="A"),"2016 - kw",IF(AND(F443=G443,H443=I443,J443&lt;&gt;K443,F443="A"),"2017 - kw",IF(AND(F443=G443,H443&lt;&gt;I443,F443="A"),"2018 - kw","N/A")))</f>
        <v>N/A</v>
      </c>
      <c r="B442" s="706" t="str">
        <f>IF(F443&lt;&gt;G443,"2018 - kw",IF(H443&lt;&gt;I443,"2017 - kw",IF(J443&lt;&gt;K443,"2016 - kw","N/A")))</f>
        <v>N/A</v>
      </c>
      <c r="C442" s="611"/>
      <c r="D442" s="646" t="str">
        <f>D441 &amp; "kW"</f>
        <v>kW</v>
      </c>
      <c r="E442" s="702" t="s">
        <v>155</v>
      </c>
      <c r="F442" s="753"/>
      <c r="G442" s="753"/>
      <c r="H442" s="753"/>
      <c r="I442" s="753"/>
      <c r="J442" s="753"/>
      <c r="K442" s="753"/>
      <c r="L442" s="753"/>
      <c r="M442" s="753"/>
      <c r="N442" s="753"/>
      <c r="O442" s="753"/>
      <c r="P442" s="706"/>
      <c r="Q442" s="706"/>
      <c r="R442" s="706"/>
      <c r="S442" s="706"/>
      <c r="T442" s="706"/>
      <c r="U442" s="706"/>
      <c r="V442" s="706"/>
      <c r="Z442" s="833"/>
      <c r="AA442" s="833" t="str">
        <f>IF(AND(F443=G443,H443=I443,F443="A"),"2016 - kw","")</f>
        <v/>
      </c>
      <c r="AB442" s="833" t="str">
        <f>IF(OR(B442="2017 - kw",B442="2018 - kw"),"2016 - kw","")</f>
        <v/>
      </c>
      <c r="AC442" s="833"/>
      <c r="AD442" s="833"/>
      <c r="AE442" s="833"/>
    </row>
    <row r="443" spans="1:31" s="636" customFormat="1" hidden="1" x14ac:dyDescent="0.3">
      <c r="A443" s="706"/>
      <c r="B443" s="706"/>
      <c r="C443" s="614"/>
      <c r="D443" s="700"/>
      <c r="E443" s="701" t="s">
        <v>2120</v>
      </c>
      <c r="F443" s="752"/>
      <c r="G443" s="752"/>
      <c r="H443" s="752"/>
      <c r="I443" s="752"/>
      <c r="J443" s="752"/>
      <c r="K443" s="752"/>
      <c r="L443" s="752"/>
      <c r="M443" s="752"/>
      <c r="N443" s="752"/>
      <c r="O443" s="752"/>
      <c r="P443" s="706"/>
      <c r="Q443" s="706"/>
      <c r="R443" s="706"/>
      <c r="S443" s="706"/>
      <c r="T443" s="706"/>
      <c r="U443" s="706"/>
      <c r="V443" s="706"/>
      <c r="Z443" s="833"/>
      <c r="AA443" s="833"/>
      <c r="AB443" s="833"/>
      <c r="AC443" s="833"/>
      <c r="AD443" s="833"/>
      <c r="AE443" s="833"/>
    </row>
    <row r="444" spans="1:31" s="636" customFormat="1" hidden="1" x14ac:dyDescent="0.3">
      <c r="A444" s="706" t="str">
        <f>IF(AND(F446=G446,H446=I446,J446=K446,F446="A"),"2016 - kwh",IF(AND(F446=G446,H446=I446,J446&lt;&gt;K446,F446="A"),"2017 - kwh",IF(AND(F446=G446,H446&lt;&gt;I446,F446="A"),"2018 - kwh","N/A")))</f>
        <v>N/A</v>
      </c>
      <c r="B444" s="706" t="str">
        <f>IF(F446&lt;&gt;G446,"2018 - kwh",IF(H446&lt;&gt;I446,"2017 - kwh",IF(J446&lt;&gt;K446,"2016 - kwh","N/A")))</f>
        <v>N/A</v>
      </c>
      <c r="C444" s="610" t="s">
        <v>2276</v>
      </c>
      <c r="D444" s="754"/>
      <c r="E444" s="703" t="s">
        <v>154</v>
      </c>
      <c r="F444" s="753"/>
      <c r="G444" s="753"/>
      <c r="H444" s="753"/>
      <c r="I444" s="753"/>
      <c r="J444" s="753"/>
      <c r="K444" s="753"/>
      <c r="L444" s="753"/>
      <c r="M444" s="753"/>
      <c r="N444" s="753"/>
      <c r="O444" s="753"/>
      <c r="P444" s="706"/>
      <c r="Q444" s="706"/>
      <c r="R444" s="706"/>
      <c r="S444" s="706"/>
      <c r="T444" s="706"/>
      <c r="U444" s="706"/>
      <c r="V444" s="706"/>
      <c r="Z444" s="833"/>
      <c r="AA444" s="833" t="str">
        <f>IF(AND(F446=G446,H446=I446,F446="A"),"2016 - kwh","")</f>
        <v/>
      </c>
      <c r="AB444" s="833" t="str">
        <f>IF(OR(B444="2017 - kwh",B444="2018 - kwh"),"2016 - kwh","")</f>
        <v/>
      </c>
      <c r="AC444" s="833"/>
      <c r="AD444" s="833"/>
      <c r="AE444" s="833"/>
    </row>
    <row r="445" spans="1:31" s="636" customFormat="1" hidden="1" x14ac:dyDescent="0.3">
      <c r="A445" s="706" t="str">
        <f>IF(AND(F446=G446,H446=I446,J446=K446,F446="A"),"2016 - kw",IF(AND(F446=G446,H446=I446,J446&lt;&gt;K446,F446="A"),"2017 - kw",IF(AND(F446=G446,H446&lt;&gt;I446,F446="A"),"2018 - kw","N/A")))</f>
        <v>N/A</v>
      </c>
      <c r="B445" s="706" t="str">
        <f>IF(F446&lt;&gt;G446,"2018 - kw",IF(H446&lt;&gt;I446,"2017 - kw",IF(J446&lt;&gt;K446,"2016 - kw","N/A")))</f>
        <v>N/A</v>
      </c>
      <c r="C445" s="611"/>
      <c r="D445" s="646" t="str">
        <f>D444 &amp; "kW"</f>
        <v>kW</v>
      </c>
      <c r="E445" s="702" t="s">
        <v>155</v>
      </c>
      <c r="F445" s="753"/>
      <c r="G445" s="753"/>
      <c r="H445" s="753"/>
      <c r="I445" s="753"/>
      <c r="J445" s="753"/>
      <c r="K445" s="753"/>
      <c r="L445" s="753"/>
      <c r="M445" s="753"/>
      <c r="N445" s="753"/>
      <c r="O445" s="753"/>
      <c r="P445" s="706"/>
      <c r="Q445" s="706"/>
      <c r="R445" s="706"/>
      <c r="S445" s="706"/>
      <c r="T445" s="706"/>
      <c r="U445" s="706"/>
      <c r="V445" s="706"/>
      <c r="Z445" s="833"/>
      <c r="AA445" s="833" t="str">
        <f>IF(AND(F446=G446,H446=I446,F446="A"),"2016 - kw","")</f>
        <v/>
      </c>
      <c r="AB445" s="833" t="str">
        <f>IF(OR(B445="2017 - kw",B445="2018 - kw"),"2016 - kw","")</f>
        <v/>
      </c>
      <c r="AC445" s="833"/>
      <c r="AD445" s="833"/>
      <c r="AE445" s="833"/>
    </row>
    <row r="446" spans="1:31" s="636" customFormat="1" hidden="1" x14ac:dyDescent="0.3">
      <c r="A446" s="706"/>
      <c r="B446" s="706"/>
      <c r="C446" s="614"/>
      <c r="D446" s="700"/>
      <c r="E446" s="701" t="s">
        <v>2120</v>
      </c>
      <c r="F446" s="752"/>
      <c r="G446" s="752"/>
      <c r="H446" s="752"/>
      <c r="I446" s="752"/>
      <c r="J446" s="752"/>
      <c r="K446" s="752"/>
      <c r="L446" s="752"/>
      <c r="M446" s="752"/>
      <c r="N446" s="752"/>
      <c r="O446" s="752"/>
      <c r="P446" s="706"/>
      <c r="Q446" s="706"/>
      <c r="R446" s="706"/>
      <c r="S446" s="706"/>
      <c r="T446" s="706"/>
      <c r="U446" s="706"/>
      <c r="V446" s="706"/>
      <c r="Z446" s="833"/>
      <c r="AA446" s="833"/>
      <c r="AB446" s="833"/>
      <c r="AC446" s="833"/>
      <c r="AD446" s="833"/>
      <c r="AE446" s="833"/>
    </row>
    <row r="447" spans="1:31" s="636" customFormat="1" hidden="1" x14ac:dyDescent="0.3">
      <c r="A447" s="706" t="str">
        <f>IF(AND(F449=G449,H449=I449,J449=K449,F449="A"),"2016 - kwh",IF(AND(F449=G449,H449=I449,J449&lt;&gt;K449,F449="A"),"2017 - kwh",IF(AND(F449=G449,H449&lt;&gt;I449,F449="A"),"2018 - kwh","N/A")))</f>
        <v>N/A</v>
      </c>
      <c r="B447" s="706" t="str">
        <f>IF(F449&lt;&gt;G449,"2018 - kwh",IF(H449&lt;&gt;I449,"2017 - kwh",IF(J449&lt;&gt;K449,"2016 - kwh","N/A")))</f>
        <v>N/A</v>
      </c>
      <c r="C447" s="610" t="s">
        <v>2277</v>
      </c>
      <c r="D447" s="754"/>
      <c r="E447" s="703" t="s">
        <v>154</v>
      </c>
      <c r="F447" s="753"/>
      <c r="G447" s="753"/>
      <c r="H447" s="753"/>
      <c r="I447" s="753"/>
      <c r="J447" s="753"/>
      <c r="K447" s="753"/>
      <c r="L447" s="753"/>
      <c r="M447" s="753"/>
      <c r="N447" s="753"/>
      <c r="O447" s="753"/>
      <c r="P447" s="706"/>
      <c r="Q447" s="706"/>
      <c r="R447" s="706"/>
      <c r="S447" s="706"/>
      <c r="T447" s="706"/>
      <c r="U447" s="706"/>
      <c r="V447" s="706"/>
      <c r="Z447" s="833"/>
      <c r="AA447" s="833" t="str">
        <f>IF(AND(F449=G449,H449=I449,F449="A"),"2016 - kwh","")</f>
        <v/>
      </c>
      <c r="AB447" s="833" t="str">
        <f>IF(OR(B447="2017 - kwh",B447="2018 - kwh"),"2016 - kwh","")</f>
        <v/>
      </c>
      <c r="AC447" s="833"/>
      <c r="AD447" s="833"/>
      <c r="AE447" s="833"/>
    </row>
    <row r="448" spans="1:31" s="636" customFormat="1" hidden="1" x14ac:dyDescent="0.3">
      <c r="A448" s="706" t="str">
        <f>IF(AND(F449=G449,H449=I449,J449=K449,F449="A"),"2016 - kw",IF(AND(F449=G449,H449=I449,J449&lt;&gt;K449,F449="A"),"2017 - kw",IF(AND(F449=G449,H449&lt;&gt;I449,F449="A"),"2018 - kw","N/A")))</f>
        <v>N/A</v>
      </c>
      <c r="B448" s="706" t="str">
        <f>IF(F449&lt;&gt;G449,"2018 - kw",IF(H449&lt;&gt;I449,"2017 - kw",IF(J449&lt;&gt;K449,"2016 - kw","N/A")))</f>
        <v>N/A</v>
      </c>
      <c r="C448" s="611"/>
      <c r="D448" s="646" t="str">
        <f>D447 &amp; "kW"</f>
        <v>kW</v>
      </c>
      <c r="E448" s="702" t="s">
        <v>155</v>
      </c>
      <c r="F448" s="753"/>
      <c r="G448" s="753"/>
      <c r="H448" s="753"/>
      <c r="I448" s="753"/>
      <c r="J448" s="753"/>
      <c r="K448" s="753"/>
      <c r="L448" s="753"/>
      <c r="M448" s="753"/>
      <c r="N448" s="753"/>
      <c r="O448" s="753"/>
      <c r="P448" s="706"/>
      <c r="Q448" s="706"/>
      <c r="R448" s="706"/>
      <c r="S448" s="706"/>
      <c r="T448" s="706"/>
      <c r="U448" s="706"/>
      <c r="V448" s="706"/>
      <c r="Z448" s="833"/>
      <c r="AA448" s="833" t="str">
        <f>IF(AND(F449=G449,H449=I449,F449="A"),"2016 - kw","")</f>
        <v/>
      </c>
      <c r="AB448" s="833" t="str">
        <f>IF(OR(B448="2017 - kw",B448="2018 - kw"),"2016 - kw","")</f>
        <v/>
      </c>
      <c r="AC448" s="833"/>
      <c r="AD448" s="833"/>
      <c r="AE448" s="833"/>
    </row>
    <row r="449" spans="1:31" s="636" customFormat="1" hidden="1" x14ac:dyDescent="0.3">
      <c r="A449" s="706"/>
      <c r="B449" s="706"/>
      <c r="C449" s="614"/>
      <c r="D449" s="700"/>
      <c r="E449" s="701" t="s">
        <v>2120</v>
      </c>
      <c r="F449" s="752"/>
      <c r="G449" s="752"/>
      <c r="H449" s="752"/>
      <c r="I449" s="752"/>
      <c r="J449" s="752"/>
      <c r="K449" s="752"/>
      <c r="L449" s="752"/>
      <c r="M449" s="752"/>
      <c r="N449" s="752"/>
      <c r="O449" s="752"/>
      <c r="P449" s="706"/>
      <c r="Q449" s="706"/>
      <c r="R449" s="706"/>
      <c r="S449" s="706"/>
      <c r="T449" s="706"/>
      <c r="U449" s="706"/>
      <c r="V449" s="706"/>
      <c r="Z449" s="833"/>
      <c r="AA449" s="833"/>
      <c r="AB449" s="833"/>
      <c r="AC449" s="833"/>
      <c r="AD449" s="833"/>
      <c r="AE449" s="833"/>
    </row>
    <row r="450" spans="1:31" s="636" customFormat="1" hidden="1" x14ac:dyDescent="0.3">
      <c r="A450" s="706" t="str">
        <f>IF(AND(F452=G452,H452=I452,J452=K452,F452="A"),"2016 - kwh",IF(AND(F452=G452,H452=I452,J452&lt;&gt;K452,F452="A"),"2017 - kwh",IF(AND(F452=G452,H452&lt;&gt;I452,F452="A"),"2018 - kwh","N/A")))</f>
        <v>N/A</v>
      </c>
      <c r="B450" s="706" t="str">
        <f>IF(F452&lt;&gt;G452,"2018 - kwh",IF(H452&lt;&gt;I452,"2017 - kwh",IF(J452&lt;&gt;K452,"2016 - kwh","N/A")))</f>
        <v>N/A</v>
      </c>
      <c r="C450" s="610" t="s">
        <v>2278</v>
      </c>
      <c r="D450" s="754"/>
      <c r="E450" s="703" t="s">
        <v>154</v>
      </c>
      <c r="F450" s="753"/>
      <c r="G450" s="753"/>
      <c r="H450" s="753"/>
      <c r="I450" s="753"/>
      <c r="J450" s="753"/>
      <c r="K450" s="753"/>
      <c r="L450" s="753"/>
      <c r="M450" s="753"/>
      <c r="N450" s="753"/>
      <c r="O450" s="753"/>
      <c r="P450" s="706"/>
      <c r="Q450" s="706"/>
      <c r="R450" s="706"/>
      <c r="S450" s="706"/>
      <c r="T450" s="706"/>
      <c r="U450" s="706"/>
      <c r="V450" s="706"/>
      <c r="Z450" s="833"/>
      <c r="AA450" s="833" t="str">
        <f>IF(AND(F452=G452,H452=I452,F452="A"),"2016 - kwh","")</f>
        <v/>
      </c>
      <c r="AB450" s="833" t="str">
        <f>IF(OR(B450="2017 - kwh",B450="2018 - kwh"),"2016 - kwh","")</f>
        <v/>
      </c>
      <c r="AC450" s="833"/>
      <c r="AD450" s="833"/>
      <c r="AE450" s="833"/>
    </row>
    <row r="451" spans="1:31" s="636" customFormat="1" hidden="1" x14ac:dyDescent="0.3">
      <c r="A451" s="706" t="str">
        <f>IF(AND(F452=G452,H452=I452,J452=K452,F452="A"),"2016 - kw",IF(AND(F452=G452,H452=I452,J452&lt;&gt;K452,F452="A"),"2017 - kw",IF(AND(F452=G452,H452&lt;&gt;I452,F452="A"),"2018 - kw","N/A")))</f>
        <v>N/A</v>
      </c>
      <c r="B451" s="706" t="str">
        <f>IF(F452&lt;&gt;G452,"2018 - kw",IF(H452&lt;&gt;I452,"2017 - kw",IF(J452&lt;&gt;K452,"2016 - kw","N/A")))</f>
        <v>N/A</v>
      </c>
      <c r="C451" s="611"/>
      <c r="D451" s="646" t="str">
        <f>D450 &amp; "kW"</f>
        <v>kW</v>
      </c>
      <c r="E451" s="702" t="s">
        <v>155</v>
      </c>
      <c r="F451" s="753"/>
      <c r="G451" s="753"/>
      <c r="H451" s="753"/>
      <c r="I451" s="753"/>
      <c r="J451" s="753"/>
      <c r="K451" s="753"/>
      <c r="L451" s="753"/>
      <c r="M451" s="753"/>
      <c r="N451" s="753"/>
      <c r="O451" s="753"/>
      <c r="P451" s="706"/>
      <c r="Q451" s="706"/>
      <c r="R451" s="706"/>
      <c r="S451" s="706"/>
      <c r="T451" s="706"/>
      <c r="U451" s="706"/>
      <c r="V451" s="706"/>
      <c r="Z451" s="833"/>
      <c r="AA451" s="833" t="str">
        <f>IF(AND(F452=G452,H452=I452,F452="A"),"2016 - kw","")</f>
        <v/>
      </c>
      <c r="AB451" s="833" t="str">
        <f>IF(OR(B451="2017 - kw",B451="2018 - kw"),"2016 - kw","")</f>
        <v/>
      </c>
      <c r="AC451" s="833"/>
      <c r="AD451" s="833"/>
      <c r="AE451" s="833"/>
    </row>
    <row r="452" spans="1:31" s="636" customFormat="1" hidden="1" x14ac:dyDescent="0.3">
      <c r="A452" s="706"/>
      <c r="B452" s="706"/>
      <c r="C452" s="614"/>
      <c r="D452" s="700"/>
      <c r="E452" s="701" t="s">
        <v>2120</v>
      </c>
      <c r="F452" s="752"/>
      <c r="G452" s="752"/>
      <c r="H452" s="752"/>
      <c r="I452" s="752"/>
      <c r="J452" s="752"/>
      <c r="K452" s="752"/>
      <c r="L452" s="752"/>
      <c r="M452" s="752"/>
      <c r="N452" s="752"/>
      <c r="O452" s="752"/>
      <c r="P452" s="706"/>
      <c r="Q452" s="706"/>
      <c r="R452" s="706"/>
      <c r="S452" s="706"/>
      <c r="T452" s="706"/>
      <c r="U452" s="706"/>
      <c r="V452" s="706"/>
      <c r="Z452" s="833"/>
      <c r="AA452" s="833"/>
      <c r="AB452" s="833"/>
      <c r="AC452" s="833"/>
      <c r="AD452" s="833"/>
      <c r="AE452" s="833"/>
    </row>
    <row r="453" spans="1:31" s="636" customFormat="1" hidden="1" x14ac:dyDescent="0.3">
      <c r="A453" s="706" t="str">
        <f>IF(AND(F455=G455,H455=I455,J455=K455,F455="A"),"2016 - kwh",IF(AND(F455=G455,H455=I455,J455&lt;&gt;K455,F455="A"),"2017 - kwh",IF(AND(F455=G455,H455&lt;&gt;I455,F455="A"),"2018 - kwh","N/A")))</f>
        <v>N/A</v>
      </c>
      <c r="B453" s="706" t="str">
        <f>IF(F455&lt;&gt;G455,"2018 - kwh",IF(H455&lt;&gt;I455,"2017 - kwh",IF(J455&lt;&gt;K455,"2016 - kwh","N/A")))</f>
        <v>N/A</v>
      </c>
      <c r="C453" s="610" t="s">
        <v>2279</v>
      </c>
      <c r="D453" s="754"/>
      <c r="E453" s="703" t="s">
        <v>154</v>
      </c>
      <c r="F453" s="753"/>
      <c r="G453" s="753"/>
      <c r="H453" s="753"/>
      <c r="I453" s="753"/>
      <c r="J453" s="753"/>
      <c r="K453" s="753"/>
      <c r="L453" s="753"/>
      <c r="M453" s="753"/>
      <c r="N453" s="753"/>
      <c r="O453" s="753"/>
      <c r="P453" s="706"/>
      <c r="Q453" s="706"/>
      <c r="R453" s="706"/>
      <c r="S453" s="706"/>
      <c r="T453" s="706"/>
      <c r="U453" s="706"/>
      <c r="V453" s="706"/>
      <c r="Z453" s="833"/>
      <c r="AA453" s="833" t="str">
        <f>IF(AND(F455=G455,H455=I455,F455="A"),"2016 - kwh","")</f>
        <v/>
      </c>
      <c r="AB453" s="833" t="str">
        <f>IF(OR(B453="2017 - kwh",B453="2018 - kwh"),"2016 - kwh","")</f>
        <v/>
      </c>
      <c r="AC453" s="833"/>
      <c r="AD453" s="833"/>
      <c r="AE453" s="833"/>
    </row>
    <row r="454" spans="1:31" s="636" customFormat="1" hidden="1" x14ac:dyDescent="0.3">
      <c r="A454" s="706" t="str">
        <f>IF(AND(F455=G455,H455=I455,J455=K455,F455="A"),"2016 - kw",IF(AND(F455=G455,H455=I455,J455&lt;&gt;K455,F455="A"),"2017 - kw",IF(AND(F455=G455,H455&lt;&gt;I455,F455="A"),"2018 - kw","N/A")))</f>
        <v>N/A</v>
      </c>
      <c r="B454" s="706" t="str">
        <f>IF(F455&lt;&gt;G455,"2018 - kw",IF(H455&lt;&gt;I455,"2017 - kw",IF(J455&lt;&gt;K455,"2016 - kw","N/A")))</f>
        <v>N/A</v>
      </c>
      <c r="C454" s="611"/>
      <c r="D454" s="646" t="str">
        <f>D453 &amp; "kW"</f>
        <v>kW</v>
      </c>
      <c r="E454" s="702" t="s">
        <v>155</v>
      </c>
      <c r="F454" s="753"/>
      <c r="G454" s="753"/>
      <c r="H454" s="753"/>
      <c r="I454" s="753"/>
      <c r="J454" s="753"/>
      <c r="K454" s="753"/>
      <c r="L454" s="753"/>
      <c r="M454" s="753"/>
      <c r="N454" s="753"/>
      <c r="O454" s="753"/>
      <c r="P454" s="706"/>
      <c r="Q454" s="706"/>
      <c r="R454" s="706"/>
      <c r="S454" s="706"/>
      <c r="T454" s="706"/>
      <c r="U454" s="706"/>
      <c r="V454" s="706"/>
      <c r="Z454" s="833"/>
      <c r="AA454" s="833" t="str">
        <f>IF(AND(F455=G455,H455=I455,F455="A"),"2016 - kw","")</f>
        <v/>
      </c>
      <c r="AB454" s="833" t="str">
        <f>IF(OR(B454="2017 - kw",B454="2018 - kw"),"2016 - kw","")</f>
        <v/>
      </c>
      <c r="AC454" s="833"/>
      <c r="AD454" s="833"/>
      <c r="AE454" s="833"/>
    </row>
    <row r="455" spans="1:31" s="636" customFormat="1" hidden="1" x14ac:dyDescent="0.3">
      <c r="A455" s="706"/>
      <c r="B455" s="706"/>
      <c r="C455" s="614"/>
      <c r="D455" s="700"/>
      <c r="E455" s="701" t="s">
        <v>2120</v>
      </c>
      <c r="F455" s="752"/>
      <c r="G455" s="752"/>
      <c r="H455" s="752"/>
      <c r="I455" s="752"/>
      <c r="J455" s="752"/>
      <c r="K455" s="752"/>
      <c r="L455" s="752"/>
      <c r="M455" s="752"/>
      <c r="N455" s="752"/>
      <c r="O455" s="752"/>
      <c r="P455" s="706"/>
      <c r="Q455" s="706"/>
      <c r="R455" s="706"/>
      <c r="S455" s="706"/>
      <c r="T455" s="706"/>
      <c r="U455" s="706"/>
      <c r="V455" s="706"/>
      <c r="Z455" s="833"/>
      <c r="AA455" s="833"/>
      <c r="AB455" s="833"/>
      <c r="AC455" s="833"/>
      <c r="AD455" s="833"/>
      <c r="AE455" s="833"/>
    </row>
    <row r="456" spans="1:31" s="636" customFormat="1" hidden="1" x14ac:dyDescent="0.3">
      <c r="A456" s="706" t="str">
        <f>IF(AND(F458=G458,H458=I458,J458=K458,F458="A"),"2016 - kwh",IF(AND(F458=G458,H458=I458,J458&lt;&gt;K458,F458="A"),"2017 - kwh",IF(AND(F458=G458,H458&lt;&gt;I458,F458="A"),"2018 - kwh","N/A")))</f>
        <v>N/A</v>
      </c>
      <c r="B456" s="706" t="str">
        <f>IF(F458&lt;&gt;G458,"2018 - kwh",IF(H458&lt;&gt;I458,"2017 - kwh",IF(J458&lt;&gt;K458,"2016 - kwh","N/A")))</f>
        <v>N/A</v>
      </c>
      <c r="C456" s="610" t="s">
        <v>2280</v>
      </c>
      <c r="D456" s="754"/>
      <c r="E456" s="703" t="s">
        <v>154</v>
      </c>
      <c r="F456" s="753"/>
      <c r="G456" s="753"/>
      <c r="H456" s="753"/>
      <c r="I456" s="753"/>
      <c r="J456" s="753"/>
      <c r="K456" s="753"/>
      <c r="L456" s="753"/>
      <c r="M456" s="753"/>
      <c r="N456" s="753"/>
      <c r="O456" s="753"/>
      <c r="P456" s="706"/>
      <c r="Q456" s="706"/>
      <c r="R456" s="706"/>
      <c r="S456" s="706"/>
      <c r="T456" s="706"/>
      <c r="U456" s="706"/>
      <c r="V456" s="706"/>
      <c r="Z456" s="833"/>
      <c r="AA456" s="833" t="str">
        <f>IF(AND(F458=G458,H458=I458,F458="A"),"2016 - kwh","")</f>
        <v/>
      </c>
      <c r="AB456" s="833" t="str">
        <f>IF(OR(B456="2017 - kwh",B456="2018 - kwh"),"2016 - kwh","")</f>
        <v/>
      </c>
      <c r="AC456" s="833"/>
      <c r="AD456" s="833"/>
      <c r="AE456" s="833"/>
    </row>
    <row r="457" spans="1:31" s="636" customFormat="1" hidden="1" x14ac:dyDescent="0.3">
      <c r="A457" s="706" t="str">
        <f>IF(AND(F458=G458,H458=I458,J458=K458,F458="A"),"2016 - kw",IF(AND(F458=G458,H458=I458,J458&lt;&gt;K458,F458="A"),"2017 - kw",IF(AND(F458=G458,H458&lt;&gt;I458,F458="A"),"2018 - kw","N/A")))</f>
        <v>N/A</v>
      </c>
      <c r="B457" s="706" t="str">
        <f>IF(F458&lt;&gt;G458,"2018 - kw",IF(H458&lt;&gt;I458,"2017 - kw",IF(J458&lt;&gt;K458,"2016 - kw","N/A")))</f>
        <v>N/A</v>
      </c>
      <c r="C457" s="611"/>
      <c r="D457" s="646" t="str">
        <f>D456 &amp; "kW"</f>
        <v>kW</v>
      </c>
      <c r="E457" s="702" t="s">
        <v>155</v>
      </c>
      <c r="F457" s="753"/>
      <c r="G457" s="753"/>
      <c r="H457" s="753"/>
      <c r="I457" s="753"/>
      <c r="J457" s="753"/>
      <c r="K457" s="753"/>
      <c r="L457" s="753"/>
      <c r="M457" s="753"/>
      <c r="N457" s="753"/>
      <c r="O457" s="753"/>
      <c r="P457" s="706"/>
      <c r="Q457" s="706"/>
      <c r="R457" s="706"/>
      <c r="S457" s="706"/>
      <c r="T457" s="706"/>
      <c r="U457" s="706"/>
      <c r="V457" s="706"/>
      <c r="Z457" s="833"/>
      <c r="AA457" s="833" t="str">
        <f>IF(AND(F458=G458,H458=I458,F458="A"),"2016 - kw","")</f>
        <v/>
      </c>
      <c r="AB457" s="833" t="str">
        <f>IF(OR(B457="2017 - kw",B457="2018 - kw"),"2016 - kw","")</f>
        <v/>
      </c>
      <c r="AC457" s="833"/>
      <c r="AD457" s="833"/>
      <c r="AE457" s="833"/>
    </row>
    <row r="458" spans="1:31" s="636" customFormat="1" hidden="1" x14ac:dyDescent="0.3">
      <c r="A458" s="706"/>
      <c r="B458" s="706"/>
      <c r="C458" s="614"/>
      <c r="D458" s="700"/>
      <c r="E458" s="701" t="s">
        <v>2120</v>
      </c>
      <c r="F458" s="752"/>
      <c r="G458" s="752"/>
      <c r="H458" s="752"/>
      <c r="I458" s="752"/>
      <c r="J458" s="752"/>
      <c r="K458" s="752"/>
      <c r="L458" s="752"/>
      <c r="M458" s="752"/>
      <c r="N458" s="752"/>
      <c r="O458" s="752"/>
      <c r="P458" s="706"/>
      <c r="Q458" s="706"/>
      <c r="R458" s="706"/>
      <c r="S458" s="706"/>
      <c r="T458" s="706"/>
      <c r="U458" s="706"/>
      <c r="V458" s="706"/>
      <c r="Z458" s="833"/>
      <c r="AA458" s="833"/>
      <c r="AB458" s="833"/>
      <c r="AC458" s="833"/>
      <c r="AD458" s="833"/>
      <c r="AE458" s="833"/>
    </row>
    <row r="459" spans="1:31" s="636" customFormat="1" hidden="1" x14ac:dyDescent="0.3">
      <c r="A459" s="706" t="str">
        <f>IF(AND(F461=G461,H461=I461,J461=K461,F461="A"),"2016 - kwh",IF(AND(F461=G461,H461=I461,J461&lt;&gt;K461,F461="A"),"2017 - kwh",IF(AND(F461=G461,H461&lt;&gt;I461,F461="A"),"2018 - kwh","N/A")))</f>
        <v>N/A</v>
      </c>
      <c r="B459" s="706" t="str">
        <f>IF(F461&lt;&gt;G461,"2018 - kwh",IF(H461&lt;&gt;I461,"2017 - kwh",IF(J461&lt;&gt;K461,"2016 - kwh","N/A")))</f>
        <v>N/A</v>
      </c>
      <c r="C459" s="610" t="s">
        <v>2281</v>
      </c>
      <c r="D459" s="754"/>
      <c r="E459" s="703" t="s">
        <v>154</v>
      </c>
      <c r="F459" s="753"/>
      <c r="G459" s="753"/>
      <c r="H459" s="753"/>
      <c r="I459" s="753"/>
      <c r="J459" s="753"/>
      <c r="K459" s="753"/>
      <c r="L459" s="753"/>
      <c r="M459" s="753"/>
      <c r="N459" s="753"/>
      <c r="O459" s="753"/>
      <c r="P459" s="706"/>
      <c r="Q459" s="706"/>
      <c r="R459" s="706"/>
      <c r="S459" s="706"/>
      <c r="T459" s="706"/>
      <c r="U459" s="706"/>
      <c r="V459" s="706"/>
      <c r="Z459" s="833"/>
      <c r="AA459" s="833" t="str">
        <f>IF(AND(F461=G461,H461=I461,F461="A"),"2016 - kwh","")</f>
        <v/>
      </c>
      <c r="AB459" s="833" t="str">
        <f>IF(OR(B459="2017 - kwh",B459="2018 - kwh"),"2016 - kwh","")</f>
        <v/>
      </c>
      <c r="AC459" s="833"/>
      <c r="AD459" s="833"/>
      <c r="AE459" s="833"/>
    </row>
    <row r="460" spans="1:31" s="636" customFormat="1" hidden="1" x14ac:dyDescent="0.3">
      <c r="A460" s="706" t="str">
        <f>IF(AND(F461=G461,H461=I461,J461=K461,F461="A"),"2016 - kw",IF(AND(F461=G461,H461=I461,J461&lt;&gt;K461,F461="A"),"2017 - kw",IF(AND(F461=G461,H461&lt;&gt;I461,F461="A"),"2018 - kw","N/A")))</f>
        <v>N/A</v>
      </c>
      <c r="B460" s="706" t="str">
        <f>IF(F461&lt;&gt;G461,"2018 - kw",IF(H461&lt;&gt;I461,"2017 - kw",IF(J461&lt;&gt;K461,"2016 - kw","N/A")))</f>
        <v>N/A</v>
      </c>
      <c r="C460" s="611"/>
      <c r="D460" s="646" t="str">
        <f>D459 &amp; "kW"</f>
        <v>kW</v>
      </c>
      <c r="E460" s="702" t="s">
        <v>155</v>
      </c>
      <c r="F460" s="753"/>
      <c r="G460" s="753"/>
      <c r="H460" s="753"/>
      <c r="I460" s="753"/>
      <c r="J460" s="753"/>
      <c r="K460" s="753"/>
      <c r="L460" s="753"/>
      <c r="M460" s="753"/>
      <c r="N460" s="753"/>
      <c r="O460" s="753"/>
      <c r="P460" s="706"/>
      <c r="Q460" s="706"/>
      <c r="R460" s="706"/>
      <c r="S460" s="706"/>
      <c r="T460" s="706"/>
      <c r="U460" s="706"/>
      <c r="V460" s="706"/>
      <c r="Z460" s="833"/>
      <c r="AA460" s="833" t="str">
        <f>IF(AND(F461=G461,H461=I461,F461="A"),"2016 - kw","")</f>
        <v/>
      </c>
      <c r="AB460" s="833" t="str">
        <f>IF(OR(B460="2017 - kw",B460="2018 - kw"),"2016 - kw","")</f>
        <v/>
      </c>
      <c r="AC460" s="833"/>
      <c r="AD460" s="833"/>
      <c r="AE460" s="833"/>
    </row>
    <row r="461" spans="1:31" s="636" customFormat="1" hidden="1" x14ac:dyDescent="0.3">
      <c r="A461" s="706"/>
      <c r="B461" s="706"/>
      <c r="C461" s="614"/>
      <c r="D461" s="700"/>
      <c r="E461" s="701" t="s">
        <v>2120</v>
      </c>
      <c r="F461" s="752"/>
      <c r="G461" s="752"/>
      <c r="H461" s="752"/>
      <c r="I461" s="752"/>
      <c r="J461" s="752"/>
      <c r="K461" s="752"/>
      <c r="L461" s="752"/>
      <c r="M461" s="752"/>
      <c r="N461" s="752"/>
      <c r="O461" s="752"/>
      <c r="P461" s="706"/>
      <c r="Q461" s="706"/>
      <c r="R461" s="706"/>
      <c r="S461" s="706"/>
      <c r="T461" s="706"/>
      <c r="U461" s="706"/>
      <c r="V461" s="706"/>
      <c r="Z461" s="833"/>
      <c r="AA461" s="833"/>
      <c r="AB461" s="833"/>
      <c r="AC461" s="833"/>
      <c r="AD461" s="833"/>
      <c r="AE461" s="833"/>
    </row>
    <row r="462" spans="1:31" s="636" customFormat="1" hidden="1" x14ac:dyDescent="0.3">
      <c r="A462" s="706" t="str">
        <f>IF(AND(F464=G464,H464=I464,J464=K464,F464="A"),"2016 - kwh",IF(AND(F464=G464,H464=I464,J464&lt;&gt;K464,F464="A"),"2017 - kwh",IF(AND(F464=G464,H464&lt;&gt;I464,F464="A"),"2018 - kwh","N/A")))</f>
        <v>N/A</v>
      </c>
      <c r="B462" s="706" t="str">
        <f>IF(F464&lt;&gt;G464,"2018 - kwh",IF(H464&lt;&gt;I464,"2017 - kwh",IF(J464&lt;&gt;K464,"2016 - kwh","N/A")))</f>
        <v>N/A</v>
      </c>
      <c r="C462" s="610" t="s">
        <v>2282</v>
      </c>
      <c r="D462" s="754"/>
      <c r="E462" s="703" t="s">
        <v>154</v>
      </c>
      <c r="F462" s="753"/>
      <c r="G462" s="753"/>
      <c r="H462" s="753"/>
      <c r="I462" s="753"/>
      <c r="J462" s="753"/>
      <c r="K462" s="753"/>
      <c r="L462" s="753"/>
      <c r="M462" s="753"/>
      <c r="N462" s="753"/>
      <c r="O462" s="753"/>
      <c r="P462" s="706"/>
      <c r="Q462" s="706"/>
      <c r="R462" s="706"/>
      <c r="S462" s="706"/>
      <c r="T462" s="706"/>
      <c r="U462" s="706"/>
      <c r="V462" s="706"/>
      <c r="Z462" s="833"/>
      <c r="AA462" s="833" t="str">
        <f>IF(AND(F464=G464,H464=I464,F464="A"),"2016 - kwh","")</f>
        <v/>
      </c>
      <c r="AB462" s="833" t="str">
        <f>IF(OR(B462="2017 - kwh",B462="2018 - kwh"),"2016 - kwh","")</f>
        <v/>
      </c>
      <c r="AC462" s="833"/>
      <c r="AD462" s="833"/>
      <c r="AE462" s="833"/>
    </row>
    <row r="463" spans="1:31" s="636" customFormat="1" hidden="1" x14ac:dyDescent="0.3">
      <c r="A463" s="706" t="str">
        <f>IF(AND(F464=G464,H464=I464,J464=K464,F464="A"),"2016 - kw",IF(AND(F464=G464,H464=I464,J464&lt;&gt;K464,F464="A"),"2017 - kw",IF(AND(F464=G464,H464&lt;&gt;I464,F464="A"),"2018 - kw","N/A")))</f>
        <v>N/A</v>
      </c>
      <c r="B463" s="706" t="str">
        <f>IF(F464&lt;&gt;G464,"2018 - kw",IF(H464&lt;&gt;I464,"2017 - kw",IF(J464&lt;&gt;K464,"2016 - kw","N/A")))</f>
        <v>N/A</v>
      </c>
      <c r="C463" s="611"/>
      <c r="D463" s="646" t="str">
        <f>D462 &amp; "kW"</f>
        <v>kW</v>
      </c>
      <c r="E463" s="702" t="s">
        <v>155</v>
      </c>
      <c r="F463" s="753"/>
      <c r="G463" s="753"/>
      <c r="H463" s="753"/>
      <c r="I463" s="753"/>
      <c r="J463" s="753"/>
      <c r="K463" s="753"/>
      <c r="L463" s="753"/>
      <c r="M463" s="753"/>
      <c r="N463" s="753"/>
      <c r="O463" s="753"/>
      <c r="P463" s="706"/>
      <c r="Q463" s="706"/>
      <c r="R463" s="706"/>
      <c r="S463" s="706"/>
      <c r="T463" s="706"/>
      <c r="U463" s="706"/>
      <c r="V463" s="706"/>
      <c r="Z463" s="833"/>
      <c r="AA463" s="833" t="str">
        <f>IF(AND(F464=G464,H464=I464,F464="A"),"2016 - kw","")</f>
        <v/>
      </c>
      <c r="AB463" s="833" t="str">
        <f>IF(OR(B463="2017 - kw",B463="2018 - kw"),"2016 - kw","")</f>
        <v/>
      </c>
      <c r="AC463" s="833"/>
      <c r="AD463" s="833"/>
      <c r="AE463" s="833"/>
    </row>
    <row r="464" spans="1:31" s="636" customFormat="1" hidden="1" x14ac:dyDescent="0.3">
      <c r="A464" s="706"/>
      <c r="B464" s="706"/>
      <c r="C464" s="614"/>
      <c r="D464" s="700"/>
      <c r="E464" s="701" t="s">
        <v>2120</v>
      </c>
      <c r="F464" s="752"/>
      <c r="G464" s="752"/>
      <c r="H464" s="752"/>
      <c r="I464" s="752"/>
      <c r="J464" s="752"/>
      <c r="K464" s="752"/>
      <c r="L464" s="752"/>
      <c r="M464" s="752"/>
      <c r="N464" s="752"/>
      <c r="O464" s="752"/>
      <c r="P464" s="706"/>
      <c r="Q464" s="706"/>
      <c r="R464" s="706"/>
      <c r="S464" s="706"/>
      <c r="T464" s="706"/>
      <c r="U464" s="706"/>
      <c r="V464" s="706"/>
      <c r="Z464" s="833"/>
      <c r="AA464" s="833"/>
      <c r="AB464" s="833"/>
      <c r="AC464" s="833"/>
      <c r="AD464" s="833"/>
      <c r="AE464" s="833"/>
    </row>
    <row r="465" spans="1:31" s="636" customFormat="1" hidden="1" x14ac:dyDescent="0.3">
      <c r="A465" s="706" t="str">
        <f>IF(AND(F467=G467,H467=I467,J467=K467,F467="A"),"2016 - kwh",IF(AND(F467=G467,H467=I467,J467&lt;&gt;K467,F467="A"),"2017 - kwh",IF(AND(F467=G467,H467&lt;&gt;I467,F467="A"),"2018 - kwh","N/A")))</f>
        <v>N/A</v>
      </c>
      <c r="B465" s="706" t="str">
        <f>IF(F467&lt;&gt;G467,"2018 - kwh",IF(H467&lt;&gt;I467,"2017 - kwh",IF(J467&lt;&gt;K467,"2016 - kwh","N/A")))</f>
        <v>N/A</v>
      </c>
      <c r="C465" s="610" t="s">
        <v>2283</v>
      </c>
      <c r="D465" s="754"/>
      <c r="E465" s="703" t="s">
        <v>154</v>
      </c>
      <c r="F465" s="753"/>
      <c r="G465" s="753"/>
      <c r="H465" s="753"/>
      <c r="I465" s="753"/>
      <c r="J465" s="753"/>
      <c r="K465" s="753"/>
      <c r="L465" s="753"/>
      <c r="M465" s="753"/>
      <c r="N465" s="753"/>
      <c r="O465" s="753"/>
      <c r="P465" s="706"/>
      <c r="Q465" s="706"/>
      <c r="R465" s="706"/>
      <c r="S465" s="706"/>
      <c r="T465" s="706"/>
      <c r="U465" s="706"/>
      <c r="V465" s="706"/>
      <c r="Z465" s="833"/>
      <c r="AA465" s="833" t="str">
        <f>IF(AND(F467=G467,H467=I467,F467="A"),"2016 - kwh","")</f>
        <v/>
      </c>
      <c r="AB465" s="833" t="str">
        <f>IF(OR(B465="2017 - kwh",B465="2018 - kwh"),"2016 - kwh","")</f>
        <v/>
      </c>
      <c r="AC465" s="833"/>
      <c r="AD465" s="833"/>
      <c r="AE465" s="833"/>
    </row>
    <row r="466" spans="1:31" s="636" customFormat="1" hidden="1" x14ac:dyDescent="0.3">
      <c r="A466" s="706" t="str">
        <f>IF(AND(F467=G467,H467=I467,J467=K467,F467="A"),"2016 - kw",IF(AND(F467=G467,H467=I467,J467&lt;&gt;K467,F467="A"),"2017 - kw",IF(AND(F467=G467,H467&lt;&gt;I467,F467="A"),"2018 - kw","N/A")))</f>
        <v>N/A</v>
      </c>
      <c r="B466" s="706" t="str">
        <f>IF(F467&lt;&gt;G467,"2018 - kw",IF(H467&lt;&gt;I467,"2017 - kw",IF(J467&lt;&gt;K467,"2016 - kw","N/A")))</f>
        <v>N/A</v>
      </c>
      <c r="C466" s="611"/>
      <c r="D466" s="646" t="str">
        <f>D465 &amp; "kW"</f>
        <v>kW</v>
      </c>
      <c r="E466" s="702" t="s">
        <v>155</v>
      </c>
      <c r="F466" s="753"/>
      <c r="G466" s="753"/>
      <c r="H466" s="753"/>
      <c r="I466" s="753"/>
      <c r="J466" s="753"/>
      <c r="K466" s="753"/>
      <c r="L466" s="753"/>
      <c r="M466" s="753"/>
      <c r="N466" s="753"/>
      <c r="O466" s="753"/>
      <c r="P466" s="706"/>
      <c r="Q466" s="706"/>
      <c r="R466" s="706"/>
      <c r="S466" s="706"/>
      <c r="T466" s="706"/>
      <c r="U466" s="706"/>
      <c r="V466" s="706"/>
      <c r="Z466" s="833"/>
      <c r="AA466" s="833" t="str">
        <f>IF(AND(F467=G467,H467=I467,F467="A"),"2016 - kw","")</f>
        <v/>
      </c>
      <c r="AB466" s="833" t="str">
        <f>IF(OR(B466="2017 - kw",B466="2018 - kw"),"2016 - kw","")</f>
        <v/>
      </c>
      <c r="AC466" s="833"/>
      <c r="AD466" s="833"/>
      <c r="AE466" s="833"/>
    </row>
    <row r="467" spans="1:31" s="636" customFormat="1" hidden="1" x14ac:dyDescent="0.3">
      <c r="A467" s="706"/>
      <c r="B467" s="706"/>
      <c r="C467" s="614"/>
      <c r="D467" s="700"/>
      <c r="E467" s="701" t="s">
        <v>2120</v>
      </c>
      <c r="F467" s="752"/>
      <c r="G467" s="752"/>
      <c r="H467" s="752"/>
      <c r="I467" s="752"/>
      <c r="J467" s="752"/>
      <c r="K467" s="752"/>
      <c r="L467" s="752"/>
      <c r="M467" s="752"/>
      <c r="N467" s="752"/>
      <c r="O467" s="752"/>
      <c r="P467" s="706"/>
      <c r="Q467" s="706"/>
      <c r="R467" s="706"/>
      <c r="S467" s="706"/>
      <c r="T467" s="706"/>
      <c r="U467" s="706"/>
      <c r="V467" s="706"/>
      <c r="Z467" s="833"/>
      <c r="AA467" s="833"/>
      <c r="AB467" s="833"/>
      <c r="AC467" s="833"/>
      <c r="AD467" s="833"/>
      <c r="AE467" s="833"/>
    </row>
    <row r="468" spans="1:31" s="636" customFormat="1" hidden="1" x14ac:dyDescent="0.3">
      <c r="A468" s="706" t="str">
        <f>IF(AND(F470=G470,H470=I470,J470=K470,F470="A"),"2016 - kwh",IF(AND(F470=G470,H470=I470,J470&lt;&gt;K470,F470="A"),"2017 - kwh",IF(AND(F470=G470,H470&lt;&gt;I470,F470="A"),"2018 - kwh","N/A")))</f>
        <v>N/A</v>
      </c>
      <c r="B468" s="706" t="str">
        <f>IF(F470&lt;&gt;G470,"2018 - kwh",IF(H470&lt;&gt;I470,"2017 - kwh",IF(J470&lt;&gt;K470,"2016 - kwh","N/A")))</f>
        <v>N/A</v>
      </c>
      <c r="C468" s="610" t="s">
        <v>2284</v>
      </c>
      <c r="D468" s="754"/>
      <c r="E468" s="703" t="s">
        <v>154</v>
      </c>
      <c r="F468" s="753"/>
      <c r="G468" s="753"/>
      <c r="H468" s="753"/>
      <c r="I468" s="753"/>
      <c r="J468" s="753"/>
      <c r="K468" s="753"/>
      <c r="L468" s="753"/>
      <c r="M468" s="753"/>
      <c r="N468" s="753"/>
      <c r="O468" s="753"/>
      <c r="P468" s="706"/>
      <c r="Q468" s="706"/>
      <c r="R468" s="706"/>
      <c r="S468" s="706"/>
      <c r="T468" s="706"/>
      <c r="U468" s="706"/>
      <c r="V468" s="706"/>
      <c r="Z468" s="833"/>
      <c r="AA468" s="833" t="str">
        <f>IF(AND(F470=G470,H470=I470,F470="A"),"2016 - kwh","")</f>
        <v/>
      </c>
      <c r="AB468" s="833" t="str">
        <f>IF(OR(B468="2017 - kwh",B468="2018 - kwh"),"2016 - kwh","")</f>
        <v/>
      </c>
      <c r="AC468" s="833"/>
      <c r="AD468" s="833"/>
      <c r="AE468" s="833"/>
    </row>
    <row r="469" spans="1:31" s="636" customFormat="1" hidden="1" x14ac:dyDescent="0.3">
      <c r="A469" s="706" t="str">
        <f>IF(AND(F470=G470,H470=I470,J470=K470,F470="A"),"2016 - kw",IF(AND(F470=G470,H470=I470,J470&lt;&gt;K470,F470="A"),"2017 - kw",IF(AND(F470=G470,H470&lt;&gt;I470,F470="A"),"2018 - kw","N/A")))</f>
        <v>N/A</v>
      </c>
      <c r="B469" s="706" t="str">
        <f>IF(F470&lt;&gt;G470,"2018 - kw",IF(H470&lt;&gt;I470,"2017 - kw",IF(J470&lt;&gt;K470,"2016 - kw","N/A")))</f>
        <v>N/A</v>
      </c>
      <c r="C469" s="611"/>
      <c r="D469" s="646" t="str">
        <f>D468 &amp; "kW"</f>
        <v>kW</v>
      </c>
      <c r="E469" s="702" t="s">
        <v>155</v>
      </c>
      <c r="F469" s="753"/>
      <c r="G469" s="753"/>
      <c r="H469" s="753"/>
      <c r="I469" s="753"/>
      <c r="J469" s="753"/>
      <c r="K469" s="753"/>
      <c r="L469" s="753"/>
      <c r="M469" s="753"/>
      <c r="N469" s="753"/>
      <c r="O469" s="753"/>
      <c r="P469" s="706"/>
      <c r="Q469" s="706"/>
      <c r="R469" s="706"/>
      <c r="S469" s="706"/>
      <c r="T469" s="706"/>
      <c r="U469" s="706"/>
      <c r="V469" s="706"/>
      <c r="Z469" s="833"/>
      <c r="AA469" s="833" t="str">
        <f>IF(AND(F470=G470,H470=I470,F470="A"),"2016 - kw","")</f>
        <v/>
      </c>
      <c r="AB469" s="833" t="str">
        <f>IF(OR(B469="2017 - kw",B469="2018 - kw"),"2016 - kw","")</f>
        <v/>
      </c>
      <c r="AC469" s="833"/>
      <c r="AD469" s="833"/>
      <c r="AE469" s="833"/>
    </row>
    <row r="470" spans="1:31" s="636" customFormat="1" hidden="1" x14ac:dyDescent="0.3">
      <c r="A470" s="706"/>
      <c r="B470" s="706"/>
      <c r="C470" s="614"/>
      <c r="D470" s="700"/>
      <c r="E470" s="701" t="s">
        <v>2120</v>
      </c>
      <c r="F470" s="752"/>
      <c r="G470" s="752"/>
      <c r="H470" s="752"/>
      <c r="I470" s="752"/>
      <c r="J470" s="752"/>
      <c r="K470" s="752"/>
      <c r="L470" s="752"/>
      <c r="M470" s="752"/>
      <c r="N470" s="752"/>
      <c r="O470" s="752"/>
      <c r="P470" s="706"/>
      <c r="Q470" s="706"/>
      <c r="R470" s="706"/>
      <c r="S470" s="706"/>
      <c r="T470" s="706"/>
      <c r="U470" s="706"/>
      <c r="V470" s="706"/>
      <c r="Z470" s="833"/>
      <c r="AA470" s="833"/>
      <c r="AB470" s="833"/>
      <c r="AC470" s="833"/>
      <c r="AD470" s="833"/>
      <c r="AE470" s="833"/>
    </row>
    <row r="471" spans="1:31" s="636" customFormat="1" hidden="1" x14ac:dyDescent="0.3">
      <c r="A471" s="706" t="str">
        <f>IF(AND(F473=G473,H473=I473,J473=K473,F473="A"),"2016 - kwh",IF(AND(F473=G473,H473=I473,J473&lt;&gt;K473,F473="A"),"2017 - kwh",IF(AND(F473=G473,H473&lt;&gt;I473,F473="A"),"2018 - kwh","N/A")))</f>
        <v>N/A</v>
      </c>
      <c r="B471" s="706" t="str">
        <f>IF(F473&lt;&gt;G473,"2018 - kwh",IF(H473&lt;&gt;I473,"2017 - kwh",IF(J473&lt;&gt;K473,"2016 - kwh","N/A")))</f>
        <v>N/A</v>
      </c>
      <c r="C471" s="610" t="s">
        <v>2285</v>
      </c>
      <c r="D471" s="754"/>
      <c r="E471" s="703" t="s">
        <v>154</v>
      </c>
      <c r="F471" s="753"/>
      <c r="G471" s="753"/>
      <c r="H471" s="753"/>
      <c r="I471" s="753"/>
      <c r="J471" s="753"/>
      <c r="K471" s="753"/>
      <c r="L471" s="753"/>
      <c r="M471" s="753"/>
      <c r="N471" s="753"/>
      <c r="O471" s="753"/>
      <c r="P471" s="706"/>
      <c r="Q471" s="706"/>
      <c r="R471" s="706"/>
      <c r="S471" s="706"/>
      <c r="T471" s="706"/>
      <c r="U471" s="706"/>
      <c r="V471" s="706"/>
      <c r="Z471" s="833"/>
      <c r="AA471" s="833" t="str">
        <f>IF(AND(F473=G473,H473=I473,F473="A"),"2016 - kwh","")</f>
        <v/>
      </c>
      <c r="AB471" s="833" t="str">
        <f>IF(OR(B471="2017 - kwh",B471="2018 - kwh"),"2016 - kwh","")</f>
        <v/>
      </c>
      <c r="AC471" s="833"/>
      <c r="AD471" s="833"/>
      <c r="AE471" s="833"/>
    </row>
    <row r="472" spans="1:31" s="636" customFormat="1" hidden="1" x14ac:dyDescent="0.3">
      <c r="A472" s="706" t="str">
        <f>IF(AND(F473=G473,H473=I473,J473=K473,F473="A"),"2016 - kw",IF(AND(F473=G473,H473=I473,J473&lt;&gt;K473,F473="A"),"2017 - kw",IF(AND(F473=G473,H473&lt;&gt;I473,F473="A"),"2018 - kw","N/A")))</f>
        <v>N/A</v>
      </c>
      <c r="B472" s="706" t="str">
        <f>IF(F473&lt;&gt;G473,"2018 - kw",IF(H473&lt;&gt;I473,"2017 - kw",IF(J473&lt;&gt;K473,"2016 - kw","N/A")))</f>
        <v>N/A</v>
      </c>
      <c r="C472" s="611"/>
      <c r="D472" s="646" t="str">
        <f>D471 &amp; "kW"</f>
        <v>kW</v>
      </c>
      <c r="E472" s="702" t="s">
        <v>155</v>
      </c>
      <c r="F472" s="753"/>
      <c r="G472" s="753"/>
      <c r="H472" s="753"/>
      <c r="I472" s="753"/>
      <c r="J472" s="753"/>
      <c r="K472" s="753"/>
      <c r="L472" s="753"/>
      <c r="M472" s="753"/>
      <c r="N472" s="753"/>
      <c r="O472" s="753"/>
      <c r="P472" s="706"/>
      <c r="Q472" s="706"/>
      <c r="R472" s="706"/>
      <c r="S472" s="706"/>
      <c r="T472" s="706"/>
      <c r="U472" s="706"/>
      <c r="V472" s="706"/>
      <c r="Z472" s="833"/>
      <c r="AA472" s="833" t="str">
        <f>IF(AND(F473=G473,H473=I473,F473="A"),"2016 - kw","")</f>
        <v/>
      </c>
      <c r="AB472" s="833" t="str">
        <f>IF(OR(B472="2017 - kw",B472="2018 - kw"),"2016 - kw","")</f>
        <v/>
      </c>
      <c r="AC472" s="833"/>
      <c r="AD472" s="833"/>
      <c r="AE472" s="833"/>
    </row>
    <row r="473" spans="1:31" s="636" customFormat="1" hidden="1" x14ac:dyDescent="0.3">
      <c r="A473" s="706"/>
      <c r="B473" s="706"/>
      <c r="C473" s="614"/>
      <c r="D473" s="700"/>
      <c r="E473" s="701" t="s">
        <v>2120</v>
      </c>
      <c r="F473" s="752"/>
      <c r="G473" s="752"/>
      <c r="H473" s="752"/>
      <c r="I473" s="752"/>
      <c r="J473" s="752"/>
      <c r="K473" s="752"/>
      <c r="L473" s="752"/>
      <c r="M473" s="752"/>
      <c r="N473" s="752"/>
      <c r="O473" s="752"/>
      <c r="P473" s="706"/>
      <c r="Q473" s="706"/>
      <c r="R473" s="706"/>
      <c r="S473" s="706"/>
      <c r="T473" s="706"/>
      <c r="U473" s="706"/>
      <c r="V473" s="706"/>
      <c r="Z473" s="833"/>
      <c r="AA473" s="833"/>
      <c r="AB473" s="833"/>
      <c r="AC473" s="833"/>
      <c r="AD473" s="833"/>
      <c r="AE473" s="833"/>
    </row>
    <row r="474" spans="1:31" s="636" customFormat="1" hidden="1" x14ac:dyDescent="0.3">
      <c r="A474" s="706" t="str">
        <f>IF(AND(F476=G476,H476=I476,J476=K476,F476="A"),"2016 - kwh",IF(AND(F476=G476,H476=I476,J476&lt;&gt;K476,F476="A"),"2017 - kwh",IF(AND(F476=G476,H476&lt;&gt;I476,F476="A"),"2018 - kwh","N/A")))</f>
        <v>N/A</v>
      </c>
      <c r="B474" s="706" t="str">
        <f>IF(F476&lt;&gt;G476,"2018 - kwh",IF(H476&lt;&gt;I476,"2017 - kwh",IF(J476&lt;&gt;K476,"2016 - kwh","N/A")))</f>
        <v>N/A</v>
      </c>
      <c r="C474" s="610" t="s">
        <v>2286</v>
      </c>
      <c r="D474" s="754"/>
      <c r="E474" s="703" t="s">
        <v>154</v>
      </c>
      <c r="F474" s="753"/>
      <c r="G474" s="753"/>
      <c r="H474" s="753"/>
      <c r="I474" s="753"/>
      <c r="J474" s="753"/>
      <c r="K474" s="753"/>
      <c r="L474" s="753"/>
      <c r="M474" s="753"/>
      <c r="N474" s="753"/>
      <c r="O474" s="753"/>
      <c r="P474" s="706"/>
      <c r="Q474" s="706"/>
      <c r="R474" s="706"/>
      <c r="S474" s="706"/>
      <c r="T474" s="706"/>
      <c r="U474" s="706"/>
      <c r="V474" s="706"/>
      <c r="Z474" s="833"/>
      <c r="AA474" s="833" t="str">
        <f>IF(AND(F476=G476,H476=I476,F476="A"),"2016 - kwh","")</f>
        <v/>
      </c>
      <c r="AB474" s="833" t="str">
        <f>IF(OR(B474="2017 - kwh",B474="2018 - kwh"),"2016 - kwh","")</f>
        <v/>
      </c>
      <c r="AC474" s="833"/>
      <c r="AD474" s="833"/>
      <c r="AE474" s="833"/>
    </row>
    <row r="475" spans="1:31" s="636" customFormat="1" hidden="1" x14ac:dyDescent="0.3">
      <c r="A475" s="706" t="str">
        <f>IF(AND(F476=G476,H476=I476,J476=K476,F476="A"),"2016 - kw",IF(AND(F476=G476,H476=I476,J476&lt;&gt;K476,F476="A"),"2017 - kw",IF(AND(F476=G476,H476&lt;&gt;I476,F476="A"),"2018 - kw","N/A")))</f>
        <v>N/A</v>
      </c>
      <c r="B475" s="706" t="str">
        <f>IF(F476&lt;&gt;G476,"2018 - kw",IF(H476&lt;&gt;I476,"2017 - kw",IF(J476&lt;&gt;K476,"2016 - kw","N/A")))</f>
        <v>N/A</v>
      </c>
      <c r="C475" s="611"/>
      <c r="D475" s="646" t="str">
        <f>D474 &amp; "kW"</f>
        <v>kW</v>
      </c>
      <c r="E475" s="702" t="s">
        <v>155</v>
      </c>
      <c r="F475" s="753"/>
      <c r="G475" s="753"/>
      <c r="H475" s="753"/>
      <c r="I475" s="753"/>
      <c r="J475" s="753"/>
      <c r="K475" s="753"/>
      <c r="L475" s="753"/>
      <c r="M475" s="753"/>
      <c r="N475" s="753"/>
      <c r="O475" s="753"/>
      <c r="P475" s="706"/>
      <c r="Q475" s="706"/>
      <c r="R475" s="706"/>
      <c r="S475" s="706"/>
      <c r="T475" s="706"/>
      <c r="U475" s="706"/>
      <c r="V475" s="706"/>
      <c r="Z475" s="833"/>
      <c r="AA475" s="833" t="str">
        <f>IF(AND(F476=G476,H476=I476,F476="A"),"2016 - kw","")</f>
        <v/>
      </c>
      <c r="AB475" s="833" t="str">
        <f>IF(OR(B475="2017 - kw",B475="2018 - kw"),"2016 - kw","")</f>
        <v/>
      </c>
      <c r="AC475" s="833"/>
      <c r="AD475" s="833"/>
      <c r="AE475" s="833"/>
    </row>
    <row r="476" spans="1:31" s="636" customFormat="1" hidden="1" x14ac:dyDescent="0.3">
      <c r="A476" s="706"/>
      <c r="B476" s="706"/>
      <c r="C476" s="614"/>
      <c r="D476" s="700"/>
      <c r="E476" s="701" t="s">
        <v>2120</v>
      </c>
      <c r="F476" s="752"/>
      <c r="G476" s="752"/>
      <c r="H476" s="752"/>
      <c r="I476" s="752"/>
      <c r="J476" s="752"/>
      <c r="K476" s="752"/>
      <c r="L476" s="752"/>
      <c r="M476" s="752"/>
      <c r="N476" s="752"/>
      <c r="O476" s="752"/>
      <c r="P476" s="706"/>
      <c r="Q476" s="706"/>
      <c r="R476" s="706"/>
      <c r="S476" s="706"/>
      <c r="T476" s="706"/>
      <c r="U476" s="706"/>
      <c r="V476" s="706"/>
      <c r="Z476" s="833"/>
      <c r="AA476" s="833"/>
      <c r="AB476" s="833"/>
      <c r="AC476" s="833"/>
      <c r="AD476" s="833"/>
      <c r="AE476" s="833"/>
    </row>
    <row r="477" spans="1:31" s="636" customFormat="1" hidden="1" x14ac:dyDescent="0.3">
      <c r="A477" s="706" t="str">
        <f>IF(AND(F479=G479,H479=I479,J479=K479,F479="A"),"2016 - kwh",IF(AND(F479=G479,H479=I479,J479&lt;&gt;K479,F479="A"),"2017 - kwh",IF(AND(F479=G479,H479&lt;&gt;I479,F479="A"),"2018 - kwh","N/A")))</f>
        <v>N/A</v>
      </c>
      <c r="B477" s="706" t="str">
        <f>IF(F479&lt;&gt;G479,"2018 - kwh",IF(H479&lt;&gt;I479,"2017 - kwh",IF(J479&lt;&gt;K479,"2016 - kwh","N/A")))</f>
        <v>N/A</v>
      </c>
      <c r="C477" s="613" t="s">
        <v>2287</v>
      </c>
      <c r="D477" s="754"/>
      <c r="E477" s="703" t="s">
        <v>154</v>
      </c>
      <c r="F477" s="753"/>
      <c r="G477" s="753"/>
      <c r="H477" s="753"/>
      <c r="I477" s="753"/>
      <c r="J477" s="753"/>
      <c r="K477" s="753"/>
      <c r="L477" s="753"/>
      <c r="M477" s="753"/>
      <c r="N477" s="753"/>
      <c r="O477" s="753"/>
      <c r="P477" s="706"/>
      <c r="Q477" s="706"/>
      <c r="R477" s="706"/>
      <c r="S477" s="706"/>
      <c r="T477" s="706"/>
      <c r="U477" s="706"/>
      <c r="V477" s="706"/>
      <c r="Z477" s="833"/>
      <c r="AA477" s="833" t="str">
        <f>IF(AND(F479=G479,H479=I479,F479="A"),"2016 - kwh","")</f>
        <v/>
      </c>
      <c r="AB477" s="833" t="str">
        <f>IF(OR(B477="2017 - kwh",B477="2018 - kwh"),"2016 - kwh","")</f>
        <v/>
      </c>
      <c r="AC477" s="833"/>
      <c r="AD477" s="833"/>
      <c r="AE477" s="833"/>
    </row>
    <row r="478" spans="1:31" s="636" customFormat="1" hidden="1" x14ac:dyDescent="0.3">
      <c r="A478" s="706" t="str">
        <f>IF(AND(F479=G479,H479=I479,J479=K479,F479="A"),"2016 - kw",IF(AND(F479=G479,H479=I479,J479&lt;&gt;K479,F479="A"),"2017 - kw",IF(AND(F479=G479,H479&lt;&gt;I479,F479="A"),"2018 - kw","N/A")))</f>
        <v>N/A</v>
      </c>
      <c r="B478" s="706" t="str">
        <f>IF(F479&lt;&gt;G479,"2018 - kw",IF(H479&lt;&gt;I479,"2017 - kw",IF(J479&lt;&gt;K479,"2016 - kw","N/A")))</f>
        <v>N/A</v>
      </c>
      <c r="C478" s="612"/>
      <c r="D478" s="646" t="str">
        <f>D477 &amp; "kW"</f>
        <v>kW</v>
      </c>
      <c r="E478" s="702" t="s">
        <v>155</v>
      </c>
      <c r="F478" s="753"/>
      <c r="G478" s="753"/>
      <c r="H478" s="753"/>
      <c r="I478" s="753"/>
      <c r="J478" s="753"/>
      <c r="K478" s="753"/>
      <c r="L478" s="753"/>
      <c r="M478" s="753"/>
      <c r="N478" s="753"/>
      <c r="O478" s="753"/>
      <c r="P478" s="706"/>
      <c r="Q478" s="706"/>
      <c r="R478" s="706"/>
      <c r="S478" s="706"/>
      <c r="T478" s="706"/>
      <c r="U478" s="706"/>
      <c r="V478" s="706"/>
      <c r="Z478" s="833"/>
      <c r="AA478" s="833" t="str">
        <f>IF(AND(F479=G479,H479=I479,F479="A"),"2016 - kw","")</f>
        <v/>
      </c>
      <c r="AB478" s="833" t="str">
        <f>IF(OR(B478="2017 - kw",B478="2018 - kw"),"2016 - kw","")</f>
        <v/>
      </c>
      <c r="AC478" s="833"/>
      <c r="AD478" s="833"/>
      <c r="AE478" s="833"/>
    </row>
    <row r="479" spans="1:31" s="636" customFormat="1" hidden="1" x14ac:dyDescent="0.3">
      <c r="A479" s="706"/>
      <c r="B479" s="706"/>
      <c r="C479" s="614"/>
      <c r="D479" s="700"/>
      <c r="E479" s="701" t="s">
        <v>2120</v>
      </c>
      <c r="F479" s="752"/>
      <c r="G479" s="752"/>
      <c r="H479" s="752"/>
      <c r="I479" s="752"/>
      <c r="J479" s="752"/>
      <c r="K479" s="752"/>
      <c r="L479" s="752"/>
      <c r="M479" s="752"/>
      <c r="N479" s="752"/>
      <c r="O479" s="752"/>
      <c r="P479" s="706"/>
      <c r="Q479" s="706"/>
      <c r="R479" s="706"/>
      <c r="S479" s="706"/>
      <c r="T479" s="706"/>
      <c r="U479" s="706"/>
      <c r="V479" s="706"/>
      <c r="Z479" s="833"/>
      <c r="AA479" s="833"/>
      <c r="AB479" s="833"/>
      <c r="AC479" s="833"/>
      <c r="AD479" s="833"/>
      <c r="AE479" s="833"/>
    </row>
    <row r="480" spans="1:31" ht="14.25" hidden="1" customHeight="1" x14ac:dyDescent="0.3">
      <c r="A480" s="706"/>
      <c r="B480" s="706"/>
      <c r="D480" s="604"/>
      <c r="P480" s="706"/>
      <c r="Q480" s="706"/>
      <c r="R480" s="706"/>
      <c r="S480" s="706"/>
      <c r="T480" s="706"/>
      <c r="U480" s="706"/>
      <c r="V480" s="706"/>
      <c r="Z480" s="833"/>
      <c r="AA480" s="833"/>
      <c r="AB480" s="833"/>
      <c r="AC480" s="833"/>
      <c r="AD480" s="833"/>
      <c r="AE480" s="833"/>
    </row>
    <row r="481" spans="1:29" hidden="1" x14ac:dyDescent="0.3">
      <c r="A481" s="706"/>
      <c r="B481" s="706"/>
      <c r="F481" s="616"/>
      <c r="P481" s="706"/>
      <c r="Q481" s="706"/>
      <c r="R481" s="706"/>
      <c r="S481" s="706"/>
      <c r="T481" s="706"/>
      <c r="U481" s="706"/>
      <c r="V481" s="706"/>
      <c r="Z481" s="706"/>
      <c r="AA481" s="706"/>
      <c r="AB481" s="706"/>
      <c r="AC481" s="706"/>
    </row>
    <row r="482" spans="1:29" hidden="1" x14ac:dyDescent="0.3">
      <c r="A482" s="706"/>
      <c r="B482" s="706"/>
      <c r="E482" s="615"/>
      <c r="F482" s="1"/>
      <c r="P482" s="706"/>
      <c r="Q482" s="706"/>
      <c r="R482" s="706"/>
      <c r="S482" s="706"/>
      <c r="T482" s="706"/>
      <c r="U482" s="706"/>
      <c r="V482" s="706"/>
    </row>
    <row r="483" spans="1:29" hidden="1" x14ac:dyDescent="0.3">
      <c r="A483" s="706"/>
      <c r="B483" s="706"/>
      <c r="F483" s="616"/>
      <c r="P483" s="706"/>
      <c r="Q483" s="706"/>
      <c r="R483" s="706"/>
      <c r="S483" s="706"/>
      <c r="T483" s="706"/>
      <c r="U483" s="706"/>
      <c r="V483" s="706"/>
    </row>
    <row r="484" spans="1:29" hidden="1" x14ac:dyDescent="0.3">
      <c r="C484" s="617"/>
      <c r="F484" s="616"/>
      <c r="P484" s="706"/>
      <c r="Q484" s="706"/>
      <c r="R484" s="706"/>
      <c r="S484" s="706"/>
      <c r="T484" s="706"/>
      <c r="U484" s="706"/>
      <c r="V484" s="706"/>
    </row>
    <row r="485" spans="1:29" ht="14.25" customHeight="1" x14ac:dyDescent="0.3">
      <c r="P485" s="706"/>
      <c r="Q485" s="706"/>
      <c r="R485" s="706"/>
      <c r="S485" s="706"/>
      <c r="T485" s="706"/>
      <c r="U485" s="706"/>
      <c r="V485" s="706"/>
    </row>
    <row r="487" spans="1:29" ht="71.25" customHeight="1" x14ac:dyDescent="0.3">
      <c r="A487" s="1083" t="s">
        <v>2121</v>
      </c>
      <c r="B487" s="1071" t="s">
        <v>6840</v>
      </c>
      <c r="C487" s="1431">
        <v>0</v>
      </c>
      <c r="E487" s="636"/>
    </row>
    <row r="488" spans="1:29" ht="55.2" x14ac:dyDescent="0.3">
      <c r="B488" s="1428" t="s">
        <v>6968</v>
      </c>
    </row>
    <row r="490" spans="1:29" x14ac:dyDescent="0.3">
      <c r="C490" s="607" t="s">
        <v>5472</v>
      </c>
      <c r="F490" s="616"/>
    </row>
    <row r="491" spans="1:29" x14ac:dyDescent="0.3">
      <c r="A491" s="706"/>
      <c r="B491" s="706"/>
      <c r="C491" s="521"/>
      <c r="D491" s="521" t="s">
        <v>48</v>
      </c>
      <c r="E491" s="521"/>
      <c r="F491" s="1858">
        <v>2019</v>
      </c>
      <c r="G491" s="1859"/>
      <c r="H491" s="1858">
        <v>2018</v>
      </c>
      <c r="I491" s="1859"/>
      <c r="J491" s="1858">
        <v>2017</v>
      </c>
      <c r="K491" s="1859"/>
      <c r="L491" s="1858">
        <v>2016</v>
      </c>
      <c r="M491" s="1859"/>
      <c r="N491" s="1858">
        <v>2015</v>
      </c>
      <c r="O491" s="1859"/>
      <c r="P491" s="706"/>
      <c r="Q491" s="706"/>
      <c r="R491" s="706"/>
      <c r="S491" s="706"/>
      <c r="T491" s="706"/>
      <c r="U491" s="706"/>
      <c r="V491" s="706"/>
      <c r="W491" s="706"/>
    </row>
    <row r="492" spans="1:29" hidden="1" x14ac:dyDescent="0.3">
      <c r="A492" s="706"/>
      <c r="B492" s="706"/>
      <c r="C492" s="618" t="s">
        <v>5303</v>
      </c>
      <c r="D492" s="754"/>
      <c r="E492" s="619" t="s">
        <v>154</v>
      </c>
      <c r="F492" s="1856"/>
      <c r="G492" s="1857"/>
      <c r="H492" s="1856"/>
      <c r="I492" s="1857"/>
      <c r="J492" s="1856"/>
      <c r="K492" s="1857"/>
      <c r="L492" s="1856"/>
      <c r="M492" s="1857"/>
      <c r="N492" s="1856"/>
      <c r="O492" s="1857"/>
      <c r="P492" s="706"/>
      <c r="Q492" s="706"/>
      <c r="R492" s="706"/>
      <c r="S492" s="706"/>
      <c r="T492" s="706"/>
      <c r="U492" s="706"/>
      <c r="V492" s="706"/>
      <c r="W492" s="706"/>
    </row>
    <row r="493" spans="1:29" hidden="1" x14ac:dyDescent="0.3">
      <c r="A493" s="706"/>
      <c r="B493" s="706"/>
      <c r="C493" s="618"/>
      <c r="D493" s="647" t="str">
        <f>D492&amp;"KW"</f>
        <v>KW</v>
      </c>
      <c r="E493" s="619" t="s">
        <v>155</v>
      </c>
      <c r="F493" s="1856"/>
      <c r="G493" s="1857"/>
      <c r="H493" s="1856"/>
      <c r="I493" s="1857"/>
      <c r="J493" s="1856"/>
      <c r="K493" s="1857"/>
      <c r="L493" s="1856"/>
      <c r="M493" s="1857"/>
      <c r="N493" s="1856"/>
      <c r="O493" s="1857"/>
      <c r="P493" s="706"/>
      <c r="Q493" s="706"/>
      <c r="R493" s="706"/>
      <c r="S493" s="706"/>
      <c r="T493" s="706"/>
      <c r="U493" s="706"/>
      <c r="V493" s="706"/>
      <c r="W493" s="706"/>
    </row>
    <row r="494" spans="1:29" hidden="1" x14ac:dyDescent="0.3">
      <c r="A494" s="706"/>
      <c r="B494" s="706"/>
      <c r="C494" s="621" t="s">
        <v>5304</v>
      </c>
      <c r="D494" s="754"/>
      <c r="E494" s="619" t="s">
        <v>154</v>
      </c>
      <c r="F494" s="1856"/>
      <c r="G494" s="1857"/>
      <c r="H494" s="1856"/>
      <c r="I494" s="1857"/>
      <c r="J494" s="1856"/>
      <c r="K494" s="1857"/>
      <c r="L494" s="1856"/>
      <c r="M494" s="1857"/>
      <c r="N494" s="1856"/>
      <c r="O494" s="1857"/>
      <c r="P494" s="706"/>
      <c r="Q494" s="706"/>
      <c r="R494" s="706"/>
      <c r="S494" s="706"/>
      <c r="T494" s="706"/>
      <c r="U494" s="706"/>
      <c r="V494" s="706"/>
      <c r="W494" s="706"/>
    </row>
    <row r="495" spans="1:29" hidden="1" x14ac:dyDescent="0.3">
      <c r="A495" s="706"/>
      <c r="B495" s="706"/>
      <c r="C495" s="621"/>
      <c r="D495" s="647" t="str">
        <f>D494&amp;"KW"</f>
        <v>KW</v>
      </c>
      <c r="E495" s="619" t="s">
        <v>155</v>
      </c>
      <c r="F495" s="1856"/>
      <c r="G495" s="1857"/>
      <c r="H495" s="1856"/>
      <c r="I495" s="1857"/>
      <c r="J495" s="1856"/>
      <c r="K495" s="1857"/>
      <c r="L495" s="1856"/>
      <c r="M495" s="1857"/>
      <c r="N495" s="1856"/>
      <c r="O495" s="1857"/>
      <c r="P495" s="706"/>
      <c r="Q495" s="706"/>
      <c r="R495" s="706"/>
      <c r="S495" s="706"/>
      <c r="T495" s="706"/>
      <c r="U495" s="706"/>
      <c r="V495" s="706"/>
      <c r="W495" s="706"/>
    </row>
    <row r="496" spans="1:29" hidden="1" x14ac:dyDescent="0.3">
      <c r="A496" s="706"/>
      <c r="B496" s="706"/>
      <c r="C496" s="621" t="s">
        <v>5305</v>
      </c>
      <c r="D496" s="754"/>
      <c r="E496" s="619" t="s">
        <v>154</v>
      </c>
      <c r="F496" s="1856"/>
      <c r="G496" s="1857"/>
      <c r="H496" s="1856"/>
      <c r="I496" s="1857"/>
      <c r="J496" s="1856"/>
      <c r="K496" s="1857"/>
      <c r="L496" s="1856"/>
      <c r="M496" s="1857"/>
      <c r="N496" s="1856"/>
      <c r="O496" s="1857"/>
      <c r="P496" s="706"/>
      <c r="Q496" s="706"/>
      <c r="R496" s="706"/>
      <c r="S496" s="706"/>
      <c r="T496" s="706"/>
      <c r="U496" s="706"/>
      <c r="V496" s="706"/>
      <c r="W496" s="706"/>
    </row>
    <row r="497" spans="1:23" hidden="1" x14ac:dyDescent="0.3">
      <c r="A497" s="706"/>
      <c r="B497" s="706"/>
      <c r="C497" s="621"/>
      <c r="D497" s="647" t="str">
        <f>D496&amp;"KW"</f>
        <v>KW</v>
      </c>
      <c r="E497" s="619" t="s">
        <v>155</v>
      </c>
      <c r="F497" s="1856"/>
      <c r="G497" s="1857"/>
      <c r="H497" s="1856"/>
      <c r="I497" s="1857"/>
      <c r="J497" s="1856"/>
      <c r="K497" s="1857"/>
      <c r="L497" s="1856"/>
      <c r="M497" s="1857"/>
      <c r="N497" s="1856"/>
      <c r="O497" s="1857"/>
      <c r="P497" s="706"/>
      <c r="Q497" s="706"/>
      <c r="R497" s="706"/>
      <c r="S497" s="706"/>
      <c r="T497" s="706"/>
      <c r="U497" s="706"/>
      <c r="V497" s="706"/>
      <c r="W497" s="706"/>
    </row>
    <row r="498" spans="1:23" hidden="1" x14ac:dyDescent="0.3">
      <c r="A498" s="706"/>
      <c r="B498" s="706"/>
      <c r="C498" s="621" t="s">
        <v>5306</v>
      </c>
      <c r="D498" s="754"/>
      <c r="E498" s="619" t="s">
        <v>154</v>
      </c>
      <c r="F498" s="1856"/>
      <c r="G498" s="1857"/>
      <c r="H498" s="1856"/>
      <c r="I498" s="1857"/>
      <c r="J498" s="1856"/>
      <c r="K498" s="1857"/>
      <c r="L498" s="1856"/>
      <c r="M498" s="1857"/>
      <c r="N498" s="1856"/>
      <c r="O498" s="1857"/>
      <c r="P498" s="706"/>
      <c r="Q498" s="706"/>
      <c r="R498" s="706"/>
      <c r="S498" s="706"/>
      <c r="T498" s="706"/>
      <c r="U498" s="706"/>
      <c r="V498" s="706"/>
      <c r="W498" s="706"/>
    </row>
    <row r="499" spans="1:23" hidden="1" x14ac:dyDescent="0.3">
      <c r="A499" s="706"/>
      <c r="B499" s="706"/>
      <c r="C499" s="621"/>
      <c r="D499" s="647" t="str">
        <f>D498&amp;"KW"</f>
        <v>KW</v>
      </c>
      <c r="E499" s="619" t="s">
        <v>155</v>
      </c>
      <c r="F499" s="1856"/>
      <c r="G499" s="1857"/>
      <c r="H499" s="1856"/>
      <c r="I499" s="1857"/>
      <c r="J499" s="1856"/>
      <c r="K499" s="1857"/>
      <c r="L499" s="1856"/>
      <c r="M499" s="1857"/>
      <c r="N499" s="1856"/>
      <c r="O499" s="1857"/>
      <c r="P499" s="706"/>
      <c r="Q499" s="706"/>
      <c r="R499" s="706"/>
      <c r="S499" s="706"/>
      <c r="T499" s="706"/>
      <c r="U499" s="706"/>
      <c r="V499" s="706"/>
      <c r="W499" s="706"/>
    </row>
    <row r="500" spans="1:23" hidden="1" x14ac:dyDescent="0.3">
      <c r="A500" s="706"/>
      <c r="B500" s="706"/>
      <c r="C500" s="621" t="s">
        <v>5307</v>
      </c>
      <c r="D500" s="754"/>
      <c r="E500" s="619" t="s">
        <v>154</v>
      </c>
      <c r="F500" s="1856"/>
      <c r="G500" s="1857"/>
      <c r="H500" s="1856"/>
      <c r="I500" s="1857"/>
      <c r="J500" s="1856"/>
      <c r="K500" s="1857"/>
      <c r="L500" s="1856"/>
      <c r="M500" s="1857"/>
      <c r="N500" s="1856"/>
      <c r="O500" s="1857"/>
      <c r="P500" s="706"/>
      <c r="Q500" s="706"/>
      <c r="R500" s="706"/>
      <c r="S500" s="706"/>
      <c r="T500" s="706"/>
      <c r="U500" s="706"/>
      <c r="V500" s="706"/>
      <c r="W500" s="706"/>
    </row>
    <row r="501" spans="1:23" hidden="1" x14ac:dyDescent="0.3">
      <c r="A501" s="706"/>
      <c r="B501" s="706"/>
      <c r="C501" s="621"/>
      <c r="D501" s="647" t="str">
        <f>D500&amp;"KW"</f>
        <v>KW</v>
      </c>
      <c r="E501" s="619" t="s">
        <v>155</v>
      </c>
      <c r="F501" s="1856"/>
      <c r="G501" s="1857"/>
      <c r="H501" s="1856"/>
      <c r="I501" s="1857"/>
      <c r="J501" s="1856"/>
      <c r="K501" s="1857"/>
      <c r="L501" s="1856"/>
      <c r="M501" s="1857"/>
      <c r="N501" s="1856"/>
      <c r="O501" s="1857"/>
      <c r="P501" s="706"/>
      <c r="Q501" s="706"/>
      <c r="R501" s="706"/>
      <c r="S501" s="706"/>
      <c r="T501" s="706"/>
      <c r="U501" s="706"/>
      <c r="V501" s="706"/>
      <c r="W501" s="706"/>
    </row>
    <row r="502" spans="1:23" hidden="1" x14ac:dyDescent="0.3">
      <c r="A502" s="706"/>
      <c r="B502" s="706"/>
      <c r="C502" s="621" t="s">
        <v>5308</v>
      </c>
      <c r="D502" s="754"/>
      <c r="E502" s="619" t="s">
        <v>154</v>
      </c>
      <c r="F502" s="1856"/>
      <c r="G502" s="1857"/>
      <c r="H502" s="1856"/>
      <c r="I502" s="1857"/>
      <c r="J502" s="1856"/>
      <c r="K502" s="1857"/>
      <c r="L502" s="1856"/>
      <c r="M502" s="1857"/>
      <c r="N502" s="1856"/>
      <c r="O502" s="1857"/>
      <c r="P502" s="706"/>
      <c r="Q502" s="706"/>
      <c r="R502" s="706"/>
      <c r="S502" s="706"/>
      <c r="T502" s="706"/>
      <c r="U502" s="706"/>
      <c r="V502" s="706"/>
      <c r="W502" s="706"/>
    </row>
    <row r="503" spans="1:23" hidden="1" x14ac:dyDescent="0.3">
      <c r="A503" s="706"/>
      <c r="B503" s="706"/>
      <c r="C503" s="621"/>
      <c r="D503" s="647" t="str">
        <f>D502&amp;"KW"</f>
        <v>KW</v>
      </c>
      <c r="E503" s="619" t="s">
        <v>155</v>
      </c>
      <c r="F503" s="1856"/>
      <c r="G503" s="1857"/>
      <c r="H503" s="1856"/>
      <c r="I503" s="1857"/>
      <c r="J503" s="1856"/>
      <c r="K503" s="1857"/>
      <c r="L503" s="1856"/>
      <c r="M503" s="1857"/>
      <c r="N503" s="1856"/>
      <c r="O503" s="1857"/>
      <c r="P503" s="706"/>
      <c r="Q503" s="706"/>
      <c r="R503" s="706"/>
      <c r="S503" s="706"/>
      <c r="T503" s="706"/>
      <c r="U503" s="706"/>
      <c r="V503" s="706"/>
      <c r="W503" s="706"/>
    </row>
    <row r="504" spans="1:23" hidden="1" x14ac:dyDescent="0.3">
      <c r="A504" s="706"/>
      <c r="B504" s="706"/>
      <c r="C504" s="621" t="s">
        <v>5309</v>
      </c>
      <c r="D504" s="754"/>
      <c r="E504" s="619" t="s">
        <v>154</v>
      </c>
      <c r="F504" s="1856"/>
      <c r="G504" s="1857"/>
      <c r="H504" s="1856"/>
      <c r="I504" s="1857"/>
      <c r="J504" s="1856"/>
      <c r="K504" s="1857"/>
      <c r="L504" s="1856"/>
      <c r="M504" s="1857"/>
      <c r="N504" s="1856"/>
      <c r="O504" s="1857"/>
      <c r="P504" s="706"/>
      <c r="Q504" s="706"/>
      <c r="R504" s="706"/>
      <c r="S504" s="706"/>
      <c r="T504" s="706"/>
      <c r="U504" s="706"/>
      <c r="V504" s="706"/>
      <c r="W504" s="706"/>
    </row>
    <row r="505" spans="1:23" hidden="1" x14ac:dyDescent="0.3">
      <c r="A505" s="706"/>
      <c r="B505" s="706"/>
      <c r="C505" s="621"/>
      <c r="D505" s="647" t="str">
        <f>D504&amp;"KW"</f>
        <v>KW</v>
      </c>
      <c r="E505" s="619" t="s">
        <v>155</v>
      </c>
      <c r="F505" s="1856"/>
      <c r="G505" s="1857"/>
      <c r="H505" s="1856"/>
      <c r="I505" s="1857"/>
      <c r="J505" s="1856"/>
      <c r="K505" s="1857"/>
      <c r="L505" s="1856"/>
      <c r="M505" s="1857"/>
      <c r="N505" s="1856"/>
      <c r="O505" s="1857"/>
      <c r="P505" s="706"/>
      <c r="Q505" s="706"/>
      <c r="R505" s="706"/>
      <c r="S505" s="706"/>
      <c r="T505" s="706"/>
      <c r="U505" s="706"/>
      <c r="V505" s="706"/>
      <c r="W505" s="706"/>
    </row>
    <row r="506" spans="1:23" hidden="1" x14ac:dyDescent="0.3">
      <c r="A506" s="706"/>
      <c r="B506" s="706"/>
      <c r="C506" s="621" t="s">
        <v>5310</v>
      </c>
      <c r="D506" s="754"/>
      <c r="E506" s="619" t="s">
        <v>154</v>
      </c>
      <c r="F506" s="1856"/>
      <c r="G506" s="1857"/>
      <c r="H506" s="1856"/>
      <c r="I506" s="1857"/>
      <c r="J506" s="1856"/>
      <c r="K506" s="1857"/>
      <c r="L506" s="1856"/>
      <c r="M506" s="1857"/>
      <c r="N506" s="1856"/>
      <c r="O506" s="1857"/>
      <c r="P506" s="706"/>
      <c r="Q506" s="706"/>
      <c r="R506" s="706"/>
      <c r="S506" s="706"/>
      <c r="T506" s="706"/>
      <c r="U506" s="706"/>
      <c r="V506" s="706"/>
      <c r="W506" s="706"/>
    </row>
    <row r="507" spans="1:23" hidden="1" x14ac:dyDescent="0.3">
      <c r="A507" s="706"/>
      <c r="B507" s="706"/>
      <c r="C507" s="621"/>
      <c r="D507" s="647" t="str">
        <f>D506&amp;"KW"</f>
        <v>KW</v>
      </c>
      <c r="E507" s="619" t="s">
        <v>155</v>
      </c>
      <c r="F507" s="1856"/>
      <c r="G507" s="1857"/>
      <c r="H507" s="1856"/>
      <c r="I507" s="1857"/>
      <c r="J507" s="1856"/>
      <c r="K507" s="1857"/>
      <c r="L507" s="1856"/>
      <c r="M507" s="1857"/>
      <c r="N507" s="1856"/>
      <c r="O507" s="1857"/>
      <c r="P507" s="706"/>
      <c r="Q507" s="706"/>
      <c r="R507" s="706"/>
      <c r="S507" s="706"/>
      <c r="T507" s="706"/>
      <c r="U507" s="706"/>
      <c r="V507" s="706"/>
      <c r="W507" s="706"/>
    </row>
    <row r="508" spans="1:23" hidden="1" x14ac:dyDescent="0.3">
      <c r="A508" s="706"/>
      <c r="B508" s="706"/>
      <c r="C508" s="621" t="s">
        <v>5311</v>
      </c>
      <c r="D508" s="754"/>
      <c r="E508" s="619" t="s">
        <v>154</v>
      </c>
      <c r="F508" s="1856"/>
      <c r="G508" s="1857"/>
      <c r="H508" s="1856"/>
      <c r="I508" s="1857"/>
      <c r="J508" s="1856"/>
      <c r="K508" s="1857"/>
      <c r="L508" s="1856"/>
      <c r="M508" s="1857"/>
      <c r="N508" s="1856"/>
      <c r="O508" s="1857"/>
      <c r="P508" s="706"/>
      <c r="Q508" s="706"/>
      <c r="R508" s="706"/>
      <c r="S508" s="706"/>
      <c r="T508" s="706"/>
      <c r="U508" s="706"/>
      <c r="V508" s="706"/>
      <c r="W508" s="706"/>
    </row>
    <row r="509" spans="1:23" hidden="1" x14ac:dyDescent="0.3">
      <c r="A509" s="706"/>
      <c r="B509" s="706"/>
      <c r="C509" s="621"/>
      <c r="D509" s="647" t="str">
        <f>D508&amp;"KW"</f>
        <v>KW</v>
      </c>
      <c r="E509" s="619" t="s">
        <v>155</v>
      </c>
      <c r="F509" s="1856"/>
      <c r="G509" s="1857"/>
      <c r="H509" s="1856"/>
      <c r="I509" s="1857"/>
      <c r="J509" s="1856"/>
      <c r="K509" s="1857"/>
      <c r="L509" s="1856"/>
      <c r="M509" s="1857"/>
      <c r="N509" s="1856"/>
      <c r="O509" s="1857"/>
      <c r="P509" s="706"/>
      <c r="Q509" s="706"/>
      <c r="R509" s="706"/>
      <c r="S509" s="706"/>
      <c r="T509" s="706"/>
      <c r="U509" s="706"/>
      <c r="V509" s="706"/>
      <c r="W509" s="706"/>
    </row>
    <row r="510" spans="1:23" hidden="1" x14ac:dyDescent="0.3">
      <c r="A510" s="706"/>
      <c r="B510" s="706"/>
      <c r="C510" s="621" t="s">
        <v>5312</v>
      </c>
      <c r="D510" s="754"/>
      <c r="E510" s="619" t="s">
        <v>154</v>
      </c>
      <c r="F510" s="1856"/>
      <c r="G510" s="1857"/>
      <c r="H510" s="1856"/>
      <c r="I510" s="1857"/>
      <c r="J510" s="1856"/>
      <c r="K510" s="1857"/>
      <c r="L510" s="1856"/>
      <c r="M510" s="1857"/>
      <c r="N510" s="1856"/>
      <c r="O510" s="1857"/>
      <c r="P510" s="706"/>
      <c r="Q510" s="706"/>
      <c r="R510" s="706"/>
      <c r="S510" s="706"/>
      <c r="T510" s="706"/>
      <c r="U510" s="706"/>
      <c r="V510" s="706"/>
      <c r="W510" s="706"/>
    </row>
    <row r="511" spans="1:23" hidden="1" x14ac:dyDescent="0.3">
      <c r="A511" s="706"/>
      <c r="B511" s="706"/>
      <c r="C511" s="621"/>
      <c r="D511" s="647" t="str">
        <f>D510&amp;"KW"</f>
        <v>KW</v>
      </c>
      <c r="E511" s="619" t="s">
        <v>155</v>
      </c>
      <c r="F511" s="1856"/>
      <c r="G511" s="1857"/>
      <c r="H511" s="1856"/>
      <c r="I511" s="1857"/>
      <c r="J511" s="1856"/>
      <c r="K511" s="1857"/>
      <c r="L511" s="1856"/>
      <c r="M511" s="1857"/>
      <c r="N511" s="1856"/>
      <c r="O511" s="1857"/>
      <c r="P511" s="706"/>
      <c r="Q511" s="706"/>
      <c r="R511" s="706"/>
      <c r="S511" s="706"/>
      <c r="T511" s="706"/>
      <c r="U511" s="706"/>
      <c r="V511" s="706"/>
      <c r="W511" s="706"/>
    </row>
    <row r="512" spans="1:23" hidden="1" x14ac:dyDescent="0.3">
      <c r="A512" s="706"/>
      <c r="B512" s="706"/>
      <c r="C512" s="621" t="s">
        <v>5313</v>
      </c>
      <c r="D512" s="754"/>
      <c r="E512" s="619" t="s">
        <v>154</v>
      </c>
      <c r="F512" s="1856"/>
      <c r="G512" s="1857"/>
      <c r="H512" s="1856"/>
      <c r="I512" s="1857"/>
      <c r="J512" s="1856"/>
      <c r="K512" s="1857"/>
      <c r="L512" s="1856"/>
      <c r="M512" s="1857"/>
      <c r="N512" s="1856"/>
      <c r="O512" s="1857"/>
      <c r="P512" s="706"/>
      <c r="Q512" s="706"/>
      <c r="R512" s="706"/>
      <c r="S512" s="706"/>
      <c r="T512" s="706"/>
      <c r="U512" s="706"/>
      <c r="V512" s="706"/>
      <c r="W512" s="706"/>
    </row>
    <row r="513" spans="1:23" hidden="1" x14ac:dyDescent="0.3">
      <c r="A513" s="706"/>
      <c r="B513" s="706"/>
      <c r="C513" s="621"/>
      <c r="D513" s="647" t="str">
        <f>D512&amp;"KW"</f>
        <v>KW</v>
      </c>
      <c r="E513" s="619" t="s">
        <v>155</v>
      </c>
      <c r="F513" s="1856"/>
      <c r="G513" s="1857"/>
      <c r="H513" s="1856"/>
      <c r="I513" s="1857"/>
      <c r="J513" s="1856"/>
      <c r="K513" s="1857"/>
      <c r="L513" s="1856"/>
      <c r="M513" s="1857"/>
      <c r="N513" s="1856"/>
      <c r="O513" s="1857"/>
      <c r="P513" s="706"/>
      <c r="Q513" s="706"/>
      <c r="R513" s="706"/>
      <c r="S513" s="706"/>
      <c r="T513" s="706"/>
      <c r="U513" s="706"/>
      <c r="V513" s="706"/>
      <c r="W513" s="706"/>
    </row>
    <row r="514" spans="1:23" hidden="1" x14ac:dyDescent="0.3">
      <c r="A514" s="706"/>
      <c r="B514" s="706"/>
      <c r="C514" s="621" t="s">
        <v>5314</v>
      </c>
      <c r="D514" s="754"/>
      <c r="E514" s="619" t="s">
        <v>154</v>
      </c>
      <c r="F514" s="1856"/>
      <c r="G514" s="1857"/>
      <c r="H514" s="1856"/>
      <c r="I514" s="1857"/>
      <c r="J514" s="1856"/>
      <c r="K514" s="1857"/>
      <c r="L514" s="1856"/>
      <c r="M514" s="1857"/>
      <c r="N514" s="1856"/>
      <c r="O514" s="1857"/>
      <c r="P514" s="706"/>
      <c r="Q514" s="706"/>
      <c r="R514" s="706"/>
      <c r="S514" s="706"/>
      <c r="T514" s="706"/>
      <c r="U514" s="706"/>
      <c r="V514" s="706"/>
      <c r="W514" s="706"/>
    </row>
    <row r="515" spans="1:23" hidden="1" x14ac:dyDescent="0.3">
      <c r="A515" s="706"/>
      <c r="B515" s="706"/>
      <c r="C515" s="621"/>
      <c r="D515" s="647" t="str">
        <f>D514&amp;"KW"</f>
        <v>KW</v>
      </c>
      <c r="E515" s="619" t="s">
        <v>155</v>
      </c>
      <c r="F515" s="1856"/>
      <c r="G515" s="1857"/>
      <c r="H515" s="1856"/>
      <c r="I515" s="1857"/>
      <c r="J515" s="1856"/>
      <c r="K515" s="1857"/>
      <c r="L515" s="1856"/>
      <c r="M515" s="1857"/>
      <c r="N515" s="1856"/>
      <c r="O515" s="1857"/>
      <c r="P515" s="706"/>
      <c r="Q515" s="706"/>
      <c r="R515" s="706"/>
      <c r="S515" s="706"/>
      <c r="T515" s="706"/>
      <c r="U515" s="706"/>
      <c r="V515" s="706"/>
      <c r="W515" s="706"/>
    </row>
    <row r="516" spans="1:23" hidden="1" x14ac:dyDescent="0.3">
      <c r="A516" s="706"/>
      <c r="B516" s="706"/>
      <c r="C516" s="621" t="s">
        <v>5315</v>
      </c>
      <c r="D516" s="754"/>
      <c r="E516" s="619" t="s">
        <v>154</v>
      </c>
      <c r="F516" s="1856"/>
      <c r="G516" s="1857"/>
      <c r="H516" s="1856"/>
      <c r="I516" s="1857"/>
      <c r="J516" s="1856"/>
      <c r="K516" s="1857"/>
      <c r="L516" s="1856"/>
      <c r="M516" s="1857"/>
      <c r="N516" s="1856"/>
      <c r="O516" s="1857"/>
      <c r="P516" s="706"/>
      <c r="Q516" s="706"/>
      <c r="R516" s="706"/>
      <c r="S516" s="706"/>
      <c r="T516" s="706"/>
      <c r="U516" s="706"/>
      <c r="V516" s="706"/>
      <c r="W516" s="706"/>
    </row>
    <row r="517" spans="1:23" hidden="1" x14ac:dyDescent="0.3">
      <c r="A517" s="706"/>
      <c r="B517" s="706"/>
      <c r="C517" s="621"/>
      <c r="D517" s="647" t="str">
        <f>D516&amp;"KW"</f>
        <v>KW</v>
      </c>
      <c r="E517" s="619" t="s">
        <v>155</v>
      </c>
      <c r="F517" s="1856"/>
      <c r="G517" s="1857"/>
      <c r="H517" s="1856"/>
      <c r="I517" s="1857"/>
      <c r="J517" s="1856"/>
      <c r="K517" s="1857"/>
      <c r="L517" s="1856"/>
      <c r="M517" s="1857"/>
      <c r="N517" s="1856"/>
      <c r="O517" s="1857"/>
      <c r="P517" s="706"/>
      <c r="Q517" s="706"/>
      <c r="R517" s="706"/>
      <c r="S517" s="706"/>
      <c r="T517" s="706"/>
      <c r="U517" s="706"/>
      <c r="V517" s="706"/>
      <c r="W517" s="706"/>
    </row>
    <row r="518" spans="1:23" hidden="1" x14ac:dyDescent="0.3">
      <c r="A518" s="706"/>
      <c r="B518" s="706"/>
      <c r="C518" s="621" t="s">
        <v>5316</v>
      </c>
      <c r="D518" s="754"/>
      <c r="E518" s="619" t="s">
        <v>154</v>
      </c>
      <c r="F518" s="1856"/>
      <c r="G518" s="1857"/>
      <c r="H518" s="1856"/>
      <c r="I518" s="1857"/>
      <c r="J518" s="1856"/>
      <c r="K518" s="1857"/>
      <c r="L518" s="1856"/>
      <c r="M518" s="1857"/>
      <c r="N518" s="1856"/>
      <c r="O518" s="1857"/>
      <c r="P518" s="706"/>
      <c r="Q518" s="706"/>
      <c r="R518" s="706"/>
      <c r="S518" s="706"/>
      <c r="T518" s="706"/>
      <c r="U518" s="706"/>
      <c r="V518" s="706"/>
      <c r="W518" s="706"/>
    </row>
    <row r="519" spans="1:23" hidden="1" x14ac:dyDescent="0.3">
      <c r="A519" s="706"/>
      <c r="B519" s="706"/>
      <c r="C519" s="621"/>
      <c r="D519" s="647" t="str">
        <f>D518&amp;"KW"</f>
        <v>KW</v>
      </c>
      <c r="E519" s="619" t="s">
        <v>155</v>
      </c>
      <c r="F519" s="1856"/>
      <c r="G519" s="1857"/>
      <c r="H519" s="1856"/>
      <c r="I519" s="1857"/>
      <c r="J519" s="1856"/>
      <c r="K519" s="1857"/>
      <c r="L519" s="1856"/>
      <c r="M519" s="1857"/>
      <c r="N519" s="1856"/>
      <c r="O519" s="1857"/>
      <c r="P519" s="706"/>
      <c r="Q519" s="706"/>
      <c r="R519" s="706"/>
      <c r="S519" s="706"/>
      <c r="T519" s="706"/>
      <c r="U519" s="706"/>
      <c r="V519" s="706"/>
      <c r="W519" s="706"/>
    </row>
    <row r="520" spans="1:23" hidden="1" x14ac:dyDescent="0.3">
      <c r="A520" s="706"/>
      <c r="B520" s="706"/>
      <c r="C520" s="621" t="s">
        <v>5317</v>
      </c>
      <c r="D520" s="754"/>
      <c r="E520" s="619" t="s">
        <v>154</v>
      </c>
      <c r="F520" s="1856"/>
      <c r="G520" s="1857"/>
      <c r="H520" s="1856"/>
      <c r="I520" s="1857"/>
      <c r="J520" s="1856"/>
      <c r="K520" s="1857"/>
      <c r="L520" s="1856"/>
      <c r="M520" s="1857"/>
      <c r="N520" s="1856"/>
      <c r="O520" s="1857"/>
      <c r="P520" s="706"/>
      <c r="Q520" s="706"/>
      <c r="R520" s="706"/>
      <c r="S520" s="706"/>
      <c r="T520" s="706"/>
      <c r="U520" s="706"/>
      <c r="V520" s="706"/>
      <c r="W520" s="706"/>
    </row>
    <row r="521" spans="1:23" hidden="1" x14ac:dyDescent="0.3">
      <c r="A521" s="706"/>
      <c r="B521" s="706"/>
      <c r="C521" s="621"/>
      <c r="D521" s="647" t="str">
        <f>D520&amp;"KW"</f>
        <v>KW</v>
      </c>
      <c r="E521" s="619" t="s">
        <v>155</v>
      </c>
      <c r="F521" s="1856"/>
      <c r="G521" s="1857"/>
      <c r="H521" s="1856"/>
      <c r="I521" s="1857"/>
      <c r="J521" s="1856"/>
      <c r="K521" s="1857"/>
      <c r="L521" s="1856"/>
      <c r="M521" s="1857"/>
      <c r="N521" s="1856"/>
      <c r="O521" s="1857"/>
      <c r="P521" s="706"/>
      <c r="Q521" s="706"/>
      <c r="R521" s="706"/>
      <c r="S521" s="706"/>
      <c r="T521" s="706"/>
      <c r="U521" s="706"/>
      <c r="V521" s="706"/>
      <c r="W521" s="706"/>
    </row>
    <row r="522" spans="1:23" hidden="1" x14ac:dyDescent="0.3">
      <c r="A522" s="706"/>
      <c r="B522" s="706"/>
      <c r="C522" s="621" t="s">
        <v>5318</v>
      </c>
      <c r="D522" s="754"/>
      <c r="E522" s="619" t="s">
        <v>154</v>
      </c>
      <c r="F522" s="1856"/>
      <c r="G522" s="1857"/>
      <c r="H522" s="1856"/>
      <c r="I522" s="1857"/>
      <c r="J522" s="1856"/>
      <c r="K522" s="1857"/>
      <c r="L522" s="1856"/>
      <c r="M522" s="1857"/>
      <c r="N522" s="1856"/>
      <c r="O522" s="1857"/>
      <c r="P522" s="706"/>
      <c r="Q522" s="706"/>
      <c r="R522" s="706"/>
      <c r="S522" s="706"/>
      <c r="T522" s="706"/>
      <c r="U522" s="706"/>
      <c r="V522" s="706"/>
      <c r="W522" s="706"/>
    </row>
    <row r="523" spans="1:23" hidden="1" x14ac:dyDescent="0.3">
      <c r="A523" s="706"/>
      <c r="B523" s="706"/>
      <c r="C523" s="621"/>
      <c r="D523" s="647" t="str">
        <f>D522&amp;"KW"</f>
        <v>KW</v>
      </c>
      <c r="E523" s="619" t="s">
        <v>155</v>
      </c>
      <c r="F523" s="1856"/>
      <c r="G523" s="1857"/>
      <c r="H523" s="1856"/>
      <c r="I523" s="1857"/>
      <c r="J523" s="1856"/>
      <c r="K523" s="1857"/>
      <c r="L523" s="1856"/>
      <c r="M523" s="1857"/>
      <c r="N523" s="1856"/>
      <c r="O523" s="1857"/>
      <c r="P523" s="706"/>
      <c r="Q523" s="706"/>
      <c r="R523" s="706"/>
      <c r="S523" s="706"/>
      <c r="T523" s="706"/>
      <c r="U523" s="706"/>
      <c r="V523" s="706"/>
      <c r="W523" s="706"/>
    </row>
    <row r="524" spans="1:23" hidden="1" x14ac:dyDescent="0.3">
      <c r="A524" s="706"/>
      <c r="B524" s="706"/>
      <c r="C524" s="621" t="s">
        <v>5319</v>
      </c>
      <c r="D524" s="754"/>
      <c r="E524" s="619" t="s">
        <v>154</v>
      </c>
      <c r="F524" s="1856"/>
      <c r="G524" s="1857"/>
      <c r="H524" s="1856"/>
      <c r="I524" s="1857"/>
      <c r="J524" s="1856"/>
      <c r="K524" s="1857"/>
      <c r="L524" s="1856"/>
      <c r="M524" s="1857"/>
      <c r="N524" s="1856"/>
      <c r="O524" s="1857"/>
      <c r="P524" s="706"/>
      <c r="Q524" s="706"/>
      <c r="R524" s="706"/>
      <c r="S524" s="706"/>
      <c r="T524" s="706"/>
      <c r="U524" s="706"/>
      <c r="V524" s="706"/>
      <c r="W524" s="706"/>
    </row>
    <row r="525" spans="1:23" hidden="1" x14ac:dyDescent="0.3">
      <c r="A525" s="706"/>
      <c r="B525" s="706"/>
      <c r="C525" s="621"/>
      <c r="D525" s="647" t="str">
        <f>D524&amp;"KW"</f>
        <v>KW</v>
      </c>
      <c r="E525" s="619" t="s">
        <v>155</v>
      </c>
      <c r="F525" s="1856"/>
      <c r="G525" s="1857"/>
      <c r="H525" s="1856"/>
      <c r="I525" s="1857"/>
      <c r="J525" s="1856"/>
      <c r="K525" s="1857"/>
      <c r="L525" s="1856"/>
      <c r="M525" s="1857"/>
      <c r="N525" s="1856"/>
      <c r="O525" s="1857"/>
      <c r="P525" s="706"/>
      <c r="Q525" s="706"/>
      <c r="R525" s="706"/>
      <c r="S525" s="706"/>
      <c r="T525" s="706"/>
      <c r="U525" s="706"/>
      <c r="V525" s="706"/>
      <c r="W525" s="706"/>
    </row>
    <row r="526" spans="1:23" hidden="1" x14ac:dyDescent="0.3">
      <c r="A526" s="706"/>
      <c r="B526" s="706"/>
      <c r="C526" s="621" t="s">
        <v>5320</v>
      </c>
      <c r="D526" s="754"/>
      <c r="E526" s="619" t="s">
        <v>154</v>
      </c>
      <c r="F526" s="1856"/>
      <c r="G526" s="1857"/>
      <c r="H526" s="1856"/>
      <c r="I526" s="1857"/>
      <c r="J526" s="1856"/>
      <c r="K526" s="1857"/>
      <c r="L526" s="1856"/>
      <c r="M526" s="1857"/>
      <c r="N526" s="1856"/>
      <c r="O526" s="1857"/>
      <c r="P526" s="706"/>
      <c r="Q526" s="706"/>
      <c r="R526" s="706"/>
      <c r="S526" s="706"/>
      <c r="T526" s="706"/>
      <c r="U526" s="706"/>
      <c r="V526" s="706"/>
      <c r="W526" s="706"/>
    </row>
    <row r="527" spans="1:23" hidden="1" x14ac:dyDescent="0.3">
      <c r="A527" s="706"/>
      <c r="B527" s="706"/>
      <c r="C527" s="621"/>
      <c r="D527" s="647" t="str">
        <f>D526&amp;"KW"</f>
        <v>KW</v>
      </c>
      <c r="E527" s="619" t="s">
        <v>155</v>
      </c>
      <c r="F527" s="1856"/>
      <c r="G527" s="1857"/>
      <c r="H527" s="1856"/>
      <c r="I527" s="1857"/>
      <c r="J527" s="1856"/>
      <c r="K527" s="1857"/>
      <c r="L527" s="1856"/>
      <c r="M527" s="1857"/>
      <c r="N527" s="1856"/>
      <c r="O527" s="1857"/>
      <c r="P527" s="706"/>
      <c r="Q527" s="706"/>
      <c r="R527" s="706"/>
      <c r="S527" s="706"/>
      <c r="T527" s="706"/>
      <c r="U527" s="706"/>
      <c r="V527" s="706"/>
      <c r="W527" s="706"/>
    </row>
    <row r="528" spans="1:23" hidden="1" x14ac:dyDescent="0.3">
      <c r="A528" s="706"/>
      <c r="B528" s="706"/>
      <c r="C528" s="621" t="s">
        <v>5321</v>
      </c>
      <c r="D528" s="754"/>
      <c r="E528" s="619" t="s">
        <v>154</v>
      </c>
      <c r="F528" s="1856"/>
      <c r="G528" s="1857"/>
      <c r="H528" s="1856"/>
      <c r="I528" s="1857"/>
      <c r="J528" s="1856"/>
      <c r="K528" s="1857"/>
      <c r="L528" s="1856"/>
      <c r="M528" s="1857"/>
      <c r="N528" s="1856"/>
      <c r="O528" s="1857"/>
      <c r="P528" s="706"/>
      <c r="Q528" s="706"/>
      <c r="R528" s="706"/>
      <c r="S528" s="706"/>
      <c r="T528" s="706"/>
      <c r="U528" s="706"/>
      <c r="V528" s="706"/>
      <c r="W528" s="706"/>
    </row>
    <row r="529" spans="1:23" hidden="1" x14ac:dyDescent="0.3">
      <c r="A529" s="706"/>
      <c r="B529" s="706"/>
      <c r="C529" s="621"/>
      <c r="D529" s="647" t="str">
        <f>D528&amp;"KW"</f>
        <v>KW</v>
      </c>
      <c r="E529" s="619" t="s">
        <v>155</v>
      </c>
      <c r="F529" s="1856"/>
      <c r="G529" s="1857"/>
      <c r="H529" s="1856"/>
      <c r="I529" s="1857"/>
      <c r="J529" s="1856"/>
      <c r="K529" s="1857"/>
      <c r="L529" s="1856"/>
      <c r="M529" s="1857"/>
      <c r="N529" s="1856"/>
      <c r="O529" s="1857"/>
      <c r="P529" s="706"/>
      <c r="Q529" s="706"/>
      <c r="R529" s="706"/>
      <c r="S529" s="706"/>
      <c r="T529" s="706"/>
      <c r="U529" s="706"/>
      <c r="V529" s="706"/>
      <c r="W529" s="706"/>
    </row>
    <row r="530" spans="1:23" hidden="1" x14ac:dyDescent="0.3">
      <c r="A530" s="706"/>
      <c r="B530" s="706"/>
      <c r="C530" s="621" t="s">
        <v>5322</v>
      </c>
      <c r="D530" s="754"/>
      <c r="E530" s="619" t="s">
        <v>154</v>
      </c>
      <c r="F530" s="1856"/>
      <c r="G530" s="1857"/>
      <c r="H530" s="1856"/>
      <c r="I530" s="1857"/>
      <c r="J530" s="1856"/>
      <c r="K530" s="1857"/>
      <c r="L530" s="1856"/>
      <c r="M530" s="1857"/>
      <c r="N530" s="1856"/>
      <c r="O530" s="1857"/>
      <c r="P530" s="706"/>
      <c r="Q530" s="706"/>
      <c r="R530" s="706"/>
      <c r="S530" s="706"/>
      <c r="T530" s="706"/>
      <c r="U530" s="706"/>
      <c r="V530" s="706"/>
      <c r="W530" s="706"/>
    </row>
    <row r="531" spans="1:23" hidden="1" x14ac:dyDescent="0.3">
      <c r="A531" s="706"/>
      <c r="B531" s="706"/>
      <c r="C531" s="621"/>
      <c r="D531" s="647" t="str">
        <f>D530&amp;"KW"</f>
        <v>KW</v>
      </c>
      <c r="E531" s="619" t="s">
        <v>155</v>
      </c>
      <c r="F531" s="1856"/>
      <c r="G531" s="1857"/>
      <c r="H531" s="1856"/>
      <c r="I531" s="1857"/>
      <c r="J531" s="1856"/>
      <c r="K531" s="1857"/>
      <c r="L531" s="1856"/>
      <c r="M531" s="1857"/>
      <c r="N531" s="1856"/>
      <c r="O531" s="1857"/>
      <c r="P531" s="706"/>
      <c r="Q531" s="706"/>
      <c r="R531" s="706"/>
      <c r="S531" s="706"/>
      <c r="T531" s="706"/>
      <c r="U531" s="706"/>
      <c r="V531" s="706"/>
      <c r="W531" s="706"/>
    </row>
    <row r="532" spans="1:23" hidden="1" x14ac:dyDescent="0.3">
      <c r="A532" s="706"/>
      <c r="B532" s="706"/>
      <c r="C532" s="621" t="s">
        <v>5323</v>
      </c>
      <c r="D532" s="754"/>
      <c r="E532" s="619" t="s">
        <v>154</v>
      </c>
      <c r="F532" s="1856"/>
      <c r="G532" s="1857"/>
      <c r="H532" s="1856"/>
      <c r="I532" s="1857"/>
      <c r="J532" s="1856"/>
      <c r="K532" s="1857"/>
      <c r="L532" s="1856"/>
      <c r="M532" s="1857"/>
      <c r="N532" s="1856"/>
      <c r="O532" s="1857"/>
      <c r="P532" s="706"/>
      <c r="Q532" s="706"/>
      <c r="R532" s="706"/>
      <c r="S532" s="706"/>
      <c r="T532" s="706"/>
      <c r="U532" s="706"/>
      <c r="V532" s="706"/>
      <c r="W532" s="706"/>
    </row>
    <row r="533" spans="1:23" hidden="1" x14ac:dyDescent="0.3">
      <c r="A533" s="706"/>
      <c r="B533" s="706"/>
      <c r="C533" s="621"/>
      <c r="D533" s="647" t="str">
        <f>D532&amp;"KW"</f>
        <v>KW</v>
      </c>
      <c r="E533" s="619" t="s">
        <v>155</v>
      </c>
      <c r="F533" s="1856"/>
      <c r="G533" s="1857"/>
      <c r="H533" s="1856"/>
      <c r="I533" s="1857"/>
      <c r="J533" s="1856"/>
      <c r="K533" s="1857"/>
      <c r="L533" s="1856"/>
      <c r="M533" s="1857"/>
      <c r="N533" s="1856"/>
      <c r="O533" s="1857"/>
      <c r="P533" s="706"/>
      <c r="Q533" s="706"/>
      <c r="R533" s="706"/>
      <c r="S533" s="706"/>
      <c r="T533" s="706"/>
      <c r="U533" s="706"/>
      <c r="V533" s="706"/>
      <c r="W533" s="706"/>
    </row>
    <row r="534" spans="1:23" hidden="1" x14ac:dyDescent="0.3">
      <c r="A534" s="706"/>
      <c r="B534" s="706"/>
      <c r="C534" s="621" t="s">
        <v>5324</v>
      </c>
      <c r="D534" s="754"/>
      <c r="E534" s="619" t="s">
        <v>154</v>
      </c>
      <c r="F534" s="1856"/>
      <c r="G534" s="1857"/>
      <c r="H534" s="1856"/>
      <c r="I534" s="1857"/>
      <c r="J534" s="1856"/>
      <c r="K534" s="1857"/>
      <c r="L534" s="1856"/>
      <c r="M534" s="1857"/>
      <c r="N534" s="1856"/>
      <c r="O534" s="1857"/>
      <c r="P534" s="706"/>
      <c r="Q534" s="706"/>
      <c r="R534" s="706"/>
      <c r="S534" s="706"/>
      <c r="T534" s="706"/>
      <c r="U534" s="706"/>
      <c r="V534" s="706"/>
      <c r="W534" s="706"/>
    </row>
    <row r="535" spans="1:23" hidden="1" x14ac:dyDescent="0.3">
      <c r="A535" s="706"/>
      <c r="B535" s="706"/>
      <c r="C535" s="621"/>
      <c r="D535" s="647" t="str">
        <f>D534&amp;"KW"</f>
        <v>KW</v>
      </c>
      <c r="E535" s="619" t="s">
        <v>155</v>
      </c>
      <c r="F535" s="1856"/>
      <c r="G535" s="1857"/>
      <c r="H535" s="1856"/>
      <c r="I535" s="1857"/>
      <c r="J535" s="1856"/>
      <c r="K535" s="1857"/>
      <c r="L535" s="1856"/>
      <c r="M535" s="1857"/>
      <c r="N535" s="1856"/>
      <c r="O535" s="1857"/>
      <c r="P535" s="706"/>
      <c r="Q535" s="706"/>
      <c r="R535" s="706"/>
      <c r="S535" s="706"/>
      <c r="T535" s="706"/>
      <c r="U535" s="706"/>
      <c r="V535" s="706"/>
      <c r="W535" s="706"/>
    </row>
    <row r="536" spans="1:23" hidden="1" x14ac:dyDescent="0.3">
      <c r="A536" s="706"/>
      <c r="B536" s="706"/>
      <c r="C536" s="621" t="s">
        <v>5325</v>
      </c>
      <c r="D536" s="754"/>
      <c r="E536" s="619" t="s">
        <v>154</v>
      </c>
      <c r="F536" s="1856"/>
      <c r="G536" s="1857"/>
      <c r="H536" s="1856"/>
      <c r="I536" s="1857"/>
      <c r="J536" s="1856"/>
      <c r="K536" s="1857"/>
      <c r="L536" s="1856"/>
      <c r="M536" s="1857"/>
      <c r="N536" s="1856"/>
      <c r="O536" s="1857"/>
      <c r="P536" s="706"/>
      <c r="Q536" s="706"/>
      <c r="R536" s="706"/>
      <c r="S536" s="706"/>
      <c r="T536" s="706"/>
      <c r="U536" s="706"/>
      <c r="V536" s="706"/>
      <c r="W536" s="706"/>
    </row>
    <row r="537" spans="1:23" hidden="1" x14ac:dyDescent="0.3">
      <c r="A537" s="706"/>
      <c r="B537" s="706"/>
      <c r="C537" s="621"/>
      <c r="D537" s="647" t="str">
        <f>D536&amp;"KW"</f>
        <v>KW</v>
      </c>
      <c r="E537" s="619" t="s">
        <v>155</v>
      </c>
      <c r="F537" s="1856"/>
      <c r="G537" s="1857"/>
      <c r="H537" s="1856"/>
      <c r="I537" s="1857"/>
      <c r="J537" s="1856"/>
      <c r="K537" s="1857"/>
      <c r="L537" s="1856"/>
      <c r="M537" s="1857"/>
      <c r="N537" s="1856"/>
      <c r="O537" s="1857"/>
      <c r="P537" s="706"/>
      <c r="Q537" s="706"/>
      <c r="R537" s="706"/>
      <c r="S537" s="706"/>
      <c r="T537" s="706"/>
      <c r="U537" s="706"/>
      <c r="V537" s="706"/>
      <c r="W537" s="706"/>
    </row>
    <row r="538" spans="1:23" hidden="1" x14ac:dyDescent="0.3">
      <c r="A538" s="706"/>
      <c r="B538" s="706"/>
      <c r="C538" s="621" t="s">
        <v>5326</v>
      </c>
      <c r="D538" s="754"/>
      <c r="E538" s="619" t="s">
        <v>154</v>
      </c>
      <c r="F538" s="1856"/>
      <c r="G538" s="1857"/>
      <c r="H538" s="1856"/>
      <c r="I538" s="1857"/>
      <c r="J538" s="1856"/>
      <c r="K538" s="1857"/>
      <c r="L538" s="1856"/>
      <c r="M538" s="1857"/>
      <c r="N538" s="1856"/>
      <c r="O538" s="1857"/>
      <c r="P538" s="706"/>
      <c r="Q538" s="706"/>
      <c r="R538" s="706"/>
      <c r="S538" s="706"/>
      <c r="T538" s="706"/>
      <c r="U538" s="706"/>
      <c r="V538" s="706"/>
      <c r="W538" s="706"/>
    </row>
    <row r="539" spans="1:23" hidden="1" x14ac:dyDescent="0.3">
      <c r="A539" s="706"/>
      <c r="B539" s="706"/>
      <c r="C539" s="621"/>
      <c r="D539" s="647" t="str">
        <f>D538&amp;"KW"</f>
        <v>KW</v>
      </c>
      <c r="E539" s="619" t="s">
        <v>155</v>
      </c>
      <c r="F539" s="1856"/>
      <c r="G539" s="1857"/>
      <c r="H539" s="1856"/>
      <c r="I539" s="1857"/>
      <c r="J539" s="1856"/>
      <c r="K539" s="1857"/>
      <c r="L539" s="1856"/>
      <c r="M539" s="1857"/>
      <c r="N539" s="1856"/>
      <c r="O539" s="1857"/>
      <c r="P539" s="706"/>
      <c r="Q539" s="706"/>
      <c r="R539" s="706"/>
      <c r="S539" s="706"/>
      <c r="T539" s="706"/>
      <c r="U539" s="706"/>
      <c r="V539" s="706"/>
      <c r="W539" s="706"/>
    </row>
    <row r="540" spans="1:23" hidden="1" x14ac:dyDescent="0.3">
      <c r="A540" s="706"/>
      <c r="B540" s="706"/>
      <c r="C540" s="621" t="s">
        <v>5327</v>
      </c>
      <c r="D540" s="754"/>
      <c r="E540" s="619" t="s">
        <v>154</v>
      </c>
      <c r="F540" s="1856"/>
      <c r="G540" s="1857"/>
      <c r="H540" s="1856"/>
      <c r="I540" s="1857"/>
      <c r="J540" s="1856"/>
      <c r="K540" s="1857"/>
      <c r="L540" s="1856"/>
      <c r="M540" s="1857"/>
      <c r="N540" s="1856"/>
      <c r="O540" s="1857"/>
      <c r="P540" s="706"/>
      <c r="Q540" s="706"/>
      <c r="R540" s="706"/>
      <c r="S540" s="706"/>
      <c r="T540" s="706"/>
      <c r="U540" s="706"/>
      <c r="V540" s="706"/>
      <c r="W540" s="706"/>
    </row>
    <row r="541" spans="1:23" hidden="1" x14ac:dyDescent="0.3">
      <c r="A541" s="706"/>
      <c r="B541" s="706"/>
      <c r="C541" s="621"/>
      <c r="D541" s="647" t="str">
        <f>D540&amp;"KW"</f>
        <v>KW</v>
      </c>
      <c r="E541" s="619" t="s">
        <v>155</v>
      </c>
      <c r="F541" s="1856"/>
      <c r="G541" s="1857"/>
      <c r="H541" s="1856"/>
      <c r="I541" s="1857"/>
      <c r="J541" s="1856"/>
      <c r="K541" s="1857"/>
      <c r="L541" s="1856"/>
      <c r="M541" s="1857"/>
      <c r="N541" s="1856"/>
      <c r="O541" s="1857"/>
      <c r="P541" s="706"/>
      <c r="Q541" s="706"/>
      <c r="R541" s="706"/>
      <c r="S541" s="706"/>
      <c r="T541" s="706"/>
      <c r="U541" s="706"/>
      <c r="V541" s="706"/>
      <c r="W541" s="706"/>
    </row>
    <row r="542" spans="1:23" hidden="1" x14ac:dyDescent="0.3">
      <c r="A542" s="706"/>
      <c r="B542" s="706"/>
      <c r="C542" s="621" t="s">
        <v>5328</v>
      </c>
      <c r="D542" s="754"/>
      <c r="E542" s="619" t="s">
        <v>154</v>
      </c>
      <c r="F542" s="1856"/>
      <c r="G542" s="1857"/>
      <c r="H542" s="1856"/>
      <c r="I542" s="1857"/>
      <c r="J542" s="1856"/>
      <c r="K542" s="1857"/>
      <c r="L542" s="1856"/>
      <c r="M542" s="1857"/>
      <c r="N542" s="1856"/>
      <c r="O542" s="1857"/>
      <c r="P542" s="706"/>
      <c r="Q542" s="706"/>
      <c r="R542" s="706"/>
      <c r="S542" s="706"/>
      <c r="T542" s="706"/>
      <c r="U542" s="706"/>
      <c r="V542" s="706"/>
      <c r="W542" s="706"/>
    </row>
    <row r="543" spans="1:23" hidden="1" x14ac:dyDescent="0.3">
      <c r="A543" s="706"/>
      <c r="B543" s="706"/>
      <c r="C543" s="621"/>
      <c r="D543" s="647" t="str">
        <f>D542&amp;"KW"</f>
        <v>KW</v>
      </c>
      <c r="E543" s="619" t="s">
        <v>155</v>
      </c>
      <c r="F543" s="1856"/>
      <c r="G543" s="1857"/>
      <c r="H543" s="1856"/>
      <c r="I543" s="1857"/>
      <c r="J543" s="1856"/>
      <c r="K543" s="1857"/>
      <c r="L543" s="1856"/>
      <c r="M543" s="1857"/>
      <c r="N543" s="1856"/>
      <c r="O543" s="1857"/>
      <c r="P543" s="706"/>
      <c r="Q543" s="706"/>
      <c r="R543" s="706"/>
      <c r="S543" s="706"/>
      <c r="T543" s="706"/>
      <c r="U543" s="706"/>
      <c r="V543" s="706"/>
      <c r="W543" s="706"/>
    </row>
    <row r="544" spans="1:23" hidden="1" x14ac:dyDescent="0.3">
      <c r="A544" s="706"/>
      <c r="B544" s="706"/>
      <c r="C544" s="621" t="s">
        <v>5329</v>
      </c>
      <c r="D544" s="754"/>
      <c r="E544" s="619" t="s">
        <v>154</v>
      </c>
      <c r="F544" s="1856"/>
      <c r="G544" s="1857"/>
      <c r="H544" s="1856"/>
      <c r="I544" s="1857"/>
      <c r="J544" s="1856"/>
      <c r="K544" s="1857"/>
      <c r="L544" s="1856"/>
      <c r="M544" s="1857"/>
      <c r="N544" s="1856"/>
      <c r="O544" s="1857"/>
      <c r="P544" s="706"/>
      <c r="Q544" s="706"/>
      <c r="R544" s="706"/>
      <c r="S544" s="706"/>
      <c r="T544" s="706"/>
      <c r="U544" s="706"/>
      <c r="V544" s="706"/>
      <c r="W544" s="706"/>
    </row>
    <row r="545" spans="1:23" hidden="1" x14ac:dyDescent="0.3">
      <c r="A545" s="706"/>
      <c r="B545" s="706"/>
      <c r="C545" s="621"/>
      <c r="D545" s="647" t="str">
        <f>D544&amp;"KW"</f>
        <v>KW</v>
      </c>
      <c r="E545" s="619" t="s">
        <v>155</v>
      </c>
      <c r="F545" s="1856"/>
      <c r="G545" s="1857"/>
      <c r="H545" s="1856"/>
      <c r="I545" s="1857"/>
      <c r="J545" s="1856"/>
      <c r="K545" s="1857"/>
      <c r="L545" s="1856"/>
      <c r="M545" s="1857"/>
      <c r="N545" s="1856"/>
      <c r="O545" s="1857"/>
      <c r="P545" s="706"/>
      <c r="Q545" s="706"/>
      <c r="R545" s="706"/>
      <c r="S545" s="706"/>
      <c r="T545" s="706"/>
      <c r="U545" s="706"/>
      <c r="V545" s="706"/>
      <c r="W545" s="706"/>
    </row>
    <row r="546" spans="1:23" hidden="1" x14ac:dyDescent="0.3">
      <c r="A546" s="706"/>
      <c r="B546" s="706"/>
      <c r="C546" s="621" t="s">
        <v>5330</v>
      </c>
      <c r="D546" s="754"/>
      <c r="E546" s="619" t="s">
        <v>154</v>
      </c>
      <c r="F546" s="1856"/>
      <c r="G546" s="1857"/>
      <c r="H546" s="1856"/>
      <c r="I546" s="1857"/>
      <c r="J546" s="1856"/>
      <c r="K546" s="1857"/>
      <c r="L546" s="1856"/>
      <c r="M546" s="1857"/>
      <c r="N546" s="1856"/>
      <c r="O546" s="1857"/>
      <c r="P546" s="706"/>
      <c r="Q546" s="706"/>
      <c r="R546" s="706"/>
      <c r="S546" s="706"/>
      <c r="T546" s="706"/>
      <c r="U546" s="706"/>
      <c r="V546" s="706"/>
      <c r="W546" s="706"/>
    </row>
    <row r="547" spans="1:23" hidden="1" x14ac:dyDescent="0.3">
      <c r="A547" s="706"/>
      <c r="B547" s="706"/>
      <c r="C547" s="621"/>
      <c r="D547" s="647" t="str">
        <f>D546&amp;"KW"</f>
        <v>KW</v>
      </c>
      <c r="E547" s="619" t="s">
        <v>155</v>
      </c>
      <c r="F547" s="1856"/>
      <c r="G547" s="1857"/>
      <c r="H547" s="1856"/>
      <c r="I547" s="1857"/>
      <c r="J547" s="1856"/>
      <c r="K547" s="1857"/>
      <c r="L547" s="1856"/>
      <c r="M547" s="1857"/>
      <c r="N547" s="1856"/>
      <c r="O547" s="1857"/>
      <c r="P547" s="706"/>
      <c r="Q547" s="706"/>
      <c r="R547" s="706"/>
      <c r="S547" s="706"/>
      <c r="T547" s="706"/>
      <c r="U547" s="706"/>
      <c r="V547" s="706"/>
      <c r="W547" s="706"/>
    </row>
    <row r="548" spans="1:23" hidden="1" x14ac:dyDescent="0.3">
      <c r="A548" s="706"/>
      <c r="B548" s="706"/>
      <c r="C548" s="621" t="s">
        <v>5331</v>
      </c>
      <c r="D548" s="754"/>
      <c r="E548" s="619" t="s">
        <v>154</v>
      </c>
      <c r="F548" s="1856"/>
      <c r="G548" s="1857"/>
      <c r="H548" s="1856"/>
      <c r="I548" s="1857"/>
      <c r="J548" s="1856"/>
      <c r="K548" s="1857"/>
      <c r="L548" s="1856"/>
      <c r="M548" s="1857"/>
      <c r="N548" s="1856"/>
      <c r="O548" s="1857"/>
      <c r="P548" s="706"/>
      <c r="Q548" s="706"/>
      <c r="R548" s="706"/>
      <c r="S548" s="706"/>
      <c r="T548" s="706"/>
      <c r="U548" s="706"/>
      <c r="V548" s="706"/>
      <c r="W548" s="706"/>
    </row>
    <row r="549" spans="1:23" hidden="1" x14ac:dyDescent="0.3">
      <c r="A549" s="706"/>
      <c r="B549" s="706"/>
      <c r="C549" s="621"/>
      <c r="D549" s="647" t="str">
        <f>D548&amp;"KW"</f>
        <v>KW</v>
      </c>
      <c r="E549" s="619" t="s">
        <v>155</v>
      </c>
      <c r="F549" s="1856"/>
      <c r="G549" s="1857"/>
      <c r="H549" s="1856"/>
      <c r="I549" s="1857"/>
      <c r="J549" s="1856"/>
      <c r="K549" s="1857"/>
      <c r="L549" s="1856"/>
      <c r="M549" s="1857"/>
      <c r="N549" s="1856"/>
      <c r="O549" s="1857"/>
      <c r="P549" s="706"/>
      <c r="Q549" s="706"/>
      <c r="R549" s="706"/>
      <c r="S549" s="706"/>
      <c r="T549" s="706"/>
      <c r="U549" s="706"/>
      <c r="V549" s="706"/>
      <c r="W549" s="706"/>
    </row>
    <row r="550" spans="1:23" hidden="1" x14ac:dyDescent="0.3">
      <c r="A550" s="706"/>
      <c r="B550" s="706"/>
      <c r="C550" s="621" t="s">
        <v>5332</v>
      </c>
      <c r="D550" s="754"/>
      <c r="E550" s="619" t="s">
        <v>154</v>
      </c>
      <c r="F550" s="1856"/>
      <c r="G550" s="1857"/>
      <c r="H550" s="1856"/>
      <c r="I550" s="1857"/>
      <c r="J550" s="1856"/>
      <c r="K550" s="1857"/>
      <c r="L550" s="1856"/>
      <c r="M550" s="1857"/>
      <c r="N550" s="1856"/>
      <c r="O550" s="1857"/>
      <c r="P550" s="706"/>
      <c r="Q550" s="706"/>
      <c r="R550" s="706"/>
      <c r="S550" s="706"/>
      <c r="T550" s="706"/>
      <c r="U550" s="706"/>
      <c r="V550" s="706"/>
      <c r="W550" s="706"/>
    </row>
    <row r="551" spans="1:23" hidden="1" x14ac:dyDescent="0.3">
      <c r="A551" s="706"/>
      <c r="B551" s="706"/>
      <c r="C551" s="621"/>
      <c r="D551" s="647" t="str">
        <f>D550&amp;"KW"</f>
        <v>KW</v>
      </c>
      <c r="E551" s="619" t="s">
        <v>155</v>
      </c>
      <c r="F551" s="1856"/>
      <c r="G551" s="1857"/>
      <c r="H551" s="1856"/>
      <c r="I551" s="1857"/>
      <c r="J551" s="1856"/>
      <c r="K551" s="1857"/>
      <c r="L551" s="1856"/>
      <c r="M551" s="1857"/>
      <c r="N551" s="1856"/>
      <c r="O551" s="1857"/>
      <c r="P551" s="706"/>
      <c r="Q551" s="706"/>
      <c r="R551" s="706"/>
      <c r="S551" s="706"/>
      <c r="T551" s="706"/>
      <c r="U551" s="706"/>
      <c r="V551" s="706"/>
      <c r="W551" s="706"/>
    </row>
    <row r="552" spans="1:23" hidden="1" x14ac:dyDescent="0.3">
      <c r="A552" s="706"/>
      <c r="B552" s="706"/>
      <c r="C552" s="621" t="s">
        <v>5333</v>
      </c>
      <c r="D552" s="754"/>
      <c r="E552" s="619" t="s">
        <v>154</v>
      </c>
      <c r="F552" s="1856"/>
      <c r="G552" s="1857"/>
      <c r="H552" s="1856"/>
      <c r="I552" s="1857"/>
      <c r="J552" s="1856"/>
      <c r="K552" s="1857"/>
      <c r="L552" s="1856"/>
      <c r="M552" s="1857"/>
      <c r="N552" s="1856"/>
      <c r="O552" s="1857"/>
      <c r="P552" s="706"/>
      <c r="Q552" s="706"/>
      <c r="R552" s="706"/>
      <c r="S552" s="706"/>
      <c r="T552" s="706"/>
      <c r="U552" s="706"/>
      <c r="V552" s="706"/>
      <c r="W552" s="706"/>
    </row>
    <row r="553" spans="1:23" hidden="1" x14ac:dyDescent="0.3">
      <c r="A553" s="706"/>
      <c r="B553" s="706"/>
      <c r="C553" s="621"/>
      <c r="D553" s="647" t="str">
        <f>D552&amp;"KW"</f>
        <v>KW</v>
      </c>
      <c r="E553" s="619" t="s">
        <v>155</v>
      </c>
      <c r="F553" s="1856"/>
      <c r="G553" s="1857"/>
      <c r="H553" s="1856"/>
      <c r="I553" s="1857"/>
      <c r="J553" s="1856"/>
      <c r="K553" s="1857"/>
      <c r="L553" s="1856"/>
      <c r="M553" s="1857"/>
      <c r="N553" s="1856"/>
      <c r="O553" s="1857"/>
      <c r="P553" s="706"/>
      <c r="Q553" s="706"/>
      <c r="R553" s="706"/>
      <c r="S553" s="706"/>
      <c r="T553" s="706"/>
      <c r="U553" s="706"/>
      <c r="V553" s="706"/>
      <c r="W553" s="706"/>
    </row>
    <row r="554" spans="1:23" hidden="1" x14ac:dyDescent="0.3">
      <c r="A554" s="706"/>
      <c r="B554" s="706"/>
      <c r="C554" s="621" t="s">
        <v>5334</v>
      </c>
      <c r="D554" s="754"/>
      <c r="E554" s="619" t="s">
        <v>154</v>
      </c>
      <c r="F554" s="1856"/>
      <c r="G554" s="1857"/>
      <c r="H554" s="1856"/>
      <c r="I554" s="1857"/>
      <c r="J554" s="1856"/>
      <c r="K554" s="1857"/>
      <c r="L554" s="1856"/>
      <c r="M554" s="1857"/>
      <c r="N554" s="1856"/>
      <c r="O554" s="1857"/>
      <c r="P554" s="706"/>
      <c r="Q554" s="706"/>
      <c r="R554" s="706"/>
      <c r="S554" s="706"/>
      <c r="T554" s="706"/>
      <c r="U554" s="706"/>
      <c r="V554" s="706"/>
      <c r="W554" s="706"/>
    </row>
    <row r="555" spans="1:23" hidden="1" x14ac:dyDescent="0.3">
      <c r="A555" s="706"/>
      <c r="B555" s="706"/>
      <c r="C555" s="621"/>
      <c r="D555" s="647" t="str">
        <f>D554&amp;"KW"</f>
        <v>KW</v>
      </c>
      <c r="E555" s="619" t="s">
        <v>155</v>
      </c>
      <c r="F555" s="1856"/>
      <c r="G555" s="1857"/>
      <c r="H555" s="1856"/>
      <c r="I555" s="1857"/>
      <c r="J555" s="1856"/>
      <c r="K555" s="1857"/>
      <c r="L555" s="1856"/>
      <c r="M555" s="1857"/>
      <c r="N555" s="1856"/>
      <c r="O555" s="1857"/>
      <c r="P555" s="706"/>
      <c r="Q555" s="706"/>
      <c r="R555" s="706"/>
      <c r="S555" s="706"/>
      <c r="T555" s="706"/>
      <c r="U555" s="706"/>
      <c r="V555" s="706"/>
      <c r="W555" s="706"/>
    </row>
    <row r="556" spans="1:23" hidden="1" x14ac:dyDescent="0.3">
      <c r="A556" s="706"/>
      <c r="B556" s="706"/>
      <c r="C556" s="621" t="s">
        <v>5335</v>
      </c>
      <c r="D556" s="754"/>
      <c r="E556" s="619" t="s">
        <v>154</v>
      </c>
      <c r="F556" s="1856"/>
      <c r="G556" s="1857"/>
      <c r="H556" s="1856"/>
      <c r="I556" s="1857"/>
      <c r="J556" s="1856"/>
      <c r="K556" s="1857"/>
      <c r="L556" s="1856"/>
      <c r="M556" s="1857"/>
      <c r="N556" s="1856"/>
      <c r="O556" s="1857"/>
      <c r="P556" s="706"/>
      <c r="Q556" s="706"/>
      <c r="R556" s="706"/>
      <c r="S556" s="706"/>
      <c r="T556" s="706"/>
      <c r="U556" s="706"/>
      <c r="V556" s="706"/>
      <c r="W556" s="706"/>
    </row>
    <row r="557" spans="1:23" hidden="1" x14ac:dyDescent="0.3">
      <c r="A557" s="706"/>
      <c r="B557" s="706"/>
      <c r="C557" s="621"/>
      <c r="D557" s="647" t="str">
        <f>D556&amp;"KW"</f>
        <v>KW</v>
      </c>
      <c r="E557" s="619" t="s">
        <v>155</v>
      </c>
      <c r="F557" s="1856"/>
      <c r="G557" s="1857"/>
      <c r="H557" s="1856"/>
      <c r="I557" s="1857"/>
      <c r="J557" s="1856"/>
      <c r="K557" s="1857"/>
      <c r="L557" s="1856"/>
      <c r="M557" s="1857"/>
      <c r="N557" s="1856"/>
      <c r="O557" s="1857"/>
      <c r="P557" s="706"/>
      <c r="Q557" s="706"/>
      <c r="R557" s="706"/>
      <c r="S557" s="706"/>
      <c r="T557" s="706"/>
      <c r="U557" s="706"/>
      <c r="V557" s="706"/>
      <c r="W557" s="706"/>
    </row>
    <row r="558" spans="1:23" hidden="1" x14ac:dyDescent="0.3">
      <c r="A558" s="706"/>
      <c r="B558" s="706"/>
      <c r="C558" s="621" t="s">
        <v>5336</v>
      </c>
      <c r="D558" s="754"/>
      <c r="E558" s="619" t="s">
        <v>154</v>
      </c>
      <c r="F558" s="1856"/>
      <c r="G558" s="1857"/>
      <c r="H558" s="1856"/>
      <c r="I558" s="1857"/>
      <c r="J558" s="1856"/>
      <c r="K558" s="1857"/>
      <c r="L558" s="1856"/>
      <c r="M558" s="1857"/>
      <c r="N558" s="1856"/>
      <c r="O558" s="1857"/>
      <c r="P558" s="706"/>
      <c r="Q558" s="706"/>
      <c r="R558" s="706"/>
      <c r="S558" s="706"/>
      <c r="T558" s="706"/>
      <c r="U558" s="706"/>
      <c r="V558" s="706"/>
      <c r="W558" s="706"/>
    </row>
    <row r="559" spans="1:23" hidden="1" x14ac:dyDescent="0.3">
      <c r="A559" s="706"/>
      <c r="B559" s="706"/>
      <c r="C559" s="621"/>
      <c r="D559" s="647" t="str">
        <f>D558&amp;"KW"</f>
        <v>KW</v>
      </c>
      <c r="E559" s="619" t="s">
        <v>155</v>
      </c>
      <c r="F559" s="1856"/>
      <c r="G559" s="1857"/>
      <c r="H559" s="1856"/>
      <c r="I559" s="1857"/>
      <c r="J559" s="1856"/>
      <c r="K559" s="1857"/>
      <c r="L559" s="1856"/>
      <c r="M559" s="1857"/>
      <c r="N559" s="1856"/>
      <c r="O559" s="1857"/>
      <c r="P559" s="706"/>
      <c r="Q559" s="706"/>
      <c r="R559" s="706"/>
      <c r="S559" s="706"/>
      <c r="T559" s="706"/>
      <c r="U559" s="706"/>
      <c r="V559" s="706"/>
      <c r="W559" s="706"/>
    </row>
    <row r="560" spans="1:23" hidden="1" x14ac:dyDescent="0.3">
      <c r="A560" s="706"/>
      <c r="B560" s="706"/>
      <c r="C560" s="621" t="s">
        <v>5337</v>
      </c>
      <c r="D560" s="754"/>
      <c r="E560" s="619" t="s">
        <v>154</v>
      </c>
      <c r="F560" s="1856"/>
      <c r="G560" s="1857"/>
      <c r="H560" s="1856"/>
      <c r="I560" s="1857"/>
      <c r="J560" s="1856"/>
      <c r="K560" s="1857"/>
      <c r="L560" s="1856"/>
      <c r="M560" s="1857"/>
      <c r="N560" s="1856"/>
      <c r="O560" s="1857"/>
      <c r="P560" s="706"/>
      <c r="Q560" s="706"/>
      <c r="R560" s="706"/>
      <c r="S560" s="706"/>
      <c r="T560" s="706"/>
      <c r="U560" s="706"/>
      <c r="V560" s="706"/>
      <c r="W560" s="706"/>
    </row>
    <row r="561" spans="1:23" hidden="1" x14ac:dyDescent="0.3">
      <c r="A561" s="706"/>
      <c r="B561" s="706"/>
      <c r="C561" s="621"/>
      <c r="D561" s="647" t="str">
        <f>D560&amp;"KW"</f>
        <v>KW</v>
      </c>
      <c r="E561" s="619" t="s">
        <v>155</v>
      </c>
      <c r="F561" s="1856"/>
      <c r="G561" s="1857"/>
      <c r="H561" s="1856"/>
      <c r="I561" s="1857"/>
      <c r="J561" s="1856"/>
      <c r="K561" s="1857"/>
      <c r="L561" s="1856"/>
      <c r="M561" s="1857"/>
      <c r="N561" s="1856"/>
      <c r="O561" s="1857"/>
      <c r="P561" s="706"/>
      <c r="Q561" s="706"/>
      <c r="R561" s="706"/>
      <c r="S561" s="706"/>
      <c r="T561" s="706"/>
      <c r="U561" s="706"/>
      <c r="V561" s="706"/>
      <c r="W561" s="706"/>
    </row>
    <row r="562" spans="1:23" hidden="1" x14ac:dyDescent="0.3">
      <c r="A562" s="706"/>
      <c r="B562" s="706"/>
      <c r="C562" s="621" t="s">
        <v>5338</v>
      </c>
      <c r="D562" s="754"/>
      <c r="E562" s="619" t="s">
        <v>154</v>
      </c>
      <c r="F562" s="1856"/>
      <c r="G562" s="1857"/>
      <c r="H562" s="1856"/>
      <c r="I562" s="1857"/>
      <c r="J562" s="1856"/>
      <c r="K562" s="1857"/>
      <c r="L562" s="1856"/>
      <c r="M562" s="1857"/>
      <c r="N562" s="1856"/>
      <c r="O562" s="1857"/>
      <c r="P562" s="706"/>
      <c r="Q562" s="706"/>
      <c r="R562" s="706"/>
      <c r="S562" s="706"/>
      <c r="T562" s="706"/>
      <c r="U562" s="706"/>
      <c r="V562" s="706"/>
      <c r="W562" s="706"/>
    </row>
    <row r="563" spans="1:23" hidden="1" x14ac:dyDescent="0.3">
      <c r="A563" s="706"/>
      <c r="B563" s="706"/>
      <c r="C563" s="621"/>
      <c r="D563" s="647" t="str">
        <f>D562&amp;"KW"</f>
        <v>KW</v>
      </c>
      <c r="E563" s="619" t="s">
        <v>155</v>
      </c>
      <c r="F563" s="1856"/>
      <c r="G563" s="1857"/>
      <c r="H563" s="1856"/>
      <c r="I563" s="1857"/>
      <c r="J563" s="1856"/>
      <c r="K563" s="1857"/>
      <c r="L563" s="1856"/>
      <c r="M563" s="1857"/>
      <c r="N563" s="1856"/>
      <c r="O563" s="1857"/>
      <c r="P563" s="706"/>
      <c r="Q563" s="706"/>
      <c r="R563" s="706"/>
      <c r="S563" s="706"/>
      <c r="T563" s="706"/>
      <c r="U563" s="706"/>
      <c r="V563" s="706"/>
      <c r="W563" s="706"/>
    </row>
    <row r="564" spans="1:23" hidden="1" x14ac:dyDescent="0.3">
      <c r="A564" s="706"/>
      <c r="B564" s="706"/>
      <c r="C564" s="621" t="s">
        <v>5339</v>
      </c>
      <c r="D564" s="754"/>
      <c r="E564" s="619" t="s">
        <v>154</v>
      </c>
      <c r="F564" s="1856"/>
      <c r="G564" s="1857"/>
      <c r="H564" s="1856"/>
      <c r="I564" s="1857"/>
      <c r="J564" s="1856"/>
      <c r="K564" s="1857"/>
      <c r="L564" s="1856"/>
      <c r="M564" s="1857"/>
      <c r="N564" s="1856"/>
      <c r="O564" s="1857"/>
      <c r="P564" s="706"/>
      <c r="Q564" s="706"/>
      <c r="R564" s="706"/>
      <c r="S564" s="706"/>
      <c r="T564" s="706"/>
      <c r="U564" s="706"/>
      <c r="V564" s="706"/>
      <c r="W564" s="706"/>
    </row>
    <row r="565" spans="1:23" hidden="1" x14ac:dyDescent="0.3">
      <c r="A565" s="706"/>
      <c r="B565" s="706"/>
      <c r="C565" s="621"/>
      <c r="D565" s="647" t="str">
        <f>D564&amp;"KW"</f>
        <v>KW</v>
      </c>
      <c r="E565" s="619" t="s">
        <v>155</v>
      </c>
      <c r="F565" s="1856"/>
      <c r="G565" s="1857"/>
      <c r="H565" s="1856"/>
      <c r="I565" s="1857"/>
      <c r="J565" s="1856"/>
      <c r="K565" s="1857"/>
      <c r="L565" s="1856"/>
      <c r="M565" s="1857"/>
      <c r="N565" s="1856"/>
      <c r="O565" s="1857"/>
      <c r="P565" s="706"/>
      <c r="Q565" s="706"/>
      <c r="R565" s="706"/>
      <c r="S565" s="706"/>
      <c r="T565" s="706"/>
      <c r="U565" s="706"/>
      <c r="V565" s="706"/>
      <c r="W565" s="706"/>
    </row>
    <row r="566" spans="1:23" hidden="1" x14ac:dyDescent="0.3">
      <c r="A566" s="706"/>
      <c r="B566" s="706"/>
      <c r="C566" s="621" t="s">
        <v>5340</v>
      </c>
      <c r="D566" s="754"/>
      <c r="E566" s="619" t="s">
        <v>154</v>
      </c>
      <c r="F566" s="1856"/>
      <c r="G566" s="1857"/>
      <c r="H566" s="1856"/>
      <c r="I566" s="1857"/>
      <c r="J566" s="1856"/>
      <c r="K566" s="1857"/>
      <c r="L566" s="1856"/>
      <c r="M566" s="1857"/>
      <c r="N566" s="1856"/>
      <c r="O566" s="1857"/>
      <c r="P566" s="706"/>
      <c r="Q566" s="706"/>
      <c r="R566" s="706"/>
      <c r="S566" s="706"/>
      <c r="T566" s="706"/>
      <c r="U566" s="706"/>
      <c r="V566" s="706"/>
      <c r="W566" s="706"/>
    </row>
    <row r="567" spans="1:23" hidden="1" x14ac:dyDescent="0.3">
      <c r="A567" s="706"/>
      <c r="B567" s="706"/>
      <c r="C567" s="621"/>
      <c r="D567" s="647" t="str">
        <f>D566&amp;"KW"</f>
        <v>KW</v>
      </c>
      <c r="E567" s="619" t="s">
        <v>155</v>
      </c>
      <c r="F567" s="1856"/>
      <c r="G567" s="1857"/>
      <c r="H567" s="1856"/>
      <c r="I567" s="1857"/>
      <c r="J567" s="1856"/>
      <c r="K567" s="1857"/>
      <c r="L567" s="1856"/>
      <c r="M567" s="1857"/>
      <c r="N567" s="1856"/>
      <c r="O567" s="1857"/>
      <c r="P567" s="706"/>
      <c r="Q567" s="706"/>
      <c r="R567" s="706"/>
      <c r="S567" s="706"/>
      <c r="T567" s="706"/>
      <c r="U567" s="706"/>
      <c r="V567" s="706"/>
      <c r="W567" s="706"/>
    </row>
    <row r="568" spans="1:23" hidden="1" x14ac:dyDescent="0.3">
      <c r="A568" s="706"/>
      <c r="B568" s="706"/>
      <c r="C568" s="621" t="s">
        <v>5341</v>
      </c>
      <c r="D568" s="754"/>
      <c r="E568" s="619" t="s">
        <v>154</v>
      </c>
      <c r="F568" s="1856"/>
      <c r="G568" s="1857"/>
      <c r="H568" s="1856"/>
      <c r="I568" s="1857"/>
      <c r="J568" s="1856"/>
      <c r="K568" s="1857"/>
      <c r="L568" s="1856"/>
      <c r="M568" s="1857"/>
      <c r="N568" s="1856"/>
      <c r="O568" s="1857"/>
      <c r="P568" s="706"/>
      <c r="Q568" s="706"/>
      <c r="R568" s="706"/>
      <c r="S568" s="706"/>
      <c r="T568" s="706"/>
      <c r="U568" s="706"/>
      <c r="V568" s="706"/>
      <c r="W568" s="706"/>
    </row>
    <row r="569" spans="1:23" hidden="1" x14ac:dyDescent="0.3">
      <c r="A569" s="706"/>
      <c r="B569" s="706"/>
      <c r="C569" s="621"/>
      <c r="D569" s="647" t="str">
        <f>D568&amp;"KW"</f>
        <v>KW</v>
      </c>
      <c r="E569" s="619" t="s">
        <v>155</v>
      </c>
      <c r="F569" s="1856"/>
      <c r="G569" s="1857"/>
      <c r="H569" s="1856"/>
      <c r="I569" s="1857"/>
      <c r="J569" s="1856"/>
      <c r="K569" s="1857"/>
      <c r="L569" s="1856"/>
      <c r="M569" s="1857"/>
      <c r="N569" s="1856"/>
      <c r="O569" s="1857"/>
      <c r="P569" s="706"/>
      <c r="Q569" s="706"/>
      <c r="R569" s="706"/>
      <c r="S569" s="706"/>
      <c r="T569" s="706"/>
      <c r="U569" s="706"/>
      <c r="V569" s="706"/>
      <c r="W569" s="706"/>
    </row>
    <row r="570" spans="1:23" hidden="1" x14ac:dyDescent="0.3">
      <c r="A570" s="706"/>
      <c r="B570" s="706"/>
      <c r="C570" s="621" t="s">
        <v>5342</v>
      </c>
      <c r="D570" s="754"/>
      <c r="E570" s="619" t="s">
        <v>154</v>
      </c>
      <c r="F570" s="1856"/>
      <c r="G570" s="1857"/>
      <c r="H570" s="1856"/>
      <c r="I570" s="1857"/>
      <c r="J570" s="1856"/>
      <c r="K570" s="1857"/>
      <c r="L570" s="1856"/>
      <c r="M570" s="1857"/>
      <c r="N570" s="1856"/>
      <c r="O570" s="1857"/>
      <c r="P570" s="706"/>
      <c r="Q570" s="706"/>
      <c r="R570" s="706"/>
      <c r="S570" s="706"/>
      <c r="T570" s="706"/>
      <c r="U570" s="706"/>
      <c r="V570" s="706"/>
      <c r="W570" s="706"/>
    </row>
    <row r="571" spans="1:23" hidden="1" x14ac:dyDescent="0.3">
      <c r="A571" s="706"/>
      <c r="B571" s="706"/>
      <c r="C571" s="621"/>
      <c r="D571" s="647" t="str">
        <f>D570&amp;"KW"</f>
        <v>KW</v>
      </c>
      <c r="E571" s="619" t="s">
        <v>155</v>
      </c>
      <c r="F571" s="1856"/>
      <c r="G571" s="1857"/>
      <c r="H571" s="1856"/>
      <c r="I571" s="1857"/>
      <c r="J571" s="1856"/>
      <c r="K571" s="1857"/>
      <c r="L571" s="1856"/>
      <c r="M571" s="1857"/>
      <c r="N571" s="1856"/>
      <c r="O571" s="1857"/>
      <c r="P571" s="706"/>
      <c r="Q571" s="706"/>
      <c r="R571" s="706"/>
      <c r="S571" s="706"/>
      <c r="T571" s="706"/>
      <c r="U571" s="706"/>
      <c r="V571" s="706"/>
      <c r="W571" s="706"/>
    </row>
    <row r="572" spans="1:23" hidden="1" x14ac:dyDescent="0.3">
      <c r="A572" s="706"/>
      <c r="B572" s="706"/>
      <c r="C572" s="621" t="s">
        <v>5343</v>
      </c>
      <c r="D572" s="754"/>
      <c r="E572" s="619" t="s">
        <v>154</v>
      </c>
      <c r="F572" s="1856"/>
      <c r="G572" s="1857"/>
      <c r="H572" s="1856"/>
      <c r="I572" s="1857"/>
      <c r="J572" s="1856"/>
      <c r="K572" s="1857"/>
      <c r="L572" s="1856"/>
      <c r="M572" s="1857"/>
      <c r="N572" s="1856"/>
      <c r="O572" s="1857"/>
      <c r="P572" s="706"/>
      <c r="Q572" s="706"/>
      <c r="R572" s="706"/>
      <c r="S572" s="706"/>
      <c r="T572" s="706"/>
      <c r="U572" s="706"/>
      <c r="V572" s="706"/>
      <c r="W572" s="706"/>
    </row>
    <row r="573" spans="1:23" hidden="1" x14ac:dyDescent="0.3">
      <c r="A573" s="706"/>
      <c r="B573" s="706"/>
      <c r="C573" s="621"/>
      <c r="D573" s="647" t="str">
        <f>D572&amp;"KW"</f>
        <v>KW</v>
      </c>
      <c r="E573" s="619" t="s">
        <v>155</v>
      </c>
      <c r="F573" s="1856"/>
      <c r="G573" s="1857"/>
      <c r="H573" s="1856"/>
      <c r="I573" s="1857"/>
      <c r="J573" s="1856"/>
      <c r="K573" s="1857"/>
      <c r="L573" s="1856"/>
      <c r="M573" s="1857"/>
      <c r="N573" s="1856"/>
      <c r="O573" s="1857"/>
      <c r="P573" s="706"/>
      <c r="Q573" s="706"/>
      <c r="R573" s="706"/>
      <c r="S573" s="706"/>
      <c r="T573" s="706"/>
      <c r="U573" s="706"/>
      <c r="V573" s="706"/>
      <c r="W573" s="706"/>
    </row>
    <row r="574" spans="1:23" hidden="1" x14ac:dyDescent="0.3">
      <c r="A574" s="706"/>
      <c r="B574" s="706"/>
      <c r="C574" s="621" t="s">
        <v>5344</v>
      </c>
      <c r="D574" s="754"/>
      <c r="E574" s="619" t="s">
        <v>154</v>
      </c>
      <c r="F574" s="1856"/>
      <c r="G574" s="1857"/>
      <c r="H574" s="1856"/>
      <c r="I574" s="1857"/>
      <c r="J574" s="1856"/>
      <c r="K574" s="1857"/>
      <c r="L574" s="1856"/>
      <c r="M574" s="1857"/>
      <c r="N574" s="1856"/>
      <c r="O574" s="1857"/>
      <c r="P574" s="706"/>
      <c r="Q574" s="706"/>
      <c r="R574" s="706"/>
      <c r="S574" s="706"/>
      <c r="T574" s="706"/>
      <c r="U574" s="706"/>
      <c r="V574" s="706"/>
      <c r="W574" s="706"/>
    </row>
    <row r="575" spans="1:23" hidden="1" x14ac:dyDescent="0.3">
      <c r="A575" s="706"/>
      <c r="B575" s="706"/>
      <c r="C575" s="621"/>
      <c r="D575" s="647" t="str">
        <f>D574&amp;"KW"</f>
        <v>KW</v>
      </c>
      <c r="E575" s="619" t="s">
        <v>155</v>
      </c>
      <c r="F575" s="1856"/>
      <c r="G575" s="1857"/>
      <c r="H575" s="1856"/>
      <c r="I575" s="1857"/>
      <c r="J575" s="1856"/>
      <c r="K575" s="1857"/>
      <c r="L575" s="1856"/>
      <c r="M575" s="1857"/>
      <c r="N575" s="1856"/>
      <c r="O575" s="1857"/>
      <c r="P575" s="706"/>
      <c r="Q575" s="706"/>
      <c r="R575" s="706"/>
      <c r="S575" s="706"/>
      <c r="T575" s="706"/>
      <c r="U575" s="706"/>
      <c r="V575" s="706"/>
      <c r="W575" s="706"/>
    </row>
    <row r="576" spans="1:23" hidden="1" x14ac:dyDescent="0.3">
      <c r="A576" s="706"/>
      <c r="B576" s="706"/>
      <c r="C576" s="621" t="s">
        <v>5345</v>
      </c>
      <c r="D576" s="754"/>
      <c r="E576" s="619" t="s">
        <v>154</v>
      </c>
      <c r="F576" s="1856"/>
      <c r="G576" s="1857"/>
      <c r="H576" s="1856"/>
      <c r="I576" s="1857"/>
      <c r="J576" s="1856"/>
      <c r="K576" s="1857"/>
      <c r="L576" s="1856"/>
      <c r="M576" s="1857"/>
      <c r="N576" s="1856"/>
      <c r="O576" s="1857"/>
      <c r="P576" s="706"/>
      <c r="Q576" s="706"/>
      <c r="R576" s="706"/>
      <c r="S576" s="706"/>
      <c r="T576" s="706"/>
      <c r="U576" s="706"/>
      <c r="V576" s="706"/>
      <c r="W576" s="706"/>
    </row>
    <row r="577" spans="1:23" hidden="1" x14ac:dyDescent="0.3">
      <c r="A577" s="706"/>
      <c r="B577" s="706"/>
      <c r="C577" s="621"/>
      <c r="D577" s="756" t="str">
        <f>D576&amp;"KW"</f>
        <v>KW</v>
      </c>
      <c r="E577" s="619" t="s">
        <v>155</v>
      </c>
      <c r="F577" s="1856"/>
      <c r="G577" s="1857"/>
      <c r="H577" s="1856"/>
      <c r="I577" s="1857"/>
      <c r="J577" s="1856"/>
      <c r="K577" s="1857"/>
      <c r="L577" s="1856"/>
      <c r="M577" s="1857"/>
      <c r="N577" s="1856"/>
      <c r="O577" s="1857"/>
      <c r="P577" s="706"/>
      <c r="Q577" s="706"/>
      <c r="R577" s="706"/>
      <c r="S577" s="706"/>
      <c r="T577" s="706"/>
      <c r="U577" s="706"/>
      <c r="V577" s="706"/>
      <c r="W577" s="706"/>
    </row>
    <row r="578" spans="1:23" hidden="1" x14ac:dyDescent="0.3">
      <c r="A578" s="706"/>
      <c r="B578" s="706"/>
      <c r="C578" s="621" t="s">
        <v>5346</v>
      </c>
      <c r="D578" s="754"/>
      <c r="E578" s="619" t="s">
        <v>154</v>
      </c>
      <c r="F578" s="1856"/>
      <c r="G578" s="1857"/>
      <c r="H578" s="1856"/>
      <c r="I578" s="1857"/>
      <c r="J578" s="1856"/>
      <c r="K578" s="1857"/>
      <c r="L578" s="1856"/>
      <c r="M578" s="1857"/>
      <c r="N578" s="1856"/>
      <c r="O578" s="1857"/>
      <c r="P578" s="706"/>
      <c r="Q578" s="706"/>
      <c r="R578" s="706"/>
      <c r="S578" s="706"/>
      <c r="T578" s="706"/>
      <c r="U578" s="706"/>
      <c r="V578" s="706"/>
      <c r="W578" s="706"/>
    </row>
    <row r="579" spans="1:23" hidden="1" x14ac:dyDescent="0.3">
      <c r="A579" s="706"/>
      <c r="B579" s="706"/>
      <c r="C579" s="621"/>
      <c r="D579" s="647" t="str">
        <f>D578&amp;"KW"</f>
        <v>KW</v>
      </c>
      <c r="E579" s="619" t="s">
        <v>155</v>
      </c>
      <c r="F579" s="1856"/>
      <c r="G579" s="1857"/>
      <c r="H579" s="1856"/>
      <c r="I579" s="1857"/>
      <c r="J579" s="1856"/>
      <c r="K579" s="1857"/>
      <c r="L579" s="1856"/>
      <c r="M579" s="1857"/>
      <c r="N579" s="1856"/>
      <c r="O579" s="1857"/>
      <c r="P579" s="706"/>
      <c r="Q579" s="706"/>
      <c r="R579" s="706"/>
      <c r="S579" s="706"/>
      <c r="T579" s="706"/>
      <c r="U579" s="706"/>
      <c r="V579" s="706"/>
      <c r="W579" s="706"/>
    </row>
    <row r="580" spans="1:23" hidden="1" x14ac:dyDescent="0.3">
      <c r="A580" s="706"/>
      <c r="B580" s="706"/>
      <c r="C580" s="621" t="s">
        <v>5347</v>
      </c>
      <c r="D580" s="754"/>
      <c r="E580" s="619" t="s">
        <v>154</v>
      </c>
      <c r="F580" s="1856"/>
      <c r="G580" s="1857"/>
      <c r="H580" s="1856"/>
      <c r="I580" s="1857"/>
      <c r="J580" s="1856"/>
      <c r="K580" s="1857"/>
      <c r="L580" s="1856"/>
      <c r="M580" s="1857"/>
      <c r="N580" s="1856"/>
      <c r="O580" s="1857"/>
      <c r="P580" s="706"/>
      <c r="Q580" s="706"/>
      <c r="R580" s="706"/>
      <c r="S580" s="706"/>
      <c r="T580" s="706"/>
      <c r="U580" s="706"/>
      <c r="V580" s="706"/>
      <c r="W580" s="706"/>
    </row>
    <row r="581" spans="1:23" hidden="1" x14ac:dyDescent="0.3">
      <c r="A581" s="706"/>
      <c r="B581" s="706"/>
      <c r="C581" s="621"/>
      <c r="D581" s="647" t="str">
        <f>D580&amp;"KW"</f>
        <v>KW</v>
      </c>
      <c r="E581" s="619" t="s">
        <v>155</v>
      </c>
      <c r="F581" s="1856"/>
      <c r="G581" s="1857"/>
      <c r="H581" s="1856"/>
      <c r="I581" s="1857"/>
      <c r="J581" s="1856"/>
      <c r="K581" s="1857"/>
      <c r="L581" s="1856"/>
      <c r="M581" s="1857"/>
      <c r="N581" s="1856"/>
      <c r="O581" s="1857"/>
      <c r="P581" s="706"/>
      <c r="Q581" s="706"/>
      <c r="R581" s="706"/>
      <c r="S581" s="706"/>
      <c r="T581" s="706"/>
      <c r="U581" s="706"/>
      <c r="V581" s="706"/>
      <c r="W581" s="706"/>
    </row>
    <row r="582" spans="1:23" hidden="1" x14ac:dyDescent="0.3">
      <c r="A582" s="706"/>
      <c r="B582" s="706"/>
      <c r="C582" s="621" t="s">
        <v>5348</v>
      </c>
      <c r="D582" s="754"/>
      <c r="E582" s="619" t="s">
        <v>154</v>
      </c>
      <c r="F582" s="1856"/>
      <c r="G582" s="1857"/>
      <c r="H582" s="1856"/>
      <c r="I582" s="1857"/>
      <c r="J582" s="1856"/>
      <c r="K582" s="1857"/>
      <c r="L582" s="1856"/>
      <c r="M582" s="1857"/>
      <c r="N582" s="1856"/>
      <c r="O582" s="1857"/>
      <c r="P582" s="706"/>
      <c r="Q582" s="706"/>
      <c r="R582" s="706"/>
      <c r="S582" s="706"/>
      <c r="T582" s="706"/>
      <c r="U582" s="706"/>
      <c r="V582" s="706"/>
      <c r="W582" s="706"/>
    </row>
    <row r="583" spans="1:23" hidden="1" x14ac:dyDescent="0.3">
      <c r="A583" s="706"/>
      <c r="B583" s="706"/>
      <c r="C583" s="621"/>
      <c r="D583" s="647" t="str">
        <f>D582&amp;"KW"</f>
        <v>KW</v>
      </c>
      <c r="E583" s="619" t="s">
        <v>155</v>
      </c>
      <c r="F583" s="1856"/>
      <c r="G583" s="1857"/>
      <c r="H583" s="1856"/>
      <c r="I583" s="1857"/>
      <c r="J583" s="1856"/>
      <c r="K583" s="1857"/>
      <c r="L583" s="1856"/>
      <c r="M583" s="1857"/>
      <c r="N583" s="1856"/>
      <c r="O583" s="1857"/>
      <c r="P583" s="706"/>
      <c r="Q583" s="706"/>
      <c r="R583" s="706"/>
      <c r="S583" s="706"/>
      <c r="T583" s="706"/>
      <c r="U583" s="706"/>
      <c r="V583" s="706"/>
      <c r="W583" s="706"/>
    </row>
    <row r="584" spans="1:23" hidden="1" x14ac:dyDescent="0.3">
      <c r="A584" s="706"/>
      <c r="B584" s="706"/>
      <c r="C584" s="621" t="s">
        <v>5349</v>
      </c>
      <c r="D584" s="754"/>
      <c r="E584" s="619" t="s">
        <v>154</v>
      </c>
      <c r="F584" s="1856"/>
      <c r="G584" s="1857"/>
      <c r="H584" s="1856"/>
      <c r="I584" s="1857"/>
      <c r="J584" s="1856"/>
      <c r="K584" s="1857"/>
      <c r="L584" s="1856"/>
      <c r="M584" s="1857"/>
      <c r="N584" s="1856"/>
      <c r="O584" s="1857"/>
      <c r="P584" s="706"/>
      <c r="Q584" s="706"/>
      <c r="R584" s="706"/>
      <c r="S584" s="706"/>
      <c r="T584" s="706"/>
      <c r="U584" s="706"/>
      <c r="V584" s="706"/>
      <c r="W584" s="706"/>
    </row>
    <row r="585" spans="1:23" hidden="1" x14ac:dyDescent="0.3">
      <c r="A585" s="706"/>
      <c r="B585" s="706"/>
      <c r="C585" s="621"/>
      <c r="D585" s="647" t="str">
        <f>D584&amp;"KW"</f>
        <v>KW</v>
      </c>
      <c r="E585" s="619" t="s">
        <v>155</v>
      </c>
      <c r="F585" s="1856"/>
      <c r="G585" s="1857"/>
      <c r="H585" s="1856"/>
      <c r="I585" s="1857"/>
      <c r="J585" s="1856"/>
      <c r="K585" s="1857"/>
      <c r="L585" s="1856"/>
      <c r="M585" s="1857"/>
      <c r="N585" s="1856"/>
      <c r="O585" s="1857"/>
      <c r="P585" s="706"/>
      <c r="Q585" s="706"/>
      <c r="R585" s="706"/>
      <c r="S585" s="706"/>
      <c r="T585" s="706"/>
      <c r="U585" s="706"/>
      <c r="V585" s="706"/>
      <c r="W585" s="706"/>
    </row>
    <row r="586" spans="1:23" hidden="1" x14ac:dyDescent="0.3">
      <c r="A586" s="706"/>
      <c r="B586" s="706"/>
      <c r="C586" s="621" t="s">
        <v>5350</v>
      </c>
      <c r="D586" s="754"/>
      <c r="E586" s="619" t="s">
        <v>154</v>
      </c>
      <c r="F586" s="1856"/>
      <c r="G586" s="1857"/>
      <c r="H586" s="1856"/>
      <c r="I586" s="1857"/>
      <c r="J586" s="1856"/>
      <c r="K586" s="1857"/>
      <c r="L586" s="1856"/>
      <c r="M586" s="1857"/>
      <c r="N586" s="1856"/>
      <c r="O586" s="1857"/>
      <c r="P586" s="706"/>
      <c r="Q586" s="706"/>
      <c r="R586" s="706"/>
      <c r="S586" s="706"/>
      <c r="T586" s="706"/>
      <c r="U586" s="706"/>
      <c r="V586" s="706"/>
      <c r="W586" s="706"/>
    </row>
    <row r="587" spans="1:23" hidden="1" x14ac:dyDescent="0.3">
      <c r="A587" s="706"/>
      <c r="B587" s="706"/>
      <c r="C587" s="621"/>
      <c r="D587" s="647" t="str">
        <f>D586&amp;"KW"</f>
        <v>KW</v>
      </c>
      <c r="E587" s="619" t="s">
        <v>155</v>
      </c>
      <c r="F587" s="1856"/>
      <c r="G587" s="1857"/>
      <c r="H587" s="1856"/>
      <c r="I587" s="1857"/>
      <c r="J587" s="1856"/>
      <c r="K587" s="1857"/>
      <c r="L587" s="1856"/>
      <c r="M587" s="1857"/>
      <c r="N587" s="1856"/>
      <c r="O587" s="1857"/>
      <c r="P587" s="706"/>
      <c r="Q587" s="706"/>
      <c r="R587" s="706"/>
      <c r="S587" s="706"/>
      <c r="T587" s="706"/>
      <c r="U587" s="706"/>
      <c r="V587" s="706"/>
      <c r="W587" s="706"/>
    </row>
    <row r="588" spans="1:23" hidden="1" x14ac:dyDescent="0.3">
      <c r="A588" s="706"/>
      <c r="B588" s="706"/>
      <c r="C588" s="621" t="s">
        <v>5351</v>
      </c>
      <c r="D588" s="754"/>
      <c r="E588" s="619" t="s">
        <v>154</v>
      </c>
      <c r="F588" s="1856"/>
      <c r="G588" s="1857"/>
      <c r="H588" s="1856"/>
      <c r="I588" s="1857"/>
      <c r="J588" s="1856"/>
      <c r="K588" s="1857"/>
      <c r="L588" s="1856"/>
      <c r="M588" s="1857"/>
      <c r="N588" s="1856"/>
      <c r="O588" s="1857"/>
      <c r="P588" s="706"/>
      <c r="Q588" s="706"/>
      <c r="R588" s="706"/>
      <c r="S588" s="706"/>
      <c r="T588" s="706"/>
      <c r="U588" s="706"/>
      <c r="V588" s="706"/>
      <c r="W588" s="706"/>
    </row>
    <row r="589" spans="1:23" hidden="1" x14ac:dyDescent="0.3">
      <c r="A589" s="706"/>
      <c r="B589" s="706"/>
      <c r="C589" s="621"/>
      <c r="D589" s="647" t="str">
        <f>D588&amp;"KW"</f>
        <v>KW</v>
      </c>
      <c r="E589" s="619" t="s">
        <v>155</v>
      </c>
      <c r="F589" s="1856"/>
      <c r="G589" s="1857"/>
      <c r="H589" s="1856"/>
      <c r="I589" s="1857"/>
      <c r="J589" s="1856"/>
      <c r="K589" s="1857"/>
      <c r="L589" s="1856"/>
      <c r="M589" s="1857"/>
      <c r="N589" s="1856"/>
      <c r="O589" s="1857"/>
      <c r="P589" s="706"/>
      <c r="Q589" s="706"/>
      <c r="R589" s="706"/>
      <c r="S589" s="706"/>
      <c r="T589" s="706"/>
      <c r="U589" s="706"/>
      <c r="V589" s="706"/>
      <c r="W589" s="706"/>
    </row>
    <row r="590" spans="1:23" hidden="1" x14ac:dyDescent="0.3">
      <c r="A590" s="706"/>
      <c r="B590" s="706"/>
      <c r="C590" s="621" t="s">
        <v>5352</v>
      </c>
      <c r="D590" s="754"/>
      <c r="E590" s="619" t="s">
        <v>154</v>
      </c>
      <c r="F590" s="1856"/>
      <c r="G590" s="1857"/>
      <c r="H590" s="1856"/>
      <c r="I590" s="1857"/>
      <c r="J590" s="1856"/>
      <c r="K590" s="1857"/>
      <c r="L590" s="1856"/>
      <c r="M590" s="1857"/>
      <c r="N590" s="1856"/>
      <c r="O590" s="1857"/>
      <c r="P590" s="706"/>
      <c r="Q590" s="706"/>
      <c r="R590" s="706"/>
      <c r="S590" s="706"/>
      <c r="T590" s="706"/>
      <c r="U590" s="706"/>
      <c r="V590" s="706"/>
      <c r="W590" s="706"/>
    </row>
    <row r="591" spans="1:23" hidden="1" x14ac:dyDescent="0.3">
      <c r="A591" s="706"/>
      <c r="B591" s="706"/>
      <c r="C591" s="621"/>
      <c r="D591" s="647" t="str">
        <f>D590&amp;"KW"</f>
        <v>KW</v>
      </c>
      <c r="E591" s="619" t="s">
        <v>155</v>
      </c>
      <c r="F591" s="1856"/>
      <c r="G591" s="1857"/>
      <c r="H591" s="1856"/>
      <c r="I591" s="1857"/>
      <c r="J591" s="1856"/>
      <c r="K591" s="1857"/>
      <c r="L591" s="1856"/>
      <c r="M591" s="1857"/>
      <c r="N591" s="1856"/>
      <c r="O591" s="1857"/>
      <c r="P591" s="706"/>
      <c r="Q591" s="706"/>
      <c r="R591" s="706"/>
      <c r="S591" s="706"/>
      <c r="T591" s="706"/>
      <c r="U591" s="706"/>
      <c r="V591" s="706"/>
      <c r="W591" s="706"/>
    </row>
    <row r="592" spans="1:23" hidden="1" x14ac:dyDescent="0.3">
      <c r="A592" s="706"/>
      <c r="B592" s="706"/>
      <c r="C592" s="621" t="s">
        <v>5353</v>
      </c>
      <c r="D592" s="754"/>
      <c r="E592" s="619" t="s">
        <v>154</v>
      </c>
      <c r="F592" s="1856"/>
      <c r="G592" s="1857"/>
      <c r="H592" s="1856"/>
      <c r="I592" s="1857"/>
      <c r="J592" s="1856"/>
      <c r="K592" s="1857"/>
      <c r="L592" s="1856"/>
      <c r="M592" s="1857"/>
      <c r="N592" s="1856"/>
      <c r="O592" s="1857"/>
      <c r="P592" s="706"/>
      <c r="Q592" s="706"/>
      <c r="R592" s="706"/>
      <c r="S592" s="706"/>
      <c r="T592" s="706"/>
      <c r="U592" s="706"/>
      <c r="V592" s="706"/>
      <c r="W592" s="706"/>
    </row>
    <row r="593" spans="1:23" hidden="1" x14ac:dyDescent="0.3">
      <c r="A593" s="706"/>
      <c r="B593" s="706"/>
      <c r="C593" s="621"/>
      <c r="D593" s="647" t="str">
        <f>D592&amp;"KW"</f>
        <v>KW</v>
      </c>
      <c r="E593" s="619" t="s">
        <v>155</v>
      </c>
      <c r="F593" s="1856"/>
      <c r="G593" s="1857"/>
      <c r="H593" s="1856"/>
      <c r="I593" s="1857"/>
      <c r="J593" s="1856"/>
      <c r="K593" s="1857"/>
      <c r="L593" s="1856"/>
      <c r="M593" s="1857"/>
      <c r="N593" s="1856"/>
      <c r="O593" s="1857"/>
      <c r="P593" s="706"/>
      <c r="Q593" s="706"/>
      <c r="R593" s="706"/>
      <c r="S593" s="706"/>
      <c r="T593" s="706"/>
      <c r="U593" s="706"/>
      <c r="V593" s="706"/>
      <c r="W593" s="706"/>
    </row>
    <row r="594" spans="1:23" hidden="1" x14ac:dyDescent="0.3">
      <c r="A594" s="706"/>
      <c r="B594" s="706"/>
      <c r="C594" s="621" t="s">
        <v>5354</v>
      </c>
      <c r="D594" s="754"/>
      <c r="E594" s="619" t="s">
        <v>154</v>
      </c>
      <c r="F594" s="1856"/>
      <c r="G594" s="1857"/>
      <c r="H594" s="1856"/>
      <c r="I594" s="1857"/>
      <c r="J594" s="1856"/>
      <c r="K594" s="1857"/>
      <c r="L594" s="1856"/>
      <c r="M594" s="1857"/>
      <c r="N594" s="1856"/>
      <c r="O594" s="1857"/>
      <c r="P594" s="706"/>
      <c r="Q594" s="706"/>
      <c r="R594" s="706"/>
      <c r="S594" s="706"/>
      <c r="T594" s="706"/>
      <c r="U594" s="706"/>
      <c r="V594" s="706"/>
      <c r="W594" s="706"/>
    </row>
    <row r="595" spans="1:23" hidden="1" x14ac:dyDescent="0.3">
      <c r="A595" s="706"/>
      <c r="B595" s="706"/>
      <c r="C595" s="621"/>
      <c r="D595" s="647" t="str">
        <f>D594&amp;"KW"</f>
        <v>KW</v>
      </c>
      <c r="E595" s="619" t="s">
        <v>155</v>
      </c>
      <c r="F595" s="1856"/>
      <c r="G595" s="1857"/>
      <c r="H595" s="1856"/>
      <c r="I595" s="1857"/>
      <c r="J595" s="1856"/>
      <c r="K595" s="1857"/>
      <c r="L595" s="1856"/>
      <c r="M595" s="1857"/>
      <c r="N595" s="1856"/>
      <c r="O595" s="1857"/>
      <c r="P595" s="706"/>
      <c r="Q595" s="706"/>
      <c r="R595" s="706"/>
      <c r="S595" s="706"/>
      <c r="T595" s="706"/>
      <c r="U595" s="706"/>
      <c r="V595" s="706"/>
      <c r="W595" s="706"/>
    </row>
    <row r="596" spans="1:23" hidden="1" x14ac:dyDescent="0.3">
      <c r="A596" s="706"/>
      <c r="B596" s="706"/>
      <c r="C596" s="621" t="s">
        <v>5355</v>
      </c>
      <c r="D596" s="754"/>
      <c r="E596" s="619" t="s">
        <v>154</v>
      </c>
      <c r="F596" s="1856"/>
      <c r="G596" s="1857"/>
      <c r="H596" s="1856"/>
      <c r="I596" s="1857"/>
      <c r="J596" s="1856"/>
      <c r="K596" s="1857"/>
      <c r="L596" s="1856"/>
      <c r="M596" s="1857"/>
      <c r="N596" s="1856"/>
      <c r="O596" s="1857"/>
      <c r="P596" s="706"/>
      <c r="Q596" s="706"/>
      <c r="R596" s="706"/>
      <c r="S596" s="706"/>
      <c r="T596" s="706"/>
      <c r="U596" s="706"/>
      <c r="V596" s="706"/>
      <c r="W596" s="706"/>
    </row>
    <row r="597" spans="1:23" hidden="1" x14ac:dyDescent="0.3">
      <c r="A597" s="706"/>
      <c r="B597" s="706"/>
      <c r="C597" s="621"/>
      <c r="D597" s="647" t="str">
        <f>D596&amp;"KW"</f>
        <v>KW</v>
      </c>
      <c r="E597" s="619" t="s">
        <v>155</v>
      </c>
      <c r="F597" s="1856"/>
      <c r="G597" s="1857"/>
      <c r="H597" s="1856"/>
      <c r="I597" s="1857"/>
      <c r="J597" s="1856"/>
      <c r="K597" s="1857"/>
      <c r="L597" s="1856"/>
      <c r="M597" s="1857"/>
      <c r="N597" s="1856"/>
      <c r="O597" s="1857"/>
      <c r="P597" s="706"/>
      <c r="Q597" s="706"/>
      <c r="R597" s="706"/>
      <c r="S597" s="706"/>
      <c r="T597" s="706"/>
      <c r="U597" s="706"/>
      <c r="V597" s="706"/>
      <c r="W597" s="706"/>
    </row>
    <row r="598" spans="1:23" hidden="1" x14ac:dyDescent="0.3">
      <c r="A598" s="706"/>
      <c r="B598" s="706"/>
      <c r="C598" s="621" t="s">
        <v>5356</v>
      </c>
      <c r="D598" s="754"/>
      <c r="E598" s="619" t="s">
        <v>154</v>
      </c>
      <c r="F598" s="1856"/>
      <c r="G598" s="1857"/>
      <c r="H598" s="1856"/>
      <c r="I598" s="1857"/>
      <c r="J598" s="1856"/>
      <c r="K598" s="1857"/>
      <c r="L598" s="1856"/>
      <c r="M598" s="1857"/>
      <c r="N598" s="1856"/>
      <c r="O598" s="1857"/>
      <c r="P598" s="706"/>
      <c r="Q598" s="706"/>
      <c r="R598" s="706"/>
      <c r="S598" s="706"/>
      <c r="T598" s="706"/>
      <c r="U598" s="706"/>
      <c r="V598" s="706"/>
      <c r="W598" s="706"/>
    </row>
    <row r="599" spans="1:23" hidden="1" x14ac:dyDescent="0.3">
      <c r="A599" s="706"/>
      <c r="B599" s="706"/>
      <c r="C599" s="621"/>
      <c r="D599" s="647" t="str">
        <f>D598&amp;"KW"</f>
        <v>KW</v>
      </c>
      <c r="E599" s="619" t="s">
        <v>155</v>
      </c>
      <c r="F599" s="1856"/>
      <c r="G599" s="1857"/>
      <c r="H599" s="1856"/>
      <c r="I599" s="1857"/>
      <c r="J599" s="1856"/>
      <c r="K599" s="1857"/>
      <c r="L599" s="1856"/>
      <c r="M599" s="1857"/>
      <c r="N599" s="1856"/>
      <c r="O599" s="1857"/>
      <c r="P599" s="706"/>
      <c r="Q599" s="706"/>
      <c r="R599" s="706"/>
      <c r="S599" s="706"/>
      <c r="T599" s="706"/>
      <c r="U599" s="706"/>
      <c r="V599" s="706"/>
      <c r="W599" s="706"/>
    </row>
    <row r="600" spans="1:23" hidden="1" x14ac:dyDescent="0.3">
      <c r="A600" s="706"/>
      <c r="B600" s="706"/>
      <c r="C600" s="621" t="s">
        <v>5357</v>
      </c>
      <c r="D600" s="754"/>
      <c r="E600" s="619" t="s">
        <v>154</v>
      </c>
      <c r="F600" s="1856"/>
      <c r="G600" s="1857"/>
      <c r="H600" s="1856"/>
      <c r="I600" s="1857"/>
      <c r="J600" s="1856"/>
      <c r="K600" s="1857"/>
      <c r="L600" s="1856"/>
      <c r="M600" s="1857"/>
      <c r="N600" s="1856"/>
      <c r="O600" s="1857"/>
      <c r="P600" s="706"/>
      <c r="Q600" s="706"/>
      <c r="R600" s="706"/>
      <c r="S600" s="706"/>
      <c r="T600" s="706"/>
      <c r="U600" s="706"/>
      <c r="V600" s="706"/>
      <c r="W600" s="706"/>
    </row>
    <row r="601" spans="1:23" hidden="1" x14ac:dyDescent="0.3">
      <c r="A601" s="706"/>
      <c r="B601" s="706"/>
      <c r="C601" s="621"/>
      <c r="D601" s="647" t="str">
        <f>D600&amp;"KW"</f>
        <v>KW</v>
      </c>
      <c r="E601" s="619" t="s">
        <v>155</v>
      </c>
      <c r="F601" s="1856"/>
      <c r="G601" s="1857"/>
      <c r="H601" s="1856"/>
      <c r="I601" s="1857"/>
      <c r="J601" s="1856"/>
      <c r="K601" s="1857"/>
      <c r="L601" s="1856"/>
      <c r="M601" s="1857"/>
      <c r="N601" s="1856"/>
      <c r="O601" s="1857"/>
      <c r="P601" s="706"/>
      <c r="Q601" s="706"/>
      <c r="R601" s="706"/>
      <c r="S601" s="706"/>
      <c r="T601" s="706"/>
      <c r="U601" s="706"/>
      <c r="V601" s="706"/>
      <c r="W601" s="706"/>
    </row>
    <row r="602" spans="1:23" hidden="1" x14ac:dyDescent="0.3">
      <c r="A602" s="706"/>
      <c r="B602" s="706"/>
      <c r="C602" s="621" t="s">
        <v>5358</v>
      </c>
      <c r="D602" s="754"/>
      <c r="E602" s="619" t="s">
        <v>154</v>
      </c>
      <c r="F602" s="1856"/>
      <c r="G602" s="1857"/>
      <c r="H602" s="1856"/>
      <c r="I602" s="1857"/>
      <c r="J602" s="1856"/>
      <c r="K602" s="1857"/>
      <c r="L602" s="1856"/>
      <c r="M602" s="1857"/>
      <c r="N602" s="1856"/>
      <c r="O602" s="1857"/>
      <c r="P602" s="706"/>
      <c r="Q602" s="706"/>
      <c r="R602" s="706"/>
      <c r="S602" s="706"/>
      <c r="T602" s="706"/>
      <c r="U602" s="706"/>
      <c r="V602" s="706"/>
      <c r="W602" s="706"/>
    </row>
    <row r="603" spans="1:23" hidden="1" x14ac:dyDescent="0.3">
      <c r="A603" s="706"/>
      <c r="B603" s="706"/>
      <c r="C603" s="621"/>
      <c r="D603" s="647" t="str">
        <f>D602&amp;"KW"</f>
        <v>KW</v>
      </c>
      <c r="E603" s="619" t="s">
        <v>155</v>
      </c>
      <c r="F603" s="1856"/>
      <c r="G603" s="1857"/>
      <c r="H603" s="1856"/>
      <c r="I603" s="1857"/>
      <c r="J603" s="1856"/>
      <c r="K603" s="1857"/>
      <c r="L603" s="1856"/>
      <c r="M603" s="1857"/>
      <c r="N603" s="1856"/>
      <c r="O603" s="1857"/>
      <c r="P603" s="706"/>
      <c r="Q603" s="706"/>
      <c r="R603" s="706"/>
      <c r="S603" s="706"/>
      <c r="T603" s="706"/>
      <c r="U603" s="706"/>
      <c r="V603" s="706"/>
      <c r="W603" s="706"/>
    </row>
    <row r="604" spans="1:23" hidden="1" x14ac:dyDescent="0.3">
      <c r="A604" s="706"/>
      <c r="B604" s="706"/>
      <c r="C604" s="621" t="s">
        <v>5359</v>
      </c>
      <c r="D604" s="754"/>
      <c r="E604" s="619" t="s">
        <v>154</v>
      </c>
      <c r="F604" s="1856"/>
      <c r="G604" s="1857"/>
      <c r="H604" s="1856"/>
      <c r="I604" s="1857"/>
      <c r="J604" s="1856"/>
      <c r="K604" s="1857"/>
      <c r="L604" s="1856"/>
      <c r="M604" s="1857"/>
      <c r="N604" s="1856"/>
      <c r="O604" s="1857"/>
      <c r="P604" s="706"/>
      <c r="Q604" s="706"/>
      <c r="R604" s="706"/>
      <c r="S604" s="706"/>
      <c r="T604" s="706"/>
      <c r="U604" s="706"/>
      <c r="V604" s="706"/>
      <c r="W604" s="706"/>
    </row>
    <row r="605" spans="1:23" hidden="1" x14ac:dyDescent="0.3">
      <c r="A605" s="706"/>
      <c r="B605" s="706"/>
      <c r="C605" s="621"/>
      <c r="D605" s="647" t="str">
        <f>D604&amp;"KW"</f>
        <v>KW</v>
      </c>
      <c r="E605" s="619" t="s">
        <v>155</v>
      </c>
      <c r="F605" s="1856"/>
      <c r="G605" s="1857"/>
      <c r="H605" s="1856"/>
      <c r="I605" s="1857"/>
      <c r="J605" s="1856"/>
      <c r="K605" s="1857"/>
      <c r="L605" s="1856"/>
      <c r="M605" s="1857"/>
      <c r="N605" s="1856"/>
      <c r="O605" s="1857"/>
      <c r="P605" s="706"/>
      <c r="Q605" s="706"/>
      <c r="R605" s="706"/>
      <c r="S605" s="706"/>
      <c r="T605" s="706"/>
      <c r="U605" s="706"/>
      <c r="V605" s="706"/>
      <c r="W605" s="706"/>
    </row>
    <row r="606" spans="1:23" hidden="1" x14ac:dyDescent="0.3">
      <c r="A606" s="706"/>
      <c r="B606" s="706"/>
      <c r="C606" s="621" t="s">
        <v>5360</v>
      </c>
      <c r="D606" s="754"/>
      <c r="E606" s="619" t="s">
        <v>154</v>
      </c>
      <c r="F606" s="1856"/>
      <c r="G606" s="1857"/>
      <c r="H606" s="1856"/>
      <c r="I606" s="1857"/>
      <c r="J606" s="1856"/>
      <c r="K606" s="1857"/>
      <c r="L606" s="1856"/>
      <c r="M606" s="1857"/>
      <c r="N606" s="1856"/>
      <c r="O606" s="1857"/>
      <c r="P606" s="706"/>
      <c r="Q606" s="706"/>
      <c r="R606" s="706"/>
      <c r="S606" s="706"/>
      <c r="T606" s="706"/>
      <c r="U606" s="706"/>
      <c r="V606" s="706"/>
      <c r="W606" s="706"/>
    </row>
    <row r="607" spans="1:23" hidden="1" x14ac:dyDescent="0.3">
      <c r="A607" s="706"/>
      <c r="B607" s="706"/>
      <c r="C607" s="621"/>
      <c r="D607" s="647" t="str">
        <f>D606&amp;"KW"</f>
        <v>KW</v>
      </c>
      <c r="E607" s="619" t="s">
        <v>155</v>
      </c>
      <c r="F607" s="1856"/>
      <c r="G607" s="1857"/>
      <c r="H607" s="1856"/>
      <c r="I607" s="1857"/>
      <c r="J607" s="1856"/>
      <c r="K607" s="1857"/>
      <c r="L607" s="1856"/>
      <c r="M607" s="1857"/>
      <c r="N607" s="1856"/>
      <c r="O607" s="1857"/>
      <c r="P607" s="706"/>
      <c r="Q607" s="706"/>
      <c r="R607" s="706"/>
      <c r="S607" s="706"/>
      <c r="T607" s="706"/>
      <c r="U607" s="706"/>
      <c r="V607" s="706"/>
      <c r="W607" s="706"/>
    </row>
    <row r="608" spans="1:23" hidden="1" x14ac:dyDescent="0.3">
      <c r="A608" s="706"/>
      <c r="B608" s="706"/>
      <c r="C608" s="621" t="s">
        <v>5361</v>
      </c>
      <c r="D608" s="754"/>
      <c r="E608" s="619" t="s">
        <v>154</v>
      </c>
      <c r="F608" s="1856"/>
      <c r="G608" s="1857"/>
      <c r="H608" s="1856"/>
      <c r="I608" s="1857"/>
      <c r="J608" s="1856"/>
      <c r="K608" s="1857"/>
      <c r="L608" s="1856"/>
      <c r="M608" s="1857"/>
      <c r="N608" s="1856"/>
      <c r="O608" s="1857"/>
      <c r="P608" s="706"/>
      <c r="Q608" s="706"/>
      <c r="R608" s="706"/>
      <c r="S608" s="706"/>
      <c r="T608" s="706"/>
      <c r="U608" s="706"/>
      <c r="V608" s="706"/>
      <c r="W608" s="706"/>
    </row>
    <row r="609" spans="1:23" hidden="1" x14ac:dyDescent="0.3">
      <c r="A609" s="706"/>
      <c r="B609" s="706"/>
      <c r="C609" s="621"/>
      <c r="D609" s="647" t="str">
        <f>D608&amp;"KW"</f>
        <v>KW</v>
      </c>
      <c r="E609" s="619" t="s">
        <v>155</v>
      </c>
      <c r="F609" s="1856"/>
      <c r="G609" s="1857"/>
      <c r="H609" s="1856"/>
      <c r="I609" s="1857"/>
      <c r="J609" s="1856"/>
      <c r="K609" s="1857"/>
      <c r="L609" s="1856"/>
      <c r="M609" s="1857"/>
      <c r="N609" s="1856"/>
      <c r="O609" s="1857"/>
      <c r="P609" s="706"/>
      <c r="Q609" s="706"/>
      <c r="R609" s="706"/>
      <c r="S609" s="706"/>
      <c r="T609" s="706"/>
      <c r="U609" s="706"/>
      <c r="V609" s="706"/>
      <c r="W609" s="706"/>
    </row>
    <row r="610" spans="1:23" hidden="1" x14ac:dyDescent="0.3">
      <c r="A610" s="706"/>
      <c r="B610" s="706"/>
      <c r="C610" s="621" t="s">
        <v>5362</v>
      </c>
      <c r="D610" s="754"/>
      <c r="E610" s="619" t="s">
        <v>154</v>
      </c>
      <c r="F610" s="1856"/>
      <c r="G610" s="1857"/>
      <c r="H610" s="1856"/>
      <c r="I610" s="1857"/>
      <c r="J610" s="1856"/>
      <c r="K610" s="1857"/>
      <c r="L610" s="1856"/>
      <c r="M610" s="1857"/>
      <c r="N610" s="1856"/>
      <c r="O610" s="1857"/>
      <c r="P610" s="706"/>
      <c r="Q610" s="706"/>
      <c r="R610" s="706"/>
      <c r="S610" s="706"/>
      <c r="T610" s="706"/>
      <c r="U610" s="706"/>
      <c r="V610" s="706"/>
      <c r="W610" s="706"/>
    </row>
    <row r="611" spans="1:23" hidden="1" x14ac:dyDescent="0.3">
      <c r="A611" s="706"/>
      <c r="B611" s="706"/>
      <c r="C611" s="621"/>
      <c r="D611" s="647" t="str">
        <f>D610&amp;"KW"</f>
        <v>KW</v>
      </c>
      <c r="E611" s="619" t="s">
        <v>155</v>
      </c>
      <c r="F611" s="1856"/>
      <c r="G611" s="1857"/>
      <c r="H611" s="1856"/>
      <c r="I611" s="1857"/>
      <c r="J611" s="1856"/>
      <c r="K611" s="1857"/>
      <c r="L611" s="1856"/>
      <c r="M611" s="1857"/>
      <c r="N611" s="1856"/>
      <c r="O611" s="1857"/>
      <c r="P611" s="706"/>
      <c r="Q611" s="706"/>
      <c r="R611" s="706"/>
      <c r="S611" s="706"/>
      <c r="T611" s="706"/>
      <c r="U611" s="706"/>
      <c r="V611" s="706"/>
      <c r="W611" s="706"/>
    </row>
    <row r="612" spans="1:23" hidden="1" x14ac:dyDescent="0.3">
      <c r="A612" s="706"/>
      <c r="B612" s="706"/>
      <c r="C612" s="621" t="s">
        <v>5363</v>
      </c>
      <c r="D612" s="754"/>
      <c r="E612" s="619" t="s">
        <v>154</v>
      </c>
      <c r="F612" s="1856"/>
      <c r="G612" s="1857"/>
      <c r="H612" s="1856"/>
      <c r="I612" s="1857"/>
      <c r="J612" s="1856"/>
      <c r="K612" s="1857"/>
      <c r="L612" s="1856"/>
      <c r="M612" s="1857"/>
      <c r="N612" s="1856"/>
      <c r="O612" s="1857"/>
      <c r="P612" s="706"/>
      <c r="Q612" s="706"/>
      <c r="R612" s="706"/>
      <c r="S612" s="706"/>
      <c r="T612" s="706"/>
      <c r="U612" s="706"/>
      <c r="V612" s="706"/>
      <c r="W612" s="706"/>
    </row>
    <row r="613" spans="1:23" hidden="1" x14ac:dyDescent="0.3">
      <c r="A613" s="706"/>
      <c r="B613" s="706"/>
      <c r="C613" s="621"/>
      <c r="D613" s="647" t="str">
        <f>D612&amp;"KW"</f>
        <v>KW</v>
      </c>
      <c r="E613" s="619" t="s">
        <v>155</v>
      </c>
      <c r="F613" s="1856"/>
      <c r="G613" s="1857"/>
      <c r="H613" s="1856"/>
      <c r="I613" s="1857"/>
      <c r="J613" s="1856"/>
      <c r="K613" s="1857"/>
      <c r="L613" s="1856"/>
      <c r="M613" s="1857"/>
      <c r="N613" s="1856"/>
      <c r="O613" s="1857"/>
      <c r="P613" s="706"/>
      <c r="Q613" s="706"/>
      <c r="R613" s="706"/>
      <c r="S613" s="706"/>
      <c r="T613" s="706"/>
      <c r="U613" s="706"/>
      <c r="V613" s="706"/>
      <c r="W613" s="706"/>
    </row>
    <row r="614" spans="1:23" hidden="1" x14ac:dyDescent="0.3">
      <c r="A614" s="706"/>
      <c r="B614" s="706"/>
      <c r="C614" s="621" t="s">
        <v>5364</v>
      </c>
      <c r="D614" s="754"/>
      <c r="E614" s="619" t="s">
        <v>154</v>
      </c>
      <c r="F614" s="1856"/>
      <c r="G614" s="1857"/>
      <c r="H614" s="1856"/>
      <c r="I614" s="1857"/>
      <c r="J614" s="1856"/>
      <c r="K614" s="1857"/>
      <c r="L614" s="1856"/>
      <c r="M614" s="1857"/>
      <c r="N614" s="1856"/>
      <c r="O614" s="1857"/>
      <c r="P614" s="706"/>
      <c r="Q614" s="706"/>
      <c r="R614" s="706"/>
      <c r="S614" s="706"/>
      <c r="T614" s="706"/>
      <c r="U614" s="706"/>
      <c r="V614" s="706"/>
      <c r="W614" s="706"/>
    </row>
    <row r="615" spans="1:23" hidden="1" x14ac:dyDescent="0.3">
      <c r="A615" s="706"/>
      <c r="B615" s="706"/>
      <c r="C615" s="621"/>
      <c r="D615" s="647" t="str">
        <f>D614&amp;"KW"</f>
        <v>KW</v>
      </c>
      <c r="E615" s="619" t="s">
        <v>155</v>
      </c>
      <c r="F615" s="1856"/>
      <c r="G615" s="1857"/>
      <c r="H615" s="1856"/>
      <c r="I615" s="1857"/>
      <c r="J615" s="1856"/>
      <c r="K615" s="1857"/>
      <c r="L615" s="1856"/>
      <c r="M615" s="1857"/>
      <c r="N615" s="1856"/>
      <c r="O615" s="1857"/>
      <c r="P615" s="706"/>
      <c r="Q615" s="706"/>
      <c r="R615" s="706"/>
      <c r="S615" s="706"/>
      <c r="T615" s="706"/>
      <c r="U615" s="706"/>
      <c r="V615" s="706"/>
      <c r="W615" s="706"/>
    </row>
    <row r="616" spans="1:23" hidden="1" x14ac:dyDescent="0.3">
      <c r="A616" s="706"/>
      <c r="B616" s="706"/>
      <c r="C616" s="621" t="s">
        <v>5365</v>
      </c>
      <c r="D616" s="754"/>
      <c r="E616" s="619" t="s">
        <v>154</v>
      </c>
      <c r="F616" s="1856"/>
      <c r="G616" s="1857"/>
      <c r="H616" s="1856"/>
      <c r="I616" s="1857"/>
      <c r="J616" s="1856"/>
      <c r="K616" s="1857"/>
      <c r="L616" s="1856"/>
      <c r="M616" s="1857"/>
      <c r="N616" s="1856"/>
      <c r="O616" s="1857"/>
      <c r="P616" s="706"/>
      <c r="Q616" s="706"/>
      <c r="R616" s="706"/>
      <c r="S616" s="706"/>
      <c r="T616" s="706"/>
      <c r="U616" s="706"/>
      <c r="V616" s="706"/>
      <c r="W616" s="706"/>
    </row>
    <row r="617" spans="1:23" hidden="1" x14ac:dyDescent="0.3">
      <c r="A617" s="706"/>
      <c r="B617" s="706"/>
      <c r="C617" s="621"/>
      <c r="D617" s="647" t="str">
        <f>D616&amp;"KW"</f>
        <v>KW</v>
      </c>
      <c r="E617" s="619" t="s">
        <v>155</v>
      </c>
      <c r="F617" s="1856"/>
      <c r="G617" s="1857"/>
      <c r="H617" s="1856"/>
      <c r="I617" s="1857"/>
      <c r="J617" s="1856"/>
      <c r="K617" s="1857"/>
      <c r="L617" s="1856"/>
      <c r="M617" s="1857"/>
      <c r="N617" s="1856"/>
      <c r="O617" s="1857"/>
      <c r="P617" s="706"/>
      <c r="Q617" s="706"/>
      <c r="R617" s="706"/>
      <c r="S617" s="706"/>
      <c r="T617" s="706"/>
      <c r="U617" s="706"/>
      <c r="V617" s="706"/>
      <c r="W617" s="706"/>
    </row>
    <row r="618" spans="1:23" hidden="1" x14ac:dyDescent="0.3">
      <c r="A618" s="706"/>
      <c r="B618" s="706"/>
      <c r="C618" s="621" t="s">
        <v>5366</v>
      </c>
      <c r="D618" s="754"/>
      <c r="E618" s="619" t="s">
        <v>154</v>
      </c>
      <c r="F618" s="1856"/>
      <c r="G618" s="1857"/>
      <c r="H618" s="1856"/>
      <c r="I618" s="1857"/>
      <c r="J618" s="1856"/>
      <c r="K618" s="1857"/>
      <c r="L618" s="1856"/>
      <c r="M618" s="1857"/>
      <c r="N618" s="1856"/>
      <c r="O618" s="1857"/>
      <c r="P618" s="706"/>
      <c r="Q618" s="706"/>
      <c r="R618" s="706"/>
      <c r="S618" s="706"/>
      <c r="T618" s="706"/>
      <c r="U618" s="706"/>
      <c r="V618" s="706"/>
      <c r="W618" s="706"/>
    </row>
    <row r="619" spans="1:23" hidden="1" x14ac:dyDescent="0.3">
      <c r="A619" s="706"/>
      <c r="B619" s="706"/>
      <c r="C619" s="621"/>
      <c r="D619" s="647" t="str">
        <f>D618&amp;"KW"</f>
        <v>KW</v>
      </c>
      <c r="E619" s="619" t="s">
        <v>155</v>
      </c>
      <c r="F619" s="1856"/>
      <c r="G619" s="1857"/>
      <c r="H619" s="1856"/>
      <c r="I619" s="1857"/>
      <c r="J619" s="1856"/>
      <c r="K619" s="1857"/>
      <c r="L619" s="1856"/>
      <c r="M619" s="1857"/>
      <c r="N619" s="1856"/>
      <c r="O619" s="1857"/>
      <c r="P619" s="706"/>
      <c r="Q619" s="706"/>
      <c r="R619" s="706"/>
      <c r="S619" s="706"/>
      <c r="T619" s="706"/>
      <c r="U619" s="706"/>
      <c r="V619" s="706"/>
      <c r="W619" s="706"/>
    </row>
    <row r="620" spans="1:23" hidden="1" x14ac:dyDescent="0.3">
      <c r="A620" s="706"/>
      <c r="B620" s="706"/>
      <c r="C620" s="621" t="s">
        <v>5367</v>
      </c>
      <c r="D620" s="754"/>
      <c r="E620" s="619" t="s">
        <v>154</v>
      </c>
      <c r="F620" s="1856"/>
      <c r="G620" s="1857"/>
      <c r="H620" s="1856"/>
      <c r="I620" s="1857"/>
      <c r="J620" s="1856"/>
      <c r="K620" s="1857"/>
      <c r="L620" s="1856"/>
      <c r="M620" s="1857"/>
      <c r="N620" s="1856"/>
      <c r="O620" s="1857"/>
      <c r="P620" s="706"/>
      <c r="Q620" s="706"/>
      <c r="R620" s="706"/>
      <c r="S620" s="706"/>
      <c r="T620" s="706"/>
      <c r="U620" s="706"/>
      <c r="V620" s="706"/>
      <c r="W620" s="706"/>
    </row>
    <row r="621" spans="1:23" hidden="1" x14ac:dyDescent="0.3">
      <c r="A621" s="706"/>
      <c r="B621" s="706"/>
      <c r="C621" s="621"/>
      <c r="D621" s="647" t="str">
        <f>D620&amp;"KW"</f>
        <v>KW</v>
      </c>
      <c r="E621" s="619" t="s">
        <v>155</v>
      </c>
      <c r="F621" s="1856"/>
      <c r="G621" s="1857"/>
      <c r="H621" s="1856"/>
      <c r="I621" s="1857"/>
      <c r="J621" s="1856"/>
      <c r="K621" s="1857"/>
      <c r="L621" s="1856"/>
      <c r="M621" s="1857"/>
      <c r="N621" s="1856"/>
      <c r="O621" s="1857"/>
      <c r="P621" s="706"/>
      <c r="Q621" s="706"/>
      <c r="R621" s="706"/>
      <c r="S621" s="706"/>
      <c r="T621" s="706"/>
      <c r="U621" s="706"/>
      <c r="V621" s="706"/>
      <c r="W621" s="706"/>
    </row>
    <row r="622" spans="1:23" hidden="1" x14ac:dyDescent="0.3">
      <c r="A622" s="706"/>
      <c r="B622" s="706"/>
      <c r="C622" s="621" t="s">
        <v>5368</v>
      </c>
      <c r="D622" s="754"/>
      <c r="E622" s="619" t="s">
        <v>154</v>
      </c>
      <c r="F622" s="1856"/>
      <c r="G622" s="1857"/>
      <c r="H622" s="1856"/>
      <c r="I622" s="1857"/>
      <c r="J622" s="1856"/>
      <c r="K622" s="1857"/>
      <c r="L622" s="1856"/>
      <c r="M622" s="1857"/>
      <c r="N622" s="1856"/>
      <c r="O622" s="1857"/>
      <c r="P622" s="706"/>
      <c r="Q622" s="706"/>
      <c r="R622" s="706"/>
      <c r="S622" s="706"/>
      <c r="T622" s="706"/>
      <c r="U622" s="706"/>
      <c r="V622" s="706"/>
      <c r="W622" s="706"/>
    </row>
    <row r="623" spans="1:23" hidden="1" x14ac:dyDescent="0.3">
      <c r="A623" s="706"/>
      <c r="B623" s="706"/>
      <c r="C623" s="621"/>
      <c r="D623" s="647" t="str">
        <f>D622&amp;"KW"</f>
        <v>KW</v>
      </c>
      <c r="E623" s="619" t="s">
        <v>155</v>
      </c>
      <c r="F623" s="1856"/>
      <c r="G623" s="1857"/>
      <c r="H623" s="1856"/>
      <c r="I623" s="1857"/>
      <c r="J623" s="1856"/>
      <c r="K623" s="1857"/>
      <c r="L623" s="1856"/>
      <c r="M623" s="1857"/>
      <c r="N623" s="1856"/>
      <c r="O623" s="1857"/>
      <c r="P623" s="706"/>
      <c r="Q623" s="706"/>
      <c r="R623" s="706"/>
      <c r="S623" s="706"/>
      <c r="T623" s="706"/>
      <c r="U623" s="706"/>
      <c r="V623" s="706"/>
      <c r="W623" s="706"/>
    </row>
    <row r="624" spans="1:23" hidden="1" x14ac:dyDescent="0.3">
      <c r="A624" s="706"/>
      <c r="B624" s="706"/>
      <c r="C624" s="621" t="s">
        <v>5369</v>
      </c>
      <c r="D624" s="754"/>
      <c r="E624" s="619" t="s">
        <v>154</v>
      </c>
      <c r="F624" s="1856"/>
      <c r="G624" s="1857"/>
      <c r="H624" s="1856"/>
      <c r="I624" s="1857"/>
      <c r="J624" s="1856"/>
      <c r="K624" s="1857"/>
      <c r="L624" s="1856"/>
      <c r="M624" s="1857"/>
      <c r="N624" s="1856"/>
      <c r="O624" s="1857"/>
      <c r="P624" s="706"/>
      <c r="Q624" s="706"/>
      <c r="R624" s="706"/>
      <c r="S624" s="706"/>
      <c r="T624" s="706"/>
      <c r="U624" s="706"/>
      <c r="V624" s="706"/>
      <c r="W624" s="706"/>
    </row>
    <row r="625" spans="1:23" hidden="1" x14ac:dyDescent="0.3">
      <c r="A625" s="706"/>
      <c r="B625" s="706"/>
      <c r="C625" s="621"/>
      <c r="D625" s="647" t="str">
        <f>D624&amp;"KW"</f>
        <v>KW</v>
      </c>
      <c r="E625" s="619" t="s">
        <v>155</v>
      </c>
      <c r="F625" s="1856"/>
      <c r="G625" s="1857"/>
      <c r="H625" s="1856"/>
      <c r="I625" s="1857"/>
      <c r="J625" s="1856"/>
      <c r="K625" s="1857"/>
      <c r="L625" s="1856"/>
      <c r="M625" s="1857"/>
      <c r="N625" s="1856"/>
      <c r="O625" s="1857"/>
      <c r="P625" s="706"/>
      <c r="Q625" s="706"/>
      <c r="R625" s="706"/>
      <c r="S625" s="706"/>
      <c r="T625" s="706"/>
      <c r="U625" s="706"/>
      <c r="V625" s="706"/>
      <c r="W625" s="706"/>
    </row>
    <row r="626" spans="1:23" hidden="1" x14ac:dyDescent="0.3">
      <c r="A626" s="706"/>
      <c r="B626" s="706"/>
      <c r="C626" s="621" t="s">
        <v>5370</v>
      </c>
      <c r="D626" s="754"/>
      <c r="E626" s="619" t="s">
        <v>154</v>
      </c>
      <c r="F626" s="1856"/>
      <c r="G626" s="1857"/>
      <c r="H626" s="1856"/>
      <c r="I626" s="1857"/>
      <c r="J626" s="1856"/>
      <c r="K626" s="1857"/>
      <c r="L626" s="1856"/>
      <c r="M626" s="1857"/>
      <c r="N626" s="1856"/>
      <c r="O626" s="1857"/>
      <c r="P626" s="706"/>
      <c r="Q626" s="706"/>
      <c r="R626" s="706"/>
      <c r="S626" s="706"/>
      <c r="T626" s="706"/>
      <c r="U626" s="706"/>
      <c r="V626" s="706"/>
      <c r="W626" s="706"/>
    </row>
    <row r="627" spans="1:23" hidden="1" x14ac:dyDescent="0.3">
      <c r="A627" s="706"/>
      <c r="B627" s="706"/>
      <c r="C627" s="621"/>
      <c r="D627" s="647" t="str">
        <f>D626&amp;"KW"</f>
        <v>KW</v>
      </c>
      <c r="E627" s="619" t="s">
        <v>155</v>
      </c>
      <c r="F627" s="1856"/>
      <c r="G627" s="1857"/>
      <c r="H627" s="1856"/>
      <c r="I627" s="1857"/>
      <c r="J627" s="1856"/>
      <c r="K627" s="1857"/>
      <c r="L627" s="1856"/>
      <c r="M627" s="1857"/>
      <c r="N627" s="1856"/>
      <c r="O627" s="1857"/>
      <c r="P627" s="706"/>
      <c r="Q627" s="706"/>
      <c r="R627" s="706"/>
      <c r="S627" s="706"/>
      <c r="T627" s="706"/>
      <c r="U627" s="706"/>
      <c r="V627" s="706"/>
      <c r="W627" s="706"/>
    </row>
    <row r="628" spans="1:23" hidden="1" x14ac:dyDescent="0.3">
      <c r="A628" s="706"/>
      <c r="B628" s="706"/>
      <c r="C628" s="621" t="s">
        <v>5371</v>
      </c>
      <c r="D628" s="754"/>
      <c r="E628" s="619" t="s">
        <v>154</v>
      </c>
      <c r="F628" s="1856"/>
      <c r="G628" s="1857"/>
      <c r="H628" s="1856"/>
      <c r="I628" s="1857"/>
      <c r="J628" s="1856"/>
      <c r="K628" s="1857"/>
      <c r="L628" s="1856"/>
      <c r="M628" s="1857"/>
      <c r="N628" s="1856"/>
      <c r="O628" s="1857"/>
      <c r="P628" s="706"/>
      <c r="Q628" s="706"/>
      <c r="R628" s="706"/>
      <c r="S628" s="706"/>
      <c r="T628" s="706"/>
      <c r="U628" s="706"/>
      <c r="V628" s="706"/>
      <c r="W628" s="706"/>
    </row>
    <row r="629" spans="1:23" hidden="1" x14ac:dyDescent="0.3">
      <c r="A629" s="706"/>
      <c r="B629" s="706"/>
      <c r="C629" s="621"/>
      <c r="D629" s="647" t="str">
        <f>D628&amp;"KW"</f>
        <v>KW</v>
      </c>
      <c r="E629" s="619" t="s">
        <v>155</v>
      </c>
      <c r="F629" s="1856"/>
      <c r="G629" s="1857"/>
      <c r="H629" s="1856"/>
      <c r="I629" s="1857"/>
      <c r="J629" s="1856"/>
      <c r="K629" s="1857"/>
      <c r="L629" s="1856"/>
      <c r="M629" s="1857"/>
      <c r="N629" s="1856"/>
      <c r="O629" s="1857"/>
      <c r="P629" s="706"/>
      <c r="Q629" s="706"/>
      <c r="R629" s="706"/>
      <c r="S629" s="706"/>
      <c r="T629" s="706"/>
      <c r="U629" s="706"/>
      <c r="V629" s="706"/>
      <c r="W629" s="706"/>
    </row>
    <row r="630" spans="1:23" hidden="1" x14ac:dyDescent="0.3">
      <c r="A630" s="706"/>
      <c r="B630" s="706"/>
      <c r="C630" s="621" t="s">
        <v>5372</v>
      </c>
      <c r="D630" s="754"/>
      <c r="E630" s="619" t="s">
        <v>154</v>
      </c>
      <c r="F630" s="1856"/>
      <c r="G630" s="1857"/>
      <c r="H630" s="1856"/>
      <c r="I630" s="1857"/>
      <c r="J630" s="1856"/>
      <c r="K630" s="1857"/>
      <c r="L630" s="1856"/>
      <c r="M630" s="1857"/>
      <c r="N630" s="1856"/>
      <c r="O630" s="1857"/>
      <c r="P630" s="706"/>
      <c r="Q630" s="706"/>
      <c r="R630" s="706"/>
      <c r="S630" s="706"/>
      <c r="T630" s="706"/>
      <c r="U630" s="706"/>
      <c r="V630" s="706"/>
      <c r="W630" s="706"/>
    </row>
    <row r="631" spans="1:23" hidden="1" x14ac:dyDescent="0.3">
      <c r="A631" s="706"/>
      <c r="B631" s="706"/>
      <c r="C631" s="621"/>
      <c r="D631" s="647" t="str">
        <f>D630&amp;"KW"</f>
        <v>KW</v>
      </c>
      <c r="E631" s="619" t="s">
        <v>155</v>
      </c>
      <c r="F631" s="1856"/>
      <c r="G631" s="1857"/>
      <c r="H631" s="1856"/>
      <c r="I631" s="1857"/>
      <c r="J631" s="1856"/>
      <c r="K631" s="1857"/>
      <c r="L631" s="1856"/>
      <c r="M631" s="1857"/>
      <c r="N631" s="1856"/>
      <c r="O631" s="1857"/>
      <c r="P631" s="706"/>
      <c r="Q631" s="706"/>
      <c r="R631" s="706"/>
      <c r="S631" s="706"/>
      <c r="T631" s="706"/>
      <c r="U631" s="706"/>
      <c r="V631" s="706"/>
      <c r="W631" s="706"/>
    </row>
    <row r="632" spans="1:23" hidden="1" x14ac:dyDescent="0.3">
      <c r="A632" s="706"/>
      <c r="B632" s="706"/>
      <c r="C632" s="621" t="s">
        <v>5373</v>
      </c>
      <c r="D632" s="754"/>
      <c r="E632" s="619" t="s">
        <v>154</v>
      </c>
      <c r="F632" s="1856"/>
      <c r="G632" s="1857"/>
      <c r="H632" s="1856"/>
      <c r="I632" s="1857"/>
      <c r="J632" s="1856"/>
      <c r="K632" s="1857"/>
      <c r="L632" s="1856"/>
      <c r="M632" s="1857"/>
      <c r="N632" s="1856"/>
      <c r="O632" s="1857"/>
      <c r="P632" s="706"/>
      <c r="Q632" s="706"/>
      <c r="R632" s="706"/>
      <c r="S632" s="706"/>
      <c r="T632" s="706"/>
      <c r="U632" s="706"/>
      <c r="V632" s="706"/>
      <c r="W632" s="706"/>
    </row>
    <row r="633" spans="1:23" hidden="1" x14ac:dyDescent="0.3">
      <c r="A633" s="706"/>
      <c r="B633" s="706"/>
      <c r="C633" s="621"/>
      <c r="D633" s="647" t="str">
        <f>D632&amp;"KW"</f>
        <v>KW</v>
      </c>
      <c r="E633" s="619" t="s">
        <v>155</v>
      </c>
      <c r="F633" s="1856"/>
      <c r="G633" s="1857"/>
      <c r="H633" s="1856"/>
      <c r="I633" s="1857"/>
      <c r="J633" s="1856"/>
      <c r="K633" s="1857"/>
      <c r="L633" s="1856"/>
      <c r="M633" s="1857"/>
      <c r="N633" s="1856"/>
      <c r="O633" s="1857"/>
      <c r="P633" s="706"/>
      <c r="Q633" s="706"/>
      <c r="R633" s="706"/>
      <c r="S633" s="706"/>
      <c r="T633" s="706"/>
      <c r="U633" s="706"/>
      <c r="V633" s="706"/>
      <c r="W633" s="706"/>
    </row>
    <row r="634" spans="1:23" hidden="1" x14ac:dyDescent="0.3">
      <c r="A634" s="706"/>
      <c r="B634" s="706"/>
      <c r="C634" s="621" t="s">
        <v>5374</v>
      </c>
      <c r="D634" s="754"/>
      <c r="E634" s="619" t="s">
        <v>154</v>
      </c>
      <c r="F634" s="1856"/>
      <c r="G634" s="1857"/>
      <c r="H634" s="1856"/>
      <c r="I634" s="1857"/>
      <c r="J634" s="1856"/>
      <c r="K634" s="1857"/>
      <c r="L634" s="1856"/>
      <c r="M634" s="1857"/>
      <c r="N634" s="1856"/>
      <c r="O634" s="1857"/>
      <c r="P634" s="706"/>
      <c r="Q634" s="706"/>
      <c r="R634" s="706"/>
      <c r="S634" s="706"/>
      <c r="T634" s="706"/>
      <c r="U634" s="706"/>
      <c r="V634" s="706"/>
      <c r="W634" s="706"/>
    </row>
    <row r="635" spans="1:23" hidden="1" x14ac:dyDescent="0.3">
      <c r="A635" s="706"/>
      <c r="B635" s="706"/>
      <c r="C635" s="621"/>
      <c r="D635" s="647" t="str">
        <f>D634&amp;"KW"</f>
        <v>KW</v>
      </c>
      <c r="E635" s="619" t="s">
        <v>155</v>
      </c>
      <c r="F635" s="1856"/>
      <c r="G635" s="1857"/>
      <c r="H635" s="1856"/>
      <c r="I635" s="1857"/>
      <c r="J635" s="1856"/>
      <c r="K635" s="1857"/>
      <c r="L635" s="1856"/>
      <c r="M635" s="1857"/>
      <c r="N635" s="1856"/>
      <c r="O635" s="1857"/>
      <c r="P635" s="706"/>
      <c r="Q635" s="706"/>
      <c r="R635" s="706"/>
      <c r="S635" s="706"/>
      <c r="T635" s="706"/>
      <c r="U635" s="706"/>
      <c r="V635" s="706"/>
      <c r="W635" s="706"/>
    </row>
    <row r="636" spans="1:23" hidden="1" x14ac:dyDescent="0.3">
      <c r="A636" s="706"/>
      <c r="B636" s="706"/>
      <c r="C636" s="621" t="s">
        <v>5375</v>
      </c>
      <c r="D636" s="754"/>
      <c r="E636" s="619" t="s">
        <v>154</v>
      </c>
      <c r="F636" s="1856"/>
      <c r="G636" s="1857"/>
      <c r="H636" s="1856"/>
      <c r="I636" s="1857"/>
      <c r="J636" s="1856"/>
      <c r="K636" s="1857"/>
      <c r="L636" s="1856"/>
      <c r="M636" s="1857"/>
      <c r="N636" s="1856"/>
      <c r="O636" s="1857"/>
      <c r="P636" s="706"/>
      <c r="Q636" s="706"/>
      <c r="R636" s="706"/>
      <c r="S636" s="706"/>
      <c r="T636" s="706"/>
      <c r="U636" s="706"/>
      <c r="V636" s="706"/>
      <c r="W636" s="706"/>
    </row>
    <row r="637" spans="1:23" hidden="1" x14ac:dyDescent="0.3">
      <c r="A637" s="706"/>
      <c r="B637" s="706"/>
      <c r="C637" s="621"/>
      <c r="D637" s="647" t="str">
        <f>D636&amp;"KW"</f>
        <v>KW</v>
      </c>
      <c r="E637" s="619" t="s">
        <v>155</v>
      </c>
      <c r="F637" s="1856"/>
      <c r="G637" s="1857"/>
      <c r="H637" s="1856"/>
      <c r="I637" s="1857"/>
      <c r="J637" s="1856"/>
      <c r="K637" s="1857"/>
      <c r="L637" s="1856"/>
      <c r="M637" s="1857"/>
      <c r="N637" s="1856"/>
      <c r="O637" s="1857"/>
      <c r="P637" s="706"/>
      <c r="Q637" s="706"/>
      <c r="R637" s="706"/>
      <c r="S637" s="706"/>
      <c r="T637" s="706"/>
      <c r="U637" s="706"/>
      <c r="V637" s="706"/>
      <c r="W637" s="706"/>
    </row>
    <row r="638" spans="1:23" hidden="1" x14ac:dyDescent="0.3">
      <c r="A638" s="706"/>
      <c r="B638" s="706"/>
      <c r="C638" s="621" t="s">
        <v>5376</v>
      </c>
      <c r="D638" s="754"/>
      <c r="E638" s="619" t="s">
        <v>154</v>
      </c>
      <c r="F638" s="1856"/>
      <c r="G638" s="1857"/>
      <c r="H638" s="1856"/>
      <c r="I638" s="1857"/>
      <c r="J638" s="1856"/>
      <c r="K638" s="1857"/>
      <c r="L638" s="1856"/>
      <c r="M638" s="1857"/>
      <c r="N638" s="1856"/>
      <c r="O638" s="1857"/>
      <c r="P638" s="706"/>
      <c r="Q638" s="706"/>
      <c r="R638" s="706"/>
      <c r="S638" s="706"/>
      <c r="T638" s="706"/>
      <c r="U638" s="706"/>
      <c r="V638" s="706"/>
      <c r="W638" s="706"/>
    </row>
    <row r="639" spans="1:23" hidden="1" x14ac:dyDescent="0.3">
      <c r="A639" s="706"/>
      <c r="B639" s="706"/>
      <c r="C639" s="621"/>
      <c r="D639" s="647" t="str">
        <f>D638&amp;"KW"</f>
        <v>KW</v>
      </c>
      <c r="E639" s="619" t="s">
        <v>155</v>
      </c>
      <c r="F639" s="1856"/>
      <c r="G639" s="1857"/>
      <c r="H639" s="1856"/>
      <c r="I639" s="1857"/>
      <c r="J639" s="1856"/>
      <c r="K639" s="1857"/>
      <c r="L639" s="1856"/>
      <c r="M639" s="1857"/>
      <c r="N639" s="1856"/>
      <c r="O639" s="1857"/>
      <c r="P639" s="706"/>
      <c r="Q639" s="706"/>
      <c r="R639" s="706"/>
      <c r="S639" s="706"/>
      <c r="T639" s="706"/>
      <c r="U639" s="706"/>
      <c r="V639" s="706"/>
      <c r="W639" s="706"/>
    </row>
    <row r="640" spans="1:23" hidden="1" x14ac:dyDescent="0.3">
      <c r="A640" s="706"/>
      <c r="B640" s="706"/>
      <c r="C640" s="621" t="s">
        <v>5377</v>
      </c>
      <c r="D640" s="754"/>
      <c r="E640" s="619" t="s">
        <v>154</v>
      </c>
      <c r="F640" s="1856"/>
      <c r="G640" s="1857"/>
      <c r="H640" s="1856"/>
      <c r="I640" s="1857"/>
      <c r="J640" s="1856"/>
      <c r="K640" s="1857"/>
      <c r="L640" s="1856"/>
      <c r="M640" s="1857"/>
      <c r="N640" s="1856"/>
      <c r="O640" s="1857"/>
      <c r="P640" s="706"/>
      <c r="Q640" s="706"/>
      <c r="R640" s="706"/>
      <c r="S640" s="706"/>
      <c r="T640" s="706"/>
      <c r="U640" s="706"/>
      <c r="V640" s="706"/>
      <c r="W640" s="706"/>
    </row>
    <row r="641" spans="1:23" hidden="1" x14ac:dyDescent="0.3">
      <c r="A641" s="706"/>
      <c r="B641" s="706"/>
      <c r="C641" s="621"/>
      <c r="D641" s="647" t="str">
        <f>D640&amp;"KW"</f>
        <v>KW</v>
      </c>
      <c r="E641" s="619" t="s">
        <v>155</v>
      </c>
      <c r="F641" s="1856"/>
      <c r="G641" s="1857"/>
      <c r="H641" s="1856"/>
      <c r="I641" s="1857"/>
      <c r="J641" s="1856"/>
      <c r="K641" s="1857"/>
      <c r="L641" s="1856"/>
      <c r="M641" s="1857"/>
      <c r="N641" s="1856"/>
      <c r="O641" s="1857"/>
      <c r="P641" s="706"/>
      <c r="Q641" s="706"/>
      <c r="R641" s="706"/>
      <c r="S641" s="706"/>
      <c r="T641" s="706"/>
      <c r="U641" s="706"/>
      <c r="V641" s="706"/>
      <c r="W641" s="706"/>
    </row>
    <row r="642" spans="1:23" hidden="1" x14ac:dyDescent="0.3">
      <c r="A642" s="706"/>
      <c r="B642" s="706"/>
      <c r="C642" s="621" t="s">
        <v>5378</v>
      </c>
      <c r="D642" s="754"/>
      <c r="E642" s="619" t="s">
        <v>154</v>
      </c>
      <c r="F642" s="1856"/>
      <c r="G642" s="1857"/>
      <c r="H642" s="1856"/>
      <c r="I642" s="1857"/>
      <c r="J642" s="1856"/>
      <c r="K642" s="1857"/>
      <c r="L642" s="1856"/>
      <c r="M642" s="1857"/>
      <c r="N642" s="1856"/>
      <c r="O642" s="1857"/>
      <c r="P642" s="706"/>
      <c r="Q642" s="706"/>
      <c r="R642" s="706"/>
      <c r="S642" s="706"/>
      <c r="T642" s="706"/>
      <c r="U642" s="706"/>
      <c r="V642" s="706"/>
      <c r="W642" s="706"/>
    </row>
    <row r="643" spans="1:23" hidden="1" x14ac:dyDescent="0.3">
      <c r="A643" s="706"/>
      <c r="B643" s="706"/>
      <c r="C643" s="621"/>
      <c r="D643" s="647" t="str">
        <f>D642&amp;"KW"</f>
        <v>KW</v>
      </c>
      <c r="E643" s="619" t="s">
        <v>155</v>
      </c>
      <c r="F643" s="1856"/>
      <c r="G643" s="1857"/>
      <c r="H643" s="1856"/>
      <c r="I643" s="1857"/>
      <c r="J643" s="1856"/>
      <c r="K643" s="1857"/>
      <c r="L643" s="1856"/>
      <c r="M643" s="1857"/>
      <c r="N643" s="1856"/>
      <c r="O643" s="1857"/>
      <c r="P643" s="706"/>
      <c r="Q643" s="706"/>
      <c r="R643" s="706"/>
      <c r="S643" s="706"/>
      <c r="T643" s="706"/>
      <c r="U643" s="706"/>
      <c r="V643" s="706"/>
      <c r="W643" s="706"/>
    </row>
    <row r="644" spans="1:23" hidden="1" x14ac:dyDescent="0.3">
      <c r="A644" s="706"/>
      <c r="B644" s="706"/>
      <c r="C644" s="621" t="s">
        <v>5379</v>
      </c>
      <c r="D644" s="754"/>
      <c r="E644" s="619" t="s">
        <v>154</v>
      </c>
      <c r="F644" s="1856"/>
      <c r="G644" s="1857"/>
      <c r="H644" s="1856"/>
      <c r="I644" s="1857"/>
      <c r="J644" s="1856"/>
      <c r="K644" s="1857"/>
      <c r="L644" s="1856"/>
      <c r="M644" s="1857"/>
      <c r="N644" s="1856"/>
      <c r="O644" s="1857"/>
      <c r="P644" s="706"/>
      <c r="Q644" s="706"/>
      <c r="R644" s="706"/>
      <c r="S644" s="706"/>
      <c r="T644" s="706"/>
      <c r="U644" s="706"/>
      <c r="V644" s="706"/>
      <c r="W644" s="706"/>
    </row>
    <row r="645" spans="1:23" hidden="1" x14ac:dyDescent="0.3">
      <c r="A645" s="706"/>
      <c r="B645" s="706"/>
      <c r="C645" s="621"/>
      <c r="D645" s="647" t="str">
        <f>D644&amp;"KW"</f>
        <v>KW</v>
      </c>
      <c r="E645" s="619" t="s">
        <v>155</v>
      </c>
      <c r="F645" s="1856"/>
      <c r="G645" s="1857"/>
      <c r="H645" s="1856"/>
      <c r="I645" s="1857"/>
      <c r="J645" s="1856"/>
      <c r="K645" s="1857"/>
      <c r="L645" s="1856"/>
      <c r="M645" s="1857"/>
      <c r="N645" s="1856"/>
      <c r="O645" s="1857"/>
      <c r="P645" s="706"/>
      <c r="Q645" s="706"/>
      <c r="R645" s="706"/>
      <c r="S645" s="706"/>
      <c r="T645" s="706"/>
      <c r="U645" s="706"/>
      <c r="V645" s="706"/>
      <c r="W645" s="706"/>
    </row>
    <row r="646" spans="1:23" hidden="1" x14ac:dyDescent="0.3">
      <c r="A646" s="706"/>
      <c r="B646" s="706"/>
      <c r="C646" s="621" t="s">
        <v>5380</v>
      </c>
      <c r="D646" s="754"/>
      <c r="E646" s="619" t="s">
        <v>154</v>
      </c>
      <c r="F646" s="1856"/>
      <c r="G646" s="1857"/>
      <c r="H646" s="1856"/>
      <c r="I646" s="1857"/>
      <c r="J646" s="1856"/>
      <c r="K646" s="1857"/>
      <c r="L646" s="1856"/>
      <c r="M646" s="1857"/>
      <c r="N646" s="1856"/>
      <c r="O646" s="1857"/>
      <c r="P646" s="706"/>
      <c r="Q646" s="706"/>
      <c r="R646" s="706"/>
      <c r="S646" s="706"/>
      <c r="T646" s="706"/>
      <c r="U646" s="706"/>
      <c r="V646" s="706"/>
      <c r="W646" s="706"/>
    </row>
    <row r="647" spans="1:23" hidden="1" x14ac:dyDescent="0.3">
      <c r="A647" s="706"/>
      <c r="B647" s="706"/>
      <c r="C647" s="621"/>
      <c r="D647" s="647" t="str">
        <f>D646&amp;"KW"</f>
        <v>KW</v>
      </c>
      <c r="E647" s="619" t="s">
        <v>155</v>
      </c>
      <c r="F647" s="1856"/>
      <c r="G647" s="1857"/>
      <c r="H647" s="1856"/>
      <c r="I647" s="1857"/>
      <c r="J647" s="1856"/>
      <c r="K647" s="1857"/>
      <c r="L647" s="1856"/>
      <c r="M647" s="1857"/>
      <c r="N647" s="1856"/>
      <c r="O647" s="1857"/>
      <c r="P647" s="706"/>
      <c r="Q647" s="706"/>
      <c r="R647" s="706"/>
      <c r="S647" s="706"/>
      <c r="T647" s="706"/>
      <c r="U647" s="706"/>
      <c r="V647" s="706"/>
      <c r="W647" s="706"/>
    </row>
    <row r="648" spans="1:23" hidden="1" x14ac:dyDescent="0.3">
      <c r="A648" s="706"/>
      <c r="B648" s="706"/>
      <c r="C648" s="621" t="s">
        <v>5381</v>
      </c>
      <c r="D648" s="754"/>
      <c r="E648" s="619" t="s">
        <v>154</v>
      </c>
      <c r="F648" s="1856"/>
      <c r="G648" s="1857"/>
      <c r="H648" s="1856"/>
      <c r="I648" s="1857"/>
      <c r="J648" s="1856"/>
      <c r="K648" s="1857"/>
      <c r="L648" s="1856"/>
      <c r="M648" s="1857"/>
      <c r="N648" s="1856"/>
      <c r="O648" s="1857"/>
      <c r="P648" s="706"/>
      <c r="Q648" s="706"/>
      <c r="R648" s="706"/>
      <c r="S648" s="706"/>
      <c r="T648" s="706"/>
      <c r="U648" s="706"/>
      <c r="V648" s="706"/>
      <c r="W648" s="706"/>
    </row>
    <row r="649" spans="1:23" hidden="1" x14ac:dyDescent="0.3">
      <c r="A649" s="706"/>
      <c r="B649" s="706"/>
      <c r="C649" s="621"/>
      <c r="D649" s="647" t="str">
        <f>D648&amp;"KW"</f>
        <v>KW</v>
      </c>
      <c r="E649" s="619" t="s">
        <v>155</v>
      </c>
      <c r="F649" s="1856"/>
      <c r="G649" s="1857"/>
      <c r="H649" s="1856"/>
      <c r="I649" s="1857"/>
      <c r="J649" s="1856"/>
      <c r="K649" s="1857"/>
      <c r="L649" s="1856"/>
      <c r="M649" s="1857"/>
      <c r="N649" s="1856"/>
      <c r="O649" s="1857"/>
      <c r="P649" s="706"/>
      <c r="Q649" s="706"/>
      <c r="R649" s="706"/>
      <c r="S649" s="706"/>
      <c r="T649" s="706"/>
      <c r="U649" s="706"/>
      <c r="V649" s="706"/>
      <c r="W649" s="706"/>
    </row>
    <row r="650" spans="1:23" hidden="1" x14ac:dyDescent="0.3">
      <c r="A650" s="706"/>
      <c r="B650" s="706"/>
      <c r="C650" s="621" t="s">
        <v>5382</v>
      </c>
      <c r="D650" s="754"/>
      <c r="E650" s="619" t="s">
        <v>154</v>
      </c>
      <c r="F650" s="1856"/>
      <c r="G650" s="1857"/>
      <c r="H650" s="1856"/>
      <c r="I650" s="1857"/>
      <c r="J650" s="1856"/>
      <c r="K650" s="1857"/>
      <c r="L650" s="1856"/>
      <c r="M650" s="1857"/>
      <c r="N650" s="1856"/>
      <c r="O650" s="1857"/>
      <c r="P650" s="706"/>
      <c r="Q650" s="706"/>
      <c r="R650" s="706"/>
      <c r="S650" s="706"/>
      <c r="T650" s="706"/>
      <c r="U650" s="706"/>
      <c r="V650" s="706"/>
      <c r="W650" s="706"/>
    </row>
    <row r="651" spans="1:23" hidden="1" x14ac:dyDescent="0.3">
      <c r="A651" s="706"/>
      <c r="B651" s="706"/>
      <c r="C651" s="621"/>
      <c r="D651" s="647" t="str">
        <f>D650&amp;"KW"</f>
        <v>KW</v>
      </c>
      <c r="E651" s="619" t="s">
        <v>155</v>
      </c>
      <c r="F651" s="1856"/>
      <c r="G651" s="1857"/>
      <c r="H651" s="1856"/>
      <c r="I651" s="1857"/>
      <c r="J651" s="1856"/>
      <c r="K651" s="1857"/>
      <c r="L651" s="1856"/>
      <c r="M651" s="1857"/>
      <c r="N651" s="1856"/>
      <c r="O651" s="1857"/>
      <c r="P651" s="706"/>
      <c r="Q651" s="706"/>
      <c r="R651" s="706"/>
      <c r="S651" s="706"/>
      <c r="T651" s="706"/>
      <c r="U651" s="706"/>
      <c r="V651" s="706"/>
      <c r="W651" s="706"/>
    </row>
    <row r="652" spans="1:23" hidden="1" x14ac:dyDescent="0.3">
      <c r="A652" s="706"/>
      <c r="B652" s="706"/>
      <c r="C652" s="621" t="s">
        <v>5383</v>
      </c>
      <c r="D652" s="754"/>
      <c r="E652" s="619" t="s">
        <v>154</v>
      </c>
      <c r="F652" s="1856"/>
      <c r="G652" s="1857"/>
      <c r="H652" s="1856"/>
      <c r="I652" s="1857"/>
      <c r="J652" s="1856"/>
      <c r="K652" s="1857"/>
      <c r="L652" s="1856"/>
      <c r="M652" s="1857"/>
      <c r="N652" s="1856"/>
      <c r="O652" s="1857"/>
      <c r="P652" s="706"/>
      <c r="Q652" s="706"/>
      <c r="R652" s="706"/>
      <c r="S652" s="706"/>
      <c r="T652" s="706"/>
      <c r="U652" s="706"/>
      <c r="V652" s="706"/>
      <c r="W652" s="706"/>
    </row>
    <row r="653" spans="1:23" hidden="1" x14ac:dyDescent="0.3">
      <c r="A653" s="706"/>
      <c r="B653" s="706"/>
      <c r="C653" s="621"/>
      <c r="D653" s="647" t="str">
        <f>D652&amp;"KW"</f>
        <v>KW</v>
      </c>
      <c r="E653" s="619" t="s">
        <v>155</v>
      </c>
      <c r="F653" s="1856"/>
      <c r="G653" s="1857"/>
      <c r="H653" s="1856"/>
      <c r="I653" s="1857"/>
      <c r="J653" s="1856"/>
      <c r="K653" s="1857"/>
      <c r="L653" s="1856"/>
      <c r="M653" s="1857"/>
      <c r="N653" s="1856"/>
      <c r="O653" s="1857"/>
      <c r="P653" s="706"/>
      <c r="Q653" s="706"/>
      <c r="R653" s="706"/>
      <c r="S653" s="706"/>
      <c r="T653" s="706"/>
      <c r="U653" s="706"/>
      <c r="V653" s="706"/>
      <c r="W653" s="706"/>
    </row>
    <row r="654" spans="1:23" hidden="1" x14ac:dyDescent="0.3">
      <c r="A654" s="706"/>
      <c r="B654" s="706"/>
      <c r="C654" s="621" t="s">
        <v>5384</v>
      </c>
      <c r="D654" s="754"/>
      <c r="E654" s="619" t="s">
        <v>154</v>
      </c>
      <c r="F654" s="1856"/>
      <c r="G654" s="1857"/>
      <c r="H654" s="1856"/>
      <c r="I654" s="1857"/>
      <c r="J654" s="1856"/>
      <c r="K654" s="1857"/>
      <c r="L654" s="1856"/>
      <c r="M654" s="1857"/>
      <c r="N654" s="1856"/>
      <c r="O654" s="1857"/>
      <c r="P654" s="706"/>
      <c r="Q654" s="706"/>
      <c r="R654" s="706"/>
      <c r="S654" s="706"/>
      <c r="T654" s="706"/>
      <c r="U654" s="706"/>
      <c r="V654" s="706"/>
      <c r="W654" s="706"/>
    </row>
    <row r="655" spans="1:23" hidden="1" x14ac:dyDescent="0.3">
      <c r="A655" s="706"/>
      <c r="B655" s="706"/>
      <c r="C655" s="621"/>
      <c r="D655" s="647" t="str">
        <f>D654&amp;"KW"</f>
        <v>KW</v>
      </c>
      <c r="E655" s="619" t="s">
        <v>155</v>
      </c>
      <c r="F655" s="1856"/>
      <c r="G655" s="1857"/>
      <c r="H655" s="1856"/>
      <c r="I655" s="1857"/>
      <c r="J655" s="1856"/>
      <c r="K655" s="1857"/>
      <c r="L655" s="1856"/>
      <c r="M655" s="1857"/>
      <c r="N655" s="1856"/>
      <c r="O655" s="1857"/>
      <c r="P655" s="706"/>
      <c r="Q655" s="706"/>
      <c r="R655" s="706"/>
      <c r="S655" s="706"/>
      <c r="T655" s="706"/>
      <c r="U655" s="706"/>
      <c r="V655" s="706"/>
      <c r="W655" s="706"/>
    </row>
    <row r="656" spans="1:23" hidden="1" x14ac:dyDescent="0.3">
      <c r="A656" s="706"/>
      <c r="B656" s="706"/>
      <c r="C656" s="621" t="s">
        <v>5385</v>
      </c>
      <c r="D656" s="754"/>
      <c r="E656" s="619" t="s">
        <v>154</v>
      </c>
      <c r="F656" s="1856"/>
      <c r="G656" s="1857"/>
      <c r="H656" s="1856"/>
      <c r="I656" s="1857"/>
      <c r="J656" s="1856"/>
      <c r="K656" s="1857"/>
      <c r="L656" s="1856"/>
      <c r="M656" s="1857"/>
      <c r="N656" s="1856"/>
      <c r="O656" s="1857"/>
      <c r="P656" s="706"/>
      <c r="Q656" s="706"/>
      <c r="R656" s="706"/>
      <c r="S656" s="706"/>
      <c r="T656" s="706"/>
      <c r="U656" s="706"/>
      <c r="V656" s="706"/>
      <c r="W656" s="706"/>
    </row>
    <row r="657" spans="1:23" hidden="1" x14ac:dyDescent="0.3">
      <c r="A657" s="706"/>
      <c r="B657" s="706"/>
      <c r="C657" s="621"/>
      <c r="D657" s="647" t="str">
        <f>D656&amp;"KW"</f>
        <v>KW</v>
      </c>
      <c r="E657" s="619" t="s">
        <v>155</v>
      </c>
      <c r="F657" s="1856"/>
      <c r="G657" s="1857"/>
      <c r="H657" s="1856"/>
      <c r="I657" s="1857"/>
      <c r="J657" s="1856"/>
      <c r="K657" s="1857"/>
      <c r="L657" s="1856"/>
      <c r="M657" s="1857"/>
      <c r="N657" s="1856"/>
      <c r="O657" s="1857"/>
      <c r="P657" s="706"/>
      <c r="Q657" s="706"/>
      <c r="R657" s="706"/>
      <c r="S657" s="706"/>
      <c r="T657" s="706"/>
      <c r="U657" s="706"/>
      <c r="V657" s="706"/>
      <c r="W657" s="706"/>
    </row>
    <row r="658" spans="1:23" hidden="1" x14ac:dyDescent="0.3">
      <c r="A658" s="706"/>
      <c r="B658" s="706"/>
      <c r="C658" s="621" t="s">
        <v>5386</v>
      </c>
      <c r="D658" s="754"/>
      <c r="E658" s="619" t="s">
        <v>154</v>
      </c>
      <c r="F658" s="1856"/>
      <c r="G658" s="1857"/>
      <c r="H658" s="1856"/>
      <c r="I658" s="1857"/>
      <c r="J658" s="1856"/>
      <c r="K658" s="1857"/>
      <c r="L658" s="1856"/>
      <c r="M658" s="1857"/>
      <c r="N658" s="1856"/>
      <c r="O658" s="1857"/>
      <c r="P658" s="706"/>
      <c r="Q658" s="706"/>
      <c r="R658" s="706"/>
      <c r="S658" s="706"/>
      <c r="T658" s="706"/>
      <c r="U658" s="706"/>
      <c r="V658" s="706"/>
      <c r="W658" s="706"/>
    </row>
    <row r="659" spans="1:23" hidden="1" x14ac:dyDescent="0.3">
      <c r="A659" s="706"/>
      <c r="B659" s="706"/>
      <c r="C659" s="621"/>
      <c r="D659" s="647" t="str">
        <f>D658&amp;"KW"</f>
        <v>KW</v>
      </c>
      <c r="E659" s="619" t="s">
        <v>155</v>
      </c>
      <c r="F659" s="1856"/>
      <c r="G659" s="1857"/>
      <c r="H659" s="1856"/>
      <c r="I659" s="1857"/>
      <c r="J659" s="1856"/>
      <c r="K659" s="1857"/>
      <c r="L659" s="1856"/>
      <c r="M659" s="1857"/>
      <c r="N659" s="1856"/>
      <c r="O659" s="1857"/>
      <c r="P659" s="706"/>
      <c r="Q659" s="706"/>
      <c r="R659" s="706"/>
      <c r="S659" s="706"/>
      <c r="T659" s="706"/>
      <c r="U659" s="706"/>
      <c r="V659" s="706"/>
      <c r="W659" s="706"/>
    </row>
    <row r="660" spans="1:23" hidden="1" x14ac:dyDescent="0.3">
      <c r="A660" s="706"/>
      <c r="B660" s="706"/>
      <c r="C660" s="621" t="s">
        <v>5387</v>
      </c>
      <c r="D660" s="754"/>
      <c r="E660" s="619" t="s">
        <v>154</v>
      </c>
      <c r="F660" s="1856"/>
      <c r="G660" s="1857"/>
      <c r="H660" s="1856"/>
      <c r="I660" s="1857"/>
      <c r="J660" s="1856"/>
      <c r="K660" s="1857"/>
      <c r="L660" s="1856"/>
      <c r="M660" s="1857"/>
      <c r="N660" s="1856"/>
      <c r="O660" s="1857"/>
      <c r="P660" s="706"/>
      <c r="Q660" s="706"/>
      <c r="R660" s="706"/>
      <c r="S660" s="706"/>
      <c r="T660" s="706"/>
      <c r="U660" s="706"/>
      <c r="V660" s="706"/>
      <c r="W660" s="706"/>
    </row>
    <row r="661" spans="1:23" hidden="1" x14ac:dyDescent="0.3">
      <c r="A661" s="706"/>
      <c r="B661" s="706"/>
      <c r="C661" s="621"/>
      <c r="D661" s="647" t="str">
        <f>D660&amp;"KW"</f>
        <v>KW</v>
      </c>
      <c r="E661" s="619" t="s">
        <v>155</v>
      </c>
      <c r="F661" s="1856"/>
      <c r="G661" s="1857"/>
      <c r="H661" s="1856"/>
      <c r="I661" s="1857"/>
      <c r="J661" s="1856"/>
      <c r="K661" s="1857"/>
      <c r="L661" s="1856"/>
      <c r="M661" s="1857"/>
      <c r="N661" s="1856"/>
      <c r="O661" s="1857"/>
      <c r="P661" s="706"/>
      <c r="Q661" s="706"/>
      <c r="R661" s="706"/>
      <c r="S661" s="706"/>
      <c r="T661" s="706"/>
      <c r="U661" s="706"/>
      <c r="V661" s="706"/>
      <c r="W661" s="706"/>
    </row>
    <row r="662" spans="1:23" hidden="1" x14ac:dyDescent="0.3">
      <c r="A662" s="706"/>
      <c r="B662" s="706"/>
      <c r="C662" s="621" t="s">
        <v>5388</v>
      </c>
      <c r="D662" s="754"/>
      <c r="E662" s="619" t="s">
        <v>154</v>
      </c>
      <c r="F662" s="1856"/>
      <c r="G662" s="1857"/>
      <c r="H662" s="1856"/>
      <c r="I662" s="1857"/>
      <c r="J662" s="1856"/>
      <c r="K662" s="1857"/>
      <c r="L662" s="1856"/>
      <c r="M662" s="1857"/>
      <c r="N662" s="1856"/>
      <c r="O662" s="1857"/>
      <c r="P662" s="706"/>
      <c r="Q662" s="706"/>
      <c r="R662" s="706"/>
      <c r="S662" s="706"/>
      <c r="T662" s="706"/>
      <c r="U662" s="706"/>
      <c r="V662" s="706"/>
      <c r="W662" s="706"/>
    </row>
    <row r="663" spans="1:23" hidden="1" x14ac:dyDescent="0.3">
      <c r="A663" s="706"/>
      <c r="B663" s="706"/>
      <c r="C663" s="621"/>
      <c r="D663" s="647" t="str">
        <f>D662&amp;"KW"</f>
        <v>KW</v>
      </c>
      <c r="E663" s="619" t="s">
        <v>155</v>
      </c>
      <c r="F663" s="1856"/>
      <c r="G663" s="1857"/>
      <c r="H663" s="1856"/>
      <c r="I663" s="1857"/>
      <c r="J663" s="1856"/>
      <c r="K663" s="1857"/>
      <c r="L663" s="1856"/>
      <c r="M663" s="1857"/>
      <c r="N663" s="1856"/>
      <c r="O663" s="1857"/>
      <c r="P663" s="706"/>
      <c r="Q663" s="706"/>
      <c r="R663" s="706"/>
      <c r="S663" s="706"/>
      <c r="T663" s="706"/>
      <c r="U663" s="706"/>
      <c r="V663" s="706"/>
      <c r="W663" s="706"/>
    </row>
    <row r="664" spans="1:23" hidden="1" x14ac:dyDescent="0.3">
      <c r="A664" s="706"/>
      <c r="B664" s="706"/>
      <c r="C664" s="621" t="s">
        <v>5389</v>
      </c>
      <c r="D664" s="754"/>
      <c r="E664" s="619" t="s">
        <v>154</v>
      </c>
      <c r="F664" s="1856"/>
      <c r="G664" s="1857"/>
      <c r="H664" s="1856"/>
      <c r="I664" s="1857"/>
      <c r="J664" s="1856"/>
      <c r="K664" s="1857"/>
      <c r="L664" s="1856"/>
      <c r="M664" s="1857"/>
      <c r="N664" s="1856"/>
      <c r="O664" s="1857"/>
      <c r="P664" s="706"/>
      <c r="Q664" s="706"/>
      <c r="R664" s="706"/>
      <c r="S664" s="706"/>
      <c r="T664" s="706"/>
      <c r="U664" s="706"/>
      <c r="V664" s="706"/>
      <c r="W664" s="706"/>
    </row>
    <row r="665" spans="1:23" hidden="1" x14ac:dyDescent="0.3">
      <c r="A665" s="706"/>
      <c r="B665" s="706"/>
      <c r="C665" s="621"/>
      <c r="D665" s="647" t="str">
        <f>D664&amp;"KW"</f>
        <v>KW</v>
      </c>
      <c r="E665" s="619" t="s">
        <v>155</v>
      </c>
      <c r="F665" s="1856"/>
      <c r="G665" s="1857"/>
      <c r="H665" s="1856"/>
      <c r="I665" s="1857"/>
      <c r="J665" s="1856"/>
      <c r="K665" s="1857"/>
      <c r="L665" s="1856"/>
      <c r="M665" s="1857"/>
      <c r="N665" s="1856"/>
      <c r="O665" s="1857"/>
      <c r="P665" s="706"/>
      <c r="Q665" s="706"/>
      <c r="R665" s="706"/>
      <c r="S665" s="706"/>
      <c r="T665" s="706"/>
      <c r="U665" s="706"/>
      <c r="V665" s="706"/>
      <c r="W665" s="706"/>
    </row>
    <row r="666" spans="1:23" hidden="1" x14ac:dyDescent="0.3">
      <c r="A666" s="706"/>
      <c r="B666" s="706"/>
      <c r="C666" s="621" t="s">
        <v>5390</v>
      </c>
      <c r="D666" s="754"/>
      <c r="E666" s="619" t="s">
        <v>154</v>
      </c>
      <c r="F666" s="1856"/>
      <c r="G666" s="1857"/>
      <c r="H666" s="1856"/>
      <c r="I666" s="1857"/>
      <c r="J666" s="1856"/>
      <c r="K666" s="1857"/>
      <c r="L666" s="1856"/>
      <c r="M666" s="1857"/>
      <c r="N666" s="1856"/>
      <c r="O666" s="1857"/>
      <c r="P666" s="706"/>
      <c r="Q666" s="706"/>
      <c r="R666" s="706"/>
      <c r="S666" s="706"/>
      <c r="T666" s="706"/>
      <c r="U666" s="706"/>
      <c r="V666" s="706"/>
      <c r="W666" s="706"/>
    </row>
    <row r="667" spans="1:23" hidden="1" x14ac:dyDescent="0.3">
      <c r="A667" s="706"/>
      <c r="B667" s="706"/>
      <c r="C667" s="621"/>
      <c r="D667" s="647" t="str">
        <f>D666&amp;"KW"</f>
        <v>KW</v>
      </c>
      <c r="E667" s="619" t="s">
        <v>155</v>
      </c>
      <c r="F667" s="1856"/>
      <c r="G667" s="1857"/>
      <c r="H667" s="1856"/>
      <c r="I667" s="1857"/>
      <c r="J667" s="1856"/>
      <c r="K667" s="1857"/>
      <c r="L667" s="1856"/>
      <c r="M667" s="1857"/>
      <c r="N667" s="1856"/>
      <c r="O667" s="1857"/>
      <c r="P667" s="706"/>
      <c r="Q667" s="706"/>
      <c r="R667" s="706"/>
      <c r="S667" s="706"/>
      <c r="T667" s="706"/>
      <c r="U667" s="706"/>
      <c r="V667" s="706"/>
      <c r="W667" s="706"/>
    </row>
    <row r="668" spans="1:23" hidden="1" x14ac:dyDescent="0.3">
      <c r="A668" s="706"/>
      <c r="B668" s="706"/>
      <c r="C668" s="621" t="s">
        <v>5391</v>
      </c>
      <c r="D668" s="754"/>
      <c r="E668" s="619" t="s">
        <v>154</v>
      </c>
      <c r="F668" s="1856"/>
      <c r="G668" s="1857"/>
      <c r="H668" s="1856"/>
      <c r="I668" s="1857"/>
      <c r="J668" s="1856"/>
      <c r="K668" s="1857"/>
      <c r="L668" s="1856"/>
      <c r="M668" s="1857"/>
      <c r="N668" s="1856"/>
      <c r="O668" s="1857"/>
      <c r="P668" s="706"/>
      <c r="Q668" s="706"/>
      <c r="R668" s="706"/>
      <c r="S668" s="706"/>
      <c r="T668" s="706"/>
      <c r="U668" s="706"/>
      <c r="V668" s="706"/>
      <c r="W668" s="706"/>
    </row>
    <row r="669" spans="1:23" hidden="1" x14ac:dyDescent="0.3">
      <c r="A669" s="706"/>
      <c r="B669" s="706"/>
      <c r="C669" s="621"/>
      <c r="D669" s="647" t="str">
        <f>D668&amp;"KW"</f>
        <v>KW</v>
      </c>
      <c r="E669" s="619" t="s">
        <v>155</v>
      </c>
      <c r="F669" s="1856"/>
      <c r="G669" s="1857"/>
      <c r="H669" s="1856"/>
      <c r="I669" s="1857"/>
      <c r="J669" s="1856"/>
      <c r="K669" s="1857"/>
      <c r="L669" s="1856"/>
      <c r="M669" s="1857"/>
      <c r="N669" s="1856"/>
      <c r="O669" s="1857"/>
      <c r="P669" s="706"/>
      <c r="Q669" s="706"/>
      <c r="R669" s="706"/>
      <c r="S669" s="706"/>
      <c r="T669" s="706"/>
      <c r="U669" s="706"/>
      <c r="V669" s="706"/>
      <c r="W669" s="706"/>
    </row>
    <row r="670" spans="1:23" hidden="1" x14ac:dyDescent="0.3">
      <c r="A670" s="706"/>
      <c r="B670" s="706"/>
      <c r="C670" s="621" t="s">
        <v>5392</v>
      </c>
      <c r="D670" s="754"/>
      <c r="E670" s="619" t="s">
        <v>154</v>
      </c>
      <c r="F670" s="1856"/>
      <c r="G670" s="1857"/>
      <c r="H670" s="1856"/>
      <c r="I670" s="1857"/>
      <c r="J670" s="1856"/>
      <c r="K670" s="1857"/>
      <c r="L670" s="1856"/>
      <c r="M670" s="1857"/>
      <c r="N670" s="1856"/>
      <c r="O670" s="1857"/>
      <c r="P670" s="706"/>
      <c r="Q670" s="706"/>
      <c r="R670" s="706"/>
      <c r="S670" s="706"/>
      <c r="T670" s="706"/>
      <c r="U670" s="706"/>
      <c r="V670" s="706"/>
      <c r="W670" s="706"/>
    </row>
    <row r="671" spans="1:23" hidden="1" x14ac:dyDescent="0.3">
      <c r="A671" s="706"/>
      <c r="B671" s="706"/>
      <c r="C671" s="621"/>
      <c r="D671" s="647" t="str">
        <f>D670&amp;"KW"</f>
        <v>KW</v>
      </c>
      <c r="E671" s="619" t="s">
        <v>155</v>
      </c>
      <c r="F671" s="1856"/>
      <c r="G671" s="1857"/>
      <c r="H671" s="1856"/>
      <c r="I671" s="1857"/>
      <c r="J671" s="1856"/>
      <c r="K671" s="1857"/>
      <c r="L671" s="1856"/>
      <c r="M671" s="1857"/>
      <c r="N671" s="1856"/>
      <c r="O671" s="1857"/>
      <c r="P671" s="706"/>
      <c r="Q671" s="706"/>
      <c r="R671" s="706"/>
      <c r="S671" s="706"/>
      <c r="T671" s="706"/>
      <c r="U671" s="706"/>
      <c r="V671" s="706"/>
      <c r="W671" s="706"/>
    </row>
    <row r="672" spans="1:23" hidden="1" x14ac:dyDescent="0.3">
      <c r="A672" s="706"/>
      <c r="B672" s="706"/>
      <c r="C672" s="621" t="s">
        <v>5393</v>
      </c>
      <c r="D672" s="754"/>
      <c r="E672" s="619" t="s">
        <v>154</v>
      </c>
      <c r="F672" s="1856"/>
      <c r="G672" s="1857"/>
      <c r="H672" s="1856"/>
      <c r="I672" s="1857"/>
      <c r="J672" s="1856"/>
      <c r="K672" s="1857"/>
      <c r="L672" s="1856"/>
      <c r="M672" s="1857"/>
      <c r="N672" s="1856"/>
      <c r="O672" s="1857"/>
      <c r="P672" s="706"/>
      <c r="Q672" s="706"/>
      <c r="R672" s="706"/>
      <c r="S672" s="706"/>
      <c r="T672" s="706"/>
      <c r="U672" s="706"/>
      <c r="V672" s="706"/>
      <c r="W672" s="706"/>
    </row>
    <row r="673" spans="1:23" hidden="1" x14ac:dyDescent="0.3">
      <c r="A673" s="706"/>
      <c r="B673" s="706"/>
      <c r="C673" s="621"/>
      <c r="D673" s="647" t="str">
        <f>D672&amp;"KW"</f>
        <v>KW</v>
      </c>
      <c r="E673" s="619" t="s">
        <v>155</v>
      </c>
      <c r="F673" s="1856"/>
      <c r="G673" s="1857"/>
      <c r="H673" s="1856"/>
      <c r="I673" s="1857"/>
      <c r="J673" s="1856"/>
      <c r="K673" s="1857"/>
      <c r="L673" s="1856"/>
      <c r="M673" s="1857"/>
      <c r="N673" s="1856"/>
      <c r="O673" s="1857"/>
      <c r="P673" s="706"/>
      <c r="Q673" s="706"/>
      <c r="R673" s="706"/>
      <c r="S673" s="706"/>
      <c r="T673" s="706"/>
      <c r="U673" s="706"/>
      <c r="V673" s="706"/>
      <c r="W673" s="706"/>
    </row>
    <row r="674" spans="1:23" hidden="1" x14ac:dyDescent="0.3">
      <c r="A674" s="706"/>
      <c r="B674" s="706"/>
      <c r="C674" s="621" t="s">
        <v>5394</v>
      </c>
      <c r="D674" s="754"/>
      <c r="E674" s="619" t="s">
        <v>154</v>
      </c>
      <c r="F674" s="1856"/>
      <c r="G674" s="1857"/>
      <c r="H674" s="1856"/>
      <c r="I674" s="1857"/>
      <c r="J674" s="1856"/>
      <c r="K674" s="1857"/>
      <c r="L674" s="1856"/>
      <c r="M674" s="1857"/>
      <c r="N674" s="1856"/>
      <c r="O674" s="1857"/>
      <c r="P674" s="706"/>
      <c r="Q674" s="706"/>
      <c r="R674" s="706"/>
      <c r="S674" s="706"/>
      <c r="T674" s="706"/>
      <c r="U674" s="706"/>
      <c r="V674" s="706"/>
      <c r="W674" s="706"/>
    </row>
    <row r="675" spans="1:23" hidden="1" x14ac:dyDescent="0.3">
      <c r="A675" s="706"/>
      <c r="B675" s="706"/>
      <c r="C675" s="621"/>
      <c r="D675" s="647" t="str">
        <f>D674&amp;"KW"</f>
        <v>KW</v>
      </c>
      <c r="E675" s="619" t="s">
        <v>155</v>
      </c>
      <c r="F675" s="1856"/>
      <c r="G675" s="1857"/>
      <c r="H675" s="1856"/>
      <c r="I675" s="1857"/>
      <c r="J675" s="1856"/>
      <c r="K675" s="1857"/>
      <c r="L675" s="1856"/>
      <c r="M675" s="1857"/>
      <c r="N675" s="1856"/>
      <c r="O675" s="1857"/>
      <c r="P675" s="706"/>
      <c r="Q675" s="706"/>
      <c r="R675" s="706"/>
      <c r="S675" s="706"/>
      <c r="T675" s="706"/>
      <c r="U675" s="706"/>
      <c r="V675" s="706"/>
      <c r="W675" s="706"/>
    </row>
    <row r="676" spans="1:23" hidden="1" x14ac:dyDescent="0.3">
      <c r="A676" s="706"/>
      <c r="B676" s="706"/>
      <c r="C676" s="621" t="s">
        <v>5395</v>
      </c>
      <c r="D676" s="754"/>
      <c r="E676" s="619" t="s">
        <v>154</v>
      </c>
      <c r="F676" s="1856"/>
      <c r="G676" s="1857"/>
      <c r="H676" s="1856"/>
      <c r="I676" s="1857"/>
      <c r="J676" s="1856"/>
      <c r="K676" s="1857"/>
      <c r="L676" s="1856"/>
      <c r="M676" s="1857"/>
      <c r="N676" s="1856"/>
      <c r="O676" s="1857"/>
      <c r="P676" s="706"/>
      <c r="Q676" s="706"/>
      <c r="R676" s="706"/>
      <c r="S676" s="706"/>
      <c r="T676" s="706"/>
      <c r="U676" s="706"/>
      <c r="V676" s="706"/>
      <c r="W676" s="706"/>
    </row>
    <row r="677" spans="1:23" hidden="1" x14ac:dyDescent="0.3">
      <c r="A677" s="706"/>
      <c r="B677" s="706"/>
      <c r="C677" s="621"/>
      <c r="D677" s="647" t="str">
        <f>D676&amp;"KW"</f>
        <v>KW</v>
      </c>
      <c r="E677" s="619" t="s">
        <v>155</v>
      </c>
      <c r="F677" s="1856"/>
      <c r="G677" s="1857"/>
      <c r="H677" s="1856"/>
      <c r="I677" s="1857"/>
      <c r="J677" s="1856"/>
      <c r="K677" s="1857"/>
      <c r="L677" s="1856"/>
      <c r="M677" s="1857"/>
      <c r="N677" s="1856"/>
      <c r="O677" s="1857"/>
      <c r="P677" s="706"/>
      <c r="Q677" s="706"/>
      <c r="R677" s="706"/>
      <c r="S677" s="706"/>
      <c r="T677" s="706"/>
      <c r="U677" s="706"/>
      <c r="V677" s="706"/>
      <c r="W677" s="706"/>
    </row>
    <row r="678" spans="1:23" hidden="1" x14ac:dyDescent="0.3">
      <c r="A678" s="706"/>
      <c r="B678" s="706"/>
      <c r="C678" s="621" t="s">
        <v>5396</v>
      </c>
      <c r="D678" s="754"/>
      <c r="E678" s="619" t="s">
        <v>154</v>
      </c>
      <c r="F678" s="1856"/>
      <c r="G678" s="1857"/>
      <c r="H678" s="1856"/>
      <c r="I678" s="1857"/>
      <c r="J678" s="1856"/>
      <c r="K678" s="1857"/>
      <c r="L678" s="1856"/>
      <c r="M678" s="1857"/>
      <c r="N678" s="1856"/>
      <c r="O678" s="1857"/>
      <c r="P678" s="706"/>
      <c r="Q678" s="706"/>
      <c r="R678" s="706"/>
      <c r="S678" s="706"/>
      <c r="T678" s="706"/>
      <c r="U678" s="706"/>
      <c r="V678" s="706"/>
      <c r="W678" s="706"/>
    </row>
    <row r="679" spans="1:23" hidden="1" x14ac:dyDescent="0.3">
      <c r="A679" s="706"/>
      <c r="B679" s="706"/>
      <c r="C679" s="621"/>
      <c r="D679" s="647" t="str">
        <f>D678&amp;"KW"</f>
        <v>KW</v>
      </c>
      <c r="E679" s="619" t="s">
        <v>155</v>
      </c>
      <c r="F679" s="1856"/>
      <c r="G679" s="1857"/>
      <c r="H679" s="1856"/>
      <c r="I679" s="1857"/>
      <c r="J679" s="1856"/>
      <c r="K679" s="1857"/>
      <c r="L679" s="1856"/>
      <c r="M679" s="1857"/>
      <c r="N679" s="1856"/>
      <c r="O679" s="1857"/>
      <c r="P679" s="706"/>
      <c r="Q679" s="706"/>
      <c r="R679" s="706"/>
      <c r="S679" s="706"/>
      <c r="T679" s="706"/>
      <c r="U679" s="706"/>
      <c r="V679" s="706"/>
      <c r="W679" s="706"/>
    </row>
    <row r="680" spans="1:23" hidden="1" x14ac:dyDescent="0.3">
      <c r="A680" s="706"/>
      <c r="B680" s="706"/>
      <c r="C680" s="621" t="s">
        <v>5397</v>
      </c>
      <c r="D680" s="754"/>
      <c r="E680" s="619" t="s">
        <v>154</v>
      </c>
      <c r="F680" s="1856"/>
      <c r="G680" s="1857"/>
      <c r="H680" s="1856"/>
      <c r="I680" s="1857"/>
      <c r="J680" s="1856"/>
      <c r="K680" s="1857"/>
      <c r="L680" s="1856"/>
      <c r="M680" s="1857"/>
      <c r="N680" s="1856"/>
      <c r="O680" s="1857"/>
      <c r="P680" s="706"/>
      <c r="Q680" s="706"/>
      <c r="R680" s="706"/>
      <c r="S680" s="706"/>
      <c r="T680" s="706"/>
      <c r="U680" s="706"/>
      <c r="V680" s="706"/>
      <c r="W680" s="706"/>
    </row>
    <row r="681" spans="1:23" hidden="1" x14ac:dyDescent="0.3">
      <c r="A681" s="706"/>
      <c r="B681" s="706"/>
      <c r="C681" s="621"/>
      <c r="D681" s="647" t="str">
        <f>D680&amp;"KW"</f>
        <v>KW</v>
      </c>
      <c r="E681" s="619" t="s">
        <v>155</v>
      </c>
      <c r="F681" s="1856"/>
      <c r="G681" s="1857"/>
      <c r="H681" s="1856"/>
      <c r="I681" s="1857"/>
      <c r="J681" s="1856"/>
      <c r="K681" s="1857"/>
      <c r="L681" s="1856"/>
      <c r="M681" s="1857"/>
      <c r="N681" s="1856"/>
      <c r="O681" s="1857"/>
      <c r="P681" s="706"/>
      <c r="Q681" s="706"/>
      <c r="R681" s="706"/>
      <c r="S681" s="706"/>
      <c r="T681" s="706"/>
      <c r="U681" s="706"/>
      <c r="V681" s="706"/>
      <c r="W681" s="706"/>
    </row>
    <row r="682" spans="1:23" hidden="1" x14ac:dyDescent="0.3">
      <c r="A682" s="706"/>
      <c r="B682" s="706"/>
      <c r="C682" s="621" t="s">
        <v>5398</v>
      </c>
      <c r="D682" s="754"/>
      <c r="E682" s="619" t="s">
        <v>154</v>
      </c>
      <c r="F682" s="1856"/>
      <c r="G682" s="1857"/>
      <c r="H682" s="1856"/>
      <c r="I682" s="1857"/>
      <c r="J682" s="1856"/>
      <c r="K682" s="1857"/>
      <c r="L682" s="1856"/>
      <c r="M682" s="1857"/>
      <c r="N682" s="1856"/>
      <c r="O682" s="1857"/>
      <c r="P682" s="706"/>
      <c r="Q682" s="706"/>
      <c r="R682" s="706"/>
      <c r="S682" s="706"/>
      <c r="T682" s="706"/>
      <c r="U682" s="706"/>
      <c r="V682" s="706"/>
      <c r="W682" s="706"/>
    </row>
    <row r="683" spans="1:23" hidden="1" x14ac:dyDescent="0.3">
      <c r="A683" s="706"/>
      <c r="B683" s="706"/>
      <c r="C683" s="621"/>
      <c r="D683" s="647" t="str">
        <f>D682&amp;"KW"</f>
        <v>KW</v>
      </c>
      <c r="E683" s="619" t="s">
        <v>155</v>
      </c>
      <c r="F683" s="1856"/>
      <c r="G683" s="1857"/>
      <c r="H683" s="1856"/>
      <c r="I683" s="1857"/>
      <c r="J683" s="1856"/>
      <c r="K683" s="1857"/>
      <c r="L683" s="1856"/>
      <c r="M683" s="1857"/>
      <c r="N683" s="1856"/>
      <c r="O683" s="1857"/>
      <c r="P683" s="706"/>
      <c r="Q683" s="706"/>
      <c r="R683" s="706"/>
      <c r="S683" s="706"/>
      <c r="T683" s="706"/>
      <c r="U683" s="706"/>
      <c r="V683" s="706"/>
      <c r="W683" s="706"/>
    </row>
    <row r="684" spans="1:23" hidden="1" x14ac:dyDescent="0.3">
      <c r="A684" s="706"/>
      <c r="B684" s="706"/>
      <c r="C684" s="621" t="s">
        <v>5399</v>
      </c>
      <c r="D684" s="754"/>
      <c r="E684" s="619" t="s">
        <v>154</v>
      </c>
      <c r="F684" s="1856"/>
      <c r="G684" s="1857"/>
      <c r="H684" s="1856"/>
      <c r="I684" s="1857"/>
      <c r="J684" s="1856"/>
      <c r="K684" s="1857"/>
      <c r="L684" s="1856"/>
      <c r="M684" s="1857"/>
      <c r="N684" s="1856"/>
      <c r="O684" s="1857"/>
      <c r="P684" s="706"/>
      <c r="Q684" s="706"/>
      <c r="R684" s="706"/>
      <c r="S684" s="706"/>
      <c r="T684" s="706"/>
      <c r="U684" s="706"/>
      <c r="V684" s="706"/>
      <c r="W684" s="706"/>
    </row>
    <row r="685" spans="1:23" hidden="1" x14ac:dyDescent="0.3">
      <c r="A685" s="706"/>
      <c r="B685" s="706"/>
      <c r="C685" s="621"/>
      <c r="D685" s="647" t="str">
        <f>D684&amp;"KW"</f>
        <v>KW</v>
      </c>
      <c r="E685" s="619" t="s">
        <v>155</v>
      </c>
      <c r="F685" s="1856"/>
      <c r="G685" s="1857"/>
      <c r="H685" s="1856"/>
      <c r="I685" s="1857"/>
      <c r="J685" s="1856"/>
      <c r="K685" s="1857"/>
      <c r="L685" s="1856"/>
      <c r="M685" s="1857"/>
      <c r="N685" s="1856"/>
      <c r="O685" s="1857"/>
      <c r="P685" s="706"/>
      <c r="Q685" s="706"/>
      <c r="R685" s="706"/>
      <c r="S685" s="706"/>
      <c r="T685" s="706"/>
      <c r="U685" s="706"/>
      <c r="V685" s="706"/>
      <c r="W685" s="706"/>
    </row>
    <row r="686" spans="1:23" hidden="1" x14ac:dyDescent="0.3">
      <c r="A686" s="706"/>
      <c r="B686" s="706"/>
      <c r="C686" s="621" t="s">
        <v>5400</v>
      </c>
      <c r="D686" s="754"/>
      <c r="E686" s="619" t="s">
        <v>154</v>
      </c>
      <c r="F686" s="1856"/>
      <c r="G686" s="1857"/>
      <c r="H686" s="1856"/>
      <c r="I686" s="1857"/>
      <c r="J686" s="1856"/>
      <c r="K686" s="1857"/>
      <c r="L686" s="1856"/>
      <c r="M686" s="1857"/>
      <c r="N686" s="1856"/>
      <c r="O686" s="1857"/>
      <c r="P686" s="706"/>
      <c r="Q686" s="706"/>
      <c r="R686" s="706"/>
      <c r="S686" s="706"/>
      <c r="T686" s="706"/>
      <c r="U686" s="706"/>
      <c r="V686" s="706"/>
      <c r="W686" s="706"/>
    </row>
    <row r="687" spans="1:23" hidden="1" x14ac:dyDescent="0.3">
      <c r="A687" s="706"/>
      <c r="B687" s="706"/>
      <c r="C687" s="621"/>
      <c r="D687" s="647" t="str">
        <f>D686&amp;"KW"</f>
        <v>KW</v>
      </c>
      <c r="E687" s="619" t="s">
        <v>155</v>
      </c>
      <c r="F687" s="1856"/>
      <c r="G687" s="1857"/>
      <c r="H687" s="1856"/>
      <c r="I687" s="1857"/>
      <c r="J687" s="1856"/>
      <c r="K687" s="1857"/>
      <c r="L687" s="1856"/>
      <c r="M687" s="1857"/>
      <c r="N687" s="1856"/>
      <c r="O687" s="1857"/>
      <c r="P687" s="706"/>
      <c r="Q687" s="706"/>
      <c r="R687" s="706"/>
      <c r="S687" s="706"/>
      <c r="T687" s="706"/>
      <c r="U687" s="706"/>
      <c r="V687" s="706"/>
      <c r="W687" s="706"/>
    </row>
    <row r="688" spans="1:23" hidden="1" x14ac:dyDescent="0.3">
      <c r="A688" s="706"/>
      <c r="B688" s="706"/>
      <c r="C688" s="621" t="s">
        <v>5401</v>
      </c>
      <c r="D688" s="754"/>
      <c r="E688" s="619" t="s">
        <v>154</v>
      </c>
      <c r="F688" s="1856"/>
      <c r="G688" s="1857"/>
      <c r="H688" s="1856"/>
      <c r="I688" s="1857"/>
      <c r="J688" s="1856"/>
      <c r="K688" s="1857"/>
      <c r="L688" s="1856"/>
      <c r="M688" s="1857"/>
      <c r="N688" s="1856"/>
      <c r="O688" s="1857"/>
      <c r="P688" s="706"/>
      <c r="Q688" s="706"/>
      <c r="R688" s="706"/>
      <c r="S688" s="706"/>
      <c r="T688" s="706"/>
      <c r="U688" s="706"/>
      <c r="V688" s="706"/>
      <c r="W688" s="706"/>
    </row>
    <row r="689" spans="1:23" hidden="1" x14ac:dyDescent="0.3">
      <c r="A689" s="706"/>
      <c r="B689" s="706"/>
      <c r="C689" s="621"/>
      <c r="D689" s="647" t="str">
        <f>D688&amp;"KW"</f>
        <v>KW</v>
      </c>
      <c r="E689" s="619" t="s">
        <v>155</v>
      </c>
      <c r="F689" s="1856"/>
      <c r="G689" s="1857"/>
      <c r="H689" s="1856"/>
      <c r="I689" s="1857"/>
      <c r="J689" s="1856"/>
      <c r="K689" s="1857"/>
      <c r="L689" s="1856"/>
      <c r="M689" s="1857"/>
      <c r="N689" s="1856"/>
      <c r="O689" s="1857"/>
      <c r="P689" s="706"/>
      <c r="Q689" s="706"/>
      <c r="R689" s="706"/>
      <c r="S689" s="706"/>
      <c r="T689" s="706"/>
      <c r="U689" s="706"/>
      <c r="V689" s="706"/>
      <c r="W689" s="706"/>
    </row>
    <row r="690" spans="1:23" hidden="1" x14ac:dyDescent="0.3">
      <c r="A690" s="706"/>
      <c r="B690" s="706"/>
      <c r="C690" s="621" t="s">
        <v>5402</v>
      </c>
      <c r="D690" s="754"/>
      <c r="E690" s="619" t="s">
        <v>154</v>
      </c>
      <c r="F690" s="1856"/>
      <c r="G690" s="1857"/>
      <c r="H690" s="1856"/>
      <c r="I690" s="1857"/>
      <c r="J690" s="1856"/>
      <c r="K690" s="1857"/>
      <c r="L690" s="1856"/>
      <c r="M690" s="1857"/>
      <c r="N690" s="1856"/>
      <c r="O690" s="1857"/>
      <c r="P690" s="706"/>
      <c r="Q690" s="706"/>
      <c r="R690" s="706"/>
      <c r="S690" s="706"/>
      <c r="T690" s="706"/>
      <c r="U690" s="706"/>
      <c r="V690" s="706"/>
      <c r="W690" s="706"/>
    </row>
    <row r="691" spans="1:23" hidden="1" x14ac:dyDescent="0.3">
      <c r="A691" s="706"/>
      <c r="B691" s="706"/>
      <c r="C691" s="621"/>
      <c r="D691" s="647" t="str">
        <f>D690&amp;"KW"</f>
        <v>KW</v>
      </c>
      <c r="E691" s="619" t="s">
        <v>155</v>
      </c>
      <c r="F691" s="1856"/>
      <c r="G691" s="1857"/>
      <c r="H691" s="1856"/>
      <c r="I691" s="1857"/>
      <c r="J691" s="1856"/>
      <c r="K691" s="1857"/>
      <c r="L691" s="1856"/>
      <c r="M691" s="1857"/>
      <c r="N691" s="1856"/>
      <c r="O691" s="1857"/>
      <c r="P691" s="706"/>
      <c r="Q691" s="706"/>
      <c r="R691" s="706"/>
      <c r="S691" s="706"/>
      <c r="T691" s="706"/>
      <c r="U691" s="706"/>
      <c r="V691" s="706"/>
      <c r="W691" s="706"/>
    </row>
    <row r="692" spans="1:23" hidden="1" x14ac:dyDescent="0.3">
      <c r="A692" s="706"/>
      <c r="B692" s="706"/>
      <c r="C692" s="621" t="s">
        <v>5403</v>
      </c>
      <c r="D692" s="754"/>
      <c r="E692" s="619" t="s">
        <v>154</v>
      </c>
      <c r="F692" s="1856"/>
      <c r="G692" s="1857"/>
      <c r="H692" s="1856"/>
      <c r="I692" s="1857"/>
      <c r="J692" s="1856"/>
      <c r="K692" s="1857"/>
      <c r="L692" s="1856"/>
      <c r="M692" s="1857"/>
      <c r="N692" s="1856"/>
      <c r="O692" s="1857"/>
      <c r="P692" s="706"/>
      <c r="Q692" s="706"/>
      <c r="R692" s="706"/>
      <c r="S692" s="706"/>
      <c r="T692" s="706"/>
      <c r="U692" s="706"/>
      <c r="V692" s="706"/>
      <c r="W692" s="706"/>
    </row>
    <row r="693" spans="1:23" hidden="1" x14ac:dyDescent="0.3">
      <c r="A693" s="706"/>
      <c r="B693" s="706"/>
      <c r="C693" s="621"/>
      <c r="D693" s="647" t="str">
        <f>D692&amp;"KW"</f>
        <v>KW</v>
      </c>
      <c r="E693" s="619" t="s">
        <v>155</v>
      </c>
      <c r="F693" s="1856"/>
      <c r="G693" s="1857"/>
      <c r="H693" s="1856"/>
      <c r="I693" s="1857"/>
      <c r="J693" s="1856"/>
      <c r="K693" s="1857"/>
      <c r="L693" s="1856"/>
      <c r="M693" s="1857"/>
      <c r="N693" s="1856"/>
      <c r="O693" s="1857"/>
      <c r="P693" s="706"/>
      <c r="Q693" s="706"/>
      <c r="R693" s="706"/>
      <c r="S693" s="706"/>
      <c r="T693" s="706"/>
      <c r="U693" s="706"/>
      <c r="V693" s="706"/>
      <c r="W693" s="706"/>
    </row>
    <row r="694" spans="1:23" hidden="1" x14ac:dyDescent="0.3">
      <c r="A694" s="706"/>
      <c r="B694" s="706"/>
      <c r="C694" s="621" t="s">
        <v>5404</v>
      </c>
      <c r="D694" s="754"/>
      <c r="E694" s="619" t="s">
        <v>154</v>
      </c>
      <c r="F694" s="1856"/>
      <c r="G694" s="1857"/>
      <c r="H694" s="1856"/>
      <c r="I694" s="1857"/>
      <c r="J694" s="1856"/>
      <c r="K694" s="1857"/>
      <c r="L694" s="1856"/>
      <c r="M694" s="1857"/>
      <c r="N694" s="1856"/>
      <c r="O694" s="1857"/>
      <c r="P694" s="706"/>
      <c r="Q694" s="706"/>
      <c r="R694" s="706"/>
      <c r="S694" s="706"/>
      <c r="T694" s="706"/>
      <c r="U694" s="706"/>
      <c r="V694" s="706"/>
      <c r="W694" s="706"/>
    </row>
    <row r="695" spans="1:23" hidden="1" x14ac:dyDescent="0.3">
      <c r="A695" s="706"/>
      <c r="B695" s="706"/>
      <c r="C695" s="621"/>
      <c r="D695" s="647" t="str">
        <f>D694&amp;"KW"</f>
        <v>KW</v>
      </c>
      <c r="E695" s="619" t="s">
        <v>155</v>
      </c>
      <c r="F695" s="1856"/>
      <c r="G695" s="1857"/>
      <c r="H695" s="1856"/>
      <c r="I695" s="1857"/>
      <c r="J695" s="1856"/>
      <c r="K695" s="1857"/>
      <c r="L695" s="1856"/>
      <c r="M695" s="1857"/>
      <c r="N695" s="1856"/>
      <c r="O695" s="1857"/>
      <c r="P695" s="706"/>
      <c r="Q695" s="706"/>
      <c r="R695" s="706"/>
      <c r="S695" s="706"/>
      <c r="T695" s="706"/>
      <c r="U695" s="706"/>
      <c r="V695" s="706"/>
      <c r="W695" s="706"/>
    </row>
    <row r="696" spans="1:23" hidden="1" x14ac:dyDescent="0.3">
      <c r="A696" s="706"/>
      <c r="B696" s="706"/>
      <c r="C696" s="621" t="s">
        <v>5405</v>
      </c>
      <c r="D696" s="754"/>
      <c r="E696" s="619" t="s">
        <v>154</v>
      </c>
      <c r="F696" s="1856"/>
      <c r="G696" s="1857"/>
      <c r="H696" s="1856"/>
      <c r="I696" s="1857"/>
      <c r="J696" s="1856"/>
      <c r="K696" s="1857"/>
      <c r="L696" s="1856"/>
      <c r="M696" s="1857"/>
      <c r="N696" s="1856"/>
      <c r="O696" s="1857"/>
      <c r="P696" s="706"/>
      <c r="Q696" s="706"/>
      <c r="R696" s="706"/>
      <c r="S696" s="706"/>
      <c r="T696" s="706"/>
      <c r="U696" s="706"/>
      <c r="V696" s="706"/>
      <c r="W696" s="706"/>
    </row>
    <row r="697" spans="1:23" hidden="1" x14ac:dyDescent="0.3">
      <c r="A697" s="706"/>
      <c r="B697" s="706"/>
      <c r="C697" s="621"/>
      <c r="D697" s="647" t="str">
        <f>D696&amp;"KW"</f>
        <v>KW</v>
      </c>
      <c r="E697" s="619" t="s">
        <v>155</v>
      </c>
      <c r="F697" s="1856"/>
      <c r="G697" s="1857"/>
      <c r="H697" s="1856"/>
      <c r="I697" s="1857"/>
      <c r="J697" s="1856"/>
      <c r="K697" s="1857"/>
      <c r="L697" s="1856"/>
      <c r="M697" s="1857"/>
      <c r="N697" s="1856"/>
      <c r="O697" s="1857"/>
      <c r="P697" s="706"/>
      <c r="Q697" s="706"/>
      <c r="R697" s="706"/>
      <c r="S697" s="706"/>
      <c r="T697" s="706"/>
      <c r="U697" s="706"/>
      <c r="V697" s="706"/>
      <c r="W697" s="706"/>
    </row>
    <row r="698" spans="1:23" hidden="1" x14ac:dyDescent="0.3">
      <c r="A698" s="706"/>
      <c r="B698" s="706"/>
      <c r="C698" s="621" t="s">
        <v>5406</v>
      </c>
      <c r="D698" s="754"/>
      <c r="E698" s="619" t="s">
        <v>154</v>
      </c>
      <c r="F698" s="1856"/>
      <c r="G698" s="1857"/>
      <c r="H698" s="1856"/>
      <c r="I698" s="1857"/>
      <c r="J698" s="1856"/>
      <c r="K698" s="1857"/>
      <c r="L698" s="1856"/>
      <c r="M698" s="1857"/>
      <c r="N698" s="1856"/>
      <c r="O698" s="1857"/>
      <c r="P698" s="706"/>
      <c r="Q698" s="706"/>
      <c r="R698" s="706"/>
      <c r="S698" s="706"/>
      <c r="T698" s="706"/>
      <c r="U698" s="706"/>
      <c r="V698" s="706"/>
      <c r="W698" s="706"/>
    </row>
    <row r="699" spans="1:23" hidden="1" x14ac:dyDescent="0.3">
      <c r="A699" s="706"/>
      <c r="B699" s="706"/>
      <c r="C699" s="621"/>
      <c r="D699" s="647" t="str">
        <f>D698&amp;"KW"</f>
        <v>KW</v>
      </c>
      <c r="E699" s="619" t="s">
        <v>155</v>
      </c>
      <c r="F699" s="1856"/>
      <c r="G699" s="1857"/>
      <c r="H699" s="1856"/>
      <c r="I699" s="1857"/>
      <c r="J699" s="1856"/>
      <c r="K699" s="1857"/>
      <c r="L699" s="1856"/>
      <c r="M699" s="1857"/>
      <c r="N699" s="1856"/>
      <c r="O699" s="1857"/>
      <c r="P699" s="706"/>
      <c r="Q699" s="706"/>
      <c r="R699" s="706"/>
      <c r="S699" s="706"/>
      <c r="T699" s="706"/>
      <c r="U699" s="706"/>
      <c r="V699" s="706"/>
      <c r="W699" s="706"/>
    </row>
    <row r="700" spans="1:23" hidden="1" x14ac:dyDescent="0.3">
      <c r="A700" s="706"/>
      <c r="B700" s="706"/>
      <c r="C700" s="621" t="s">
        <v>5407</v>
      </c>
      <c r="D700" s="754"/>
      <c r="E700" s="619" t="s">
        <v>154</v>
      </c>
      <c r="F700" s="1856"/>
      <c r="G700" s="1857"/>
      <c r="H700" s="1856"/>
      <c r="I700" s="1857"/>
      <c r="J700" s="1856"/>
      <c r="K700" s="1857"/>
      <c r="L700" s="1856"/>
      <c r="M700" s="1857"/>
      <c r="N700" s="1856"/>
      <c r="O700" s="1857"/>
      <c r="P700" s="706"/>
      <c r="Q700" s="706"/>
      <c r="R700" s="706"/>
      <c r="S700" s="706"/>
      <c r="T700" s="706"/>
      <c r="U700" s="706"/>
      <c r="V700" s="706"/>
      <c r="W700" s="706"/>
    </row>
    <row r="701" spans="1:23" hidden="1" x14ac:dyDescent="0.3">
      <c r="A701" s="706"/>
      <c r="B701" s="706"/>
      <c r="C701" s="621"/>
      <c r="D701" s="647" t="str">
        <f>D700&amp;"KW"</f>
        <v>KW</v>
      </c>
      <c r="E701" s="619" t="s">
        <v>155</v>
      </c>
      <c r="F701" s="1856"/>
      <c r="G701" s="1857"/>
      <c r="H701" s="1856"/>
      <c r="I701" s="1857"/>
      <c r="J701" s="1856"/>
      <c r="K701" s="1857"/>
      <c r="L701" s="1856"/>
      <c r="M701" s="1857"/>
      <c r="N701" s="1856"/>
      <c r="O701" s="1857"/>
      <c r="P701" s="706"/>
      <c r="Q701" s="706"/>
      <c r="R701" s="706"/>
      <c r="S701" s="706"/>
      <c r="T701" s="706"/>
      <c r="U701" s="706"/>
      <c r="V701" s="706"/>
      <c r="W701" s="706"/>
    </row>
    <row r="702" spans="1:23" hidden="1" x14ac:dyDescent="0.3">
      <c r="A702" s="706"/>
      <c r="B702" s="706"/>
      <c r="C702" s="621" t="s">
        <v>5408</v>
      </c>
      <c r="D702" s="754"/>
      <c r="E702" s="619" t="s">
        <v>154</v>
      </c>
      <c r="F702" s="1856"/>
      <c r="G702" s="1857"/>
      <c r="H702" s="1856"/>
      <c r="I702" s="1857"/>
      <c r="J702" s="1856"/>
      <c r="K702" s="1857"/>
      <c r="L702" s="1856"/>
      <c r="M702" s="1857"/>
      <c r="N702" s="1856"/>
      <c r="O702" s="1857"/>
      <c r="P702" s="706"/>
      <c r="Q702" s="706"/>
      <c r="R702" s="706"/>
      <c r="S702" s="706"/>
      <c r="T702" s="706"/>
      <c r="U702" s="706"/>
      <c r="V702" s="706"/>
      <c r="W702" s="706"/>
    </row>
    <row r="703" spans="1:23" hidden="1" x14ac:dyDescent="0.3">
      <c r="A703" s="706"/>
      <c r="B703" s="706"/>
      <c r="C703" s="621"/>
      <c r="D703" s="647" t="str">
        <f>D702&amp;"KW"</f>
        <v>KW</v>
      </c>
      <c r="E703" s="619" t="s">
        <v>155</v>
      </c>
      <c r="F703" s="1856"/>
      <c r="G703" s="1857"/>
      <c r="H703" s="1856"/>
      <c r="I703" s="1857"/>
      <c r="J703" s="1856"/>
      <c r="K703" s="1857"/>
      <c r="L703" s="1856"/>
      <c r="M703" s="1857"/>
      <c r="N703" s="1856"/>
      <c r="O703" s="1857"/>
      <c r="P703" s="706"/>
      <c r="Q703" s="706"/>
      <c r="R703" s="706"/>
      <c r="S703" s="706"/>
      <c r="T703" s="706"/>
      <c r="U703" s="706"/>
      <c r="V703" s="706"/>
      <c r="W703" s="706"/>
    </row>
    <row r="704" spans="1:23" hidden="1" x14ac:dyDescent="0.3">
      <c r="A704" s="706"/>
      <c r="B704" s="706"/>
      <c r="C704" s="621" t="s">
        <v>5409</v>
      </c>
      <c r="D704" s="754"/>
      <c r="E704" s="619" t="s">
        <v>154</v>
      </c>
      <c r="F704" s="1856"/>
      <c r="G704" s="1857"/>
      <c r="H704" s="1856"/>
      <c r="I704" s="1857"/>
      <c r="J704" s="1856"/>
      <c r="K704" s="1857"/>
      <c r="L704" s="1856"/>
      <c r="M704" s="1857"/>
      <c r="N704" s="1856"/>
      <c r="O704" s="1857"/>
      <c r="P704" s="706"/>
      <c r="Q704" s="706"/>
      <c r="R704" s="706"/>
      <c r="S704" s="706"/>
      <c r="T704" s="706"/>
      <c r="U704" s="706"/>
      <c r="V704" s="706"/>
      <c r="W704" s="706"/>
    </row>
    <row r="705" spans="1:23" hidden="1" x14ac:dyDescent="0.3">
      <c r="A705" s="706"/>
      <c r="B705" s="706"/>
      <c r="C705" s="621"/>
      <c r="D705" s="647" t="str">
        <f>D704&amp;"KW"</f>
        <v>KW</v>
      </c>
      <c r="E705" s="619" t="s">
        <v>155</v>
      </c>
      <c r="F705" s="1856"/>
      <c r="G705" s="1857"/>
      <c r="H705" s="1856"/>
      <c r="I705" s="1857"/>
      <c r="J705" s="1856"/>
      <c r="K705" s="1857"/>
      <c r="L705" s="1856"/>
      <c r="M705" s="1857"/>
      <c r="N705" s="1856"/>
      <c r="O705" s="1857"/>
      <c r="P705" s="706"/>
      <c r="Q705" s="706"/>
      <c r="R705" s="706"/>
      <c r="S705" s="706"/>
      <c r="T705" s="706"/>
      <c r="U705" s="706"/>
      <c r="V705" s="706"/>
      <c r="W705" s="706"/>
    </row>
    <row r="706" spans="1:23" hidden="1" x14ac:dyDescent="0.3">
      <c r="A706" s="706"/>
      <c r="B706" s="706"/>
      <c r="C706" s="621" t="s">
        <v>5410</v>
      </c>
      <c r="D706" s="754"/>
      <c r="E706" s="619" t="s">
        <v>154</v>
      </c>
      <c r="F706" s="1856"/>
      <c r="G706" s="1857"/>
      <c r="H706" s="1856"/>
      <c r="I706" s="1857"/>
      <c r="J706" s="1856"/>
      <c r="K706" s="1857"/>
      <c r="L706" s="1856"/>
      <c r="M706" s="1857"/>
      <c r="N706" s="1856"/>
      <c r="O706" s="1857"/>
      <c r="P706" s="706"/>
      <c r="Q706" s="706"/>
      <c r="R706" s="706"/>
      <c r="S706" s="706"/>
      <c r="T706" s="706"/>
      <c r="U706" s="706"/>
      <c r="V706" s="706"/>
      <c r="W706" s="706"/>
    </row>
    <row r="707" spans="1:23" hidden="1" x14ac:dyDescent="0.3">
      <c r="A707" s="706"/>
      <c r="B707" s="706"/>
      <c r="C707" s="621"/>
      <c r="D707" s="647" t="str">
        <f>D706&amp;"KW"</f>
        <v>KW</v>
      </c>
      <c r="E707" s="619" t="s">
        <v>155</v>
      </c>
      <c r="F707" s="1856"/>
      <c r="G707" s="1857"/>
      <c r="H707" s="1856"/>
      <c r="I707" s="1857"/>
      <c r="J707" s="1856"/>
      <c r="K707" s="1857"/>
      <c r="L707" s="1856"/>
      <c r="M707" s="1857"/>
      <c r="N707" s="1856"/>
      <c r="O707" s="1857"/>
      <c r="P707" s="706"/>
      <c r="Q707" s="706"/>
      <c r="R707" s="706"/>
      <c r="S707" s="706"/>
      <c r="T707" s="706"/>
      <c r="U707" s="706"/>
      <c r="V707" s="706"/>
      <c r="W707" s="706"/>
    </row>
    <row r="708" spans="1:23" hidden="1" x14ac:dyDescent="0.3">
      <c r="A708" s="706"/>
      <c r="B708" s="706"/>
      <c r="C708" s="621" t="s">
        <v>5411</v>
      </c>
      <c r="D708" s="754"/>
      <c r="E708" s="619" t="s">
        <v>154</v>
      </c>
      <c r="F708" s="1856"/>
      <c r="G708" s="1857"/>
      <c r="H708" s="1856"/>
      <c r="I708" s="1857"/>
      <c r="J708" s="1856"/>
      <c r="K708" s="1857"/>
      <c r="L708" s="1856"/>
      <c r="M708" s="1857"/>
      <c r="N708" s="1856"/>
      <c r="O708" s="1857"/>
      <c r="P708" s="706"/>
      <c r="Q708" s="706"/>
      <c r="R708" s="706"/>
      <c r="S708" s="706"/>
      <c r="T708" s="706"/>
      <c r="U708" s="706"/>
      <c r="V708" s="706"/>
      <c r="W708" s="706"/>
    </row>
    <row r="709" spans="1:23" hidden="1" x14ac:dyDescent="0.3">
      <c r="A709" s="706"/>
      <c r="B709" s="706"/>
      <c r="C709" s="621"/>
      <c r="D709" s="647" t="str">
        <f>D708&amp;"KW"</f>
        <v>KW</v>
      </c>
      <c r="E709" s="619" t="s">
        <v>155</v>
      </c>
      <c r="F709" s="1856"/>
      <c r="G709" s="1857"/>
      <c r="H709" s="1856"/>
      <c r="I709" s="1857"/>
      <c r="J709" s="1856"/>
      <c r="K709" s="1857"/>
      <c r="L709" s="1856"/>
      <c r="M709" s="1857"/>
      <c r="N709" s="1856"/>
      <c r="O709" s="1857"/>
      <c r="P709" s="706"/>
      <c r="Q709" s="706"/>
      <c r="R709" s="706"/>
      <c r="S709" s="706"/>
      <c r="T709" s="706"/>
      <c r="U709" s="706"/>
      <c r="V709" s="706"/>
      <c r="W709" s="706"/>
    </row>
    <row r="710" spans="1:23" hidden="1" x14ac:dyDescent="0.3">
      <c r="A710" s="706"/>
      <c r="B710" s="706"/>
      <c r="C710" s="621" t="s">
        <v>5412</v>
      </c>
      <c r="D710" s="754"/>
      <c r="E710" s="619" t="s">
        <v>154</v>
      </c>
      <c r="F710" s="1856"/>
      <c r="G710" s="1857"/>
      <c r="H710" s="1856"/>
      <c r="I710" s="1857"/>
      <c r="J710" s="1856"/>
      <c r="K710" s="1857"/>
      <c r="L710" s="1856"/>
      <c r="M710" s="1857"/>
      <c r="N710" s="1856"/>
      <c r="O710" s="1857"/>
      <c r="P710" s="706"/>
      <c r="Q710" s="706"/>
      <c r="R710" s="706"/>
      <c r="S710" s="706"/>
      <c r="T710" s="706"/>
      <c r="U710" s="706"/>
      <c r="V710" s="706"/>
      <c r="W710" s="706"/>
    </row>
    <row r="711" spans="1:23" hidden="1" x14ac:dyDescent="0.3">
      <c r="A711" s="706"/>
      <c r="B711" s="706"/>
      <c r="C711" s="621"/>
      <c r="D711" s="647" t="str">
        <f>D710&amp;"KW"</f>
        <v>KW</v>
      </c>
      <c r="E711" s="619" t="s">
        <v>155</v>
      </c>
      <c r="F711" s="1856"/>
      <c r="G711" s="1857"/>
      <c r="H711" s="1856"/>
      <c r="I711" s="1857"/>
      <c r="J711" s="1856"/>
      <c r="K711" s="1857"/>
      <c r="L711" s="1856"/>
      <c r="M711" s="1857"/>
      <c r="N711" s="1856"/>
      <c r="O711" s="1857"/>
      <c r="P711" s="706"/>
      <c r="Q711" s="706"/>
      <c r="R711" s="706"/>
      <c r="S711" s="706"/>
      <c r="T711" s="706"/>
      <c r="U711" s="706"/>
      <c r="V711" s="706"/>
      <c r="W711" s="706"/>
    </row>
    <row r="712" spans="1:23" hidden="1" x14ac:dyDescent="0.3">
      <c r="A712" s="706"/>
      <c r="B712" s="706"/>
      <c r="C712" s="621" t="s">
        <v>5413</v>
      </c>
      <c r="D712" s="754"/>
      <c r="E712" s="619" t="s">
        <v>154</v>
      </c>
      <c r="F712" s="1856"/>
      <c r="G712" s="1857"/>
      <c r="H712" s="1856"/>
      <c r="I712" s="1857"/>
      <c r="J712" s="1856"/>
      <c r="K712" s="1857"/>
      <c r="L712" s="1856"/>
      <c r="M712" s="1857"/>
      <c r="N712" s="1856"/>
      <c r="O712" s="1857"/>
      <c r="P712" s="706"/>
      <c r="Q712" s="706"/>
      <c r="R712" s="706"/>
      <c r="S712" s="706"/>
      <c r="T712" s="706"/>
      <c r="U712" s="706"/>
      <c r="V712" s="706"/>
      <c r="W712" s="706"/>
    </row>
    <row r="713" spans="1:23" hidden="1" x14ac:dyDescent="0.3">
      <c r="A713" s="706"/>
      <c r="B713" s="706"/>
      <c r="C713" s="621"/>
      <c r="D713" s="647" t="str">
        <f>D712&amp;"KW"</f>
        <v>KW</v>
      </c>
      <c r="E713" s="619" t="s">
        <v>155</v>
      </c>
      <c r="F713" s="1856"/>
      <c r="G713" s="1857"/>
      <c r="H713" s="1856"/>
      <c r="I713" s="1857"/>
      <c r="J713" s="1856"/>
      <c r="K713" s="1857"/>
      <c r="L713" s="1856"/>
      <c r="M713" s="1857"/>
      <c r="N713" s="1856"/>
      <c r="O713" s="1857"/>
      <c r="P713" s="706"/>
      <c r="Q713" s="706"/>
      <c r="R713" s="706"/>
      <c r="S713" s="706"/>
      <c r="T713" s="706"/>
      <c r="U713" s="706"/>
      <c r="V713" s="706"/>
      <c r="W713" s="706"/>
    </row>
    <row r="714" spans="1:23" hidden="1" x14ac:dyDescent="0.3">
      <c r="A714" s="706"/>
      <c r="B714" s="706"/>
      <c r="C714" s="621" t="s">
        <v>5414</v>
      </c>
      <c r="D714" s="754"/>
      <c r="E714" s="619" t="s">
        <v>154</v>
      </c>
      <c r="F714" s="1856"/>
      <c r="G714" s="1857"/>
      <c r="H714" s="1856"/>
      <c r="I714" s="1857"/>
      <c r="J714" s="1856"/>
      <c r="K714" s="1857"/>
      <c r="L714" s="1856"/>
      <c r="M714" s="1857"/>
      <c r="N714" s="1856"/>
      <c r="O714" s="1857"/>
      <c r="P714" s="706"/>
      <c r="Q714" s="706"/>
      <c r="R714" s="706"/>
      <c r="S714" s="706"/>
      <c r="T714" s="706"/>
      <c r="U714" s="706"/>
      <c r="V714" s="706"/>
      <c r="W714" s="706"/>
    </row>
    <row r="715" spans="1:23" hidden="1" x14ac:dyDescent="0.3">
      <c r="A715" s="706"/>
      <c r="B715" s="706"/>
      <c r="C715" s="621"/>
      <c r="D715" s="647" t="str">
        <f>D714&amp;"KW"</f>
        <v>KW</v>
      </c>
      <c r="E715" s="619" t="s">
        <v>155</v>
      </c>
      <c r="F715" s="1856"/>
      <c r="G715" s="1857"/>
      <c r="H715" s="1856"/>
      <c r="I715" s="1857"/>
      <c r="J715" s="1856"/>
      <c r="K715" s="1857"/>
      <c r="L715" s="1856"/>
      <c r="M715" s="1857"/>
      <c r="N715" s="1856"/>
      <c r="O715" s="1857"/>
      <c r="P715" s="706"/>
      <c r="Q715" s="706"/>
      <c r="R715" s="706"/>
      <c r="S715" s="706"/>
      <c r="T715" s="706"/>
      <c r="U715" s="706"/>
      <c r="V715" s="706"/>
      <c r="W715" s="706"/>
    </row>
    <row r="716" spans="1:23" hidden="1" x14ac:dyDescent="0.3">
      <c r="A716" s="706"/>
      <c r="B716" s="706"/>
      <c r="C716" s="621" t="s">
        <v>5415</v>
      </c>
      <c r="D716" s="754"/>
      <c r="E716" s="619" t="s">
        <v>154</v>
      </c>
      <c r="F716" s="1856"/>
      <c r="G716" s="1857"/>
      <c r="H716" s="1856"/>
      <c r="I716" s="1857"/>
      <c r="J716" s="1856"/>
      <c r="K716" s="1857"/>
      <c r="L716" s="1856"/>
      <c r="M716" s="1857"/>
      <c r="N716" s="1856"/>
      <c r="O716" s="1857"/>
      <c r="P716" s="706"/>
      <c r="Q716" s="706"/>
      <c r="R716" s="706"/>
      <c r="S716" s="706"/>
      <c r="T716" s="706"/>
      <c r="U716" s="706"/>
      <c r="V716" s="706"/>
      <c r="W716" s="706"/>
    </row>
    <row r="717" spans="1:23" hidden="1" x14ac:dyDescent="0.3">
      <c r="A717" s="706"/>
      <c r="B717" s="706"/>
      <c r="C717" s="621"/>
      <c r="D717" s="647" t="str">
        <f>D716&amp;"KW"</f>
        <v>KW</v>
      </c>
      <c r="E717" s="619" t="s">
        <v>155</v>
      </c>
      <c r="F717" s="1856"/>
      <c r="G717" s="1857"/>
      <c r="H717" s="1856"/>
      <c r="I717" s="1857"/>
      <c r="J717" s="1856"/>
      <c r="K717" s="1857"/>
      <c r="L717" s="1856"/>
      <c r="M717" s="1857"/>
      <c r="N717" s="1856"/>
      <c r="O717" s="1857"/>
      <c r="P717" s="706"/>
      <c r="Q717" s="706"/>
      <c r="R717" s="706"/>
      <c r="S717" s="706"/>
      <c r="T717" s="706"/>
      <c r="U717" s="706"/>
      <c r="V717" s="706"/>
      <c r="W717" s="706"/>
    </row>
    <row r="718" spans="1:23" hidden="1" x14ac:dyDescent="0.3">
      <c r="A718" s="706"/>
      <c r="B718" s="706"/>
      <c r="C718" s="621" t="s">
        <v>5416</v>
      </c>
      <c r="D718" s="754"/>
      <c r="E718" s="619" t="s">
        <v>154</v>
      </c>
      <c r="F718" s="1856"/>
      <c r="G718" s="1857"/>
      <c r="H718" s="1856"/>
      <c r="I718" s="1857"/>
      <c r="J718" s="1856"/>
      <c r="K718" s="1857"/>
      <c r="L718" s="1856"/>
      <c r="M718" s="1857"/>
      <c r="N718" s="1856"/>
      <c r="O718" s="1857"/>
      <c r="P718" s="706"/>
      <c r="Q718" s="706"/>
      <c r="R718" s="706"/>
      <c r="S718" s="706"/>
      <c r="T718" s="706"/>
      <c r="U718" s="706"/>
      <c r="V718" s="706"/>
      <c r="W718" s="706"/>
    </row>
    <row r="719" spans="1:23" hidden="1" x14ac:dyDescent="0.3">
      <c r="A719" s="706"/>
      <c r="B719" s="706"/>
      <c r="C719" s="621"/>
      <c r="D719" s="647" t="str">
        <f>D718&amp;"KW"</f>
        <v>KW</v>
      </c>
      <c r="E719" s="619" t="s">
        <v>155</v>
      </c>
      <c r="F719" s="1856"/>
      <c r="G719" s="1857"/>
      <c r="H719" s="1856"/>
      <c r="I719" s="1857"/>
      <c r="J719" s="1856"/>
      <c r="K719" s="1857"/>
      <c r="L719" s="1856"/>
      <c r="M719" s="1857"/>
      <c r="N719" s="1856"/>
      <c r="O719" s="1857"/>
      <c r="P719" s="706"/>
      <c r="Q719" s="706"/>
      <c r="R719" s="706"/>
      <c r="S719" s="706"/>
      <c r="T719" s="706"/>
      <c r="U719" s="706"/>
      <c r="V719" s="706"/>
      <c r="W719" s="706"/>
    </row>
    <row r="720" spans="1:23" hidden="1" x14ac:dyDescent="0.3">
      <c r="A720" s="706"/>
      <c r="B720" s="706"/>
      <c r="C720" s="621" t="s">
        <v>5417</v>
      </c>
      <c r="D720" s="754"/>
      <c r="E720" s="619" t="s">
        <v>154</v>
      </c>
      <c r="F720" s="1856"/>
      <c r="G720" s="1857"/>
      <c r="H720" s="1856"/>
      <c r="I720" s="1857"/>
      <c r="J720" s="1856"/>
      <c r="K720" s="1857"/>
      <c r="L720" s="1856"/>
      <c r="M720" s="1857"/>
      <c r="N720" s="1856"/>
      <c r="O720" s="1857"/>
      <c r="P720" s="706"/>
      <c r="Q720" s="706"/>
      <c r="R720" s="706"/>
      <c r="S720" s="706"/>
      <c r="T720" s="706"/>
      <c r="U720" s="706"/>
      <c r="V720" s="706"/>
      <c r="W720" s="706"/>
    </row>
    <row r="721" spans="1:23" hidden="1" x14ac:dyDescent="0.3">
      <c r="A721" s="706"/>
      <c r="B721" s="706"/>
      <c r="C721" s="621"/>
      <c r="D721" s="647" t="str">
        <f>D720&amp;"KW"</f>
        <v>KW</v>
      </c>
      <c r="E721" s="619" t="s">
        <v>155</v>
      </c>
      <c r="F721" s="1856"/>
      <c r="G721" s="1857"/>
      <c r="H721" s="1856"/>
      <c r="I721" s="1857"/>
      <c r="J721" s="1856"/>
      <c r="K721" s="1857"/>
      <c r="L721" s="1856"/>
      <c r="M721" s="1857"/>
      <c r="N721" s="1856"/>
      <c r="O721" s="1857"/>
      <c r="P721" s="706"/>
      <c r="Q721" s="706"/>
      <c r="R721" s="706"/>
      <c r="S721" s="706"/>
      <c r="T721" s="706"/>
      <c r="U721" s="706"/>
      <c r="V721" s="706"/>
      <c r="W721" s="706"/>
    </row>
    <row r="722" spans="1:23" hidden="1" x14ac:dyDescent="0.3">
      <c r="A722" s="706"/>
      <c r="B722" s="706"/>
      <c r="C722" s="621" t="s">
        <v>5418</v>
      </c>
      <c r="D722" s="754"/>
      <c r="E722" s="619" t="s">
        <v>154</v>
      </c>
      <c r="F722" s="1856"/>
      <c r="G722" s="1857"/>
      <c r="H722" s="1856"/>
      <c r="I722" s="1857"/>
      <c r="J722" s="1856"/>
      <c r="K722" s="1857"/>
      <c r="L722" s="1856"/>
      <c r="M722" s="1857"/>
      <c r="N722" s="1856"/>
      <c r="O722" s="1857"/>
      <c r="P722" s="706"/>
      <c r="Q722" s="706"/>
      <c r="R722" s="706"/>
      <c r="S722" s="706"/>
      <c r="T722" s="706"/>
      <c r="U722" s="706"/>
      <c r="V722" s="706"/>
      <c r="W722" s="706"/>
    </row>
    <row r="723" spans="1:23" hidden="1" x14ac:dyDescent="0.3">
      <c r="A723" s="706"/>
      <c r="B723" s="706"/>
      <c r="C723" s="621"/>
      <c r="D723" s="647" t="str">
        <f>D722&amp;"KW"</f>
        <v>KW</v>
      </c>
      <c r="E723" s="619" t="s">
        <v>155</v>
      </c>
      <c r="F723" s="1856"/>
      <c r="G723" s="1857"/>
      <c r="H723" s="1856"/>
      <c r="I723" s="1857"/>
      <c r="J723" s="1856"/>
      <c r="K723" s="1857"/>
      <c r="L723" s="1856"/>
      <c r="M723" s="1857"/>
      <c r="N723" s="1856"/>
      <c r="O723" s="1857"/>
      <c r="P723" s="706"/>
      <c r="Q723" s="706"/>
      <c r="R723" s="706"/>
      <c r="S723" s="706"/>
      <c r="T723" s="706"/>
      <c r="U723" s="706"/>
      <c r="V723" s="706"/>
      <c r="W723" s="706"/>
    </row>
    <row r="724" spans="1:23" hidden="1" x14ac:dyDescent="0.3">
      <c r="A724" s="706"/>
      <c r="B724" s="706"/>
      <c r="C724" s="621" t="s">
        <v>5419</v>
      </c>
      <c r="D724" s="754"/>
      <c r="E724" s="619" t="s">
        <v>154</v>
      </c>
      <c r="F724" s="1856"/>
      <c r="G724" s="1857"/>
      <c r="H724" s="1856"/>
      <c r="I724" s="1857"/>
      <c r="J724" s="1856"/>
      <c r="K724" s="1857"/>
      <c r="L724" s="1856"/>
      <c r="M724" s="1857"/>
      <c r="N724" s="1856"/>
      <c r="O724" s="1857"/>
      <c r="P724" s="706"/>
      <c r="Q724" s="706"/>
      <c r="R724" s="706"/>
      <c r="S724" s="706"/>
      <c r="T724" s="706"/>
      <c r="U724" s="706"/>
      <c r="V724" s="706"/>
      <c r="W724" s="706"/>
    </row>
    <row r="725" spans="1:23" hidden="1" x14ac:dyDescent="0.3">
      <c r="A725" s="706"/>
      <c r="B725" s="706"/>
      <c r="C725" s="621"/>
      <c r="D725" s="647" t="str">
        <f>D724&amp;"KW"</f>
        <v>KW</v>
      </c>
      <c r="E725" s="619" t="s">
        <v>155</v>
      </c>
      <c r="F725" s="1856"/>
      <c r="G725" s="1857"/>
      <c r="H725" s="1856"/>
      <c r="I725" s="1857"/>
      <c r="J725" s="1856"/>
      <c r="K725" s="1857"/>
      <c r="L725" s="1856"/>
      <c r="M725" s="1857"/>
      <c r="N725" s="1856"/>
      <c r="O725" s="1857"/>
      <c r="P725" s="706"/>
      <c r="Q725" s="706"/>
      <c r="R725" s="706"/>
      <c r="S725" s="706"/>
      <c r="T725" s="706"/>
      <c r="U725" s="706"/>
      <c r="V725" s="706"/>
      <c r="W725" s="706"/>
    </row>
    <row r="726" spans="1:23" hidden="1" x14ac:dyDescent="0.3">
      <c r="A726" s="706"/>
      <c r="B726" s="706"/>
      <c r="C726" s="621" t="s">
        <v>5420</v>
      </c>
      <c r="D726" s="754"/>
      <c r="E726" s="619" t="s">
        <v>154</v>
      </c>
      <c r="F726" s="1856"/>
      <c r="G726" s="1857"/>
      <c r="H726" s="1856"/>
      <c r="I726" s="1857"/>
      <c r="J726" s="1856"/>
      <c r="K726" s="1857"/>
      <c r="L726" s="1856"/>
      <c r="M726" s="1857"/>
      <c r="N726" s="1856"/>
      <c r="O726" s="1857"/>
      <c r="P726" s="706"/>
      <c r="Q726" s="706"/>
      <c r="R726" s="706"/>
      <c r="S726" s="706"/>
      <c r="T726" s="706"/>
      <c r="U726" s="706"/>
      <c r="V726" s="706"/>
      <c r="W726" s="706"/>
    </row>
    <row r="727" spans="1:23" hidden="1" x14ac:dyDescent="0.3">
      <c r="A727" s="706"/>
      <c r="B727" s="706"/>
      <c r="C727" s="621"/>
      <c r="D727" s="647" t="str">
        <f>D726&amp;"KW"</f>
        <v>KW</v>
      </c>
      <c r="E727" s="619" t="s">
        <v>155</v>
      </c>
      <c r="F727" s="1856"/>
      <c r="G727" s="1857"/>
      <c r="H727" s="1856"/>
      <c r="I727" s="1857"/>
      <c r="J727" s="1856"/>
      <c r="K727" s="1857"/>
      <c r="L727" s="1856"/>
      <c r="M727" s="1857"/>
      <c r="N727" s="1856"/>
      <c r="O727" s="1857"/>
      <c r="P727" s="706"/>
      <c r="Q727" s="706"/>
      <c r="R727" s="706"/>
      <c r="S727" s="706"/>
      <c r="T727" s="706"/>
      <c r="U727" s="706"/>
      <c r="V727" s="706"/>
      <c r="W727" s="706"/>
    </row>
    <row r="728" spans="1:23" hidden="1" x14ac:dyDescent="0.3">
      <c r="A728" s="706"/>
      <c r="B728" s="706"/>
      <c r="C728" s="621" t="s">
        <v>5421</v>
      </c>
      <c r="D728" s="754"/>
      <c r="E728" s="619" t="s">
        <v>154</v>
      </c>
      <c r="F728" s="1856"/>
      <c r="G728" s="1857"/>
      <c r="H728" s="1856"/>
      <c r="I728" s="1857"/>
      <c r="J728" s="1856"/>
      <c r="K728" s="1857"/>
      <c r="L728" s="1856"/>
      <c r="M728" s="1857"/>
      <c r="N728" s="1856"/>
      <c r="O728" s="1857"/>
      <c r="P728" s="706"/>
      <c r="Q728" s="706"/>
      <c r="R728" s="706"/>
      <c r="S728" s="706"/>
      <c r="T728" s="706"/>
      <c r="U728" s="706"/>
      <c r="V728" s="706"/>
      <c r="W728" s="706"/>
    </row>
    <row r="729" spans="1:23" hidden="1" x14ac:dyDescent="0.3">
      <c r="A729" s="706"/>
      <c r="B729" s="706"/>
      <c r="C729" s="621"/>
      <c r="D729" s="647" t="str">
        <f>D728&amp;"KW"</f>
        <v>KW</v>
      </c>
      <c r="E729" s="619" t="s">
        <v>155</v>
      </c>
      <c r="F729" s="1856"/>
      <c r="G729" s="1857"/>
      <c r="H729" s="1856"/>
      <c r="I729" s="1857"/>
      <c r="J729" s="1856"/>
      <c r="K729" s="1857"/>
      <c r="L729" s="1856"/>
      <c r="M729" s="1857"/>
      <c r="N729" s="1856"/>
      <c r="O729" s="1857"/>
      <c r="P729" s="706"/>
      <c r="Q729" s="706"/>
      <c r="R729" s="706"/>
      <c r="S729" s="706"/>
      <c r="T729" s="706"/>
      <c r="U729" s="706"/>
      <c r="V729" s="706"/>
      <c r="W729" s="706"/>
    </row>
    <row r="730" spans="1:23" hidden="1" x14ac:dyDescent="0.3">
      <c r="A730" s="706"/>
      <c r="B730" s="706"/>
      <c r="C730" s="621" t="s">
        <v>5422</v>
      </c>
      <c r="D730" s="754"/>
      <c r="E730" s="619" t="s">
        <v>154</v>
      </c>
      <c r="F730" s="1856"/>
      <c r="G730" s="1857"/>
      <c r="H730" s="1856"/>
      <c r="I730" s="1857"/>
      <c r="J730" s="1856"/>
      <c r="K730" s="1857"/>
      <c r="L730" s="1856"/>
      <c r="M730" s="1857"/>
      <c r="N730" s="1856"/>
      <c r="O730" s="1857"/>
      <c r="P730" s="706"/>
      <c r="Q730" s="706"/>
      <c r="R730" s="706"/>
      <c r="S730" s="706"/>
      <c r="T730" s="706"/>
      <c r="U730" s="706"/>
      <c r="V730" s="706"/>
      <c r="W730" s="706"/>
    </row>
    <row r="731" spans="1:23" hidden="1" x14ac:dyDescent="0.3">
      <c r="A731" s="706"/>
      <c r="B731" s="706"/>
      <c r="C731" s="621"/>
      <c r="D731" s="647" t="str">
        <f>D730&amp;"KW"</f>
        <v>KW</v>
      </c>
      <c r="E731" s="619" t="s">
        <v>155</v>
      </c>
      <c r="F731" s="1856"/>
      <c r="G731" s="1857"/>
      <c r="H731" s="1856"/>
      <c r="I731" s="1857"/>
      <c r="J731" s="1856"/>
      <c r="K731" s="1857"/>
      <c r="L731" s="1856"/>
      <c r="M731" s="1857"/>
      <c r="N731" s="1856"/>
      <c r="O731" s="1857"/>
      <c r="P731" s="706"/>
      <c r="Q731" s="706"/>
      <c r="R731" s="706"/>
      <c r="S731" s="706"/>
      <c r="T731" s="706"/>
      <c r="U731" s="706"/>
      <c r="V731" s="706"/>
      <c r="W731" s="706"/>
    </row>
    <row r="732" spans="1:23" hidden="1" x14ac:dyDescent="0.3">
      <c r="A732" s="706"/>
      <c r="B732" s="706"/>
      <c r="C732" s="621" t="s">
        <v>5423</v>
      </c>
      <c r="D732" s="754"/>
      <c r="E732" s="619" t="s">
        <v>154</v>
      </c>
      <c r="F732" s="1856"/>
      <c r="G732" s="1857"/>
      <c r="H732" s="1856"/>
      <c r="I732" s="1857"/>
      <c r="J732" s="1856"/>
      <c r="K732" s="1857"/>
      <c r="L732" s="1856"/>
      <c r="M732" s="1857"/>
      <c r="N732" s="1856"/>
      <c r="O732" s="1857"/>
      <c r="P732" s="706"/>
      <c r="Q732" s="706"/>
      <c r="R732" s="706"/>
      <c r="S732" s="706"/>
      <c r="T732" s="706"/>
      <c r="U732" s="706"/>
      <c r="V732" s="706"/>
      <c r="W732" s="706"/>
    </row>
    <row r="733" spans="1:23" hidden="1" x14ac:dyDescent="0.3">
      <c r="A733" s="706"/>
      <c r="B733" s="706"/>
      <c r="C733" s="621"/>
      <c r="D733" s="647" t="str">
        <f>D732&amp;"KW"</f>
        <v>KW</v>
      </c>
      <c r="E733" s="619" t="s">
        <v>155</v>
      </c>
      <c r="F733" s="1856"/>
      <c r="G733" s="1857"/>
      <c r="H733" s="1856"/>
      <c r="I733" s="1857"/>
      <c r="J733" s="1856"/>
      <c r="K733" s="1857"/>
      <c r="L733" s="1856"/>
      <c r="M733" s="1857"/>
      <c r="N733" s="1856"/>
      <c r="O733" s="1857"/>
      <c r="P733" s="706"/>
      <c r="Q733" s="706"/>
      <c r="R733" s="706"/>
      <c r="S733" s="706"/>
      <c r="T733" s="706"/>
      <c r="U733" s="706"/>
      <c r="V733" s="706"/>
      <c r="W733" s="706"/>
    </row>
    <row r="734" spans="1:23" hidden="1" x14ac:dyDescent="0.3">
      <c r="A734" s="706"/>
      <c r="B734" s="706"/>
      <c r="C734" s="621" t="s">
        <v>5424</v>
      </c>
      <c r="D734" s="754"/>
      <c r="E734" s="619" t="s">
        <v>154</v>
      </c>
      <c r="F734" s="1856"/>
      <c r="G734" s="1857"/>
      <c r="H734" s="1856"/>
      <c r="I734" s="1857"/>
      <c r="J734" s="1856"/>
      <c r="K734" s="1857"/>
      <c r="L734" s="1856"/>
      <c r="M734" s="1857"/>
      <c r="N734" s="1856"/>
      <c r="O734" s="1857"/>
      <c r="P734" s="706"/>
      <c r="Q734" s="706"/>
      <c r="R734" s="706"/>
      <c r="S734" s="706"/>
      <c r="T734" s="706"/>
      <c r="U734" s="706"/>
      <c r="V734" s="706"/>
      <c r="W734" s="706"/>
    </row>
    <row r="735" spans="1:23" hidden="1" x14ac:dyDescent="0.3">
      <c r="A735" s="706"/>
      <c r="B735" s="706"/>
      <c r="C735" s="621"/>
      <c r="D735" s="647" t="str">
        <f>D734&amp;"KW"</f>
        <v>KW</v>
      </c>
      <c r="E735" s="619" t="s">
        <v>155</v>
      </c>
      <c r="F735" s="1856"/>
      <c r="G735" s="1857"/>
      <c r="H735" s="1856"/>
      <c r="I735" s="1857"/>
      <c r="J735" s="1856"/>
      <c r="K735" s="1857"/>
      <c r="L735" s="1856"/>
      <c r="M735" s="1857"/>
      <c r="N735" s="1856"/>
      <c r="O735" s="1857"/>
      <c r="P735" s="706"/>
      <c r="Q735" s="706"/>
      <c r="R735" s="706"/>
      <c r="S735" s="706"/>
      <c r="T735" s="706"/>
      <c r="U735" s="706"/>
      <c r="V735" s="706"/>
      <c r="W735" s="706"/>
    </row>
    <row r="736" spans="1:23" hidden="1" x14ac:dyDescent="0.3">
      <c r="A736" s="706"/>
      <c r="B736" s="706"/>
      <c r="C736" s="621" t="s">
        <v>5425</v>
      </c>
      <c r="D736" s="754"/>
      <c r="E736" s="619" t="s">
        <v>154</v>
      </c>
      <c r="F736" s="1856"/>
      <c r="G736" s="1857"/>
      <c r="H736" s="1856"/>
      <c r="I736" s="1857"/>
      <c r="J736" s="1856"/>
      <c r="K736" s="1857"/>
      <c r="L736" s="1856"/>
      <c r="M736" s="1857"/>
      <c r="N736" s="1856"/>
      <c r="O736" s="1857"/>
      <c r="P736" s="706"/>
      <c r="Q736" s="706"/>
      <c r="R736" s="706"/>
      <c r="S736" s="706"/>
      <c r="T736" s="706"/>
      <c r="U736" s="706"/>
      <c r="V736" s="706"/>
      <c r="W736" s="706"/>
    </row>
    <row r="737" spans="1:23" hidden="1" x14ac:dyDescent="0.3">
      <c r="A737" s="706"/>
      <c r="B737" s="706"/>
      <c r="C737" s="621"/>
      <c r="D737" s="647" t="str">
        <f>D736&amp;"KW"</f>
        <v>KW</v>
      </c>
      <c r="E737" s="619" t="s">
        <v>155</v>
      </c>
      <c r="F737" s="1856"/>
      <c r="G737" s="1857"/>
      <c r="H737" s="1856"/>
      <c r="I737" s="1857"/>
      <c r="J737" s="1856"/>
      <c r="K737" s="1857"/>
      <c r="L737" s="1856"/>
      <c r="M737" s="1857"/>
      <c r="N737" s="1856"/>
      <c r="O737" s="1857"/>
      <c r="P737" s="706"/>
      <c r="Q737" s="706"/>
      <c r="R737" s="706"/>
      <c r="S737" s="706"/>
      <c r="T737" s="706"/>
      <c r="U737" s="706"/>
      <c r="V737" s="706"/>
      <c r="W737" s="706"/>
    </row>
    <row r="738" spans="1:23" hidden="1" x14ac:dyDescent="0.3">
      <c r="A738" s="706"/>
      <c r="B738" s="706"/>
      <c r="C738" s="621" t="s">
        <v>5426</v>
      </c>
      <c r="D738" s="754"/>
      <c r="E738" s="619" t="s">
        <v>154</v>
      </c>
      <c r="F738" s="1856"/>
      <c r="G738" s="1857"/>
      <c r="H738" s="1856"/>
      <c r="I738" s="1857"/>
      <c r="J738" s="1856"/>
      <c r="K738" s="1857"/>
      <c r="L738" s="1856"/>
      <c r="M738" s="1857"/>
      <c r="N738" s="1856"/>
      <c r="O738" s="1857"/>
      <c r="P738" s="706"/>
      <c r="Q738" s="706"/>
      <c r="R738" s="706"/>
      <c r="S738" s="706"/>
      <c r="T738" s="706"/>
      <c r="U738" s="706"/>
      <c r="V738" s="706"/>
      <c r="W738" s="706"/>
    </row>
    <row r="739" spans="1:23" hidden="1" x14ac:dyDescent="0.3">
      <c r="A739" s="706"/>
      <c r="B739" s="706"/>
      <c r="C739" s="621"/>
      <c r="D739" s="647" t="str">
        <f>D738&amp;"KW"</f>
        <v>KW</v>
      </c>
      <c r="E739" s="619" t="s">
        <v>155</v>
      </c>
      <c r="F739" s="1856"/>
      <c r="G739" s="1857"/>
      <c r="H739" s="1856"/>
      <c r="I739" s="1857"/>
      <c r="J739" s="1856"/>
      <c r="K739" s="1857"/>
      <c r="L739" s="1856"/>
      <c r="M739" s="1857"/>
      <c r="N739" s="1856"/>
      <c r="O739" s="1857"/>
      <c r="P739" s="706"/>
      <c r="Q739" s="706"/>
      <c r="R739" s="706"/>
      <c r="S739" s="706"/>
      <c r="T739" s="706"/>
      <c r="U739" s="706"/>
      <c r="V739" s="706"/>
      <c r="W739" s="706"/>
    </row>
    <row r="740" spans="1:23" hidden="1" x14ac:dyDescent="0.3">
      <c r="A740" s="706"/>
      <c r="B740" s="706"/>
      <c r="C740" s="621" t="s">
        <v>5427</v>
      </c>
      <c r="D740" s="754"/>
      <c r="E740" s="619" t="s">
        <v>154</v>
      </c>
      <c r="F740" s="1856"/>
      <c r="G740" s="1857"/>
      <c r="H740" s="1856"/>
      <c r="I740" s="1857"/>
      <c r="J740" s="1856"/>
      <c r="K740" s="1857"/>
      <c r="L740" s="1856"/>
      <c r="M740" s="1857"/>
      <c r="N740" s="1856"/>
      <c r="O740" s="1857"/>
      <c r="P740" s="706"/>
      <c r="Q740" s="706"/>
      <c r="R740" s="706"/>
      <c r="S740" s="706"/>
      <c r="T740" s="706"/>
      <c r="U740" s="706"/>
      <c r="V740" s="706"/>
      <c r="W740" s="706"/>
    </row>
    <row r="741" spans="1:23" hidden="1" x14ac:dyDescent="0.3">
      <c r="A741" s="706"/>
      <c r="B741" s="706"/>
      <c r="C741" s="621"/>
      <c r="D741" s="647" t="str">
        <f>D740&amp;"KW"</f>
        <v>KW</v>
      </c>
      <c r="E741" s="619" t="s">
        <v>155</v>
      </c>
      <c r="F741" s="1856"/>
      <c r="G741" s="1857"/>
      <c r="H741" s="1856"/>
      <c r="I741" s="1857"/>
      <c r="J741" s="1856"/>
      <c r="K741" s="1857"/>
      <c r="L741" s="1856"/>
      <c r="M741" s="1857"/>
      <c r="N741" s="1856"/>
      <c r="O741" s="1857"/>
      <c r="P741" s="706"/>
      <c r="Q741" s="706"/>
      <c r="R741" s="706"/>
      <c r="S741" s="706"/>
      <c r="T741" s="706"/>
      <c r="U741" s="706"/>
      <c r="V741" s="706"/>
      <c r="W741" s="706"/>
    </row>
    <row r="742" spans="1:23" hidden="1" x14ac:dyDescent="0.3">
      <c r="A742" s="706"/>
      <c r="B742" s="706"/>
      <c r="C742" s="621" t="s">
        <v>5428</v>
      </c>
      <c r="D742" s="754"/>
      <c r="E742" s="619" t="s">
        <v>154</v>
      </c>
      <c r="F742" s="1856"/>
      <c r="G742" s="1857"/>
      <c r="H742" s="1856"/>
      <c r="I742" s="1857"/>
      <c r="J742" s="1856"/>
      <c r="K742" s="1857"/>
      <c r="L742" s="1856"/>
      <c r="M742" s="1857"/>
      <c r="N742" s="1856"/>
      <c r="O742" s="1857"/>
      <c r="P742" s="706"/>
      <c r="Q742" s="706"/>
      <c r="R742" s="706"/>
      <c r="S742" s="706"/>
      <c r="T742" s="706"/>
      <c r="U742" s="706"/>
      <c r="V742" s="706"/>
      <c r="W742" s="706"/>
    </row>
    <row r="743" spans="1:23" hidden="1" x14ac:dyDescent="0.3">
      <c r="A743" s="706"/>
      <c r="B743" s="706"/>
      <c r="C743" s="621"/>
      <c r="D743" s="647" t="str">
        <f>D742&amp;"KW"</f>
        <v>KW</v>
      </c>
      <c r="E743" s="619" t="s">
        <v>155</v>
      </c>
      <c r="F743" s="1856"/>
      <c r="G743" s="1857"/>
      <c r="H743" s="1856"/>
      <c r="I743" s="1857"/>
      <c r="J743" s="1856"/>
      <c r="K743" s="1857"/>
      <c r="L743" s="1856"/>
      <c r="M743" s="1857"/>
      <c r="N743" s="1856"/>
      <c r="O743" s="1857"/>
      <c r="P743" s="706"/>
      <c r="Q743" s="706"/>
      <c r="R743" s="706"/>
      <c r="S743" s="706"/>
      <c r="T743" s="706"/>
      <c r="U743" s="706"/>
      <c r="V743" s="706"/>
      <c r="W743" s="706"/>
    </row>
    <row r="744" spans="1:23" hidden="1" x14ac:dyDescent="0.3">
      <c r="A744" s="706"/>
      <c r="B744" s="706"/>
      <c r="C744" s="621" t="s">
        <v>5429</v>
      </c>
      <c r="D744" s="754"/>
      <c r="E744" s="619" t="s">
        <v>154</v>
      </c>
      <c r="F744" s="1856"/>
      <c r="G744" s="1857"/>
      <c r="H744" s="1856"/>
      <c r="I744" s="1857"/>
      <c r="J744" s="1856"/>
      <c r="K744" s="1857"/>
      <c r="L744" s="1856"/>
      <c r="M744" s="1857"/>
      <c r="N744" s="1856"/>
      <c r="O744" s="1857"/>
      <c r="P744" s="706"/>
      <c r="Q744" s="706"/>
      <c r="R744" s="706"/>
      <c r="S744" s="706"/>
      <c r="T744" s="706"/>
      <c r="U744" s="706"/>
      <c r="V744" s="706"/>
      <c r="W744" s="706"/>
    </row>
    <row r="745" spans="1:23" hidden="1" x14ac:dyDescent="0.3">
      <c r="A745" s="706"/>
      <c r="B745" s="706"/>
      <c r="C745" s="621"/>
      <c r="D745" s="647" t="str">
        <f>D744&amp;"KW"</f>
        <v>KW</v>
      </c>
      <c r="E745" s="619" t="s">
        <v>155</v>
      </c>
      <c r="F745" s="1856"/>
      <c r="G745" s="1857"/>
      <c r="H745" s="1856"/>
      <c r="I745" s="1857"/>
      <c r="J745" s="1856"/>
      <c r="K745" s="1857"/>
      <c r="L745" s="1856"/>
      <c r="M745" s="1857"/>
      <c r="N745" s="1856"/>
      <c r="O745" s="1857"/>
      <c r="P745" s="706"/>
      <c r="Q745" s="706"/>
      <c r="R745" s="706"/>
      <c r="S745" s="706"/>
      <c r="T745" s="706"/>
      <c r="U745" s="706"/>
      <c r="V745" s="706"/>
      <c r="W745" s="706"/>
    </row>
    <row r="746" spans="1:23" hidden="1" x14ac:dyDescent="0.3">
      <c r="A746" s="706"/>
      <c r="B746" s="706"/>
      <c r="C746" s="621" t="s">
        <v>5430</v>
      </c>
      <c r="D746" s="754"/>
      <c r="E746" s="619" t="s">
        <v>154</v>
      </c>
      <c r="F746" s="1856"/>
      <c r="G746" s="1857"/>
      <c r="H746" s="1856"/>
      <c r="I746" s="1857"/>
      <c r="J746" s="1856"/>
      <c r="K746" s="1857"/>
      <c r="L746" s="1856"/>
      <c r="M746" s="1857"/>
      <c r="N746" s="1856"/>
      <c r="O746" s="1857"/>
      <c r="P746" s="706"/>
      <c r="Q746" s="706"/>
      <c r="R746" s="706"/>
      <c r="S746" s="706"/>
      <c r="T746" s="706"/>
      <c r="U746" s="706"/>
      <c r="V746" s="706"/>
      <c r="W746" s="706"/>
    </row>
    <row r="747" spans="1:23" hidden="1" x14ac:dyDescent="0.3">
      <c r="A747" s="706"/>
      <c r="B747" s="706"/>
      <c r="C747" s="621"/>
      <c r="D747" s="647" t="str">
        <f>D746&amp;"KW"</f>
        <v>KW</v>
      </c>
      <c r="E747" s="619" t="s">
        <v>155</v>
      </c>
      <c r="F747" s="1856"/>
      <c r="G747" s="1857"/>
      <c r="H747" s="1856"/>
      <c r="I747" s="1857"/>
      <c r="J747" s="1856"/>
      <c r="K747" s="1857"/>
      <c r="L747" s="1856"/>
      <c r="M747" s="1857"/>
      <c r="N747" s="1856"/>
      <c r="O747" s="1857"/>
      <c r="P747" s="706"/>
      <c r="Q747" s="706"/>
      <c r="R747" s="706"/>
      <c r="S747" s="706"/>
      <c r="T747" s="706"/>
      <c r="U747" s="706"/>
      <c r="V747" s="706"/>
      <c r="W747" s="706"/>
    </row>
    <row r="748" spans="1:23" hidden="1" x14ac:dyDescent="0.3">
      <c r="A748" s="706"/>
      <c r="B748" s="706"/>
      <c r="C748" s="621" t="s">
        <v>5431</v>
      </c>
      <c r="D748" s="754"/>
      <c r="E748" s="619" t="s">
        <v>154</v>
      </c>
      <c r="F748" s="1856"/>
      <c r="G748" s="1857"/>
      <c r="H748" s="1856"/>
      <c r="I748" s="1857"/>
      <c r="J748" s="1856"/>
      <c r="K748" s="1857"/>
      <c r="L748" s="1856"/>
      <c r="M748" s="1857"/>
      <c r="N748" s="1856"/>
      <c r="O748" s="1857"/>
      <c r="P748" s="706"/>
      <c r="Q748" s="706"/>
      <c r="R748" s="706"/>
      <c r="S748" s="706"/>
      <c r="T748" s="706"/>
      <c r="U748" s="706"/>
      <c r="V748" s="706"/>
      <c r="W748" s="706"/>
    </row>
    <row r="749" spans="1:23" hidden="1" x14ac:dyDescent="0.3">
      <c r="A749" s="706"/>
      <c r="B749" s="706"/>
      <c r="C749" s="621"/>
      <c r="D749" s="647" t="str">
        <f>D748&amp;"KW"</f>
        <v>KW</v>
      </c>
      <c r="E749" s="619" t="s">
        <v>155</v>
      </c>
      <c r="F749" s="1856"/>
      <c r="G749" s="1857"/>
      <c r="H749" s="1856"/>
      <c r="I749" s="1857"/>
      <c r="J749" s="1856"/>
      <c r="K749" s="1857"/>
      <c r="L749" s="1856"/>
      <c r="M749" s="1857"/>
      <c r="N749" s="1856"/>
      <c r="O749" s="1857"/>
      <c r="P749" s="706"/>
      <c r="Q749" s="706"/>
      <c r="R749" s="706"/>
      <c r="S749" s="706"/>
      <c r="T749" s="706"/>
      <c r="U749" s="706"/>
      <c r="V749" s="706"/>
      <c r="W749" s="706"/>
    </row>
    <row r="750" spans="1:23" hidden="1" x14ac:dyDescent="0.3">
      <c r="A750" s="706"/>
      <c r="B750" s="706"/>
      <c r="C750" s="621" t="s">
        <v>5432</v>
      </c>
      <c r="D750" s="754"/>
      <c r="E750" s="619" t="s">
        <v>154</v>
      </c>
      <c r="F750" s="1856"/>
      <c r="G750" s="1857"/>
      <c r="H750" s="1856"/>
      <c r="I750" s="1857"/>
      <c r="J750" s="1856"/>
      <c r="K750" s="1857"/>
      <c r="L750" s="1856"/>
      <c r="M750" s="1857"/>
      <c r="N750" s="1856"/>
      <c r="O750" s="1857"/>
      <c r="P750" s="706"/>
      <c r="Q750" s="706"/>
      <c r="R750" s="706"/>
      <c r="S750" s="706"/>
      <c r="T750" s="706"/>
      <c r="U750" s="706"/>
      <c r="V750" s="706"/>
      <c r="W750" s="706"/>
    </row>
    <row r="751" spans="1:23" hidden="1" x14ac:dyDescent="0.3">
      <c r="A751" s="706"/>
      <c r="B751" s="706"/>
      <c r="C751" s="621"/>
      <c r="D751" s="647" t="str">
        <f>D750&amp;"KW"</f>
        <v>KW</v>
      </c>
      <c r="E751" s="619" t="s">
        <v>155</v>
      </c>
      <c r="F751" s="1856"/>
      <c r="G751" s="1857"/>
      <c r="H751" s="1856"/>
      <c r="I751" s="1857"/>
      <c r="J751" s="1856"/>
      <c r="K751" s="1857"/>
      <c r="L751" s="1856"/>
      <c r="M751" s="1857"/>
      <c r="N751" s="1856"/>
      <c r="O751" s="1857"/>
      <c r="P751" s="706"/>
      <c r="Q751" s="706"/>
      <c r="R751" s="706"/>
      <c r="S751" s="706"/>
      <c r="T751" s="706"/>
      <c r="U751" s="706"/>
      <c r="V751" s="706"/>
      <c r="W751" s="706"/>
    </row>
    <row r="752" spans="1:23" hidden="1" x14ac:dyDescent="0.3">
      <c r="A752" s="706"/>
      <c r="B752" s="706"/>
      <c r="C752" s="621" t="s">
        <v>5433</v>
      </c>
      <c r="D752" s="754"/>
      <c r="E752" s="619" t="s">
        <v>154</v>
      </c>
      <c r="F752" s="1856"/>
      <c r="G752" s="1857"/>
      <c r="H752" s="1856"/>
      <c r="I752" s="1857"/>
      <c r="J752" s="1856"/>
      <c r="K752" s="1857"/>
      <c r="L752" s="1856"/>
      <c r="M752" s="1857"/>
      <c r="N752" s="1856"/>
      <c r="O752" s="1857"/>
      <c r="P752" s="706"/>
      <c r="Q752" s="706"/>
      <c r="R752" s="706"/>
      <c r="S752" s="706"/>
      <c r="T752" s="706"/>
      <c r="U752" s="706"/>
      <c r="V752" s="706"/>
      <c r="W752" s="706"/>
    </row>
    <row r="753" spans="1:23" hidden="1" x14ac:dyDescent="0.3">
      <c r="A753" s="706"/>
      <c r="B753" s="706"/>
      <c r="C753" s="621"/>
      <c r="D753" s="647" t="str">
        <f>D752&amp;"KW"</f>
        <v>KW</v>
      </c>
      <c r="E753" s="619" t="s">
        <v>155</v>
      </c>
      <c r="F753" s="1856"/>
      <c r="G753" s="1857"/>
      <c r="H753" s="1856"/>
      <c r="I753" s="1857"/>
      <c r="J753" s="1856"/>
      <c r="K753" s="1857"/>
      <c r="L753" s="1856"/>
      <c r="M753" s="1857"/>
      <c r="N753" s="1856"/>
      <c r="O753" s="1857"/>
      <c r="P753" s="706"/>
      <c r="Q753" s="706"/>
      <c r="R753" s="706"/>
      <c r="S753" s="706"/>
      <c r="T753" s="706"/>
      <c r="U753" s="706"/>
      <c r="V753" s="706"/>
      <c r="W753" s="706"/>
    </row>
    <row r="754" spans="1:23" hidden="1" x14ac:dyDescent="0.3">
      <c r="A754" s="706"/>
      <c r="B754" s="706"/>
      <c r="C754" s="621" t="s">
        <v>5434</v>
      </c>
      <c r="D754" s="754"/>
      <c r="E754" s="619" t="s">
        <v>154</v>
      </c>
      <c r="F754" s="1856"/>
      <c r="G754" s="1857"/>
      <c r="H754" s="1856"/>
      <c r="I754" s="1857"/>
      <c r="J754" s="1856"/>
      <c r="K754" s="1857"/>
      <c r="L754" s="1856"/>
      <c r="M754" s="1857"/>
      <c r="N754" s="1856"/>
      <c r="O754" s="1857"/>
      <c r="P754" s="706"/>
      <c r="Q754" s="706"/>
      <c r="R754" s="706"/>
      <c r="S754" s="706"/>
      <c r="T754" s="706"/>
      <c r="U754" s="706"/>
      <c r="V754" s="706"/>
      <c r="W754" s="706"/>
    </row>
    <row r="755" spans="1:23" hidden="1" x14ac:dyDescent="0.3">
      <c r="A755" s="706"/>
      <c r="B755" s="706"/>
      <c r="C755" s="621"/>
      <c r="D755" s="647" t="str">
        <f>D754&amp;"KW"</f>
        <v>KW</v>
      </c>
      <c r="E755" s="619" t="s">
        <v>155</v>
      </c>
      <c r="F755" s="1856"/>
      <c r="G755" s="1857"/>
      <c r="H755" s="1856"/>
      <c r="I755" s="1857"/>
      <c r="J755" s="1856"/>
      <c r="K755" s="1857"/>
      <c r="L755" s="1856"/>
      <c r="M755" s="1857"/>
      <c r="N755" s="1856"/>
      <c r="O755" s="1857"/>
      <c r="P755" s="706"/>
      <c r="Q755" s="706"/>
      <c r="R755" s="706"/>
      <c r="S755" s="706"/>
      <c r="T755" s="706"/>
      <c r="U755" s="706"/>
      <c r="V755" s="706"/>
      <c r="W755" s="706"/>
    </row>
    <row r="756" spans="1:23" hidden="1" x14ac:dyDescent="0.3">
      <c r="A756" s="706"/>
      <c r="B756" s="706"/>
      <c r="C756" s="621" t="s">
        <v>5435</v>
      </c>
      <c r="D756" s="754"/>
      <c r="E756" s="619" t="s">
        <v>154</v>
      </c>
      <c r="F756" s="1856"/>
      <c r="G756" s="1857"/>
      <c r="H756" s="1856"/>
      <c r="I756" s="1857"/>
      <c r="J756" s="1856"/>
      <c r="K756" s="1857"/>
      <c r="L756" s="1856"/>
      <c r="M756" s="1857"/>
      <c r="N756" s="1856"/>
      <c r="O756" s="1857"/>
      <c r="P756" s="706"/>
      <c r="Q756" s="706"/>
      <c r="R756" s="706"/>
      <c r="S756" s="706"/>
      <c r="T756" s="706"/>
      <c r="U756" s="706"/>
      <c r="V756" s="706"/>
      <c r="W756" s="706"/>
    </row>
    <row r="757" spans="1:23" hidden="1" x14ac:dyDescent="0.3">
      <c r="A757" s="706"/>
      <c r="B757" s="706"/>
      <c r="C757" s="621"/>
      <c r="D757" s="647" t="str">
        <f>D756&amp;"KW"</f>
        <v>KW</v>
      </c>
      <c r="E757" s="619" t="s">
        <v>155</v>
      </c>
      <c r="F757" s="1856"/>
      <c r="G757" s="1857"/>
      <c r="H757" s="1856"/>
      <c r="I757" s="1857"/>
      <c r="J757" s="1856"/>
      <c r="K757" s="1857"/>
      <c r="L757" s="1856"/>
      <c r="M757" s="1857"/>
      <c r="N757" s="1856"/>
      <c r="O757" s="1857"/>
      <c r="P757" s="706"/>
      <c r="Q757" s="706"/>
      <c r="R757" s="706"/>
      <c r="S757" s="706"/>
      <c r="T757" s="706"/>
      <c r="U757" s="706"/>
      <c r="V757" s="706"/>
      <c r="W757" s="706"/>
    </row>
    <row r="758" spans="1:23" hidden="1" x14ac:dyDescent="0.3">
      <c r="A758" s="706"/>
      <c r="B758" s="706"/>
      <c r="C758" s="621" t="s">
        <v>5436</v>
      </c>
      <c r="D758" s="754"/>
      <c r="E758" s="619" t="s">
        <v>154</v>
      </c>
      <c r="F758" s="1856"/>
      <c r="G758" s="1857"/>
      <c r="H758" s="1856"/>
      <c r="I758" s="1857"/>
      <c r="J758" s="1856"/>
      <c r="K758" s="1857"/>
      <c r="L758" s="1856"/>
      <c r="M758" s="1857"/>
      <c r="N758" s="1856"/>
      <c r="O758" s="1857"/>
      <c r="P758" s="706"/>
      <c r="Q758" s="706"/>
      <c r="R758" s="706"/>
      <c r="S758" s="706"/>
      <c r="T758" s="706"/>
      <c r="U758" s="706"/>
      <c r="V758" s="706"/>
      <c r="W758" s="706"/>
    </row>
    <row r="759" spans="1:23" hidden="1" x14ac:dyDescent="0.3">
      <c r="A759" s="706"/>
      <c r="B759" s="706"/>
      <c r="C759" s="621"/>
      <c r="D759" s="647" t="str">
        <f>D758&amp;"KW"</f>
        <v>KW</v>
      </c>
      <c r="E759" s="619" t="s">
        <v>155</v>
      </c>
      <c r="F759" s="1856"/>
      <c r="G759" s="1857"/>
      <c r="H759" s="1856"/>
      <c r="I759" s="1857"/>
      <c r="J759" s="1856"/>
      <c r="K759" s="1857"/>
      <c r="L759" s="1856"/>
      <c r="M759" s="1857"/>
      <c r="N759" s="1856"/>
      <c r="O759" s="1857"/>
      <c r="P759" s="706"/>
      <c r="Q759" s="706"/>
      <c r="R759" s="706"/>
      <c r="S759" s="706"/>
      <c r="T759" s="706"/>
      <c r="U759" s="706"/>
      <c r="V759" s="706"/>
      <c r="W759" s="706"/>
    </row>
    <row r="760" spans="1:23" hidden="1" x14ac:dyDescent="0.3">
      <c r="A760" s="706"/>
      <c r="B760" s="706"/>
      <c r="C760" s="621" t="s">
        <v>5437</v>
      </c>
      <c r="D760" s="754"/>
      <c r="E760" s="619" t="s">
        <v>154</v>
      </c>
      <c r="F760" s="1856"/>
      <c r="G760" s="1857"/>
      <c r="H760" s="1856"/>
      <c r="I760" s="1857"/>
      <c r="J760" s="1856"/>
      <c r="K760" s="1857"/>
      <c r="L760" s="1856"/>
      <c r="M760" s="1857"/>
      <c r="N760" s="1856"/>
      <c r="O760" s="1857"/>
      <c r="P760" s="706"/>
      <c r="Q760" s="706"/>
      <c r="R760" s="706"/>
      <c r="S760" s="706"/>
      <c r="T760" s="706"/>
      <c r="U760" s="706"/>
      <c r="V760" s="706"/>
      <c r="W760" s="706"/>
    </row>
    <row r="761" spans="1:23" hidden="1" x14ac:dyDescent="0.3">
      <c r="A761" s="706"/>
      <c r="B761" s="706"/>
      <c r="C761" s="621"/>
      <c r="D761" s="647" t="str">
        <f>D760&amp;"KW"</f>
        <v>KW</v>
      </c>
      <c r="E761" s="619" t="s">
        <v>155</v>
      </c>
      <c r="F761" s="1856"/>
      <c r="G761" s="1857"/>
      <c r="H761" s="1856"/>
      <c r="I761" s="1857"/>
      <c r="J761" s="1856"/>
      <c r="K761" s="1857"/>
      <c r="L761" s="1856"/>
      <c r="M761" s="1857"/>
      <c r="N761" s="1856"/>
      <c r="O761" s="1857"/>
      <c r="P761" s="706"/>
      <c r="Q761" s="706"/>
      <c r="R761" s="706"/>
      <c r="S761" s="706"/>
      <c r="T761" s="706"/>
      <c r="U761" s="706"/>
      <c r="V761" s="706"/>
      <c r="W761" s="706"/>
    </row>
    <row r="762" spans="1:23" hidden="1" x14ac:dyDescent="0.3">
      <c r="A762" s="706"/>
      <c r="B762" s="706"/>
      <c r="C762" s="621" t="s">
        <v>5438</v>
      </c>
      <c r="D762" s="754"/>
      <c r="E762" s="619" t="s">
        <v>154</v>
      </c>
      <c r="F762" s="1856"/>
      <c r="G762" s="1857"/>
      <c r="H762" s="1856"/>
      <c r="I762" s="1857"/>
      <c r="J762" s="1856"/>
      <c r="K762" s="1857"/>
      <c r="L762" s="1856"/>
      <c r="M762" s="1857"/>
      <c r="N762" s="1856"/>
      <c r="O762" s="1857"/>
      <c r="P762" s="706"/>
      <c r="Q762" s="706"/>
      <c r="R762" s="706"/>
      <c r="S762" s="706"/>
      <c r="T762" s="706"/>
      <c r="U762" s="706"/>
      <c r="V762" s="706"/>
      <c r="W762" s="706"/>
    </row>
    <row r="763" spans="1:23" hidden="1" x14ac:dyDescent="0.3">
      <c r="A763" s="706"/>
      <c r="B763" s="706"/>
      <c r="C763" s="621"/>
      <c r="D763" s="647" t="str">
        <f>D762&amp;"KW"</f>
        <v>KW</v>
      </c>
      <c r="E763" s="619" t="s">
        <v>155</v>
      </c>
      <c r="F763" s="1856"/>
      <c r="G763" s="1857"/>
      <c r="H763" s="1856"/>
      <c r="I763" s="1857"/>
      <c r="J763" s="1856"/>
      <c r="K763" s="1857"/>
      <c r="L763" s="1856"/>
      <c r="M763" s="1857"/>
      <c r="N763" s="1856"/>
      <c r="O763" s="1857"/>
      <c r="P763" s="706"/>
      <c r="Q763" s="706"/>
      <c r="R763" s="706"/>
      <c r="S763" s="706"/>
      <c r="T763" s="706"/>
      <c r="U763" s="706"/>
      <c r="V763" s="706"/>
      <c r="W763" s="706"/>
    </row>
    <row r="764" spans="1:23" hidden="1" x14ac:dyDescent="0.3">
      <c r="A764" s="706"/>
      <c r="B764" s="706"/>
      <c r="C764" s="621" t="s">
        <v>5439</v>
      </c>
      <c r="D764" s="754"/>
      <c r="E764" s="619" t="s">
        <v>154</v>
      </c>
      <c r="F764" s="1856"/>
      <c r="G764" s="1857"/>
      <c r="H764" s="1856"/>
      <c r="I764" s="1857"/>
      <c r="J764" s="1856"/>
      <c r="K764" s="1857"/>
      <c r="L764" s="1856"/>
      <c r="M764" s="1857"/>
      <c r="N764" s="1856"/>
      <c r="O764" s="1857"/>
      <c r="P764" s="706"/>
      <c r="Q764" s="706"/>
      <c r="R764" s="706"/>
      <c r="S764" s="706"/>
      <c r="T764" s="706"/>
      <c r="U764" s="706"/>
      <c r="V764" s="706"/>
      <c r="W764" s="706"/>
    </row>
    <row r="765" spans="1:23" hidden="1" x14ac:dyDescent="0.3">
      <c r="A765" s="706"/>
      <c r="B765" s="706"/>
      <c r="C765" s="621"/>
      <c r="D765" s="647" t="str">
        <f>D764&amp;"KW"</f>
        <v>KW</v>
      </c>
      <c r="E765" s="619" t="s">
        <v>155</v>
      </c>
      <c r="F765" s="1856"/>
      <c r="G765" s="1857"/>
      <c r="H765" s="1856"/>
      <c r="I765" s="1857"/>
      <c r="J765" s="1856"/>
      <c r="K765" s="1857"/>
      <c r="L765" s="1856"/>
      <c r="M765" s="1857"/>
      <c r="N765" s="1856"/>
      <c r="O765" s="1857"/>
      <c r="P765" s="706"/>
      <c r="Q765" s="706"/>
      <c r="R765" s="706"/>
      <c r="S765" s="706"/>
      <c r="T765" s="706"/>
      <c r="U765" s="706"/>
      <c r="V765" s="706"/>
      <c r="W765" s="706"/>
    </row>
    <row r="766" spans="1:23" hidden="1" x14ac:dyDescent="0.3">
      <c r="A766" s="706"/>
      <c r="B766" s="706"/>
      <c r="C766" s="621" t="s">
        <v>5440</v>
      </c>
      <c r="D766" s="754"/>
      <c r="E766" s="619" t="s">
        <v>154</v>
      </c>
      <c r="F766" s="1856"/>
      <c r="G766" s="1857"/>
      <c r="H766" s="1856"/>
      <c r="I766" s="1857"/>
      <c r="J766" s="1856"/>
      <c r="K766" s="1857"/>
      <c r="L766" s="1856"/>
      <c r="M766" s="1857"/>
      <c r="N766" s="1856"/>
      <c r="O766" s="1857"/>
      <c r="P766" s="706"/>
      <c r="Q766" s="706"/>
      <c r="R766" s="706"/>
      <c r="S766" s="706"/>
      <c r="T766" s="706"/>
      <c r="U766" s="706"/>
      <c r="V766" s="706"/>
      <c r="W766" s="706"/>
    </row>
    <row r="767" spans="1:23" hidden="1" x14ac:dyDescent="0.3">
      <c r="A767" s="706"/>
      <c r="B767" s="706"/>
      <c r="C767" s="621"/>
      <c r="D767" s="647" t="str">
        <f>D766&amp;"KW"</f>
        <v>KW</v>
      </c>
      <c r="E767" s="619" t="s">
        <v>155</v>
      </c>
      <c r="F767" s="1856"/>
      <c r="G767" s="1857"/>
      <c r="H767" s="1856"/>
      <c r="I767" s="1857"/>
      <c r="J767" s="1856"/>
      <c r="K767" s="1857"/>
      <c r="L767" s="1856"/>
      <c r="M767" s="1857"/>
      <c r="N767" s="1856"/>
      <c r="O767" s="1857"/>
      <c r="P767" s="706"/>
      <c r="Q767" s="706"/>
      <c r="R767" s="706"/>
      <c r="S767" s="706"/>
      <c r="T767" s="706"/>
      <c r="U767" s="706"/>
      <c r="V767" s="706"/>
      <c r="W767" s="706"/>
    </row>
    <row r="768" spans="1:23" hidden="1" x14ac:dyDescent="0.3">
      <c r="A768" s="706"/>
      <c r="B768" s="706"/>
      <c r="C768" s="621" t="s">
        <v>5441</v>
      </c>
      <c r="D768" s="754"/>
      <c r="E768" s="619" t="s">
        <v>154</v>
      </c>
      <c r="F768" s="1856"/>
      <c r="G768" s="1857"/>
      <c r="H768" s="1856"/>
      <c r="I768" s="1857"/>
      <c r="J768" s="1856"/>
      <c r="K768" s="1857"/>
      <c r="L768" s="1856"/>
      <c r="M768" s="1857"/>
      <c r="N768" s="1856"/>
      <c r="O768" s="1857"/>
      <c r="P768" s="706"/>
      <c r="Q768" s="706"/>
      <c r="R768" s="706"/>
      <c r="S768" s="706"/>
      <c r="T768" s="706"/>
      <c r="U768" s="706"/>
      <c r="V768" s="706"/>
      <c r="W768" s="706"/>
    </row>
    <row r="769" spans="1:23" hidden="1" x14ac:dyDescent="0.3">
      <c r="A769" s="706"/>
      <c r="B769" s="706"/>
      <c r="C769" s="621"/>
      <c r="D769" s="647" t="str">
        <f>D768&amp;"KW"</f>
        <v>KW</v>
      </c>
      <c r="E769" s="619" t="s">
        <v>155</v>
      </c>
      <c r="F769" s="1856"/>
      <c r="G769" s="1857"/>
      <c r="H769" s="1856"/>
      <c r="I769" s="1857"/>
      <c r="J769" s="1856"/>
      <c r="K769" s="1857"/>
      <c r="L769" s="1856"/>
      <c r="M769" s="1857"/>
      <c r="N769" s="1856"/>
      <c r="O769" s="1857"/>
      <c r="P769" s="706"/>
      <c r="Q769" s="706"/>
      <c r="R769" s="706"/>
      <c r="S769" s="706"/>
      <c r="T769" s="706"/>
      <c r="U769" s="706"/>
      <c r="V769" s="706"/>
      <c r="W769" s="706"/>
    </row>
    <row r="770" spans="1:23" hidden="1" x14ac:dyDescent="0.3">
      <c r="A770" s="706"/>
      <c r="B770" s="706"/>
      <c r="C770" s="621" t="s">
        <v>5442</v>
      </c>
      <c r="D770" s="754"/>
      <c r="E770" s="619" t="s">
        <v>154</v>
      </c>
      <c r="F770" s="1856"/>
      <c r="G770" s="1857"/>
      <c r="H770" s="1856"/>
      <c r="I770" s="1857"/>
      <c r="J770" s="1856"/>
      <c r="K770" s="1857"/>
      <c r="L770" s="1856"/>
      <c r="M770" s="1857"/>
      <c r="N770" s="1856"/>
      <c r="O770" s="1857"/>
      <c r="P770" s="706"/>
      <c r="Q770" s="706"/>
      <c r="R770" s="706"/>
      <c r="S770" s="706"/>
      <c r="T770" s="706"/>
      <c r="U770" s="706"/>
      <c r="V770" s="706"/>
      <c r="W770" s="706"/>
    </row>
    <row r="771" spans="1:23" hidden="1" x14ac:dyDescent="0.3">
      <c r="A771" s="706"/>
      <c r="B771" s="706"/>
      <c r="C771" s="621"/>
      <c r="D771" s="647" t="str">
        <f>D770&amp;"KW"</f>
        <v>KW</v>
      </c>
      <c r="E771" s="619" t="s">
        <v>155</v>
      </c>
      <c r="F771" s="1856"/>
      <c r="G771" s="1857"/>
      <c r="H771" s="1856"/>
      <c r="I771" s="1857"/>
      <c r="J771" s="1856"/>
      <c r="K771" s="1857"/>
      <c r="L771" s="1856"/>
      <c r="M771" s="1857"/>
      <c r="N771" s="1856"/>
      <c r="O771" s="1857"/>
      <c r="P771" s="706"/>
      <c r="Q771" s="706"/>
      <c r="R771" s="706"/>
      <c r="S771" s="706"/>
      <c r="T771" s="706"/>
      <c r="U771" s="706"/>
      <c r="V771" s="706"/>
      <c r="W771" s="706"/>
    </row>
    <row r="772" spans="1:23" hidden="1" x14ac:dyDescent="0.3">
      <c r="A772" s="706"/>
      <c r="B772" s="706"/>
      <c r="C772" s="621" t="s">
        <v>5443</v>
      </c>
      <c r="D772" s="754"/>
      <c r="E772" s="619" t="s">
        <v>154</v>
      </c>
      <c r="F772" s="1856"/>
      <c r="G772" s="1857"/>
      <c r="H772" s="1856"/>
      <c r="I772" s="1857"/>
      <c r="J772" s="1856"/>
      <c r="K772" s="1857"/>
      <c r="L772" s="1856"/>
      <c r="M772" s="1857"/>
      <c r="N772" s="1856"/>
      <c r="O772" s="1857"/>
      <c r="P772" s="706"/>
      <c r="Q772" s="706"/>
      <c r="R772" s="706"/>
      <c r="S772" s="706"/>
      <c r="T772" s="706"/>
      <c r="U772" s="706"/>
      <c r="V772" s="706"/>
      <c r="W772" s="706"/>
    </row>
    <row r="773" spans="1:23" hidden="1" x14ac:dyDescent="0.3">
      <c r="A773" s="706"/>
      <c r="B773" s="706"/>
      <c r="C773" s="621"/>
      <c r="D773" s="756" t="str">
        <f>D772&amp;"KW"</f>
        <v>KW</v>
      </c>
      <c r="E773" s="619" t="s">
        <v>155</v>
      </c>
      <c r="F773" s="1856"/>
      <c r="G773" s="1857"/>
      <c r="H773" s="1856"/>
      <c r="I773" s="1857"/>
      <c r="J773" s="1856"/>
      <c r="K773" s="1857"/>
      <c r="L773" s="1856"/>
      <c r="M773" s="1857"/>
      <c r="N773" s="1856"/>
      <c r="O773" s="1857"/>
      <c r="P773" s="706"/>
      <c r="Q773" s="706"/>
      <c r="R773" s="706"/>
      <c r="S773" s="706"/>
      <c r="T773" s="706"/>
      <c r="U773" s="706"/>
      <c r="V773" s="706"/>
      <c r="W773" s="706"/>
    </row>
    <row r="774" spans="1:23" hidden="1" x14ac:dyDescent="0.3">
      <c r="A774" s="706"/>
      <c r="B774" s="706"/>
      <c r="C774" s="621" t="s">
        <v>5444</v>
      </c>
      <c r="D774" s="754"/>
      <c r="E774" s="619" t="s">
        <v>154</v>
      </c>
      <c r="F774" s="1856"/>
      <c r="G774" s="1857"/>
      <c r="H774" s="1856"/>
      <c r="I774" s="1857"/>
      <c r="J774" s="1856"/>
      <c r="K774" s="1857"/>
      <c r="L774" s="1856"/>
      <c r="M774" s="1857"/>
      <c r="N774" s="1856"/>
      <c r="O774" s="1857"/>
      <c r="P774" s="706"/>
      <c r="Q774" s="706"/>
      <c r="R774" s="706"/>
      <c r="S774" s="706"/>
      <c r="T774" s="706"/>
      <c r="U774" s="706"/>
      <c r="V774" s="706"/>
      <c r="W774" s="706"/>
    </row>
    <row r="775" spans="1:23" hidden="1" x14ac:dyDescent="0.3">
      <c r="A775" s="706"/>
      <c r="B775" s="706"/>
      <c r="C775" s="621"/>
      <c r="D775" s="756" t="str">
        <f>D774&amp;"KW"</f>
        <v>KW</v>
      </c>
      <c r="E775" s="619" t="s">
        <v>155</v>
      </c>
      <c r="F775" s="1856"/>
      <c r="G775" s="1857"/>
      <c r="H775" s="1856"/>
      <c r="I775" s="1857"/>
      <c r="J775" s="1856"/>
      <c r="K775" s="1857"/>
      <c r="L775" s="1856"/>
      <c r="M775" s="1857"/>
      <c r="N775" s="1856"/>
      <c r="O775" s="1857"/>
      <c r="P775" s="706"/>
      <c r="Q775" s="706"/>
      <c r="R775" s="706"/>
      <c r="S775" s="706"/>
      <c r="T775" s="706"/>
      <c r="U775" s="706"/>
      <c r="V775" s="706"/>
      <c r="W775" s="706"/>
    </row>
    <row r="776" spans="1:23" hidden="1" x14ac:dyDescent="0.3">
      <c r="A776" s="706"/>
      <c r="B776" s="706"/>
      <c r="C776" s="621" t="s">
        <v>5445</v>
      </c>
      <c r="D776" s="754"/>
      <c r="E776" s="619" t="s">
        <v>154</v>
      </c>
      <c r="F776" s="1856"/>
      <c r="G776" s="1857"/>
      <c r="H776" s="1856"/>
      <c r="I776" s="1857"/>
      <c r="J776" s="1856"/>
      <c r="K776" s="1857"/>
      <c r="L776" s="1856"/>
      <c r="M776" s="1857"/>
      <c r="N776" s="1856"/>
      <c r="O776" s="1857"/>
      <c r="P776" s="706"/>
      <c r="Q776" s="706"/>
      <c r="R776" s="706"/>
      <c r="S776" s="706"/>
      <c r="T776" s="706"/>
      <c r="U776" s="706"/>
      <c r="V776" s="706"/>
      <c r="W776" s="706"/>
    </row>
    <row r="777" spans="1:23" hidden="1" x14ac:dyDescent="0.3">
      <c r="A777" s="706"/>
      <c r="B777" s="706"/>
      <c r="C777" s="621"/>
      <c r="D777" s="647" t="str">
        <f>D776&amp;"KW"</f>
        <v>KW</v>
      </c>
      <c r="E777" s="619" t="s">
        <v>155</v>
      </c>
      <c r="F777" s="1856"/>
      <c r="G777" s="1857"/>
      <c r="H777" s="1856"/>
      <c r="I777" s="1857"/>
      <c r="J777" s="1856"/>
      <c r="K777" s="1857"/>
      <c r="L777" s="1856"/>
      <c r="M777" s="1857"/>
      <c r="N777" s="1856"/>
      <c r="O777" s="1857"/>
      <c r="P777" s="706"/>
      <c r="Q777" s="706"/>
      <c r="R777" s="706"/>
      <c r="S777" s="706"/>
      <c r="T777" s="706"/>
      <c r="U777" s="706"/>
      <c r="V777" s="706"/>
      <c r="W777" s="706"/>
    </row>
    <row r="778" spans="1:23" hidden="1" x14ac:dyDescent="0.3">
      <c r="A778" s="706"/>
      <c r="B778" s="706"/>
      <c r="C778" s="621" t="s">
        <v>5446</v>
      </c>
      <c r="D778" s="754"/>
      <c r="E778" s="619" t="s">
        <v>154</v>
      </c>
      <c r="F778" s="1856"/>
      <c r="G778" s="1857"/>
      <c r="H778" s="1856"/>
      <c r="I778" s="1857"/>
      <c r="J778" s="1856"/>
      <c r="K778" s="1857"/>
      <c r="L778" s="1856"/>
      <c r="M778" s="1857"/>
      <c r="N778" s="1856"/>
      <c r="O778" s="1857"/>
      <c r="P778" s="706"/>
      <c r="Q778" s="706"/>
      <c r="R778" s="706"/>
      <c r="S778" s="706"/>
      <c r="T778" s="706"/>
      <c r="U778" s="706"/>
      <c r="V778" s="706"/>
      <c r="W778" s="706"/>
    </row>
    <row r="779" spans="1:23" hidden="1" x14ac:dyDescent="0.3">
      <c r="A779" s="706"/>
      <c r="B779" s="706"/>
      <c r="C779" s="621"/>
      <c r="D779" s="647" t="str">
        <f>D778&amp;"KW"</f>
        <v>KW</v>
      </c>
      <c r="E779" s="619" t="s">
        <v>155</v>
      </c>
      <c r="F779" s="1856"/>
      <c r="G779" s="1857"/>
      <c r="H779" s="1856"/>
      <c r="I779" s="1857"/>
      <c r="J779" s="1856"/>
      <c r="K779" s="1857"/>
      <c r="L779" s="1856"/>
      <c r="M779" s="1857"/>
      <c r="N779" s="1856"/>
      <c r="O779" s="1857"/>
      <c r="P779" s="706"/>
      <c r="Q779" s="706"/>
      <c r="R779" s="706"/>
      <c r="S779" s="706"/>
      <c r="T779" s="706"/>
      <c r="U779" s="706"/>
      <c r="V779" s="706"/>
      <c r="W779" s="706"/>
    </row>
    <row r="780" spans="1:23" hidden="1" x14ac:dyDescent="0.3">
      <c r="A780" s="706"/>
      <c r="B780" s="706"/>
      <c r="C780" s="621" t="s">
        <v>5447</v>
      </c>
      <c r="D780" s="754"/>
      <c r="E780" s="619" t="s">
        <v>154</v>
      </c>
      <c r="F780" s="1856"/>
      <c r="G780" s="1857"/>
      <c r="H780" s="1856"/>
      <c r="I780" s="1857"/>
      <c r="J780" s="1856"/>
      <c r="K780" s="1857"/>
      <c r="L780" s="1856"/>
      <c r="M780" s="1857"/>
      <c r="N780" s="1856"/>
      <c r="O780" s="1857"/>
      <c r="P780" s="706"/>
      <c r="Q780" s="706"/>
      <c r="R780" s="706"/>
      <c r="S780" s="706"/>
      <c r="T780" s="706"/>
      <c r="U780" s="706"/>
      <c r="V780" s="706"/>
      <c r="W780" s="706"/>
    </row>
    <row r="781" spans="1:23" hidden="1" x14ac:dyDescent="0.3">
      <c r="A781" s="706"/>
      <c r="B781" s="706"/>
      <c r="C781" s="621"/>
      <c r="D781" s="647" t="str">
        <f>D780&amp;"KW"</f>
        <v>KW</v>
      </c>
      <c r="E781" s="619" t="s">
        <v>155</v>
      </c>
      <c r="F781" s="1856"/>
      <c r="G781" s="1857"/>
      <c r="H781" s="1856"/>
      <c r="I781" s="1857"/>
      <c r="J781" s="1856"/>
      <c r="K781" s="1857"/>
      <c r="L781" s="1856"/>
      <c r="M781" s="1857"/>
      <c r="N781" s="1856"/>
      <c r="O781" s="1857"/>
      <c r="P781" s="706"/>
      <c r="Q781" s="706"/>
      <c r="R781" s="706"/>
      <c r="S781" s="706"/>
      <c r="T781" s="706"/>
      <c r="U781" s="706"/>
      <c r="V781" s="706"/>
      <c r="W781" s="706"/>
    </row>
    <row r="782" spans="1:23" hidden="1" x14ac:dyDescent="0.3">
      <c r="A782" s="706"/>
      <c r="B782" s="706"/>
      <c r="C782" s="621" t="s">
        <v>5448</v>
      </c>
      <c r="D782" s="754"/>
      <c r="E782" s="619" t="s">
        <v>154</v>
      </c>
      <c r="F782" s="1856"/>
      <c r="G782" s="1857"/>
      <c r="H782" s="1856"/>
      <c r="I782" s="1857"/>
      <c r="J782" s="1856"/>
      <c r="K782" s="1857"/>
      <c r="L782" s="1856"/>
      <c r="M782" s="1857"/>
      <c r="N782" s="1856"/>
      <c r="O782" s="1857"/>
      <c r="P782" s="706"/>
      <c r="Q782" s="706"/>
      <c r="R782" s="706"/>
      <c r="S782" s="706"/>
      <c r="T782" s="706"/>
      <c r="U782" s="706"/>
      <c r="V782" s="706"/>
      <c r="W782" s="706"/>
    </row>
    <row r="783" spans="1:23" hidden="1" x14ac:dyDescent="0.3">
      <c r="A783" s="706"/>
      <c r="B783" s="706"/>
      <c r="C783" s="621"/>
      <c r="D783" s="647" t="str">
        <f>D782&amp;"KW"</f>
        <v>KW</v>
      </c>
      <c r="E783" s="619" t="s">
        <v>155</v>
      </c>
      <c r="F783" s="1856"/>
      <c r="G783" s="1857"/>
      <c r="H783" s="1856"/>
      <c r="I783" s="1857"/>
      <c r="J783" s="1856"/>
      <c r="K783" s="1857"/>
      <c r="L783" s="1856"/>
      <c r="M783" s="1857"/>
      <c r="N783" s="1856"/>
      <c r="O783" s="1857"/>
      <c r="P783" s="706"/>
      <c r="Q783" s="706"/>
      <c r="R783" s="706"/>
      <c r="S783" s="706"/>
      <c r="T783" s="706"/>
      <c r="U783" s="706"/>
      <c r="V783" s="706"/>
      <c r="W783" s="706"/>
    </row>
    <row r="784" spans="1:23" hidden="1" x14ac:dyDescent="0.3">
      <c r="A784" s="706"/>
      <c r="B784" s="706"/>
      <c r="C784" s="621" t="s">
        <v>5449</v>
      </c>
      <c r="D784" s="754"/>
      <c r="E784" s="619" t="s">
        <v>154</v>
      </c>
      <c r="F784" s="1856"/>
      <c r="G784" s="1857"/>
      <c r="H784" s="1856"/>
      <c r="I784" s="1857"/>
      <c r="J784" s="1856"/>
      <c r="K784" s="1857"/>
      <c r="L784" s="1856"/>
      <c r="M784" s="1857"/>
      <c r="N784" s="1856"/>
      <c r="O784" s="1857"/>
      <c r="P784" s="706"/>
      <c r="Q784" s="706"/>
      <c r="R784" s="706"/>
      <c r="S784" s="706"/>
      <c r="T784" s="706"/>
      <c r="U784" s="706"/>
      <c r="V784" s="706"/>
      <c r="W784" s="706"/>
    </row>
    <row r="785" spans="1:23" hidden="1" x14ac:dyDescent="0.3">
      <c r="A785" s="706"/>
      <c r="B785" s="706"/>
      <c r="C785" s="621"/>
      <c r="D785" s="647" t="str">
        <f>D784&amp;"KW"</f>
        <v>KW</v>
      </c>
      <c r="E785" s="619" t="s">
        <v>155</v>
      </c>
      <c r="F785" s="1856"/>
      <c r="G785" s="1857"/>
      <c r="H785" s="1856"/>
      <c r="I785" s="1857"/>
      <c r="J785" s="1856"/>
      <c r="K785" s="1857"/>
      <c r="L785" s="1856"/>
      <c r="M785" s="1857"/>
      <c r="N785" s="1856"/>
      <c r="O785" s="1857"/>
      <c r="P785" s="706"/>
      <c r="Q785" s="706"/>
      <c r="R785" s="706"/>
      <c r="S785" s="706"/>
      <c r="T785" s="706"/>
      <c r="U785" s="706"/>
      <c r="V785" s="706"/>
      <c r="W785" s="706"/>
    </row>
    <row r="786" spans="1:23" hidden="1" x14ac:dyDescent="0.3">
      <c r="A786" s="706"/>
      <c r="B786" s="706"/>
      <c r="C786" s="621" t="s">
        <v>5450</v>
      </c>
      <c r="D786" s="754"/>
      <c r="E786" s="619" t="s">
        <v>154</v>
      </c>
      <c r="F786" s="1856"/>
      <c r="G786" s="1857"/>
      <c r="H786" s="1856"/>
      <c r="I786" s="1857"/>
      <c r="J786" s="1856"/>
      <c r="K786" s="1857"/>
      <c r="L786" s="1856"/>
      <c r="M786" s="1857"/>
      <c r="N786" s="1856"/>
      <c r="O786" s="1857"/>
      <c r="P786" s="706"/>
      <c r="Q786" s="706"/>
      <c r="R786" s="706"/>
      <c r="S786" s="706"/>
      <c r="T786" s="706"/>
      <c r="U786" s="706"/>
      <c r="V786" s="706"/>
      <c r="W786" s="706"/>
    </row>
    <row r="787" spans="1:23" hidden="1" x14ac:dyDescent="0.3">
      <c r="A787" s="706"/>
      <c r="B787" s="706"/>
      <c r="C787" s="621"/>
      <c r="D787" s="647" t="str">
        <f>D786&amp;"KW"</f>
        <v>KW</v>
      </c>
      <c r="E787" s="619" t="s">
        <v>155</v>
      </c>
      <c r="F787" s="1856"/>
      <c r="G787" s="1857"/>
      <c r="H787" s="1856"/>
      <c r="I787" s="1857"/>
      <c r="J787" s="1856"/>
      <c r="K787" s="1857"/>
      <c r="L787" s="1856"/>
      <c r="M787" s="1857"/>
      <c r="N787" s="1856"/>
      <c r="O787" s="1857"/>
      <c r="P787" s="706"/>
      <c r="Q787" s="706"/>
      <c r="R787" s="706"/>
      <c r="S787" s="706"/>
      <c r="T787" s="706"/>
      <c r="U787" s="706"/>
      <c r="V787" s="706"/>
      <c r="W787" s="706"/>
    </row>
    <row r="788" spans="1:23" hidden="1" x14ac:dyDescent="0.3">
      <c r="A788" s="706"/>
      <c r="B788" s="706"/>
      <c r="C788" s="621" t="s">
        <v>5451</v>
      </c>
      <c r="D788" s="754"/>
      <c r="E788" s="619" t="s">
        <v>154</v>
      </c>
      <c r="F788" s="1856"/>
      <c r="G788" s="1857"/>
      <c r="H788" s="1856"/>
      <c r="I788" s="1857"/>
      <c r="J788" s="1856"/>
      <c r="K788" s="1857"/>
      <c r="L788" s="1856"/>
      <c r="M788" s="1857"/>
      <c r="N788" s="1856"/>
      <c r="O788" s="1857"/>
      <c r="P788" s="706"/>
      <c r="Q788" s="706"/>
      <c r="R788" s="706"/>
      <c r="S788" s="706"/>
      <c r="T788" s="706"/>
      <c r="U788" s="706"/>
      <c r="V788" s="706"/>
      <c r="W788" s="706"/>
    </row>
    <row r="789" spans="1:23" hidden="1" x14ac:dyDescent="0.3">
      <c r="A789" s="706"/>
      <c r="B789" s="706"/>
      <c r="C789" s="621"/>
      <c r="D789" s="647" t="str">
        <f>D788&amp;"KW"</f>
        <v>KW</v>
      </c>
      <c r="E789" s="619" t="s">
        <v>155</v>
      </c>
      <c r="F789" s="1856"/>
      <c r="G789" s="1857"/>
      <c r="H789" s="1856"/>
      <c r="I789" s="1857"/>
      <c r="J789" s="1856"/>
      <c r="K789" s="1857"/>
      <c r="L789" s="1856"/>
      <c r="M789" s="1857"/>
      <c r="N789" s="1856"/>
      <c r="O789" s="1857"/>
      <c r="P789" s="706"/>
      <c r="Q789" s="706"/>
      <c r="R789" s="706"/>
      <c r="S789" s="706"/>
      <c r="T789" s="706"/>
      <c r="U789" s="706"/>
      <c r="V789" s="706"/>
      <c r="W789" s="706"/>
    </row>
    <row r="790" spans="1:23" hidden="1" x14ac:dyDescent="0.3">
      <c r="A790" s="706"/>
      <c r="B790" s="706"/>
      <c r="C790" s="621" t="s">
        <v>5452</v>
      </c>
      <c r="D790" s="754"/>
      <c r="E790" s="619" t="s">
        <v>154</v>
      </c>
      <c r="F790" s="1856"/>
      <c r="G790" s="1857"/>
      <c r="H790" s="1856"/>
      <c r="I790" s="1857"/>
      <c r="J790" s="1856"/>
      <c r="K790" s="1857"/>
      <c r="L790" s="1856"/>
      <c r="M790" s="1857"/>
      <c r="N790" s="1856"/>
      <c r="O790" s="1857"/>
      <c r="P790" s="706"/>
      <c r="Q790" s="706"/>
      <c r="R790" s="706"/>
      <c r="S790" s="706"/>
      <c r="T790" s="706"/>
      <c r="U790" s="706"/>
      <c r="V790" s="706"/>
      <c r="W790" s="706"/>
    </row>
    <row r="791" spans="1:23" hidden="1" x14ac:dyDescent="0.3">
      <c r="A791" s="706"/>
      <c r="B791" s="706"/>
      <c r="C791" s="621"/>
      <c r="D791" s="647" t="str">
        <f>D790&amp;"KW"</f>
        <v>KW</v>
      </c>
      <c r="E791" s="619" t="s">
        <v>155</v>
      </c>
      <c r="F791" s="1856"/>
      <c r="G791" s="1857"/>
      <c r="H791" s="1856"/>
      <c r="I791" s="1857"/>
      <c r="J791" s="1856"/>
      <c r="K791" s="1857"/>
      <c r="L791" s="1856"/>
      <c r="M791" s="1857"/>
      <c r="N791" s="1856"/>
      <c r="O791" s="1857"/>
      <c r="P791" s="706"/>
      <c r="Q791" s="706"/>
      <c r="R791" s="706"/>
      <c r="S791" s="706"/>
      <c r="T791" s="706"/>
      <c r="U791" s="706"/>
      <c r="V791" s="706"/>
      <c r="W791" s="706"/>
    </row>
  </sheetData>
  <sheetProtection algorithmName="SHA-512" hashValue="nkLQcBT7reyPaFHKc6EydEx07x1qhmWEM/FMFvZdRqHMF8VZF+GDYLM/BC5Dp7uH/qBn0l5pttV78qz2Llio6g==" saltValue="3GqLdqTQ3Ji9wv+cKYUV0g==" spinCount="100000" sheet="1" objects="1" scenarios="1"/>
  <mergeCells count="1519">
    <mergeCell ref="H491:I491"/>
    <mergeCell ref="H492:I492"/>
    <mergeCell ref="H493:I493"/>
    <mergeCell ref="H494:I494"/>
    <mergeCell ref="H495:I495"/>
    <mergeCell ref="L16:M16"/>
    <mergeCell ref="N16:O16"/>
    <mergeCell ref="D14:K14"/>
    <mergeCell ref="C28:C29"/>
    <mergeCell ref="D28:D29"/>
    <mergeCell ref="F16:G16"/>
    <mergeCell ref="H16:I16"/>
    <mergeCell ref="J16:K16"/>
    <mergeCell ref="F491:G491"/>
    <mergeCell ref="J491:K491"/>
    <mergeCell ref="N491:O491"/>
    <mergeCell ref="L491:M491"/>
    <mergeCell ref="N492:O492"/>
    <mergeCell ref="N493:O493"/>
    <mergeCell ref="N494:O494"/>
    <mergeCell ref="N495:O495"/>
    <mergeCell ref="C16:E16"/>
    <mergeCell ref="F28:G28"/>
    <mergeCell ref="H28:I28"/>
    <mergeCell ref="J28:K28"/>
    <mergeCell ref="L28:M28"/>
    <mergeCell ref="N28:O28"/>
    <mergeCell ref="F497:G497"/>
    <mergeCell ref="H497:I497"/>
    <mergeCell ref="J497:K497"/>
    <mergeCell ref="L497:M497"/>
    <mergeCell ref="N497:O497"/>
    <mergeCell ref="F496:G496"/>
    <mergeCell ref="H496:I496"/>
    <mergeCell ref="J496:K496"/>
    <mergeCell ref="L496:M496"/>
    <mergeCell ref="N496:O496"/>
    <mergeCell ref="J492:K492"/>
    <mergeCell ref="J493:K493"/>
    <mergeCell ref="J494:K494"/>
    <mergeCell ref="J495:K495"/>
    <mergeCell ref="L492:M492"/>
    <mergeCell ref="L493:M493"/>
    <mergeCell ref="L494:M494"/>
    <mergeCell ref="L495:M495"/>
    <mergeCell ref="F492:G492"/>
    <mergeCell ref="F493:G493"/>
    <mergeCell ref="F494:G494"/>
    <mergeCell ref="F495:G495"/>
    <mergeCell ref="F501:G501"/>
    <mergeCell ref="H501:I501"/>
    <mergeCell ref="J501:K501"/>
    <mergeCell ref="L501:M501"/>
    <mergeCell ref="N501:O501"/>
    <mergeCell ref="F500:G500"/>
    <mergeCell ref="H500:I500"/>
    <mergeCell ref="J500:K500"/>
    <mergeCell ref="L500:M500"/>
    <mergeCell ref="N500:O500"/>
    <mergeCell ref="F499:G499"/>
    <mergeCell ref="H499:I499"/>
    <mergeCell ref="J499:K499"/>
    <mergeCell ref="L499:M499"/>
    <mergeCell ref="N499:O499"/>
    <mergeCell ref="F498:G498"/>
    <mergeCell ref="H498:I498"/>
    <mergeCell ref="J498:K498"/>
    <mergeCell ref="L498:M498"/>
    <mergeCell ref="N498:O498"/>
    <mergeCell ref="F505:G505"/>
    <mergeCell ref="H505:I505"/>
    <mergeCell ref="J505:K505"/>
    <mergeCell ref="L505:M505"/>
    <mergeCell ref="N505:O505"/>
    <mergeCell ref="F504:G504"/>
    <mergeCell ref="H504:I504"/>
    <mergeCell ref="J504:K504"/>
    <mergeCell ref="L504:M504"/>
    <mergeCell ref="N504:O504"/>
    <mergeCell ref="F503:G503"/>
    <mergeCell ref="H503:I503"/>
    <mergeCell ref="J503:K503"/>
    <mergeCell ref="L503:M503"/>
    <mergeCell ref="N503:O503"/>
    <mergeCell ref="F502:G502"/>
    <mergeCell ref="H502:I502"/>
    <mergeCell ref="J502:K502"/>
    <mergeCell ref="L502:M502"/>
    <mergeCell ref="N502:O502"/>
    <mergeCell ref="F509:G509"/>
    <mergeCell ref="H509:I509"/>
    <mergeCell ref="J509:K509"/>
    <mergeCell ref="L509:M509"/>
    <mergeCell ref="N509:O509"/>
    <mergeCell ref="F508:G508"/>
    <mergeCell ref="H508:I508"/>
    <mergeCell ref="J508:K508"/>
    <mergeCell ref="L508:M508"/>
    <mergeCell ref="N508:O508"/>
    <mergeCell ref="F507:G507"/>
    <mergeCell ref="H507:I507"/>
    <mergeCell ref="J507:K507"/>
    <mergeCell ref="L507:M507"/>
    <mergeCell ref="N507:O507"/>
    <mergeCell ref="F506:G506"/>
    <mergeCell ref="H506:I506"/>
    <mergeCell ref="J506:K506"/>
    <mergeCell ref="L506:M506"/>
    <mergeCell ref="N506:O506"/>
    <mergeCell ref="F513:G513"/>
    <mergeCell ref="H513:I513"/>
    <mergeCell ref="J513:K513"/>
    <mergeCell ref="L513:M513"/>
    <mergeCell ref="N513:O513"/>
    <mergeCell ref="F512:G512"/>
    <mergeCell ref="H512:I512"/>
    <mergeCell ref="J512:K512"/>
    <mergeCell ref="L512:M512"/>
    <mergeCell ref="N512:O512"/>
    <mergeCell ref="F511:G511"/>
    <mergeCell ref="H511:I511"/>
    <mergeCell ref="J511:K511"/>
    <mergeCell ref="L511:M511"/>
    <mergeCell ref="N511:O511"/>
    <mergeCell ref="F510:G510"/>
    <mergeCell ref="H510:I510"/>
    <mergeCell ref="J510:K510"/>
    <mergeCell ref="L510:M510"/>
    <mergeCell ref="N510:O510"/>
    <mergeCell ref="F516:G516"/>
    <mergeCell ref="H516:I516"/>
    <mergeCell ref="F517:G517"/>
    <mergeCell ref="H517:I517"/>
    <mergeCell ref="F518:G518"/>
    <mergeCell ref="H518:I518"/>
    <mergeCell ref="F519:G519"/>
    <mergeCell ref="H519:I519"/>
    <mergeCell ref="F520:G520"/>
    <mergeCell ref="H520:I520"/>
    <mergeCell ref="F515:G515"/>
    <mergeCell ref="H515:I515"/>
    <mergeCell ref="J515:K515"/>
    <mergeCell ref="L515:M515"/>
    <mergeCell ref="N515:O515"/>
    <mergeCell ref="F514:G514"/>
    <mergeCell ref="H514:I514"/>
    <mergeCell ref="J514:K514"/>
    <mergeCell ref="L514:M514"/>
    <mergeCell ref="N514:O514"/>
    <mergeCell ref="J519:K519"/>
    <mergeCell ref="L519:M519"/>
    <mergeCell ref="N519:O519"/>
    <mergeCell ref="J520:K520"/>
    <mergeCell ref="L520:M520"/>
    <mergeCell ref="N520:O520"/>
    <mergeCell ref="F526:G526"/>
    <mergeCell ref="H526:I526"/>
    <mergeCell ref="F527:G527"/>
    <mergeCell ref="H527:I527"/>
    <mergeCell ref="F528:G528"/>
    <mergeCell ref="H528:I528"/>
    <mergeCell ref="F529:G529"/>
    <mergeCell ref="H529:I529"/>
    <mergeCell ref="F530:G530"/>
    <mergeCell ref="H530:I530"/>
    <mergeCell ref="F521:G521"/>
    <mergeCell ref="H521:I521"/>
    <mergeCell ref="F522:G522"/>
    <mergeCell ref="H522:I522"/>
    <mergeCell ref="F523:G523"/>
    <mergeCell ref="H523:I523"/>
    <mergeCell ref="F524:G524"/>
    <mergeCell ref="H524:I524"/>
    <mergeCell ref="F525:G525"/>
    <mergeCell ref="H525:I525"/>
    <mergeCell ref="F536:G536"/>
    <mergeCell ref="H536:I536"/>
    <mergeCell ref="F537:G537"/>
    <mergeCell ref="H537:I537"/>
    <mergeCell ref="F538:G538"/>
    <mergeCell ref="H538:I538"/>
    <mergeCell ref="F539:G539"/>
    <mergeCell ref="H539:I539"/>
    <mergeCell ref="F540:G540"/>
    <mergeCell ref="H540:I540"/>
    <mergeCell ref="F531:G531"/>
    <mergeCell ref="H531:I531"/>
    <mergeCell ref="F532:G532"/>
    <mergeCell ref="H532:I532"/>
    <mergeCell ref="F533:G533"/>
    <mergeCell ref="H533:I533"/>
    <mergeCell ref="F534:G534"/>
    <mergeCell ref="H534:I534"/>
    <mergeCell ref="F535:G535"/>
    <mergeCell ref="H535:I535"/>
    <mergeCell ref="F546:G546"/>
    <mergeCell ref="H546:I546"/>
    <mergeCell ref="F547:G547"/>
    <mergeCell ref="H547:I547"/>
    <mergeCell ref="F548:G548"/>
    <mergeCell ref="H548:I548"/>
    <mergeCell ref="F549:G549"/>
    <mergeCell ref="H549:I549"/>
    <mergeCell ref="F550:G550"/>
    <mergeCell ref="H550:I550"/>
    <mergeCell ref="F541:G541"/>
    <mergeCell ref="H541:I541"/>
    <mergeCell ref="F542:G542"/>
    <mergeCell ref="H542:I542"/>
    <mergeCell ref="F543:G543"/>
    <mergeCell ref="H543:I543"/>
    <mergeCell ref="F544:G544"/>
    <mergeCell ref="H544:I544"/>
    <mergeCell ref="F545:G545"/>
    <mergeCell ref="H545:I545"/>
    <mergeCell ref="F556:G556"/>
    <mergeCell ref="H556:I556"/>
    <mergeCell ref="F557:G557"/>
    <mergeCell ref="H557:I557"/>
    <mergeCell ref="F558:G558"/>
    <mergeCell ref="H558:I558"/>
    <mergeCell ref="F559:G559"/>
    <mergeCell ref="H559:I559"/>
    <mergeCell ref="F560:G560"/>
    <mergeCell ref="H560:I560"/>
    <mergeCell ref="F551:G551"/>
    <mergeCell ref="H551:I551"/>
    <mergeCell ref="F552:G552"/>
    <mergeCell ref="H552:I552"/>
    <mergeCell ref="F553:G553"/>
    <mergeCell ref="H553:I553"/>
    <mergeCell ref="F554:G554"/>
    <mergeCell ref="H554:I554"/>
    <mergeCell ref="F555:G555"/>
    <mergeCell ref="H555:I555"/>
    <mergeCell ref="F566:G566"/>
    <mergeCell ref="H566:I566"/>
    <mergeCell ref="F567:G567"/>
    <mergeCell ref="H567:I567"/>
    <mergeCell ref="F568:G568"/>
    <mergeCell ref="H568:I568"/>
    <mergeCell ref="F569:G569"/>
    <mergeCell ref="H569:I569"/>
    <mergeCell ref="F570:G570"/>
    <mergeCell ref="H570:I570"/>
    <mergeCell ref="F561:G561"/>
    <mergeCell ref="H561:I561"/>
    <mergeCell ref="F562:G562"/>
    <mergeCell ref="H562:I562"/>
    <mergeCell ref="F563:G563"/>
    <mergeCell ref="H563:I563"/>
    <mergeCell ref="F564:G564"/>
    <mergeCell ref="H564:I564"/>
    <mergeCell ref="F565:G565"/>
    <mergeCell ref="H565:I565"/>
    <mergeCell ref="F576:G576"/>
    <mergeCell ref="H576:I576"/>
    <mergeCell ref="F577:G577"/>
    <mergeCell ref="H577:I577"/>
    <mergeCell ref="F578:G578"/>
    <mergeCell ref="H578:I578"/>
    <mergeCell ref="F579:G579"/>
    <mergeCell ref="H579:I579"/>
    <mergeCell ref="F580:G580"/>
    <mergeCell ref="H580:I580"/>
    <mergeCell ref="F571:G571"/>
    <mergeCell ref="H571:I571"/>
    <mergeCell ref="F572:G572"/>
    <mergeCell ref="H572:I572"/>
    <mergeCell ref="F573:G573"/>
    <mergeCell ref="H573:I573"/>
    <mergeCell ref="F574:G574"/>
    <mergeCell ref="H574:I574"/>
    <mergeCell ref="F575:G575"/>
    <mergeCell ref="H575:I575"/>
    <mergeCell ref="F586:G586"/>
    <mergeCell ref="H586:I586"/>
    <mergeCell ref="F587:G587"/>
    <mergeCell ref="H587:I587"/>
    <mergeCell ref="F588:G588"/>
    <mergeCell ref="H588:I588"/>
    <mergeCell ref="F589:G589"/>
    <mergeCell ref="H589:I589"/>
    <mergeCell ref="F590:G590"/>
    <mergeCell ref="H590:I590"/>
    <mergeCell ref="F581:G581"/>
    <mergeCell ref="H581:I581"/>
    <mergeCell ref="F582:G582"/>
    <mergeCell ref="H582:I582"/>
    <mergeCell ref="F583:G583"/>
    <mergeCell ref="H583:I583"/>
    <mergeCell ref="F584:G584"/>
    <mergeCell ref="H584:I584"/>
    <mergeCell ref="F585:G585"/>
    <mergeCell ref="H585:I585"/>
    <mergeCell ref="F596:G596"/>
    <mergeCell ref="H596:I596"/>
    <mergeCell ref="F597:G597"/>
    <mergeCell ref="H597:I597"/>
    <mergeCell ref="F598:G598"/>
    <mergeCell ref="H598:I598"/>
    <mergeCell ref="F599:G599"/>
    <mergeCell ref="H599:I599"/>
    <mergeCell ref="F600:G600"/>
    <mergeCell ref="H600:I600"/>
    <mergeCell ref="F591:G591"/>
    <mergeCell ref="H591:I591"/>
    <mergeCell ref="F592:G592"/>
    <mergeCell ref="H592:I592"/>
    <mergeCell ref="F593:G593"/>
    <mergeCell ref="H593:I593"/>
    <mergeCell ref="F594:G594"/>
    <mergeCell ref="H594:I594"/>
    <mergeCell ref="F595:G595"/>
    <mergeCell ref="H595:I595"/>
    <mergeCell ref="F606:G606"/>
    <mergeCell ref="H606:I606"/>
    <mergeCell ref="F607:G607"/>
    <mergeCell ref="H607:I607"/>
    <mergeCell ref="F608:G608"/>
    <mergeCell ref="H608:I608"/>
    <mergeCell ref="F609:G609"/>
    <mergeCell ref="H609:I609"/>
    <mergeCell ref="F610:G610"/>
    <mergeCell ref="H610:I610"/>
    <mergeCell ref="F601:G601"/>
    <mergeCell ref="H601:I601"/>
    <mergeCell ref="F602:G602"/>
    <mergeCell ref="H602:I602"/>
    <mergeCell ref="F603:G603"/>
    <mergeCell ref="H603:I603"/>
    <mergeCell ref="F604:G604"/>
    <mergeCell ref="H604:I604"/>
    <mergeCell ref="F605:G605"/>
    <mergeCell ref="H605:I605"/>
    <mergeCell ref="F616:G616"/>
    <mergeCell ref="H616:I616"/>
    <mergeCell ref="F617:G617"/>
    <mergeCell ref="H617:I617"/>
    <mergeCell ref="F618:G618"/>
    <mergeCell ref="H618:I618"/>
    <mergeCell ref="F619:G619"/>
    <mergeCell ref="H619:I619"/>
    <mergeCell ref="F620:G620"/>
    <mergeCell ref="H620:I620"/>
    <mergeCell ref="F611:G611"/>
    <mergeCell ref="H611:I611"/>
    <mergeCell ref="F612:G612"/>
    <mergeCell ref="H612:I612"/>
    <mergeCell ref="F613:G613"/>
    <mergeCell ref="H613:I613"/>
    <mergeCell ref="F614:G614"/>
    <mergeCell ref="H614:I614"/>
    <mergeCell ref="F615:G615"/>
    <mergeCell ref="H615:I615"/>
    <mergeCell ref="F626:G626"/>
    <mergeCell ref="H626:I626"/>
    <mergeCell ref="F627:G627"/>
    <mergeCell ref="H627:I627"/>
    <mergeCell ref="F628:G628"/>
    <mergeCell ref="H628:I628"/>
    <mergeCell ref="F629:G629"/>
    <mergeCell ref="H629:I629"/>
    <mergeCell ref="F630:G630"/>
    <mergeCell ref="H630:I630"/>
    <mergeCell ref="F621:G621"/>
    <mergeCell ref="H621:I621"/>
    <mergeCell ref="F622:G622"/>
    <mergeCell ref="H622:I622"/>
    <mergeCell ref="F623:G623"/>
    <mergeCell ref="H623:I623"/>
    <mergeCell ref="F624:G624"/>
    <mergeCell ref="H624:I624"/>
    <mergeCell ref="F625:G625"/>
    <mergeCell ref="H625:I625"/>
    <mergeCell ref="F636:G636"/>
    <mergeCell ref="H636:I636"/>
    <mergeCell ref="F637:G637"/>
    <mergeCell ref="H637:I637"/>
    <mergeCell ref="F638:G638"/>
    <mergeCell ref="H638:I638"/>
    <mergeCell ref="F639:G639"/>
    <mergeCell ref="H639:I639"/>
    <mergeCell ref="F640:G640"/>
    <mergeCell ref="H640:I640"/>
    <mergeCell ref="F631:G631"/>
    <mergeCell ref="H631:I631"/>
    <mergeCell ref="F632:G632"/>
    <mergeCell ref="H632:I632"/>
    <mergeCell ref="F633:G633"/>
    <mergeCell ref="H633:I633"/>
    <mergeCell ref="F634:G634"/>
    <mergeCell ref="H634:I634"/>
    <mergeCell ref="F635:G635"/>
    <mergeCell ref="H635:I635"/>
    <mergeCell ref="F646:G646"/>
    <mergeCell ref="H646:I646"/>
    <mergeCell ref="F647:G647"/>
    <mergeCell ref="H647:I647"/>
    <mergeCell ref="F648:G648"/>
    <mergeCell ref="H648:I648"/>
    <mergeCell ref="F649:G649"/>
    <mergeCell ref="H649:I649"/>
    <mergeCell ref="F650:G650"/>
    <mergeCell ref="H650:I650"/>
    <mergeCell ref="F641:G641"/>
    <mergeCell ref="H641:I641"/>
    <mergeCell ref="F642:G642"/>
    <mergeCell ref="H642:I642"/>
    <mergeCell ref="F643:G643"/>
    <mergeCell ref="H643:I643"/>
    <mergeCell ref="F644:G644"/>
    <mergeCell ref="H644:I644"/>
    <mergeCell ref="F645:G645"/>
    <mergeCell ref="H645:I645"/>
    <mergeCell ref="F656:G656"/>
    <mergeCell ref="H656:I656"/>
    <mergeCell ref="F657:G657"/>
    <mergeCell ref="H657:I657"/>
    <mergeCell ref="F658:G658"/>
    <mergeCell ref="H658:I658"/>
    <mergeCell ref="F659:G659"/>
    <mergeCell ref="H659:I659"/>
    <mergeCell ref="F660:G660"/>
    <mergeCell ref="H660:I660"/>
    <mergeCell ref="F651:G651"/>
    <mergeCell ref="H651:I651"/>
    <mergeCell ref="F652:G652"/>
    <mergeCell ref="H652:I652"/>
    <mergeCell ref="F653:G653"/>
    <mergeCell ref="H653:I653"/>
    <mergeCell ref="F654:G654"/>
    <mergeCell ref="H654:I654"/>
    <mergeCell ref="F655:G655"/>
    <mergeCell ref="H655:I655"/>
    <mergeCell ref="F666:G666"/>
    <mergeCell ref="H666:I666"/>
    <mergeCell ref="F667:G667"/>
    <mergeCell ref="H667:I667"/>
    <mergeCell ref="F668:G668"/>
    <mergeCell ref="H668:I668"/>
    <mergeCell ref="F669:G669"/>
    <mergeCell ref="H669:I669"/>
    <mergeCell ref="F670:G670"/>
    <mergeCell ref="H670:I670"/>
    <mergeCell ref="F661:G661"/>
    <mergeCell ref="H661:I661"/>
    <mergeCell ref="F662:G662"/>
    <mergeCell ref="H662:I662"/>
    <mergeCell ref="F663:G663"/>
    <mergeCell ref="H663:I663"/>
    <mergeCell ref="F664:G664"/>
    <mergeCell ref="H664:I664"/>
    <mergeCell ref="F665:G665"/>
    <mergeCell ref="H665:I665"/>
    <mergeCell ref="F676:G676"/>
    <mergeCell ref="H676:I676"/>
    <mergeCell ref="F677:G677"/>
    <mergeCell ref="H677:I677"/>
    <mergeCell ref="F678:G678"/>
    <mergeCell ref="H678:I678"/>
    <mergeCell ref="F679:G679"/>
    <mergeCell ref="H679:I679"/>
    <mergeCell ref="F680:G680"/>
    <mergeCell ref="H680:I680"/>
    <mergeCell ref="F671:G671"/>
    <mergeCell ref="H671:I671"/>
    <mergeCell ref="F672:G672"/>
    <mergeCell ref="H672:I672"/>
    <mergeCell ref="F673:G673"/>
    <mergeCell ref="H673:I673"/>
    <mergeCell ref="F674:G674"/>
    <mergeCell ref="H674:I674"/>
    <mergeCell ref="F675:G675"/>
    <mergeCell ref="H675:I675"/>
    <mergeCell ref="F686:G686"/>
    <mergeCell ref="H686:I686"/>
    <mergeCell ref="F687:G687"/>
    <mergeCell ref="H687:I687"/>
    <mergeCell ref="F688:G688"/>
    <mergeCell ref="H688:I688"/>
    <mergeCell ref="F689:G689"/>
    <mergeCell ref="H689:I689"/>
    <mergeCell ref="F690:G690"/>
    <mergeCell ref="H690:I690"/>
    <mergeCell ref="F681:G681"/>
    <mergeCell ref="H681:I681"/>
    <mergeCell ref="F682:G682"/>
    <mergeCell ref="H682:I682"/>
    <mergeCell ref="F683:G683"/>
    <mergeCell ref="H683:I683"/>
    <mergeCell ref="F684:G684"/>
    <mergeCell ref="H684:I684"/>
    <mergeCell ref="F685:G685"/>
    <mergeCell ref="H685:I685"/>
    <mergeCell ref="F696:G696"/>
    <mergeCell ref="H696:I696"/>
    <mergeCell ref="F697:G697"/>
    <mergeCell ref="H697:I697"/>
    <mergeCell ref="F698:G698"/>
    <mergeCell ref="H698:I698"/>
    <mergeCell ref="F699:G699"/>
    <mergeCell ref="H699:I699"/>
    <mergeCell ref="F700:G700"/>
    <mergeCell ref="H700:I700"/>
    <mergeCell ref="F691:G691"/>
    <mergeCell ref="H691:I691"/>
    <mergeCell ref="F692:G692"/>
    <mergeCell ref="H692:I692"/>
    <mergeCell ref="F693:G693"/>
    <mergeCell ref="H693:I693"/>
    <mergeCell ref="F694:G694"/>
    <mergeCell ref="H694:I694"/>
    <mergeCell ref="F695:G695"/>
    <mergeCell ref="H695:I695"/>
    <mergeCell ref="F706:G706"/>
    <mergeCell ref="H706:I706"/>
    <mergeCell ref="F707:G707"/>
    <mergeCell ref="H707:I707"/>
    <mergeCell ref="F708:G708"/>
    <mergeCell ref="H708:I708"/>
    <mergeCell ref="F709:G709"/>
    <mergeCell ref="H709:I709"/>
    <mergeCell ref="F710:G710"/>
    <mergeCell ref="H710:I710"/>
    <mergeCell ref="F701:G701"/>
    <mergeCell ref="H701:I701"/>
    <mergeCell ref="F702:G702"/>
    <mergeCell ref="H702:I702"/>
    <mergeCell ref="F703:G703"/>
    <mergeCell ref="H703:I703"/>
    <mergeCell ref="F704:G704"/>
    <mergeCell ref="H704:I704"/>
    <mergeCell ref="F705:G705"/>
    <mergeCell ref="H705:I705"/>
    <mergeCell ref="F716:G716"/>
    <mergeCell ref="H716:I716"/>
    <mergeCell ref="F717:G717"/>
    <mergeCell ref="H717:I717"/>
    <mergeCell ref="F718:G718"/>
    <mergeCell ref="H718:I718"/>
    <mergeCell ref="F719:G719"/>
    <mergeCell ref="H719:I719"/>
    <mergeCell ref="F720:G720"/>
    <mergeCell ref="H720:I720"/>
    <mergeCell ref="F711:G711"/>
    <mergeCell ref="H711:I711"/>
    <mergeCell ref="F712:G712"/>
    <mergeCell ref="H712:I712"/>
    <mergeCell ref="F713:G713"/>
    <mergeCell ref="H713:I713"/>
    <mergeCell ref="F714:G714"/>
    <mergeCell ref="H714:I714"/>
    <mergeCell ref="F715:G715"/>
    <mergeCell ref="H715:I715"/>
    <mergeCell ref="F726:G726"/>
    <mergeCell ref="H726:I726"/>
    <mergeCell ref="F727:G727"/>
    <mergeCell ref="H727:I727"/>
    <mergeCell ref="F728:G728"/>
    <mergeCell ref="H728:I728"/>
    <mergeCell ref="F729:G729"/>
    <mergeCell ref="H729:I729"/>
    <mergeCell ref="F730:G730"/>
    <mergeCell ref="H730:I730"/>
    <mergeCell ref="F721:G721"/>
    <mergeCell ref="H721:I721"/>
    <mergeCell ref="F722:G722"/>
    <mergeCell ref="H722:I722"/>
    <mergeCell ref="F723:G723"/>
    <mergeCell ref="H723:I723"/>
    <mergeCell ref="F724:G724"/>
    <mergeCell ref="H724:I724"/>
    <mergeCell ref="F725:G725"/>
    <mergeCell ref="H725:I725"/>
    <mergeCell ref="F736:G736"/>
    <mergeCell ref="H736:I736"/>
    <mergeCell ref="F737:G737"/>
    <mergeCell ref="H737:I737"/>
    <mergeCell ref="F738:G738"/>
    <mergeCell ref="H738:I738"/>
    <mergeCell ref="F739:G739"/>
    <mergeCell ref="H739:I739"/>
    <mergeCell ref="F740:G740"/>
    <mergeCell ref="H740:I740"/>
    <mergeCell ref="F731:G731"/>
    <mergeCell ref="H731:I731"/>
    <mergeCell ref="F732:G732"/>
    <mergeCell ref="H732:I732"/>
    <mergeCell ref="F733:G733"/>
    <mergeCell ref="H733:I733"/>
    <mergeCell ref="F734:G734"/>
    <mergeCell ref="H734:I734"/>
    <mergeCell ref="F735:G735"/>
    <mergeCell ref="H735:I735"/>
    <mergeCell ref="F746:G746"/>
    <mergeCell ref="H746:I746"/>
    <mergeCell ref="F747:G747"/>
    <mergeCell ref="H747:I747"/>
    <mergeCell ref="F748:G748"/>
    <mergeCell ref="H748:I748"/>
    <mergeCell ref="F749:G749"/>
    <mergeCell ref="H749:I749"/>
    <mergeCell ref="F750:G750"/>
    <mergeCell ref="H750:I750"/>
    <mergeCell ref="F741:G741"/>
    <mergeCell ref="H741:I741"/>
    <mergeCell ref="F742:G742"/>
    <mergeCell ref="H742:I742"/>
    <mergeCell ref="F743:G743"/>
    <mergeCell ref="H743:I743"/>
    <mergeCell ref="F744:G744"/>
    <mergeCell ref="H744:I744"/>
    <mergeCell ref="F745:G745"/>
    <mergeCell ref="H745:I745"/>
    <mergeCell ref="F756:G756"/>
    <mergeCell ref="H756:I756"/>
    <mergeCell ref="F757:G757"/>
    <mergeCell ref="H757:I757"/>
    <mergeCell ref="F758:G758"/>
    <mergeCell ref="H758:I758"/>
    <mergeCell ref="F759:G759"/>
    <mergeCell ref="H759:I759"/>
    <mergeCell ref="F760:G760"/>
    <mergeCell ref="H760:I760"/>
    <mergeCell ref="F751:G751"/>
    <mergeCell ref="H751:I751"/>
    <mergeCell ref="F752:G752"/>
    <mergeCell ref="H752:I752"/>
    <mergeCell ref="F753:G753"/>
    <mergeCell ref="H753:I753"/>
    <mergeCell ref="F754:G754"/>
    <mergeCell ref="H754:I754"/>
    <mergeCell ref="F755:G755"/>
    <mergeCell ref="H755:I755"/>
    <mergeCell ref="F766:G766"/>
    <mergeCell ref="H766:I766"/>
    <mergeCell ref="F767:G767"/>
    <mergeCell ref="H767:I767"/>
    <mergeCell ref="F768:G768"/>
    <mergeCell ref="H768:I768"/>
    <mergeCell ref="F769:G769"/>
    <mergeCell ref="H769:I769"/>
    <mergeCell ref="F770:G770"/>
    <mergeCell ref="H770:I770"/>
    <mergeCell ref="F761:G761"/>
    <mergeCell ref="H761:I761"/>
    <mergeCell ref="F762:G762"/>
    <mergeCell ref="H762:I762"/>
    <mergeCell ref="F763:G763"/>
    <mergeCell ref="H763:I763"/>
    <mergeCell ref="F764:G764"/>
    <mergeCell ref="H764:I764"/>
    <mergeCell ref="F765:G765"/>
    <mergeCell ref="H765:I765"/>
    <mergeCell ref="F776:G776"/>
    <mergeCell ref="H776:I776"/>
    <mergeCell ref="F777:G777"/>
    <mergeCell ref="H777:I777"/>
    <mergeCell ref="F778:G778"/>
    <mergeCell ref="H778:I778"/>
    <mergeCell ref="F779:G779"/>
    <mergeCell ref="H779:I779"/>
    <mergeCell ref="F780:G780"/>
    <mergeCell ref="H780:I780"/>
    <mergeCell ref="F771:G771"/>
    <mergeCell ref="H771:I771"/>
    <mergeCell ref="F772:G772"/>
    <mergeCell ref="H772:I772"/>
    <mergeCell ref="F773:G773"/>
    <mergeCell ref="H773:I773"/>
    <mergeCell ref="F774:G774"/>
    <mergeCell ref="H774:I774"/>
    <mergeCell ref="F775:G775"/>
    <mergeCell ref="H775:I775"/>
    <mergeCell ref="F791:G791"/>
    <mergeCell ref="H791:I791"/>
    <mergeCell ref="F786:G786"/>
    <mergeCell ref="H786:I786"/>
    <mergeCell ref="F787:G787"/>
    <mergeCell ref="H787:I787"/>
    <mergeCell ref="F788:G788"/>
    <mergeCell ref="H788:I788"/>
    <mergeCell ref="F789:G789"/>
    <mergeCell ref="H789:I789"/>
    <mergeCell ref="F790:G790"/>
    <mergeCell ref="H790:I790"/>
    <mergeCell ref="F781:G781"/>
    <mergeCell ref="H781:I781"/>
    <mergeCell ref="F782:G782"/>
    <mergeCell ref="H782:I782"/>
    <mergeCell ref="F783:G783"/>
    <mergeCell ref="H783:I783"/>
    <mergeCell ref="F784:G784"/>
    <mergeCell ref="H784:I784"/>
    <mergeCell ref="F785:G785"/>
    <mergeCell ref="H785:I785"/>
    <mergeCell ref="J521:K521"/>
    <mergeCell ref="L521:M521"/>
    <mergeCell ref="N521:O521"/>
    <mergeCell ref="J516:K516"/>
    <mergeCell ref="L516:M516"/>
    <mergeCell ref="N516:O516"/>
    <mergeCell ref="J517:K517"/>
    <mergeCell ref="L517:M517"/>
    <mergeCell ref="N517:O517"/>
    <mergeCell ref="J518:K518"/>
    <mergeCell ref="L518:M518"/>
    <mergeCell ref="N518:O518"/>
    <mergeCell ref="J525:K525"/>
    <mergeCell ref="L525:M525"/>
    <mergeCell ref="N525:O525"/>
    <mergeCell ref="J526:K526"/>
    <mergeCell ref="L526:M526"/>
    <mergeCell ref="N526:O526"/>
    <mergeCell ref="J527:K527"/>
    <mergeCell ref="L527:M527"/>
    <mergeCell ref="N527:O527"/>
    <mergeCell ref="J522:K522"/>
    <mergeCell ref="L522:M522"/>
    <mergeCell ref="N522:O522"/>
    <mergeCell ref="J523:K523"/>
    <mergeCell ref="L523:M523"/>
    <mergeCell ref="N523:O523"/>
    <mergeCell ref="J524:K524"/>
    <mergeCell ref="L524:M524"/>
    <mergeCell ref="N524:O524"/>
    <mergeCell ref="J531:K531"/>
    <mergeCell ref="L531:M531"/>
    <mergeCell ref="N531:O531"/>
    <mergeCell ref="J532:K532"/>
    <mergeCell ref="L532:M532"/>
    <mergeCell ref="N532:O532"/>
    <mergeCell ref="J533:K533"/>
    <mergeCell ref="L533:M533"/>
    <mergeCell ref="N533:O533"/>
    <mergeCell ref="J528:K528"/>
    <mergeCell ref="L528:M528"/>
    <mergeCell ref="N528:O528"/>
    <mergeCell ref="J529:K529"/>
    <mergeCell ref="L529:M529"/>
    <mergeCell ref="N529:O529"/>
    <mergeCell ref="J530:K530"/>
    <mergeCell ref="L530:M530"/>
    <mergeCell ref="N530:O530"/>
    <mergeCell ref="J537:K537"/>
    <mergeCell ref="L537:M537"/>
    <mergeCell ref="N537:O537"/>
    <mergeCell ref="J538:K538"/>
    <mergeCell ref="L538:M538"/>
    <mergeCell ref="N538:O538"/>
    <mergeCell ref="J539:K539"/>
    <mergeCell ref="L539:M539"/>
    <mergeCell ref="N539:O539"/>
    <mergeCell ref="J534:K534"/>
    <mergeCell ref="L534:M534"/>
    <mergeCell ref="N534:O534"/>
    <mergeCell ref="J535:K535"/>
    <mergeCell ref="L535:M535"/>
    <mergeCell ref="N535:O535"/>
    <mergeCell ref="J536:K536"/>
    <mergeCell ref="L536:M536"/>
    <mergeCell ref="N536:O536"/>
    <mergeCell ref="J543:K543"/>
    <mergeCell ref="L543:M543"/>
    <mergeCell ref="N543:O543"/>
    <mergeCell ref="J544:K544"/>
    <mergeCell ref="L544:M544"/>
    <mergeCell ref="N544:O544"/>
    <mergeCell ref="J545:K545"/>
    <mergeCell ref="L545:M545"/>
    <mergeCell ref="N545:O545"/>
    <mergeCell ref="J540:K540"/>
    <mergeCell ref="L540:M540"/>
    <mergeCell ref="N540:O540"/>
    <mergeCell ref="J541:K541"/>
    <mergeCell ref="L541:M541"/>
    <mergeCell ref="N541:O541"/>
    <mergeCell ref="J542:K542"/>
    <mergeCell ref="L542:M542"/>
    <mergeCell ref="N542:O542"/>
    <mergeCell ref="J549:K549"/>
    <mergeCell ref="L549:M549"/>
    <mergeCell ref="N549:O549"/>
    <mergeCell ref="J550:K550"/>
    <mergeCell ref="L550:M550"/>
    <mergeCell ref="N550:O550"/>
    <mergeCell ref="J551:K551"/>
    <mergeCell ref="L551:M551"/>
    <mergeCell ref="N551:O551"/>
    <mergeCell ref="J546:K546"/>
    <mergeCell ref="L546:M546"/>
    <mergeCell ref="N546:O546"/>
    <mergeCell ref="J547:K547"/>
    <mergeCell ref="L547:M547"/>
    <mergeCell ref="N547:O547"/>
    <mergeCell ref="J548:K548"/>
    <mergeCell ref="L548:M548"/>
    <mergeCell ref="N548:O548"/>
    <mergeCell ref="J555:K555"/>
    <mergeCell ref="L555:M555"/>
    <mergeCell ref="N555:O555"/>
    <mergeCell ref="J556:K556"/>
    <mergeCell ref="L556:M556"/>
    <mergeCell ref="N556:O556"/>
    <mergeCell ref="J557:K557"/>
    <mergeCell ref="L557:M557"/>
    <mergeCell ref="N557:O557"/>
    <mergeCell ref="J552:K552"/>
    <mergeCell ref="L552:M552"/>
    <mergeCell ref="N552:O552"/>
    <mergeCell ref="J553:K553"/>
    <mergeCell ref="L553:M553"/>
    <mergeCell ref="N553:O553"/>
    <mergeCell ref="J554:K554"/>
    <mergeCell ref="L554:M554"/>
    <mergeCell ref="N554:O554"/>
    <mergeCell ref="J561:K561"/>
    <mergeCell ref="L561:M561"/>
    <mergeCell ref="N561:O561"/>
    <mergeCell ref="J562:K562"/>
    <mergeCell ref="L562:M562"/>
    <mergeCell ref="N562:O562"/>
    <mergeCell ref="J563:K563"/>
    <mergeCell ref="L563:M563"/>
    <mergeCell ref="N563:O563"/>
    <mergeCell ref="J558:K558"/>
    <mergeCell ref="L558:M558"/>
    <mergeCell ref="N558:O558"/>
    <mergeCell ref="J559:K559"/>
    <mergeCell ref="L559:M559"/>
    <mergeCell ref="N559:O559"/>
    <mergeCell ref="J560:K560"/>
    <mergeCell ref="L560:M560"/>
    <mergeCell ref="N560:O560"/>
    <mergeCell ref="J567:K567"/>
    <mergeCell ref="L567:M567"/>
    <mergeCell ref="N567:O567"/>
    <mergeCell ref="J568:K568"/>
    <mergeCell ref="L568:M568"/>
    <mergeCell ref="N568:O568"/>
    <mergeCell ref="J569:K569"/>
    <mergeCell ref="L569:M569"/>
    <mergeCell ref="N569:O569"/>
    <mergeCell ref="J564:K564"/>
    <mergeCell ref="L564:M564"/>
    <mergeCell ref="N564:O564"/>
    <mergeCell ref="J565:K565"/>
    <mergeCell ref="L565:M565"/>
    <mergeCell ref="N565:O565"/>
    <mergeCell ref="J566:K566"/>
    <mergeCell ref="L566:M566"/>
    <mergeCell ref="N566:O566"/>
    <mergeCell ref="J573:K573"/>
    <mergeCell ref="L573:M573"/>
    <mergeCell ref="N573:O573"/>
    <mergeCell ref="J574:K574"/>
    <mergeCell ref="L574:M574"/>
    <mergeCell ref="N574:O574"/>
    <mergeCell ref="J575:K575"/>
    <mergeCell ref="L575:M575"/>
    <mergeCell ref="N575:O575"/>
    <mergeCell ref="J570:K570"/>
    <mergeCell ref="L570:M570"/>
    <mergeCell ref="N570:O570"/>
    <mergeCell ref="J571:K571"/>
    <mergeCell ref="L571:M571"/>
    <mergeCell ref="N571:O571"/>
    <mergeCell ref="J572:K572"/>
    <mergeCell ref="L572:M572"/>
    <mergeCell ref="N572:O572"/>
    <mergeCell ref="J579:K579"/>
    <mergeCell ref="L579:M579"/>
    <mergeCell ref="N579:O579"/>
    <mergeCell ref="J580:K580"/>
    <mergeCell ref="L580:M580"/>
    <mergeCell ref="N580:O580"/>
    <mergeCell ref="J581:K581"/>
    <mergeCell ref="L581:M581"/>
    <mergeCell ref="N581:O581"/>
    <mergeCell ref="J576:K576"/>
    <mergeCell ref="L576:M576"/>
    <mergeCell ref="N576:O576"/>
    <mergeCell ref="J577:K577"/>
    <mergeCell ref="L577:M577"/>
    <mergeCell ref="N577:O577"/>
    <mergeCell ref="J578:K578"/>
    <mergeCell ref="L578:M578"/>
    <mergeCell ref="N578:O578"/>
    <mergeCell ref="J585:K585"/>
    <mergeCell ref="L585:M585"/>
    <mergeCell ref="N585:O585"/>
    <mergeCell ref="J586:K586"/>
    <mergeCell ref="L586:M586"/>
    <mergeCell ref="N586:O586"/>
    <mergeCell ref="J587:K587"/>
    <mergeCell ref="L587:M587"/>
    <mergeCell ref="N587:O587"/>
    <mergeCell ref="J582:K582"/>
    <mergeCell ref="L582:M582"/>
    <mergeCell ref="N582:O582"/>
    <mergeCell ref="J583:K583"/>
    <mergeCell ref="L583:M583"/>
    <mergeCell ref="N583:O583"/>
    <mergeCell ref="J584:K584"/>
    <mergeCell ref="L584:M584"/>
    <mergeCell ref="N584:O584"/>
    <mergeCell ref="J591:K591"/>
    <mergeCell ref="L591:M591"/>
    <mergeCell ref="N591:O591"/>
    <mergeCell ref="J592:K592"/>
    <mergeCell ref="L592:M592"/>
    <mergeCell ref="N592:O592"/>
    <mergeCell ref="J593:K593"/>
    <mergeCell ref="L593:M593"/>
    <mergeCell ref="N593:O593"/>
    <mergeCell ref="J588:K588"/>
    <mergeCell ref="L588:M588"/>
    <mergeCell ref="N588:O588"/>
    <mergeCell ref="J589:K589"/>
    <mergeCell ref="L589:M589"/>
    <mergeCell ref="N589:O589"/>
    <mergeCell ref="J590:K590"/>
    <mergeCell ref="L590:M590"/>
    <mergeCell ref="N590:O590"/>
    <mergeCell ref="J597:K597"/>
    <mergeCell ref="L597:M597"/>
    <mergeCell ref="N597:O597"/>
    <mergeCell ref="J598:K598"/>
    <mergeCell ref="L598:M598"/>
    <mergeCell ref="N598:O598"/>
    <mergeCell ref="J599:K599"/>
    <mergeCell ref="L599:M599"/>
    <mergeCell ref="N599:O599"/>
    <mergeCell ref="J594:K594"/>
    <mergeCell ref="L594:M594"/>
    <mergeCell ref="N594:O594"/>
    <mergeCell ref="J595:K595"/>
    <mergeCell ref="L595:M595"/>
    <mergeCell ref="N595:O595"/>
    <mergeCell ref="J596:K596"/>
    <mergeCell ref="L596:M596"/>
    <mergeCell ref="N596:O596"/>
    <mergeCell ref="J603:K603"/>
    <mergeCell ref="L603:M603"/>
    <mergeCell ref="N603:O603"/>
    <mergeCell ref="J604:K604"/>
    <mergeCell ref="L604:M604"/>
    <mergeCell ref="N604:O604"/>
    <mergeCell ref="J605:K605"/>
    <mergeCell ref="L605:M605"/>
    <mergeCell ref="N605:O605"/>
    <mergeCell ref="J600:K600"/>
    <mergeCell ref="L600:M600"/>
    <mergeCell ref="N600:O600"/>
    <mergeCell ref="J601:K601"/>
    <mergeCell ref="L601:M601"/>
    <mergeCell ref="N601:O601"/>
    <mergeCell ref="J602:K602"/>
    <mergeCell ref="L602:M602"/>
    <mergeCell ref="N602:O602"/>
    <mergeCell ref="J609:K609"/>
    <mergeCell ref="L609:M609"/>
    <mergeCell ref="N609:O609"/>
    <mergeCell ref="J610:K610"/>
    <mergeCell ref="L610:M610"/>
    <mergeCell ref="N610:O610"/>
    <mergeCell ref="J611:K611"/>
    <mergeCell ref="L611:M611"/>
    <mergeCell ref="N611:O611"/>
    <mergeCell ref="J606:K606"/>
    <mergeCell ref="L606:M606"/>
    <mergeCell ref="N606:O606"/>
    <mergeCell ref="J607:K607"/>
    <mergeCell ref="L607:M607"/>
    <mergeCell ref="N607:O607"/>
    <mergeCell ref="J608:K608"/>
    <mergeCell ref="L608:M608"/>
    <mergeCell ref="N608:O608"/>
    <mergeCell ref="J615:K615"/>
    <mergeCell ref="L615:M615"/>
    <mergeCell ref="N615:O615"/>
    <mergeCell ref="J616:K616"/>
    <mergeCell ref="L616:M616"/>
    <mergeCell ref="N616:O616"/>
    <mergeCell ref="J617:K617"/>
    <mergeCell ref="L617:M617"/>
    <mergeCell ref="N617:O617"/>
    <mergeCell ref="J612:K612"/>
    <mergeCell ref="L612:M612"/>
    <mergeCell ref="N612:O612"/>
    <mergeCell ref="J613:K613"/>
    <mergeCell ref="L613:M613"/>
    <mergeCell ref="N613:O613"/>
    <mergeCell ref="J614:K614"/>
    <mergeCell ref="L614:M614"/>
    <mergeCell ref="N614:O614"/>
    <mergeCell ref="J621:K621"/>
    <mergeCell ref="L621:M621"/>
    <mergeCell ref="N621:O621"/>
    <mergeCell ref="J622:K622"/>
    <mergeCell ref="L622:M622"/>
    <mergeCell ref="N622:O622"/>
    <mergeCell ref="J623:K623"/>
    <mergeCell ref="L623:M623"/>
    <mergeCell ref="N623:O623"/>
    <mergeCell ref="J618:K618"/>
    <mergeCell ref="L618:M618"/>
    <mergeCell ref="N618:O618"/>
    <mergeCell ref="J619:K619"/>
    <mergeCell ref="L619:M619"/>
    <mergeCell ref="N619:O619"/>
    <mergeCell ref="J620:K620"/>
    <mergeCell ref="L620:M620"/>
    <mergeCell ref="N620:O620"/>
    <mergeCell ref="J627:K627"/>
    <mergeCell ref="L627:M627"/>
    <mergeCell ref="N627:O627"/>
    <mergeCell ref="J628:K628"/>
    <mergeCell ref="L628:M628"/>
    <mergeCell ref="N628:O628"/>
    <mergeCell ref="J629:K629"/>
    <mergeCell ref="L629:M629"/>
    <mergeCell ref="N629:O629"/>
    <mergeCell ref="J624:K624"/>
    <mergeCell ref="L624:M624"/>
    <mergeCell ref="N624:O624"/>
    <mergeCell ref="J625:K625"/>
    <mergeCell ref="L625:M625"/>
    <mergeCell ref="N625:O625"/>
    <mergeCell ref="J626:K626"/>
    <mergeCell ref="L626:M626"/>
    <mergeCell ref="N626:O626"/>
    <mergeCell ref="J633:K633"/>
    <mergeCell ref="L633:M633"/>
    <mergeCell ref="N633:O633"/>
    <mergeCell ref="J634:K634"/>
    <mergeCell ref="L634:M634"/>
    <mergeCell ref="N634:O634"/>
    <mergeCell ref="J635:K635"/>
    <mergeCell ref="L635:M635"/>
    <mergeCell ref="N635:O635"/>
    <mergeCell ref="J630:K630"/>
    <mergeCell ref="L630:M630"/>
    <mergeCell ref="N630:O630"/>
    <mergeCell ref="J631:K631"/>
    <mergeCell ref="L631:M631"/>
    <mergeCell ref="N631:O631"/>
    <mergeCell ref="J632:K632"/>
    <mergeCell ref="L632:M632"/>
    <mergeCell ref="N632:O632"/>
    <mergeCell ref="J639:K639"/>
    <mergeCell ref="L639:M639"/>
    <mergeCell ref="N639:O639"/>
    <mergeCell ref="J640:K640"/>
    <mergeCell ref="L640:M640"/>
    <mergeCell ref="N640:O640"/>
    <mergeCell ref="J641:K641"/>
    <mergeCell ref="L641:M641"/>
    <mergeCell ref="N641:O641"/>
    <mergeCell ref="J636:K636"/>
    <mergeCell ref="L636:M636"/>
    <mergeCell ref="N636:O636"/>
    <mergeCell ref="J637:K637"/>
    <mergeCell ref="L637:M637"/>
    <mergeCell ref="N637:O637"/>
    <mergeCell ref="J638:K638"/>
    <mergeCell ref="L638:M638"/>
    <mergeCell ref="N638:O638"/>
    <mergeCell ref="J645:K645"/>
    <mergeCell ref="L645:M645"/>
    <mergeCell ref="N645:O645"/>
    <mergeCell ref="J646:K646"/>
    <mergeCell ref="L646:M646"/>
    <mergeCell ref="N646:O646"/>
    <mergeCell ref="J647:K647"/>
    <mergeCell ref="L647:M647"/>
    <mergeCell ref="N647:O647"/>
    <mergeCell ref="J642:K642"/>
    <mergeCell ref="L642:M642"/>
    <mergeCell ref="N642:O642"/>
    <mergeCell ref="J643:K643"/>
    <mergeCell ref="L643:M643"/>
    <mergeCell ref="N643:O643"/>
    <mergeCell ref="J644:K644"/>
    <mergeCell ref="L644:M644"/>
    <mergeCell ref="N644:O644"/>
    <mergeCell ref="J651:K651"/>
    <mergeCell ref="L651:M651"/>
    <mergeCell ref="N651:O651"/>
    <mergeCell ref="J652:K652"/>
    <mergeCell ref="L652:M652"/>
    <mergeCell ref="N652:O652"/>
    <mergeCell ref="J653:K653"/>
    <mergeCell ref="L653:M653"/>
    <mergeCell ref="N653:O653"/>
    <mergeCell ref="J648:K648"/>
    <mergeCell ref="L648:M648"/>
    <mergeCell ref="N648:O648"/>
    <mergeCell ref="J649:K649"/>
    <mergeCell ref="L649:M649"/>
    <mergeCell ref="N649:O649"/>
    <mergeCell ref="J650:K650"/>
    <mergeCell ref="L650:M650"/>
    <mergeCell ref="N650:O650"/>
    <mergeCell ref="J657:K657"/>
    <mergeCell ref="L657:M657"/>
    <mergeCell ref="N657:O657"/>
    <mergeCell ref="J658:K658"/>
    <mergeCell ref="L658:M658"/>
    <mergeCell ref="N658:O658"/>
    <mergeCell ref="J659:K659"/>
    <mergeCell ref="L659:M659"/>
    <mergeCell ref="N659:O659"/>
    <mergeCell ref="J654:K654"/>
    <mergeCell ref="L654:M654"/>
    <mergeCell ref="N654:O654"/>
    <mergeCell ref="J655:K655"/>
    <mergeCell ref="L655:M655"/>
    <mergeCell ref="N655:O655"/>
    <mergeCell ref="J656:K656"/>
    <mergeCell ref="L656:M656"/>
    <mergeCell ref="N656:O656"/>
    <mergeCell ref="J663:K663"/>
    <mergeCell ref="L663:M663"/>
    <mergeCell ref="N663:O663"/>
    <mergeCell ref="J664:K664"/>
    <mergeCell ref="L664:M664"/>
    <mergeCell ref="N664:O664"/>
    <mergeCell ref="J665:K665"/>
    <mergeCell ref="L665:M665"/>
    <mergeCell ref="N665:O665"/>
    <mergeCell ref="J660:K660"/>
    <mergeCell ref="L660:M660"/>
    <mergeCell ref="N660:O660"/>
    <mergeCell ref="J661:K661"/>
    <mergeCell ref="L661:M661"/>
    <mergeCell ref="N661:O661"/>
    <mergeCell ref="J662:K662"/>
    <mergeCell ref="L662:M662"/>
    <mergeCell ref="N662:O662"/>
    <mergeCell ref="J669:K669"/>
    <mergeCell ref="L669:M669"/>
    <mergeCell ref="N669:O669"/>
    <mergeCell ref="J670:K670"/>
    <mergeCell ref="L670:M670"/>
    <mergeCell ref="N670:O670"/>
    <mergeCell ref="J671:K671"/>
    <mergeCell ref="L671:M671"/>
    <mergeCell ref="N671:O671"/>
    <mergeCell ref="J666:K666"/>
    <mergeCell ref="L666:M666"/>
    <mergeCell ref="N666:O666"/>
    <mergeCell ref="J667:K667"/>
    <mergeCell ref="L667:M667"/>
    <mergeCell ref="N667:O667"/>
    <mergeCell ref="J668:K668"/>
    <mergeCell ref="L668:M668"/>
    <mergeCell ref="N668:O668"/>
    <mergeCell ref="J675:K675"/>
    <mergeCell ref="L675:M675"/>
    <mergeCell ref="N675:O675"/>
    <mergeCell ref="J676:K676"/>
    <mergeCell ref="L676:M676"/>
    <mergeCell ref="N676:O676"/>
    <mergeCell ref="J677:K677"/>
    <mergeCell ref="L677:M677"/>
    <mergeCell ref="N677:O677"/>
    <mergeCell ref="J672:K672"/>
    <mergeCell ref="L672:M672"/>
    <mergeCell ref="N672:O672"/>
    <mergeCell ref="J673:K673"/>
    <mergeCell ref="L673:M673"/>
    <mergeCell ref="N673:O673"/>
    <mergeCell ref="J674:K674"/>
    <mergeCell ref="L674:M674"/>
    <mergeCell ref="N674:O674"/>
    <mergeCell ref="J681:K681"/>
    <mergeCell ref="L681:M681"/>
    <mergeCell ref="N681:O681"/>
    <mergeCell ref="J682:K682"/>
    <mergeCell ref="L682:M682"/>
    <mergeCell ref="N682:O682"/>
    <mergeCell ref="J683:K683"/>
    <mergeCell ref="L683:M683"/>
    <mergeCell ref="N683:O683"/>
    <mergeCell ref="J678:K678"/>
    <mergeCell ref="L678:M678"/>
    <mergeCell ref="N678:O678"/>
    <mergeCell ref="J679:K679"/>
    <mergeCell ref="L679:M679"/>
    <mergeCell ref="N679:O679"/>
    <mergeCell ref="J680:K680"/>
    <mergeCell ref="L680:M680"/>
    <mergeCell ref="N680:O680"/>
    <mergeCell ref="J687:K687"/>
    <mergeCell ref="L687:M687"/>
    <mergeCell ref="N687:O687"/>
    <mergeCell ref="J688:K688"/>
    <mergeCell ref="L688:M688"/>
    <mergeCell ref="N688:O688"/>
    <mergeCell ref="J689:K689"/>
    <mergeCell ref="L689:M689"/>
    <mergeCell ref="N689:O689"/>
    <mergeCell ref="J684:K684"/>
    <mergeCell ref="L684:M684"/>
    <mergeCell ref="N684:O684"/>
    <mergeCell ref="J685:K685"/>
    <mergeCell ref="L685:M685"/>
    <mergeCell ref="N685:O685"/>
    <mergeCell ref="J686:K686"/>
    <mergeCell ref="L686:M686"/>
    <mergeCell ref="N686:O686"/>
    <mergeCell ref="J693:K693"/>
    <mergeCell ref="L693:M693"/>
    <mergeCell ref="N693:O693"/>
    <mergeCell ref="J694:K694"/>
    <mergeCell ref="L694:M694"/>
    <mergeCell ref="N694:O694"/>
    <mergeCell ref="J695:K695"/>
    <mergeCell ref="L695:M695"/>
    <mergeCell ref="N695:O695"/>
    <mergeCell ref="J690:K690"/>
    <mergeCell ref="L690:M690"/>
    <mergeCell ref="N690:O690"/>
    <mergeCell ref="J691:K691"/>
    <mergeCell ref="L691:M691"/>
    <mergeCell ref="N691:O691"/>
    <mergeCell ref="J692:K692"/>
    <mergeCell ref="L692:M692"/>
    <mergeCell ref="N692:O692"/>
    <mergeCell ref="J699:K699"/>
    <mergeCell ref="L699:M699"/>
    <mergeCell ref="N699:O699"/>
    <mergeCell ref="J700:K700"/>
    <mergeCell ref="L700:M700"/>
    <mergeCell ref="N700:O700"/>
    <mergeCell ref="J701:K701"/>
    <mergeCell ref="L701:M701"/>
    <mergeCell ref="N701:O701"/>
    <mergeCell ref="J696:K696"/>
    <mergeCell ref="L696:M696"/>
    <mergeCell ref="N696:O696"/>
    <mergeCell ref="J697:K697"/>
    <mergeCell ref="L697:M697"/>
    <mergeCell ref="N697:O697"/>
    <mergeCell ref="J698:K698"/>
    <mergeCell ref="L698:M698"/>
    <mergeCell ref="N698:O698"/>
    <mergeCell ref="J705:K705"/>
    <mergeCell ref="L705:M705"/>
    <mergeCell ref="N705:O705"/>
    <mergeCell ref="J706:K706"/>
    <mergeCell ref="L706:M706"/>
    <mergeCell ref="N706:O706"/>
    <mergeCell ref="J707:K707"/>
    <mergeCell ref="L707:M707"/>
    <mergeCell ref="N707:O707"/>
    <mergeCell ref="J702:K702"/>
    <mergeCell ref="L702:M702"/>
    <mergeCell ref="N702:O702"/>
    <mergeCell ref="J703:K703"/>
    <mergeCell ref="L703:M703"/>
    <mergeCell ref="N703:O703"/>
    <mergeCell ref="J704:K704"/>
    <mergeCell ref="L704:M704"/>
    <mergeCell ref="N704:O704"/>
    <mergeCell ref="J711:K711"/>
    <mergeCell ref="L711:M711"/>
    <mergeCell ref="N711:O711"/>
    <mergeCell ref="J712:K712"/>
    <mergeCell ref="L712:M712"/>
    <mergeCell ref="N712:O712"/>
    <mergeCell ref="J713:K713"/>
    <mergeCell ref="L713:M713"/>
    <mergeCell ref="N713:O713"/>
    <mergeCell ref="J708:K708"/>
    <mergeCell ref="L708:M708"/>
    <mergeCell ref="N708:O708"/>
    <mergeCell ref="J709:K709"/>
    <mergeCell ref="L709:M709"/>
    <mergeCell ref="N709:O709"/>
    <mergeCell ref="J710:K710"/>
    <mergeCell ref="L710:M710"/>
    <mergeCell ref="N710:O710"/>
    <mergeCell ref="J717:K717"/>
    <mergeCell ref="L717:M717"/>
    <mergeCell ref="N717:O717"/>
    <mergeCell ref="J718:K718"/>
    <mergeCell ref="L718:M718"/>
    <mergeCell ref="N718:O718"/>
    <mergeCell ref="J719:K719"/>
    <mergeCell ref="L719:M719"/>
    <mergeCell ref="N719:O719"/>
    <mergeCell ref="J714:K714"/>
    <mergeCell ref="L714:M714"/>
    <mergeCell ref="N714:O714"/>
    <mergeCell ref="J715:K715"/>
    <mergeCell ref="L715:M715"/>
    <mergeCell ref="N715:O715"/>
    <mergeCell ref="J716:K716"/>
    <mergeCell ref="L716:M716"/>
    <mergeCell ref="N716:O716"/>
    <mergeCell ref="J723:K723"/>
    <mergeCell ref="L723:M723"/>
    <mergeCell ref="N723:O723"/>
    <mergeCell ref="J724:K724"/>
    <mergeCell ref="L724:M724"/>
    <mergeCell ref="N724:O724"/>
    <mergeCell ref="J725:K725"/>
    <mergeCell ref="L725:M725"/>
    <mergeCell ref="N725:O725"/>
    <mergeCell ref="J720:K720"/>
    <mergeCell ref="L720:M720"/>
    <mergeCell ref="N720:O720"/>
    <mergeCell ref="J721:K721"/>
    <mergeCell ref="L721:M721"/>
    <mergeCell ref="N721:O721"/>
    <mergeCell ref="J722:K722"/>
    <mergeCell ref="L722:M722"/>
    <mergeCell ref="N722:O722"/>
    <mergeCell ref="J729:K729"/>
    <mergeCell ref="L729:M729"/>
    <mergeCell ref="N729:O729"/>
    <mergeCell ref="J730:K730"/>
    <mergeCell ref="L730:M730"/>
    <mergeCell ref="N730:O730"/>
    <mergeCell ref="J731:K731"/>
    <mergeCell ref="L731:M731"/>
    <mergeCell ref="N731:O731"/>
    <mergeCell ref="J726:K726"/>
    <mergeCell ref="L726:M726"/>
    <mergeCell ref="N726:O726"/>
    <mergeCell ref="J727:K727"/>
    <mergeCell ref="L727:M727"/>
    <mergeCell ref="N727:O727"/>
    <mergeCell ref="J728:K728"/>
    <mergeCell ref="L728:M728"/>
    <mergeCell ref="N728:O728"/>
    <mergeCell ref="J735:K735"/>
    <mergeCell ref="L735:M735"/>
    <mergeCell ref="N735:O735"/>
    <mergeCell ref="J736:K736"/>
    <mergeCell ref="L736:M736"/>
    <mergeCell ref="N736:O736"/>
    <mergeCell ref="J737:K737"/>
    <mergeCell ref="L737:M737"/>
    <mergeCell ref="N737:O737"/>
    <mergeCell ref="J732:K732"/>
    <mergeCell ref="L732:M732"/>
    <mergeCell ref="N732:O732"/>
    <mergeCell ref="J733:K733"/>
    <mergeCell ref="L733:M733"/>
    <mergeCell ref="N733:O733"/>
    <mergeCell ref="J734:K734"/>
    <mergeCell ref="L734:M734"/>
    <mergeCell ref="N734:O734"/>
    <mergeCell ref="J741:K741"/>
    <mergeCell ref="L741:M741"/>
    <mergeCell ref="N741:O741"/>
    <mergeCell ref="J742:K742"/>
    <mergeCell ref="L742:M742"/>
    <mergeCell ref="N742:O742"/>
    <mergeCell ref="J743:K743"/>
    <mergeCell ref="L743:M743"/>
    <mergeCell ref="N743:O743"/>
    <mergeCell ref="J738:K738"/>
    <mergeCell ref="L738:M738"/>
    <mergeCell ref="N738:O738"/>
    <mergeCell ref="J739:K739"/>
    <mergeCell ref="L739:M739"/>
    <mergeCell ref="N739:O739"/>
    <mergeCell ref="J740:K740"/>
    <mergeCell ref="L740:M740"/>
    <mergeCell ref="N740:O740"/>
    <mergeCell ref="J747:K747"/>
    <mergeCell ref="L747:M747"/>
    <mergeCell ref="N747:O747"/>
    <mergeCell ref="J748:K748"/>
    <mergeCell ref="L748:M748"/>
    <mergeCell ref="N748:O748"/>
    <mergeCell ref="J749:K749"/>
    <mergeCell ref="L749:M749"/>
    <mergeCell ref="N749:O749"/>
    <mergeCell ref="J744:K744"/>
    <mergeCell ref="L744:M744"/>
    <mergeCell ref="N744:O744"/>
    <mergeCell ref="J745:K745"/>
    <mergeCell ref="L745:M745"/>
    <mergeCell ref="N745:O745"/>
    <mergeCell ref="J746:K746"/>
    <mergeCell ref="L746:M746"/>
    <mergeCell ref="N746:O746"/>
    <mergeCell ref="J753:K753"/>
    <mergeCell ref="L753:M753"/>
    <mergeCell ref="N753:O753"/>
    <mergeCell ref="J754:K754"/>
    <mergeCell ref="L754:M754"/>
    <mergeCell ref="N754:O754"/>
    <mergeCell ref="J755:K755"/>
    <mergeCell ref="L755:M755"/>
    <mergeCell ref="N755:O755"/>
    <mergeCell ref="J750:K750"/>
    <mergeCell ref="L750:M750"/>
    <mergeCell ref="N750:O750"/>
    <mergeCell ref="J751:K751"/>
    <mergeCell ref="L751:M751"/>
    <mergeCell ref="N751:O751"/>
    <mergeCell ref="J752:K752"/>
    <mergeCell ref="L752:M752"/>
    <mergeCell ref="N752:O752"/>
    <mergeCell ref="J759:K759"/>
    <mergeCell ref="L759:M759"/>
    <mergeCell ref="N759:O759"/>
    <mergeCell ref="J760:K760"/>
    <mergeCell ref="L760:M760"/>
    <mergeCell ref="N760:O760"/>
    <mergeCell ref="J761:K761"/>
    <mergeCell ref="L761:M761"/>
    <mergeCell ref="N761:O761"/>
    <mergeCell ref="J756:K756"/>
    <mergeCell ref="L756:M756"/>
    <mergeCell ref="N756:O756"/>
    <mergeCell ref="J757:K757"/>
    <mergeCell ref="L757:M757"/>
    <mergeCell ref="N757:O757"/>
    <mergeCell ref="J758:K758"/>
    <mergeCell ref="L758:M758"/>
    <mergeCell ref="N758:O758"/>
    <mergeCell ref="J765:K765"/>
    <mergeCell ref="L765:M765"/>
    <mergeCell ref="N765:O765"/>
    <mergeCell ref="J766:K766"/>
    <mergeCell ref="L766:M766"/>
    <mergeCell ref="N766:O766"/>
    <mergeCell ref="J767:K767"/>
    <mergeCell ref="L767:M767"/>
    <mergeCell ref="N767:O767"/>
    <mergeCell ref="J762:K762"/>
    <mergeCell ref="L762:M762"/>
    <mergeCell ref="N762:O762"/>
    <mergeCell ref="J763:K763"/>
    <mergeCell ref="L763:M763"/>
    <mergeCell ref="N763:O763"/>
    <mergeCell ref="J764:K764"/>
    <mergeCell ref="L764:M764"/>
    <mergeCell ref="N764:O764"/>
    <mergeCell ref="J771:K771"/>
    <mergeCell ref="L771:M771"/>
    <mergeCell ref="N771:O771"/>
    <mergeCell ref="J772:K772"/>
    <mergeCell ref="L772:M772"/>
    <mergeCell ref="N772:O772"/>
    <mergeCell ref="J773:K773"/>
    <mergeCell ref="L773:M773"/>
    <mergeCell ref="N773:O773"/>
    <mergeCell ref="J768:K768"/>
    <mergeCell ref="L768:M768"/>
    <mergeCell ref="N768:O768"/>
    <mergeCell ref="J769:K769"/>
    <mergeCell ref="L769:M769"/>
    <mergeCell ref="N769:O769"/>
    <mergeCell ref="J770:K770"/>
    <mergeCell ref="L770:M770"/>
    <mergeCell ref="N770:O770"/>
    <mergeCell ref="J777:K777"/>
    <mergeCell ref="L777:M777"/>
    <mergeCell ref="N777:O777"/>
    <mergeCell ref="J778:K778"/>
    <mergeCell ref="L778:M778"/>
    <mergeCell ref="N778:O778"/>
    <mergeCell ref="J779:K779"/>
    <mergeCell ref="L779:M779"/>
    <mergeCell ref="N779:O779"/>
    <mergeCell ref="J774:K774"/>
    <mergeCell ref="L774:M774"/>
    <mergeCell ref="N774:O774"/>
    <mergeCell ref="J775:K775"/>
    <mergeCell ref="L775:M775"/>
    <mergeCell ref="N775:O775"/>
    <mergeCell ref="J776:K776"/>
    <mergeCell ref="L776:M776"/>
    <mergeCell ref="N776:O776"/>
    <mergeCell ref="J783:K783"/>
    <mergeCell ref="L783:M783"/>
    <mergeCell ref="N783:O783"/>
    <mergeCell ref="J784:K784"/>
    <mergeCell ref="L784:M784"/>
    <mergeCell ref="N784:O784"/>
    <mergeCell ref="J791:K791"/>
    <mergeCell ref="L791:M791"/>
    <mergeCell ref="N791:O791"/>
    <mergeCell ref="J786:K786"/>
    <mergeCell ref="L786:M786"/>
    <mergeCell ref="N786:O786"/>
    <mergeCell ref="J787:K787"/>
    <mergeCell ref="L787:M787"/>
    <mergeCell ref="N787:O787"/>
    <mergeCell ref="J788:K788"/>
    <mergeCell ref="L788:M788"/>
    <mergeCell ref="N788:O788"/>
    <mergeCell ref="J785:K785"/>
    <mergeCell ref="L785:M785"/>
    <mergeCell ref="N785:O785"/>
    <mergeCell ref="J780:K780"/>
    <mergeCell ref="L780:M780"/>
    <mergeCell ref="N780:O780"/>
    <mergeCell ref="J781:K781"/>
    <mergeCell ref="L781:M781"/>
    <mergeCell ref="N781:O781"/>
    <mergeCell ref="J782:K782"/>
    <mergeCell ref="L782:M782"/>
    <mergeCell ref="N782:O782"/>
    <mergeCell ref="J789:K789"/>
    <mergeCell ref="L789:M789"/>
    <mergeCell ref="N789:O789"/>
    <mergeCell ref="J790:K790"/>
    <mergeCell ref="L790:M790"/>
    <mergeCell ref="N790:O790"/>
  </mergeCells>
  <dataValidations count="3">
    <dataValidation type="list" allowBlank="1" showInputMessage="1" showErrorMessage="1" sqref="C19 C21" xr:uid="{00000000-0002-0000-0800-000000000000}">
      <formula1>"Yes,No"</formula1>
    </dataValidation>
    <dataValidation type="list" allowBlank="1" showInputMessage="1" showErrorMessage="1" sqref="F473:O473 F479:O479 F476:O476 F38:O38 F32:O32 F41:O41 F44:O44 F47:O47 F50:O50 F53:O53 F56:O56 F59:O59 F62:O62 F65:O65 F68:O68 F71:O71 F74:O74 F77:O77 F80:O80 F83:O83 F86:O86 F89:O89 F92:O92 F95:O95 F98:O98 F101:O101 F104:O104 F107:O107 F110:O110 F113:O113 F116:O116 F119:O119 F122:O122 F125:O125 F128:O128 F131:O131 F134:O134 F137:O137 F140:O140 F143:O143 F146:O146 F149:O149 F152:O152 F155:O155 F158:O158 F161:O161 F164:O164 F167:O167 F170:O170 F173:O173 F176:O176 F179:O179 F182:O182 F185:O185 F188:O188 F191:O191 F194:O194 F197:O197 F200:O200 F203:O203 F206:O206 F209:O209 F212:O212 F215:O215 F218:O218 F221:O221 F224:O224 F227:O227 F230:O230 F233:O233 F236:O236 F239:O239 F242:O242 F245:O245 F248:O248 F251:O251 F254:O254 F257:O257 F260:O260 F263:O263 F266:O266 F269:O269 F272:O272 F275:O275 F278:O278 F281:O281 F284:O284 F287:O287 F290:O290 F293:O293 F296:O296 F299:O299 F302:O302 F305:O305 F308:O308 F311:O311 F314:O314 F317:O317 F320:O320 F323:O323 F326:O326 F329:O329 F332:O332 F335:O335 F338:O338 F341:O341 F344:O344 F347:O347 F350:O350 F353:O353 F356:O356 F359:O359 F362:O362 F365:O365 F368:O368 F371:O371 F374:O374 F377:O377 F380:O380 F383:O383 F386:O386 F389:O389 F392:O392 F395:O395 F398:O398 F401:O401 F404:O404 F407:O407 F410:O410 F413:O413 F416:O416 F419:O419 F422:O422 F425:O425 F428:O428 F431:O431 F434:O434 F437:O437 F440:O440 F443:O443 F446:O446 F449:O449 F452:O452 F455:O455 F458:O458 F461:O461 F464:O464 F467:O467 F470:O470 F35:O35" xr:uid="{00000000-0002-0000-0800-000001000000}">
      <formula1>"A,B"</formula1>
    </dataValidation>
    <dataValidation type="list" allowBlank="1" showInputMessage="1" showErrorMessage="1" sqref="D788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92 D494 D496 D498 D500 D502 D504 D506 D508 D510 D512 D514 D516 D518 D520 D522 D524 D526 D528 D530 D532 D534 D536 D538 D540 D542 D544 D546 D548 D550 D552 D554 D556 D558 D560 D562 D564 D566 D568 D570 D572 D574 D576 D578 D580 D582 D584 D586 D588 D590 D592 D594 D596 D598 D600 D602 D604 D606 D608 D610 D612 D614 D616 D618 D620 D622 D624 D626 D628 D630 D632 D634 D636 D638 D640 D642 D644 D646 D648 D650 D652 D654 D656 D658 D660 D662 D664 D666 D668 D670 D672 D674 D676 D678 D680 D682 D684 D686 D688 D690 D692 D694 D696 D698 D700 D702 D704 D706 D708 D710 D712 D714 D716 D718 D720 D722 D724 D726 D728 D730 D732 D734 D736 D738 D740 D742 D744 D746 D748 D750 D752 D754 D756 D758 D760 D762 D764 D766 D768 D770 D772 D774 D776 D778 D780 D782 D784 D786 D790" xr:uid="{00000000-0002-0000-0800-000002000000}">
      <formula1>listdata</formula1>
    </dataValidation>
  </dataValidations>
  <pageMargins left="0.7" right="0.7" top="0.75" bottom="0.75" header="0.3" footer="0.3"/>
  <pageSetup paperSize="17" scale="67"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9877" r:id="rId4" name="Button 5">
              <controlPr defaultSize="0" print="0" autoFill="0" autoPict="0" macro="[0]!ClrAll3a_Click">
                <anchor moveWithCells="1" sizeWithCells="1">
                  <from>
                    <xdr:col>3</xdr:col>
                    <xdr:colOff>403860</xdr:colOff>
                    <xdr:row>24</xdr:row>
                    <xdr:rowOff>22860</xdr:rowOff>
                  </from>
                  <to>
                    <xdr:col>3</xdr:col>
                    <xdr:colOff>1775460</xdr:colOff>
                    <xdr:row>25</xdr:row>
                    <xdr:rowOff>0</xdr:rowOff>
                  </to>
                </anchor>
              </controlPr>
            </control>
          </mc:Choice>
        </mc:AlternateContent>
        <mc:AlternateContent xmlns:mc="http://schemas.openxmlformats.org/markup-compatibility/2006">
          <mc:Choice Requires="x14">
            <control shapeId="79878" r:id="rId5" name="Button 6">
              <controlPr defaultSize="0" print="0" autoFill="0" autoPict="0" macro="[0]!ClrAll3b_Click">
                <anchor moveWithCells="1" sizeWithCells="1">
                  <from>
                    <xdr:col>3</xdr:col>
                    <xdr:colOff>381000</xdr:colOff>
                    <xdr:row>486</xdr:row>
                    <xdr:rowOff>144780</xdr:rowOff>
                  </from>
                  <to>
                    <xdr:col>3</xdr:col>
                    <xdr:colOff>1752600</xdr:colOff>
                    <xdr:row>486</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66</vt:i4>
      </vt:variant>
    </vt:vector>
  </HeadingPairs>
  <TitlesOfParts>
    <vt:vector size="103" baseType="lpstr">
      <vt:lpstr>Instructions</vt:lpstr>
      <vt:lpstr>1. Information Sheet</vt:lpstr>
      <vt:lpstr>Sheet1</vt:lpstr>
      <vt:lpstr>2. Current Tariff Schedule</vt:lpstr>
      <vt:lpstr>3. Continuity Schedule</vt:lpstr>
      <vt:lpstr>2016 List</vt:lpstr>
      <vt:lpstr>4. Billing Det. for Def-Var</vt:lpstr>
      <vt:lpstr>5. Allocating Def-Var Balances</vt:lpstr>
      <vt:lpstr>6. Class A Consumption Data</vt:lpstr>
      <vt:lpstr>6.1a GA Allocation</vt:lpstr>
      <vt:lpstr>6.1 GA</vt:lpstr>
      <vt:lpstr>6.2a CBR B_Allocation</vt:lpstr>
      <vt:lpstr>6.2 CBR B</vt:lpstr>
      <vt:lpstr>7. Calculation of Def-Var RR</vt:lpstr>
      <vt:lpstr>8. STS - Tax Change</vt:lpstr>
      <vt:lpstr>9. Shared Tax - Rate Rider</vt:lpstr>
      <vt:lpstr>10. RTSR Current Rates</vt:lpstr>
      <vt:lpstr>11. RTSR - UTRs &amp; Sub-Tx</vt:lpstr>
      <vt:lpstr>12. RTSR - Historical Wholesale</vt:lpstr>
      <vt:lpstr>13. RTSR - Current Wholesale</vt:lpstr>
      <vt:lpstr>14. RTSR - Forecast Wholesale</vt:lpstr>
      <vt:lpstr>15. RTSR Rates to Forecast</vt:lpstr>
      <vt:lpstr>16. Rev2Cost_GDPIPI</vt:lpstr>
      <vt:lpstr>17. Regulatory Charges</vt:lpstr>
      <vt:lpstr>18. Additional Rates</vt:lpstr>
      <vt:lpstr>Rate Rider Database</vt:lpstr>
      <vt:lpstr>19. Final Tariff Schedule</vt:lpstr>
      <vt:lpstr>20. Bill Impacts</vt:lpstr>
      <vt:lpstr>2 1 5 TotalConsumptionData_Dist</vt:lpstr>
      <vt:lpstr>212_Total_Connection_RollUp</vt:lpstr>
      <vt:lpstr>2.1.7 Filing</vt:lpstr>
      <vt:lpstr>20. HIDDEN</vt:lpstr>
      <vt:lpstr>20. Bill Impacts hidden</vt:lpstr>
      <vt:lpstr>Database</vt:lpstr>
      <vt:lpstr>lists</vt:lpstr>
      <vt:lpstr>Sheet2</vt:lpstr>
      <vt:lpstr>Sheet3</vt:lpstr>
      <vt:lpstr>Alectra_SA</vt:lpstr>
      <vt:lpstr>'20. Bill Impacts hidden'!BI_SS</vt:lpstr>
      <vt:lpstr>'20. HIDDEN'!BI_SS</vt:lpstr>
      <vt:lpstr>COS_RES_CUSTOMERS</vt:lpstr>
      <vt:lpstr>COS_RES_KWH</vt:lpstr>
      <vt:lpstr>Cust3a</vt:lpstr>
      <vt:lpstr>Cust3b</vt:lpstr>
      <vt:lpstr>DRC</vt:lpstr>
      <vt:lpstr>DRP</vt:lpstr>
      <vt:lpstr>Elexicon_SA</vt:lpstr>
      <vt:lpstr>Energy_SA</vt:lpstr>
      <vt:lpstr>EnergyPlus_SA</vt:lpstr>
      <vt:lpstr>Entegrus_SA</vt:lpstr>
      <vt:lpstr>ERTH_SA</vt:lpstr>
      <vt:lpstr>'2016 List'!Extract</vt:lpstr>
      <vt:lpstr>Fixed_Charges</vt:lpstr>
      <vt:lpstr>forecast_wholesale_lineplus</vt:lpstr>
      <vt:lpstr>forecast_wholesale_network</vt:lpstr>
      <vt:lpstr>G1LD</vt:lpstr>
      <vt:lpstr>'6.2a CBR B_Allocation'!G1LDCBR</vt:lpstr>
      <vt:lpstr>G1LDCBR</vt:lpstr>
      <vt:lpstr>HydroOne_SA</vt:lpstr>
      <vt:lpstr>Lakeland_SA</vt:lpstr>
      <vt:lpstr>LDC_LIST</vt:lpstr>
      <vt:lpstr>LDCNAME1</vt:lpstr>
      <vt:lpstr>LDCNAMES</vt:lpstr>
      <vt:lpstr>LossFactors</vt:lpstr>
      <vt:lpstr>MidPeak</vt:lpstr>
      <vt:lpstr>Newmarket_SA</vt:lpstr>
      <vt:lpstr>NonPayment</vt:lpstr>
      <vt:lpstr>OffPeak</vt:lpstr>
      <vt:lpstr>OnPeak</vt:lpstr>
      <vt:lpstr>passwordlist</vt:lpstr>
      <vt:lpstr>'1. Information Sheet'!Print_Area</vt:lpstr>
      <vt:lpstr>'12. RTSR - Historical Wholesale'!Print_Area</vt:lpstr>
      <vt:lpstr>'13. RTSR - Current Wholesale'!Print_Area</vt:lpstr>
      <vt:lpstr>'14. RTSR - Forecast Wholesale'!Print_Area</vt:lpstr>
      <vt:lpstr>'16. Rev2Cost_GDPIPI'!Print_Area</vt:lpstr>
      <vt:lpstr>'17. Regulatory Charges'!Print_Area</vt:lpstr>
      <vt:lpstr>'18. Additional Rates'!Print_Area</vt:lpstr>
      <vt:lpstr>'19. Final Tariff Schedule'!Print_Area</vt:lpstr>
      <vt:lpstr>'2. Current Tariff Schedule'!Print_Area</vt:lpstr>
      <vt:lpstr>'20. Bill Impacts'!Print_Area</vt:lpstr>
      <vt:lpstr>'3. Continuity Schedule'!Print_Area</vt:lpstr>
      <vt:lpstr>'4. Billing Det. for Def-Var'!Print_Area</vt:lpstr>
      <vt:lpstr>'5. Allocating Def-Var Balances'!Print_Area</vt:lpstr>
      <vt:lpstr>'7. Calculation of Def-Var RR'!Print_Area</vt:lpstr>
      <vt:lpstr>'12. RTSR - Historical Wholesale'!Print_Titles</vt:lpstr>
      <vt:lpstr>'13. RTSR - Current Wholesale'!Print_Titles</vt:lpstr>
      <vt:lpstr>'14. RTSR - Forecast Wholesale'!Print_Titles</vt:lpstr>
      <vt:lpstr>'18. Additional Rates'!Print_Titles</vt:lpstr>
      <vt:lpstr>'19. Final Tariff Schedule'!Print_Titles</vt:lpstr>
      <vt:lpstr>'2. Current Tariff Schedule'!Print_Titles</vt:lpstr>
      <vt:lpstr>Rate_Class</vt:lpstr>
      <vt:lpstr>ServiceTerr</vt:lpstr>
      <vt:lpstr>SME</vt:lpstr>
      <vt:lpstr>ss</vt:lpstr>
      <vt:lpstr>Synergy_SA</vt:lpstr>
      <vt:lpstr>Total_Current_Wholesale_Line</vt:lpstr>
      <vt:lpstr>Total_Current_Wholesale_Lineplus</vt:lpstr>
      <vt:lpstr>total_current_wholesale_network</vt:lpstr>
      <vt:lpstr>TranCust</vt:lpstr>
      <vt:lpstr>TranCustb</vt:lpstr>
      <vt:lpstr>TransCust</vt:lpstr>
      <vt:lpstr>Units</vt:lpstr>
      <vt:lpstr>YRS_LEFT</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Heather Dowling</cp:lastModifiedBy>
  <cp:lastPrinted>2020-08-17T13:43:51Z</cp:lastPrinted>
  <dcterms:created xsi:type="dcterms:W3CDTF">2012-04-25T19:46:34Z</dcterms:created>
  <dcterms:modified xsi:type="dcterms:W3CDTF">2020-11-23T16:33:43Z</dcterms:modified>
</cp:coreProperties>
</file>